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customProperty6.bin" ContentType="application/vnd.openxmlformats-officedocument.spreadsheetml.customProperty"/>
  <Override PartName="/xl/comments2.xml" ContentType="application/vnd.openxmlformats-officedocument.spreadsheetml.comments+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firmwide.corp.gs.com\root\Projects\Research\ln\EquityResearch\Aerospace\Aerospace &amp; Defence\Models\Client Models\"/>
    </mc:Choice>
  </mc:AlternateContent>
  <xr:revisionPtr revIDLastSave="0" documentId="13_ncr:1_{5983FA70-0838-4C48-97A1-09139F30A556}" xr6:coauthVersionLast="47" xr6:coauthVersionMax="47" xr10:uidLastSave="{00000000-0000-0000-0000-000000000000}"/>
  <bookViews>
    <workbookView xWindow="0" yWindow="0" windowWidth="49950" windowHeight="23400" tabRatio="908" firstSheet="1" activeTab="1" xr2:uid="{00000000-000D-0000-FFFF-FFFF00000000}"/>
  </bookViews>
  <sheets>
    <sheet name="__FDSCACHE__" sheetId="101" state="veryHidden" r:id="rId1"/>
    <sheet name="Cover Page" sheetId="103" r:id="rId2"/>
    <sheet name="DCF Valuation" sheetId="117" r:id="rId3"/>
    <sheet name="DCF Feed" sheetId="113" state="hidden" r:id="rId4"/>
    <sheet name="Income Statement" sheetId="9" r:id="rId5"/>
    <sheet name="Cash Flow Statement" sheetId="112" r:id="rId6"/>
    <sheet name="Balance Sheet" sheetId="111" r:id="rId7"/>
    <sheet name="Interims" sheetId="68" r:id="rId8"/>
    <sheet name="Airbus Commercial" sheetId="56" r:id="rId9"/>
    <sheet name="Airbus Helicopters" sheetId="58" r:id="rId10"/>
    <sheet name="Airbus Defence &amp; Space" sheetId="76"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_DCF1" localSheetId="2" hidden="1">{"Back Page",#N/A,FALSE,"Front and Back"}</definedName>
    <definedName name="__DCF1" hidden="1">{"Back Page",#N/A,FALSE,"Front and Back"}</definedName>
    <definedName name="__FDS_HYPERLINK_TOGGLE_STATE__" hidden="1">"ON"</definedName>
    <definedName name="__W2" localSheetId="2" hidden="1">{"page1",#N/A,TRUE,"CSC";"page2",#N/A,TRUE,"CSC"}</definedName>
    <definedName name="__W2" hidden="1">{"page1",#N/A,TRUE,"CSC";"page2",#N/A,TRUE,"CSC"}</definedName>
    <definedName name="_bdm.FastTrackBookmark.2_21_2022_9_25_26_AM.edm" hidden="1">'Balance Sheet'!#REF!</definedName>
    <definedName name="_DCF1" localSheetId="1" hidden="1">{"Back Page",#N/A,FALSE,"Front and Back"}</definedName>
    <definedName name="_DCF1" localSheetId="2" hidden="1">{"Back Page",#N/A,FALSE,"Front and Back"}</definedName>
    <definedName name="_DCF1" hidden="1">{"Back Page",#N/A,FALSE,"Front and Back"}</definedName>
    <definedName name="_div08">[1]OVERVIEW!$AY$74</definedName>
    <definedName name="_div09">[1]OVERVIEW!$AZ$74</definedName>
    <definedName name="_div10">[1]OVERVIEW!$BA$74</definedName>
    <definedName name="_GSRATES_1" hidden="1">"CT300001Latest          "</definedName>
    <definedName name="_GSRATES_2" hidden="1">"CT300001Latest          "</definedName>
    <definedName name="_GSRATES_3" hidden="1">"CT300001Latest          "</definedName>
    <definedName name="_GSRATES_4" hidden="1">"CF3000012001092920010101"</definedName>
    <definedName name="_GSRATES_5" hidden="1">"CT30000120010929        "</definedName>
    <definedName name="_GSRATES_6" hidden="1">"CF3000012000093020000101"</definedName>
    <definedName name="_GSRATES_7" hidden="1">"CF3000012000093020000101"</definedName>
    <definedName name="_GSRATES_8" hidden="1">"CF3000012001092920010101"</definedName>
    <definedName name="_GSRATES_COUNT" hidden="1">1</definedName>
    <definedName name="_GSRATESR_1" localSheetId="1" hidden="1">#REF!</definedName>
    <definedName name="_GSRATESR_1" localSheetId="2" hidden="1">[2]Financials!#REF!</definedName>
    <definedName name="_GSRATESR_1" hidden="1">#REF!</definedName>
    <definedName name="_GSRATESR_2" localSheetId="1" hidden="1">#REF!</definedName>
    <definedName name="_GSRATESR_2" hidden="1">#REF!</definedName>
    <definedName name="_GSRATESR_3" localSheetId="1" hidden="1">#REF!</definedName>
    <definedName name="_GSRATESR_3" hidden="1">#REF!</definedName>
    <definedName name="_GSRATESR_4" localSheetId="1" hidden="1">#REF!</definedName>
    <definedName name="_GSRATESR_4" hidden="1">#REF!</definedName>
    <definedName name="_GSRATESR_5" localSheetId="1" hidden="1">#REF!</definedName>
    <definedName name="_GSRATESR_5" hidden="1">#REF!</definedName>
    <definedName name="_GSRATESR_6" localSheetId="1" hidden="1">#REF!</definedName>
    <definedName name="_GSRATESR_6" hidden="1">#REF!</definedName>
    <definedName name="_GSRATESR_7" localSheetId="1" hidden="1">#REF!</definedName>
    <definedName name="_GSRATESR_7" hidden="1">#REF!</definedName>
    <definedName name="_GSRATESR_8" localSheetId="1" hidden="1">#REF!</definedName>
    <definedName name="_GSRATESR_8" hidden="1">#REF!</definedName>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0</definedName>
    <definedName name="_Regression_Int" hidden="1">1</definedName>
    <definedName name="_ShH3">#REF!</definedName>
    <definedName name="_Sort" localSheetId="2" hidden="1">[3]A!$A$8:$J$696</definedName>
    <definedName name="_Sort" hidden="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W2" localSheetId="1" hidden="1">{"page1",#N/A,TRUE,"CSC";"page2",#N/A,TRUE,"CSC"}</definedName>
    <definedName name="_W2" localSheetId="2" hidden="1">{"page1",#N/A,TRUE,"CSC";"page2",#N/A,TRUE,"CSC"}</definedName>
    <definedName name="_W2" hidden="1">{"page1",#N/A,TRUE,"CSC";"page2",#N/A,TRUE,"CSC"}</definedName>
    <definedName name="a"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_ALL_AIR.PA" localSheetId="1">#REF!</definedName>
    <definedName name="A_ALL_AIR.PA">#REF!</definedName>
    <definedName name="A_ALL_AIR.PA_" localSheetId="1">#REF!</definedName>
    <definedName name="A_ALL_AIR.PA_">#REF!</definedName>
    <definedName name="A_ALL_BAES.L_" localSheetId="1">#REF!</definedName>
    <definedName name="A_ALL_BAES.L_">#REF!</definedName>
    <definedName name="A_ALL_COB.L" localSheetId="2">'[4]COB.L_Annotation_Sheet'!$A$1:$AV$348</definedName>
    <definedName name="A_ALL_COB.L">#REF!</definedName>
    <definedName name="A_ALL_KEYWORDS_TYPE_ScalarContributed_EQTY_200000267">[5]ATCOa.ST_Annotation_Sheet!$562:$564,[5]ATCOa.ST_Annotation_Sheet!$510:$519</definedName>
    <definedName name="A_ALL_KEYWORDS_TYPE_ScalarContributed_EQTY_200003162" localSheetId="2">[6]BAES.L_Annotation_Sheet!$339:$345,[6]BAES.L_Annotation_Sheet!$384:$386</definedName>
    <definedName name="A_ALL_KEYWORDS_TYPE_ScalarContributed_EQTY_200003162">#REF!,#REF!</definedName>
    <definedName name="A_ALL_KEYWORDS_TYPE_ScalarContributed_EQTY_200003170">#REF!,#REF!</definedName>
    <definedName name="A_ALL_KEYWORDS_TYPE_ScalarContributed_EQTY_200003173">#REF!,#REF!</definedName>
    <definedName name="A_ALL_KEYWORDS_TYPE_ScalarContributed_EQTY_200003183">#REF!,#REF!</definedName>
    <definedName name="A_ALL_KEYWORDS_TYPE_ScalarContributed_EQTY_200003821">#REF!,#REF!</definedName>
    <definedName name="A_ALL_KEYWORDS_TYPE_ScalarContributed_EQTY_200004285">#REF!,#REF!</definedName>
    <definedName name="A_ALL_KEYWORDS_TYPE_ScalarContributed_EQTY_200005121">[8]EAD.PA_Annotation_Sheet!$339:$348,[8]EAD.PA_Annotation_Sheet!$387:$389</definedName>
    <definedName name="A_ALL_KEYWORDS_TYPE_ScalarContributed_EQTY_200007513">#REF!,#REF!</definedName>
    <definedName name="A_ALL_KEYWORDS_TYPE_ScalarContributed_EQTY_200009618">#REF!,#REF!</definedName>
    <definedName name="A_ALL_KEYWORDS_TYPE_ScalarContributed_EQTY_200009619" localSheetId="2">'[4]COB.L_Annotation_Sheet'!$298:$305,'[4]COB.L_Annotation_Sheet'!$346:$348</definedName>
    <definedName name="A_ALL_KEYWORDS_TYPE_ScalarContributed_EQTY_200009619">#REF!,#REF!</definedName>
    <definedName name="A_ALL_KEYWORDS_TYPE_ScalarContributed_EQTY_200009620" localSheetId="2">[9]MGGT.L_Annotation_Sheet!$344:$350,[9]MGGT.L_Annotation_Sheet!$389:$391</definedName>
    <definedName name="A_ALL_KEYWORDS_TYPE_ScalarContributed_EQTY_200009620">#REF!,#REF!</definedName>
    <definedName name="A_ALL_KEYWORDS_TYPE_ScalarContributed_EQTY_200011295">#REF!,#REF!</definedName>
    <definedName name="A_ALL_KEYWORDS_TYPE_ScalarContributed_ISSR_208000023">[5]ATCOa.ST_Annotation_Sheet!$9:$9,[5]ATCOa.ST_Annotation_Sheet!$129:$131,[5]ATCOa.ST_Annotation_Sheet!$133:$135,[5]ATCOa.ST_Annotation_Sheet!$432:$432,[5]ATCOa.ST_Annotation_Sheet!$439:$439,[5]ATCOa.ST_Annotation_Sheet!$444:$444,[5]ATCOa.ST_Annotation_Sheet!$450:$450,[5]ATCOa.ST_Annotation_Sheet!$456:$456,[5]ATCOa.ST_Annotation_Sheet!$462:$462,[5]ATCOa.ST_Annotation_Sheet!$44:$44</definedName>
    <definedName name="A_ALL_KEYWORDS_TYPE_ScalarContributed_ISSR_208001092">#REF!,#REF!</definedName>
    <definedName name="A_ALL_KEYWORDS_TYPE_ScalarContributed_ISSR_208001095">#REF!,#REF!</definedName>
    <definedName name="A_ALL_KEYWORDS_TYPE_ScalarContributed_ISSR_208001100">#REF!,#REF!</definedName>
    <definedName name="A_ALL_KEYWORDS_TYPE_ScalarContributed_ISSR_208001219">#REF!,#REF!,#REF!,#REF!,#REF!,#REF!,#REF!,#REF!</definedName>
    <definedName name="A_ALL_KEYWORDS_TYPE_ScalarContributed_ISSR_208001433" localSheetId="1">#REF!,#REF!</definedName>
    <definedName name="A_ALL_KEYWORDS_TYPE_ScalarContributed_ISSR_208001433">[10]AIR.PA_Annotation_Sheet!$9:$9,[10]AIR.PA_Annotation_Sheet!$42:$42</definedName>
    <definedName name="A_ALL_KEYWORDS_TYPE_ScalarContributed_ISSR_208006659">#REF!,#REF!,#REF!</definedName>
    <definedName name="A_ALL_KEYWORDS_TYPE_ScalarContributed_ISSR_208007415">#REF!,#REF!</definedName>
    <definedName name="A_ALL_KEYWORDS_TYPE_ScalarContributed_ISSR_208008646">#REF!,#REF!</definedName>
    <definedName name="A_ALL_KEYWORDS_TYPE_ScalarReference_EQTY_200007513" localSheetId="1">#REF!</definedName>
    <definedName name="A_ALL_KEYWORDS_TYPE_ScalarReference_EQTY_200007513">#REF!</definedName>
    <definedName name="A_ALL_KEYWORDS_TYPE_ScalarReference_ISSR_208002861" localSheetId="1">#REF!</definedName>
    <definedName name="A_ALL_KEYWORDS_TYPE_ScalarReference_ISSR_208002861">#REF!</definedName>
    <definedName name="A_ALL_KEYWORDS_TYPE_Vector_EQTY_200000267">[5]ATCOa.ST_Annotation_Sheet!$537:$552,[5]ATCOa.ST_Annotation_Sheet!$554:$556,[5]ATCOa.ST_Annotation_Sheet!$558:$558,[5]ATCOa.ST_Annotation_Sheet!$560:$560,[5]ATCOa.ST_Annotation_Sheet!$521:$535</definedName>
    <definedName name="A_ALL_KEYWORDS_TYPE_Vector_EQTY_200003162" localSheetId="2">[6]BAES.L_Annotation_Sheet!$347:$357,[6]BAES.L_Annotation_Sheet!$359:$374,[6]BAES.L_Annotation_Sheet!$376:$378,[6]BAES.L_Annotation_Sheet!$380:$380,[6]BAES.L_Annotation_Sheet!$382:$382</definedName>
    <definedName name="A_ALL_KEYWORDS_TYPE_Vector_EQTY_200003162">#REF!,#REF!,#REF!,#REF!,#REF!</definedName>
    <definedName name="A_ALL_KEYWORDS_TYPE_Vector_EQTY_200003169">#REF!,#REF!,#REF!,#REF!,#REF!</definedName>
    <definedName name="A_ALL_KEYWORDS_TYPE_Vector_EQTY_200003170">#REF!,#REF!,#REF!,#REF!,#REF!</definedName>
    <definedName name="A_ALL_KEYWORDS_TYPE_Vector_EQTY_200003173">#REF!,#REF!,#REF!,#REF!,#REF!</definedName>
    <definedName name="A_ALL_KEYWORDS_TYPE_Vector_EQTY_200003183">#REF!,#REF!,#REF!,#REF!,#REF!</definedName>
    <definedName name="A_ALL_KEYWORDS_TYPE_Vector_EQTY_200003821">#REF!,#REF!,#REF!,#REF!,#REF!</definedName>
    <definedName name="A_ALL_KEYWORDS_TYPE_Vector_EQTY_200004285">#REF!,#REF!,#REF!,#REF!,#REF!</definedName>
    <definedName name="A_ALL_KEYWORDS_TYPE_Vector_EQTY_200005121" localSheetId="1">#REF!,#REF!,#REF!,#REF!,#REF!</definedName>
    <definedName name="A_ALL_KEYWORDS_TYPE_Vector_EQTY_200005121">[8]EAD.PA_Annotation_Sheet!$350:$360,[8]EAD.PA_Annotation_Sheet!$362:$377,[8]EAD.PA_Annotation_Sheet!$379:$381,[8]EAD.PA_Annotation_Sheet!$383:$383,[8]EAD.PA_Annotation_Sheet!$385:$385</definedName>
    <definedName name="A_ALL_KEYWORDS_TYPE_Vector_EQTY_200007513">#REF!,#REF!,#REF!,#REF!,#REF!</definedName>
    <definedName name="A_ALL_KEYWORDS_TYPE_Vector_EQTY_200008448">#REF!,#REF!,#REF!,#REF!,#REF!</definedName>
    <definedName name="A_ALL_KEYWORDS_TYPE_Vector_EQTY_200009618">#REF!,#REF!,#REF!,#REF!,#REF!</definedName>
    <definedName name="A_ALL_KEYWORDS_TYPE_Vector_EQTY_200009619" localSheetId="2">'[4]COB.L_Annotation_Sheet'!$307:$317,'[4]COB.L_Annotation_Sheet'!$320:$336,'[4]COB.L_Annotation_Sheet'!$338:$340,'[4]COB.L_Annotation_Sheet'!$342:$342,'[4]COB.L_Annotation_Sheet'!$344:$344</definedName>
    <definedName name="A_ALL_KEYWORDS_TYPE_Vector_EQTY_200009619">#REF!,#REF!,#REF!,#REF!,#REF!</definedName>
    <definedName name="A_ALL_KEYWORDS_TYPE_Vector_EQTY_200009620" localSheetId="2">[9]MGGT.L_Annotation_Sheet!$352:$362,[9]MGGT.L_Annotation_Sheet!$364:$379,[9]MGGT.L_Annotation_Sheet!$381:$383,[9]MGGT.L_Annotation_Sheet!$385:$385,[9]MGGT.L_Annotation_Sheet!$387:$387</definedName>
    <definedName name="A_ALL_KEYWORDS_TYPE_Vector_EQTY_200009620">#REF!,#REF!,#REF!,#REF!,#REF!</definedName>
    <definedName name="A_ALL_KEYWORDS_TYPE_Vector_EQTY_200011295">#REF!,#REF!,#REF!,#REF!,#REF!</definedName>
    <definedName name="A_ALL_KEYWORDS_TYPE_Vector_ISSR_208000023">[5]ATCOa.ST_Annotation_Sheet!$2:$3,[5]ATCOa.ST_Annotation_Sheet!$11:$29,[5]ATCOa.ST_Annotation_Sheet!$31:$41,[5]ATCOa.ST_Annotation_Sheet!$46:$75,[5]ATCOa.ST_Annotation_Sheet!$81:$93,[5]ATCOa.ST_Annotation_Sheet!$96:$113,[5]ATCOa.ST_Annotation_Sheet!$115:$127,[5]ATCOa.ST_Annotation_Sheet!$132:$132,[5]ATCOa.ST_Annotation_Sheet!$136:$139,[5]ATCOa.ST_Annotation_Sheet!$141:$167,[5]ATCOa.ST_Annotation_Sheet!$169:$175,[5]ATCOa.ST_Annotation_Sheet!$177:$262,[5]ATCOa.ST_Annotation_Sheet!$264:$321,[5]ATCOa.ST_Annotation_Sheet!$323:$346,[5]ATCOa.ST_Annotation_Sheet!$348:$371,[5]ATCOa.ST_Annotation_Sheet!$373:$386,[5]ATCOa.ST_Annotation_Sheet!$388:$428,[5]ATCOa.ST_Annotation_Sheet!$430:$431,[5]ATCOa.ST_Annotation_Sheet!$433:$438,[5]ATCOa.ST_Annotation_Sheet!$440:$443,[5]ATCOa.ST_Annotation_Sheet!$445:$449,[5]ATCOa.ST_Annotation_Sheet!$451:$455,[5]ATCOa.ST_Annotation_Sheet!$457:$461,[5]ATCOa.ST_Annotation_Sheet!$463:$500,[5]ATCOa.ST_Annotation_Sheet!$43:$43</definedName>
    <definedName name="A_ALL_KEYWORDS_TYPE_Vector_ISSR_208001092" localSheetId="2">[6]BAES.L_Annotation_Sheet!$2:$3,[6]BAES.L_Annotation_Sheet!$9:$27,[6]BAES.L_Annotation_Sheet!$29:$37,[6]BAES.L_Annotation_Sheet!$39:$66,[6]BAES.L_Annotation_Sheet!$68:$80,[6]BAES.L_Annotation_Sheet!$82:$98,[6]BAES.L_Annotation_Sheet!$100:$112,[6]BAES.L_Annotation_Sheet!$114:$114,[6]BAES.L_Annotation_Sheet!$116:$117,[6]BAES.L_Annotation_Sheet!$119:$123,[6]BAES.L_Annotation_Sheet!$128:$129,[6]BAES.L_Annotation_Sheet!$133:$133,[6]BAES.L_Annotation_Sheet!$137:$137,[6]BAES.L_Annotation_Sheet!$155:$158,[6]BAES.L_Annotation_Sheet!$160:$164,[6]BAES.L_Annotation_Sheet!$169:$170,[6]BAES.L_Annotation_Sheet!$174:$174,[6]BAES.L_Annotation_Sheet!$178:$178,[6]BAES.L_Annotation_Sheet!$196:$197,[6]BAES.L_Annotation_Sheet!$298:$298,[6]BAES.L_Annotation_Sheet!$140:$151,[6]BAES.L_Annotation_Sheet!$181:$192,[6]BAES.L_Annotation_Sheet!$235:$238,[6]BAES.L_Annotation_Sheet!$257:$260,[6]BAES.L_Annotation_Sheet!$317:$329,[6]BAES.L_Annotation_Sheet!$300:$315</definedName>
    <definedName name="A_ALL_KEYWORDS_TYPE_Vector_ISSR_208001092">#REF!,#REF!,#REF!,#REF!,#REF!,#REF!,#REF!,#REF!,#REF!,#REF!,#REF!,#REF!,#REF!,#REF!,#REF!,#REF!,#REF!,#REF!,#REF!,#REF!,#REF!,#REF!,#REF!,#REF!,#REF!,#REF!</definedName>
    <definedName name="A_ALL_KEYWORDS_TYPE_Vector_ISSR_208001095">#REF!,#REF!,#REF!,#REF!,#REF!,#REF!,#REF!,#REF!,#REF!,#REF!,#REF!,#REF!,#REF!,#REF!</definedName>
    <definedName name="A_ALL_KEYWORDS_TYPE_Vector_ISSR_208001096">#REF!,#REF!,#REF!,#REF!,#REF!,#REF!,#REF!,#REF!,#REF!,#REF!,#REF!,#REF!,#REF!,#REF!,#REF!,#REF!,#REF!,#REF!,#REF!,#REF!,#REF!,#REF!,#REF!,#REF!,#REF!,#REF!</definedName>
    <definedName name="A_ALL_KEYWORDS_TYPE_Vector_ISSR_208001098">#REF!,#REF!,#REF!,#REF!,#REF!,#REF!,#REF!,#REF!,#REF!,#REF!,#REF!,#REF!,#REF!,#REF!,#REF!,#REF!,#REF!,#REF!,#REF!,#REF!,#REF!,#REF!,#REF!,#REF!,#REF!,#REF!</definedName>
    <definedName name="A_ALL_KEYWORDS_TYPE_Vector_ISSR_208001100">#REF!,#REF!,#REF!,#REF!,#REF!,#REF!,#REF!,#REF!,#REF!,#REF!,#REF!,#REF!,#REF!,#REF!,#REF!,#REF!,#REF!,#REF!,#REF!,#REF!,#REF!,#REF!,#REF!,#REF!,#REF!,#REF!</definedName>
    <definedName name="A_ALL_KEYWORDS_TYPE_Vector_ISSR_208001129">#REF!,#REF!,#REF!,#REF!,#REF!,#REF!,#REF!,#REF!,#REF!,#REF!,#REF!,#REF!,#REF!,#REF!,#REF!,#REF!,#REF!,#REF!,#REF!,#REF!,#REF!,#REF!,#REF!,#REF!,#REF!,#REF!</definedName>
    <definedName name="A_ALL_KEYWORDS_TYPE_Vector_ISSR_208001219">#REF!,#REF!,#REF!,#REF!,#REF!,#REF!,#REF!,#REF!,#REF!,#REF!,#REF!,#REF!,#REF!,#REF!,#REF!,#REF!,#REF!,#REF!,#REF!</definedName>
    <definedName name="A_ALL_KEYWORDS_TYPE_Vector_ISSR_208001433" localSheetId="1">#REF!,#REF!,#REF!,#REF!,#REF!,#REF!,#REF!,#REF!,#REF!,#REF!,#REF!,#REF!,#REF!,#REF!</definedName>
    <definedName name="A_ALL_KEYWORDS_TYPE_Vector_ISSR_208001433">[8]EAD.PA_Annotation_Sheet!$2:$3,[8]EAD.PA_Annotation_Sheet!$9:$27,[8]EAD.PA_Annotation_Sheet!$29:$37,[8]EAD.PA_Annotation_Sheet!$39:$66,[8]EAD.PA_Annotation_Sheet!$68:$80,[8]EAD.PA_Annotation_Sheet!$82:$98,[8]EAD.PA_Annotation_Sheet!$100:$112,[8]EAD.PA_Annotation_Sheet!$114:$114,[8]EAD.PA_Annotation_Sheet!$116:$117,[8]EAD.PA_Annotation_Sheet!$119:$123,[8]EAD.PA_Annotation_Sheet!$128:$129,[8]EAD.PA_Annotation_Sheet!$133:$133,[8]EAD.PA_Annotation_Sheet!$137:$137,[8]EAD.PA_Annotation_Sheet!$155:$158,[8]EAD.PA_Annotation_Sheet!$160:$164,[8]EAD.PA_Annotation_Sheet!$169:$170,[8]EAD.PA_Annotation_Sheet!$174:$174,[8]EAD.PA_Annotation_Sheet!$178:$178,[8]EAD.PA_Annotation_Sheet!$196:$197,[8]EAD.PA_Annotation_Sheet!$298:$298,[8]EAD.PA_Annotation_Sheet!$140:$151,[8]EAD.PA_Annotation_Sheet!$181:$192,[8]EAD.PA_Annotation_Sheet!$235:$238,[8]EAD.PA_Annotation_Sheet!$257:$260,[8]EAD.PA_Annotation_Sheet!$317:$329,[8]EAD.PA_Annotation_Sheet!$300:$315</definedName>
    <definedName name="A_ALL_KEYWORDS_TYPE_Vector_ISSR_208002861">#REF!,#REF!,#REF!,#REF!,#REF!,#REF!,#REF!,#REF!,#REF!,#REF!,#REF!,#REF!,#REF!,#REF!,#REF!,#REF!,#REF!,#REF!,#REF!,#REF!,#REF!,#REF!,#REF!,#REF!,#REF!,#REF!</definedName>
    <definedName name="A_ALL_KEYWORDS_TYPE_Vector_ISSR_208006659">#REF!,#REF!,#REF!,#REF!,#REF!,#REF!,#REF!,#REF!,#REF!,#REF!,#REF!,#REF!,#REF!,#REF!</definedName>
    <definedName name="A_ALL_KEYWORDS_TYPE_Vector_ISSR_208007413">#REF!,#REF!,#REF!,#REF!,#REF!,#REF!,#REF!,#REF!,#REF!,#REF!,#REF!,#REF!,#REF!,#REF!,#REF!,#REF!,#REF!,#REF!,#REF!,#REF!,#REF!,#REF!,#REF!,#REF!,#REF!,#REF!</definedName>
    <definedName name="A_ALL_KEYWORDS_TYPE_Vector_ISSR_208007414" localSheetId="2">'[4]COB.L_Annotation_Sheet'!$2:$3,'[4]COB.L_Annotation_Sheet'!$9:$27,'[4]COB.L_Annotation_Sheet'!$29:$37,'[4]COB.L_Annotation_Sheet'!$39:$66,'[4]COB.L_Annotation_Sheet'!$68:$80,'[4]COB.L_Annotation_Sheet'!$82:$98,'[4]COB.L_Annotation_Sheet'!$100:$112,'[4]COB.L_Annotation_Sheet'!$114:$114,'[4]COB.L_Annotation_Sheet'!$116:$288</definedName>
    <definedName name="A_ALL_KEYWORDS_TYPE_Vector_ISSR_208007414">#REF!,#REF!,#REF!,#REF!,#REF!,#REF!,#REF!,#REF!,#REF!</definedName>
    <definedName name="A_ALL_KEYWORDS_TYPE_Vector_ISSR_208007415" localSheetId="2">[9]MGGT.L_Annotation_Sheet!$2:$3,[9]MGGT.L_Annotation_Sheet!$9:$27,[9]MGGT.L_Annotation_Sheet!$29:$37,[9]MGGT.L_Annotation_Sheet!$39:$66,[9]MGGT.L_Annotation_Sheet!$68:$80,[9]MGGT.L_Annotation_Sheet!$82:$98,[9]MGGT.L_Annotation_Sheet!$100:$112,[9]MGGT.L_Annotation_Sheet!$114:$114,[9]MGGT.L_Annotation_Sheet!$116:$117,[9]MGGT.L_Annotation_Sheet!$119:$123,[9]MGGT.L_Annotation_Sheet!$128:$129,[9]MGGT.L_Annotation_Sheet!$133:$133,[9]MGGT.L_Annotation_Sheet!$156:$159,[9]MGGT.L_Annotation_Sheet!$161:$165,[9]MGGT.L_Annotation_Sheet!$170:$171,[9]MGGT.L_Annotation_Sheet!$175:$175,[9]MGGT.L_Annotation_Sheet!$198:$199,[9]MGGT.L_Annotation_Sheet!$141:$152,[9]MGGT.L_Annotation_Sheet!$183:$194,[9]MGGT.L_Annotation_Sheet!$237:$240,[9]MGGT.L_Annotation_Sheet!$259:$262,[9]MGGT.L_Annotation_Sheet!$137:$138,[9]MGGT.L_Annotation_Sheet!$179:$180,[9]MGGT.L_Annotation_Sheet!$321:$334,[9]MGGT.L_Annotation_Sheet!$300:$301,[9]MGGT.L_Annotation_Sheet!$303:$319</definedName>
    <definedName name="A_ALL_KEYWORDS_TYPE_Vector_ISSR_208007415">#REF!,#REF!,#REF!,#REF!,#REF!,#REF!,#REF!,#REF!,#REF!,#REF!,#REF!,#REF!,#REF!,#REF!,#REF!,#REF!,#REF!,#REF!,#REF!,#REF!,#REF!,#REF!,#REF!,#REF!,#REF!,#REF!</definedName>
    <definedName name="A_ALL_KEYWORDS_TYPE_Vector_ISSR_208008646">#REF!,#REF!,#REF!,#REF!,#REF!,#REF!,#REF!,#REF!,#REF!,#REF!,#REF!,#REF!,#REF!,#REF!</definedName>
    <definedName name="A_ALL_MTXGn.DE" localSheetId="1">#REF!</definedName>
    <definedName name="A_ALL_MTXGn.DE">#REF!</definedName>
    <definedName name="A_ALL_PERIODS_MTXGn.DE" localSheetId="1">#REF!</definedName>
    <definedName name="A_ALL_PERIODS_MTXGn.DE">#REF!</definedName>
    <definedName name="A_ALL_RR.L">#REF!</definedName>
    <definedName name="A_ALL_SAABb.ST_" localSheetId="1">#REF!</definedName>
    <definedName name="A_ALL_SAABb.ST_">#REF!</definedName>
    <definedName name="A_ALL_SAF.PA_" localSheetId="1">#REF!</definedName>
    <definedName name="A_ALL_SAF.PA_">#REF!</definedName>
    <definedName name="A_ALL_SAND.ST">[11]SAND.ST_Annotation_Sheet!$A$1:$DL$570</definedName>
    <definedName name="A_ALL_SECTION_KEYWORDS_EQTY_200005121_13K" localSheetId="1">#REF!</definedName>
    <definedName name="A_ALL_SECTION_KEYWORDS_EQTY_200007513_1314" localSheetId="1">#REF!</definedName>
    <definedName name="A_ALL_SECTION_KEYWORDS_EQTY_200007513_1314">#REF!</definedName>
    <definedName name="A_ALL_SECTION_KEYWORDS_EQTY_200007513_131E" localSheetId="1">#REF!</definedName>
    <definedName name="A_ALL_SECTION_KEYWORDS_EQTY_200007513_131E">#REF!</definedName>
    <definedName name="A_ALL_SECTION_KEYWORDS_EQTY_200007513_131O" localSheetId="1">#REF!</definedName>
    <definedName name="A_ALL_SECTION_KEYWORDS_EQTY_200007513_131O">#REF!</definedName>
    <definedName name="A_ALL_SECTION_KEYWORDS_EQTY_200007513_13A">#REF!</definedName>
    <definedName name="A_ALL_SECTION_KEYWORDS_EQTY_200007513_13K">#REF!</definedName>
    <definedName name="A_ALL_SECTION_KEYWORDS_EQTY_200007513_13U">#REF!</definedName>
    <definedName name="A_ALL_SECTION_KEYWORDS_EQTY_200007513_13V">#REF!</definedName>
    <definedName name="A_ALL_SECTION_KEYWORDS_EQTY_200007513_Reference_Data">#REF!</definedName>
    <definedName name="A_ALL_SECTION_KEYWORDS_ISSR_208000023_13V">[5]ATCOa.ST_Annotation_Sheet!$C$31:$C$41,[5]ATCOa.ST_Annotation_Sheet!$C$44</definedName>
    <definedName name="A_ALL_SECTION_KEYWORDS_ISSR_208001092_13V">#REF!,#REF!</definedName>
    <definedName name="A_ALL_SECTION_KEYWORDS_ISSR_208001095_13V">#REF!,#REF!</definedName>
    <definedName name="A_ALL_SECTION_KEYWORDS_ISSR_208001098_13173">#REF!,#REF!</definedName>
    <definedName name="A_ALL_SECTION_KEYWORDS_ISSR_208001098_13178">#REF!,#REF!</definedName>
    <definedName name="A_ALL_SECTION_KEYWORDS_ISSR_208001098_136J">#REF!,#REF!</definedName>
    <definedName name="A_ALL_SECTION_KEYWORDS_ISSR_208001100_13V">#REF!,#REF!</definedName>
    <definedName name="A_ALL_SECTION_KEYWORDS_ISSR_208001219_136E">#REF!,#REF!</definedName>
    <definedName name="A_ALL_SECTION_KEYWORDS_ISSR_208001433_1314" localSheetId="1">#REF!</definedName>
    <definedName name="A_ALL_SECTION_KEYWORDS_ISSR_208001433_13173" localSheetId="1">#REF!,#REF!</definedName>
    <definedName name="A_ALL_SECTION_KEYWORDS_ISSR_208001433_13173">#REF!,#REF!</definedName>
    <definedName name="A_ALL_SECTION_KEYWORDS_ISSR_208001433_13178">#REF!,#REF!</definedName>
    <definedName name="A_ALL_SECTION_KEYWORDS_ISSR_208001433_1319" localSheetId="1">#REF!</definedName>
    <definedName name="A_ALL_SECTION_KEYWORDS_ISSR_208001433_1319">[7]AIR.PA_Annotation_Sheet!$C$75:$C$91,[7]AIR.PA_Annotation_Sheet!$C$95</definedName>
    <definedName name="A_ALL_SECTION_KEYWORDS_ISSR_208001433_131E" localSheetId="1">#REF!</definedName>
    <definedName name="A_ALL_SECTION_KEYWORDS_ISSR_208001433_131O" localSheetId="1">#REF!,#REF!</definedName>
    <definedName name="A_ALL_SECTION_KEYWORDS_ISSR_208001433_131O">[7]AIR.PA_Annotation_Sheet!$C$130,[7]AIR.PA_Annotation_Sheet!$C$156</definedName>
    <definedName name="A_ALL_SECTION_KEYWORDS_ISSR_208001433_136J" localSheetId="1">#REF!,#REF!</definedName>
    <definedName name="A_ALL_SECTION_KEYWORDS_ISSR_208001433_136J">#REF!,#REF!</definedName>
    <definedName name="A_ALL_SECTION_KEYWORDS_ISSR_208001433_13V" localSheetId="1">#REF!,#REF!</definedName>
    <definedName name="A_ALL_SECTION_KEYWORDS_ISSR_208001433_13V">[10]AIR.PA_Annotation_Sheet!$C$31:$C$39,[10]AIR.PA_Annotation_Sheet!$C$42</definedName>
    <definedName name="A_ALL_SECTION_KEYWORDS_ISSR_208002861_1314" localSheetId="1">#REF!</definedName>
    <definedName name="A_ALL_SECTION_KEYWORDS_ISSR_208002861_1314">#REF!</definedName>
    <definedName name="A_ALL_SECTION_KEYWORDS_ISSR_208002861_13168" localSheetId="1">#REF!</definedName>
    <definedName name="A_ALL_SECTION_KEYWORDS_ISSR_208002861_13168">#REF!</definedName>
    <definedName name="A_ALL_SECTION_KEYWORDS_ISSR_208002861_1316S" localSheetId="1">#REF!</definedName>
    <definedName name="A_ALL_SECTION_KEYWORDS_ISSR_208002861_1316S">#REF!</definedName>
    <definedName name="A_ALL_SECTION_KEYWORDS_ISSR_208002861_1316T">#REF!</definedName>
    <definedName name="A_ALL_SECTION_KEYWORDS_ISSR_208002861_1316U">#REF!</definedName>
    <definedName name="A_ALL_SECTION_KEYWORDS_ISSR_208002861_1319">#REF!</definedName>
    <definedName name="A_ALL_SECTION_KEYWORDS_ISSR_208002861_131E">#REF!</definedName>
    <definedName name="A_ALL_SECTION_KEYWORDS_ISSR_208002861_131J">#REF!</definedName>
    <definedName name="A_ALL_SECTION_KEYWORDS_ISSR_208002861_131O">#REF!</definedName>
    <definedName name="A_ALL_SECTION_KEYWORDS_ISSR_208002861_13U">#REF!</definedName>
    <definedName name="A_ALL_SECTION_KEYWORDS_ISSR_208002861_13V">#REF!</definedName>
    <definedName name="A_ALL_SECTION_KEYWORDS_ISSR_208002861_Reference_Data">#REF!</definedName>
    <definedName name="A_ALL_SECTION_KEYWORDS_ISSR_208006659_13173">#REF!,#REF!</definedName>
    <definedName name="A_ALL_SECTION_KEYWORDS_ISSR_208006659_131O">#REF!,#REF!</definedName>
    <definedName name="A_ALL_SECTION_KEYWORDS_ISSR_208006659_136J">#REF!,#REF!</definedName>
    <definedName name="A_ALL_SECTION_KEYWORDS_ISSR_208007415_13V">#REF!,#REF!</definedName>
    <definedName name="A_ALL_SECTION_KEYWORDS_ISSR_208008646_13V">#REF!,#REF!</definedName>
    <definedName name="A_ALL_SECTIONS_EQTY_200003162" localSheetId="2">[6]BAES.L_Annotation_Sheet!$331:$331,[6]BAES.L_Annotation_Sheet!$338:$338,[6]BAES.L_Annotation_Sheet!$346:$346,[6]BAES.L_Annotation_Sheet!$358:$358,[6]BAES.L_Annotation_Sheet!$375:$375,[6]BAES.L_Annotation_Sheet!$379:$379,[6]BAES.L_Annotation_Sheet!$381:$381,[6]BAES.L_Annotation_Sheet!$383:$383</definedName>
    <definedName name="A_ALL_SECTIONS_EQTY_200003162">#REF!,#REF!,#REF!,#REF!,#REF!,#REF!,#REF!,#REF!</definedName>
    <definedName name="A_ALL_SECTIONS_EQTY_200003170">#REF!,#REF!,#REF!,#REF!,#REF!,#REF!,#REF!,#REF!</definedName>
    <definedName name="A_ALL_SECTIONS_EQTY_200003173">#REF!,#REF!,#REF!,#REF!,#REF!,#REF!,#REF!,#REF!</definedName>
    <definedName name="A_ALL_SECTIONS_EQTY_200003183">#REF!,#REF!,#REF!,#REF!,#REF!,#REF!,#REF!,#REF!</definedName>
    <definedName name="A_ALL_SECTIONS_EQTY_200003821">#REF!,#REF!,#REF!,#REF!,#REF!,#REF!,#REF!,#REF!</definedName>
    <definedName name="A_ALL_SECTIONS_EQTY_200004285">#REF!,#REF!,#REF!,#REF!,#REF!,#REF!,#REF!,#REF!</definedName>
    <definedName name="A_ALL_SECTIONS_EQTY_200005121">[8]EAD.PA_Annotation_Sheet!$331:$331,[8]EAD.PA_Annotation_Sheet!$338:$338,[8]EAD.PA_Annotation_Sheet!$349:$349,[8]EAD.PA_Annotation_Sheet!$361:$361,[8]EAD.PA_Annotation_Sheet!$378:$378,[8]EAD.PA_Annotation_Sheet!$382:$382,[8]EAD.PA_Annotation_Sheet!$384:$384,[8]EAD.PA_Annotation_Sheet!$386:$386</definedName>
    <definedName name="A_ALL_SECTIONS_EQTY_200007513">#REF!,#REF!,#REF!,#REF!,#REF!,#REF!,#REF!,#REF!</definedName>
    <definedName name="A_ALL_SECTIONS_EQTY_200009618">#REF!,#REF!,#REF!,#REF!,#REF!,#REF!,#REF!,#REF!</definedName>
    <definedName name="A_ALL_SECTIONS_EQTY_200009619" localSheetId="2">'[4]COB.L_Annotation_Sheet'!$290:$290,'[4]COB.L_Annotation_Sheet'!$297:$297,'[4]COB.L_Annotation_Sheet'!$306:$306,'[4]COB.L_Annotation_Sheet'!$318:$318,'[4]COB.L_Annotation_Sheet'!$337:$337,'[4]COB.L_Annotation_Sheet'!$341:$341,'[4]COB.L_Annotation_Sheet'!$343:$343,'[4]COB.L_Annotation_Sheet'!$345:$345</definedName>
    <definedName name="A_ALL_SECTIONS_EQTY_200009619">#REF!,#REF!,#REF!,#REF!,#REF!,#REF!,#REF!,#REF!</definedName>
    <definedName name="A_ALL_SECTIONS_EQTY_200009620" localSheetId="2">[9]MGGT.L_Annotation_Sheet!$336:$336,[9]MGGT.L_Annotation_Sheet!$343:$343,[9]MGGT.L_Annotation_Sheet!$351:$351,[9]MGGT.L_Annotation_Sheet!$363:$363,[9]MGGT.L_Annotation_Sheet!$380:$380,[9]MGGT.L_Annotation_Sheet!$384:$384,[9]MGGT.L_Annotation_Sheet!$386:$386,[9]MGGT.L_Annotation_Sheet!$388:$388</definedName>
    <definedName name="A_ALL_SECTIONS_EQTY_200009620">#REF!,#REF!,#REF!,#REF!,#REF!,#REF!,#REF!,#REF!</definedName>
    <definedName name="A_ALL_SECTIONS_EQTY_200011295">#REF!,#REF!,#REF!,#REF!,#REF!,#REF!,#REF!,#REF!</definedName>
    <definedName name="A_ALL_SECTIONS_ISSR_208001092" localSheetId="2">[6]BAES.L_Annotation_Sheet!$5:$5,[6]BAES.L_Annotation_Sheet!$8:$8,[6]BAES.L_Annotation_Sheet!$28:$28,[6]BAES.L_Annotation_Sheet!$38:$38,[6]BAES.L_Annotation_Sheet!$67:$67,[6]BAES.L_Annotation_Sheet!$81:$81,[6]BAES.L_Annotation_Sheet!$99:$99,[6]BAES.L_Annotation_Sheet!$113:$113,[6]BAES.L_Annotation_Sheet!$115:$115,[6]BAES.L_Annotation_Sheet!$297:$316</definedName>
    <definedName name="A_ALL_SECTIONS_ISSR_208001092">#REF!,#REF!,#REF!,#REF!,#REF!,#REF!,#REF!,#REF!,#REF!,#REF!</definedName>
    <definedName name="A_ALL_SECTIONS_ISSR_208001096">#REF!,#REF!,#REF!,#REF!,#REF!,#REF!,#REF!,#REF!,#REF!,#REF!</definedName>
    <definedName name="A_ALL_SECTIONS_ISSR_208001098">#REF!,#REF!,#REF!,#REF!,#REF!,#REF!,#REF!,#REF!,#REF!,#REF!</definedName>
    <definedName name="A_ALL_SECTIONS_ISSR_208001100">#REF!,#REF!,#REF!,#REF!,#REF!,#REF!,#REF!,#REF!,#REF!,#REF!</definedName>
    <definedName name="A_ALL_SECTIONS_ISSR_208001129">#REF!,#REF!,#REF!,#REF!,#REF!,#REF!,#REF!,#REF!,#REF!,#REF!</definedName>
    <definedName name="A_ALL_SECTIONS_ISSR_208001433">[8]EAD.PA_Annotation_Sheet!$5:$5,[8]EAD.PA_Annotation_Sheet!$8:$8,[8]EAD.PA_Annotation_Sheet!$28:$28,[8]EAD.PA_Annotation_Sheet!$38:$38,[8]EAD.PA_Annotation_Sheet!$67:$67,[8]EAD.PA_Annotation_Sheet!$81:$81,[8]EAD.PA_Annotation_Sheet!$99:$99,[8]EAD.PA_Annotation_Sheet!$113:$113,[8]EAD.PA_Annotation_Sheet!$115:$115,[8]EAD.PA_Annotation_Sheet!$297:$316</definedName>
    <definedName name="A_ALL_SECTIONS_ISSR_208002861">#REF!,#REF!,#REF!,#REF!,#REF!,#REF!,#REF!,#REF!,#REF!,#REF!</definedName>
    <definedName name="A_ALL_SECTIONS_ISSR_208007413">#REF!,#REF!,#REF!,#REF!,#REF!,#REF!,#REF!,#REF!,#REF!,#REF!</definedName>
    <definedName name="A_ALL_SECTIONS_ISSR_208007414" localSheetId="2">'[4]COB.L_Annotation_Sheet'!$5:$5,'[4]COB.L_Annotation_Sheet'!$8:$8,'[4]COB.L_Annotation_Sheet'!$28:$28,'[4]COB.L_Annotation_Sheet'!$38:$38,'[4]COB.L_Annotation_Sheet'!$67:$67,'[4]COB.L_Annotation_Sheet'!$81:$81,'[4]COB.L_Annotation_Sheet'!$99:$99,'[4]COB.L_Annotation_Sheet'!$113:$113,'[4]COB.L_Annotation_Sheet'!$115:$115</definedName>
    <definedName name="A_ALL_SECTIONS_ISSR_208007414">#REF!,#REF!,#REF!,#REF!,#REF!,#REF!,#REF!,#REF!,#REF!</definedName>
    <definedName name="A_ALL_SECTIONS_ISSR_208007415" localSheetId="2">[9]MGGT.L_Annotation_Sheet!$5:$5,[9]MGGT.L_Annotation_Sheet!$8:$8,[9]MGGT.L_Annotation_Sheet!$28:$28,[9]MGGT.L_Annotation_Sheet!$38:$38,[9]MGGT.L_Annotation_Sheet!$67:$67,[9]MGGT.L_Annotation_Sheet!$81:$81,[9]MGGT.L_Annotation_Sheet!$99:$99,[9]MGGT.L_Annotation_Sheet!$113:$113,[9]MGGT.L_Annotation_Sheet!$115:$115,[9]MGGT.L_Annotation_Sheet!$299:$320</definedName>
    <definedName name="A_ALL_SECTIONS_ISSR_208007415">#REF!,#REF!,#REF!,#REF!,#REF!,#REF!,#REF!,#REF!,#REF!,#REF!</definedName>
    <definedName name="A_ALL_SECTIONS_ISSR_208008646">#REF!,#REF!,#REF!,#REF!,#REF!,#REF!,#REF!,#REF!,#REF!,#REF!</definedName>
    <definedName name="A_ALL_ULE.L">#REF!</definedName>
    <definedName name="A_CURRENCY_EQTY_200007513_PRI" localSheetId="1">#REF!</definedName>
    <definedName name="A_CURRENCY_EQTY_200007513_PRI">#REF!</definedName>
    <definedName name="A_CURRENCY_EQTY_200007513_PUB" localSheetId="1">#REF!</definedName>
    <definedName name="A_CURRENCY_EQTY_200007513_PUB">#REF!</definedName>
    <definedName name="A_CURRENCY_EQTY_200007513_REP" localSheetId="1">#REF!</definedName>
    <definedName name="A_CURRENCY_EQTY_200007513_REP">#REF!</definedName>
    <definedName name="A_CURRENCY_ISSR_208002861_REP" localSheetId="1">#REF!</definedName>
    <definedName name="A_CURRENCY_ISSR_208002861_REP">#REF!</definedName>
    <definedName name="A_ENTITY_DATA_ISSR_208002861" localSheetId="1">#REF!</definedName>
    <definedName name="A_ENTITY_DATA_ISSR_208002861">#REF!</definedName>
    <definedName name="A_KEYWORD_EQTY_200007513_BETA_ANALYST" localSheetId="1">#REF!</definedName>
    <definedName name="A_KEYWORD_EQTY_200007513_BETA_ANALYST">#REF!</definedName>
    <definedName name="A_KEYWORD_EQTY_200007513_BVPS" localSheetId="1">#REF!</definedName>
    <definedName name="A_KEYWORD_EQTY_200007513_BVPS">#REF!</definedName>
    <definedName name="A_KEYWORD_EQTY_200007513_BVPS_PUB" localSheetId="1">#REF!</definedName>
    <definedName name="A_KEYWORD_EQTY_200007513_BVPS_PUB">#REF!</definedName>
    <definedName name="A_KEYWORD_EQTY_200007513_CF_NI_PRE_PREF">#REF!</definedName>
    <definedName name="A_KEYWORD_EQTY_200007513_COMMON_DIV_PAID">#REF!</definedName>
    <definedName name="A_KEYWORD_EQTY_200007513_CURRENCY_ISO">#REF!</definedName>
    <definedName name="A_KEYWORD_EQTY_200007513_DILUTE_SHARES">#REF!</definedName>
    <definedName name="A_KEYWORD_EQTY_200007513_DPS">#REF!</definedName>
    <definedName name="A_KEYWORD_EQTY_200007513_DPS_PUB">#REF!</definedName>
    <definedName name="A_KEYWORD_EQTY_200007513_EBIT_PUB">#REF!</definedName>
    <definedName name="A_KEYWORD_EQTY_200007513_EBITDA_PUB">#REF!</definedName>
    <definedName name="A_KEYWORD_EQTY_200007513_EPS">#REF!</definedName>
    <definedName name="A_KEYWORD_EQTY_200007513_EPS_FUL_DIL">#REF!</definedName>
    <definedName name="A_KEYWORD_EQTY_200007513_EPS_POST_BASIC">#REF!</definedName>
    <definedName name="A_KEYWORD_EQTY_200007513_EPS_PUB">#REF!</definedName>
    <definedName name="A_KEYWORD_EQTY_200007513_EQ_PUB">#REF!</definedName>
    <definedName name="A_KEYWORD_EQTY_200007513_EURO_CONVICTION">#REF!</definedName>
    <definedName name="A_KEYWORD_EQTY_200007513_EURO_LIST">#REF!</definedName>
    <definedName name="A_KEYWORD_EQTY_200007513_EV_ADJ_PUB">#REF!</definedName>
    <definedName name="A_KEYWORD_EQTY_200007513_FREE_FLOAT">#REF!</definedName>
    <definedName name="A_KEYWORD_EQTY_200007513_FULLY_DIL_EPS">#REF!</definedName>
    <definedName name="A_KEYWORD_EQTY_200007513_INC_MINORITY">#REF!</definedName>
    <definedName name="A_KEYWORD_EQTY_200007513_Interim_Type">#REF!</definedName>
    <definedName name="A_KEYWORD_EQTY_200007513_LEGAL_RATING">#REF!</definedName>
    <definedName name="A_KEYWORD_EQTY_200007513_MARGIN_TAX_RATE">#REF!</definedName>
    <definedName name="A_KEYWORD_EQTY_200007513_MKT_EQ_RISK_PREM">#REF!</definedName>
    <definedName name="A_KEYWORD_EQTY_200007513_NET_DEBT_PUB">#REF!</definedName>
    <definedName name="A_KEYWORD_EQTY_200007513_NET_EARNING">#REF!</definedName>
    <definedName name="A_KEYWORD_EQTY_200007513_NET_INC">#REF!</definedName>
    <definedName name="A_KEYWORD_EQTY_200007513_NI_PRE_PREF">#REF!</definedName>
    <definedName name="A_KEYWORD_EQTY_200007513_NI_PUB">#REF!</definedName>
    <definedName name="A_KEYWORD_EQTY_200007513_NON_OP_ADD">#REF!</definedName>
    <definedName name="A_KEYWORD_EQTY_200007513_NUM_SH">#REF!</definedName>
    <definedName name="A_KEYWORD_EQTY_200007513_ORG_EPS">#REF!</definedName>
    <definedName name="A_KEYWORD_EQTY_200007513_ORG_NI">#REF!</definedName>
    <definedName name="A_KEYWORD_EQTY_200007513_PREF_DIV">#REF!</definedName>
    <definedName name="A_KEYWORD_EQTY_200007513_PRICE_CURRENCY_ISO">#REF!</definedName>
    <definedName name="A_KEYWORD_EQTY_200007513_PROV_INC_TAX">#REF!</definedName>
    <definedName name="A_KEYWORD_EQTY_200007513_PTP_PUB">#REF!</definedName>
    <definedName name="A_KEYWORD_EQTY_200007513_PUB_CURRENCY_ISO">#REF!</definedName>
    <definedName name="A_KEYWORD_EQTY_200007513_REVS_PUB">#REF!</definedName>
    <definedName name="A_KEYWORD_EQTY_200007513_RISK_FR_RATE">#REF!</definedName>
    <definedName name="A_KEYWORD_EQTY_200007513_Security_Name">#REF!</definedName>
    <definedName name="A_KEYWORD_EQTY_200007513_SH">#REF!</definedName>
    <definedName name="A_KEYWORD_EQTY_200007513_TARGET_PRICE">#REF!</definedName>
    <definedName name="A_KEYWORD_EQTY_200007513_TAX_EXC">#REF!</definedName>
    <definedName name="A_KEYWORD_EQTY_200007513_Ticker">#REF!</definedName>
    <definedName name="A_KEYWORD_EQTY_200007513_TP_PERIOD">#REF!</definedName>
    <definedName name="A_KEYWORD_ISSR_208002861_ACC_AMORT" localSheetId="1">#REF!</definedName>
    <definedName name="A_KEYWORD_ISSR_208002861_ACC_AMORT">#REF!</definedName>
    <definedName name="A_KEYWORD_ISSR_208002861_ACC_DDA" localSheetId="1">#REF!</definedName>
    <definedName name="A_KEYWORD_ISSR_208002861_ACC_DDA">#REF!</definedName>
    <definedName name="A_KEYWORD_ISSR_208002861_ACC_END_DATE" localSheetId="1">#REF!</definedName>
    <definedName name="A_KEYWORD_ISSR_208002861_ACC_END_DATE">#REF!</definedName>
    <definedName name="A_KEYWORD_ISSR_208002861_ACC_PAY_GQ">#REF!</definedName>
    <definedName name="A_KEYWORD_ISSR_208002861_ACQ">#REF!</definedName>
    <definedName name="A_KEYWORD_ISSR_208002861_ADJ_UNF_PENS_GOOD">#REF!</definedName>
    <definedName name="A_KEYWORD_ISSR_208002861_ASSOC_JV_ADDBK">#REF!</definedName>
    <definedName name="A_KEYWORD_ISSR_208002861_ASSOCIATE">#REF!</definedName>
    <definedName name="A_KEYWORD_ISSR_208002861_ASSOCIATE_OP">#REF!</definedName>
    <definedName name="A_KEYWORD_ISSR_208002861_BAL_MINO_INT">#REF!</definedName>
    <definedName name="A_KEYWORD_ISSR_208002861_CAP_LEASES">#REF!</definedName>
    <definedName name="A_KEYWORD_ISSR_208002861_CAPEX">#REF!</definedName>
    <definedName name="A_KEYWORD_ISSR_208002861_CAPEX_EXPANSION">#REF!</definedName>
    <definedName name="A_KEYWORD_ISSR_208002861_CAPEX_MAINTENANCE">#REF!</definedName>
    <definedName name="A_KEYWORD_ISSR_208002861_CASH_EQ">#REF!</definedName>
    <definedName name="A_KEYWORD_ISSR_208002861_CASH_INT_EXP">#REF!</definedName>
    <definedName name="A_KEYWORD_ISSR_208002861_CASH_INT_INC_EXP">#REF!</definedName>
    <definedName name="A_KEYWORD_ISSR_208002861_CASH_TAX_EXP">#REF!</definedName>
    <definedName name="A_KEYWORD_ISSR_208002861_CASH_TAX_PD">#REF!</definedName>
    <definedName name="A_KEYWORD_ISSR_208002861_CF_FIN">#REF!</definedName>
    <definedName name="A_KEYWORD_ISSR_208002861_CF_INC_MINORITY">#REF!</definedName>
    <definedName name="A_KEYWORD_ISSR_208002861_CF_INV">#REF!</definedName>
    <definedName name="A_KEYWORD_ISSR_208002861_CF_OPS">#REF!</definedName>
    <definedName name="A_KEYWORD_ISSR_208002861_CHG_LT_DEBT">#REF!</definedName>
    <definedName name="A_KEYWORD_ISSR_208002861_CO_BOR_MARGIN">#REF!</definedName>
    <definedName name="A_KEYWORD_ISSR_208002861_COST_GD_SD">#REF!</definedName>
    <definedName name="A_KEYWORD_ISSR_208002861_CUR_ASS">#REF!</definedName>
    <definedName name="A_KEYWORD_ISSR_208002861_CURRENCY_ISO">#REF!</definedName>
    <definedName name="A_KEYWORD_ISSR_208002861_DEBTORS">#REF!</definedName>
    <definedName name="A_KEYWORD_ISSR_208002861_DEF_INC_TAX">#REF!</definedName>
    <definedName name="A_KEYWORD_ISSR_208002861_DEPR_AMORT">#REF!</definedName>
    <definedName name="A_KEYWORD_ISSR_208002861_DEPREC">#REF!</definedName>
    <definedName name="A_KEYWORD_ISSR_208002861_DIV_PAID">#REF!</definedName>
    <definedName name="A_KEYWORD_ISSR_208002861_DIVDS_ASSOC_JV">#REF!</definedName>
    <definedName name="A_KEYWORD_ISSR_208002861_DIVDS_PD_MINORITIES">#REF!</definedName>
    <definedName name="A_KEYWORD_ISSR_208002861_DIVEST">#REF!</definedName>
    <definedName name="A_KEYWORD_ISSR_208002861_EBIT">#REF!</definedName>
    <definedName name="A_KEYWORD_ISSR_208002861_EBITDA_CALC">#REF!</definedName>
    <definedName name="A_KEYWORD_ISSR_208002861_EMPLOYEES">#REF!</definedName>
    <definedName name="A_KEYWORD_ISSR_208002861_EQ">#REF!</definedName>
    <definedName name="A_KEYWORD_ISSR_208002861_EXP_ALUMINIUM">#REF!</definedName>
    <definedName name="A_KEYWORD_ISSR_208002861_EXP_COPPER">#REF!</definedName>
    <definedName name="A_KEYWORD_ISSR_208002861_EXP_GLASS">#REF!</definedName>
    <definedName name="A_KEYWORD_ISSR_208002861_EXP_GOLD">#REF!</definedName>
    <definedName name="A_KEYWORD_ISSR_208002861_EXP_NAT_GAS">#REF!</definedName>
    <definedName name="A_KEYWORD_ISSR_208002861_EXP_NICKEL">#REF!</definedName>
    <definedName name="A_KEYWORD_ISSR_208002861_EXP_OIL_DERIV_NGLS_PLASTICS">#REF!</definedName>
    <definedName name="A_KEYWORD_ISSR_208002861_EXP_OIL_PETRO_FUEL">#REF!</definedName>
    <definedName name="A_KEYWORD_ISSR_208002861_EXP_OTH_COMMODITY">#REF!</definedName>
    <definedName name="A_KEYWORD_ISSR_208002861_EXP_OTH_COST">#REF!</definedName>
    <definedName name="A_KEYWORD_ISSR_208002861_EXP_PALLADIUM">#REF!</definedName>
    <definedName name="A_KEYWORD_ISSR_208002861_EXP_PLATINUM">#REF!</definedName>
    <definedName name="A_KEYWORD_ISSR_208002861_EXP_RUBBER">#REF!</definedName>
    <definedName name="A_KEYWORD_ISSR_208002861_EXP_SILVER">#REF!</definedName>
    <definedName name="A_KEYWORD_ISSR_208002861_EXP_STEEL">#REF!</definedName>
    <definedName name="A_KEYWORD_ISSR_208002861_EXP_WATER">#REF!</definedName>
    <definedName name="A_KEYWORD_ISSR_208002861_EXP_ZINC">#REF!</definedName>
    <definedName name="A_KEYWORD_ISSR_208002861_FIX_ASS_INV">#REF!</definedName>
    <definedName name="A_KEYWORD_ISSR_208002861_GCI_INFL">#REF!</definedName>
    <definedName name="A_KEYWORD_ISSR_208002861_GOODWILL_AMORT">#REF!</definedName>
    <definedName name="A_KEYWORD_ISSR_208002861_GR_FIX_ASS">#REF!</definedName>
    <definedName name="A_KEYWORD_ISSR_208002861_GR_INTANG">#REF!</definedName>
    <definedName name="A_KEYWORD_ISSR_208002861_GW_AMORT">#REF!</definedName>
    <definedName name="A_KEYWORD_ISSR_208002861_IND_SALES_BRAZIL">#REF!</definedName>
    <definedName name="A_KEYWORD_ISSR_208002861_IND_SALES_CEE">#REF!</definedName>
    <definedName name="A_KEYWORD_ISSR_208002861_IND_SALES_CHINA">#REF!</definedName>
    <definedName name="A_KEYWORD_ISSR_208002861_IND_SALES_CONS">#REF!</definedName>
    <definedName name="A_KEYWORD_ISSR_208002861_IND_SALES_EU_EX_UK">#REF!</definedName>
    <definedName name="A_KEYWORD_ISSR_208002861_IND_SALES_FINAN">#REF!</definedName>
    <definedName name="A_KEYWORD_ISSR_208002861_IND_SALES_FRA">#REF!</definedName>
    <definedName name="A_KEYWORD_ISSR_208002861_IND_SALES_GER">#REF!</definedName>
    <definedName name="A_KEYWORD_ISSR_208002861_IND_SALES_GOV">#REF!</definedName>
    <definedName name="A_KEYWORD_ISSR_208002861_IND_SALES_IND">#REF!</definedName>
    <definedName name="A_KEYWORD_ISSR_208002861_IND_SALES_INDIA">#REF!</definedName>
    <definedName name="A_KEYWORD_ISSR_208002861_IND_SALES_ITA">#REF!</definedName>
    <definedName name="A_KEYWORD_ISSR_208002861_IND_SALES_JAPAN">#REF!</definedName>
    <definedName name="A_KEYWORD_ISSR_208002861_IND_SALES_ME">#REF!</definedName>
    <definedName name="A_KEYWORD_ISSR_208002861_IND_SALES_NIGERIA">#REF!</definedName>
    <definedName name="A_KEYWORD_ISSR_208002861_IND_SALES_OTH_AEJ">#REF!</definedName>
    <definedName name="A_KEYWORD_ISSR_208002861_IND_SALES_OTH_AFRICA">#REF!</definedName>
    <definedName name="A_KEYWORD_ISSR_208002861_IND_SALES_OTH_AM">#REF!</definedName>
    <definedName name="A_KEYWORD_ISSR_208002861_IND_SALES_OTH_EMEA">#REF!</definedName>
    <definedName name="A_KEYWORD_ISSR_208002861_IND_SALES_OTH_EU_EX_UK">#REF!</definedName>
    <definedName name="A_KEYWORD_ISSR_208002861_IND_SALES_OTHER">#REF!</definedName>
    <definedName name="A_KEYWORD_ISSR_208002861_IND_SALES_RUSSIA">#REF!</definedName>
    <definedName name="A_KEYWORD_ISSR_208002861_IND_SALES_SO_AFRICA">#REF!</definedName>
    <definedName name="A_KEYWORD_ISSR_208002861_IND_SALES_SPA">#REF!</definedName>
    <definedName name="A_KEYWORD_ISSR_208002861_IND_SALES_TOT_AFRICA">#REF!</definedName>
    <definedName name="A_KEYWORD_ISSR_208002861_IND_SALES_TOT_AM">#REF!</definedName>
    <definedName name="A_KEYWORD_ISSR_208002861_IND_SALES_TOT_ASIA">#REF!</definedName>
    <definedName name="A_KEYWORD_ISSR_208002861_IND_SALES_TOT_EMEA">#REF!</definedName>
    <definedName name="A_KEYWORD_ISSR_208002861_IND_SALES_UK">#REF!</definedName>
    <definedName name="A_KEYWORD_ISSR_208002861_IND_SALES_US">#REF!</definedName>
    <definedName name="A_KEYWORD_ISSR_208002861_INT_EXP_IND">#REF!</definedName>
    <definedName name="A_KEYWORD_ISSR_208002861_INT_INC_IND">#REF!</definedName>
    <definedName name="A_KEYWORD_ISSR_208002861_INV_SECUR">#REF!</definedName>
    <definedName name="A_KEYWORD_ISSR_208002861_Issuer_Name">#REF!</definedName>
    <definedName name="A_KEYWORD_ISSR_208002861_LEASE_DEEM_DEPR">#REF!</definedName>
    <definedName name="A_KEYWORD_ISSR_208002861_LEASE_DEEM_INT">#REF!</definedName>
    <definedName name="A_KEYWORD_ISSR_208002861_LEASE_PAY">#REF!</definedName>
    <definedName name="A_KEYWORD_ISSR_208002861_LT_DEBT">#REF!</definedName>
    <definedName name="A_KEYWORD_ISSR_208002861_MINORITIES">#REF!</definedName>
    <definedName name="A_KEYWORD_ISSR_208002861_MV_ASSOCIATES">#REF!</definedName>
    <definedName name="A_KEYWORD_ISSR_208002861_NET_DEBT">#REF!</definedName>
    <definedName name="A_KEYWORD_ISSR_208002861_NET_DEBT_ADJ">#REF!</definedName>
    <definedName name="A_KEYWORD_ISSR_208002861_NET_FIX_ASS">#REF!</definedName>
    <definedName name="A_KEYWORD_ISSR_208002861_NET_INT_CH">#REF!</definedName>
    <definedName name="A_KEYWORD_ISSR_208002861_NET_INT_EXP">#REF!</definedName>
    <definedName name="A_KEYWORD_ISSR_208002861_NET_INTANG">#REF!</definedName>
    <definedName name="A_KEYWORD_ISSR_208002861_NONPPE_CAPEX">#REF!</definedName>
    <definedName name="A_KEYWORD_ISSR_208002861_OP_COST">#REF!</definedName>
    <definedName name="A_KEYWORD_ISSR_208002861_ORD_SH_FUND">#REF!</definedName>
    <definedName name="A_KEYWORD_ISSR_208002861_ORG_REV">#REF!</definedName>
    <definedName name="A_KEYWORD_ISSR_208002861_ORG_REV_GRTH">#REF!</definedName>
    <definedName name="A_KEYWORD_ISSR_208002861_OTH_COST_INC">#REF!</definedName>
    <definedName name="A_KEYWORD_ISSR_208002861_OTH_CUR_ASS">#REF!</definedName>
    <definedName name="A_KEYWORD_ISSR_208002861_OTH_CUR_LIABS">#REF!</definedName>
    <definedName name="A_KEYWORD_ISSR_208002861_OTH_DACF_ADJ">#REF!</definedName>
    <definedName name="A_KEYWORD_ISSR_208002861_OTH_FIN_CF">#REF!</definedName>
    <definedName name="A_KEYWORD_ISSR_208002861_OTH_GCI_ADJ">#REF!</definedName>
    <definedName name="A_KEYWORD_ISSR_208002861_OTH_INT_AMORT">#REF!</definedName>
    <definedName name="A_KEYWORD_ISSR_208002861_OTH_INV_CF">#REF!</definedName>
    <definedName name="A_KEYWORD_ISSR_208002861_OTH_ITEM_NCF">#REF!</definedName>
    <definedName name="A_KEYWORD_ISSR_208002861_OTH_LT_ASS">#REF!</definedName>
    <definedName name="A_KEYWORD_ISSR_208002861_OTH_LT_CRED_GQ">#REF!</definedName>
    <definedName name="A_KEYWORD_ISSR_208002861_OTH_NONCASH_ADJ">#REF!</definedName>
    <definedName name="A_KEYWORD_ISSR_208002861_OTH_OP_CF">#REF!</definedName>
    <definedName name="A_KEYWORD_ISSR_208002861_OTH_OP_INC_EXP">#REF!</definedName>
    <definedName name="A_KEYWORD_ISSR_208002861_PERIOD_MILESTONE">#REF!</definedName>
    <definedName name="A_KEYWORD_ISSR_208002861_PL_SALE_ASSETS">#REF!</definedName>
    <definedName name="A_KEYWORD_ISSR_208002861_PREF_SH">#REF!</definedName>
    <definedName name="A_KEYWORD_ISSR_208002861_PROFIT_ON_DISP">#REF!</definedName>
    <definedName name="A_KEYWORD_ISSR_208002861_PT_PROF">#REF!</definedName>
    <definedName name="A_KEYWORD_ISSR_208002861_RD_EXP">#REF!</definedName>
    <definedName name="A_KEYWORD_ISSR_208002861_SALES">#REF!</definedName>
    <definedName name="A_KEYWORD_ISSR_208002861_SALES_BRAZIL">#REF!</definedName>
    <definedName name="A_KEYWORD_ISSR_208002861_SALES_CEE">#REF!</definedName>
    <definedName name="A_KEYWORD_ISSR_208002861_SALES_CHINA">#REF!</definedName>
    <definedName name="A_KEYWORD_ISSR_208002861_SALES_CONS">#REF!</definedName>
    <definedName name="A_KEYWORD_ISSR_208002861_SALES_EU_EX_UK">#REF!</definedName>
    <definedName name="A_KEYWORD_ISSR_208002861_SALES_FINAN">#REF!</definedName>
    <definedName name="A_KEYWORD_ISSR_208002861_SALES_FRA">#REF!</definedName>
    <definedName name="A_KEYWORD_ISSR_208002861_SALES_FX_AED">#REF!</definedName>
    <definedName name="A_KEYWORD_ISSR_208002861_SALES_FX_BRL">#REF!</definedName>
    <definedName name="A_KEYWORD_ISSR_208002861_SALES_FX_CHF">#REF!</definedName>
    <definedName name="A_KEYWORD_ISSR_208002861_SALES_FX_CNY">#REF!</definedName>
    <definedName name="A_KEYWORD_ISSR_208002861_SALES_FX_EUR">#REF!</definedName>
    <definedName name="A_KEYWORD_ISSR_208002861_SALES_FX_GPB">#REF!</definedName>
    <definedName name="A_KEYWORD_ISSR_208002861_SALES_FX_INR">#REF!</definedName>
    <definedName name="A_KEYWORD_ISSR_208002861_SALES_FX_NGN">#REF!</definedName>
    <definedName name="A_KEYWORD_ISSR_208002861_SALES_FX_OTH">#REF!</definedName>
    <definedName name="A_KEYWORD_ISSR_208002861_SALES_FX_RUB">#REF!</definedName>
    <definedName name="A_KEYWORD_ISSR_208002861_SALES_FX_TRY">#REF!</definedName>
    <definedName name="A_KEYWORD_ISSR_208002861_SALES_FX_USD">#REF!</definedName>
    <definedName name="A_KEYWORD_ISSR_208002861_SALES_FX_YEN">#REF!</definedName>
    <definedName name="A_KEYWORD_ISSR_208002861_SALES_FX_ZAR">#REF!</definedName>
    <definedName name="A_KEYWORD_ISSR_208002861_SALES_GER">#REF!</definedName>
    <definedName name="A_KEYWORD_ISSR_208002861_SALES_GOV">#REF!</definedName>
    <definedName name="A_KEYWORD_ISSR_208002861_SALES_IND">#REF!</definedName>
    <definedName name="A_KEYWORD_ISSR_208002861_SALES_INDIA">#REF!</definedName>
    <definedName name="A_KEYWORD_ISSR_208002861_SALES_ITA">#REF!</definedName>
    <definedName name="A_KEYWORD_ISSR_208002861_SALES_JAPAN">#REF!</definedName>
    <definedName name="A_KEYWORD_ISSR_208002861_SALES_ME">#REF!</definedName>
    <definedName name="A_KEYWORD_ISSR_208002861_SALES_NIGERIA">#REF!</definedName>
    <definedName name="A_KEYWORD_ISSR_208002861_SALES_OTH_AEJ">#REF!</definedName>
    <definedName name="A_KEYWORD_ISSR_208002861_SALES_OTH_AFRICA">#REF!</definedName>
    <definedName name="A_KEYWORD_ISSR_208002861_SALES_OTH_AM">#REF!</definedName>
    <definedName name="A_KEYWORD_ISSR_208002861_SALES_OTH_COMMODITY">#REF!</definedName>
    <definedName name="A_KEYWORD_ISSR_208002861_SALES_OTH_EMEA">#REF!</definedName>
    <definedName name="A_KEYWORD_ISSR_208002861_SALES_OTH_EU_EX_UK">#REF!</definedName>
    <definedName name="A_KEYWORD_ISSR_208002861_SALES_OTH_SALES_SOURCES">#REF!</definedName>
    <definedName name="A_KEYWORD_ISSR_208002861_SALES_OTHER">#REF!</definedName>
    <definedName name="A_KEYWORD_ISSR_208002861_SALES_RUSSIA">#REF!</definedName>
    <definedName name="A_KEYWORD_ISSR_208002861_SALES_SO_AFRICA">#REF!</definedName>
    <definedName name="A_KEYWORD_ISSR_208002861_SALES_SPA">#REF!</definedName>
    <definedName name="A_KEYWORD_ISSR_208002861_SALES_TOT_AFRICA">#REF!</definedName>
    <definedName name="A_KEYWORD_ISSR_208002861_SALES_TOT_AM">#REF!</definedName>
    <definedName name="A_KEYWORD_ISSR_208002861_SALES_TOT_ASIA">#REF!</definedName>
    <definedName name="A_KEYWORD_ISSR_208002861_SALES_TOT_EMEA">#REF!</definedName>
    <definedName name="A_KEYWORD_ISSR_208002861_SALES_UK">#REF!</definedName>
    <definedName name="A_KEYWORD_ISSR_208002861_SALES_US">#REF!</definedName>
    <definedName name="A_KEYWORD_ISSR_208002861_SEL_GL_AD">#REF!</definedName>
    <definedName name="A_KEYWORD_ISSR_208002861_SH_REPUR">#REF!</definedName>
    <definedName name="A_KEYWORD_ISSR_208002861_SHORT_T_DEBT">#REF!</definedName>
    <definedName name="A_KEYWORD_ISSR_208002861_SHORT_TERM_LIABS">#REF!</definedName>
    <definedName name="A_KEYWORD_ISSR_208002861_STOCKS">#REF!</definedName>
    <definedName name="A_KEYWORD_ISSR_208002861_TOT_ASSET">#REF!</definedName>
    <definedName name="A_KEYWORD_ISSR_208002861_TOT_CF">#REF!</definedName>
    <definedName name="A_KEYWORD_ISSR_208002861_TOT_LIAB">#REF!</definedName>
    <definedName name="A_KEYWORD_ISSR_208002861_TOT_LIAB_EQ">#REF!</definedName>
    <definedName name="A_KEYWORD_ISSR_208002861_TOT_LT_LIAB">#REF!</definedName>
    <definedName name="A_KEYWORD_ISSR_208002861_TOT_OPS_EXP">#REF!</definedName>
    <definedName name="A_KEYWORD_ISSR_208002861_TOT_OPS_EXP_DDA">#REF!</definedName>
    <definedName name="A_KEYWORD_ISSR_208002861_UNF_PENS">#REF!</definedName>
    <definedName name="A_KEYWORD_ISSR_208002861_UNF_PENS_LIAB_OTH">#REF!</definedName>
    <definedName name="A_KEYWORD_ISSR_208002861_UNF_PENS_OFF">#REF!</definedName>
    <definedName name="A_KEYWORD_ISSR_208002861_WORK_CAP">#REF!</definedName>
    <definedName name="A_LIVEDATA_EQTY_200007513" localSheetId="1">#REF!</definedName>
    <definedName name="A_LIVEDATA_EQTY_200007513">#REF!</definedName>
    <definedName name="A_LIVEDATA_ISSR_208002861" localSheetId="1">#REF!</definedName>
    <definedName name="A_LIVEDATA_ISSR_208002861">#REF!</definedName>
    <definedName name="A_PERIOD_2006_Q1" localSheetId="1">#REF!</definedName>
    <definedName name="A_PERIOD_2006_Q1">#REF!</definedName>
    <definedName name="A_PERIOD_2006_Q2" localSheetId="1">#REF!</definedName>
    <definedName name="A_PERIOD_2006_Q2">#REF!</definedName>
    <definedName name="A_PERIOD_2006_Q3" localSheetId="1">#REF!</definedName>
    <definedName name="A_PERIOD_2006_Q3">#REF!</definedName>
    <definedName name="A_PERIOD_2006_Q4" localSheetId="1">#REF!</definedName>
    <definedName name="A_PERIOD_2006_Q4">#REF!</definedName>
    <definedName name="A_PERIOD_2007_Q1" localSheetId="1">#REF!</definedName>
    <definedName name="A_PERIOD_2007_Q1">#REF!</definedName>
    <definedName name="A_PERIOD_2007_Q2" localSheetId="1">#REF!</definedName>
    <definedName name="A_PERIOD_2007_Q2">#REF!</definedName>
    <definedName name="A_PERIOD_2007_Q3" localSheetId="1">#REF!</definedName>
    <definedName name="A_PERIOD_2007_Q3">#REF!</definedName>
    <definedName name="A_PERIOD_2007_Q4" localSheetId="1">#REF!</definedName>
    <definedName name="A_PERIOD_2007_Q4">#REF!</definedName>
    <definedName name="A_PERIOD_2008_Q1" localSheetId="1">#REF!</definedName>
    <definedName name="A_PERIOD_2008_Q1">#REF!</definedName>
    <definedName name="A_PERIOD_2008_Q2" localSheetId="1">#REF!</definedName>
    <definedName name="A_PERIOD_2008_Q2">#REF!</definedName>
    <definedName name="A_PERIOD_2008_Q3" localSheetId="1">#REF!</definedName>
    <definedName name="A_PERIOD_2008_Q3">#REF!</definedName>
    <definedName name="A_PERIOD_2008_Q4" localSheetId="1">#REF!</definedName>
    <definedName name="A_PERIOD_2008_Q4">#REF!</definedName>
    <definedName name="A_PERIOD_2009_Q1" localSheetId="1">#REF!</definedName>
    <definedName name="A_PERIOD_2009_Q1">#REF!</definedName>
    <definedName name="A_PERIOD_2009_Q2" localSheetId="1">#REF!</definedName>
    <definedName name="A_PERIOD_2009_Q2">#REF!</definedName>
    <definedName name="A_PERIOD_2009_Q3" localSheetId="1">#REF!</definedName>
    <definedName name="A_PERIOD_2009_Q3">#REF!</definedName>
    <definedName name="A_PERIOD_2009_Q4" localSheetId="1">#REF!</definedName>
    <definedName name="A_PERIOD_2009_Q4">#REF!</definedName>
    <definedName name="A_PERIOD_2010_Q1" localSheetId="1">#REF!</definedName>
    <definedName name="A_PERIOD_2010_Q1">#REF!</definedName>
    <definedName name="A_PERIOD_2010_Q2" localSheetId="1">#REF!</definedName>
    <definedName name="A_PERIOD_2010_Q2">#REF!</definedName>
    <definedName name="A_PERIOD_2010_Q3" localSheetId="1">#REF!</definedName>
    <definedName name="A_PERIOD_2010_Q3">#REF!</definedName>
    <definedName name="A_PERIOD_2010_Q4" localSheetId="1">#REF!</definedName>
    <definedName name="A_PERIOD_2010_Q4">#REF!</definedName>
    <definedName name="A_PERIOD_2011_Q1" localSheetId="1">#REF!</definedName>
    <definedName name="A_PERIOD_2011_Q1">#REF!</definedName>
    <definedName name="A_PERIOD_2011_Q2" localSheetId="1">#REF!</definedName>
    <definedName name="A_PERIOD_2011_Q2">#REF!</definedName>
    <definedName name="A_PERIOD_2011_Q3" localSheetId="1">#REF!</definedName>
    <definedName name="A_PERIOD_2011_Q3">#REF!</definedName>
    <definedName name="A_PERIOD_2011_Q4" localSheetId="1">#REF!</definedName>
    <definedName name="A_PERIOD_2011_Q4">#REF!</definedName>
    <definedName name="A_PERIOD_2012_Q1" localSheetId="1">#REF!</definedName>
    <definedName name="A_PERIOD_2012_Q1">#REF!</definedName>
    <definedName name="A_PERIOD_2012_Q2" localSheetId="1">#REF!</definedName>
    <definedName name="A_PERIOD_2012_Q2">#REF!</definedName>
    <definedName name="A_PERIOD_2012_Q3" localSheetId="1">#REF!</definedName>
    <definedName name="A_PERIOD_2012_Q3">#REF!</definedName>
    <definedName name="A_PERIOD_2012_Q4" localSheetId="1">#REF!</definedName>
    <definedName name="A_PERIOD_2012_Q4">#REF!</definedName>
    <definedName name="A_PERIOD_2020_H1" localSheetId="1">#REF!</definedName>
    <definedName name="A_PERIOD_2020_H1">#REF!</definedName>
    <definedName name="A_PERIOD_2020_H2">#REF!</definedName>
    <definedName name="A_PERIOD_2021_Q1" localSheetId="1">#REF!</definedName>
    <definedName name="A_PERIOD_2021_Q1">#REF!</definedName>
    <definedName name="A_PERIOD_2021_Q2" localSheetId="1">#REF!</definedName>
    <definedName name="A_PERIOD_2021_Q2">#REF!</definedName>
    <definedName name="A_PERIOD_2021_Q3" localSheetId="1">#REF!</definedName>
    <definedName name="A_PERIOD_2021_Q3">#REF!</definedName>
    <definedName name="A_PERIOD_2021_Q4" localSheetId="1">#REF!</definedName>
    <definedName name="A_PERIOD_2021_Q4">#REF!</definedName>
    <definedName name="A_SECTION_EQTY_200007513_1314" localSheetId="1">#REF!</definedName>
    <definedName name="A_SECTION_EQTY_200007513_1314">#REF!</definedName>
    <definedName name="A_SECTION_EQTY_200007513_131E" localSheetId="1">#REF!</definedName>
    <definedName name="A_SECTION_EQTY_200007513_131E">#REF!</definedName>
    <definedName name="A_SECTION_EQTY_200007513_131O" localSheetId="1">#REF!</definedName>
    <definedName name="A_SECTION_EQTY_200007513_131O">#REF!</definedName>
    <definedName name="A_SECTION_EQTY_200007513_13A">#REF!</definedName>
    <definedName name="A_SECTION_EQTY_200007513_13K">#REF!</definedName>
    <definedName name="A_SECTION_EQTY_200007513_13U">#REF!</definedName>
    <definedName name="A_SECTION_EQTY_200007513_13V">#REF!</definedName>
    <definedName name="A_SECTION_EQTY_200007513_Reference_Data">#REF!</definedName>
    <definedName name="A_SECTION_ISSR_208002861_1314" localSheetId="1">#REF!</definedName>
    <definedName name="A_SECTION_ISSR_208002861_1314">#REF!</definedName>
    <definedName name="A_SECTION_ISSR_208002861_13168" localSheetId="1">#REF!</definedName>
    <definedName name="A_SECTION_ISSR_208002861_13168">#REF!</definedName>
    <definedName name="A_SECTION_ISSR_208002861_1316S" localSheetId="1">#REF!</definedName>
    <definedName name="A_SECTION_ISSR_208002861_1316S">#REF!</definedName>
    <definedName name="A_SECTION_ISSR_208002861_1316T">#REF!</definedName>
    <definedName name="A_SECTION_ISSR_208002861_1316U">#REF!</definedName>
    <definedName name="A_SECTION_ISSR_208002861_1319">#REF!</definedName>
    <definedName name="A_SECTION_ISSR_208002861_131E">#REF!</definedName>
    <definedName name="A_SECTION_ISSR_208002861_131J">#REF!</definedName>
    <definedName name="A_SECTION_ISSR_208002861_131O">#REF!</definedName>
    <definedName name="A_SECTION_ISSR_208002861_13U">#REF!</definedName>
    <definedName name="A_SECTION_ISSR_208002861_13V">#REF!</definedName>
    <definedName name="A_SECTION_ISSR_208002861_Reference_Data">#REF!</definedName>
    <definedName name="aa"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_DOCTOPS" hidden="1">"AAA_SET"</definedName>
    <definedName name="AAA_duser" hidden="1">"OFF"</definedName>
    <definedName name="aaaaaaaaaaaaaaaaaaaaaaaaa" localSheetId="1" hidden="1">{"Front Page",#N/A,FALSE,"Front and Back"}</definedName>
    <definedName name="aaaaaaaaaaaaaaaaaaaaaaaaa" localSheetId="2" hidden="1">{"Front Page",#N/A,FALSE,"Front and Back"}</definedName>
    <definedName name="aaaaaaaaaaaaaaaaaaaaaaaaa" hidden="1">{"Front Page",#N/A,FALSE,"Front and Back"}</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ppppppppppppppp" localSheetId="1" hidden="1">{"EUUTIGRP","COMPANIES",TRUE}</definedName>
    <definedName name="aappppppppppppppp" localSheetId="2" hidden="1">{"EUUTIGRP","COMPANIES",TRUE}</definedName>
    <definedName name="aappppppppppppppp" hidden="1">{"EUUTIGRP","COMPANIES",TRUE}</definedName>
    <definedName name="Ab"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sPerf12m">[12]Data!$X$2</definedName>
    <definedName name="AbsPerf1m">[12]Data!$Z$2</definedName>
    <definedName name="AbsPerf3m">[12]Data!$Y$2</definedName>
    <definedName name="aclskn" localSheetId="1" hidden="1">{#N/A,#N/A,FALSE,"FY97";#N/A,#N/A,FALSE,"FY98";#N/A,#N/A,FALSE,"FY99";#N/A,#N/A,FALSE,"FY00";#N/A,#N/A,FALSE,"FY01"}</definedName>
    <definedName name="aclskn" localSheetId="2" hidden="1">{#N/A,#N/A,FALSE,"FY97";#N/A,#N/A,FALSE,"FY98";#N/A,#N/A,FALSE,"FY99";#N/A,#N/A,FALSE,"FY00";#N/A,#N/A,FALSE,"FY01"}</definedName>
    <definedName name="aclskn" hidden="1">{#N/A,#N/A,FALSE,"FY97";#N/A,#N/A,FALSE,"FY98";#N/A,#N/A,FALSE,"FY99";#N/A,#N/A,FALSE,"FY00";#N/A,#N/A,FALSE,"FY01"}</definedName>
    <definedName name="AcqCostPerNewAccount">[12]Data!$IJ$11:$IJ$23</definedName>
    <definedName name="AcquiredDebt">[12]Data!$FV$11:$FV$23</definedName>
    <definedName name="Acquisitions">[12]Data!$CL$11:$CL$23</definedName>
    <definedName name="ActivatedRD">[12]Data!$IP$11:$IP$23</definedName>
    <definedName name="ActivatedRD_CF">[12]Data!$IO$11:$IO$23</definedName>
    <definedName name="ActivatedRDAmortisation">[12]Data!$IN$11:$IN$23</definedName>
    <definedName name="AdjChangeInWorkingCapital">[12]Data!$CD$11:$CD$23</definedName>
    <definedName name="AdjDividendBlended">[12]Data!$GN$11:$GN$23</definedName>
    <definedName name="AdjDividendFrontpage">[12]Data!$GL$11:$GL$23</definedName>
    <definedName name="AdjDividendPrefs">[12]Data!$HD$13:$HD$25</definedName>
    <definedName name="AdjEps">[12]Data!$BP$11:$BP$23</definedName>
    <definedName name="AdjEPSExGoodwill">[12]Data!$IQ$11:$IQ$23</definedName>
    <definedName name="AdjFullydilShareAvg">[12]Data!$GR$11:$GR$23</definedName>
    <definedName name="AdjFullydilShareYe">[12]Data!$GQ$11:$GQ$23</definedName>
    <definedName name="AdjOutstandingConvertibleNomAvg">[12]Data!$HH$13:$HH$25</definedName>
    <definedName name="AdjOutstandingConvertibleNomYe">[12]Data!$HG$13:$HG$25</definedName>
    <definedName name="AdjOutstandingPrefShareAvg">[12]Data!$GY$13:$GY$25</definedName>
    <definedName name="AdjOutstandingPrefSharesYe">[12]Data!$GX$13:$GX$25</definedName>
    <definedName name="AdjOutstandingShareNomAvg">[12]Data!$GJ$11:$GJ$23</definedName>
    <definedName name="AdjOutstandingShareNomYe">[12]Data!$GI$11:$GI$23</definedName>
    <definedName name="AdjRoE">[12]Data!$BC$11:$BC$23</definedName>
    <definedName name="AdjustedAfterTaxProfit">[12]Data!$AY$11:$AY$23</definedName>
    <definedName name="AfterTaxProfit">[12]Data!$AO$11:$AO$23</definedName>
    <definedName name="AllTimeHigh">[12]Data!$T$2</definedName>
    <definedName name="AnalystCountry">[12]Data!$CD$2</definedName>
    <definedName name="AnalystEmail">[12]Data!$BJ$2</definedName>
    <definedName name="AnalystName">[12]Data!$BH$2</definedName>
    <definedName name="AnalystPhone">[12]Data!$BI$2</definedName>
    <definedName name="AnalystTitle">[12]Data!$A$3</definedName>
    <definedName name="AnalystUserName">[12]Data!$E$11:$E$23</definedName>
    <definedName name="as" localSheetId="1" hidden="1">{#N/A,#N/A,FALSE,"Annual Earnings Model";#N/A,#N/A,FALSE,"Quarterly Earnings Model";#N/A,#N/A,FALSE,"Header";#N/A,#N/A,FALSE,"Notes"}</definedName>
    <definedName name="as" localSheetId="2" hidden="1">{#N/A,#N/A,FALSE,"Annual Earnings Model";#N/A,#N/A,FALSE,"Quarterly Earnings Model";#N/A,#N/A,FALSE,"Header";#N/A,#N/A,FALSE,"Notes"}</definedName>
    <definedName name="as" hidden="1">{#N/A,#N/A,FALSE,"Annual Earnings Model";#N/A,#N/A,FALSE,"Quarterly Earnings Model";#N/A,#N/A,FALSE,"Header";#N/A,#N/A,FALSE,"Notes"}</definedName>
    <definedName name="asas" localSheetId="1" hidden="1">{#N/A,#N/A,FALSE,"Annual Earnings Model";#N/A,#N/A,FALSE,"Quarterly Earnings Model";#N/A,#N/A,FALSE,"Header";#N/A,#N/A,FALSE,"Notes"}</definedName>
    <definedName name="asas" localSheetId="2" hidden="1">{#N/A,#N/A,FALSE,"Annual Earnings Model";#N/A,#N/A,FALSE,"Quarterly Earnings Model";#N/A,#N/A,FALSE,"Header";#N/A,#N/A,FALSE,"Notes"}</definedName>
    <definedName name="asas" hidden="1">{#N/A,#N/A,FALSE,"Annual Earnings Model";#N/A,#N/A,FALSE,"Quarterly Earnings Model";#N/A,#N/A,FALSE,"Header";#N/A,#N/A,FALSE,"Notes"}</definedName>
    <definedName name="AssetDisposals">[12]Data!$CJ$11:$CJ$23</definedName>
    <definedName name="AssetsEmployed">[12]Data!$GA$11:$GA$23</definedName>
    <definedName name="AssocCompaniesRAT">[12]Data!$AR$11:$AR$23</definedName>
    <definedName name="AssociatedCompanies">[12]Data!$Y$11:$Y$23</definedName>
    <definedName name="Avantderniercours">#REF!</definedName>
    <definedName name="b" localSheetId="1" hidden="1">{"page 1",#N/A,FALSE,"A";"page 2",#N/A,FALSE,"A";"page 3",#N/A,FALSE,"A";"page 4",#N/A,FALSE,"A";"page 5",#N/A,FALSE,"A";"page 6",#N/A,FALSE,"A";"page 7",#N/A,FALSE,"A";"page 8",#N/A,FALSE,"A";"page 9",#N/A,FALSE,"A";"page 10",#N/A,FALSE,"A";"page 11",#N/A,FALSE,"A";"page 12",#N/A,FALSE,"A";"page 13",#N/A,FALSE,"A";"page 14",#N/A,FALSE,"A"}</definedName>
    <definedName name="b" localSheetId="2" hidden="1">{"page 1",#N/A,FALSE,"A";"page 2",#N/A,FALSE,"A";"page 3",#N/A,FALSE,"A";"page 4",#N/A,FALSE,"A";"page 5",#N/A,FALSE,"A";"page 6",#N/A,FALSE,"A";"page 7",#N/A,FALSE,"A";"page 8",#N/A,FALSE,"A";"page 9",#N/A,FALSE,"A";"page 10",#N/A,FALSE,"A";"page 11",#N/A,FALSE,"A";"page 12",#N/A,FALSE,"A";"page 13",#N/A,FALSE,"A";"page 14",#N/A,FALSE,"A"}</definedName>
    <definedName name="b" hidden="1">{"page 1",#N/A,FALSE,"A";"page 2",#N/A,FALSE,"A";"page 3",#N/A,FALSE,"A";"page 4",#N/A,FALSE,"A";"page 5",#N/A,FALSE,"A";"page 6",#N/A,FALSE,"A";"page 7",#N/A,FALSE,"A";"page 8",#N/A,FALSE,"A";"page 9",#N/A,FALSE,"A";"page 10",#N/A,FALSE,"A";"page 11",#N/A,FALSE,"A";"page 12",#N/A,FALSE,"A";"page 13",#N/A,FALSE,"A";"page 14",#N/A,FALSE,"A"}</definedName>
    <definedName name="bas">#REF!</definedName>
    <definedName name="BLPH1" localSheetId="1" hidden="1">#REF!</definedName>
    <definedName name="BLPH1" localSheetId="2" hidden="1">[13]Sheet1!#REF!</definedName>
    <definedName name="BLPH1" hidden="1">#REF!</definedName>
    <definedName name="BLPH2" localSheetId="1" hidden="1">#REF!</definedName>
    <definedName name="BLPH2" localSheetId="2" hidden="1">[13]Sheet1!#REF!</definedName>
    <definedName name="BLPH2" hidden="1">#REF!</definedName>
    <definedName name="bn" localSheetId="1" hidden="1">{"EUUTIGRP","COMPANIES",TRUE}</definedName>
    <definedName name="bn" localSheetId="2" hidden="1">{"EUUTIGRP","COMPANIES",TRUE}</definedName>
    <definedName name="bn" hidden="1">{"EUUTIGRP","COMPANIES",TRUE}</definedName>
    <definedName name="BookCurrencyShort">[12]Data!$E$2</definedName>
    <definedName name="BookValuePerShare">[12]Data!$FD$11:$FD$23</definedName>
    <definedName name="CapitalEmployed">[12]Data!$GB$11:$GB$23</definedName>
    <definedName name="CapitalExpenditureDepreciationRatio">[12]Data!$DF$11:$DF$23</definedName>
    <definedName name="CapitalExpenditureExpansion">[12]Data!$CI$11:$CI$23</definedName>
    <definedName name="CapitalExpenditureMaintenance">[12]Data!$CH$11:$CH$23</definedName>
    <definedName name="CapitalExpenditureSalesRatio">[12]Data!$DE$11:$DE$23</definedName>
    <definedName name="CapitalExpenditureSalesRatioChart">[12]Data!$DE$13:$DE$23</definedName>
    <definedName name="CashDebtCover">[12]Data!$DG$11:$DG$23</definedName>
    <definedName name="CashEarningPerShare">[12]Data!$CX$11:$CX$23</definedName>
    <definedName name="CashEarnings">[12]Data!$CW$11:$CW$23</definedName>
    <definedName name="CashFlowBeforeChangeWorkingCapital">[12]Data!$CB$11:$CB$23</definedName>
    <definedName name="CashInterestCover">[12]Data!$DH$11:$DH$23</definedName>
    <definedName name="CashLiquidAssets">[12]Data!$DI$11:$DI$23</definedName>
    <definedName name="CashMinorities">[12]Data!$BY$11:$BY$23</definedName>
    <definedName name="CEM_Today">[12]Data!$HI$11:$HI$23</definedName>
    <definedName name="CEM_Ye">[12]Data!$HJ$11:$HJ$23</definedName>
    <definedName name="CEO">[12]Data!$AO$2</definedName>
    <definedName name="CFO">[12]Data!$AP$2</definedName>
    <definedName name="CFormats" localSheetId="2">[14]DDETABLE!$AO$2:$AO$14</definedName>
    <definedName name="CFormats">#REF!</definedName>
    <definedName name="ChangeGroupCreditors">[12]Data!$FO$11:$FO$23</definedName>
    <definedName name="ChangeGroupDebtors">[12]Data!$FM$11:$FM$23</definedName>
    <definedName name="ChangeGroupFixedTangibleAssets">[12]Data!$FT$11:$FT$23</definedName>
    <definedName name="ChangeGroupIntangibles">[12]Data!$FS$11:$FS$23</definedName>
    <definedName name="ChangeGroupInterestBearingFixedAssets">[12]Data!$FQ$11:$FQ$23</definedName>
    <definedName name="ChangeGroupInventories">[12]Data!$FN$11:$FN$23</definedName>
    <definedName name="ChangeGroupOtherFinancialAssets">[12]Data!$FR$11:$FR$23</definedName>
    <definedName name="ChangeGroupOtherFixedAssets">[12]Data!$FU$11:$FU$23</definedName>
    <definedName name="ChangeGroupOtherTradeFinancing">[12]Data!$FP$11:$FP$23</definedName>
    <definedName name="ChangeGroupTotal">[12]Data!$FW$11:$FW$23</definedName>
    <definedName name="ChangeInWorkingCapital">[12]Data!$CC$11:$CC$23</definedName>
    <definedName name="ChangeNetDebt">[12]Data!$CS$11:$CS$23</definedName>
    <definedName name="ChangeProvisions">[12]Data!$CT$11:$CT$23</definedName>
    <definedName name="ClientAccounts">[12]Data!$HW$11:$HW$23</definedName>
    <definedName name="ClientAccountsAvg">[12]Data!$HX$11:$HX$23</definedName>
    <definedName name="COB">[12]Data!$AN$2</definedName>
    <definedName name="codeDestination" localSheetId="2">[14]DDETABLE!$K$9</definedName>
    <definedName name="codeDestination">#REF!</definedName>
    <definedName name="CODELK_Path" localSheetId="2">[14]DDETABLE!$AD$4</definedName>
    <definedName name="CODELK_Path">#REF!</definedName>
    <definedName name="ColumnHeading" localSheetId="2">[14]DDETABLE!$B$12</definedName>
    <definedName name="ColumnHeading">#REF!</definedName>
    <definedName name="CommissionIncomeRevenues">[12]Data!$IA$11:$IA$23</definedName>
    <definedName name="CompanyFileName">[12]Data!$C$2</definedName>
    <definedName name="CompanyGroupFactor">[12]Data!$BN$2</definedName>
    <definedName name="CompanyHide">[12]Data!$BO$2</definedName>
    <definedName name="CompanyId">[12]Data!$A$11:$A$23</definedName>
    <definedName name="CompanyName">[12]Data!$B$2</definedName>
    <definedName name="CompYield">#REF!</definedName>
    <definedName name="ConvertibleDebt">[12]Data!$EB$11:$EB$23</definedName>
    <definedName name="CostIncomeRatioExMarketing">[12]Data!$II$11:$II$23</definedName>
    <definedName name="CostProductSold">[12]Data!$P$11:$P$23</definedName>
    <definedName name="CountryName">[12]Data!$G$2</definedName>
    <definedName name="CountryShort">[12]Data!$F$2</definedName>
    <definedName name="Creditors">[12]Data!$DU$11:$DU$23</definedName>
    <definedName name="CreditorsSalesRatio">[12]Data!$ES$11:$ES$23</definedName>
    <definedName name="CTopics" localSheetId="2">[14]DDETABLE!$AM$2:$AM$4</definedName>
    <definedName name="CTopics">#REF!</definedName>
    <definedName name="cu107.DPSSymbol" hidden="1">"€"</definedName>
    <definedName name="cu107.EPSSymbol" hidden="1">"€"</definedName>
    <definedName name="cu71.ScalingFactor" hidden="1">1000000</definedName>
    <definedName name="Currency">[12]Data!$F$5</definedName>
    <definedName name="CurrencyRateEUR">[12]Data!$H$5</definedName>
    <definedName name="CurrencyRateUSD">[12]Data!$G$5</definedName>
    <definedName name="CurrentAssets">[12]Data!$DM$11:$DM$23</definedName>
    <definedName name="CurrentLiabilities">[12]Data!$DY$11:$DY$23</definedName>
    <definedName name="CurrentRatio">[12]Data!$FC$11:$FC$23</definedName>
    <definedName name="CurrentRecommendation">[12]Data!$K$2</definedName>
    <definedName name="CurrentRecommendationDate">[12]Data!$M$2</definedName>
    <definedName name="d" localSheetId="1" hidden="1">{"CSC_1",#N/A,FALSE,"CSC Outputs";"CSC_2",#N/A,FALSE,"CSC Outputs"}</definedName>
    <definedName name="d" localSheetId="2" hidden="1">{"CSC_1",#N/A,FALSE,"CSC Outputs";"CSC_2",#N/A,FALSE,"CSC Outputs"}</definedName>
    <definedName name="d" hidden="1">{"CSC_1",#N/A,FALSE,"CSC Outputs";"CSC_2",#N/A,FALSE,"CSC Outputs"}</definedName>
    <definedName name="Datederniercours">#REF!</definedName>
    <definedName name="DateFiveYear">'[12]5year'!$A$2:$A$249</definedName>
    <definedName name="DateFiveYearPeer1">'[12]5year'!$A$2:$A$249</definedName>
    <definedName name="DateYear">#REF!</definedName>
    <definedName name="DateYearPeer1">#REF!</definedName>
    <definedName name="DateYearPeer2">#REF!</definedName>
    <definedName name="ddddddddddddddddddd" localSheetId="1" hidden="1">{"P and L Detail Page 1",#N/A,FALSE,"Data";"P and L Detail Page 2",#N/A,FALSE,"Data"}</definedName>
    <definedName name="ddddddddddddddddddd" localSheetId="2" hidden="1">{"P and L Detail Page 1",#N/A,FALSE,"Data";"P and L Detail Page 2",#N/A,FALSE,"Data"}</definedName>
    <definedName name="ddddddddddddddddddd" hidden="1">{"P and L Detail Page 1",#N/A,FALSE,"Data";"P and L Detail Page 2",#N/A,FALSE,"Data"}</definedName>
    <definedName name="DebtEquityRatio">[12]Data!$EY$11:$EY$23</definedName>
    <definedName name="Debtors">[12]Data!$DJ$11:$DJ$23</definedName>
    <definedName name="DebtorsSalesDays">[12]Data!$EQ$11:$EQ$23</definedName>
    <definedName name="defaultmargin">50</definedName>
    <definedName name="defaultmonth">6</definedName>
    <definedName name="defaultrate">4.75</definedName>
    <definedName name="DeferredTax">[12]Data!$EE$11:$EE$23</definedName>
    <definedName name="Depreciation">[12]Data!$U$11:$U$23</definedName>
    <definedName name="Derniercours">#REF!</definedName>
    <definedName name="Derniervolume">#REF!</definedName>
    <definedName name="Description">[12]Data!$A$50</definedName>
    <definedName name="DetailColumns" localSheetId="2">[14]DDETABLE!$O$1:$T$65536</definedName>
    <definedName name="DetailColumns">#REF!</definedName>
    <definedName name="dfgd" localSheetId="1" hidden="1">{"subs",#N/A,FALSE,"database ";"proportional",#N/A,FALSE,"database "}</definedName>
    <definedName name="dfgd" localSheetId="2" hidden="1">{"subs",#N/A,FALSE,"database ";"proportional",#N/A,FALSE,"database "}</definedName>
    <definedName name="dfgd" hidden="1">{"subs",#N/A,FALSE,"database ";"proportional",#N/A,FALSE,"database "}</definedName>
    <definedName name="DividendAssocCompanies">[12]Data!$BX$11:$BX$23</definedName>
    <definedName name="DividendPaid">[12]Data!$CP$11:$CP$23</definedName>
    <definedName name="down" localSheetId="1" hidden="1">{#N/A,#N/A,FALSE,"Umsatz";#N/A,#N/A,FALSE,"Base V.02";#N/A,#N/A,FALSE,"Charts"}</definedName>
    <definedName name="down" localSheetId="2" hidden="1">{#N/A,#N/A,FALSE,"Umsatz";#N/A,#N/A,FALSE,"Base V.02";#N/A,#N/A,FALSE,"Charts"}</definedName>
    <definedName name="down" hidden="1">{#N/A,#N/A,FALSE,"Umsatz";#N/A,#N/A,FALSE,"Base V.02";#N/A,#N/A,FALSE,"Charts"}</definedName>
    <definedName name="draka"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SDDE_Path" localSheetId="2">[14]DDETABLE!$AD$3</definedName>
    <definedName name="DSDDE_Path">#REF!</definedName>
    <definedName name="e"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_ALL_ABBN.S">#REF!</definedName>
    <definedName name="E_ALL_AIR.PA" localSheetId="1">#REF!</definedName>
    <definedName name="E_ALL_AIR.PA" localSheetId="2">[10]AIR.PA_Exchange_Sheet!$A$1:$CY$329</definedName>
    <definedName name="E_ALL_AIR.PA">#REF!</definedName>
    <definedName name="E_ALL_ATCOa.ST">[5]ATCOa.ST_Exchange_Sheet!$A$1:$DO$576</definedName>
    <definedName name="E_ALL_AVMD.PA">#REF!</definedName>
    <definedName name="E_ALL_BAES.L" localSheetId="2">[6]BAES.L_Exchange_Sheet!$A$1:$AX$386</definedName>
    <definedName name="E_ALL_BAES.L">#REF!</definedName>
    <definedName name="E_ALL_COB.L" localSheetId="2">'[4]COB.L_Exchange_Sheet'!$A$1:$AV$348</definedName>
    <definedName name="E_ALL_COB.L">#REF!</definedName>
    <definedName name="E_ALL_EAD.PA" localSheetId="2">[8]EAD.PA_Exchange_Sheet!$A$1:$AX$346</definedName>
    <definedName name="E_ALL_EAD.PA">#REF!</definedName>
    <definedName name="E_ALL_KEYWORDS_TYPE_ScalarContributed_EQTY_200000267">[5]ATCOa.ST_Exchange_Sheet!$562:$564,[5]ATCOa.ST_Exchange_Sheet!$510:$519</definedName>
    <definedName name="E_ALL_KEYWORDS_TYPE_ScalarContributed_EQTY_200003162" localSheetId="2">[6]BAES.L_Exchange_Sheet!$339:$345,[6]BAES.L_Exchange_Sheet!$384:$386</definedName>
    <definedName name="E_ALL_KEYWORDS_TYPE_ScalarContributed_EQTY_200003162">#REF!,#REF!</definedName>
    <definedName name="E_ALL_KEYWORDS_TYPE_ScalarContributed_EQTY_200003170">#REF!,#REF!</definedName>
    <definedName name="E_ALL_KEYWORDS_TYPE_ScalarContributed_EQTY_200003173">#REF!,#REF!</definedName>
    <definedName name="E_ALL_KEYWORDS_TYPE_ScalarContributed_EQTY_200003183">#REF!,#REF!</definedName>
    <definedName name="E_ALL_KEYWORDS_TYPE_ScalarContributed_EQTY_200003821">#REF!,#REF!</definedName>
    <definedName name="E_ALL_KEYWORDS_TYPE_ScalarContributed_EQTY_200004285">#REF!,#REF!</definedName>
    <definedName name="E_ALL_KEYWORDS_TYPE_ScalarContributed_EQTY_200005121">[8]EAD.PA_Exchange_Sheet!$339:$348,[8]EAD.PA_Exchange_Sheet!$387:$389</definedName>
    <definedName name="E_ALL_KEYWORDS_TYPE_ScalarContributed_EQTY_200007513">#REF!,#REF!</definedName>
    <definedName name="E_ALL_KEYWORDS_TYPE_ScalarContributed_EQTY_200009618">#REF!,#REF!</definedName>
    <definedName name="E_ALL_KEYWORDS_TYPE_ScalarContributed_EQTY_200009619" localSheetId="2">'[4]COB.L_Exchange_Sheet'!$298:$305,'[4]COB.L_Exchange_Sheet'!$346:$348</definedName>
    <definedName name="E_ALL_KEYWORDS_TYPE_ScalarContributed_EQTY_200009619">#REF!,#REF!</definedName>
    <definedName name="E_ALL_KEYWORDS_TYPE_ScalarContributed_EQTY_200009620" localSheetId="2">[9]MGGT.L_Exchange_Sheet!$344:$350,[9]MGGT.L_Exchange_Sheet!$389:$391</definedName>
    <definedName name="E_ALL_KEYWORDS_TYPE_ScalarContributed_EQTY_200009620">#REF!,#REF!</definedName>
    <definedName name="E_ALL_KEYWORDS_TYPE_ScalarContributed_EQTY_200011295">#REF!,#REF!</definedName>
    <definedName name="E_ALL_KEYWORDS_TYPE_ScalarContributed_ISSR_208001092">#REF!,#REF!</definedName>
    <definedName name="E_ALL_KEYWORDS_TYPE_ScalarContributed_ISSR_208001095">#REF!,#REF!</definedName>
    <definedName name="E_ALL_KEYWORDS_TYPE_ScalarContributed_ISSR_208001219">#REF!,#REF!,#REF!,#REF!,#REF!,#REF!,#REF!,#REF!</definedName>
    <definedName name="E_ALL_KEYWORDS_TYPE_ScalarContributed_ISSR_208007415">#REF!,#REF!</definedName>
    <definedName name="E_ALL_KEYWORDS_TYPE_ScalarContributed_ISSR_208008646">#REF!,#REF!</definedName>
    <definedName name="E_ALL_KEYWORDS_TYPE_ScalarReference_EQTY_200007513" localSheetId="1">#REF!</definedName>
    <definedName name="E_ALL_KEYWORDS_TYPE_ScalarReference_EQTY_200007513">#REF!</definedName>
    <definedName name="E_ALL_KEYWORDS_TYPE_ScalarReference_ISSR_208002861" localSheetId="1">#REF!</definedName>
    <definedName name="E_ALL_KEYWORDS_TYPE_ScalarReference_ISSR_208002861">#REF!</definedName>
    <definedName name="E_ALL_KEYWORDS_TYPE_Vector_EQTY_200003162" localSheetId="2">[6]BAES.L_Exchange_Sheet!$347:$357,[6]BAES.L_Exchange_Sheet!$359:$374,[6]BAES.L_Exchange_Sheet!$376:$378,[6]BAES.L_Exchange_Sheet!$380:$380,[6]BAES.L_Exchange_Sheet!$382:$382</definedName>
    <definedName name="E_ALL_KEYWORDS_TYPE_Vector_EQTY_200003162">#REF!,#REF!,#REF!,#REF!,#REF!</definedName>
    <definedName name="E_ALL_KEYWORDS_TYPE_Vector_EQTY_200003169">#REF!,#REF!,#REF!,#REF!,#REF!</definedName>
    <definedName name="E_ALL_KEYWORDS_TYPE_Vector_EQTY_200003170">#REF!,#REF!,#REF!,#REF!,#REF!</definedName>
    <definedName name="E_ALL_KEYWORDS_TYPE_Vector_EQTY_200003173">#REF!,#REF!,#REF!,#REF!,#REF!</definedName>
    <definedName name="E_ALL_KEYWORDS_TYPE_Vector_EQTY_200003183">#REF!,#REF!,#REF!,#REF!,#REF!</definedName>
    <definedName name="E_ALL_KEYWORDS_TYPE_Vector_EQTY_200003821">#REF!,#REF!,#REF!,#REF!,#REF!</definedName>
    <definedName name="E_ALL_KEYWORDS_TYPE_Vector_EQTY_200004285">#REF!,#REF!,#REF!,#REF!,#REF!</definedName>
    <definedName name="E_ALL_KEYWORDS_TYPE_Vector_EQTY_200005121">[8]EAD.PA_Exchange_Sheet!$350:$360,[8]EAD.PA_Exchange_Sheet!$362:$377,[8]EAD.PA_Exchange_Sheet!$379:$381,[8]EAD.PA_Exchange_Sheet!$383:$383,[8]EAD.PA_Exchange_Sheet!$385:$385</definedName>
    <definedName name="E_ALL_KEYWORDS_TYPE_Vector_EQTY_200007513">#REF!,#REF!,#REF!,#REF!,#REF!</definedName>
    <definedName name="E_ALL_KEYWORDS_TYPE_Vector_EQTY_200009618">#REF!,#REF!,#REF!,#REF!,#REF!</definedName>
    <definedName name="E_ALL_KEYWORDS_TYPE_Vector_EQTY_200009619" localSheetId="2">'[4]COB.L_Exchange_Sheet'!$307:$317,'[4]COB.L_Exchange_Sheet'!$320:$336,'[4]COB.L_Exchange_Sheet'!$338:$340,'[4]COB.L_Exchange_Sheet'!$342:$342,'[4]COB.L_Exchange_Sheet'!$344:$344</definedName>
    <definedName name="E_ALL_KEYWORDS_TYPE_Vector_EQTY_200009619">#REF!,#REF!,#REF!,#REF!,#REF!</definedName>
    <definedName name="E_ALL_KEYWORDS_TYPE_Vector_EQTY_200009620" localSheetId="2">[9]MGGT.L_Exchange_Sheet!$352:$362,[9]MGGT.L_Exchange_Sheet!$364:$379,[9]MGGT.L_Exchange_Sheet!$381:$383,[9]MGGT.L_Exchange_Sheet!$385:$385,[9]MGGT.L_Exchange_Sheet!$387:$387</definedName>
    <definedName name="E_ALL_KEYWORDS_TYPE_Vector_EQTY_200009620">#REF!,#REF!,#REF!,#REF!,#REF!</definedName>
    <definedName name="E_ALL_KEYWORDS_TYPE_Vector_EQTY_200011295">#REF!,#REF!,#REF!,#REF!,#REF!</definedName>
    <definedName name="E_ALL_KEYWORDS_TYPE_Vector_ISSR_208001092" localSheetId="2">[6]BAES.L_Exchange_Sheet!$2:$3,[6]BAES.L_Exchange_Sheet!$9:$27,[6]BAES.L_Exchange_Sheet!$29:$37,[6]BAES.L_Exchange_Sheet!$39:$66,[6]BAES.L_Exchange_Sheet!$68:$80,[6]BAES.L_Exchange_Sheet!$82:$98,[6]BAES.L_Exchange_Sheet!$100:$112,[6]BAES.L_Exchange_Sheet!$114:$114,[6]BAES.L_Exchange_Sheet!$116:$117,[6]BAES.L_Exchange_Sheet!$119:$123,[6]BAES.L_Exchange_Sheet!$128:$129,[6]BAES.L_Exchange_Sheet!$133:$133,[6]BAES.L_Exchange_Sheet!$137:$137,[6]BAES.L_Exchange_Sheet!$155:$158,[6]BAES.L_Exchange_Sheet!$160:$164,[6]BAES.L_Exchange_Sheet!$169:$170,[6]BAES.L_Exchange_Sheet!$174:$174,[6]BAES.L_Exchange_Sheet!$178:$178,[6]BAES.L_Exchange_Sheet!$196:$197,[6]BAES.L_Exchange_Sheet!$298:$298,[6]BAES.L_Exchange_Sheet!$140:$151,[6]BAES.L_Exchange_Sheet!$181:$192,[6]BAES.L_Exchange_Sheet!$235:$238,[6]BAES.L_Exchange_Sheet!$257:$260,[6]BAES.L_Exchange_Sheet!$317:$329,[6]BAES.L_Exchange_Sheet!$300:$315</definedName>
    <definedName name="E_ALL_KEYWORDS_TYPE_Vector_ISSR_208001092">#REF!,#REF!,#REF!,#REF!,#REF!,#REF!,#REF!,#REF!,#REF!,#REF!,#REF!,#REF!,#REF!,#REF!,#REF!,#REF!,#REF!,#REF!,#REF!,#REF!,#REF!,#REF!,#REF!,#REF!,#REF!,#REF!</definedName>
    <definedName name="E_ALL_KEYWORDS_TYPE_Vector_ISSR_208001095">#REF!,#REF!,#REF!,#REF!,#REF!,#REF!,#REF!,#REF!,#REF!,#REF!,#REF!,#REF!,#REF!,#REF!</definedName>
    <definedName name="E_ALL_KEYWORDS_TYPE_Vector_ISSR_208001096">#REF!,#REF!,#REF!,#REF!,#REF!,#REF!,#REF!,#REF!,#REF!,#REF!,#REF!,#REF!,#REF!,#REF!,#REF!,#REF!,#REF!,#REF!,#REF!,#REF!,#REF!,#REF!,#REF!,#REF!,#REF!,#REF!</definedName>
    <definedName name="E_ALL_KEYWORDS_TYPE_Vector_ISSR_208001098">#REF!,#REF!,#REF!,#REF!,#REF!,#REF!,#REF!,#REF!,#REF!,#REF!,#REF!,#REF!,#REF!,#REF!,#REF!,#REF!,#REF!,#REF!,#REF!,#REF!,#REF!,#REF!,#REF!,#REF!,#REF!,#REF!</definedName>
    <definedName name="E_ALL_KEYWORDS_TYPE_Vector_ISSR_208001100">#REF!,#REF!,#REF!,#REF!,#REF!,#REF!,#REF!,#REF!,#REF!,#REF!,#REF!,#REF!,#REF!,#REF!,#REF!,#REF!,#REF!,#REF!,#REF!,#REF!,#REF!,#REF!,#REF!,#REF!,#REF!,#REF!</definedName>
    <definedName name="E_ALL_KEYWORDS_TYPE_Vector_ISSR_208001129">#REF!,#REF!,#REF!,#REF!,#REF!,#REF!,#REF!,#REF!,#REF!,#REF!,#REF!,#REF!,#REF!,#REF!,#REF!,#REF!,#REF!,#REF!,#REF!,#REF!,#REF!,#REF!,#REF!,#REF!,#REF!,#REF!</definedName>
    <definedName name="E_ALL_KEYWORDS_TYPE_Vector_ISSR_208001219">#REF!,#REF!,#REF!,#REF!,#REF!,#REF!,#REF!,#REF!,#REF!,#REF!,#REF!,#REF!,#REF!,#REF!,#REF!,#REF!,#REF!,#REF!,#REF!</definedName>
    <definedName name="E_ALL_KEYWORDS_TYPE_Vector_ISSR_208001433">[8]EAD.PA_Exchange_Sheet!$2:$3,[8]EAD.PA_Exchange_Sheet!$9:$27,[8]EAD.PA_Exchange_Sheet!$29:$37,[8]EAD.PA_Exchange_Sheet!$39:$66,[8]EAD.PA_Exchange_Sheet!$68:$80,[8]EAD.PA_Exchange_Sheet!$82:$98,[8]EAD.PA_Exchange_Sheet!$100:$112,[8]EAD.PA_Exchange_Sheet!$114:$114,[8]EAD.PA_Exchange_Sheet!$116:$117,[8]EAD.PA_Exchange_Sheet!$119:$123,[8]EAD.PA_Exchange_Sheet!$128:$129,[8]EAD.PA_Exchange_Sheet!$133:$133,[8]EAD.PA_Exchange_Sheet!$137:$137,[8]EAD.PA_Exchange_Sheet!$155:$158,[8]EAD.PA_Exchange_Sheet!$160:$164,[8]EAD.PA_Exchange_Sheet!$169:$170,[8]EAD.PA_Exchange_Sheet!$174:$174,[8]EAD.PA_Exchange_Sheet!$178:$178,[8]EAD.PA_Exchange_Sheet!$196:$197,[8]EAD.PA_Exchange_Sheet!$298:$298,[8]EAD.PA_Exchange_Sheet!$140:$151,[8]EAD.PA_Exchange_Sheet!$181:$192,[8]EAD.PA_Exchange_Sheet!$235:$238,[8]EAD.PA_Exchange_Sheet!$257:$260,[8]EAD.PA_Exchange_Sheet!$317:$329,[8]EAD.PA_Exchange_Sheet!$300:$315</definedName>
    <definedName name="E_ALL_KEYWORDS_TYPE_Vector_ISSR_208002861">#REF!,#REF!,#REF!,#REF!,#REF!,#REF!,#REF!,#REF!,#REF!,#REF!,#REF!,#REF!,#REF!,#REF!,#REF!,#REF!,#REF!,#REF!,#REF!,#REF!,#REF!,#REF!,#REF!,#REF!,#REF!,#REF!</definedName>
    <definedName name="E_ALL_KEYWORDS_TYPE_Vector_ISSR_208007413">#REF!,#REF!,#REF!,#REF!,#REF!,#REF!,#REF!,#REF!,#REF!,#REF!,#REF!,#REF!,#REF!,#REF!,#REF!,#REF!,#REF!,#REF!,#REF!,#REF!,#REF!,#REF!,#REF!,#REF!,#REF!,#REF!</definedName>
    <definedName name="E_ALL_KEYWORDS_TYPE_Vector_ISSR_208007414" localSheetId="2">'[4]COB.L_Exchange_Sheet'!$2:$3,'[4]COB.L_Exchange_Sheet'!$9:$27,'[4]COB.L_Exchange_Sheet'!$29:$37,'[4]COB.L_Exchange_Sheet'!$39:$66,'[4]COB.L_Exchange_Sheet'!$68:$80,'[4]COB.L_Exchange_Sheet'!$82:$98,'[4]COB.L_Exchange_Sheet'!$100:$112,'[4]COB.L_Exchange_Sheet'!$114:$114,'[4]COB.L_Exchange_Sheet'!$116:$288</definedName>
    <definedName name="E_ALL_KEYWORDS_TYPE_Vector_ISSR_208007414">#REF!,#REF!,#REF!,#REF!,#REF!,#REF!,#REF!,#REF!,#REF!</definedName>
    <definedName name="E_ALL_KEYWORDS_TYPE_Vector_ISSR_208007415" localSheetId="2">[9]MGGT.L_Exchange_Sheet!$2:$3,[9]MGGT.L_Exchange_Sheet!$9:$27,[9]MGGT.L_Exchange_Sheet!$29:$37,[9]MGGT.L_Exchange_Sheet!$39:$66,[9]MGGT.L_Exchange_Sheet!$68:$80,[9]MGGT.L_Exchange_Sheet!$82:$98,[9]MGGT.L_Exchange_Sheet!$100:$112,[9]MGGT.L_Exchange_Sheet!$114:$114,[9]MGGT.L_Exchange_Sheet!$116:$117,[9]MGGT.L_Exchange_Sheet!$119:$123,[9]MGGT.L_Exchange_Sheet!$128:$129,[9]MGGT.L_Exchange_Sheet!$133:$133,[9]MGGT.L_Exchange_Sheet!$156:$159,[9]MGGT.L_Exchange_Sheet!$161:$165,[9]MGGT.L_Exchange_Sheet!$170:$171,[9]MGGT.L_Exchange_Sheet!$175:$175,[9]MGGT.L_Exchange_Sheet!$198:$199,[9]MGGT.L_Exchange_Sheet!$141:$152,[9]MGGT.L_Exchange_Sheet!$183:$194,[9]MGGT.L_Exchange_Sheet!$237:$240,[9]MGGT.L_Exchange_Sheet!$259:$262,[9]MGGT.L_Exchange_Sheet!$137:$138,[9]MGGT.L_Exchange_Sheet!$179:$180,[9]MGGT.L_Exchange_Sheet!$321:$334,[9]MGGT.L_Exchange_Sheet!$300:$301,[9]MGGT.L_Exchange_Sheet!$303:$319</definedName>
    <definedName name="E_ALL_KEYWORDS_TYPE_Vector_ISSR_208007415">#REF!,#REF!,#REF!,#REF!,#REF!,#REF!,#REF!,#REF!,#REF!,#REF!,#REF!,#REF!,#REF!,#REF!,#REF!,#REF!,#REF!,#REF!,#REF!,#REF!,#REF!,#REF!,#REF!,#REF!,#REF!,#REF!</definedName>
    <definedName name="E_ALL_KEYWORDS_TYPE_Vector_ISSR_208008646">#REF!,#REF!,#REF!,#REF!,#REF!,#REF!,#REF!,#REF!,#REF!,#REF!,#REF!,#REF!,#REF!,#REF!</definedName>
    <definedName name="E_ALL_MGGT.L" localSheetId="2">[9]MGGT.L_Exchange_Sheet!$A$1:$AR$391</definedName>
    <definedName name="E_ALL_MGGT.L">#REF!</definedName>
    <definedName name="E_ALL_MTXGn.DE">#REF!</definedName>
    <definedName name="E_ALL_PERIODS_MTXGn.DE" localSheetId="1">#REF!</definedName>
    <definedName name="E_ALL_PERIODS_MTXGn.DE">#REF!</definedName>
    <definedName name="E_ALL_QQ.L">#REF!</definedName>
    <definedName name="E_ALL_RR.L" localSheetId="2">'[15]RR.L_Exchange_Sheet'!$A$1:$AU$326</definedName>
    <definedName name="E_ALL_RR.L">#REF!</definedName>
    <definedName name="E_ALL_SAABb.ST">#REF!</definedName>
    <definedName name="E_ALL_SAF.PA">#REF!</definedName>
    <definedName name="E_ALL_SAND.ST">[11]SAND.ST_Exchange_Sheet!$A$1:$DL$570</definedName>
    <definedName name="E_ALL_SECTION_KEYWORDS_EQTY_200007513_1314" localSheetId="1">#REF!</definedName>
    <definedName name="E_ALL_SECTION_KEYWORDS_EQTY_200007513_1314">#REF!</definedName>
    <definedName name="E_ALL_SECTION_KEYWORDS_EQTY_200007513_131E" localSheetId="1">#REF!</definedName>
    <definedName name="E_ALL_SECTION_KEYWORDS_EQTY_200007513_131E">#REF!</definedName>
    <definedName name="E_ALL_SECTION_KEYWORDS_EQTY_200007513_131O" localSheetId="1">#REF!</definedName>
    <definedName name="E_ALL_SECTION_KEYWORDS_EQTY_200007513_131O">#REF!</definedName>
    <definedName name="E_ALL_SECTION_KEYWORDS_EQTY_200007513_13A">#REF!</definedName>
    <definedName name="E_ALL_SECTION_KEYWORDS_EQTY_200007513_13K">#REF!</definedName>
    <definedName name="E_ALL_SECTION_KEYWORDS_EQTY_200007513_13U">#REF!</definedName>
    <definedName name="E_ALL_SECTION_KEYWORDS_EQTY_200007513_13V">#REF!</definedName>
    <definedName name="E_ALL_SECTION_KEYWORDS_EQTY_200007513_Reference_Data">#REF!</definedName>
    <definedName name="E_ALL_SECTION_KEYWORDS_ISSR_208001092_13V">#REF!,#REF!</definedName>
    <definedName name="E_ALL_SECTION_KEYWORDS_ISSR_208001095_13V">#REF!,#REF!</definedName>
    <definedName name="E_ALL_SECTION_KEYWORDS_ISSR_208001098_13173">#REF!,#REF!</definedName>
    <definedName name="E_ALL_SECTION_KEYWORDS_ISSR_208001098_13178">#REF!,#REF!</definedName>
    <definedName name="E_ALL_SECTION_KEYWORDS_ISSR_208001098_136J">#REF!,#REF!</definedName>
    <definedName name="E_ALL_SECTION_KEYWORDS_ISSR_208002861_1314" localSheetId="1">#REF!</definedName>
    <definedName name="E_ALL_SECTION_KEYWORDS_ISSR_208002861_1314">#REF!</definedName>
    <definedName name="E_ALL_SECTION_KEYWORDS_ISSR_208002861_13168" localSheetId="1">#REF!</definedName>
    <definedName name="E_ALL_SECTION_KEYWORDS_ISSR_208002861_13168">#REF!</definedName>
    <definedName name="E_ALL_SECTION_KEYWORDS_ISSR_208002861_1316S" localSheetId="1">#REF!</definedName>
    <definedName name="E_ALL_SECTION_KEYWORDS_ISSR_208002861_1316S">#REF!</definedName>
    <definedName name="E_ALL_SECTION_KEYWORDS_ISSR_208002861_1316T">#REF!</definedName>
    <definedName name="E_ALL_SECTION_KEYWORDS_ISSR_208002861_1316U">#REF!</definedName>
    <definedName name="E_ALL_SECTION_KEYWORDS_ISSR_208002861_1319">#REF!</definedName>
    <definedName name="E_ALL_SECTION_KEYWORDS_ISSR_208002861_131E">#REF!</definedName>
    <definedName name="E_ALL_SECTION_KEYWORDS_ISSR_208002861_131J">#REF!</definedName>
    <definedName name="E_ALL_SECTION_KEYWORDS_ISSR_208002861_131O">#REF!</definedName>
    <definedName name="E_ALL_SECTION_KEYWORDS_ISSR_208002861_13U">#REF!</definedName>
    <definedName name="E_ALL_SECTION_KEYWORDS_ISSR_208002861_13V">#REF!</definedName>
    <definedName name="E_ALL_SECTION_KEYWORDS_ISSR_208002861_Reference_Data">#REF!</definedName>
    <definedName name="E_ALL_SECTION_KEYWORDS_ISSR_208007415_13V">#REF!,#REF!</definedName>
    <definedName name="E_ALL_SECTION_KEYWORDS_ISSR_208008646_13V">#REF!,#REF!</definedName>
    <definedName name="E_ALL_SECTIONS_EQTY_200003162" localSheetId="2">[6]BAES.L_Exchange_Sheet!$331:$331,[6]BAES.L_Exchange_Sheet!$338:$338,[6]BAES.L_Exchange_Sheet!$346:$346,[6]BAES.L_Exchange_Sheet!$358:$358,[6]BAES.L_Exchange_Sheet!$375:$375,[6]BAES.L_Exchange_Sheet!$379:$379,[6]BAES.L_Exchange_Sheet!$381:$381,[6]BAES.L_Exchange_Sheet!$383:$383</definedName>
    <definedName name="E_ALL_SECTIONS_EQTY_200003162">#REF!,#REF!,#REF!,#REF!,#REF!,#REF!,#REF!,#REF!</definedName>
    <definedName name="E_ALL_SECTIONS_EQTY_200003170">#REF!,#REF!,#REF!,#REF!,#REF!,#REF!,#REF!,#REF!</definedName>
    <definedName name="E_ALL_SECTIONS_EQTY_200003173">#REF!,#REF!,#REF!,#REF!,#REF!,#REF!,#REF!,#REF!</definedName>
    <definedName name="E_ALL_SECTIONS_EQTY_200003183">#REF!,#REF!,#REF!,#REF!,#REF!,#REF!,#REF!,#REF!</definedName>
    <definedName name="E_ALL_SECTIONS_EQTY_200003821">#REF!,#REF!,#REF!,#REF!,#REF!,#REF!,#REF!,#REF!</definedName>
    <definedName name="E_ALL_SECTIONS_EQTY_200004285">#REF!,#REF!,#REF!,#REF!,#REF!,#REF!,#REF!,#REF!</definedName>
    <definedName name="E_ALL_SECTIONS_EQTY_200005121">[8]EAD.PA_Exchange_Sheet!$331:$331,[8]EAD.PA_Exchange_Sheet!$338:$338,[8]EAD.PA_Exchange_Sheet!$349:$349,[8]EAD.PA_Exchange_Sheet!$361:$361,[8]EAD.PA_Exchange_Sheet!$378:$378,[8]EAD.PA_Exchange_Sheet!$382:$382,[8]EAD.PA_Exchange_Sheet!$384:$384,[8]EAD.PA_Exchange_Sheet!$386:$386</definedName>
    <definedName name="E_ALL_SECTIONS_EQTY_200007513">#REF!,#REF!,#REF!,#REF!,#REF!,#REF!,#REF!,#REF!</definedName>
    <definedName name="E_ALL_SECTIONS_EQTY_200009618">#REF!,#REF!,#REF!,#REF!,#REF!,#REF!,#REF!,#REF!</definedName>
    <definedName name="E_ALL_SECTIONS_EQTY_200009619" localSheetId="2">'[4]COB.L_Exchange_Sheet'!$290:$290,'[4]COB.L_Exchange_Sheet'!$297:$297,'[4]COB.L_Exchange_Sheet'!$306:$306,'[4]COB.L_Exchange_Sheet'!$318:$318,'[4]COB.L_Exchange_Sheet'!$337:$337,'[4]COB.L_Exchange_Sheet'!$341:$341,'[4]COB.L_Exchange_Sheet'!$343:$343,'[4]COB.L_Exchange_Sheet'!$345:$345</definedName>
    <definedName name="E_ALL_SECTIONS_EQTY_200009619">#REF!,#REF!,#REF!,#REF!,#REF!,#REF!,#REF!,#REF!</definedName>
    <definedName name="E_ALL_SECTIONS_EQTY_200009620" localSheetId="2">[9]MGGT.L_Exchange_Sheet!$336:$336,[9]MGGT.L_Exchange_Sheet!$343:$343,[9]MGGT.L_Exchange_Sheet!$351:$351,[9]MGGT.L_Exchange_Sheet!$363:$363,[9]MGGT.L_Exchange_Sheet!$380:$380,[9]MGGT.L_Exchange_Sheet!$384:$384,[9]MGGT.L_Exchange_Sheet!$386:$386,[9]MGGT.L_Exchange_Sheet!$388:$388</definedName>
    <definedName name="E_ALL_SECTIONS_EQTY_200009620">#REF!,#REF!,#REF!,#REF!,#REF!,#REF!,#REF!,#REF!</definedName>
    <definedName name="E_ALL_SECTIONS_EQTY_200011295">#REF!,#REF!,#REF!,#REF!,#REF!,#REF!,#REF!,#REF!</definedName>
    <definedName name="E_ALL_SECTIONS_ISSR_208001092" localSheetId="2">[6]BAES.L_Exchange_Sheet!$5:$5,[6]BAES.L_Exchange_Sheet!$8:$8,[6]BAES.L_Exchange_Sheet!$28:$28,[6]BAES.L_Exchange_Sheet!$38:$38,[6]BAES.L_Exchange_Sheet!$67:$67,[6]BAES.L_Exchange_Sheet!$81:$81,[6]BAES.L_Exchange_Sheet!$99:$99,[6]BAES.L_Exchange_Sheet!$113:$113,[6]BAES.L_Exchange_Sheet!$115:$115,[6]BAES.L_Exchange_Sheet!$297:$316</definedName>
    <definedName name="E_ALL_SECTIONS_ISSR_208001092">#REF!,#REF!,#REF!,#REF!,#REF!,#REF!,#REF!,#REF!,#REF!,#REF!</definedName>
    <definedName name="E_ALL_SECTIONS_ISSR_208001096">#REF!,#REF!,#REF!,#REF!,#REF!,#REF!,#REF!,#REF!,#REF!,#REF!</definedName>
    <definedName name="E_ALL_SECTIONS_ISSR_208001098">#REF!,#REF!,#REF!,#REF!,#REF!,#REF!,#REF!,#REF!,#REF!,#REF!</definedName>
    <definedName name="E_ALL_SECTIONS_ISSR_208001100">#REF!,#REF!,#REF!,#REF!,#REF!,#REF!,#REF!,#REF!,#REF!,#REF!</definedName>
    <definedName name="E_ALL_SECTIONS_ISSR_208001129">#REF!,#REF!,#REF!,#REF!,#REF!,#REF!,#REF!,#REF!,#REF!,#REF!</definedName>
    <definedName name="E_ALL_SECTIONS_ISSR_208001433">[8]EAD.PA_Exchange_Sheet!$5:$5,[8]EAD.PA_Exchange_Sheet!$8:$8,[8]EAD.PA_Exchange_Sheet!$28:$28,[8]EAD.PA_Exchange_Sheet!$38:$38,[8]EAD.PA_Exchange_Sheet!$67:$67,[8]EAD.PA_Exchange_Sheet!$81:$81,[8]EAD.PA_Exchange_Sheet!$99:$99,[8]EAD.PA_Exchange_Sheet!$113:$113,[8]EAD.PA_Exchange_Sheet!$115:$115,[8]EAD.PA_Exchange_Sheet!$297:$316</definedName>
    <definedName name="E_ALL_SECTIONS_ISSR_208002861">#REF!,#REF!,#REF!,#REF!,#REF!,#REF!,#REF!,#REF!,#REF!,#REF!</definedName>
    <definedName name="E_ALL_SECTIONS_ISSR_208007413">#REF!,#REF!,#REF!,#REF!,#REF!,#REF!,#REF!,#REF!,#REF!,#REF!</definedName>
    <definedName name="E_ALL_SECTIONS_ISSR_208007414" localSheetId="2">'[4]COB.L_Exchange_Sheet'!$5:$5,'[4]COB.L_Exchange_Sheet'!$8:$8,'[4]COB.L_Exchange_Sheet'!$28:$28,'[4]COB.L_Exchange_Sheet'!$38:$38,'[4]COB.L_Exchange_Sheet'!$67:$67,'[4]COB.L_Exchange_Sheet'!$81:$81,'[4]COB.L_Exchange_Sheet'!$99:$99,'[4]COB.L_Exchange_Sheet'!$113:$113,'[4]COB.L_Exchange_Sheet'!$115:$115</definedName>
    <definedName name="E_ALL_SECTIONS_ISSR_208007414">#REF!,#REF!,#REF!,#REF!,#REF!,#REF!,#REF!,#REF!,#REF!</definedName>
    <definedName name="E_ALL_SECTIONS_ISSR_208007415" localSheetId="2">[9]MGGT.L_Exchange_Sheet!$5:$5,[9]MGGT.L_Exchange_Sheet!$8:$8,[9]MGGT.L_Exchange_Sheet!$28:$28,[9]MGGT.L_Exchange_Sheet!$38:$38,[9]MGGT.L_Exchange_Sheet!$67:$67,[9]MGGT.L_Exchange_Sheet!$81:$81,[9]MGGT.L_Exchange_Sheet!$99:$99,[9]MGGT.L_Exchange_Sheet!$113:$113,[9]MGGT.L_Exchange_Sheet!$115:$115,[9]MGGT.L_Exchange_Sheet!$299:$320</definedName>
    <definedName name="E_ALL_SECTIONS_ISSR_208007415">#REF!,#REF!,#REF!,#REF!,#REF!,#REF!,#REF!,#REF!,#REF!,#REF!</definedName>
    <definedName name="E_ALL_SECTIONS_ISSR_208008646">#REF!,#REF!,#REF!,#REF!,#REF!,#REF!,#REF!,#REF!,#REF!,#REF!</definedName>
    <definedName name="E_ALL_SIFI.MI">#REF!</definedName>
    <definedName name="E_ALL_SKFb.ST">[16]SKFb.ST_Exchange_Sheet!$A$1:$DS$567</definedName>
    <definedName name="E_ALL_TCFP.PA">#REF!</definedName>
    <definedName name="E_ALL_ULE.L" localSheetId="2">[17]ULE.L_Exchange_Sheet!$A$1:$AP$268</definedName>
    <definedName name="E_ALL_ULE.L">#REF!</definedName>
    <definedName name="E_CURRENCY_EQTY_200003162_PRI" localSheetId="2">[6]BAES.L_Exchange_Sheet!$E$336</definedName>
    <definedName name="E_CURRENCY_EQTY_200003162_PRI">#REF!</definedName>
    <definedName name="E_CURRENCY_EQTY_200003162_PUB" localSheetId="2">[6]BAES.L_Exchange_Sheet!$E$335</definedName>
    <definedName name="E_CURRENCY_EQTY_200003162_PUB">#REF!</definedName>
    <definedName name="E_CURRENCY_EQTY_200003162_REP" localSheetId="2">[6]BAES.L_Exchange_Sheet!$E$337</definedName>
    <definedName name="E_CURRENCY_EQTY_200003162_REP">#REF!</definedName>
    <definedName name="E_CURRENCY_EQTY_200003170_PRI">#REF!</definedName>
    <definedName name="E_CURRENCY_EQTY_200003170_PUB">#REF!</definedName>
    <definedName name="E_CURRENCY_EQTY_200003170_REP">#REF!</definedName>
    <definedName name="E_CURRENCY_EQTY_200003173_PRI">#REF!</definedName>
    <definedName name="E_CURRENCY_EQTY_200003173_PUB">#REF!</definedName>
    <definedName name="E_CURRENCY_EQTY_200003173_REP">#REF!</definedName>
    <definedName name="E_CURRENCY_EQTY_200003183_PRI">#REF!</definedName>
    <definedName name="E_CURRENCY_EQTY_200003183_PUB">#REF!</definedName>
    <definedName name="E_CURRENCY_EQTY_200003183_REP">#REF!</definedName>
    <definedName name="E_CURRENCY_EQTY_200003821_PRI">#REF!</definedName>
    <definedName name="E_CURRENCY_EQTY_200003821_PUB">#REF!</definedName>
    <definedName name="E_CURRENCY_EQTY_200003821_REP">#REF!</definedName>
    <definedName name="E_CURRENCY_EQTY_200004285_PRI">#REF!</definedName>
    <definedName name="E_CURRENCY_EQTY_200004285_PUB">#REF!</definedName>
    <definedName name="E_CURRENCY_EQTY_200004285_REP">#REF!</definedName>
    <definedName name="E_CURRENCY_EQTY_200005121_PRI">[8]EAD.PA_Exchange_Sheet!$E$336</definedName>
    <definedName name="E_CURRENCY_EQTY_200005121_PUB">[8]EAD.PA_Exchange_Sheet!$E$335</definedName>
    <definedName name="E_CURRENCY_EQTY_200005121_REP">[8]EAD.PA_Exchange_Sheet!$E$337</definedName>
    <definedName name="E_CURRENCY_EQTY_200007513_PRI">#REF!</definedName>
    <definedName name="E_CURRENCY_EQTY_200007513_PUB">#REF!</definedName>
    <definedName name="E_CURRENCY_EQTY_200007513_REP">#REF!</definedName>
    <definedName name="E_CURRENCY_EQTY_200009618_PRI">#REF!</definedName>
    <definedName name="E_CURRENCY_EQTY_200009618_PUB">#REF!</definedName>
    <definedName name="E_CURRENCY_EQTY_200009618_REP">#REF!</definedName>
    <definedName name="E_CURRENCY_EQTY_200009619_PRI" localSheetId="2">'[4]COB.L_Exchange_Sheet'!$E$295</definedName>
    <definedName name="E_CURRENCY_EQTY_200009619_PRI">#REF!</definedName>
    <definedName name="E_CURRENCY_EQTY_200009619_PUB" localSheetId="2">'[4]COB.L_Exchange_Sheet'!$E$294</definedName>
    <definedName name="E_CURRENCY_EQTY_200009619_PUB">#REF!</definedName>
    <definedName name="E_CURRENCY_EQTY_200009619_REP" localSheetId="2">'[4]COB.L_Exchange_Sheet'!$E$296</definedName>
    <definedName name="E_CURRENCY_EQTY_200009619_REP">#REF!</definedName>
    <definedName name="E_CURRENCY_EQTY_200009620_PRI" localSheetId="2">[9]MGGT.L_Exchange_Sheet!$E$341</definedName>
    <definedName name="E_CURRENCY_EQTY_200009620_PRI">#REF!</definedName>
    <definedName name="E_CURRENCY_EQTY_200009620_PUB" localSheetId="2">[9]MGGT.L_Exchange_Sheet!$E$340</definedName>
    <definedName name="E_CURRENCY_EQTY_200009620_PUB">#REF!</definedName>
    <definedName name="E_CURRENCY_EQTY_200009620_REP" localSheetId="2">[9]MGGT.L_Exchange_Sheet!$E$342</definedName>
    <definedName name="E_CURRENCY_EQTY_200009620_REP">#REF!</definedName>
    <definedName name="E_CURRENCY_EQTY_200011295_PRI">#REF!</definedName>
    <definedName name="E_CURRENCY_EQTY_200011295_PUB">#REF!</definedName>
    <definedName name="E_CURRENCY_EQTY_200011295_REP">#REF!</definedName>
    <definedName name="E_CURRENCY_ISSR_208001092_REP" localSheetId="2">[6]BAES.L_Exchange_Sheet!$E$7</definedName>
    <definedName name="E_CURRENCY_ISSR_208001092_REP">#REF!</definedName>
    <definedName name="E_CURRENCY_ISSR_208001096_REP">#REF!</definedName>
    <definedName name="E_CURRENCY_ISSR_208001098_REP">#REF!</definedName>
    <definedName name="E_CURRENCY_ISSR_208001100_REP">#REF!</definedName>
    <definedName name="E_CURRENCY_ISSR_208001129_REP">#REF!</definedName>
    <definedName name="E_CURRENCY_ISSR_208001219_REP">#REF!</definedName>
    <definedName name="E_CURRENCY_ISSR_208001433_REP">[8]EAD.PA_Exchange_Sheet!$E$7</definedName>
    <definedName name="E_CURRENCY_ISSR_208002861_REP">#REF!</definedName>
    <definedName name="E_CURRENCY_ISSR_208007413_REP">#REF!</definedName>
    <definedName name="E_CURRENCY_ISSR_208007414_REP" localSheetId="2">'[4]COB.L_Exchange_Sheet'!$E$7</definedName>
    <definedName name="E_CURRENCY_ISSR_208007414_REP">#REF!</definedName>
    <definedName name="E_CURRENCY_ISSR_208007415_REP" localSheetId="2">[9]MGGT.L_Exchange_Sheet!$E$7</definedName>
    <definedName name="E_CURRENCY_ISSR_208007415_REP">#REF!</definedName>
    <definedName name="E_CURRENCY_ISSR_208008646_REP">#REF!</definedName>
    <definedName name="E_ENTITY_DATA_EQTY_200007513" localSheetId="1">#REF!</definedName>
    <definedName name="E_ENTITY_DATA_EQTY_200007513">#REF!</definedName>
    <definedName name="E_ENTITY_DATA_ISSR_208002861" localSheetId="1">#REF!</definedName>
    <definedName name="E_ENTITY_DATA_ISSR_208002861">#REF!</definedName>
    <definedName name="E_KEYWORD_EQTY_200007513_BETA_ANALYST" localSheetId="1">#REF!</definedName>
    <definedName name="E_KEYWORD_EQTY_200007513_BETA_ANALYST">#REF!</definedName>
    <definedName name="E_KEYWORD_EQTY_200007513_BVPS" localSheetId="1">#REF!</definedName>
    <definedName name="E_KEYWORD_EQTY_200007513_BVPS">#REF!</definedName>
    <definedName name="E_KEYWORD_EQTY_200007513_BVPS_PUB" localSheetId="1">#REF!</definedName>
    <definedName name="E_KEYWORD_EQTY_200007513_BVPS_PUB">#REF!</definedName>
    <definedName name="E_KEYWORD_EQTY_200007513_CF_NI_PRE_PREF">#REF!</definedName>
    <definedName name="E_KEYWORD_EQTY_200007513_COMMON_DIV_PAID">#REF!</definedName>
    <definedName name="E_KEYWORD_EQTY_200007513_CURRENCY_ISO">#REF!</definedName>
    <definedName name="E_KEYWORD_EQTY_200007513_DILUTE_SHARES">#REF!</definedName>
    <definedName name="E_KEYWORD_EQTY_200007513_DPS">#REF!</definedName>
    <definedName name="E_KEYWORD_EQTY_200007513_DPS_PUB">#REF!</definedName>
    <definedName name="E_KEYWORD_EQTY_200007513_EBIT_PUB">#REF!</definedName>
    <definedName name="E_KEYWORD_EQTY_200007513_EBITDA_PUB">#REF!</definedName>
    <definedName name="E_KEYWORD_EQTY_200007513_EPS">#REF!</definedName>
    <definedName name="E_KEYWORD_EQTY_200007513_EPS_FUL_DIL">#REF!</definedName>
    <definedName name="E_KEYWORD_EQTY_200007513_EPS_POST_BASIC">#REF!</definedName>
    <definedName name="E_KEYWORD_EQTY_200007513_EPS_PUB">#REF!</definedName>
    <definedName name="E_KEYWORD_EQTY_200007513_EQ_PUB">#REF!</definedName>
    <definedName name="E_KEYWORD_EQTY_200007513_EURO_CONVICTION">#REF!</definedName>
    <definedName name="E_KEYWORD_EQTY_200007513_EURO_LIST">#REF!</definedName>
    <definedName name="E_KEYWORD_EQTY_200007513_EV_ADJ_PUB">#REF!</definedName>
    <definedName name="E_KEYWORD_EQTY_200007513_FREE_FLOAT">#REF!</definedName>
    <definedName name="E_KEYWORD_EQTY_200007513_FULLY_DIL_EPS">#REF!</definedName>
    <definedName name="E_KEYWORD_EQTY_200007513_INC_MINORITY">#REF!</definedName>
    <definedName name="E_KEYWORD_EQTY_200007513_Interim_Type">#REF!</definedName>
    <definedName name="E_KEYWORD_EQTY_200007513_LEGAL_RATING">#REF!</definedName>
    <definedName name="E_KEYWORD_EQTY_200007513_MARGIN_TAX_RATE">#REF!</definedName>
    <definedName name="E_KEYWORD_EQTY_200007513_MKT_EQ_RISK_PREM">#REF!</definedName>
    <definedName name="E_KEYWORD_EQTY_200007513_NET_DEBT_PUB">#REF!</definedName>
    <definedName name="E_KEYWORD_EQTY_200007513_NET_EARNING">#REF!</definedName>
    <definedName name="E_KEYWORD_EQTY_200007513_NET_INC">#REF!</definedName>
    <definedName name="E_KEYWORD_EQTY_200007513_NI_PRE_PREF">#REF!</definedName>
    <definedName name="E_KEYWORD_EQTY_200007513_NI_PUB">#REF!</definedName>
    <definedName name="E_KEYWORD_EQTY_200007513_NON_OP_ADD">#REF!</definedName>
    <definedName name="E_KEYWORD_EQTY_200007513_NUM_SH">#REF!</definedName>
    <definedName name="E_KEYWORD_EQTY_200007513_ORG_EPS">#REF!</definedName>
    <definedName name="E_KEYWORD_EQTY_200007513_ORG_NI">#REF!</definedName>
    <definedName name="E_KEYWORD_EQTY_200007513_PREF_DIV">#REF!</definedName>
    <definedName name="E_KEYWORD_EQTY_200007513_PRICE_CURRENCY_ISO">#REF!</definedName>
    <definedName name="E_KEYWORD_EQTY_200007513_PROV_INC_TAX">#REF!</definedName>
    <definedName name="E_KEYWORD_EQTY_200007513_PTP_PUB">#REF!</definedName>
    <definedName name="E_KEYWORD_EQTY_200007513_PUB_CURRENCY_ISO">#REF!</definedName>
    <definedName name="E_KEYWORD_EQTY_200007513_REVS_PUB">#REF!</definedName>
    <definedName name="E_KEYWORD_EQTY_200007513_RISK_FR_RATE">#REF!</definedName>
    <definedName name="E_KEYWORD_EQTY_200007513_Security_Name">#REF!</definedName>
    <definedName name="E_KEYWORD_EQTY_200007513_SH">#REF!</definedName>
    <definedName name="E_KEYWORD_EQTY_200007513_TARGET_PRICE">#REF!</definedName>
    <definedName name="E_KEYWORD_EQTY_200007513_TAX_EXC">#REF!</definedName>
    <definedName name="E_KEYWORD_EQTY_200007513_Ticker">#REF!</definedName>
    <definedName name="E_KEYWORD_EQTY_200007513_TP_PERIOD">#REF!</definedName>
    <definedName name="E_KEYWORD_ISSR_208002861_ACC_AMORT" localSheetId="1">#REF!</definedName>
    <definedName name="E_KEYWORD_ISSR_208002861_ACC_AMORT">#REF!</definedName>
    <definedName name="E_KEYWORD_ISSR_208002861_ACC_DDA" localSheetId="1">#REF!</definedName>
    <definedName name="E_KEYWORD_ISSR_208002861_ACC_DDA">#REF!</definedName>
    <definedName name="E_KEYWORD_ISSR_208002861_ACC_END_DATE" localSheetId="1">#REF!</definedName>
    <definedName name="E_KEYWORD_ISSR_208002861_ACC_END_DATE">#REF!</definedName>
    <definedName name="E_KEYWORD_ISSR_208002861_ACC_PAY_GQ">#REF!</definedName>
    <definedName name="E_KEYWORD_ISSR_208002861_ACQ">#REF!</definedName>
    <definedName name="E_KEYWORD_ISSR_208002861_ADJ_UNF_PENS_GOOD">#REF!</definedName>
    <definedName name="E_KEYWORD_ISSR_208002861_ASSOC_JV_ADDBK">#REF!</definedName>
    <definedName name="E_KEYWORD_ISSR_208002861_ASSOCIATE">#REF!</definedName>
    <definedName name="E_KEYWORD_ISSR_208002861_ASSOCIATE_OP">#REF!</definedName>
    <definedName name="E_KEYWORD_ISSR_208002861_BAL_MINO_INT">#REF!</definedName>
    <definedName name="E_KEYWORD_ISSR_208002861_CAP_LEASES">#REF!</definedName>
    <definedName name="E_KEYWORD_ISSR_208002861_CAPEX">#REF!</definedName>
    <definedName name="E_KEYWORD_ISSR_208002861_CAPEX_EXPANSION">#REF!</definedName>
    <definedName name="E_KEYWORD_ISSR_208002861_CAPEX_MAINTENANCE">#REF!</definedName>
    <definedName name="E_KEYWORD_ISSR_208002861_CASH_EQ">#REF!</definedName>
    <definedName name="E_KEYWORD_ISSR_208002861_CASH_INT_EXP">#REF!</definedName>
    <definedName name="E_KEYWORD_ISSR_208002861_CASH_INT_INC_EXP">#REF!</definedName>
    <definedName name="E_KEYWORD_ISSR_208002861_CASH_TAX_EXP">#REF!</definedName>
    <definedName name="E_KEYWORD_ISSR_208002861_CASH_TAX_PD">#REF!</definedName>
    <definedName name="E_KEYWORD_ISSR_208002861_CF_FIN">#REF!</definedName>
    <definedName name="E_KEYWORD_ISSR_208002861_CF_INC_MINORITY">#REF!</definedName>
    <definedName name="E_KEYWORD_ISSR_208002861_CF_INV">#REF!</definedName>
    <definedName name="E_KEYWORD_ISSR_208002861_CF_OPS">#REF!</definedName>
    <definedName name="E_KEYWORD_ISSR_208002861_CHG_LT_DEBT">#REF!</definedName>
    <definedName name="E_KEYWORD_ISSR_208002861_CO_BOR_MARGIN">#REF!</definedName>
    <definedName name="E_KEYWORD_ISSR_208002861_COST_GD_SD">#REF!</definedName>
    <definedName name="E_KEYWORD_ISSR_208002861_CUR_ASS">#REF!</definedName>
    <definedName name="E_KEYWORD_ISSR_208002861_CURRENCY_ISO">#REF!</definedName>
    <definedName name="E_KEYWORD_ISSR_208002861_DEBTORS">#REF!</definedName>
    <definedName name="E_KEYWORD_ISSR_208002861_DEF_INC_TAX">#REF!</definedName>
    <definedName name="E_KEYWORD_ISSR_208002861_DEPR_AMORT">#REF!</definedName>
    <definedName name="E_KEYWORD_ISSR_208002861_DEPREC">#REF!</definedName>
    <definedName name="E_KEYWORD_ISSR_208002861_DIV_PAID">#REF!</definedName>
    <definedName name="E_KEYWORD_ISSR_208002861_DIVDS_ASSOC_JV">#REF!</definedName>
    <definedName name="E_KEYWORD_ISSR_208002861_DIVDS_PD_MINORITIES">#REF!</definedName>
    <definedName name="E_KEYWORD_ISSR_208002861_DIVEST">#REF!</definedName>
    <definedName name="E_KEYWORD_ISSR_208002861_EBIT">#REF!</definedName>
    <definedName name="E_KEYWORD_ISSR_208002861_EBITDA_CALC">#REF!</definedName>
    <definedName name="E_KEYWORD_ISSR_208002861_EMPLOYEES">#REF!</definedName>
    <definedName name="E_KEYWORD_ISSR_208002861_EQ">#REF!</definedName>
    <definedName name="E_KEYWORD_ISSR_208002861_EXP_ALUMINIUM">#REF!</definedName>
    <definedName name="E_KEYWORD_ISSR_208002861_EXP_COPPER">#REF!</definedName>
    <definedName name="E_KEYWORD_ISSR_208002861_EXP_GLASS">#REF!</definedName>
    <definedName name="E_KEYWORD_ISSR_208002861_EXP_GOLD">#REF!</definedName>
    <definedName name="E_KEYWORD_ISSR_208002861_EXP_NAT_GAS">#REF!</definedName>
    <definedName name="E_KEYWORD_ISSR_208002861_EXP_NICKEL">#REF!</definedName>
    <definedName name="E_KEYWORD_ISSR_208002861_EXP_OIL_DERIV_NGLS_PLASTICS">#REF!</definedName>
    <definedName name="E_KEYWORD_ISSR_208002861_EXP_OIL_PETRO_FUEL">#REF!</definedName>
    <definedName name="E_KEYWORD_ISSR_208002861_EXP_OTH_COMMODITY">#REF!</definedName>
    <definedName name="E_KEYWORD_ISSR_208002861_EXP_OTH_COST">#REF!</definedName>
    <definedName name="E_KEYWORD_ISSR_208002861_EXP_PALLADIUM">#REF!</definedName>
    <definedName name="E_KEYWORD_ISSR_208002861_EXP_PLATINUM">#REF!</definedName>
    <definedName name="E_KEYWORD_ISSR_208002861_EXP_RUBBER">#REF!</definedName>
    <definedName name="E_KEYWORD_ISSR_208002861_EXP_SILVER">#REF!</definedName>
    <definedName name="E_KEYWORD_ISSR_208002861_EXP_STEEL">#REF!</definedName>
    <definedName name="E_KEYWORD_ISSR_208002861_EXP_WATER">#REF!</definedName>
    <definedName name="E_KEYWORD_ISSR_208002861_EXP_ZINC">#REF!</definedName>
    <definedName name="E_KEYWORD_ISSR_208002861_FIX_ASS_INV">#REF!</definedName>
    <definedName name="E_KEYWORD_ISSR_208002861_GCI_INFL">#REF!</definedName>
    <definedName name="E_KEYWORD_ISSR_208002861_GOODWILL_AMORT">#REF!</definedName>
    <definedName name="E_KEYWORD_ISSR_208002861_GR_FIX_ASS">#REF!</definedName>
    <definedName name="E_KEYWORD_ISSR_208002861_GR_INTANG">#REF!</definedName>
    <definedName name="E_KEYWORD_ISSR_208002861_GW_AMORT">#REF!</definedName>
    <definedName name="E_KEYWORD_ISSR_208002861_IND_SALES_BRAZIL">#REF!</definedName>
    <definedName name="E_KEYWORD_ISSR_208002861_IND_SALES_CEE">#REF!</definedName>
    <definedName name="E_KEYWORD_ISSR_208002861_IND_SALES_CHINA">#REF!</definedName>
    <definedName name="E_KEYWORD_ISSR_208002861_IND_SALES_CONS">#REF!</definedName>
    <definedName name="E_KEYWORD_ISSR_208002861_IND_SALES_EU_EX_UK">#REF!</definedName>
    <definedName name="E_KEYWORD_ISSR_208002861_IND_SALES_FINAN">#REF!</definedName>
    <definedName name="E_KEYWORD_ISSR_208002861_IND_SALES_FRA">#REF!</definedName>
    <definedName name="E_KEYWORD_ISSR_208002861_IND_SALES_GER">#REF!</definedName>
    <definedName name="E_KEYWORD_ISSR_208002861_IND_SALES_GOV">#REF!</definedName>
    <definedName name="E_KEYWORD_ISSR_208002861_IND_SALES_IND">#REF!</definedName>
    <definedName name="E_KEYWORD_ISSR_208002861_IND_SALES_INDIA">#REF!</definedName>
    <definedName name="E_KEYWORD_ISSR_208002861_IND_SALES_ITA">#REF!</definedName>
    <definedName name="E_KEYWORD_ISSR_208002861_IND_SALES_JAPAN">#REF!</definedName>
    <definedName name="E_KEYWORD_ISSR_208002861_IND_SALES_ME">#REF!</definedName>
    <definedName name="E_KEYWORD_ISSR_208002861_IND_SALES_NIGERIA">#REF!</definedName>
    <definedName name="E_KEYWORD_ISSR_208002861_IND_SALES_OTH_AEJ">#REF!</definedName>
    <definedName name="E_KEYWORD_ISSR_208002861_IND_SALES_OTH_AFRICA">#REF!</definedName>
    <definedName name="E_KEYWORD_ISSR_208002861_IND_SALES_OTH_AM">#REF!</definedName>
    <definedName name="E_KEYWORD_ISSR_208002861_IND_SALES_OTH_EMEA">#REF!</definedName>
    <definedName name="E_KEYWORD_ISSR_208002861_IND_SALES_OTH_EU_EX_UK">#REF!</definedName>
    <definedName name="E_KEYWORD_ISSR_208002861_IND_SALES_OTHER">#REF!</definedName>
    <definedName name="E_KEYWORD_ISSR_208002861_IND_SALES_RUSSIA">#REF!</definedName>
    <definedName name="E_KEYWORD_ISSR_208002861_IND_SALES_SO_AFRICA">#REF!</definedName>
    <definedName name="E_KEYWORD_ISSR_208002861_IND_SALES_SPA">#REF!</definedName>
    <definedName name="E_KEYWORD_ISSR_208002861_IND_SALES_TOT_AFRICA">#REF!</definedName>
    <definedName name="E_KEYWORD_ISSR_208002861_IND_SALES_TOT_AM">#REF!</definedName>
    <definedName name="E_KEYWORD_ISSR_208002861_IND_SALES_TOT_ASIA">#REF!</definedName>
    <definedName name="E_KEYWORD_ISSR_208002861_IND_SALES_TOT_EMEA">#REF!</definedName>
    <definedName name="E_KEYWORD_ISSR_208002861_IND_SALES_UK">#REF!</definedName>
    <definedName name="E_KEYWORD_ISSR_208002861_IND_SALES_US">#REF!</definedName>
    <definedName name="E_KEYWORD_ISSR_208002861_INT_EXP_IND">#REF!</definedName>
    <definedName name="E_KEYWORD_ISSR_208002861_INT_INC_IND">#REF!</definedName>
    <definedName name="E_KEYWORD_ISSR_208002861_INV_SECUR">#REF!</definedName>
    <definedName name="E_KEYWORD_ISSR_208002861_Issuer_Name">#REF!</definedName>
    <definedName name="E_KEYWORD_ISSR_208002861_LEASE_DEEM_DEPR">#REF!</definedName>
    <definedName name="E_KEYWORD_ISSR_208002861_LEASE_DEEM_INT">#REF!</definedName>
    <definedName name="E_KEYWORD_ISSR_208002861_LEASE_PAY">#REF!</definedName>
    <definedName name="E_KEYWORD_ISSR_208002861_LT_DEBT">#REF!</definedName>
    <definedName name="E_KEYWORD_ISSR_208002861_MINORITIES">#REF!</definedName>
    <definedName name="E_KEYWORD_ISSR_208002861_MV_ASSOCIATES">#REF!</definedName>
    <definedName name="E_KEYWORD_ISSR_208002861_NET_DEBT">#REF!</definedName>
    <definedName name="E_KEYWORD_ISSR_208002861_NET_DEBT_ADJ">#REF!</definedName>
    <definedName name="E_KEYWORD_ISSR_208002861_NET_FIX_ASS">#REF!</definedName>
    <definedName name="E_KEYWORD_ISSR_208002861_NET_INT_CH">#REF!</definedName>
    <definedName name="E_KEYWORD_ISSR_208002861_NET_INT_EXP">#REF!</definedName>
    <definedName name="E_KEYWORD_ISSR_208002861_NET_INTANG">#REF!</definedName>
    <definedName name="E_KEYWORD_ISSR_208002861_NONPPE_CAPEX">#REF!</definedName>
    <definedName name="E_KEYWORD_ISSR_208002861_OP_COST">#REF!</definedName>
    <definedName name="E_KEYWORD_ISSR_208002861_ORD_SH_FUND">#REF!</definedName>
    <definedName name="E_KEYWORD_ISSR_208002861_ORG_REV">#REF!</definedName>
    <definedName name="E_KEYWORD_ISSR_208002861_ORG_REV_GRTH">#REF!</definedName>
    <definedName name="E_KEYWORD_ISSR_208002861_OTH_COST_INC">#REF!</definedName>
    <definedName name="E_KEYWORD_ISSR_208002861_OTH_CUR_ASS">#REF!</definedName>
    <definedName name="E_KEYWORD_ISSR_208002861_OTH_CUR_LIABS">#REF!</definedName>
    <definedName name="E_KEYWORD_ISSR_208002861_OTH_DACF_ADJ">#REF!</definedName>
    <definedName name="E_KEYWORD_ISSR_208002861_OTH_FIN_CF">#REF!</definedName>
    <definedName name="E_KEYWORD_ISSR_208002861_OTH_GCI_ADJ">#REF!</definedName>
    <definedName name="E_KEYWORD_ISSR_208002861_OTH_INT_AMORT">#REF!</definedName>
    <definedName name="E_KEYWORD_ISSR_208002861_OTH_INV_CF">#REF!</definedName>
    <definedName name="E_KEYWORD_ISSR_208002861_OTH_ITEM_NCF">#REF!</definedName>
    <definedName name="E_KEYWORD_ISSR_208002861_OTH_LT_ASS">#REF!</definedName>
    <definedName name="E_KEYWORD_ISSR_208002861_OTH_LT_CRED_GQ">#REF!</definedName>
    <definedName name="E_KEYWORD_ISSR_208002861_OTH_NONCASH_ADJ">#REF!</definedName>
    <definedName name="E_KEYWORD_ISSR_208002861_OTH_OP_CF">#REF!</definedName>
    <definedName name="E_KEYWORD_ISSR_208002861_OTH_OP_INC_EXP">#REF!</definedName>
    <definedName name="E_KEYWORD_ISSR_208002861_PERIOD_MILESTONE">#REF!</definedName>
    <definedName name="E_KEYWORD_ISSR_208002861_PL_SALE_ASSETS">#REF!</definedName>
    <definedName name="E_KEYWORD_ISSR_208002861_PREF_SH">#REF!</definedName>
    <definedName name="E_KEYWORD_ISSR_208002861_PROFIT_ON_DISP">#REF!</definedName>
    <definedName name="E_KEYWORD_ISSR_208002861_PT_PROF">#REF!</definedName>
    <definedName name="E_KEYWORD_ISSR_208002861_RD_EXP">#REF!</definedName>
    <definedName name="E_KEYWORD_ISSR_208002861_SALES">#REF!</definedName>
    <definedName name="E_KEYWORD_ISSR_208002861_SALES_BRAZIL">#REF!</definedName>
    <definedName name="E_KEYWORD_ISSR_208002861_SALES_CEE">#REF!</definedName>
    <definedName name="E_KEYWORD_ISSR_208002861_SALES_CHINA">#REF!</definedName>
    <definedName name="E_KEYWORD_ISSR_208002861_SALES_CONS">#REF!</definedName>
    <definedName name="E_KEYWORD_ISSR_208002861_SALES_EU_EX_UK">#REF!</definedName>
    <definedName name="E_KEYWORD_ISSR_208002861_SALES_FINAN">#REF!</definedName>
    <definedName name="E_KEYWORD_ISSR_208002861_SALES_FRA">#REF!</definedName>
    <definedName name="E_KEYWORD_ISSR_208002861_SALES_FX_AED">#REF!</definedName>
    <definedName name="E_KEYWORD_ISSR_208002861_SALES_FX_BRL">#REF!</definedName>
    <definedName name="E_KEYWORD_ISSR_208002861_SALES_FX_CHF">#REF!</definedName>
    <definedName name="E_KEYWORD_ISSR_208002861_SALES_FX_CNY">#REF!</definedName>
    <definedName name="E_KEYWORD_ISSR_208002861_SALES_FX_EUR">#REF!</definedName>
    <definedName name="E_KEYWORD_ISSR_208002861_SALES_FX_GPB">#REF!</definedName>
    <definedName name="E_KEYWORD_ISSR_208002861_SALES_FX_INR">#REF!</definedName>
    <definedName name="E_KEYWORD_ISSR_208002861_SALES_FX_NGN">#REF!</definedName>
    <definedName name="E_KEYWORD_ISSR_208002861_SALES_FX_OTH">#REF!</definedName>
    <definedName name="E_KEYWORD_ISSR_208002861_SALES_FX_RUB">#REF!</definedName>
    <definedName name="E_KEYWORD_ISSR_208002861_SALES_FX_TRY">#REF!</definedName>
    <definedName name="E_KEYWORD_ISSR_208002861_SALES_FX_USD">#REF!</definedName>
    <definedName name="E_KEYWORD_ISSR_208002861_SALES_FX_YEN">#REF!</definedName>
    <definedName name="E_KEYWORD_ISSR_208002861_SALES_FX_ZAR">#REF!</definedName>
    <definedName name="E_KEYWORD_ISSR_208002861_SALES_GER">#REF!</definedName>
    <definedName name="E_KEYWORD_ISSR_208002861_SALES_GOV">#REF!</definedName>
    <definedName name="E_KEYWORD_ISSR_208002861_SALES_IND">#REF!</definedName>
    <definedName name="E_KEYWORD_ISSR_208002861_SALES_INDIA">#REF!</definedName>
    <definedName name="E_KEYWORD_ISSR_208002861_SALES_ITA">#REF!</definedName>
    <definedName name="E_KEYWORD_ISSR_208002861_SALES_JAPAN">#REF!</definedName>
    <definedName name="E_KEYWORD_ISSR_208002861_SALES_ME">#REF!</definedName>
    <definedName name="E_KEYWORD_ISSR_208002861_SALES_NIGERIA">#REF!</definedName>
    <definedName name="E_KEYWORD_ISSR_208002861_SALES_OTH_AEJ">#REF!</definedName>
    <definedName name="E_KEYWORD_ISSR_208002861_SALES_OTH_AFRICA">#REF!</definedName>
    <definedName name="E_KEYWORD_ISSR_208002861_SALES_OTH_AM">#REF!</definedName>
    <definedName name="E_KEYWORD_ISSR_208002861_SALES_OTH_COMMODITY">#REF!</definedName>
    <definedName name="E_KEYWORD_ISSR_208002861_SALES_OTH_EMEA">#REF!</definedName>
    <definedName name="E_KEYWORD_ISSR_208002861_SALES_OTH_EU_EX_UK">#REF!</definedName>
    <definedName name="E_KEYWORD_ISSR_208002861_SALES_OTH_SALES_SOURCES">#REF!</definedName>
    <definedName name="E_KEYWORD_ISSR_208002861_SALES_OTHER">#REF!</definedName>
    <definedName name="E_KEYWORD_ISSR_208002861_SALES_RUSSIA">#REF!</definedName>
    <definedName name="E_KEYWORD_ISSR_208002861_SALES_SO_AFRICA">#REF!</definedName>
    <definedName name="E_KEYWORD_ISSR_208002861_SALES_SPA">#REF!</definedName>
    <definedName name="E_KEYWORD_ISSR_208002861_SALES_TOT_AFRICA">#REF!</definedName>
    <definedName name="E_KEYWORD_ISSR_208002861_SALES_TOT_AM">#REF!</definedName>
    <definedName name="E_KEYWORD_ISSR_208002861_SALES_TOT_ASIA">#REF!</definedName>
    <definedName name="E_KEYWORD_ISSR_208002861_SALES_TOT_EMEA">#REF!</definedName>
    <definedName name="E_KEYWORD_ISSR_208002861_SALES_UK">#REF!</definedName>
    <definedName name="E_KEYWORD_ISSR_208002861_SALES_US">#REF!</definedName>
    <definedName name="E_KEYWORD_ISSR_208002861_SEL_GL_AD">#REF!</definedName>
    <definedName name="E_KEYWORD_ISSR_208002861_SH_REPUR">#REF!</definedName>
    <definedName name="E_KEYWORD_ISSR_208002861_SHORT_T_DEBT">#REF!</definedName>
    <definedName name="E_KEYWORD_ISSR_208002861_SHORT_TERM_LIABS">#REF!</definedName>
    <definedName name="E_KEYWORD_ISSR_208002861_STOCKS">#REF!</definedName>
    <definedName name="E_KEYWORD_ISSR_208002861_TOT_ASSET">#REF!</definedName>
    <definedName name="E_KEYWORD_ISSR_208002861_TOT_CF">#REF!</definedName>
    <definedName name="E_KEYWORD_ISSR_208002861_TOT_LIAB">#REF!</definedName>
    <definedName name="E_KEYWORD_ISSR_208002861_TOT_LIAB_EQ">#REF!</definedName>
    <definedName name="E_KEYWORD_ISSR_208002861_TOT_LT_LIAB">#REF!</definedName>
    <definedName name="E_KEYWORD_ISSR_208002861_TOT_OPS_EXP">#REF!</definedName>
    <definedName name="E_KEYWORD_ISSR_208002861_TOT_OPS_EXP_DDA">#REF!</definedName>
    <definedName name="E_KEYWORD_ISSR_208002861_UNF_PENS">#REF!</definedName>
    <definedName name="E_KEYWORD_ISSR_208002861_UNF_PENS_LIAB_OTH">#REF!</definedName>
    <definedName name="E_KEYWORD_ISSR_208002861_UNF_PENS_OFF">#REF!</definedName>
    <definedName name="E_KEYWORD_ISSR_208002861_WORK_CAP">#REF!</definedName>
    <definedName name="E_LIVEDATA_EQTY_200007513" localSheetId="1">#REF!</definedName>
    <definedName name="E_LIVEDATA_EQTY_200007513">#REF!</definedName>
    <definedName name="E_LIVEDATA_ISSR_208002861" localSheetId="1">#REF!</definedName>
    <definedName name="E_LIVEDATA_ISSR_208002861">#REF!</definedName>
    <definedName name="E_PERIOD_2006_Q1" localSheetId="1">#REF!</definedName>
    <definedName name="E_PERIOD_2006_Q1">#REF!</definedName>
    <definedName name="E_PERIOD_2006_Q2" localSheetId="1">#REF!</definedName>
    <definedName name="E_PERIOD_2006_Q2">#REF!</definedName>
    <definedName name="E_PERIOD_2006_Q3" localSheetId="1">#REF!</definedName>
    <definedName name="E_PERIOD_2006_Q3">#REF!</definedName>
    <definedName name="E_PERIOD_2006_Q4" localSheetId="1">#REF!</definedName>
    <definedName name="E_PERIOD_2006_Q4">#REF!</definedName>
    <definedName name="E_PERIOD_2007_Q1" localSheetId="1">#REF!</definedName>
    <definedName name="E_PERIOD_2007_Q1">#REF!</definedName>
    <definedName name="E_PERIOD_2007_Q2" localSheetId="1">#REF!</definedName>
    <definedName name="E_PERIOD_2007_Q2">#REF!</definedName>
    <definedName name="E_PERIOD_2007_Q3" localSheetId="1">#REF!</definedName>
    <definedName name="E_PERIOD_2007_Q3">#REF!</definedName>
    <definedName name="E_PERIOD_2007_Q4" localSheetId="1">#REF!</definedName>
    <definedName name="E_PERIOD_2007_Q4">#REF!</definedName>
    <definedName name="E_PERIOD_2008_Q1" localSheetId="1">#REF!</definedName>
    <definedName name="E_PERIOD_2008_Q1">#REF!</definedName>
    <definedName name="E_PERIOD_2008_Q2" localSheetId="1">#REF!</definedName>
    <definedName name="E_PERIOD_2008_Q2">#REF!</definedName>
    <definedName name="E_PERIOD_2008_Q3" localSheetId="1">#REF!</definedName>
    <definedName name="E_PERIOD_2008_Q3">#REF!</definedName>
    <definedName name="E_PERIOD_2008_Q4" localSheetId="1">#REF!</definedName>
    <definedName name="E_PERIOD_2008_Q4">#REF!</definedName>
    <definedName name="E_PERIOD_2009_Q1" localSheetId="1">#REF!</definedName>
    <definedName name="E_PERIOD_2009_Q1">#REF!</definedName>
    <definedName name="E_PERIOD_2009_Q2" localSheetId="1">#REF!</definedName>
    <definedName name="E_PERIOD_2009_Q2">#REF!</definedName>
    <definedName name="E_PERIOD_2009_Q3" localSheetId="1">#REF!</definedName>
    <definedName name="E_PERIOD_2009_Q3">#REF!</definedName>
    <definedName name="E_PERIOD_2009_Q4" localSheetId="1">#REF!</definedName>
    <definedName name="E_PERIOD_2009_Q4">#REF!</definedName>
    <definedName name="E_PERIOD_2010_Q1" localSheetId="1">#REF!</definedName>
    <definedName name="E_PERIOD_2010_Q1">#REF!</definedName>
    <definedName name="E_PERIOD_2010_Q2" localSheetId="1">#REF!</definedName>
    <definedName name="E_PERIOD_2010_Q2">#REF!</definedName>
    <definedName name="E_PERIOD_2010_Q3" localSheetId="1">#REF!</definedName>
    <definedName name="E_PERIOD_2010_Q3">#REF!</definedName>
    <definedName name="E_PERIOD_2010_Q4" localSheetId="1">#REF!</definedName>
    <definedName name="E_PERIOD_2010_Q4">#REF!</definedName>
    <definedName name="E_PERIOD_2011_Q1" localSheetId="1">#REF!</definedName>
    <definedName name="E_PERIOD_2011_Q1">#REF!</definedName>
    <definedName name="E_PERIOD_2011_Q2" localSheetId="1">#REF!</definedName>
    <definedName name="E_PERIOD_2011_Q2">#REF!</definedName>
    <definedName name="E_PERIOD_2011_Q3" localSheetId="1">#REF!</definedName>
    <definedName name="E_PERIOD_2011_Q3">#REF!</definedName>
    <definedName name="E_PERIOD_2011_Q4" localSheetId="1">#REF!</definedName>
    <definedName name="E_PERIOD_2011_Q4">#REF!</definedName>
    <definedName name="E_PERIOD_2012_Q1" localSheetId="1">#REF!</definedName>
    <definedName name="E_PERIOD_2012_Q1">#REF!</definedName>
    <definedName name="E_PERIOD_2012_Q2" localSheetId="1">#REF!</definedName>
    <definedName name="E_PERIOD_2012_Q2">#REF!</definedName>
    <definedName name="E_PERIOD_2012_Q3" localSheetId="1">#REF!</definedName>
    <definedName name="E_PERIOD_2012_Q3">#REF!</definedName>
    <definedName name="E_PERIOD_2012_Q4" localSheetId="1">#REF!</definedName>
    <definedName name="E_PERIOD_2012_Q4">#REF!</definedName>
    <definedName name="E_PERIOD_2020_H1" localSheetId="1">#REF!</definedName>
    <definedName name="E_PERIOD_2020_H1">#REF!</definedName>
    <definedName name="E_PERIOD_2020_H2">#REF!</definedName>
    <definedName name="E_PERIOD_2021_Q1" localSheetId="1">#REF!</definedName>
    <definedName name="E_PERIOD_2021_Q1">#REF!</definedName>
    <definedName name="E_PERIOD_2021_Q2" localSheetId="1">#REF!</definedName>
    <definedName name="E_PERIOD_2021_Q2">#REF!</definedName>
    <definedName name="E_PERIOD_2021_Q3" localSheetId="1">#REF!</definedName>
    <definedName name="E_PERIOD_2021_Q3">#REF!</definedName>
    <definedName name="E_PERIOD_2021_Q4" localSheetId="1">#REF!</definedName>
    <definedName name="E_PERIOD_2021_Q4">#REF!</definedName>
    <definedName name="E_SECTION_EQTY_200007513_1314" localSheetId="1">#REF!</definedName>
    <definedName name="E_SECTION_EQTY_200007513_1314">#REF!</definedName>
    <definedName name="E_SECTION_EQTY_200007513_131E" localSheetId="1">#REF!</definedName>
    <definedName name="E_SECTION_EQTY_200007513_131E">#REF!</definedName>
    <definedName name="E_SECTION_EQTY_200007513_131O" localSheetId="1">#REF!</definedName>
    <definedName name="E_SECTION_EQTY_200007513_131O">#REF!</definedName>
    <definedName name="E_SECTION_EQTY_200007513_13A">#REF!</definedName>
    <definedName name="E_SECTION_EQTY_200007513_13K">#REF!</definedName>
    <definedName name="E_SECTION_EQTY_200007513_13U">#REF!</definedName>
    <definedName name="E_SECTION_EQTY_200007513_13V">#REF!</definedName>
    <definedName name="E_SECTION_EQTY_200007513_Reference_Data">#REF!</definedName>
    <definedName name="E_SECTION_ISSR_208002861_1314" localSheetId="1">#REF!</definedName>
    <definedName name="E_SECTION_ISSR_208002861_1314">#REF!</definedName>
    <definedName name="E_SECTION_ISSR_208002861_13168" localSheetId="1">#REF!</definedName>
    <definedName name="E_SECTION_ISSR_208002861_13168">#REF!</definedName>
    <definedName name="E_SECTION_ISSR_208002861_1316S" localSheetId="1">#REF!</definedName>
    <definedName name="E_SECTION_ISSR_208002861_1316S">#REF!</definedName>
    <definedName name="E_SECTION_ISSR_208002861_1316T">#REF!</definedName>
    <definedName name="E_SECTION_ISSR_208002861_1316U">#REF!</definedName>
    <definedName name="E_SECTION_ISSR_208002861_1319">#REF!</definedName>
    <definedName name="E_SECTION_ISSR_208002861_131E">#REF!</definedName>
    <definedName name="E_SECTION_ISSR_208002861_131J">#REF!</definedName>
    <definedName name="E_SECTION_ISSR_208002861_131O">#REF!</definedName>
    <definedName name="E_SECTION_ISSR_208002861_13U">#REF!</definedName>
    <definedName name="E_SECTION_ISSR_208002861_13V">#REF!</definedName>
    <definedName name="E_SECTION_ISSR_208002861_Reference_Data">#REF!</definedName>
    <definedName name="EBDIT">[12]Data!$AZ$11:$AZ$23</definedName>
    <definedName name="EBIT">[12]Data!$BA$11:$BA$23</definedName>
    <definedName name="EBITChart">[12]Data!$BA$13:$BA$23</definedName>
    <definedName name="ebitda08">[1]OVERVIEW!$AY$80</definedName>
    <definedName name="ebitda09">[1]OVERVIEW!$AZ$80</definedName>
    <definedName name="ebitda10">[1]OVERVIEW!$BA$80</definedName>
    <definedName name="EBITDAMargin">[12]Data!$T$11:$T$23</definedName>
    <definedName name="EBITDAMarginChart">[12]Data!$T$13:$T$23</definedName>
    <definedName name="EBITMax">#REF!</definedName>
    <definedName name="EmployeesAvg">[12]Data!$BS$11:$BS$23</definedName>
    <definedName name="EmployeesYe">[12]Data!$BR$11:$BR$23</definedName>
    <definedName name="enr" localSheetId="1" hidden="1">{"FTSE100","COMPANIES",TRUE}</definedName>
    <definedName name="enr" localSheetId="2" hidden="1">{"FTSE100","COMPANIES",TRUE}</definedName>
    <definedName name="enr" hidden="1">{"FTSE100","COMPANIES",TRUE}</definedName>
    <definedName name="EquityR">#REF!</definedName>
    <definedName name="EquityRatio">[12]Data!$EZ$11:$EZ$23</definedName>
    <definedName name="EquityRatioChart">[12]Data!$EZ$13:$EZ$23</definedName>
    <definedName name="EquityRatioMax">#REF!</definedName>
    <definedName name="esnrc100c1_values" localSheetId="1" hidden="1">{"FTSE100","COMPANIES",TRUE}</definedName>
    <definedName name="esnrc100c1_values" localSheetId="2" hidden="1">{"FTSE100","COMPANIES",TRUE}</definedName>
    <definedName name="esnrc100c1_values" hidden="1">{"FTSE100","COMPANIES",TRUE}</definedName>
    <definedName name="esnrc33c1_values" localSheetId="1" hidden="1">{"EUMOT","COMPANIES",TRUE}</definedName>
    <definedName name="esnrc33c1_values" localSheetId="2" hidden="1">{"EUMOT","COMPANIES",TRUE}</definedName>
    <definedName name="esnrc33c1_values" hidden="1">{"EUMOT","COMPANIES",TRUE}</definedName>
    <definedName name="esnrc56c1_values" localSheetId="1" hidden="1">{"ASCONGRP","COMPANIES",TRUE}</definedName>
    <definedName name="esnrc56c1_values" localSheetId="2" hidden="1">{"ASCONGRP","COMPANIES",TRUE}</definedName>
    <definedName name="esnrc56c1_values" hidden="1">{"ASCONGRP","COMPANIES",TRUE}</definedName>
    <definedName name="esnrc63c1_values" localSheetId="1" hidden="1">{"EUUTIGRP","COMPANIES",TRUE}</definedName>
    <definedName name="esnrc63c1_values" localSheetId="2" hidden="1">{"EUUTIGRP","COMPANIES",TRUE}</definedName>
    <definedName name="esnrc63c1_values" hidden="1">{"EUUTIGRP","COMPANIES",TRUE}</definedName>
    <definedName name="esnrc91c1_values" localSheetId="1" hidden="1">{"EUUTI","COMPANIES",TRUE}</definedName>
    <definedName name="esnrc91c1_values" localSheetId="2" hidden="1">{"EUUTI","COMPANIES",TRUE}</definedName>
    <definedName name="esnrc91c1_values" hidden="1">{"EUUTI","COMPANIES",TRUE}</definedName>
    <definedName name="EstDate">[12]Data!$D$11:$D$23</definedName>
    <definedName name="EstYear">[12]Data!$B$11:$B$23</definedName>
    <definedName name="EstYearType">[12]Data!$F$11:$F$23</definedName>
    <definedName name="ev.Calculation" hidden="1">-4105</definedName>
    <definedName name="ev.Initialized" hidden="1">FALSE</definedName>
    <definedName name="EvEbit_Today">[12]Data!$HM$11:$HM$23</definedName>
    <definedName name="EvEbit_Ye">[12]Data!$HN$11:$HN$23</definedName>
    <definedName name="EvEbitda_Today">[12]Data!$HO$11:$HO$23</definedName>
    <definedName name="EvEbitda_Ye">[12]Data!$HP$11:$HP$23</definedName>
    <definedName name="EvSales_Today">[12]Data!$HQ$11:$HQ$23</definedName>
    <definedName name="EvSales_Ye">[12]Data!$HR$11:$HR$23</definedName>
    <definedName name="Excel_Version" localSheetId="2">[14]DDETABLE!$AD$8</definedName>
    <definedName name="Excel_Version">#REF!</definedName>
    <definedName name="ExtFiles" localSheetId="2">[14]DDETABLE!$AG$2:$AG$10</definedName>
    <definedName name="ExtFiles">#REF!</definedName>
    <definedName name="ExtraOrdinaryItems">[12]Data!$AQ$11:$AQ$23</definedName>
    <definedName name="FaxNo">[12]Data!$AM$2</definedName>
    <definedName name="FCFM_Today">[12]Data!$HS$11:$HS$23</definedName>
    <definedName name="fggddf" localSheetId="1" hidden="1">{"Employee Efficiency",#N/A,FALSE,"Benchmarking"}</definedName>
    <definedName name="fggddf" localSheetId="2" hidden="1">{"Employee Efficiency",#N/A,FALSE,"Benchmarking"}</definedName>
    <definedName name="fggddf" hidden="1">{"Employee Efficiency",#N/A,FALSE,"Benchmarking"}</definedName>
    <definedName name="FiscalDate">#REF!</definedName>
    <definedName name="FiscalYearEndDate">[12]Data!$F$7</definedName>
    <definedName name="FiscalYearEndMonth">[12]Data!$BL$2</definedName>
    <definedName name="FixedAssets">[12]Data!$DS$11:$DS$23</definedName>
    <definedName name="FixedTangibleAssets">[12]Data!$DQ$11:$DQ$23</definedName>
    <definedName name="Float">#REF!</definedName>
    <definedName name="ForExchangeItems">[12]Data!$AD$11:$AD$23</definedName>
    <definedName name="Formats" localSheetId="2">[14]DDETABLE!$AN$2:$AN$11</definedName>
    <definedName name="Formats">#REF!</definedName>
    <definedName name="FP_Analyst">#REF!</definedName>
    <definedName name="FP_email">#REF!</definedName>
    <definedName name="FP_FiguresChart">#REF!</definedName>
    <definedName name="FP_Price">#REF!</definedName>
    <definedName name="FP_Tel">#REF!</definedName>
    <definedName name="FreeCashFlow">[12]Data!$CM$11:$CM$23</definedName>
    <definedName name="FreeCashFlowPerShare">[12]Data!$CZ$11:$CZ$23</definedName>
    <definedName name="FreeFloat">[12]Data!$AJ$2</definedName>
    <definedName name="FREQS" localSheetId="2">[14]DDETABLE!$AP$2:$AP$6</definedName>
    <definedName name="FREQS">#REF!</definedName>
    <definedName name="Frontpage">#REF!</definedName>
    <definedName name="FullBS">#REF!</definedName>
    <definedName name="FullCF">#REF!</definedName>
    <definedName name="FullTaxRate">[12]Data!$AN$11:$AN$23</definedName>
    <definedName name="FullydilShareNomAvg">[12]Data!$GP$11:$GP$23</definedName>
    <definedName name="FullydilShareNomYe">[12]Data!$GO$11:$GO$23</definedName>
    <definedName name="GainSaleFixedAssets">[12]Data!$AF$11:$AF$23</definedName>
    <definedName name="GainSaleFixedAssetsBeforeTax">[12]Data!$AV$11:$AV$23</definedName>
    <definedName name="gdff"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ff" localSheetId="1" hidden="1">{"sweden",#N/A,FALSE,"Sweden";"germany",#N/A,FALSE,"Germany";"portugal",#N/A,FALSE,"Portugal";"belgium",#N/A,FALSE,"Belgium";"japan",#N/A,FALSE,"Japan ";"italy",#N/A,FALSE,"Italy";"spain",#N/A,FALSE,"Spain";"korea",#N/A,FALSE,"Korea"}</definedName>
    <definedName name="gff" localSheetId="2" hidden="1">{"sweden",#N/A,FALSE,"Sweden";"germany",#N/A,FALSE,"Germany";"portugal",#N/A,FALSE,"Portugal";"belgium",#N/A,FALSE,"Belgium";"japan",#N/A,FALSE,"Japan ";"italy",#N/A,FALSE,"Italy";"spain",#N/A,FALSE,"Spain";"korea",#N/A,FALSE,"Korea"}</definedName>
    <definedName name="gff" hidden="1">{"sweden",#N/A,FALSE,"Sweden";"germany",#N/A,FALSE,"Germany";"portugal",#N/A,FALSE,"Portugal";"belgium",#N/A,FALSE,"Belgium";"japan",#N/A,FALSE,"Japan ";"italy",#N/A,FALSE,"Italy";"spain",#N/A,FALSE,"Spain";"korea",#N/A,FALSE,"Korea"}</definedName>
    <definedName name="gh" localSheetId="1" hidden="1">{"CSC_1",#N/A,FALSE,"CSC Outputs";"CSC_2",#N/A,FALSE,"CSC Outputs"}</definedName>
    <definedName name="gh" localSheetId="2" hidden="1">{"CSC_1",#N/A,FALSE,"CSC Outputs";"CSC_2",#N/A,FALSE,"CSC Outputs"}</definedName>
    <definedName name="gh" hidden="1">{"CSC_1",#N/A,FALSE,"CSC Outputs";"CSC_2",#N/A,FALSE,"CSC Outputs"}</definedName>
    <definedName name="GoodwillAmortisation">[12]Data!$V$11:$V$23</definedName>
    <definedName name="GoodWillGross">[12]Data!$IM$11:$IM$23</definedName>
    <definedName name="GoodWillNet">[12]Data!$IK$11:$IK$23</definedName>
    <definedName name="GoodWillWrittenOff">[12]Data!$IL$11:$IL$23</definedName>
    <definedName name="GrossCommissionPerTrade">[12]Data!$IB$11:$IB$23</definedName>
    <definedName name="GrossMarginMax">#REF!</definedName>
    <definedName name="GroupFactor">[12]Data!$HV$11:$HV$23</definedName>
    <definedName name="GrowthAdjDps">[12]Data!$BN$11:$BN$23</definedName>
    <definedName name="GrowthAdjEps">[12]Data!$BM$11:$BM$23</definedName>
    <definedName name="GrowthAfterTaxProfit">[12]Data!$BK$11:$BK$23</definedName>
    <definedName name="GrowthCashEarningPerShare">[12]Data!$DA$11:$DA$23</definedName>
    <definedName name="GrowthFreeCashFlowPerShare">[12]Data!$DC$11:$DC$23</definedName>
    <definedName name="GrowthOperatingProfit">[12]Data!$BI$11:$BI$23</definedName>
    <definedName name="GrowthOperCashFlowPerShare">[12]Data!$DB$11:$DB$23</definedName>
    <definedName name="GrowthPretaxProfit">[12]Data!$BJ$11:$BJ$23</definedName>
    <definedName name="GrowthProfitBeforeDepreciation">[12]Data!$BH$11:$BH$23</definedName>
    <definedName name="GrowthRepEps">[12]Data!$BL$11:$BL$23</definedName>
    <definedName name="GrowthTotalExpenses">[12]Data!$BG$11:$BG$23</definedName>
    <definedName name="GrowthTotalRevenue">[12]Data!$BF$11:$BF$23</definedName>
    <definedName name="Guarantees">[12]Data!$EN$11:$EN$23</definedName>
    <definedName name="haut">#REF!</definedName>
    <definedName name="High">#REF!</definedName>
    <definedName name="hkjj" localSheetId="1" hidden="1">{"Line Efficiency",#N/A,FALSE,"Benchmarking"}</definedName>
    <definedName name="hkjj" localSheetId="2" hidden="1">{"Line Efficiency",#N/A,FALSE,"Benchmarking"}</definedName>
    <definedName name="hkjj" hidden="1">{"Line Efficiency",#N/A,FALSE,"Benchmarking"}</definedName>
    <definedName name="hn.ModelVersion" hidden="1">1</definedName>
    <definedName name="hn.NoUpload" hidden="1">0</definedName>
    <definedName name="HTML_CodePage" hidden="1">1252</definedName>
    <definedName name="HTML_Control" localSheetId="1" hidden="1">{"'Valuation'!$A$1:$AV$62"}</definedName>
    <definedName name="HTML_Control" localSheetId="2" hidden="1">{"'Valuation'!$A$1:$AV$62"}</definedName>
    <definedName name="HTML_Control" hidden="1">{"'Valuation'!$A$1:$AV$62"}</definedName>
    <definedName name="HTML_Description" hidden="1">""</definedName>
    <definedName name="HTML_Email" hidden="1">""</definedName>
    <definedName name="HTML_Header" hidden="1">"Valuation"</definedName>
    <definedName name="HTML_LastUpdate" hidden="1">"19/11/99"</definedName>
    <definedName name="HTML_LineAfter" hidden="1">FALSE</definedName>
    <definedName name="HTML_LineBefore" hidden="1">FALSE</definedName>
    <definedName name="HTML_Name" hidden="1">"Francis Woollen"</definedName>
    <definedName name="HTML_OBDlg2" hidden="1">TRUE</definedName>
    <definedName name="HTML_OBDlg4" hidden="1">TRUE</definedName>
    <definedName name="HTML_OS" hidden="1">0</definedName>
    <definedName name="HTML_PathFile" hidden="1">"N:\Telecoms\MODELS\FINLAND\New Sonera\MyHTML.htm"</definedName>
    <definedName name="HTML_Title" hidden="1">"New Sonera"</definedName>
    <definedName name="ii" localSheetId="1" hidden="1">{"Tariff Comparison",#N/A,FALSE,"Benchmarking";"Tariff Comparison 2",#N/A,FALSE,"Benchmarking";"Tariff Comparison 3",#N/A,FALSE,"Benchmarking"}</definedName>
    <definedName name="ii" localSheetId="2" hidden="1">{"Tariff Comparison",#N/A,FALSE,"Benchmarking";"Tariff Comparison 2",#N/A,FALSE,"Benchmarking";"Tariff Comparison 3",#N/A,FALSE,"Benchmarking"}</definedName>
    <definedName name="ii" hidden="1">{"Tariff Comparison",#N/A,FALSE,"Benchmarking";"Tariff Comparison 2",#N/A,FALSE,"Benchmarking";"Tariff Comparison 3",#N/A,FALSE,"Benchmarking"}</definedName>
    <definedName name="index">[18]DJStoxx600!$A$1:$I$5992</definedName>
    <definedName name="Industry">[12]Data!$BG$2</definedName>
    <definedName name="InsuranceEmbeddedValue">[12]Data!$BT$2</definedName>
    <definedName name="InsuranceGrowth">[12]Data!$BU$2</definedName>
    <definedName name="InsurancePremiumProfit">[12]Data!$BS$2</definedName>
    <definedName name="InsuranceRevenues">[12]Data!$BR$2</definedName>
    <definedName name="InsuranceTypeFinanceServices">[12]Data!$BY$2</definedName>
    <definedName name="InsuranceTypeLife">[12]Data!$BV$2</definedName>
    <definedName name="InsuranceTypeNonLife">[12]Data!$BW$2</definedName>
    <definedName name="InsuranceTypeReinsurance">[12]Data!$BX$2</definedName>
    <definedName name="Intangibles">[12]Data!$DP$11:$DP$23</definedName>
    <definedName name="InterestBearingFixedAssets">[12]Data!$DN$11:$DN$23</definedName>
    <definedName name="InterestConvertibleDebt">[12]Data!$AU$11:$AU$23</definedName>
    <definedName name="InterestCover">[12]Data!$FA$11:$FA$23</definedName>
    <definedName name="InterestExpenses">[12]Data!$AB$11:$AB$23</definedName>
    <definedName name="InterestExpensesPct">[12]Data!$AC$11:$AC$23</definedName>
    <definedName name="InterestIncome">[12]Data!$Z$11:$Z$23</definedName>
    <definedName name="InterestIncomePct">[12]Data!$AA$11:$AA$23</definedName>
    <definedName name="InternetAddress">[12]Data!$AK$2</definedName>
    <definedName name="Inventories">[12]Data!$DK$11:$DK$23</definedName>
    <definedName name="InventorySalesDays">[12]Data!$ER$11:$ER$23</definedName>
    <definedName name="InvestmentCover">[12]Data!$DD$11:$DD$23</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ID" hidden="1">"c13756"</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REV" hidden="1">"c2113"</definedName>
    <definedName name="IQ_EST_ACT_REV_CIQ" hidden="1">"c3666"</definedName>
    <definedName name="IQ_EST_CURRENCY" hidden="1">"c2140"</definedName>
    <definedName name="IQ_EST_CURRENCY_CIQ" hidden="1">"c4769"</definedName>
    <definedName name="IQ_EST_DATE" hidden="1">"c1634"</definedName>
    <definedName name="IQ_EST_DATE_CIQ" hidden="1">"c4770"</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NEXT_EARNINGS_DATE" hidden="1">"c13591"</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40687.6617939815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AX_EQUIVALENT_ADJUSTMENTS_FFIEC" hidden="1">"c13855"</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ID" hidden="1">"c13755"</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39993.5884953704</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[12]Data!$CG$2</definedName>
    <definedName name="IssueMultiplier">[12]Data!$GQ$13:$GQ$25</definedName>
    <definedName name="jhk" localSheetId="1" hidden="1">{"print 1",#N/A,FALSE,"PrimeCo PCS";"print 2",#N/A,FALSE,"PrimeCo PCS";"valuation",#N/A,FALSE,"PrimeCo PCS"}</definedName>
    <definedName name="jhk" localSheetId="2" hidden="1">{"print 1",#N/A,FALSE,"PrimeCo PCS";"print 2",#N/A,FALSE,"PrimeCo PCS";"valuation",#N/A,FALSE,"PrimeCo PCS"}</definedName>
    <definedName name="jhk" hidden="1">{"print 1",#N/A,FALSE,"PrimeCo PCS";"print 2",#N/A,FALSE,"PrimeCo PCS";"valuation",#N/A,FALSE,"PrimeCo PCS"}</definedName>
    <definedName name="KeyData">#REF!</definedName>
    <definedName name="Keydriver1">[12]Data!$B$50</definedName>
    <definedName name="Keydriver2">[12]Data!$C$50</definedName>
    <definedName name="Keydriver3">[12]Data!$D$50</definedName>
    <definedName name="Keydriver4">[12]Data!$E$50</definedName>
    <definedName name="kk" localSheetId="1" hidden="1">{"Tarifica91",#N/A,FALSE,"Tariffs";"Tarifica92",#N/A,FALSE,"Tariffs";"Tarifica93",#N/A,FALSE,"Tariffs";"Tarifica94",#N/A,FALSE,"Tariffs";"Tarifica95",#N/A,FALSE,"Tariffs";"Tarifica96",#N/A,FALSE,"Tariffs"}</definedName>
    <definedName name="kk" localSheetId="2" hidden="1">{"Tarifica91",#N/A,FALSE,"Tariffs";"Tarifica92",#N/A,FALSE,"Tariffs";"Tarifica93",#N/A,FALSE,"Tariffs";"Tarifica94",#N/A,FALSE,"Tariffs";"Tarifica95",#N/A,FALSE,"Tariffs";"Tarifica96",#N/A,FALSE,"Tariffs"}</definedName>
    <definedName name="kk" hidden="1">{"Tarifica91",#N/A,FALSE,"Tariffs";"Tarifica92",#N/A,FALSE,"Tariffs";"Tarifica93",#N/A,FALSE,"Tariffs";"Tarifica94",#N/A,FALSE,"Tariffs";"Tarifica95",#N/A,FALSE,"Tariffs";"Tarifica96",#N/A,FALSE,"Tariffs"}</definedName>
    <definedName name="L_ALL_ABBN.S">#REF!</definedName>
    <definedName name="L_ALL_AIR.PA" localSheetId="1">#REF!</definedName>
    <definedName name="L_ALL_AIR.PA" localSheetId="2">[10]AIR.PA_Live_Sheet!$A$1:$CY$329</definedName>
    <definedName name="L_ALL_AIR.PA">#REF!</definedName>
    <definedName name="L_ALL_AIR.PA_" localSheetId="1">#REF!</definedName>
    <definedName name="L_ALL_AIR.PA_">#REF!</definedName>
    <definedName name="L_ALL_ATCOa.ST">[5]ATCOa.ST_Live_Sheet!$A$1:$DO$576</definedName>
    <definedName name="L_ALL_AVMD.PA">#REF!</definedName>
    <definedName name="L_ALL_BAES.L" localSheetId="2">[6]BAES.L_Live_Sheet!$A$1:$AX$386</definedName>
    <definedName name="L_ALL_BAES.L">#REF!</definedName>
    <definedName name="L_ALL_BAES.L_" localSheetId="1">#REF!</definedName>
    <definedName name="L_ALL_BAES.L_">#REF!</definedName>
    <definedName name="L_ALL_COB.L" localSheetId="2">'[4]COB.L_Live_Sheet'!$A$1:$AV$348</definedName>
    <definedName name="L_ALL_COB.L">#REF!</definedName>
    <definedName name="L_ALL_EAD.PA" localSheetId="2">[8]EAD.PA_Live_Sheet!$A$1:$AX$346</definedName>
    <definedName name="L_ALL_EAD.PA">#REF!</definedName>
    <definedName name="L_ALL_KEYWORDS_TYPE_ScalarContributed_EQTY_200000267">[5]ATCOa.ST_Live_Sheet!$562:$564,[5]ATCOa.ST_Live_Sheet!$510:$519</definedName>
    <definedName name="L_ALL_KEYWORDS_TYPE_ScalarContributed_EQTY_200003162" localSheetId="2">[6]BAES.L_Live_Sheet!$339:$345,[6]BAES.L_Live_Sheet!$384:$386</definedName>
    <definedName name="L_ALL_KEYWORDS_TYPE_ScalarContributed_EQTY_200003162">#REF!,#REF!</definedName>
    <definedName name="L_ALL_KEYWORDS_TYPE_ScalarContributed_EQTY_200003170">#REF!,#REF!</definedName>
    <definedName name="L_ALL_KEYWORDS_TYPE_ScalarContributed_EQTY_200003173">#REF!,#REF!</definedName>
    <definedName name="L_ALL_KEYWORDS_TYPE_ScalarContributed_EQTY_200003183">#REF!,#REF!</definedName>
    <definedName name="L_ALL_KEYWORDS_TYPE_ScalarContributed_EQTY_200003821">#REF!,#REF!</definedName>
    <definedName name="L_ALL_KEYWORDS_TYPE_ScalarContributed_EQTY_200004285">#REF!,#REF!</definedName>
    <definedName name="L_ALL_KEYWORDS_TYPE_ScalarContributed_EQTY_200005121">[8]EAD.PA_Live_Sheet!$339:$348,[8]EAD.PA_Live_Sheet!$387:$389</definedName>
    <definedName name="L_ALL_KEYWORDS_TYPE_ScalarContributed_EQTY_200007513">#REF!,#REF!</definedName>
    <definedName name="L_ALL_KEYWORDS_TYPE_ScalarContributed_EQTY_200009618">#REF!,#REF!</definedName>
    <definedName name="L_ALL_KEYWORDS_TYPE_ScalarContributed_EQTY_200009619" localSheetId="2">'[4]COB.L_Live_Sheet'!$298:$305,'[4]COB.L_Live_Sheet'!$346:$348</definedName>
    <definedName name="L_ALL_KEYWORDS_TYPE_ScalarContributed_EQTY_200009619">#REF!,#REF!</definedName>
    <definedName name="L_ALL_KEYWORDS_TYPE_ScalarContributed_EQTY_200009620" localSheetId="2">[9]MGGT.L_Live_Sheet!$344:$350,[9]MGGT.L_Live_Sheet!$389:$391</definedName>
    <definedName name="L_ALL_KEYWORDS_TYPE_ScalarContributed_EQTY_200009620">#REF!,#REF!</definedName>
    <definedName name="L_ALL_KEYWORDS_TYPE_ScalarContributed_EQTY_200011295">#REF!,#REF!</definedName>
    <definedName name="L_ALL_KEYWORDS_TYPE_ScalarContributed_ISSR_208000023">[5]ATCOa.ST_Live_Sheet!$9:$9,[5]ATCOa.ST_Live_Sheet!$129:$131,[5]ATCOa.ST_Live_Sheet!$133:$135,[5]ATCOa.ST_Live_Sheet!$432:$432,[5]ATCOa.ST_Live_Sheet!$439:$439,[5]ATCOa.ST_Live_Sheet!$444:$444,[5]ATCOa.ST_Live_Sheet!$450:$450,[5]ATCOa.ST_Live_Sheet!$456:$456,[5]ATCOa.ST_Live_Sheet!$462:$462,[5]ATCOa.ST_Live_Sheet!$44:$44</definedName>
    <definedName name="L_ALL_KEYWORDS_TYPE_ScalarContributed_ISSR_208001092">#REF!,#REF!</definedName>
    <definedName name="L_ALL_KEYWORDS_TYPE_ScalarContributed_ISSR_208001095">#REF!,#REF!</definedName>
    <definedName name="L_ALL_KEYWORDS_TYPE_ScalarContributed_ISSR_208001100">#REF!,#REF!</definedName>
    <definedName name="L_ALL_KEYWORDS_TYPE_ScalarContributed_ISSR_208001219">#REF!,#REF!,#REF!,#REF!,#REF!,#REF!,#REF!,#REF!</definedName>
    <definedName name="L_ALL_KEYWORDS_TYPE_ScalarContributed_ISSR_208001433" localSheetId="1">#REF!,#REF!</definedName>
    <definedName name="L_ALL_KEYWORDS_TYPE_ScalarContributed_ISSR_208001433">[10]AIR.PA_Live_Sheet!$9:$9,[10]AIR.PA_Live_Sheet!$42:$42</definedName>
    <definedName name="L_ALL_KEYWORDS_TYPE_ScalarContributed_ISSR_208006659">#REF!,#REF!,#REF!</definedName>
    <definedName name="L_ALL_KEYWORDS_TYPE_ScalarContributed_ISSR_208007415">#REF!,#REF!</definedName>
    <definedName name="L_ALL_KEYWORDS_TYPE_ScalarContributed_ISSR_208008646">#REF!,#REF!</definedName>
    <definedName name="L_ALL_KEYWORDS_TYPE_ScalarReference_EQTY_200007513" localSheetId="1">#REF!</definedName>
    <definedName name="L_ALL_KEYWORDS_TYPE_ScalarReference_EQTY_200007513">#REF!</definedName>
    <definedName name="L_ALL_KEYWORDS_TYPE_ScalarReference_ISSR_208002861" localSheetId="1">#REF!</definedName>
    <definedName name="L_ALL_KEYWORDS_TYPE_ScalarReference_ISSR_208002861">#REF!</definedName>
    <definedName name="L_ALL_KEYWORDS_TYPE_Vector_EQTY_200000267">[5]ATCOa.ST_Live_Sheet!$537:$552,[5]ATCOa.ST_Live_Sheet!$554:$556,[5]ATCOa.ST_Live_Sheet!$558:$558,[5]ATCOa.ST_Live_Sheet!$560:$560,[5]ATCOa.ST_Live_Sheet!$521:$535</definedName>
    <definedName name="L_ALL_KEYWORDS_TYPE_Vector_EQTY_200003162" localSheetId="2">[6]BAES.L_Live_Sheet!$347:$357,[6]BAES.L_Live_Sheet!$359:$374,[6]BAES.L_Live_Sheet!$376:$378,[6]BAES.L_Live_Sheet!$380:$380,[6]BAES.L_Live_Sheet!$382:$382</definedName>
    <definedName name="L_ALL_KEYWORDS_TYPE_Vector_EQTY_200003162">#REF!,#REF!,#REF!,#REF!,#REF!</definedName>
    <definedName name="L_ALL_KEYWORDS_TYPE_Vector_EQTY_200003169">#REF!,#REF!,#REF!,#REF!,#REF!</definedName>
    <definedName name="L_ALL_KEYWORDS_TYPE_Vector_EQTY_200003170">#REF!,#REF!,#REF!,#REF!,#REF!</definedName>
    <definedName name="L_ALL_KEYWORDS_TYPE_Vector_EQTY_200003173">#REF!,#REF!,#REF!,#REF!,#REF!</definedName>
    <definedName name="L_ALL_KEYWORDS_TYPE_Vector_EQTY_200003183">#REF!,#REF!,#REF!,#REF!,#REF!</definedName>
    <definedName name="L_ALL_KEYWORDS_TYPE_Vector_EQTY_200003821">#REF!,#REF!,#REF!,#REF!,#REF!</definedName>
    <definedName name="L_ALL_KEYWORDS_TYPE_Vector_EQTY_200004285">#REF!,#REF!,#REF!,#REF!,#REF!</definedName>
    <definedName name="L_ALL_KEYWORDS_TYPE_Vector_EQTY_200005121" localSheetId="1">#REF!,#REF!,#REF!,#REF!,#REF!</definedName>
    <definedName name="L_ALL_KEYWORDS_TYPE_Vector_EQTY_200005121">[8]EAD.PA_Live_Sheet!$350:$360,[8]EAD.PA_Live_Sheet!$362:$377,[8]EAD.PA_Live_Sheet!$379:$381,[8]EAD.PA_Live_Sheet!$383:$383,[8]EAD.PA_Live_Sheet!$385:$385</definedName>
    <definedName name="L_ALL_KEYWORDS_TYPE_Vector_EQTY_200007513">#REF!,#REF!,#REF!,#REF!,#REF!</definedName>
    <definedName name="L_ALL_KEYWORDS_TYPE_Vector_EQTY_200008448">#REF!,#REF!,#REF!,#REF!,#REF!</definedName>
    <definedName name="L_ALL_KEYWORDS_TYPE_Vector_EQTY_200009618">#REF!,#REF!,#REF!,#REF!,#REF!</definedName>
    <definedName name="L_ALL_KEYWORDS_TYPE_Vector_EQTY_200009619" localSheetId="2">'[4]COB.L_Live_Sheet'!$307:$317,'[4]COB.L_Live_Sheet'!$320:$336,'[4]COB.L_Live_Sheet'!$338:$340,'[4]COB.L_Live_Sheet'!$342:$342,'[4]COB.L_Live_Sheet'!$344:$344</definedName>
    <definedName name="L_ALL_KEYWORDS_TYPE_Vector_EQTY_200009619">#REF!,#REF!,#REF!,#REF!,#REF!</definedName>
    <definedName name="L_ALL_KEYWORDS_TYPE_Vector_EQTY_200009620" localSheetId="2">[9]MGGT.L_Live_Sheet!$352:$362,[9]MGGT.L_Live_Sheet!$364:$379,[9]MGGT.L_Live_Sheet!$381:$383,[9]MGGT.L_Live_Sheet!$385:$385,[9]MGGT.L_Live_Sheet!$387:$387</definedName>
    <definedName name="L_ALL_KEYWORDS_TYPE_Vector_EQTY_200009620">#REF!,#REF!,#REF!,#REF!,#REF!</definedName>
    <definedName name="L_ALL_KEYWORDS_TYPE_Vector_EQTY_200011295">#REF!,#REF!,#REF!,#REF!,#REF!</definedName>
    <definedName name="L_ALL_KEYWORDS_TYPE_Vector_ISSR_208000023">[5]ATCOa.ST_Live_Sheet!$2:$3,[5]ATCOa.ST_Live_Sheet!$11:$29,[5]ATCOa.ST_Live_Sheet!$31:$41,[5]ATCOa.ST_Live_Sheet!$46:$75,[5]ATCOa.ST_Live_Sheet!$81:$93,[5]ATCOa.ST_Live_Sheet!$96:$113,[5]ATCOa.ST_Live_Sheet!$115:$127,[5]ATCOa.ST_Live_Sheet!$132:$132,[5]ATCOa.ST_Live_Sheet!$136:$139,[5]ATCOa.ST_Live_Sheet!$141:$167,[5]ATCOa.ST_Live_Sheet!$169:$175,[5]ATCOa.ST_Live_Sheet!$177:$262,[5]ATCOa.ST_Live_Sheet!$264:$321,[5]ATCOa.ST_Live_Sheet!$323:$346,[5]ATCOa.ST_Live_Sheet!$348:$371,[5]ATCOa.ST_Live_Sheet!$373:$386,[5]ATCOa.ST_Live_Sheet!$388:$428,[5]ATCOa.ST_Live_Sheet!$430:$431,[5]ATCOa.ST_Live_Sheet!$433:$438,[5]ATCOa.ST_Live_Sheet!$440:$443,[5]ATCOa.ST_Live_Sheet!$445:$449,[5]ATCOa.ST_Live_Sheet!$451:$455,[5]ATCOa.ST_Live_Sheet!$457:$461,[5]ATCOa.ST_Live_Sheet!$463:$500,[5]ATCOa.ST_Live_Sheet!$43:$43</definedName>
    <definedName name="L_ALL_KEYWORDS_TYPE_Vector_ISSR_208001092" localSheetId="2">[6]BAES.L_Live_Sheet!$2:$3,[6]BAES.L_Live_Sheet!$9:$27,[6]BAES.L_Live_Sheet!$29:$37,[6]BAES.L_Live_Sheet!$39:$66,[6]BAES.L_Live_Sheet!$68:$80,[6]BAES.L_Live_Sheet!$82:$98,[6]BAES.L_Live_Sheet!$100:$112,[6]BAES.L_Live_Sheet!$114:$114,[6]BAES.L_Live_Sheet!$116:$117,[6]BAES.L_Live_Sheet!$119:$123,[6]BAES.L_Live_Sheet!$128:$129,[6]BAES.L_Live_Sheet!$133:$133,[6]BAES.L_Live_Sheet!$137:$137,[6]BAES.L_Live_Sheet!$155:$158,[6]BAES.L_Live_Sheet!$160:$164,[6]BAES.L_Live_Sheet!$169:$170,[6]BAES.L_Live_Sheet!$174:$174,[6]BAES.L_Live_Sheet!$178:$178,[6]BAES.L_Live_Sheet!$196:$197,[6]BAES.L_Live_Sheet!$298:$298,[6]BAES.L_Live_Sheet!$140:$151,[6]BAES.L_Live_Sheet!$181:$192,[6]BAES.L_Live_Sheet!$235:$238,[6]BAES.L_Live_Sheet!$257:$260,[6]BAES.L_Live_Sheet!$317:$329,[6]BAES.L_Live_Sheet!$300:$315</definedName>
    <definedName name="L_ALL_KEYWORDS_TYPE_Vector_ISSR_208001092">#REF!,#REF!,#REF!,#REF!,#REF!,#REF!,#REF!,#REF!,#REF!,#REF!,#REF!,#REF!,#REF!,#REF!,#REF!,#REF!,#REF!,#REF!,#REF!,#REF!,#REF!,#REF!,#REF!,#REF!,#REF!,#REF!</definedName>
    <definedName name="L_ALL_KEYWORDS_TYPE_Vector_ISSR_208001095">#REF!,#REF!,#REF!,#REF!,#REF!,#REF!,#REF!,#REF!,#REF!,#REF!,#REF!,#REF!,#REF!,#REF!</definedName>
    <definedName name="L_ALL_KEYWORDS_TYPE_Vector_ISSR_208001096">#REF!,#REF!,#REF!,#REF!,#REF!,#REF!,#REF!,#REF!,#REF!,#REF!,#REF!,#REF!,#REF!,#REF!,#REF!,#REF!,#REF!,#REF!,#REF!,#REF!,#REF!,#REF!,#REF!,#REF!,#REF!,#REF!</definedName>
    <definedName name="L_ALL_KEYWORDS_TYPE_Vector_ISSR_208001098">#REF!,#REF!,#REF!,#REF!,#REF!,#REF!,#REF!,#REF!,#REF!,#REF!,#REF!,#REF!,#REF!,#REF!,#REF!,#REF!,#REF!,#REF!,#REF!,#REF!,#REF!,#REF!,#REF!,#REF!,#REF!,#REF!</definedName>
    <definedName name="L_ALL_KEYWORDS_TYPE_Vector_ISSR_208001100">#REF!,#REF!,#REF!,#REF!,#REF!,#REF!,#REF!,#REF!,#REF!,#REF!,#REF!,#REF!,#REF!,#REF!,#REF!,#REF!,#REF!,#REF!,#REF!,#REF!,#REF!,#REF!,#REF!,#REF!,#REF!,#REF!</definedName>
    <definedName name="L_ALL_KEYWORDS_TYPE_Vector_ISSR_208001129">#REF!,#REF!,#REF!,#REF!,#REF!,#REF!,#REF!,#REF!,#REF!,#REF!,#REF!,#REF!,#REF!,#REF!,#REF!,#REF!,#REF!,#REF!,#REF!,#REF!,#REF!,#REF!,#REF!,#REF!,#REF!,#REF!</definedName>
    <definedName name="L_ALL_KEYWORDS_TYPE_Vector_ISSR_208001219">#REF!,#REF!,#REF!,#REF!,#REF!,#REF!,#REF!,#REF!,#REF!,#REF!,#REF!,#REF!,#REF!,#REF!,#REF!,#REF!,#REF!,#REF!,#REF!</definedName>
    <definedName name="L_ALL_KEYWORDS_TYPE_Vector_ISSR_208001433" localSheetId="1">#REF!,#REF!,#REF!,#REF!,#REF!,#REF!,#REF!,#REF!,#REF!,#REF!,#REF!,#REF!,#REF!,#REF!</definedName>
    <definedName name="L_ALL_KEYWORDS_TYPE_Vector_ISSR_208001433">[8]EAD.PA_Live_Sheet!$2:$3,[8]EAD.PA_Live_Sheet!$9:$27,[8]EAD.PA_Live_Sheet!$29:$37,[8]EAD.PA_Live_Sheet!$39:$66,[8]EAD.PA_Live_Sheet!$68:$80,[8]EAD.PA_Live_Sheet!$82:$98,[8]EAD.PA_Live_Sheet!$100:$112,[8]EAD.PA_Live_Sheet!$114:$114,[8]EAD.PA_Live_Sheet!$116:$117,[8]EAD.PA_Live_Sheet!$119:$123,[8]EAD.PA_Live_Sheet!$128:$129,[8]EAD.PA_Live_Sheet!$133:$133,[8]EAD.PA_Live_Sheet!$137:$137,[8]EAD.PA_Live_Sheet!$155:$158,[8]EAD.PA_Live_Sheet!$160:$164,[8]EAD.PA_Live_Sheet!$169:$170,[8]EAD.PA_Live_Sheet!$174:$174,[8]EAD.PA_Live_Sheet!$178:$178,[8]EAD.PA_Live_Sheet!$196:$197,[8]EAD.PA_Live_Sheet!$298:$298,[8]EAD.PA_Live_Sheet!$140:$151,[8]EAD.PA_Live_Sheet!$181:$192,[8]EAD.PA_Live_Sheet!$235:$238,[8]EAD.PA_Live_Sheet!$257:$260,[8]EAD.PA_Live_Sheet!$317:$329,[8]EAD.PA_Live_Sheet!$300:$315</definedName>
    <definedName name="L_ALL_KEYWORDS_TYPE_Vector_ISSR_208002861">#REF!,#REF!,#REF!,#REF!,#REF!,#REF!,#REF!,#REF!,#REF!,#REF!,#REF!,#REF!,#REF!,#REF!,#REF!,#REF!,#REF!,#REF!,#REF!,#REF!,#REF!,#REF!,#REF!,#REF!,#REF!,#REF!</definedName>
    <definedName name="L_ALL_KEYWORDS_TYPE_Vector_ISSR_208006659">#REF!,#REF!,#REF!,#REF!,#REF!,#REF!,#REF!,#REF!,#REF!,#REF!,#REF!,#REF!,#REF!,#REF!</definedName>
    <definedName name="L_ALL_KEYWORDS_TYPE_Vector_ISSR_208007413">#REF!,#REF!,#REF!,#REF!,#REF!,#REF!,#REF!,#REF!,#REF!,#REF!,#REF!,#REF!,#REF!,#REF!,#REF!,#REF!,#REF!,#REF!,#REF!,#REF!,#REF!,#REF!,#REF!,#REF!,#REF!,#REF!</definedName>
    <definedName name="L_ALL_KEYWORDS_TYPE_Vector_ISSR_208007414" localSheetId="2">'[4]COB.L_Live_Sheet'!$2:$3,'[4]COB.L_Live_Sheet'!$9:$27,'[4]COB.L_Live_Sheet'!$29:$37,'[4]COB.L_Live_Sheet'!$39:$66,'[4]COB.L_Live_Sheet'!$68:$80,'[4]COB.L_Live_Sheet'!$82:$98,'[4]COB.L_Live_Sheet'!$100:$112,'[4]COB.L_Live_Sheet'!$114:$114,'[4]COB.L_Live_Sheet'!$116:$288</definedName>
    <definedName name="L_ALL_KEYWORDS_TYPE_Vector_ISSR_208007414">#REF!,#REF!,#REF!,#REF!,#REF!,#REF!,#REF!,#REF!,#REF!</definedName>
    <definedName name="L_ALL_KEYWORDS_TYPE_Vector_ISSR_208007415" localSheetId="2">[9]MGGT.L_Live_Sheet!$2:$3,[9]MGGT.L_Live_Sheet!$9:$27,[9]MGGT.L_Live_Sheet!$29:$37,[9]MGGT.L_Live_Sheet!$39:$66,[9]MGGT.L_Live_Sheet!$68:$80,[9]MGGT.L_Live_Sheet!$82:$98,[9]MGGT.L_Live_Sheet!$100:$112,[9]MGGT.L_Live_Sheet!$114:$114,[9]MGGT.L_Live_Sheet!$116:$117,[9]MGGT.L_Live_Sheet!$119:$123,[9]MGGT.L_Live_Sheet!$128:$129,[9]MGGT.L_Live_Sheet!$133:$133,[9]MGGT.L_Live_Sheet!$156:$159,[9]MGGT.L_Live_Sheet!$161:$165,[9]MGGT.L_Live_Sheet!$170:$171,[9]MGGT.L_Live_Sheet!$175:$175,[9]MGGT.L_Live_Sheet!$198:$199,[9]MGGT.L_Live_Sheet!$141:$152,[9]MGGT.L_Live_Sheet!$183:$194,[9]MGGT.L_Live_Sheet!$237:$240,[9]MGGT.L_Live_Sheet!$259:$262,[9]MGGT.L_Live_Sheet!$137:$138,[9]MGGT.L_Live_Sheet!$179:$180,[9]MGGT.L_Live_Sheet!$321:$334,[9]MGGT.L_Live_Sheet!$300:$301,[9]MGGT.L_Live_Sheet!$303:$319</definedName>
    <definedName name="L_ALL_KEYWORDS_TYPE_Vector_ISSR_208007415">#REF!,#REF!,#REF!,#REF!,#REF!,#REF!,#REF!,#REF!,#REF!,#REF!,#REF!,#REF!,#REF!,#REF!,#REF!,#REF!,#REF!,#REF!,#REF!,#REF!,#REF!,#REF!,#REF!,#REF!,#REF!,#REF!</definedName>
    <definedName name="L_ALL_KEYWORDS_TYPE_Vector_ISSR_208008646">#REF!,#REF!,#REF!,#REF!,#REF!,#REF!,#REF!,#REF!,#REF!,#REF!,#REF!,#REF!,#REF!,#REF!</definedName>
    <definedName name="L_ALL_MGGT.L" localSheetId="2">[9]MGGT.L_Live_Sheet!$A$1:$AR$391</definedName>
    <definedName name="L_ALL_MGGT.L">#REF!</definedName>
    <definedName name="L_ALL_MTXGn.DE">#REF!</definedName>
    <definedName name="L_ALL_PERIODS_MTXGn.DE" localSheetId="1">#REF!</definedName>
    <definedName name="L_ALL_PERIODS_MTXGn.DE">#REF!</definedName>
    <definedName name="L_ALL_QQ.L">#REF!</definedName>
    <definedName name="L_ALL_RR.L">#REF!</definedName>
    <definedName name="L_ALL_SAABb.ST">#REF!</definedName>
    <definedName name="L_ALL_SAABb.ST_" localSheetId="1">#REF!</definedName>
    <definedName name="L_ALL_SAABb.ST_">#REF!</definedName>
    <definedName name="L_ALL_SAF.PA">#REF!</definedName>
    <definedName name="L_ALL_SAF.PA_" localSheetId="1">#REF!</definedName>
    <definedName name="L_ALL_SAF.PA_">#REF!</definedName>
    <definedName name="L_ALL_SAND.ST">[11]SAND.ST_Live_Sheet!$A$1:$DL$570</definedName>
    <definedName name="L_ALL_SECTION_KEYWORDS_EQTY_200005121_13K" localSheetId="1">#REF!</definedName>
    <definedName name="L_ALL_SECTION_KEYWORDS_EQTY_200007513_1314" localSheetId="1">#REF!</definedName>
    <definedName name="L_ALL_SECTION_KEYWORDS_EQTY_200007513_1314">#REF!</definedName>
    <definedName name="L_ALL_SECTION_KEYWORDS_EQTY_200007513_131E" localSheetId="1">#REF!</definedName>
    <definedName name="L_ALL_SECTION_KEYWORDS_EQTY_200007513_131E">#REF!</definedName>
    <definedName name="L_ALL_SECTION_KEYWORDS_EQTY_200007513_131O" localSheetId="1">#REF!</definedName>
    <definedName name="L_ALL_SECTION_KEYWORDS_EQTY_200007513_131O">#REF!</definedName>
    <definedName name="L_ALL_SECTION_KEYWORDS_EQTY_200007513_13A">#REF!</definedName>
    <definedName name="L_ALL_SECTION_KEYWORDS_EQTY_200007513_13K">#REF!</definedName>
    <definedName name="L_ALL_SECTION_KEYWORDS_EQTY_200007513_13U">#REF!</definedName>
    <definedName name="L_ALL_SECTION_KEYWORDS_EQTY_200007513_13V">#REF!</definedName>
    <definedName name="L_ALL_SECTION_KEYWORDS_EQTY_200007513_Reference_Data">#REF!</definedName>
    <definedName name="L_ALL_SECTION_KEYWORDS_ISSR_208000023_13V">[5]ATCOa.ST_Live_Sheet!$C$31:$C$41,[5]ATCOa.ST_Live_Sheet!$C$44</definedName>
    <definedName name="L_ALL_SECTION_KEYWORDS_ISSR_208001092_13V">#REF!,#REF!</definedName>
    <definedName name="L_ALL_SECTION_KEYWORDS_ISSR_208001095_13V">#REF!,#REF!</definedName>
    <definedName name="L_ALL_SECTION_KEYWORDS_ISSR_208001098_13173">#REF!,#REF!</definedName>
    <definedName name="L_ALL_SECTION_KEYWORDS_ISSR_208001098_13178">#REF!,#REF!</definedName>
    <definedName name="L_ALL_SECTION_KEYWORDS_ISSR_208001098_136J">#REF!,#REF!</definedName>
    <definedName name="L_ALL_SECTION_KEYWORDS_ISSR_208001100_13V">#REF!,#REF!</definedName>
    <definedName name="L_ALL_SECTION_KEYWORDS_ISSR_208001219_136E">#REF!,#REF!</definedName>
    <definedName name="L_ALL_SECTION_KEYWORDS_ISSR_208001433_1314" localSheetId="1">#REF!</definedName>
    <definedName name="L_ALL_SECTION_KEYWORDS_ISSR_208001433_13173" localSheetId="1">#REF!,#REF!</definedName>
    <definedName name="L_ALL_SECTION_KEYWORDS_ISSR_208001433_13173">#REF!,#REF!</definedName>
    <definedName name="L_ALL_SECTION_KEYWORDS_ISSR_208001433_13178">#REF!,#REF!</definedName>
    <definedName name="L_ALL_SECTION_KEYWORDS_ISSR_208001433_1319" localSheetId="1">#REF!</definedName>
    <definedName name="L_ALL_SECTION_KEYWORDS_ISSR_208001433_1319">[7]AIR.PA_Live_Sheet!$C$75:$C$91,[7]AIR.PA_Live_Sheet!$C$95</definedName>
    <definedName name="L_ALL_SECTION_KEYWORDS_ISSR_208001433_131E" localSheetId="1">#REF!</definedName>
    <definedName name="L_ALL_SECTION_KEYWORDS_ISSR_208001433_131O" localSheetId="1">#REF!,#REF!</definedName>
    <definedName name="L_ALL_SECTION_KEYWORDS_ISSR_208001433_131O">[7]AIR.PA_Live_Sheet!$C$130,[7]AIR.PA_Live_Sheet!$C$156</definedName>
    <definedName name="L_ALL_SECTION_KEYWORDS_ISSR_208001433_136J" localSheetId="1">#REF!,#REF!</definedName>
    <definedName name="L_ALL_SECTION_KEYWORDS_ISSR_208001433_136J">#REF!,#REF!</definedName>
    <definedName name="L_ALL_SECTION_KEYWORDS_ISSR_208001433_13V" localSheetId="1">#REF!,#REF!</definedName>
    <definedName name="L_ALL_SECTION_KEYWORDS_ISSR_208001433_13V">[10]AIR.PA_Live_Sheet!$C$31:$C$39,[10]AIR.PA_Live_Sheet!$C$42</definedName>
    <definedName name="L_ALL_SECTION_KEYWORDS_ISSR_208002861_1314" localSheetId="1">#REF!</definedName>
    <definedName name="L_ALL_SECTION_KEYWORDS_ISSR_208002861_1314">#REF!</definedName>
    <definedName name="L_ALL_SECTION_KEYWORDS_ISSR_208002861_13168" localSheetId="1">#REF!</definedName>
    <definedName name="L_ALL_SECTION_KEYWORDS_ISSR_208002861_13168">#REF!</definedName>
    <definedName name="L_ALL_SECTION_KEYWORDS_ISSR_208002861_1316S" localSheetId="1">#REF!</definedName>
    <definedName name="L_ALL_SECTION_KEYWORDS_ISSR_208002861_1316S">#REF!</definedName>
    <definedName name="L_ALL_SECTION_KEYWORDS_ISSR_208002861_1316T">#REF!</definedName>
    <definedName name="L_ALL_SECTION_KEYWORDS_ISSR_208002861_1316U">#REF!</definedName>
    <definedName name="L_ALL_SECTION_KEYWORDS_ISSR_208002861_1319">#REF!</definedName>
    <definedName name="L_ALL_SECTION_KEYWORDS_ISSR_208002861_131E">#REF!</definedName>
    <definedName name="L_ALL_SECTION_KEYWORDS_ISSR_208002861_131J">#REF!</definedName>
    <definedName name="L_ALL_SECTION_KEYWORDS_ISSR_208002861_131O">#REF!</definedName>
    <definedName name="L_ALL_SECTION_KEYWORDS_ISSR_208002861_13U">#REF!</definedName>
    <definedName name="L_ALL_SECTION_KEYWORDS_ISSR_208002861_13V">#REF!</definedName>
    <definedName name="L_ALL_SECTION_KEYWORDS_ISSR_208002861_Reference_Data">#REF!</definedName>
    <definedName name="L_ALL_SECTION_KEYWORDS_ISSR_208006659_13173">#REF!,#REF!</definedName>
    <definedName name="L_ALL_SECTION_KEYWORDS_ISSR_208006659_131O">#REF!,#REF!</definedName>
    <definedName name="L_ALL_SECTION_KEYWORDS_ISSR_208006659_136J">#REF!,#REF!</definedName>
    <definedName name="L_ALL_SECTION_KEYWORDS_ISSR_208007415_13V">#REF!,#REF!</definedName>
    <definedName name="L_ALL_SECTION_KEYWORDS_ISSR_208008646_13V">#REF!,#REF!</definedName>
    <definedName name="L_ALL_SECTIONS_EQTY_200003162" localSheetId="2">[6]BAES.L_Live_Sheet!$331:$331,[6]BAES.L_Live_Sheet!$338:$338,[6]BAES.L_Live_Sheet!$346:$346,[6]BAES.L_Live_Sheet!$358:$358,[6]BAES.L_Live_Sheet!$375:$375,[6]BAES.L_Live_Sheet!$379:$379,[6]BAES.L_Live_Sheet!$381:$381,[6]BAES.L_Live_Sheet!$383:$383</definedName>
    <definedName name="L_ALL_SECTIONS_EQTY_200003162">#REF!,#REF!,#REF!,#REF!,#REF!,#REF!,#REF!,#REF!</definedName>
    <definedName name="L_ALL_SECTIONS_EQTY_200003170">#REF!,#REF!,#REF!,#REF!,#REF!,#REF!,#REF!,#REF!</definedName>
    <definedName name="L_ALL_SECTIONS_EQTY_200003173">#REF!,#REF!,#REF!,#REF!,#REF!,#REF!,#REF!,#REF!</definedName>
    <definedName name="L_ALL_SECTIONS_EQTY_200003183">#REF!,#REF!,#REF!,#REF!,#REF!,#REF!,#REF!,#REF!</definedName>
    <definedName name="L_ALL_SECTIONS_EQTY_200003821">#REF!,#REF!,#REF!,#REF!,#REF!,#REF!,#REF!,#REF!</definedName>
    <definedName name="L_ALL_SECTIONS_EQTY_200004285">#REF!,#REF!,#REF!,#REF!,#REF!,#REF!,#REF!,#REF!</definedName>
    <definedName name="L_ALL_SECTIONS_EQTY_200005121">[8]EAD.PA_Live_Sheet!$331:$331,[8]EAD.PA_Live_Sheet!$338:$338,[8]EAD.PA_Live_Sheet!$349:$349,[8]EAD.PA_Live_Sheet!$361:$361,[8]EAD.PA_Live_Sheet!$378:$378,[8]EAD.PA_Live_Sheet!$382:$382,[8]EAD.PA_Live_Sheet!$384:$384,[8]EAD.PA_Live_Sheet!$386:$386</definedName>
    <definedName name="L_ALL_SECTIONS_EQTY_200007513">#REF!,#REF!,#REF!,#REF!,#REF!,#REF!,#REF!,#REF!</definedName>
    <definedName name="L_ALL_SECTIONS_EQTY_200009618">#REF!,#REF!,#REF!,#REF!,#REF!,#REF!,#REF!,#REF!</definedName>
    <definedName name="L_ALL_SECTIONS_EQTY_200009619" localSheetId="2">'[4]COB.L_Live_Sheet'!$290:$290,'[4]COB.L_Live_Sheet'!$297:$297,'[4]COB.L_Live_Sheet'!$306:$306,'[4]COB.L_Live_Sheet'!$318:$318,'[4]COB.L_Live_Sheet'!$337:$337,'[4]COB.L_Live_Sheet'!$341:$341,'[4]COB.L_Live_Sheet'!$343:$343,'[4]COB.L_Live_Sheet'!$345:$345</definedName>
    <definedName name="L_ALL_SECTIONS_EQTY_200009619">#REF!,#REF!,#REF!,#REF!,#REF!,#REF!,#REF!,#REF!</definedName>
    <definedName name="L_ALL_SECTIONS_EQTY_200009620" localSheetId="2">[9]MGGT.L_Live_Sheet!$336:$336,[9]MGGT.L_Live_Sheet!$343:$343,[9]MGGT.L_Live_Sheet!$351:$351,[9]MGGT.L_Live_Sheet!$363:$363,[9]MGGT.L_Live_Sheet!$380:$380,[9]MGGT.L_Live_Sheet!$384:$384,[9]MGGT.L_Live_Sheet!$386:$386,[9]MGGT.L_Live_Sheet!$388:$388</definedName>
    <definedName name="L_ALL_SECTIONS_EQTY_200009620">#REF!,#REF!,#REF!,#REF!,#REF!,#REF!,#REF!,#REF!</definedName>
    <definedName name="L_ALL_SECTIONS_EQTY_200011295">#REF!,#REF!,#REF!,#REF!,#REF!,#REF!,#REF!,#REF!</definedName>
    <definedName name="L_ALL_SECTIONS_ISSR_208001092" localSheetId="2">[6]BAES.L_Live_Sheet!$5:$5,[6]BAES.L_Live_Sheet!$8:$8,[6]BAES.L_Live_Sheet!$28:$28,[6]BAES.L_Live_Sheet!$38:$38,[6]BAES.L_Live_Sheet!$67:$67,[6]BAES.L_Live_Sheet!$81:$81,[6]BAES.L_Live_Sheet!$99:$99,[6]BAES.L_Live_Sheet!$113:$113,[6]BAES.L_Live_Sheet!$115:$115,[6]BAES.L_Live_Sheet!$297:$316</definedName>
    <definedName name="L_ALL_SECTIONS_ISSR_208001092">#REF!,#REF!,#REF!,#REF!,#REF!,#REF!,#REF!,#REF!,#REF!,#REF!</definedName>
    <definedName name="L_ALL_SECTIONS_ISSR_208001096">#REF!,#REF!,#REF!,#REF!,#REF!,#REF!,#REF!,#REF!,#REF!,#REF!</definedName>
    <definedName name="L_ALL_SECTIONS_ISSR_208001098">#REF!,#REF!,#REF!,#REF!,#REF!,#REF!,#REF!,#REF!,#REF!,#REF!</definedName>
    <definedName name="L_ALL_SECTIONS_ISSR_208001100">#REF!,#REF!,#REF!,#REF!,#REF!,#REF!,#REF!,#REF!,#REF!,#REF!</definedName>
    <definedName name="L_ALL_SECTIONS_ISSR_208001129">#REF!,#REF!,#REF!,#REF!,#REF!,#REF!,#REF!,#REF!,#REF!,#REF!</definedName>
    <definedName name="L_ALL_SECTIONS_ISSR_208001433">[8]EAD.PA_Live_Sheet!$5:$5,[8]EAD.PA_Live_Sheet!$8:$8,[8]EAD.PA_Live_Sheet!$28:$28,[8]EAD.PA_Live_Sheet!$38:$38,[8]EAD.PA_Live_Sheet!$67:$67,[8]EAD.PA_Live_Sheet!$81:$81,[8]EAD.PA_Live_Sheet!$99:$99,[8]EAD.PA_Live_Sheet!$113:$113,[8]EAD.PA_Live_Sheet!$115:$115,[8]EAD.PA_Live_Sheet!$297:$316</definedName>
    <definedName name="L_ALL_SECTIONS_ISSR_208002861">#REF!,#REF!,#REF!,#REF!,#REF!,#REF!,#REF!,#REF!,#REF!,#REF!</definedName>
    <definedName name="L_ALL_SECTIONS_ISSR_208007413">#REF!,#REF!,#REF!,#REF!,#REF!,#REF!,#REF!,#REF!,#REF!,#REF!</definedName>
    <definedName name="L_ALL_SECTIONS_ISSR_208007414" localSheetId="2">'[4]COB.L_Live_Sheet'!$5:$5,'[4]COB.L_Live_Sheet'!$8:$8,'[4]COB.L_Live_Sheet'!$28:$28,'[4]COB.L_Live_Sheet'!$38:$38,'[4]COB.L_Live_Sheet'!$67:$67,'[4]COB.L_Live_Sheet'!$81:$81,'[4]COB.L_Live_Sheet'!$99:$99,'[4]COB.L_Live_Sheet'!$113:$113,'[4]COB.L_Live_Sheet'!$115:$115</definedName>
    <definedName name="L_ALL_SECTIONS_ISSR_208007414">#REF!,#REF!,#REF!,#REF!,#REF!,#REF!,#REF!,#REF!,#REF!</definedName>
    <definedName name="L_ALL_SECTIONS_ISSR_208007415" localSheetId="2">[9]MGGT.L_Live_Sheet!$5:$5,[9]MGGT.L_Live_Sheet!$8:$8,[9]MGGT.L_Live_Sheet!$28:$28,[9]MGGT.L_Live_Sheet!$38:$38,[9]MGGT.L_Live_Sheet!$67:$67,[9]MGGT.L_Live_Sheet!$81:$81,[9]MGGT.L_Live_Sheet!$99:$99,[9]MGGT.L_Live_Sheet!$113:$113,[9]MGGT.L_Live_Sheet!$115:$115,[9]MGGT.L_Live_Sheet!$299:$320</definedName>
    <definedName name="L_ALL_SECTIONS_ISSR_208007415">#REF!,#REF!,#REF!,#REF!,#REF!,#REF!,#REF!,#REF!,#REF!,#REF!</definedName>
    <definedName name="L_ALL_SECTIONS_ISSR_208008646">#REF!,#REF!,#REF!,#REF!,#REF!,#REF!,#REF!,#REF!,#REF!,#REF!</definedName>
    <definedName name="L_ALL_SIFI.MI">#REF!</definedName>
    <definedName name="L_ALL_SKFb.ST">[16]SKFb.ST_Live_Sheet!$A$1:$DS$567</definedName>
    <definedName name="L_ALL_TCFP.PA">#REF!</definedName>
    <definedName name="L_ALL_ULE.L" localSheetId="2">[17]ULE.L_Live_Sheet!$A$1:$AP$268</definedName>
    <definedName name="L_ALL_ULE.L">#REF!</definedName>
    <definedName name="L_CURRENCY_EQTY_200003162_PRI" localSheetId="2">[6]BAES.L_Live_Sheet!$E$336</definedName>
    <definedName name="L_CURRENCY_EQTY_200003162_PRI">#REF!</definedName>
    <definedName name="L_CURRENCY_EQTY_200003162_PUB" localSheetId="2">[6]BAES.L_Live_Sheet!$E$335</definedName>
    <definedName name="L_CURRENCY_EQTY_200003162_PUB">#REF!</definedName>
    <definedName name="L_CURRENCY_EQTY_200003162_REP" localSheetId="2">[6]BAES.L_Live_Sheet!$E$337</definedName>
    <definedName name="L_CURRENCY_EQTY_200003162_REP">#REF!</definedName>
    <definedName name="L_CURRENCY_EQTY_200003170_PRI">#REF!</definedName>
    <definedName name="L_CURRENCY_EQTY_200003170_PUB">#REF!</definedName>
    <definedName name="L_CURRENCY_EQTY_200003170_REP">#REF!</definedName>
    <definedName name="L_CURRENCY_EQTY_200003173_PRI">#REF!</definedName>
    <definedName name="L_CURRENCY_EQTY_200003173_PUB">#REF!</definedName>
    <definedName name="L_CURRENCY_EQTY_200003173_REP">#REF!</definedName>
    <definedName name="L_CURRENCY_EQTY_200003183_PRI">#REF!</definedName>
    <definedName name="L_CURRENCY_EQTY_200003183_PUB">#REF!</definedName>
    <definedName name="L_CURRENCY_EQTY_200003183_REP">#REF!</definedName>
    <definedName name="L_CURRENCY_EQTY_200003821_PRI">#REF!</definedName>
    <definedName name="L_CURRENCY_EQTY_200003821_PUB">#REF!</definedName>
    <definedName name="L_CURRENCY_EQTY_200003821_REP">#REF!</definedName>
    <definedName name="L_CURRENCY_EQTY_200004285_PRI">#REF!</definedName>
    <definedName name="L_CURRENCY_EQTY_200004285_PUB">#REF!</definedName>
    <definedName name="L_CURRENCY_EQTY_200004285_REP">#REF!</definedName>
    <definedName name="L_CURRENCY_EQTY_200005121_PRI">[8]EAD.PA_Live_Sheet!$E$336</definedName>
    <definedName name="L_CURRENCY_EQTY_200005121_PUB">[8]EAD.PA_Live_Sheet!$E$335</definedName>
    <definedName name="L_CURRENCY_EQTY_200005121_REP">[8]EAD.PA_Live_Sheet!$E$337</definedName>
    <definedName name="L_CURRENCY_EQTY_200007513_PRI">#REF!</definedName>
    <definedName name="L_CURRENCY_EQTY_200007513_PUB">#REF!</definedName>
    <definedName name="L_CURRENCY_EQTY_200007513_REP">#REF!</definedName>
    <definedName name="L_CURRENCY_EQTY_200009618_PRI">#REF!</definedName>
    <definedName name="L_CURRENCY_EQTY_200009618_PUB">#REF!</definedName>
    <definedName name="L_CURRENCY_EQTY_200009618_REP">#REF!</definedName>
    <definedName name="L_CURRENCY_EQTY_200009619_PRI" localSheetId="2">'[4]COB.L_Live_Sheet'!$E$295</definedName>
    <definedName name="L_CURRENCY_EQTY_200009619_PRI">#REF!</definedName>
    <definedName name="L_CURRENCY_EQTY_200009619_PUB" localSheetId="2">'[4]COB.L_Live_Sheet'!$E$294</definedName>
    <definedName name="L_CURRENCY_EQTY_200009619_PUB">#REF!</definedName>
    <definedName name="L_CURRENCY_EQTY_200009619_REP" localSheetId="2">'[4]COB.L_Live_Sheet'!$E$296</definedName>
    <definedName name="L_CURRENCY_EQTY_200009619_REP">#REF!</definedName>
    <definedName name="L_CURRENCY_EQTY_200009620_PRI" localSheetId="2">[9]MGGT.L_Live_Sheet!$E$341</definedName>
    <definedName name="L_CURRENCY_EQTY_200009620_PRI">#REF!</definedName>
    <definedName name="L_CURRENCY_EQTY_200009620_PUB" localSheetId="2">[9]MGGT.L_Live_Sheet!$E$340</definedName>
    <definedName name="L_CURRENCY_EQTY_200009620_PUB">#REF!</definedName>
    <definedName name="L_CURRENCY_EQTY_200009620_REP" localSheetId="2">[9]MGGT.L_Live_Sheet!$E$342</definedName>
    <definedName name="L_CURRENCY_EQTY_200009620_REP">#REF!</definedName>
    <definedName name="L_CURRENCY_EQTY_200011295_PRI">#REF!</definedName>
    <definedName name="L_CURRENCY_EQTY_200011295_PUB">#REF!</definedName>
    <definedName name="L_CURRENCY_EQTY_200011295_REP">#REF!</definedName>
    <definedName name="L_CURRENCY_ISSR_208001092_REP" localSheetId="2">[6]BAES.L_Live_Sheet!$E$7</definedName>
    <definedName name="L_CURRENCY_ISSR_208001092_REP">#REF!</definedName>
    <definedName name="L_CURRENCY_ISSR_208001096_REP">#REF!</definedName>
    <definedName name="L_CURRENCY_ISSR_208001098_REP">#REF!</definedName>
    <definedName name="L_CURRENCY_ISSR_208001100_REP">#REF!</definedName>
    <definedName name="L_CURRENCY_ISSR_208001129_REP">#REF!</definedName>
    <definedName name="L_CURRENCY_ISSR_208001219_REP">#REF!</definedName>
    <definedName name="L_CURRENCY_ISSR_208001433_REP">[8]EAD.PA_Live_Sheet!$E$7</definedName>
    <definedName name="L_CURRENCY_ISSR_208002861_REP">#REF!</definedName>
    <definedName name="L_CURRENCY_ISSR_208007413_REP">#REF!</definedName>
    <definedName name="L_CURRENCY_ISSR_208007414_REP" localSheetId="2">'[4]COB.L_Live_Sheet'!$E$7</definedName>
    <definedName name="L_CURRENCY_ISSR_208007414_REP">#REF!</definedName>
    <definedName name="L_CURRENCY_ISSR_208007415_REP" localSheetId="2">[9]MGGT.L_Live_Sheet!$E$7</definedName>
    <definedName name="L_CURRENCY_ISSR_208007415_REP">#REF!</definedName>
    <definedName name="L_CURRENCY_ISSR_208008646_REP">#REF!</definedName>
    <definedName name="L_ENTITY_DATA_EQTY_200007513" localSheetId="1">#REF!</definedName>
    <definedName name="L_ENTITY_DATA_EQTY_200007513">#REF!</definedName>
    <definedName name="L_ENTITY_DATA_ISSR_208002861" localSheetId="1">#REF!</definedName>
    <definedName name="L_ENTITY_DATA_ISSR_208002861">#REF!</definedName>
    <definedName name="L_KEYWORD_EQTY_200007513_BETA_ANALYST" localSheetId="1">#REF!</definedName>
    <definedName name="L_KEYWORD_EQTY_200007513_BETA_ANALYST">#REF!</definedName>
    <definedName name="L_KEYWORD_EQTY_200007513_BVPS" localSheetId="1">#REF!</definedName>
    <definedName name="L_KEYWORD_EQTY_200007513_BVPS">#REF!</definedName>
    <definedName name="L_KEYWORD_EQTY_200007513_BVPS_PUB" localSheetId="1">#REF!</definedName>
    <definedName name="L_KEYWORD_EQTY_200007513_BVPS_PUB">#REF!</definedName>
    <definedName name="L_KEYWORD_EQTY_200007513_CF_NI_PRE_PREF">#REF!</definedName>
    <definedName name="L_KEYWORD_EQTY_200007513_COMMON_DIV_PAID">#REF!</definedName>
    <definedName name="L_KEYWORD_EQTY_200007513_CURRENCY_ISO">#REF!</definedName>
    <definedName name="L_KEYWORD_EQTY_200007513_DILUTE_SHARES">#REF!</definedName>
    <definedName name="L_KEYWORD_EQTY_200007513_DPS">#REF!</definedName>
    <definedName name="L_KEYWORD_EQTY_200007513_DPS_PUB">#REF!</definedName>
    <definedName name="L_KEYWORD_EQTY_200007513_EBIT_PUB">#REF!</definedName>
    <definedName name="L_KEYWORD_EQTY_200007513_EBITDA_PUB">#REF!</definedName>
    <definedName name="L_KEYWORD_EQTY_200007513_EPS">#REF!</definedName>
    <definedName name="L_KEYWORD_EQTY_200007513_EPS_FUL_DIL">#REF!</definedName>
    <definedName name="L_KEYWORD_EQTY_200007513_EPS_POST_BASIC">#REF!</definedName>
    <definedName name="L_KEYWORD_EQTY_200007513_EPS_PUB">#REF!</definedName>
    <definedName name="L_KEYWORD_EQTY_200007513_EQ_PUB">#REF!</definedName>
    <definedName name="L_KEYWORD_EQTY_200007513_EURO_CONVICTION">#REF!</definedName>
    <definedName name="L_KEYWORD_EQTY_200007513_EURO_LIST">#REF!</definedName>
    <definedName name="L_KEYWORD_EQTY_200007513_EV_ADJ_PUB">#REF!</definedName>
    <definedName name="L_KEYWORD_EQTY_200007513_FREE_FLOAT">#REF!</definedName>
    <definedName name="L_KEYWORD_EQTY_200007513_FULLY_DIL_EPS">#REF!</definedName>
    <definedName name="L_KEYWORD_EQTY_200007513_INC_MINORITY">#REF!</definedName>
    <definedName name="L_KEYWORD_EQTY_200007513_Interim_Type">#REF!</definedName>
    <definedName name="L_KEYWORD_EQTY_200007513_LEGAL_RATING">#REF!</definedName>
    <definedName name="L_KEYWORD_EQTY_200007513_MARGIN_TAX_RATE">#REF!</definedName>
    <definedName name="L_KEYWORD_EQTY_200007513_MKT_EQ_RISK_PREM">#REF!</definedName>
    <definedName name="L_KEYWORD_EQTY_200007513_NET_DEBT_PUB">#REF!</definedName>
    <definedName name="L_KEYWORD_EQTY_200007513_NET_EARNING">#REF!</definedName>
    <definedName name="L_KEYWORD_EQTY_200007513_NET_INC">#REF!</definedName>
    <definedName name="L_KEYWORD_EQTY_200007513_NI_PRE_PREF">#REF!</definedName>
    <definedName name="L_KEYWORD_EQTY_200007513_NI_PUB">#REF!</definedName>
    <definedName name="L_KEYWORD_EQTY_200007513_NON_OP_ADD">#REF!</definedName>
    <definedName name="L_KEYWORD_EQTY_200007513_NUM_SH">#REF!</definedName>
    <definedName name="L_KEYWORD_EQTY_200007513_ORG_EPS">#REF!</definedName>
    <definedName name="L_KEYWORD_EQTY_200007513_ORG_NI">#REF!</definedName>
    <definedName name="L_KEYWORD_EQTY_200007513_PREF_DIV">#REF!</definedName>
    <definedName name="L_KEYWORD_EQTY_200007513_PRICE_CURRENCY_ISO">#REF!</definedName>
    <definedName name="L_KEYWORD_EQTY_200007513_PROV_INC_TAX">#REF!</definedName>
    <definedName name="L_KEYWORD_EQTY_200007513_PTP_PUB">#REF!</definedName>
    <definedName name="L_KEYWORD_EQTY_200007513_PUB_CURRENCY_ISO">#REF!</definedName>
    <definedName name="L_KEYWORD_EQTY_200007513_REVS_PUB">#REF!</definedName>
    <definedName name="L_KEYWORD_EQTY_200007513_RISK_FR_RATE">#REF!</definedName>
    <definedName name="L_KEYWORD_EQTY_200007513_Security_Name">#REF!</definedName>
    <definedName name="L_KEYWORD_EQTY_200007513_SH">#REF!</definedName>
    <definedName name="L_KEYWORD_EQTY_200007513_TARGET_PRICE">#REF!</definedName>
    <definedName name="L_KEYWORD_EQTY_200007513_TAX_EXC">#REF!</definedName>
    <definedName name="L_KEYWORD_EQTY_200007513_Ticker">#REF!</definedName>
    <definedName name="L_KEYWORD_EQTY_200007513_TP_PERIOD">#REF!</definedName>
    <definedName name="L_KEYWORD_ISSR_208002861_ACC_AMORT" localSheetId="1">#REF!</definedName>
    <definedName name="L_KEYWORD_ISSR_208002861_ACC_AMORT">#REF!</definedName>
    <definedName name="L_KEYWORD_ISSR_208002861_ACC_DDA" localSheetId="1">#REF!</definedName>
    <definedName name="L_KEYWORD_ISSR_208002861_ACC_DDA">#REF!</definedName>
    <definedName name="L_KEYWORD_ISSR_208002861_ACC_END_DATE" localSheetId="1">#REF!</definedName>
    <definedName name="L_KEYWORD_ISSR_208002861_ACC_END_DATE">#REF!</definedName>
    <definedName name="L_KEYWORD_ISSR_208002861_ACC_PAY_GQ">#REF!</definedName>
    <definedName name="L_KEYWORD_ISSR_208002861_ACQ">#REF!</definedName>
    <definedName name="L_KEYWORD_ISSR_208002861_ADJ_UNF_PENS_GOOD">#REF!</definedName>
    <definedName name="L_KEYWORD_ISSR_208002861_ASSOC_JV_ADDBK">#REF!</definedName>
    <definedName name="L_KEYWORD_ISSR_208002861_ASSOCIATE">#REF!</definedName>
    <definedName name="L_KEYWORD_ISSR_208002861_ASSOCIATE_OP">#REF!</definedName>
    <definedName name="L_KEYWORD_ISSR_208002861_BAL_MINO_INT">#REF!</definedName>
    <definedName name="L_KEYWORD_ISSR_208002861_CAP_LEASES">#REF!</definedName>
    <definedName name="L_KEYWORD_ISSR_208002861_CAPEX">#REF!</definedName>
    <definedName name="L_KEYWORD_ISSR_208002861_CAPEX_EXPANSION">#REF!</definedName>
    <definedName name="L_KEYWORD_ISSR_208002861_CAPEX_MAINTENANCE">#REF!</definedName>
    <definedName name="L_KEYWORD_ISSR_208002861_CASH_EQ">#REF!</definedName>
    <definedName name="L_KEYWORD_ISSR_208002861_CASH_INT_EXP">#REF!</definedName>
    <definedName name="L_KEYWORD_ISSR_208002861_CASH_INT_INC_EXP">#REF!</definedName>
    <definedName name="L_KEYWORD_ISSR_208002861_CASH_TAX_EXP">#REF!</definedName>
    <definedName name="L_KEYWORD_ISSR_208002861_CASH_TAX_PD">#REF!</definedName>
    <definedName name="L_KEYWORD_ISSR_208002861_CF_FIN">#REF!</definedName>
    <definedName name="L_KEYWORD_ISSR_208002861_CF_INC_MINORITY">#REF!</definedName>
    <definedName name="L_KEYWORD_ISSR_208002861_CF_INV">#REF!</definedName>
    <definedName name="L_KEYWORD_ISSR_208002861_CF_OPS">#REF!</definedName>
    <definedName name="L_KEYWORD_ISSR_208002861_CHG_LT_DEBT">#REF!</definedName>
    <definedName name="L_KEYWORD_ISSR_208002861_CO_BOR_MARGIN">#REF!</definedName>
    <definedName name="L_KEYWORD_ISSR_208002861_COST_GD_SD">#REF!</definedName>
    <definedName name="L_KEYWORD_ISSR_208002861_CUR_ASS">#REF!</definedName>
    <definedName name="L_KEYWORD_ISSR_208002861_CURRENCY_ISO">#REF!</definedName>
    <definedName name="L_KEYWORD_ISSR_208002861_DEBTORS">#REF!</definedName>
    <definedName name="L_KEYWORD_ISSR_208002861_DEF_INC_TAX">#REF!</definedName>
    <definedName name="L_KEYWORD_ISSR_208002861_DEPR_AMORT">#REF!</definedName>
    <definedName name="L_KEYWORD_ISSR_208002861_DEPREC">#REF!</definedName>
    <definedName name="L_KEYWORD_ISSR_208002861_DIV_PAID">#REF!</definedName>
    <definedName name="L_KEYWORD_ISSR_208002861_DIVDS_ASSOC_JV">#REF!</definedName>
    <definedName name="L_KEYWORD_ISSR_208002861_DIVDS_PD_MINORITIES">#REF!</definedName>
    <definedName name="L_KEYWORD_ISSR_208002861_DIVEST">#REF!</definedName>
    <definedName name="L_KEYWORD_ISSR_208002861_EBIT">#REF!</definedName>
    <definedName name="L_KEYWORD_ISSR_208002861_EBITDA_CALC">#REF!</definedName>
    <definedName name="L_KEYWORD_ISSR_208002861_EMPLOYEES">#REF!</definedName>
    <definedName name="L_KEYWORD_ISSR_208002861_EQ">#REF!</definedName>
    <definedName name="L_KEYWORD_ISSR_208002861_EXP_ALUMINIUM">#REF!</definedName>
    <definedName name="L_KEYWORD_ISSR_208002861_EXP_COPPER">#REF!</definedName>
    <definedName name="L_KEYWORD_ISSR_208002861_EXP_GLASS">#REF!</definedName>
    <definedName name="L_KEYWORD_ISSR_208002861_EXP_GOLD">#REF!</definedName>
    <definedName name="L_KEYWORD_ISSR_208002861_EXP_NAT_GAS">#REF!</definedName>
    <definedName name="L_KEYWORD_ISSR_208002861_EXP_NICKEL">#REF!</definedName>
    <definedName name="L_KEYWORD_ISSR_208002861_EXP_OIL_DERIV_NGLS_PLASTICS">#REF!</definedName>
    <definedName name="L_KEYWORD_ISSR_208002861_EXP_OIL_PETRO_FUEL">#REF!</definedName>
    <definedName name="L_KEYWORD_ISSR_208002861_EXP_OTH_COMMODITY">#REF!</definedName>
    <definedName name="L_KEYWORD_ISSR_208002861_EXP_OTH_COST">#REF!</definedName>
    <definedName name="L_KEYWORD_ISSR_208002861_EXP_PALLADIUM">#REF!</definedName>
    <definedName name="L_KEYWORD_ISSR_208002861_EXP_PLATINUM">#REF!</definedName>
    <definedName name="L_KEYWORD_ISSR_208002861_EXP_RUBBER">#REF!</definedName>
    <definedName name="L_KEYWORD_ISSR_208002861_EXP_SILVER">#REF!</definedName>
    <definedName name="L_KEYWORD_ISSR_208002861_EXP_STEEL">#REF!</definedName>
    <definedName name="L_KEYWORD_ISSR_208002861_EXP_WATER">#REF!</definedName>
    <definedName name="L_KEYWORD_ISSR_208002861_EXP_ZINC">#REF!</definedName>
    <definedName name="L_KEYWORD_ISSR_208002861_FIX_ASS_INV">#REF!</definedName>
    <definedName name="L_KEYWORD_ISSR_208002861_GCI_INFL">#REF!</definedName>
    <definedName name="L_KEYWORD_ISSR_208002861_GOODWILL_AMORT">#REF!</definedName>
    <definedName name="L_KEYWORD_ISSR_208002861_GR_FIX_ASS">#REF!</definedName>
    <definedName name="L_KEYWORD_ISSR_208002861_GR_INTANG">#REF!</definedName>
    <definedName name="L_KEYWORD_ISSR_208002861_GW_AMORT">#REF!</definedName>
    <definedName name="L_KEYWORD_ISSR_208002861_IND_SALES_BRAZIL">#REF!</definedName>
    <definedName name="L_KEYWORD_ISSR_208002861_IND_SALES_CEE">#REF!</definedName>
    <definedName name="L_KEYWORD_ISSR_208002861_IND_SALES_CHINA">#REF!</definedName>
    <definedName name="L_KEYWORD_ISSR_208002861_IND_SALES_CONS">#REF!</definedName>
    <definedName name="L_KEYWORD_ISSR_208002861_IND_SALES_EU_EX_UK">#REF!</definedName>
    <definedName name="L_KEYWORD_ISSR_208002861_IND_SALES_FINAN">#REF!</definedName>
    <definedName name="L_KEYWORD_ISSR_208002861_IND_SALES_FRA">#REF!</definedName>
    <definedName name="L_KEYWORD_ISSR_208002861_IND_SALES_GER">#REF!</definedName>
    <definedName name="L_KEYWORD_ISSR_208002861_IND_SALES_GOV">#REF!</definedName>
    <definedName name="L_KEYWORD_ISSR_208002861_IND_SALES_IND">#REF!</definedName>
    <definedName name="L_KEYWORD_ISSR_208002861_IND_SALES_INDIA">#REF!</definedName>
    <definedName name="L_KEYWORD_ISSR_208002861_IND_SALES_ITA">#REF!</definedName>
    <definedName name="L_KEYWORD_ISSR_208002861_IND_SALES_JAPAN">#REF!</definedName>
    <definedName name="L_KEYWORD_ISSR_208002861_IND_SALES_ME">#REF!</definedName>
    <definedName name="L_KEYWORD_ISSR_208002861_IND_SALES_NIGERIA">#REF!</definedName>
    <definedName name="L_KEYWORD_ISSR_208002861_IND_SALES_OTH_AEJ">#REF!</definedName>
    <definedName name="L_KEYWORD_ISSR_208002861_IND_SALES_OTH_AFRICA">#REF!</definedName>
    <definedName name="L_KEYWORD_ISSR_208002861_IND_SALES_OTH_AM">#REF!</definedName>
    <definedName name="L_KEYWORD_ISSR_208002861_IND_SALES_OTH_EMEA">#REF!</definedName>
    <definedName name="L_KEYWORD_ISSR_208002861_IND_SALES_OTH_EU_EX_UK">#REF!</definedName>
    <definedName name="L_KEYWORD_ISSR_208002861_IND_SALES_OTHER">#REF!</definedName>
    <definedName name="L_KEYWORD_ISSR_208002861_IND_SALES_RUSSIA">#REF!</definedName>
    <definedName name="L_KEYWORD_ISSR_208002861_IND_SALES_SO_AFRICA">#REF!</definedName>
    <definedName name="L_KEYWORD_ISSR_208002861_IND_SALES_SPA">#REF!</definedName>
    <definedName name="L_KEYWORD_ISSR_208002861_IND_SALES_TOT_AFRICA">#REF!</definedName>
    <definedName name="L_KEYWORD_ISSR_208002861_IND_SALES_TOT_AM">#REF!</definedName>
    <definedName name="L_KEYWORD_ISSR_208002861_IND_SALES_TOT_ASIA">#REF!</definedName>
    <definedName name="L_KEYWORD_ISSR_208002861_IND_SALES_TOT_EMEA">#REF!</definedName>
    <definedName name="L_KEYWORD_ISSR_208002861_IND_SALES_UK">#REF!</definedName>
    <definedName name="L_KEYWORD_ISSR_208002861_IND_SALES_US">#REF!</definedName>
    <definedName name="L_KEYWORD_ISSR_208002861_INT_EXP_IND">#REF!</definedName>
    <definedName name="L_KEYWORD_ISSR_208002861_INT_INC_IND">#REF!</definedName>
    <definedName name="L_KEYWORD_ISSR_208002861_INV_SECUR">#REF!</definedName>
    <definedName name="L_KEYWORD_ISSR_208002861_Issuer_Name">#REF!</definedName>
    <definedName name="L_KEYWORD_ISSR_208002861_LEASE_DEEM_DEPR">#REF!</definedName>
    <definedName name="L_KEYWORD_ISSR_208002861_LEASE_DEEM_INT">#REF!</definedName>
    <definedName name="L_KEYWORD_ISSR_208002861_LEASE_PAY">#REF!</definedName>
    <definedName name="L_KEYWORD_ISSR_208002861_LT_DEBT">#REF!</definedName>
    <definedName name="L_KEYWORD_ISSR_208002861_MINORITIES">#REF!</definedName>
    <definedName name="L_KEYWORD_ISSR_208002861_MV_ASSOCIATES">#REF!</definedName>
    <definedName name="L_KEYWORD_ISSR_208002861_NET_DEBT">#REF!</definedName>
    <definedName name="L_KEYWORD_ISSR_208002861_NET_DEBT_ADJ">#REF!</definedName>
    <definedName name="L_KEYWORD_ISSR_208002861_NET_FIX_ASS">#REF!</definedName>
    <definedName name="L_KEYWORD_ISSR_208002861_NET_INT_CH">#REF!</definedName>
    <definedName name="L_KEYWORD_ISSR_208002861_NET_INT_EXP">#REF!</definedName>
    <definedName name="L_KEYWORD_ISSR_208002861_NET_INTANG">#REF!</definedName>
    <definedName name="L_KEYWORD_ISSR_208002861_NONPPE_CAPEX">#REF!</definedName>
    <definedName name="L_KEYWORD_ISSR_208002861_OP_COST">#REF!</definedName>
    <definedName name="L_KEYWORD_ISSR_208002861_ORD_SH_FUND">#REF!</definedName>
    <definedName name="L_KEYWORD_ISSR_208002861_ORG_REV">#REF!</definedName>
    <definedName name="L_KEYWORD_ISSR_208002861_ORG_REV_GRTH">#REF!</definedName>
    <definedName name="L_KEYWORD_ISSR_208002861_OTH_COST_INC">#REF!</definedName>
    <definedName name="L_KEYWORD_ISSR_208002861_OTH_CUR_ASS">#REF!</definedName>
    <definedName name="L_KEYWORD_ISSR_208002861_OTH_CUR_LIABS">#REF!</definedName>
    <definedName name="L_KEYWORD_ISSR_208002861_OTH_DACF_ADJ">#REF!</definedName>
    <definedName name="L_KEYWORD_ISSR_208002861_OTH_FIN_CF">#REF!</definedName>
    <definedName name="L_KEYWORD_ISSR_208002861_OTH_GCI_ADJ">#REF!</definedName>
    <definedName name="L_KEYWORD_ISSR_208002861_OTH_INT_AMORT">#REF!</definedName>
    <definedName name="L_KEYWORD_ISSR_208002861_OTH_INV_CF">#REF!</definedName>
    <definedName name="L_KEYWORD_ISSR_208002861_OTH_ITEM_NCF">#REF!</definedName>
    <definedName name="L_KEYWORD_ISSR_208002861_OTH_LT_ASS">#REF!</definedName>
    <definedName name="L_KEYWORD_ISSR_208002861_OTH_LT_CRED_GQ">#REF!</definedName>
    <definedName name="L_KEYWORD_ISSR_208002861_OTH_NONCASH_ADJ">#REF!</definedName>
    <definedName name="L_KEYWORD_ISSR_208002861_OTH_OP_CF">#REF!</definedName>
    <definedName name="L_KEYWORD_ISSR_208002861_OTH_OP_INC_EXP">#REF!</definedName>
    <definedName name="L_KEYWORD_ISSR_208002861_PERIOD_MILESTONE">#REF!</definedName>
    <definedName name="L_KEYWORD_ISSR_208002861_PL_SALE_ASSETS">#REF!</definedName>
    <definedName name="L_KEYWORD_ISSR_208002861_PREF_SH">#REF!</definedName>
    <definedName name="L_KEYWORD_ISSR_208002861_PROFIT_ON_DISP">#REF!</definedName>
    <definedName name="L_KEYWORD_ISSR_208002861_PT_PROF">#REF!</definedName>
    <definedName name="L_KEYWORD_ISSR_208002861_RD_EXP">#REF!</definedName>
    <definedName name="L_KEYWORD_ISSR_208002861_SALES">#REF!</definedName>
    <definedName name="L_KEYWORD_ISSR_208002861_SALES_BRAZIL">#REF!</definedName>
    <definedName name="L_KEYWORD_ISSR_208002861_SALES_CEE">#REF!</definedName>
    <definedName name="L_KEYWORD_ISSR_208002861_SALES_CHINA">#REF!</definedName>
    <definedName name="L_KEYWORD_ISSR_208002861_SALES_CONS">#REF!</definedName>
    <definedName name="L_KEYWORD_ISSR_208002861_SALES_EU_EX_UK">#REF!</definedName>
    <definedName name="L_KEYWORD_ISSR_208002861_SALES_FINAN">#REF!</definedName>
    <definedName name="L_KEYWORD_ISSR_208002861_SALES_FRA">#REF!</definedName>
    <definedName name="L_KEYWORD_ISSR_208002861_SALES_FX_AED">#REF!</definedName>
    <definedName name="L_KEYWORD_ISSR_208002861_SALES_FX_BRL">#REF!</definedName>
    <definedName name="L_KEYWORD_ISSR_208002861_SALES_FX_CHF">#REF!</definedName>
    <definedName name="L_KEYWORD_ISSR_208002861_SALES_FX_CNY">#REF!</definedName>
    <definedName name="L_KEYWORD_ISSR_208002861_SALES_FX_EUR">#REF!</definedName>
    <definedName name="L_KEYWORD_ISSR_208002861_SALES_FX_GPB">#REF!</definedName>
    <definedName name="L_KEYWORD_ISSR_208002861_SALES_FX_INR">#REF!</definedName>
    <definedName name="L_KEYWORD_ISSR_208002861_SALES_FX_NGN">#REF!</definedName>
    <definedName name="L_KEYWORD_ISSR_208002861_SALES_FX_OTH">#REF!</definedName>
    <definedName name="L_KEYWORD_ISSR_208002861_SALES_FX_RUB">#REF!</definedName>
    <definedName name="L_KEYWORD_ISSR_208002861_SALES_FX_TRY">#REF!</definedName>
    <definedName name="L_KEYWORD_ISSR_208002861_SALES_FX_USD">#REF!</definedName>
    <definedName name="L_KEYWORD_ISSR_208002861_SALES_FX_YEN">#REF!</definedName>
    <definedName name="L_KEYWORD_ISSR_208002861_SALES_FX_ZAR">#REF!</definedName>
    <definedName name="L_KEYWORD_ISSR_208002861_SALES_GER">#REF!</definedName>
    <definedName name="L_KEYWORD_ISSR_208002861_SALES_GOV">#REF!</definedName>
    <definedName name="L_KEYWORD_ISSR_208002861_SALES_IND">#REF!</definedName>
    <definedName name="L_KEYWORD_ISSR_208002861_SALES_INDIA">#REF!</definedName>
    <definedName name="L_KEYWORD_ISSR_208002861_SALES_ITA">#REF!</definedName>
    <definedName name="L_KEYWORD_ISSR_208002861_SALES_JAPAN">#REF!</definedName>
    <definedName name="L_KEYWORD_ISSR_208002861_SALES_ME">#REF!</definedName>
    <definedName name="L_KEYWORD_ISSR_208002861_SALES_NIGERIA">#REF!</definedName>
    <definedName name="L_KEYWORD_ISSR_208002861_SALES_OTH_AEJ">#REF!</definedName>
    <definedName name="L_KEYWORD_ISSR_208002861_SALES_OTH_AFRICA">#REF!</definedName>
    <definedName name="L_KEYWORD_ISSR_208002861_SALES_OTH_AM">#REF!</definedName>
    <definedName name="L_KEYWORD_ISSR_208002861_SALES_OTH_COMMODITY">#REF!</definedName>
    <definedName name="L_KEYWORD_ISSR_208002861_SALES_OTH_EMEA">#REF!</definedName>
    <definedName name="L_KEYWORD_ISSR_208002861_SALES_OTH_EU_EX_UK">#REF!</definedName>
    <definedName name="L_KEYWORD_ISSR_208002861_SALES_OTH_SALES_SOURCES">#REF!</definedName>
    <definedName name="L_KEYWORD_ISSR_208002861_SALES_OTHER">#REF!</definedName>
    <definedName name="L_KEYWORD_ISSR_208002861_SALES_RUSSIA">#REF!</definedName>
    <definedName name="L_KEYWORD_ISSR_208002861_SALES_SO_AFRICA">#REF!</definedName>
    <definedName name="L_KEYWORD_ISSR_208002861_SALES_SPA">#REF!</definedName>
    <definedName name="L_KEYWORD_ISSR_208002861_SALES_TOT_AFRICA">#REF!</definedName>
    <definedName name="L_KEYWORD_ISSR_208002861_SALES_TOT_AM">#REF!</definedName>
    <definedName name="L_KEYWORD_ISSR_208002861_SALES_TOT_ASIA">#REF!</definedName>
    <definedName name="L_KEYWORD_ISSR_208002861_SALES_TOT_EMEA">#REF!</definedName>
    <definedName name="L_KEYWORD_ISSR_208002861_SALES_UK">#REF!</definedName>
    <definedName name="L_KEYWORD_ISSR_208002861_SALES_US">#REF!</definedName>
    <definedName name="L_KEYWORD_ISSR_208002861_SEL_GL_AD">#REF!</definedName>
    <definedName name="L_KEYWORD_ISSR_208002861_SH_REPUR">#REF!</definedName>
    <definedName name="L_KEYWORD_ISSR_208002861_SHORT_T_DEBT">#REF!</definedName>
    <definedName name="L_KEYWORD_ISSR_208002861_SHORT_TERM_LIABS">#REF!</definedName>
    <definedName name="L_KEYWORD_ISSR_208002861_STOCKS">#REF!</definedName>
    <definedName name="L_KEYWORD_ISSR_208002861_TOT_ASSET">#REF!</definedName>
    <definedName name="L_KEYWORD_ISSR_208002861_TOT_CF">#REF!</definedName>
    <definedName name="L_KEYWORD_ISSR_208002861_TOT_LIAB">#REF!</definedName>
    <definedName name="L_KEYWORD_ISSR_208002861_TOT_LIAB_EQ">#REF!</definedName>
    <definedName name="L_KEYWORD_ISSR_208002861_TOT_LT_LIAB">#REF!</definedName>
    <definedName name="L_KEYWORD_ISSR_208002861_TOT_OPS_EXP">#REF!</definedName>
    <definedName name="L_KEYWORD_ISSR_208002861_TOT_OPS_EXP_DDA">#REF!</definedName>
    <definedName name="L_KEYWORD_ISSR_208002861_UNF_PENS">#REF!</definedName>
    <definedName name="L_KEYWORD_ISSR_208002861_UNF_PENS_LIAB_OTH">#REF!</definedName>
    <definedName name="L_KEYWORD_ISSR_208002861_UNF_PENS_OFF">#REF!</definedName>
    <definedName name="L_KEYWORD_ISSR_208002861_WORK_CAP">#REF!</definedName>
    <definedName name="L_LIVEDATA_EQTY_200007513" localSheetId="1">#REF!</definedName>
    <definedName name="L_LIVEDATA_EQTY_200007513">#REF!</definedName>
    <definedName name="L_LIVEDATA_ISSR_208002861" localSheetId="1">#REF!</definedName>
    <definedName name="L_LIVEDATA_ISSR_208002861">#REF!</definedName>
    <definedName name="L_PERIOD_2006_Q1" localSheetId="1">#REF!</definedName>
    <definedName name="L_PERIOD_2006_Q1">#REF!</definedName>
    <definedName name="L_PERIOD_2006_Q2" localSheetId="1">#REF!</definedName>
    <definedName name="L_PERIOD_2006_Q2">#REF!</definedName>
    <definedName name="L_PERIOD_2006_Q3" localSheetId="1">#REF!</definedName>
    <definedName name="L_PERIOD_2006_Q3">#REF!</definedName>
    <definedName name="L_PERIOD_2006_Q4" localSheetId="1">#REF!</definedName>
    <definedName name="L_PERIOD_2006_Q4">#REF!</definedName>
    <definedName name="L_PERIOD_2007_Q1" localSheetId="1">#REF!</definedName>
    <definedName name="L_PERIOD_2007_Q1">#REF!</definedName>
    <definedName name="L_PERIOD_2007_Q2" localSheetId="1">#REF!</definedName>
    <definedName name="L_PERIOD_2007_Q2">#REF!</definedName>
    <definedName name="L_PERIOD_2007_Q3" localSheetId="1">#REF!</definedName>
    <definedName name="L_PERIOD_2007_Q3">#REF!</definedName>
    <definedName name="L_PERIOD_2007_Q4" localSheetId="1">#REF!</definedName>
    <definedName name="L_PERIOD_2007_Q4">#REF!</definedName>
    <definedName name="L_PERIOD_2008_Q1" localSheetId="1">#REF!</definedName>
    <definedName name="L_PERIOD_2008_Q1">#REF!</definedName>
    <definedName name="L_PERIOD_2008_Q2" localSheetId="1">#REF!</definedName>
    <definedName name="L_PERIOD_2008_Q2">#REF!</definedName>
    <definedName name="L_PERIOD_2008_Q3" localSheetId="1">#REF!</definedName>
    <definedName name="L_PERIOD_2008_Q3">#REF!</definedName>
    <definedName name="L_PERIOD_2008_Q4" localSheetId="1">#REF!</definedName>
    <definedName name="L_PERIOD_2008_Q4">#REF!</definedName>
    <definedName name="L_PERIOD_2009_Q1" localSheetId="1">#REF!</definedName>
    <definedName name="L_PERIOD_2009_Q1">#REF!</definedName>
    <definedName name="L_PERIOD_2009_Q2" localSheetId="1">#REF!</definedName>
    <definedName name="L_PERIOD_2009_Q2">#REF!</definedName>
    <definedName name="L_PERIOD_2009_Q3" localSheetId="1">#REF!</definedName>
    <definedName name="L_PERIOD_2009_Q3">#REF!</definedName>
    <definedName name="L_PERIOD_2009_Q4" localSheetId="1">#REF!</definedName>
    <definedName name="L_PERIOD_2009_Q4">#REF!</definedName>
    <definedName name="L_PERIOD_2010_Q1" localSheetId="1">#REF!</definedName>
    <definedName name="L_PERIOD_2010_Q1">#REF!</definedName>
    <definedName name="L_PERIOD_2010_Q2" localSheetId="1">#REF!</definedName>
    <definedName name="L_PERIOD_2010_Q2">#REF!</definedName>
    <definedName name="L_PERIOD_2010_Q3" localSheetId="1">#REF!</definedName>
    <definedName name="L_PERIOD_2010_Q3">#REF!</definedName>
    <definedName name="L_PERIOD_2010_Q4" localSheetId="1">#REF!</definedName>
    <definedName name="L_PERIOD_2010_Q4">#REF!</definedName>
    <definedName name="L_PERIOD_2011_Q1" localSheetId="1">#REF!</definedName>
    <definedName name="L_PERIOD_2011_Q1">#REF!</definedName>
    <definedName name="L_PERIOD_2011_Q2" localSheetId="1">#REF!</definedName>
    <definedName name="L_PERIOD_2011_Q2">#REF!</definedName>
    <definedName name="L_PERIOD_2011_Q3" localSheetId="1">#REF!</definedName>
    <definedName name="L_PERIOD_2011_Q3">#REF!</definedName>
    <definedName name="L_PERIOD_2011_Q4" localSheetId="1">#REF!</definedName>
    <definedName name="L_PERIOD_2011_Q4">#REF!</definedName>
    <definedName name="L_PERIOD_2012_Q1" localSheetId="1">#REF!</definedName>
    <definedName name="L_PERIOD_2012_Q1">#REF!</definedName>
    <definedName name="L_PERIOD_2012_Q2" localSheetId="1">#REF!</definedName>
    <definedName name="L_PERIOD_2012_Q2">#REF!</definedName>
    <definedName name="L_PERIOD_2012_Q3" localSheetId="1">#REF!</definedName>
    <definedName name="L_PERIOD_2012_Q3">#REF!</definedName>
    <definedName name="L_PERIOD_2012_Q4" localSheetId="1">#REF!</definedName>
    <definedName name="L_PERIOD_2012_Q4">#REF!</definedName>
    <definedName name="L_PERIOD_2020_H1" localSheetId="1">#REF!</definedName>
    <definedName name="L_PERIOD_2020_H1">#REF!</definedName>
    <definedName name="L_PERIOD_2020_H2">#REF!</definedName>
    <definedName name="L_PERIOD_2021_Q1" localSheetId="1">#REF!</definedName>
    <definedName name="L_PERIOD_2021_Q1">#REF!</definedName>
    <definedName name="L_PERIOD_2021_Q2" localSheetId="1">#REF!</definedName>
    <definedName name="L_PERIOD_2021_Q2">#REF!</definedName>
    <definedName name="L_PERIOD_2021_Q3" localSheetId="1">#REF!</definedName>
    <definedName name="L_PERIOD_2021_Q3">#REF!</definedName>
    <definedName name="L_PERIOD_2021_Q4" localSheetId="1">#REF!</definedName>
    <definedName name="L_PERIOD_2021_Q4">#REF!</definedName>
    <definedName name="L_SECTION_EQTY_200007513_1314" localSheetId="1">#REF!</definedName>
    <definedName name="L_SECTION_EQTY_200007513_1314">#REF!</definedName>
    <definedName name="L_SECTION_EQTY_200007513_131E" localSheetId="1">#REF!</definedName>
    <definedName name="L_SECTION_EQTY_200007513_131E">#REF!</definedName>
    <definedName name="L_SECTION_EQTY_200007513_131O" localSheetId="1">#REF!</definedName>
    <definedName name="L_SECTION_EQTY_200007513_131O">#REF!</definedName>
    <definedName name="L_SECTION_EQTY_200007513_13A">#REF!</definedName>
    <definedName name="L_SECTION_EQTY_200007513_13K">#REF!</definedName>
    <definedName name="L_SECTION_EQTY_200007513_13U">#REF!</definedName>
    <definedName name="L_SECTION_EQTY_200007513_13V">#REF!</definedName>
    <definedName name="L_SECTION_EQTY_200007513_Reference_Data">#REF!</definedName>
    <definedName name="L_SECTION_ISSR_208002861_1314" localSheetId="1">#REF!</definedName>
    <definedName name="L_SECTION_ISSR_208002861_1314">#REF!</definedName>
    <definedName name="L_SECTION_ISSR_208002861_13168" localSheetId="1">#REF!</definedName>
    <definedName name="L_SECTION_ISSR_208002861_13168">#REF!</definedName>
    <definedName name="L_SECTION_ISSR_208002861_1316S" localSheetId="1">#REF!</definedName>
    <definedName name="L_SECTION_ISSR_208002861_1316S">#REF!</definedName>
    <definedName name="L_SECTION_ISSR_208002861_1316T">#REF!</definedName>
    <definedName name="L_SECTION_ISSR_208002861_1316U">#REF!</definedName>
    <definedName name="L_SECTION_ISSR_208002861_1319">#REF!</definedName>
    <definedName name="L_SECTION_ISSR_208002861_131E">#REF!</definedName>
    <definedName name="L_SECTION_ISSR_208002861_131J">#REF!</definedName>
    <definedName name="L_SECTION_ISSR_208002861_131O">#REF!</definedName>
    <definedName name="L_SECTION_ISSR_208002861_13U">#REF!</definedName>
    <definedName name="L_SECTION_ISSR_208002861_13V">#REF!</definedName>
    <definedName name="L_SECTION_ISSR_208002861_Reference_Data">#REF!</definedName>
    <definedName name="Last_Update" localSheetId="2">[14]DDETABLE!$E$9</definedName>
    <definedName name="Last_Update">#REF!</definedName>
    <definedName name="LastHistoricYear">[12]Data!$BF$2</definedName>
    <definedName name="LatestPaid">[12]Data!$R$2</definedName>
    <definedName name="LatestPaidDate">[12]Data!$S$2</definedName>
    <definedName name="lbo" localSheetId="1" hidden="1">{"a",#N/A,FALSE,"LBO - 100%, Sell C,CT 98......";"aa",#N/A,FALSE,"LBO - 100%, Sell C,CT 98......";"aaa",#N/A,FALSE,"LBO - 100%, Sell C,CT 98......";"aaaa",#N/A,FALSE,"LBO - 100%, Sell C,CT 98......";"aaaaa",#N/A,FALSE,"LBO - 100%, Sell C,CT 98......";"aaaaaa",#N/A,FALSE,"LBO - 100%, Sell C,CT 98......"}</definedName>
    <definedName name="lbo" localSheetId="2" hidden="1">{"a",#N/A,FALSE,"LBO - 100%, Sell C,CT 98......";"aa",#N/A,FALSE,"LBO - 100%, Sell C,CT 98......";"aaa",#N/A,FALSE,"LBO - 100%, Sell C,CT 98......";"aaaa",#N/A,FALSE,"LBO - 100%, Sell C,CT 98......";"aaaaa",#N/A,FALSE,"LBO - 100%, Sell C,CT 98......";"aaaaaa",#N/A,FALSE,"LBO - 100%, Sell C,CT 98......"}</definedName>
    <definedName name="lbo" hidden="1">{"a",#N/A,FALSE,"LBO - 100%, Sell C,CT 98......";"aa",#N/A,FALSE,"LBO - 100%, Sell C,CT 98......";"aaa",#N/A,FALSE,"LBO - 100%, Sell C,CT 98......";"aaaa",#N/A,FALSE,"LBO - 100%, Sell C,CT 98......";"aaaaa",#N/A,FALSE,"LBO - 100%, Sell C,CT 98......";"aaaaaa",#N/A,FALSE,"LBO - 100%, Sell C,CT 98......"}</definedName>
    <definedName name="LeaseObligation">[12]Data!$EO$11:$EO$23</definedName>
    <definedName name="Links" localSheetId="2">[14]DDETABLE!$AH$2</definedName>
    <definedName name="Links">#REF!</definedName>
    <definedName name="LiveReqs" localSheetId="2">[14]DDETABLE!$H$6</definedName>
    <definedName name="LiveReqs">#REF!</definedName>
    <definedName name="lkjlklkjlkjlkj" localSheetId="1" hidden="1">{"page1",#N/A,TRUE,"CSC";"page2",#N/A,TRUE,"CSC"}</definedName>
    <definedName name="lkjlklkjlkjlkj" localSheetId="2" hidden="1">{"page1",#N/A,TRUE,"CSC";"page2",#N/A,TRUE,"CSC"}</definedName>
    <definedName name="lkjlklkjlkjlkj" hidden="1">{"page1",#N/A,TRUE,"CSC";"page2",#N/A,TRUE,"CSC"}</definedName>
    <definedName name="ll"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lllllllllllllllllllllllllllllll" localSheetId="1" hidden="1">{"Geographic P1",#N/A,FALSE,"Division &amp; Geog"}</definedName>
    <definedName name="lllllllllllllllllllllllllllllllll" localSheetId="2" hidden="1">{"Geographic P1",#N/A,FALSE,"Division &amp; Geog"}</definedName>
    <definedName name="lllllllllllllllllllllllllllllllll" hidden="1">{"Geographic P1",#N/A,FALSE,"Division &amp; Geog"}</definedName>
    <definedName name="LoanProceeds">[12]Data!$CN$11:$CN$23</definedName>
    <definedName name="LoanRepayments">[12]Data!$CO$11:$CO$23</definedName>
    <definedName name="LocalIndexFiveYear">'[12]5year'!$C$2:$C$249</definedName>
    <definedName name="LocalIndexFiveYearRebased">'[12]5year'!$F$2:$F$249</definedName>
    <definedName name="LocalIndexLabel">[12]Data!$B$7</definedName>
    <definedName name="LocalIndexName">[12]Data!$B$5</definedName>
    <definedName name="LocalIndexYear">#REF!</definedName>
    <definedName name="LocalIndexYearRebased">#REF!</definedName>
    <definedName name="LongBondYield">#REF!</definedName>
    <definedName name="LongTermFinancialInvestments">[12]Data!$CK$11:$CK$23</definedName>
    <definedName name="LongTermInterestBearingDebt">[12]Data!$DZ$11:$DZ$23</definedName>
    <definedName name="LongTermLiabilities">[12]Data!$EF$11:$EF$23</definedName>
    <definedName name="Main" localSheetId="2">'[19]Old Financials'!$A$2:$T$525</definedName>
    <definedName name="Main">[20]FinancialsDP!$A$2:$M$552</definedName>
    <definedName name="Main1" localSheetId="9">#REF!</definedName>
    <definedName name="Main1">#REF!</definedName>
    <definedName name="Main2" localSheetId="9">#REF!</definedName>
    <definedName name="Main2">#REF!</definedName>
    <definedName name="MarketableAssets">[12]Data!$EM$11:$EM$23</definedName>
    <definedName name="MarketCap_Avg">[12]Data!$HB$11:$HB$23</definedName>
    <definedName name="MarketCap_High">[12]Data!$GZ$11:$GZ$23</definedName>
    <definedName name="MarketCap_Low">[12]Data!$HA$11:$HA$23</definedName>
    <definedName name="MarketCap_Today">[12]Data!$GX$11:$GX$23</definedName>
    <definedName name="MarketCap_Ye">[12]Data!$GY$11:$GY$23</definedName>
    <definedName name="MarketingAdmin">[12]Data!$R$11:$R$23</definedName>
    <definedName name="MaterialsGoodsServices">[12]Data!$J$11:$J$23</definedName>
    <definedName name="Mcap1">#REF!</definedName>
    <definedName name="Mcap2">#REF!</definedName>
    <definedName name="MemFree" localSheetId="2">[14]DDETABLE!$AD$11</definedName>
    <definedName name="MemFree">#REF!</definedName>
    <definedName name="MemTotal" localSheetId="2">[14]DDETABLE!$AD$10</definedName>
    <definedName name="MemTotal">#REF!</definedName>
    <definedName name="MinInterestRAT">[12]Data!$AS$11:$AS$23</definedName>
    <definedName name="MinorityInterestBS">[12]Data!$EG$11:$EG$23</definedName>
    <definedName name="MinorityInterestPL">[12]Data!$AJ$11:$AJ$23</definedName>
    <definedName name="mon" localSheetId="1" hidden="1">{"page 1",#N/A,FALSE,"A";"page 2",#N/A,FALSE,"A";"page 3",#N/A,FALSE,"A";"page 4",#N/A,FALSE,"A";"page 5",#N/A,FALSE,"A";"page 6",#N/A,FALSE,"A";"page 7",#N/A,FALSE,"A";"page 8",#N/A,FALSE,"A";"page 9",#N/A,FALSE,"A";"page 10",#N/A,FALSE,"A";"page 11",#N/A,FALSE,"A";"page 12",#N/A,FALSE,"A";"page 13",#N/A,FALSE,"A";"page 14",#N/A,FALSE,"A"}</definedName>
    <definedName name="mon" localSheetId="2" hidden="1">{"page 1",#N/A,FALSE,"A";"page 2",#N/A,FALSE,"A";"page 3",#N/A,FALSE,"A";"page 4",#N/A,FALSE,"A";"page 5",#N/A,FALSE,"A";"page 6",#N/A,FALSE,"A";"page 7",#N/A,FALSE,"A";"page 8",#N/A,FALSE,"A";"page 9",#N/A,FALSE,"A";"page 10",#N/A,FALSE,"A";"page 11",#N/A,FALSE,"A";"page 12",#N/A,FALSE,"A";"page 13",#N/A,FALSE,"A";"page 14",#N/A,FALSE,"A"}</definedName>
    <definedName name="mon" hidden="1">{"page 1",#N/A,FALSE,"A";"page 2",#N/A,FALSE,"A";"page 3",#N/A,FALSE,"A";"page 4",#N/A,FALSE,"A";"page 5",#N/A,FALSE,"A";"page 6",#N/A,FALSE,"A";"page 7",#N/A,FALSE,"A";"page 8",#N/A,FALSE,"A";"page 9",#N/A,FALSE,"A";"page 10",#N/A,FALSE,"A";"page 11",#N/A,FALSE,"A";"page 12",#N/A,FALSE,"A";"page 13",#N/A,FALSE,"A";"page 14",#N/A,FALSE,"A"}</definedName>
    <definedName name="MostTradedInstrumentId">[12]Data!$I$2</definedName>
    <definedName name="n" localSheetId="1" hidden="1">{#N/A,#N/A,FALSE,"Annual Earnings Model";#N/A,#N/A,FALSE,"Quarterly Earnings Model";#N/A,#N/A,FALSE,"Header";#N/A,#N/A,FALSE,"Notes"}</definedName>
    <definedName name="n" localSheetId="2" hidden="1">{#N/A,#N/A,FALSE,"Annual Earnings Model";#N/A,#N/A,FALSE,"Quarterly Earnings Model";#N/A,#N/A,FALSE,"Header";#N/A,#N/A,FALSE,"Notes"}</definedName>
    <definedName name="n" hidden="1">{#N/A,#N/A,FALSE,"Annual Earnings Model";#N/A,#N/A,FALSE,"Quarterly Earnings Model";#N/A,#N/A,FALSE,"Header";#N/A,#N/A,FALSE,"Notes"}</definedName>
    <definedName name="Ndebt">#REF!</definedName>
    <definedName name="Nequity">#REF!</definedName>
    <definedName name="NetAssetPerShare">[12]Data!$FE$11:$FE$23</definedName>
    <definedName name="NetChangeInCash">[12]Data!$CV$11:$CV$23</definedName>
    <definedName name="NetDebt">[12]Data!$EW$11:$EW$23</definedName>
    <definedName name="NetDebtAdj">[12]Data!$EV$11:$EV$23</definedName>
    <definedName name="NetDebtEquityMax">#REF!</definedName>
    <definedName name="NetDebtPerShare">[12]Data!$FF$11:$FF$23</definedName>
    <definedName name="NetGearing">[12]Data!$EX$11:$EX$23</definedName>
    <definedName name="NetGearingChart">[12]Data!$EX$13:$EX$23</definedName>
    <definedName name="NetMargin">[12]Data!$AP$11:$AP$23</definedName>
    <definedName name="NetOtherLiabilities">[12]Data!$FZ$11:$FZ$23</definedName>
    <definedName name="NetProfit">[12]Data!$AT$11:$AT$23</definedName>
    <definedName name="NetRevenuePerAccountAvg">[12]Data!$ID$11:$ID$23</definedName>
    <definedName name="NetRevenuePerTrade">[12]Data!$IC$11:$IC$23</definedName>
    <definedName name="NetSales">[12]Data!$G$11:$G$23</definedName>
    <definedName name="NetSalesChart">[12]Data!$G$13:$G$23</definedName>
    <definedName name="NetSalesNormalized">[12]Data!$FL$11:$FL$23</definedName>
    <definedName name="NetSalesPerEmpAvg">[12]Data!$BU$11:$BU$23</definedName>
    <definedName name="NetWorkingCapital">[12]Data!$FX$11:$FX$23</definedName>
    <definedName name="New" localSheetId="1" hidden="1">{"CSC_1",#N/A,FALSE,"CSC Outputs";"CSC_2",#N/A,FALSE,"CSC Outputs"}</definedName>
    <definedName name="New" localSheetId="2" hidden="1">{"CSC_1",#N/A,FALSE,"CSC Outputs";"CSC_2",#N/A,FALSE,"CSC Outputs"}</definedName>
    <definedName name="New" hidden="1">{"CSC_1",#N/A,FALSE,"CSC Outputs";"CSC_2",#N/A,FALSE,"CSC Outputs"}</definedName>
    <definedName name="NewConvMonth">[12]Data!$HK$13:$HK$25</definedName>
    <definedName name="NewConvNo">[12]Data!$HI$13:$HI$25</definedName>
    <definedName name="NewConvPrice">[12]Data!$HJ$13:$HJ$25</definedName>
    <definedName name="NewIssueMonthClass1">[12]Data!$GM$13:$GM$25</definedName>
    <definedName name="NewIssueMonthClass2">[12]Data!$GP$13:$GP$25</definedName>
    <definedName name="NewIssuePricePerShareClass1">[12]Data!$GL$13:$GL$25</definedName>
    <definedName name="NewIssuePricePerShareClass2">[12]Data!$GO$13:$GO$25</definedName>
    <definedName name="NewIssueShareNoClass1">[12]Data!$GK$13:$GK$25</definedName>
    <definedName name="NewIssueShareNoClass2">[12]Data!$GN$13:$GN$25</definedName>
    <definedName name="NO" hidden="1">{"'Sheet1'!$A$1:$J$121"}</definedName>
    <definedName name="NomDividendBlended">[12]Data!$GM$11:$GM$23</definedName>
    <definedName name="NomDividendFrontpage">[12]Data!$GK$11:$GK$23</definedName>
    <definedName name="NomDividendPrefs">[12]Data!$HC$13:$HC$25</definedName>
    <definedName name="NonInterestBearingFixedAssets">[12]Data!$FY$11:$FY$23</definedName>
    <definedName name="NonRecurringExpenses">[12]Data!$N$11:$N$23</definedName>
    <definedName name="NumberOfTrades">[12]Data!$HY$11:$HY$23</definedName>
    <definedName name="okdkd" hidden="1">{"'TABLE82'!$A$1:$D$102"}</definedName>
    <definedName name="old"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perating_Sys" localSheetId="2">[14]DDETABLE!$AD$9</definedName>
    <definedName name="Operating_Sys">#REF!</definedName>
    <definedName name="OperatingCashFlow">[12]Data!$CG$11:$CG$23</definedName>
    <definedName name="OperatingMargin">[12]Data!$X$11:$X$23</definedName>
    <definedName name="OperatingMarginChart">[12]Data!$X$13:$X$23</definedName>
    <definedName name="OperatingMarginMax">#REF!</definedName>
    <definedName name="OperatingProfit">[12]Data!$W$11:$W$23</definedName>
    <definedName name="OperatingProfitPerEmpAvg">[12]Data!$BV$11:$BV$23</definedName>
    <definedName name="OperCashFlowPerShare">[12]Data!$CY$11:$CY$23</definedName>
    <definedName name="opopo" hidden="1">{"'TABLE82'!$A$1:$D$102"}</definedName>
    <definedName name="OtherAdjAfterTax">[12]Data!$AX$11:$AX$23</definedName>
    <definedName name="OtherBeforeChangeCash">[12]Data!$CU$11:$CU$23</definedName>
    <definedName name="OtherBeforeChangeNetDebt">[12]Data!$CR$11:$CR$23</definedName>
    <definedName name="OtherBeforeChangeWorkingCapital">[12]Data!$CA$11:$CA$23</definedName>
    <definedName name="OtherCurrentAssets">[12]Data!$DL$11:$DL$23</definedName>
    <definedName name="OtherCurrentLiabilities">[12]Data!$DX$11:$DX$23</definedName>
    <definedName name="OtherFinancialAssets">[12]Data!$DO$11:$DO$23</definedName>
    <definedName name="OtherFinItems">[12]Data!$AE$11:$AE$23</definedName>
    <definedName name="OtherFixedAssets">[12]Data!$DR$11:$DR$23</definedName>
    <definedName name="OtherLongTermLiabilities">[12]Data!$EA$11:$EA$23</definedName>
    <definedName name="OtherOperatingExpenses">[12]Data!$M$11:$M$23</definedName>
    <definedName name="OtherProvisions">[12]Data!$ED$11:$ED$23</definedName>
    <definedName name="OtherRevenue">[12]Data!$H$11:$H$23</definedName>
    <definedName name="OtherTradeFinancing">[12]Data!$DV$11:$DV$23</definedName>
    <definedName name="OtherTradeFinancingSalesDays">[12]Data!$ET$11:$ET$23</definedName>
    <definedName name="OthNonCashAdjustments">[12]Data!$CF$11:$CF$23</definedName>
    <definedName name="OutputProfitType">[12]Data!$BQ$2</definedName>
    <definedName name="OutstandandingShareNomAvg">[12]Data!$GH$11:$GH$23</definedName>
    <definedName name="OutstandandingShareNomAvgClass1">[12]Data!$GD$11:$GD$23</definedName>
    <definedName name="OutstandandingShareNomAvgClass2">[12]Data!$GF$11:$GF$23</definedName>
    <definedName name="OutstandingConvertibleNomAvg">[12]Data!$HF$13:$HF$25</definedName>
    <definedName name="OutstandingConvertibleNomYe">[12]Data!$HE$13:$HE$25</definedName>
    <definedName name="OutstandingPrefShareNomAvg">[12]Data!$GW$13:$GW$25</definedName>
    <definedName name="OutstandingPrefSharesNomYe">[12]Data!$GV$13:$GV$25</definedName>
    <definedName name="OutstandingShareNomYe">[12]Data!$GG$11:$GG$23</definedName>
    <definedName name="OutstandingShareNomYeClass1">[12]Data!$GC$11:$GC$23</definedName>
    <definedName name="OutstandingShareNomYeClass2">[12]Data!$GE$11:$GE$23</definedName>
    <definedName name="PayOutRatio">[12]Data!$BQ$11:$BQ$23</definedName>
    <definedName name="PBTME">[12]Data!$IE$11:$IE$23</definedName>
    <definedName name="PBV_Today">[12]Data!$HE$11:$HE$23</definedName>
    <definedName name="PBV_Ye">[12]Data!$HF$11:$HF$23</definedName>
    <definedName name="PBVForward">#REF!</definedName>
    <definedName name="Peer1FiveYear">'[12]5year'!$D$2:$D$249</definedName>
    <definedName name="Peer1FiveYearRebased">'[12]5year'!$G$2:$G$249</definedName>
    <definedName name="Peer1Label">[12]Data!$D$7</definedName>
    <definedName name="Peer1Name">[12]Data!$D$5</definedName>
    <definedName name="Peer1Year">#REF!</definedName>
    <definedName name="Peer1YearRebased">#REF!</definedName>
    <definedName name="Peer2Label">[12]Data!$E$7</definedName>
    <definedName name="Peer2Name">[12]Data!$E$5</definedName>
    <definedName name="Peer2Year">#REF!</definedName>
    <definedName name="Peer2YearRebased">#REF!</definedName>
    <definedName name="PEForward">#REF!</definedName>
    <definedName name="PensionProvisions">[12]Data!$EC$11:$EC$23</definedName>
    <definedName name="PER_Today">[12]Data!$HC$11:$HC$23</definedName>
    <definedName name="PER_Ye">[12]Data!$HD$11:$HD$23</definedName>
    <definedName name="PercentOfShares1">[12]Data!$AR$2</definedName>
    <definedName name="PercentOfShares2">[12]Data!$AU$2</definedName>
    <definedName name="PercentOfShares3">[12]Data!$AX$2</definedName>
    <definedName name="PercentOfVotes1">[12]Data!$AS$2</definedName>
    <definedName name="PercentOfVotes2">[12]Data!$AV$2</definedName>
    <definedName name="PercentOfVotes3">[12]Data!$AY$2</definedName>
    <definedName name="Perfdata">#REF!</definedName>
    <definedName name="PERrelative_Today">[12]Data!$HT$11:$HT$23</definedName>
    <definedName name="PERrelative_Ye">[12]Data!$HU$11:$HU$23</definedName>
    <definedName name="PeTrail">[12]Data!$G$2:$G$9</definedName>
    <definedName name="PhoneNo">[12]Data!$AL$2</definedName>
    <definedName name="PNAV_Today">[12]Data!$HG$11:$HG$23</definedName>
    <definedName name="PNAV_Ye">[12]Data!$HH$11:$HH$23</definedName>
    <definedName name="ppp" localSheetId="1" hidden="1">{"Geographic P1",#N/A,FALSE,"Division &amp; Geog"}</definedName>
    <definedName name="ppp" localSheetId="2" hidden="1">{"Geographic P1",#N/A,FALSE,"Division &amp; Geog"}</definedName>
    <definedName name="ppp" hidden="1">{"Geographic P1",#N/A,FALSE,"Division &amp; Geog"}</definedName>
    <definedName name="pppp" localSheetId="1" hidden="1">{"Five Year Record",#N/A,FALSE,"Front and Back"}</definedName>
    <definedName name="pppp" localSheetId="2" hidden="1">{"Five Year Record",#N/A,FALSE,"Front and Back"}</definedName>
    <definedName name="pppp" hidden="1">{"Five Year Record",#N/A,FALSE,"Front and Back"}</definedName>
    <definedName name="ppppppppppppppppppppppppppppp" localSheetId="1" hidden="1">{"FTSE100","COMPANIES",TRUE}</definedName>
    <definedName name="ppppppppppppppppppppppppppppp" localSheetId="2" hidden="1">{"FTSE100","COMPANIES",TRUE}</definedName>
    <definedName name="ppppppppppppppppppppppppppppp" hidden="1">{"FTSE100","COMPANIES",TRUE}</definedName>
    <definedName name="PrefNewIssueMonth">[12]Data!$HB$13:$HB$25</definedName>
    <definedName name="PrefNewIssuePricePerShare">[12]Data!$HA$13:$HA$25</definedName>
    <definedName name="PrefsIssueSplitNoNewShare">[12]Data!$GZ$13:$GZ$25</definedName>
    <definedName name="PremiumFund">[12]Data!$EI$11:$EI$23</definedName>
    <definedName name="PretaxMargin">[12]Data!$AI$11:$AI$23</definedName>
    <definedName name="PretaxProfit">[12]Data!$AH$11:$AH$23</definedName>
    <definedName name="Price_Avg">[12]Data!$GW$11:$GW$23</definedName>
    <definedName name="Price_High">[12]Data!$GU$11:$GU$23</definedName>
    <definedName name="Price_Low">[12]Data!$GV$11:$GV$23</definedName>
    <definedName name="Price_Today">[12]Data!$GS$11:$GS$23</definedName>
    <definedName name="Price_Ye">[12]Data!$GT$11:$GT$23</definedName>
    <definedName name="PriceCurrencyShort">[12]Data!$D$2</definedName>
    <definedName name="PriceDate">#REF!</definedName>
    <definedName name="PriceFiveYear">'[12]5year'!$B$2:$B$249</definedName>
    <definedName name="PriceFiveYearPeer1">'[12]5year'!$B$2:$B$249</definedName>
    <definedName name="PriceYear">#REF!</definedName>
    <definedName name="PriceYearPeer1">#REF!</definedName>
    <definedName name="PriceYearPeer2">#REF!</definedName>
    <definedName name="_xlnm.Print_Area" localSheetId="4">'Income Statement'!$A$1:$P$155</definedName>
    <definedName name="Print_CSC_Report_2" localSheetId="1" hidden="1">{"CSC_1",#N/A,FALSE,"CSC Outputs";"CSC_2",#N/A,FALSE,"CSC Outputs"}</definedName>
    <definedName name="Print_CSC_Report_2" localSheetId="2" hidden="1">{"CSC_1",#N/A,FALSE,"CSC Outputs";"CSC_2",#N/A,FALSE,"CSC Outputs"}</definedName>
    <definedName name="Print_CSC_Report_2" hidden="1">{"CSC_1",#N/A,FALSE,"CSC Outputs";"CSC_2",#N/A,FALSE,"CSC Outputs"}</definedName>
    <definedName name="Print_CSC_Report_3" localSheetId="1" hidden="1">{"CSC_1",#N/A,FALSE,"CSC Outputs";"CSC_2",#N/A,FALSE,"CSC Outputs"}</definedName>
    <definedName name="Print_CSC_Report_3" localSheetId="2" hidden="1">{"CSC_1",#N/A,FALSE,"CSC Outputs";"CSC_2",#N/A,FALSE,"CSC Outputs"}</definedName>
    <definedName name="Print_CSC_Report_3" hidden="1">{"CSC_1",#N/A,FALSE,"CSC Outputs";"CSC_2",#N/A,FALSE,"CSC Outputs"}</definedName>
    <definedName name="ProfitBeforeDepreciation">[12]Data!$S$11:$S$23</definedName>
    <definedName name="PropertyBookValue">[12]Data!$AZ$2</definedName>
    <definedName name="PropertyDomestic">[12]Data!$BE$2</definedName>
    <definedName name="PropertyMarketValue">[12]Data!$BA$2</definedName>
    <definedName name="PropertyOccupancy">[12]Data!$BD$2</definedName>
    <definedName name="PropertyRentalArea">[12]Data!$BC$2</definedName>
    <definedName name="PropertyYieldRequirement">[12]Data!$BB$2</definedName>
    <definedName name="Q2Div">#REF!</definedName>
    <definedName name="Q2Group">#REF!</definedName>
    <definedName name="Q3Div">#REF!</definedName>
    <definedName name="Q3Group">#REF!</definedName>
    <definedName name="qq" localSheetId="1" hidden="1">{"Back Page",#N/A,FALSE,"Front and Back"}</definedName>
    <definedName name="qq" localSheetId="2" hidden="1">{"Back Page",#N/A,FALSE,"Front and Back"}</definedName>
    <definedName name="qq" hidden="1">{"Back Page",#N/A,FALSE,"Front and Back"}</definedName>
    <definedName name="qqqqqqqqqqqqqqqqqqqqqqq" localSheetId="1" hidden="1">{"Five Year Record",#N/A,FALSE,"Front and Back"}</definedName>
    <definedName name="qqqqqqqqqqqqqqqqqqqqqqq" localSheetId="2" hidden="1">{"Five Year Record",#N/A,FALSE,"Front and Back"}</definedName>
    <definedName name="qqqqqqqqqqqqqqqqqqqqqqq" hidden="1">{"Five Year Record",#N/A,FALSE,"Front and Back"}</definedName>
    <definedName name="qqqqqqqqqqqqqqqqqqqqqqqqqqq" localSheetId="1" hidden="1">{"Front Page",#N/A,FALSE,"Front and Back"}</definedName>
    <definedName name="qqqqqqqqqqqqqqqqqqqqqqqqqqq" localSheetId="2" hidden="1">{"Front Page",#N/A,FALSE,"Front and Back"}</definedName>
    <definedName name="qqqqqqqqqqqqqqqqqqqqqqqqqqq" hidden="1">{"Front Page",#N/A,FALSE,"Front and Back"}</definedName>
    <definedName name="qqqqqqqqqqqqqqqqqqqqqqqqqqqqqqqqq" localSheetId="1" hidden="1">{"Five Year Record",#N/A,FALSE,"Front and Back"}</definedName>
    <definedName name="qqqqqqqqqqqqqqqqqqqqqqqqqqqqqqqqq" localSheetId="2" hidden="1">{"Five Year Record",#N/A,FALSE,"Front and Back"}</definedName>
    <definedName name="qqqqqqqqqqqqqqqqqqqqqqqqqqqqqqqqq" hidden="1">{"Five Year Record",#N/A,FALSE,"Front and Back"}</definedName>
    <definedName name="qqqqqqqqqqqqqqqqqqqqqqqqqqqqqqqqqqq" localSheetId="1" hidden="1">{"Geographic P1",#N/A,FALSE,"Division &amp; Geog"}</definedName>
    <definedName name="qqqqqqqqqqqqqqqqqqqqqqqqqqqqqqqqqqq" localSheetId="2" hidden="1">{"Geographic P1",#N/A,FALSE,"Division &amp; Geog"}</definedName>
    <definedName name="qqqqqqqqqqqqqqqqqqqqqqqqqqqqqqqqqqq" hidden="1">{"Geographic P1",#N/A,FALSE,"Division &amp; Geog"}</definedName>
    <definedName name="qqqqqqqqqqqqqqqqqqqqqqqqqqqqqqqqqqqq" localSheetId="1" hidden="1">{"PAGE1",#N/A,FALSE,"Consolidation";"PAGE2",#N/A,FALSE,"Consolidation";"PAGE3",#N/A,FALSE,"Consolidation";"PAGE4",#N/A,FALSE,"Consolidation";"PAGE5",#N/A,FALSE,"Consolidation";"PAGE6",#N/A,FALSE,"Consolidation";"PAGE7",#N/A,FALSE,"Consolidation"}</definedName>
    <definedName name="qqqqqqqqqqqqqqqqqqqqqqqqqqqqqqqqqqqq" localSheetId="2" hidden="1">{"PAGE1",#N/A,FALSE,"Consolidation";"PAGE2",#N/A,FALSE,"Consolidation";"PAGE3",#N/A,FALSE,"Consolidation";"PAGE4",#N/A,FALSE,"Consolidation";"PAGE5",#N/A,FALSE,"Consolidation";"PAGE6",#N/A,FALSE,"Consolidation";"PAGE7",#N/A,FALSE,"Consolidation"}</definedName>
    <definedName name="qqqqqqqqqqqqqqqqqqqqqqqqqqqqqqqqqqqq" hidden="1">{"PAGE1",#N/A,FALSE,"Consolidation";"PAGE2",#N/A,FALSE,"Consolidation";"PAGE3",#N/A,FALSE,"Consolidation";"PAGE4",#N/A,FALSE,"Consolidation";"PAGE5",#N/A,FALSE,"Consolidation";"PAGE6",#N/A,FALSE,"Consolidation";"PAGE7",#N/A,FALSE,"Consolidation"}</definedName>
    <definedName name="QuickRatio">[12]Data!$FB$11:$FB$23</definedName>
    <definedName name="Quicky">[12]Quicky!$A$2:$N$58</definedName>
    <definedName name="Recommendation">[12]Data!$K$2</definedName>
    <definedName name="RecommendationDate">[12]Data!$M$2</definedName>
    <definedName name="RecommendationText">[12]Data!$L$2</definedName>
    <definedName name="RelLocalMarket12m">[12]Data!$AC$2</definedName>
    <definedName name="RelLocalMarket1m">[12]Data!$AA$2</definedName>
    <definedName name="RelLocalMarket3m">[12]Data!$AB$2</definedName>
    <definedName name="RelLocalMarketId">[12]Data!$N$2</definedName>
    <definedName name="RelLocalMarketName">[12]Data!$O$2</definedName>
    <definedName name="RelRegionalMarket12m">[12]Data!$AF$2</definedName>
    <definedName name="RelRegionalMarket1m">[12]Data!$AD$2</definedName>
    <definedName name="RelRegionalMarket3m">[12]Data!$AE$2</definedName>
    <definedName name="RelRegionalMarketId">[12]Data!$P$2</definedName>
    <definedName name="RelSector12m">[12]Data!$AI$2</definedName>
    <definedName name="RelSector1m">[12]Data!$AG$2</definedName>
    <definedName name="RelSector3m">[12]Data!$AH$2</definedName>
    <definedName name="RelSectorMarketId">[12]Data!$Q$2</definedName>
    <definedName name="rename_of_wrn.CSC" localSheetId="1" hidden="1">{"page1",#N/A,TRUE,"CSC";"page2",#N/A,TRUE,"CSC"}</definedName>
    <definedName name="rename_of_wrn.CSC" localSheetId="2" hidden="1">{"page1",#N/A,TRUE,"CSC";"page2",#N/A,TRUE,"CSC"}</definedName>
    <definedName name="rename_of_wrn.CSC" hidden="1">{"page1",#N/A,TRUE,"CSC";"page2",#N/A,TRUE,"CSC"}</definedName>
    <definedName name="RepEps">[12]Data!$BO$11:$BO$23</definedName>
    <definedName name="reqdetails" localSheetId="2">[14]DDETABLE!$O$15:$T$307</definedName>
    <definedName name="reqdetails">#REF!</definedName>
    <definedName name="ResearchDevelopment">[12]Data!$Q$11:$Q$23</definedName>
    <definedName name="ResearchDevelopmentMarketing">[12]Data!$L$11:$L$23</definedName>
    <definedName name="RetainedEarnings">[12]Data!$EJ$11:$EJ$23</definedName>
    <definedName name="ReuterCode">[12]Data!$H$2</definedName>
    <definedName name="RoA">[12]Data!$BE$11:$BE$23</definedName>
    <definedName name="RoCE">[12]Data!$BD$11:$BD$23</definedName>
    <definedName name="RoE">[12]Data!$BB$11:$BB$23</definedName>
    <definedName name="rrrrrrrrrrrrrrrrrrrrrr" localSheetId="1" hidden="1">{"Back Page",#N/A,FALSE,"Front and Back"}</definedName>
    <definedName name="rrrrrrrrrrrrrrrrrrrrrr" localSheetId="2" hidden="1">{"Back Page",#N/A,FALSE,"Front and Back"}</definedName>
    <definedName name="rrrrrrrrrrrrrrrrrrrrrr" hidden="1">{"Back Page",#N/A,FALSE,"Front and Back"}</definedName>
    <definedName name="s" localSheetId="2">[21]ULE.L_Validation_Sheet!$A$1:$AZ$307</definedName>
    <definedName name="s">#REF!</definedName>
    <definedName name="sales08">[1]OVERVIEW!$AY$9</definedName>
    <definedName name="sales09">[1]OVERVIEW!$AZ$9</definedName>
    <definedName name="sales10">[1]OVERVIEW!$BA$9</definedName>
    <definedName name="SalesAssetsRatio">[12]Data!$EP$11:$EP$23</definedName>
    <definedName name="Schedule" localSheetId="2">[14]DDETABLE!$E$5</definedName>
    <definedName name="Schedule">#REF!</definedName>
    <definedName name="SecondaryInstrumentId">[12]Data!$J$2</definedName>
    <definedName name="SectorIndexLabel">[12]Data!$C$7</definedName>
    <definedName name="SectorIndexName">[12]Data!$C$5</definedName>
    <definedName name="SectorIndexYear">#REF!</definedName>
    <definedName name="SectorIndexYearRebased">#REF!</definedName>
    <definedName name="SecuritiesPerAccountAvg">[12]Data!$IH$11:$IH$23</definedName>
    <definedName name="SelCompanyID">[12]Data!$A$5</definedName>
    <definedName name="SelCurrency">[12]Data!$F$5</definedName>
    <definedName name="SelCurrencyM">[12]Data!$A$7</definedName>
    <definedName name="Setup" localSheetId="2">[14]DDETABLE!$AC$2</definedName>
    <definedName name="Setup">#REF!</definedName>
    <definedName name="sFormat" localSheetId="2">[14]DDETABLE!$AQ$4</definedName>
    <definedName name="sFormat">#REF!</definedName>
    <definedName name="sFreq" localSheetId="2">[14]DDETABLE!$AQ$5</definedName>
    <definedName name="sFreq">#REF!</definedName>
    <definedName name="sgdzhet" localSheetId="1" hidden="1">{"subs",#N/A,FALSE,"database ";"proportional",#N/A,FALSE,"database "}</definedName>
    <definedName name="sgdzhet" localSheetId="2" hidden="1">{"subs",#N/A,FALSE,"database ";"proportional",#N/A,FALSE,"database "}</definedName>
    <definedName name="sgdzhet" hidden="1">{"subs",#N/A,FALSE,"database ";"proportional",#N/A,FALSE,"database "}</definedName>
    <definedName name="ShareCapital">[12]Data!$EH$11:$EH$23</definedName>
    <definedName name="ShareHolder1">[12]Data!$AQ$2</definedName>
    <definedName name="ShareHolder2">[12]Data!$AT$2</definedName>
    <definedName name="ShareHolder3">[12]Data!$AW$2</definedName>
    <definedName name="ShareholderForeignShares">[12]Data!$CE$2</definedName>
    <definedName name="ShareholderForeignVotes">[12]Data!$CF$2</definedName>
    <definedName name="ShareholdersEquity">[12]Data!$EK$11:$EK$23</definedName>
    <definedName name="ShareIssue">[12]Data!$CQ$11:$CQ$23</definedName>
    <definedName name="sheet" localSheetId="1" hidden="1">{"Assumptions1",#N/A,FALSE,"Assumptions";"MergerPlans1","20yearamort",FALSE,"MergerPlans";"MergerPlans1","40yearamort",FALSE,"MergerPlans";"MergerPlans2",#N/A,FALSE,"MergerPlans";"inputs",#N/A,FALSE,"MergerPlans"}</definedName>
    <definedName name="sheet" localSheetId="2" hidden="1">{"Assumptions1",#N/A,FALSE,"Assumptions";"MergerPlans1","20yearamort",FALSE,"MergerPlans";"MergerPlans1","40yearamort",FALSE,"MergerPlans";"MergerPlans2",#N/A,FALSE,"MergerPlans";"inputs",#N/A,FALSE,"MergerPlans"}</definedName>
    <definedName name="sheet" hidden="1">{"Assumptions1",#N/A,FALSE,"Assumptions";"MergerPlans1","20yearamort",FALSE,"MergerPlans";"MergerPlans1","40yearamort",FALSE,"MergerPlans";"MergerPlans2",#N/A,FALSE,"MergerPlans";"inputs",#N/A,FALSE,"MergerPlans"}</definedName>
    <definedName name="ShortTermInterestBearingDebt">[12]Data!$DW$11:$DW$23</definedName>
    <definedName name="ShOut">#REF!</definedName>
    <definedName name="ShowDetails" localSheetId="2">[14]DDETABLE!$AH$13</definedName>
    <definedName name="ShowDetails">#REF!</definedName>
    <definedName name="SmallCap">[12]Data!$BK$2</definedName>
    <definedName name="SmallCapCase">[12]Data!$F$50</definedName>
    <definedName name="SmallCapConcern">[12]Data!$H$50</definedName>
    <definedName name="SmallCapValuation">[12]Data!$G$50</definedName>
    <definedName name="solver_lin" hidden="1">0</definedName>
    <definedName name="solver_num" hidden="1">0</definedName>
    <definedName name="solver_typ" hidden="1">3</definedName>
    <definedName name="solver_val" hidden="1">0.1076</definedName>
    <definedName name="Source">[12]Data!$BP$2</definedName>
    <definedName name="srn" localSheetId="1" hidden="1">{"ANNUAL",#N/A,FALSE,"DDCLINK";"DDC94",#N/A,FALSE,"DDCLINK"}</definedName>
    <definedName name="srn" localSheetId="2" hidden="1">{"ANNUAL",#N/A,FALSE,"DDCLINK";"DDC94",#N/A,FALSE,"DDCLINK"}</definedName>
    <definedName name="srn" hidden="1">{"ANNUAL",#N/A,FALSE,"DDCLINK";"DDC94",#N/A,FALSE,"DDCLINK"}</definedName>
    <definedName name="ss" localSheetId="1" hidden="1">{"P and L",#N/A,FALSE,"Financial Output";"Cashflow",#N/A,FALSE,"Financial Output";"Balance Sheet",#N/A,FALSE,"Financial Output"}</definedName>
    <definedName name="ss" localSheetId="2" hidden="1">{"P and L",#N/A,FALSE,"Financial Output";"Cashflow",#N/A,FALSE,"Financial Output";"Balance Sheet",#N/A,FALSE,"Financial Output"}</definedName>
    <definedName name="ss" hidden="1">{"P and L",#N/A,FALSE,"Financial Output";"Cashflow",#N/A,FALSE,"Financial Output";"Balance Sheet",#N/A,FALSE,"Financial Output"}</definedName>
    <definedName name="ssss" localSheetId="1" hidden="1">{"P and L Detail Page 1",#N/A,FALSE,"Data";"P and L Detail Page 2",#N/A,FALSE,"Data"}</definedName>
    <definedName name="ssss" localSheetId="2" hidden="1">{"P and L Detail Page 1",#N/A,FALSE,"Data";"P and L Detail Page 2",#N/A,FALSE,"Data"}</definedName>
    <definedName name="ssss" hidden="1">{"P and L Detail Page 1",#N/A,FALSE,"Data";"P and L Detail Page 2",#N/A,FALSE,"Data"}</definedName>
    <definedName name="sssss" localSheetId="1" hidden="1">{"Five Year Record",#N/A,FALSE,"Front and Back"}</definedName>
    <definedName name="sssss" localSheetId="2" hidden="1">{"Five Year Record",#N/A,FALSE,"Front and Back"}</definedName>
    <definedName name="sssss" hidden="1">{"Five Year Record",#N/A,FALSE,"Front and Back"}</definedName>
    <definedName name="sTopic" localSheetId="2">[14]DDETABLE!$AQ$3</definedName>
    <definedName name="sTopic">#REF!</definedName>
    <definedName name="sYesNo" localSheetId="2">[14]DDETABLE!$AQ$2</definedName>
    <definedName name="sYesNo">#REF!</definedName>
    <definedName name="Table" localSheetId="2">[14]DDETABLE!$B$15</definedName>
    <definedName name="Table">#REF!</definedName>
    <definedName name="TableName" localSheetId="2">[14]DDETABLE!$E$6</definedName>
    <definedName name="TableName">#REF!</definedName>
    <definedName name="TaxDeferred">[12]Data!$AM$11:$AM$23</definedName>
    <definedName name="TaxesOnExtraOrdinaryItems">[12]Data!$AW$11:$AW$23</definedName>
    <definedName name="TaxGainsSaleFixedAssets">[12]Data!$BW$11:$BW$23</definedName>
    <definedName name="TaxPaidPretaxPct">[12]Data!$AL$11:$AL$23</definedName>
    <definedName name="TaxPaidPretaxProfit">[12]Data!$AK$11:$AK$23</definedName>
    <definedName name="test" localSheetId="1" hidden="1">{#N/A,#N/A,FALSE,"F_Plan";#N/A,#N/A,FALSE,"Parameter"}</definedName>
    <definedName name="test" localSheetId="2" hidden="1">{#N/A,#N/A,FALSE,"F_Plan";#N/A,#N/A,FALSE,"Parameter"}</definedName>
    <definedName name="test" hidden="1">{#N/A,#N/A,FALSE,"F_Plan";#N/A,#N/A,FALSE,"Parameter"}</definedName>
    <definedName name="test1" localSheetId="1" hidden="1">{#N/A,#N/A,FALSE,"Umsatz";#N/A,#N/A,FALSE,"Base V.02";#N/A,#N/A,FALSE,"Charts"}</definedName>
    <definedName name="test1" localSheetId="2" hidden="1">{#N/A,#N/A,FALSE,"Umsatz";#N/A,#N/A,FALSE,"Base V.02";#N/A,#N/A,FALSE,"Charts"}</definedName>
    <definedName name="test1" hidden="1">{#N/A,#N/A,FALSE,"Umsatz";#N/A,#N/A,FALSE,"Base V.02";#N/A,#N/A,FALSE,"Charts"}</definedName>
    <definedName name="test2" localSheetId="1" hidden="1">{#N/A,#N/A,FALSE,"F_Plan";#N/A,#N/A,FALSE,"Parameter"}</definedName>
    <definedName name="test2" localSheetId="2" hidden="1">{#N/A,#N/A,FALSE,"F_Plan";#N/A,#N/A,FALSE,"Parameter"}</definedName>
    <definedName name="test2" hidden="1">{#N/A,#N/A,FALSE,"F_Plan";#N/A,#N/A,FALSE,"Parameter"}</definedName>
    <definedName name="tests" localSheetId="1" hidden="1">{#N/A,#N/A,FALSE,"F_Plan";#N/A,#N/A,FALSE,"Parameter"}</definedName>
    <definedName name="tests" localSheetId="2" hidden="1">{#N/A,#N/A,FALSE,"F_Plan";#N/A,#N/A,FALSE,"Parameter"}</definedName>
    <definedName name="tests" hidden="1">{#N/A,#N/A,FALSE,"F_Plan";#N/A,#N/A,FALSE,"Parameter"}</definedName>
    <definedName name="Ticker">[12]Data!$BM$2</definedName>
    <definedName name="Tigr_Exhibit028fd485_1b37_4ed8_94ed_7f18a8c0d292" hidden="1">#REF!</definedName>
    <definedName name="Tigr_Exhibit0302f456_530f_4ef8_8984_f86b24b9b0b7" hidden="1">#REF!</definedName>
    <definedName name="Tigr_Exhibit03e85314_b577_47f1_b03b_8d0a2ccbf72b" hidden="1">[22]Interim!#REF!</definedName>
    <definedName name="Tigr_Exhibit04805e19_8560_4010_a0ca_6abb08205f64" hidden="1">#REF!</definedName>
    <definedName name="Tigr_Exhibit050fd584_e8ca_47ab_ae23_57a1f658e02c" localSheetId="1" hidden="1">#REF!</definedName>
    <definedName name="Tigr_Exhibit050fd584_e8ca_47ab_ae23_57a1f658e02c" hidden="1">#REF!</definedName>
    <definedName name="Tigr_Exhibit063f96a7_334f_4945_97c7_03923e8395ce" localSheetId="1" hidden="1">#REF!</definedName>
    <definedName name="Tigr_Exhibit063f96a7_334f_4945_97c7_03923e8395ce" hidden="1">#REF!</definedName>
    <definedName name="Tigr_Exhibit079e18f1_c085_4a6c_a524_9956e7bd2323" hidden="1">'Income Statement'!$A$1:$P$51</definedName>
    <definedName name="Tigr_Exhibit09597f33_8561_499d_8acb_c72ef56920f4" hidden="1">'[23]EPS Split'!$A$1:$J$23</definedName>
    <definedName name="Tigr_Exhibit09f1f5bc_aee1_4228_9933_527dd7fd7ce3" hidden="1">#REF!</definedName>
    <definedName name="Tigr_Exhibit0b694bdd_badd_4799_8184_81f693e5888a" hidden="1">[19]Z2_GS!$B$8:$R$64</definedName>
    <definedName name="Tigr_Exhibit0d5c525b_fe5d_4927_aba8_169c04df41dc" hidden="1">#REF!</definedName>
    <definedName name="Tigr_Exhibit0e9d861a_b6b6_495d_ae68_c705d6ee5a03" localSheetId="1" hidden="1">#REF!</definedName>
    <definedName name="Tigr_Exhibit0e9d861a_b6b6_495d_ae68_c705d6ee5a03" hidden="1">#REF!</definedName>
    <definedName name="Tigr_Exhibit0ed84a30_2dca_4d40_9efa_69cf4f557e31" hidden="1">'[23]Change in price target'!$A$3:$P$26</definedName>
    <definedName name="Tigr_Exhibit136af88f_9c2b_4d1a_8e9f_9a74831de426" hidden="1">'Income Statement'!$A$1:$P$56</definedName>
    <definedName name="Tigr_Exhibit1581e115_40e7_4d88_a2ec_4e100a4e33d1" hidden="1">#REF!</definedName>
    <definedName name="Tigr_Exhibit1592cba0_95d7_4860_977f_015d79f5d963" localSheetId="1" hidden="1">#REF!</definedName>
    <definedName name="Tigr_Exhibit1592cba0_95d7_4860_977f_015d79f5d963" hidden="1">#REF!</definedName>
    <definedName name="Tigr_Exhibit15e41a17_7e94_4a1a_9745_5dc864514687" hidden="1">#REF!</definedName>
    <definedName name="Tigr_Exhibit17d573a6_1102_4560_8af9_6700e9d29bb8" hidden="1">#REF!</definedName>
    <definedName name="Tigr_Exhibit17e90fe5_1003_4e49_b175_9de4cf2aa39a" hidden="1">'[5]Output financials'!#REF!</definedName>
    <definedName name="Tigr_Exhibit1a517a42_ff67_4be2_b8ac_e1bc4a03d9bc" hidden="1">'[23]Chrysler Summary'!$A$18:$F$29</definedName>
    <definedName name="Tigr_Exhibit1a6b11e0_120d_490f_b3c8_0450ecc77ebd" localSheetId="1" hidden="1">#REF!</definedName>
    <definedName name="Tigr_Exhibit1a6b11e0_120d_490f_b3c8_0450ecc77ebd" hidden="1">#REF!</definedName>
    <definedName name="Tigr_Exhibit1fa97c00_6612_442e_afee_cec6ea87b26a" localSheetId="1" hidden="1">#REF!</definedName>
    <definedName name="Tigr_Exhibit1fa97c00_6612_442e_afee_cec6ea87b26a" hidden="1">#REF!</definedName>
    <definedName name="Tigr_Exhibit1ffcbdf4_472a_4079_ad6e_d7e2f6a085e7" hidden="1">#REF!</definedName>
    <definedName name="Tigr_Exhibit208f485c_3a64_492e_bd46_444ac9c3e5a1" hidden="1">#REF!</definedName>
    <definedName name="Tigr_Exhibit209e2849_c935_48b0_b81d_228692de2793" hidden="1">#REF!</definedName>
    <definedName name="Tigr_Exhibit23bf0673_f652_43ad_a270_062203b1d569" localSheetId="1" hidden="1">#REF!</definedName>
    <definedName name="Tigr_Exhibit23bf0673_f652_43ad_a270_062203b1d569" hidden="1">#REF!</definedName>
    <definedName name="Tigr_Exhibit24935a98_a1a9_4463_80cb_47718b8b4da7" hidden="1">#REF!</definedName>
    <definedName name="Tigr_Exhibit293adbe7_ad59_42a2_9185_897e9fece8e4" localSheetId="1" hidden="1">#REF!</definedName>
    <definedName name="Tigr_Exhibit293adbe7_ad59_42a2_9185_897e9fece8e4" hidden="1">#REF!</definedName>
    <definedName name="Tigr_Exhibit2a337612_4ae2_4738_96ce_fd04dc659b23" localSheetId="1" hidden="1">#REF!</definedName>
    <definedName name="Tigr_Exhibit2a337612_4ae2_4738_96ce_fd04dc659b23" hidden="1">#REF!</definedName>
    <definedName name="Tigr_Exhibit2cb3c787_24d1_4df9_91db_fd0c414feb51" hidden="1">#REF!</definedName>
    <definedName name="Tigr_Exhibit2ec3c61e_440f_48f6_9c44_eb4d9f40ec75" localSheetId="1" hidden="1">#REF!</definedName>
    <definedName name="Tigr_Exhibit2ec3c61e_440f_48f6_9c44_eb4d9f40ec75" hidden="1">#REF!</definedName>
    <definedName name="Tigr_Exhibit30ad66da_7ea6_4eb2_88b1_6d3332ad88ac" hidden="1">#REF!</definedName>
    <definedName name="Tigr_Exhibit317c15d1_f414_4140_ae9a_4e7a6a024be2" hidden="1">#REF!</definedName>
    <definedName name="Tigr_Exhibit31eca39b_d29f_4c81_9b8e_2b363e595947" hidden="1">#REF!</definedName>
    <definedName name="Tigr_Exhibit34dc2f38_4c33_4260_979b_b424762e3ebc" hidden="1">#REF!</definedName>
    <definedName name="Tigr_Exhibit3626858b_350d_4365_b976_97db8ae79acc" hidden="1">#REF!</definedName>
    <definedName name="Tigr_Exhibit377f7527_e4e0_4a67_915c_b4a232665db7" hidden="1">'[23]Chrysler Summary'!$A$3:$B$15</definedName>
    <definedName name="Tigr_Exhibit396bf6ab_47f1_4aad_bea0_f3874c070d33" localSheetId="1" hidden="1">#REF!</definedName>
    <definedName name="Tigr_Exhibit396bf6ab_47f1_4aad_bea0_f3874c070d33" hidden="1">#REF!</definedName>
    <definedName name="Tigr_Exhibit3c367987_0be4_4e92_9196_f4e0eec06de0" hidden="1">#REF!</definedName>
    <definedName name="Tigr_Exhibit3df4d20f_aeaf_4a27_a74e_9b3bc585b3fb" localSheetId="2" hidden="1">'[24]Charts New'!$B$411:$C$435</definedName>
    <definedName name="Tigr_Exhibit3df4d20f_aeaf_4a27_a74e_9b3bc585b3fb" hidden="1">#REF!</definedName>
    <definedName name="Tigr_Exhibit405e0256_a402_4a56_9006_0d232e8d32ac" localSheetId="2" hidden="1" xml:space="preserve">      '[8]Z2 (GS)'!$A$6:$R$68</definedName>
    <definedName name="Tigr_Exhibit405e0256_a402_4a56_9006_0d232e8d32ac" hidden="1">#REF!</definedName>
    <definedName name="Tigr_Exhibit4304deff_e9a9_4cb3_824d_9fc446610131" localSheetId="2" hidden="1">[24]Split!$Q$36:$X$53</definedName>
    <definedName name="Tigr_Exhibit4304deff_e9a9_4cb3_824d_9fc446610131" hidden="1">#REF!</definedName>
    <definedName name="Tigr_Exhibit436e4656_f806_4761_a61c_2353def5df19" hidden="1">#REF!</definedName>
    <definedName name="Tigr_Exhibit453c3b5a_afcd_4d13_94c1_f2834ca68c3d" hidden="1">#REF!</definedName>
    <definedName name="Tigr_Exhibit46b4e7f3_ddac_4671_80f7_f21a5559b2b7" localSheetId="1" hidden="1">#REF!</definedName>
    <definedName name="Tigr_Exhibit46b4e7f3_ddac_4671_80f7_f21a5559b2b7" hidden="1">#REF!</definedName>
    <definedName name="Tigr_Exhibit477da07b_1624_4d5b_97be_a963c1717028" hidden="1">#REF!</definedName>
    <definedName name="Tigr_Exhibit48d7dc8b_e86c_4e9d_ad75_444680fa39b3" hidden="1" xml:space="preserve"> [25]Summary!$A$65:$F$85</definedName>
    <definedName name="Tigr_Exhibit49739705_d016_4266_8fc4_f69a653d2707" hidden="1">#REF!</definedName>
    <definedName name="Tigr_Exhibit4abe3947_f481_48e8_8305_81f5646672a5" hidden="1">#REF!</definedName>
    <definedName name="Tigr_Exhibit4c96ae64_034b_471c_bde9_9650ff4d0856" hidden="1">#REF!</definedName>
    <definedName name="Tigr_Exhibit4db33ac6_9516_4942_af8f_de768bc47d36" hidden="1">#REF!</definedName>
    <definedName name="Tigr_Exhibit546d557d_2ce9_4f5a_8d3a_a8e77a0e5240" localSheetId="1" hidden="1">#REF!</definedName>
    <definedName name="Tigr_Exhibit546d557d_2ce9_4f5a_8d3a_a8e77a0e5240" hidden="1">#REF!</definedName>
    <definedName name="Tigr_Exhibit550877ef_218d_47e5_a2a8_afcf5d19760d" hidden="1">#REF!</definedName>
    <definedName name="Tigr_Exhibit5659d6d2_194d_46ed_be3d_52213b9857cc" localSheetId="1" hidden="1">#REF!</definedName>
    <definedName name="Tigr_Exhibit5659d6d2_194d_46ed_be3d_52213b9857cc" hidden="1">#REF!</definedName>
    <definedName name="Tigr_Exhibit57c26769_cd60_499e_ae76_ecbd4a1c0ac0" hidden="1">#REF!</definedName>
    <definedName name="Tigr_Exhibit595de645_fe0f_416e_aee1_1e83532a9046" hidden="1">[26]Sheet1!$B$3:$H$13</definedName>
    <definedName name="Tigr_Exhibit5b67c3e2_bfd9_4b00_bccc_a33be4bd5375" hidden="1">#REF!</definedName>
    <definedName name="Tigr_Exhibit5d670e05_6d1b_483a_9d66_a982bec79a8d" hidden="1">#REF!</definedName>
    <definedName name="Tigr_Exhibit5df8f6b8_68a3_42ea_91bf_e7fd67339081" hidden="1">#REF!</definedName>
    <definedName name="Tigr_Exhibit5e44e8b3_40b0_48e1_ae13_abee5c77db1d" hidden="1">#REF!</definedName>
    <definedName name="Tigr_Exhibit5e980af8_f024_41cc_9b0b_7e466e940d10" hidden="1">#REF!</definedName>
    <definedName name="Tigr_Exhibit6022d047_7550_47e8_b277_cfa979f8c159" hidden="1">#REF!</definedName>
    <definedName name="Tigr_Exhibit6437d798_a4e1_433f_a04f_859606582a71" localSheetId="1" hidden="1">#REF!</definedName>
    <definedName name="Tigr_Exhibit6437d798_a4e1_433f_a04f_859606582a71" hidden="1">#REF!</definedName>
    <definedName name="Tigr_Exhibit6602a83c_d49b_464a_96c0_75ec4b57dfd4" localSheetId="1" hidden="1">#REF!</definedName>
    <definedName name="Tigr_Exhibit6602a83c_d49b_464a_96c0_75ec4b57dfd4" hidden="1">#REF!</definedName>
    <definedName name="Tigr_Exhibit69dbd881_9021_4a50_8f47_967c4ed22b25" hidden="1">#REF!</definedName>
    <definedName name="Tigr_Exhibit6ada990e_00f4_4290_bbc2_ef95cd7730de" localSheetId="1" hidden="1">#REF!</definedName>
    <definedName name="Tigr_Exhibit6ada990e_00f4_4290_bbc2_ef95cd7730de" hidden="1">#REF!</definedName>
    <definedName name="Tigr_Exhibit6cd3de4b_b469_4b55_b723_45ba1e0164e3" hidden="1">#REF!</definedName>
    <definedName name="Tigr_Exhibit6d4464e8_ca77_471a_abe8_ac475a62d563" hidden="1">#REF!</definedName>
    <definedName name="Tigr_Exhibit6f81e85d_c595_44ce_8fa0_410f55673137" hidden="1">#REF!</definedName>
    <definedName name="Tigr_Exhibit6ffa48b4_ec3a_439f_a629_f2485b51560c" hidden="1">#REF!</definedName>
    <definedName name="Tigr_Exhibit7186ff81_b55e_4959_a429_5e5aaff48371" localSheetId="1" hidden="1">#REF!</definedName>
    <definedName name="Tigr_Exhibit7186ff81_b55e_4959_a429_5e5aaff48371" hidden="1">#REF!</definedName>
    <definedName name="Tigr_Exhibit730381d1_af67_4f3d_8c70_e3fc04144df1" localSheetId="1" hidden="1">#REF!</definedName>
    <definedName name="Tigr_Exhibit730381d1_af67_4f3d_8c70_e3fc04144df1" hidden="1">#REF!</definedName>
    <definedName name="Tigr_Exhibit7483c271_a804_404c_b9bf_8a2e94a69e12" localSheetId="2" hidden="1">'[24]Charts New'!$B$585:$C$596</definedName>
    <definedName name="Tigr_Exhibit7483c271_a804_404c_b9bf_8a2e94a69e12" hidden="1">#REF!</definedName>
    <definedName name="Tigr_Exhibit7606bc5c_f844_40e5_b2b5_a5bd50765b2c" hidden="1">#REF!</definedName>
    <definedName name="Tigr_Exhibit77e97a30_fb34_4e07_9622_bb28c086f806" localSheetId="2" hidden="1">'[24]Charts New'!$B$412:$C$435</definedName>
    <definedName name="Tigr_Exhibit77e97a30_fb34_4e07_9622_bb28c086f806" hidden="1">#REF!</definedName>
    <definedName name="Tigr_Exhibit7a26ff5a_c113_4611_8089_040b40c50b28" localSheetId="1" hidden="1">#REF!</definedName>
    <definedName name="Tigr_Exhibit7a26ff5a_c113_4611_8089_040b40c50b28" hidden="1">#REF!</definedName>
    <definedName name="Tigr_Exhibit7b162cd5_4b8a_4b24_8d1f_d91b69b197af" hidden="1">#REF!</definedName>
    <definedName name="Tigr_Exhibit7c92b95c_669c_4ada_8368_fc26e9f4fef0" hidden="1">#REF!</definedName>
    <definedName name="Tigr_Exhibit7e10dee4_f9fa_4032_b4e5_0d1d3c9074b7" hidden="1">#REF!</definedName>
    <definedName name="Tigr_Exhibit80a44168_00e4_4334_b458_4478fc4d0c78" hidden="1">#REF!</definedName>
    <definedName name="Tigr_Exhibit81b70657_cecc_426e_95a9_1b9fae2b8222" hidden="1">'[23]EPS Split'!$A$1:$H$23</definedName>
    <definedName name="Tigr_Exhibit81fcb1ae_e306_4ac9_9ddf_7b0001b6c816" localSheetId="1" hidden="1">#REF!</definedName>
    <definedName name="Tigr_Exhibit81fcb1ae_e306_4ac9_9ddf_7b0001b6c816" hidden="1">#REF!</definedName>
    <definedName name="Tigr_Exhibit826be858_e7ae_45ab_976c_ab73d7fb29b6" localSheetId="1" hidden="1">#REF!</definedName>
    <definedName name="Tigr_Exhibit826be858_e7ae_45ab_976c_ab73d7fb29b6" hidden="1">#REF!</definedName>
    <definedName name="Tigr_Exhibit83522e8d_af05_4922_a66f_8044892b68e8" hidden="1">#REF!</definedName>
    <definedName name="Tigr_Exhibit83d86c1d_033b_44c3_a8e2_8b2675d6fc94" hidden="1">'DCF Feed'!$A$25:$Q$43</definedName>
    <definedName name="Tigr_Exhibit845f680a_56f9_4e5d_97ef_68d1a9534548" localSheetId="1" hidden="1">#REF!</definedName>
    <definedName name="Tigr_Exhibit845f680a_56f9_4e5d_97ef_68d1a9534548" hidden="1">#REF!</definedName>
    <definedName name="Tigr_Exhibit864312ca_808a_4470_aa00_c6a80c8883bf" hidden="1">#REF!</definedName>
    <definedName name="Tigr_Exhibit8767106c_834c_4952_82a7_49f882aa1abf" hidden="1">'[23]Value creation exhibit'!$B$3:$P$43</definedName>
    <definedName name="Tigr_Exhibit87d6fb12_7a68_4ac2_b664_bb639cb8fb71" hidden="1">[27]Interim!#REF!</definedName>
    <definedName name="Tigr_Exhibit8888518c_1cee_4634_9eb5_b3e21660b026" localSheetId="1" hidden="1">#REF!</definedName>
    <definedName name="Tigr_Exhibit8888518c_1cee_4634_9eb5_b3e21660b026" hidden="1">#REF!</definedName>
    <definedName name="Tigr_Exhibit88ac60a1_294f_416f_bb40_92abf0c43c09" localSheetId="1" hidden="1">#REF!</definedName>
    <definedName name="Tigr_Exhibit88ac60a1_294f_416f_bb40_92abf0c43c09" hidden="1">#REF!</definedName>
    <definedName name="Tigr_Exhibit88ffb718_cf89_45b4_bfcd_b3b4165d0721" hidden="1">#REF!</definedName>
    <definedName name="Tigr_Exhibit897029e2_8ce9_4bbd_bd59_f480c7e24c4d" hidden="1">#REF!</definedName>
    <definedName name="Tigr_Exhibit8d200884_3d6c_4b3f_a787_0fc230c30cc4" localSheetId="1" hidden="1">#REF!</definedName>
    <definedName name="Tigr_Exhibit8d200884_3d6c_4b3f_a787_0fc230c30cc4" hidden="1">#REF!</definedName>
    <definedName name="Tigr_Exhibit909712c0_3869_45ea_8a74_3a034af09051" hidden="1">#REF!</definedName>
    <definedName name="Tigr_Exhibit92ecc90c_50ac_43a7_958d_28a95332a4c1" hidden="1">#REF!</definedName>
    <definedName name="Tigr_Exhibit94751738_bcfa_46bc_8753_5027b0f153b4" hidden="1">#REF!</definedName>
    <definedName name="Tigr_Exhibit948f35a2_f2ef_4e15_a8dd_e33204c6c04a" hidden="1">[23]Exhibits!$A$177:$F$197</definedName>
    <definedName name="Tigr_Exhibit953bc95e_954b_4426_b262_13e0b6a97564" localSheetId="1" hidden="1">#REF!</definedName>
    <definedName name="Tigr_Exhibit953bc95e_954b_4426_b262_13e0b6a97564" hidden="1">#REF!</definedName>
    <definedName name="Tigr_Exhibit9585a1e6_8a4d_40e0_8bd1_da18e7ecc622" localSheetId="1" hidden="1">#REF!</definedName>
    <definedName name="Tigr_Exhibit9585a1e6_8a4d_40e0_8bd1_da18e7ecc622" hidden="1">#REF!</definedName>
    <definedName name="Tigr_Exhibit966c588b_791d_4af5_96d7_3ebd599e1020" hidden="1">#REF!</definedName>
    <definedName name="Tigr_Exhibit97b24daa_3a43_48f5_9108_841ee1edb1e7" hidden="1">#REF!</definedName>
    <definedName name="Tigr_Exhibit97f1cb9a_74ed_46c9_8ad0_8547a3020bbe" hidden="1">#REF!</definedName>
    <definedName name="Tigr_Exhibit98fb9a33_716b_4842_a273_13baec8e3ef4" localSheetId="1" hidden="1">#REF!</definedName>
    <definedName name="Tigr_Exhibit98fb9a33_716b_4842_a273_13baec8e3ef4" hidden="1">#REF!</definedName>
    <definedName name="Tigr_Exhibit99103715_4c54_4b13_9280_af00030a072e" hidden="1">#REF!</definedName>
    <definedName name="Tigr_Exhibit99e0cdfa_2761_49b4_b511_14ff70828e26" localSheetId="1" hidden="1">#REF!</definedName>
    <definedName name="Tigr_Exhibit99e0cdfa_2761_49b4_b511_14ff70828e26" hidden="1">#REF!</definedName>
    <definedName name="Tigr_Exhibit9ba3a61c_7534_45b0_b622_3507e2ddf6dc" localSheetId="1" hidden="1">#REF!</definedName>
    <definedName name="Tigr_Exhibit9ba3a61c_7534_45b0_b622_3507e2ddf6dc" hidden="1">#REF!</definedName>
    <definedName name="Tigr_Exhibit9c19ba11_f436_4fa0_aab1_65af2b36c3bb" hidden="1">#REF!</definedName>
    <definedName name="Tigr_Exhibit9e3a0dd0_c07f_451d_ba62_def0598a4db5" localSheetId="1" hidden="1">#REF!</definedName>
    <definedName name="Tigr_Exhibit9e3a0dd0_c07f_451d_ba62_def0598a4db5" hidden="1">#REF!</definedName>
    <definedName name="Tigr_Exhibita166f9eb_fe2b_4e6b_a8a8_0f9b8669d4b8" hidden="1">#REF!</definedName>
    <definedName name="Tigr_Exhibita412f06d_75b1_45d3_a0e6_b6feb5f14d8c" localSheetId="1" hidden="1">#REF!</definedName>
    <definedName name="Tigr_Exhibita412f06d_75b1_45d3_a0e6_b6feb5f14d8c" hidden="1">#REF!</definedName>
    <definedName name="Tigr_Exhibita643194c_c9a4_41ec_807c_9bc723b88bd6" hidden="1">#REF!</definedName>
    <definedName name="Tigr_Exhibitae890284_7c6e_4c38_af79_d0d0795b6d9a" hidden="1">#REF!</definedName>
    <definedName name="Tigr_Exhibitb13feb4b_5fd3_41d9_ae81_d5d5dd27af58" hidden="1">#REF!</definedName>
    <definedName name="Tigr_Exhibitb1af0451_a8a6_49ea_b09c_c48cdddb1511" hidden="1">#REF!</definedName>
    <definedName name="Tigr_Exhibitb28b5db8_e44d_4f71_adfd_5b46e045cd90" hidden="1">'[19]Z3 ROIC'!$B$6:$R$86</definedName>
    <definedName name="Tigr_Exhibitb2a8ace8_6d4a_4d18_b2d4_85d87250719e" hidden="1">#REF!</definedName>
    <definedName name="Tigr_Exhibitb2c24187_6779_4c09_8c14_c335ce944433" hidden="1">#REF!</definedName>
    <definedName name="Tigr_Exhibitb413f982_2cc1_4dfd_9317_c11834ea9d6b" hidden="1">#REF!</definedName>
    <definedName name="Tigr_Exhibitb53b83e6_4a7f_4e5f_81fa_06e13743d0e0" hidden="1">#REF!</definedName>
    <definedName name="Tigr_Exhibitb58a29f6_500c_4c45_96b4_e7e9dce5727b" hidden="1">'Airbus Commercial'!#REF!</definedName>
    <definedName name="Tigr_Exhibitb6193ffb_d638_428b_9c98_b3b93607751c" hidden="1">#REF!</definedName>
    <definedName name="Tigr_Exhibitb7669c64_a551_4a0b_9d28_a6747292afbf" localSheetId="1" hidden="1">#REF!</definedName>
    <definedName name="Tigr_Exhibitb7669c64_a551_4a0b_9d28_a6747292afbf" hidden="1">#REF!</definedName>
    <definedName name="Tigr_Exhibitb914deb6_6fef_4080_a95c_53e821f3167c" localSheetId="1" hidden="1">#REF!</definedName>
    <definedName name="Tigr_Exhibitb914deb6_6fef_4080_a95c_53e821f3167c" localSheetId="2" hidden="1" xml:space="preserve"> '[28]Q Out NEW'!$D$9:$AD$24</definedName>
    <definedName name="Tigr_Exhibitb914deb6_6fef_4080_a95c_53e821f3167c" hidden="1">#REF!</definedName>
    <definedName name="Tigr_Exhibitb92285c2_0fcf_4c57_bba2_77edb7256d80" localSheetId="1" hidden="1">#REF!</definedName>
    <definedName name="Tigr_Exhibitb92285c2_0fcf_4c57_bba2_77edb7256d80" hidden="1">#REF!</definedName>
    <definedName name="Tigr_Exhibitbc706f9a_3964_4851_acad_bca8b12b7a40" hidden="1">'DCF Feed'!$A$25:$Q$42</definedName>
    <definedName name="Tigr_Exhibitbcd21ef7_a4ad_4410_96d0_2fdd99275ef7" hidden="1">#REF!</definedName>
    <definedName name="Tigr_Exhibitbda7e524_d557_47ac_86b5_5507ff0e0fab" hidden="1">#REF!</definedName>
    <definedName name="Tigr_Exhibitbdf28de0_06e2_483a_a352_8d95e81f3a27" hidden="1">#REF!</definedName>
    <definedName name="Tigr_Exhibitbed3fe3e_fd27_431c_89e4_37af587b766e" hidden="1">#REF!</definedName>
    <definedName name="Tigr_Exhibitbeeaaf63_65ef_4179_9c08_62c89ebbd821" localSheetId="1" hidden="1">#REF!</definedName>
    <definedName name="Tigr_Exhibitbeeaaf63_65ef_4179_9c08_62c89ebbd821" hidden="1">#REF!</definedName>
    <definedName name="Tigr_Exhibitbf851bf9_3826_4ac4_9282_566526fda96e" localSheetId="1" hidden="1">#REF!</definedName>
    <definedName name="Tigr_Exhibitbf851bf9_3826_4ac4_9282_566526fda96e" hidden="1">#REF!</definedName>
    <definedName name="Tigr_Exhibitbfd8e340_356d_41f7_adc0_0ce4fb9b4c04" localSheetId="1" hidden="1">#REF!</definedName>
    <definedName name="Tigr_Exhibitbfd8e340_356d_41f7_adc0_0ce4fb9b4c04" hidden="1">#REF!</definedName>
    <definedName name="Tigr_Exhibitc13167f1_b29a_46f1_8dc1_af607cbad642" hidden="1" xml:space="preserve"> '[29]10 year Val'!$B$135:$Y$157</definedName>
    <definedName name="Tigr_Exhibitc2a53f77_c941_41ae_96b7_932cd7cb59c9" hidden="1">#REF!</definedName>
    <definedName name="Tigr_Exhibitc72cef6a_7b00_4e55_9cfa_4f9ab806053d" localSheetId="1" hidden="1">#REF!</definedName>
    <definedName name="Tigr_Exhibitc72cef6a_7b00_4e55_9cfa_4f9ab806053d" hidden="1">#REF!</definedName>
    <definedName name="Tigr_Exhibitc8326494_9a9c_476f_8361_05f49cf3e489" hidden="1">#REF!</definedName>
    <definedName name="Tigr_Exhibitc84fa021_16f3_4b54_9f8f_3e05f457e620" localSheetId="1" hidden="1">#REF!</definedName>
    <definedName name="Tigr_Exhibitc84fa021_16f3_4b54_9f8f_3e05f457e620" hidden="1">#REF!</definedName>
    <definedName name="Tigr_Exhibitc8e3ab28_8767_4af5_b4a6_86c2d495f527" hidden="1">'[23]Chrysler Summary'!$A$3:$D$15</definedName>
    <definedName name="Tigr_Exhibitca1ffdd1_a745_41b6_9d0e_c6f33ee55743" hidden="1" xml:space="preserve"> '[30]Q out'!$A$1:$E$8</definedName>
    <definedName name="Tigr_Exhibitca522c88_9825_4832_9849_38abacd2d50d" hidden="1">#REF!</definedName>
    <definedName name="Tigr_Exhibitcaf2ae06_6ae8_42d7_a972_54ad99f63754" hidden="1">#REF!</definedName>
    <definedName name="Tigr_Exhibitcb1b6d22_b0e0_4752_9e8e_af4d3771a889" localSheetId="1" hidden="1">#REF!</definedName>
    <definedName name="Tigr_Exhibitcb1b6d22_b0e0_4752_9e8e_af4d3771a889" hidden="1">#REF!</definedName>
    <definedName name="Tigr_Exhibitcbc59270_f71d_49a9_87b5_91f2c98ffd7b" localSheetId="1" hidden="1">'[20]Z3 (GS)'!$B$7:$R$94</definedName>
    <definedName name="Tigr_Exhibitcbc59270_f71d_49a9_87b5_91f2c98ffd7b" localSheetId="2" hidden="1">'[31]Z3 (GS)'!$B$7:$R$94</definedName>
    <definedName name="Tigr_Exhibitcbc59270_f71d_49a9_87b5_91f2c98ffd7b" hidden="1">'[20]Z3 (GS)'!$B$7:$R$94</definedName>
    <definedName name="Tigr_Exhibitcbcc151e_d789_47e2_b6f0_661c319e111a" localSheetId="1" hidden="1">#REF!</definedName>
    <definedName name="Tigr_Exhibitcbcc151e_d789_47e2_b6f0_661c319e111a" hidden="1">#REF!</definedName>
    <definedName name="Tigr_Exhibitcdae728d_4886_44bb_98fc_a8f48a072806" hidden="1">[23]Exhibits!$A$202:$F$223</definedName>
    <definedName name="Tigr_Exhibitd0c69ba7_acc3_430d_90e6_91a5fd3dce25" localSheetId="1" hidden="1">#REF!</definedName>
    <definedName name="Tigr_Exhibitd0c69ba7_acc3_430d_90e6_91a5fd3dce25" hidden="1">#REF!</definedName>
    <definedName name="Tigr_Exhibitd14baf14_55b6_458c_8fe2_50aa1c768d55" hidden="1">#REF!</definedName>
    <definedName name="Tigr_Exhibitd16c07d6_bdf1_4332_9e8c_1259e9df26ec" hidden="1">#REF!</definedName>
    <definedName name="Tigr_Exhibitd1824f5f_6929_4a41_8ede_08d78ff3a77d" hidden="1">#REF!</definedName>
    <definedName name="Tigr_Exhibitd235b590_b8bd_45a9_a31f_9377260c2b04" localSheetId="1" hidden="1">#REF!</definedName>
    <definedName name="Tigr_Exhibitd235b590_b8bd_45a9_a31f_9377260c2b04" hidden="1">#REF!</definedName>
    <definedName name="Tigr_Exhibitd246771b_ff43_4a0d_87a6_7389b177d943" hidden="1">#REF!</definedName>
    <definedName name="Tigr_Exhibitd2ae655c_4a9f_4164_8a3a_91b7ba439025" hidden="1">#REF!</definedName>
    <definedName name="Tigr_Exhibitd662044d_637e_41c3_8d32_be9503f112b0" hidden="1">#REF!</definedName>
    <definedName name="Tigr_Exhibitd7f211d5_676e_4eae_b0cc_ba67682342c2" localSheetId="2" hidden="1">'[24]Charts New'!$I$415:$Y$433</definedName>
    <definedName name="Tigr_Exhibitd7f211d5_676e_4eae_b0cc_ba67682342c2" hidden="1">#REF!</definedName>
    <definedName name="Tigr_Exhibitdb12008d_0ec9_4d77_97bb_aac6265bc376" hidden="1">#REF!</definedName>
    <definedName name="Tigr_Exhibitdc4ec690_8b00_428f_acbb_2a87bbd7025c" hidden="1">#REF!</definedName>
    <definedName name="Tigr_Exhibitdc74ee1a_a27b_49e8_a666_290c00ae7886" hidden="1">#REF!</definedName>
    <definedName name="Tigr_Exhibitdd3e6400_d47f_4bcb_b35a_a2c893fa8f28" localSheetId="1" hidden="1">#REF!</definedName>
    <definedName name="Tigr_Exhibitdd3e6400_d47f_4bcb_b35a_a2c893fa8f28" hidden="1">#REF!</definedName>
    <definedName name="Tigr_Exhibitdf8ad9ac_1077_4b2a_933a_105566db4dc8" hidden="1">#REF!</definedName>
    <definedName name="Tigr_Exhibite0365b8a_1e88_49c0_92c6_67e15d2bb714" hidden="1">#REF!</definedName>
    <definedName name="Tigr_Exhibite24162b9_c6a8_4659_8ecc_4f5c707cfd8a" hidden="1">#REF!</definedName>
    <definedName name="Tigr_Exhibite5506369_8705_4cff_845a_26e3de73cc57" hidden="1">#REF!</definedName>
    <definedName name="Tigr_Exhibite91d3bf9_c3ad_43f5_b830_d7da8b7dc709" hidden="1">#REF!</definedName>
    <definedName name="Tigr_Exhibite93e6b73_24a9_4f77_9793_568bceddf471" hidden="1">#REF!</definedName>
    <definedName name="Tigr_Exhibite95ea148_a38e_4c74_a7f8_7b4ff44988ac" hidden="1">#REF!</definedName>
    <definedName name="Tigr_Exhibitecffe75f_45b0_4dee_a6ac_3721264c4cd6" localSheetId="1" hidden="1">#REF!</definedName>
    <definedName name="Tigr_Exhibitecffe75f_45b0_4dee_a6ac_3721264c4cd6" hidden="1">#REF!</definedName>
    <definedName name="Tigr_Exhibitf60817f5_c088_47d5_8c0b_a8b756b5cc9e" localSheetId="1" hidden="1">#REF!</definedName>
    <definedName name="Tigr_Exhibitf60817f5_c088_47d5_8c0b_a8b756b5cc9e" hidden="1">#REF!</definedName>
    <definedName name="Tigr_Exhibitfae0efaa_0267_4758_8c3f_d4ba0225f3bc" hidden="1">#REF!</definedName>
    <definedName name="Tigr_Exhibitfbde01df_6136_42c7_a4a1_973ae647e993" hidden="1">#REF!</definedName>
    <definedName name="Tigr_Exhibitfc74587a_8e3a_45d2_b1dd_781a5617b7b5" hidden="1">#REF!</definedName>
    <definedName name="Tigr_Exhibitfd0d12a2_cadf_4121_a421_ef9cb79c9cd1" hidden="1">#REF!</definedName>
    <definedName name="Tigr_Exhibitfd106d44_5d74_4139_b7a3_27ec4e20b13a" hidden="1">#REF!</definedName>
    <definedName name="Title" localSheetId="2">[14]DDETABLE!$E$8</definedName>
    <definedName name="Title">#REF!</definedName>
    <definedName name="TotalAssets">[12]Data!$DT$11:$DT$23</definedName>
    <definedName name="TotalCashDeposits">[12]Data!$IG$11:$IG$23</definedName>
    <definedName name="TotalDerivativesAnalyst">[12]Data!$CA$2</definedName>
    <definedName name="TotalExpenses">[12]Data!$O$11:$O$23</definedName>
    <definedName name="TotalFinancialItems">[12]Data!$AG$11:$AG$23</definedName>
    <definedName name="TotalLiabilitiesEquity">[12]Data!$EL$11:$EL$23</definedName>
    <definedName name="TotalReqs" localSheetId="2">[14]DDETABLE!$H$5</definedName>
    <definedName name="TotalReqs">#REF!</definedName>
    <definedName name="TotalRevenue">[12]Data!$I$11:$I$23</definedName>
    <definedName name="TotalRevenueMax">#REF!</definedName>
    <definedName name="TotalSecurities">[12]Data!$IF$11:$IF$23</definedName>
    <definedName name="TotalSharesAnalyst">[12]Data!$BZ$2</definedName>
    <definedName name="TotalSharesEmployees">[12]Data!$CB$2</definedName>
    <definedName name="TotalSharesES">[12]Data!$CC$2</definedName>
    <definedName name="TotalTime" localSheetId="2">[14]DDETABLE!$H$7</definedName>
    <definedName name="TotalTime">#REF!</definedName>
    <definedName name="TradesPerAccountAvg">[12]Data!$HZ$11:$HZ$23</definedName>
    <definedName name="TRNR_20c5f071bf82430d96420b80475ec343_473_4" hidden="1">[32]Charts!#REF!</definedName>
    <definedName name="TRNR_49b44b0e22464e52a1c45e34419fc423_5463_6" hidden="1">#REF!</definedName>
    <definedName name="TRNR_71251922ba344f8196f28099e2190926_5428_17" hidden="1">'[33]Congl. discount'!$B$4</definedName>
    <definedName name="TRNR_80d1c101faa3415a81489c48b9cdfd9a_2949_2" hidden="1">'[34]GDP revisions'!$BY$2</definedName>
    <definedName name="TRNR_cce82653f88c4340b3960d39375277c1_5428_17" hidden="1">'[33]Congl. discount'!$U$4</definedName>
    <definedName name="ttttttttttttttttttttttttttttttt" localSheetId="1" hidden="1">{"Geographic P1",#N/A,FALSE,"Division &amp; Geog"}</definedName>
    <definedName name="ttttttttttttttttttttttttttttttt" localSheetId="2" hidden="1">{"Geographic P1",#N/A,FALSE,"Division &amp; Geog"}</definedName>
    <definedName name="ttttttttttttttttttttttttttttttt" hidden="1">{"Geographic P1",#N/A,FALSE,"Division &amp; Geog"}</definedName>
    <definedName name="UnderlayingChangeInWorkingCapital">[12]Data!$CE$11:$CE$23</definedName>
    <definedName name="UndisResBooked">[12]Data!$FH$11:$FH$23</definedName>
    <definedName name="UndisResDeferred">[12]Data!$FI$11:$FI$23</definedName>
    <definedName name="UndisResMarketValuePerShare">[12]Data!$FG$11:$FG$23</definedName>
    <definedName name="undisrestot">[12]Data!$M$7:$M$25</definedName>
    <definedName name="UndisResTotal">[12]Data!$FJ$11:$FJ$23</definedName>
    <definedName name="UndisResTotalPerShare">[12]Data!$FK$11:$FK$23</definedName>
    <definedName name="UnrealizedForExchangeLoss">[12]Data!$BZ$11:$BZ$23</definedName>
    <definedName name="usus" hidden="1">{"'TABLE82'!$A$1:$D$102"}</definedName>
    <definedName name="uu" localSheetId="1" hidden="1">{"Financials",#N/A,FALSE,"Financials";"AVP",#N/A,FALSE,"AVP";"DCF",#N/A,FALSE,"DCF";"CSC",#N/A,FALSE,"CSC";"Deal_Comp",#N/A,FALSE,"DealComp"}</definedName>
    <definedName name="uu" localSheetId="2" hidden="1">{"Financials",#N/A,FALSE,"Financials";"AVP",#N/A,FALSE,"AVP";"DCF",#N/A,FALSE,"DCF";"CSC",#N/A,FALSE,"CSC";"Deal_Comp",#N/A,FALSE,"DealComp"}</definedName>
    <definedName name="uu" hidden="1">{"Financials",#N/A,FALSE,"Financials";"AVP",#N/A,FALSE,"AVP";"DCF",#N/A,FALSE,"DCF";"CSC",#N/A,FALSE,"CSC";"Deal_Comp",#N/A,FALSE,"DealComp"}</definedName>
    <definedName name="V_ALL_ABBN.S">#REF!</definedName>
    <definedName name="V_ALL_AIR.PA" localSheetId="1">#REF!</definedName>
    <definedName name="V_ALL_AIR.PA" localSheetId="2">[10]AIR.PA_Validation_Sheet!$A$1:$CY$329</definedName>
    <definedName name="V_ALL_AIR.PA">#REF!</definedName>
    <definedName name="V_ALL_AIR.PA_" localSheetId="1">#REF!</definedName>
    <definedName name="V_ALL_AIR.PA_">#REF!</definedName>
    <definedName name="V_ALL_ATCOa.ST">[5]ATCOa.ST_Validation_Sheet!$A$1:$DO$576</definedName>
    <definedName name="V_ALL_AVMD.PA">#REF!</definedName>
    <definedName name="V_ALL_BAES.L" localSheetId="2">[6]BAES.L_Validation_Sheet!$A$1:$AX$386</definedName>
    <definedName name="V_ALL_BAES.L">#REF!</definedName>
    <definedName name="V_ALL_BAES.L_" localSheetId="1">#REF!</definedName>
    <definedName name="V_ALL_BAES.L_">#REF!</definedName>
    <definedName name="V_ALL_COB.L" localSheetId="2">'[4]COB.L_Validation_Sheet'!$A$1:$AV$348</definedName>
    <definedName name="V_ALL_COB.L">#REF!</definedName>
    <definedName name="V_ALL_EAD.PA" localSheetId="2">[8]EAD.PA_Validation_Sheet!$A$1:$AX$346</definedName>
    <definedName name="V_ALL_EAD.PA">#REF!</definedName>
    <definedName name="V_ALL_KEYWORDS_TYPE_ScalarContributed_EQTY_200000267">[5]ATCOa.ST_Validation_Sheet!$562:$564,[5]ATCOa.ST_Validation_Sheet!$510:$519</definedName>
    <definedName name="V_ALL_KEYWORDS_TYPE_ScalarContributed_EQTY_200003162" localSheetId="2">[6]BAES.L_Validation_Sheet!$339:$345,[6]BAES.L_Validation_Sheet!$384:$386</definedName>
    <definedName name="V_ALL_KEYWORDS_TYPE_ScalarContributed_EQTY_200003162">#REF!,#REF!</definedName>
    <definedName name="V_ALL_KEYWORDS_TYPE_ScalarContributed_EQTY_200003170">#REF!,#REF!</definedName>
    <definedName name="V_ALL_KEYWORDS_TYPE_ScalarContributed_EQTY_200003173">#REF!,#REF!</definedName>
    <definedName name="V_ALL_KEYWORDS_TYPE_ScalarContributed_EQTY_200003183">#REF!,#REF!</definedName>
    <definedName name="V_ALL_KEYWORDS_TYPE_ScalarContributed_EQTY_200003821">#REF!,#REF!</definedName>
    <definedName name="V_ALL_KEYWORDS_TYPE_ScalarContributed_EQTY_200004285">#REF!,#REF!</definedName>
    <definedName name="V_ALL_KEYWORDS_TYPE_ScalarContributed_EQTY_200005121">[8]EAD.PA_Validation_Sheet!$339:$348,[8]EAD.PA_Validation_Sheet!$387:$389</definedName>
    <definedName name="V_ALL_KEYWORDS_TYPE_ScalarContributed_EQTY_200007513">#REF!,#REF!</definedName>
    <definedName name="V_ALL_KEYWORDS_TYPE_ScalarContributed_EQTY_200009618">#REF!,#REF!</definedName>
    <definedName name="V_ALL_KEYWORDS_TYPE_ScalarContributed_EQTY_200009619" localSheetId="2">'[4]COB.L_Validation_Sheet'!$298:$305,'[4]COB.L_Validation_Sheet'!$346:$348</definedName>
    <definedName name="V_ALL_KEYWORDS_TYPE_ScalarContributed_EQTY_200009619">#REF!,#REF!</definedName>
    <definedName name="V_ALL_KEYWORDS_TYPE_ScalarContributed_EQTY_200009620" localSheetId="2">[9]MGGT.L_Validation_Sheet!$344:$350,[9]MGGT.L_Validation_Sheet!$389:$391</definedName>
    <definedName name="V_ALL_KEYWORDS_TYPE_ScalarContributed_EQTY_200009620">#REF!,#REF!</definedName>
    <definedName name="V_ALL_KEYWORDS_TYPE_ScalarContributed_EQTY_200011295">#REF!,#REF!</definedName>
    <definedName name="V_ALL_KEYWORDS_TYPE_ScalarContributed_ISSR_208000023">[5]ATCOa.ST_Validation_Sheet!$9:$9,[5]ATCOa.ST_Validation_Sheet!$129:$131,[5]ATCOa.ST_Validation_Sheet!$133:$135,[5]ATCOa.ST_Validation_Sheet!$432:$432,[5]ATCOa.ST_Validation_Sheet!$439:$439,[5]ATCOa.ST_Validation_Sheet!$444:$444,[5]ATCOa.ST_Validation_Sheet!$450:$450,[5]ATCOa.ST_Validation_Sheet!$456:$456,[5]ATCOa.ST_Validation_Sheet!$462:$462,[5]ATCOa.ST_Validation_Sheet!$44:$44</definedName>
    <definedName name="V_ALL_KEYWORDS_TYPE_ScalarContributed_ISSR_208001092">#REF!,#REF!</definedName>
    <definedName name="V_ALL_KEYWORDS_TYPE_ScalarContributed_ISSR_208001095">#REF!,#REF!</definedName>
    <definedName name="V_ALL_KEYWORDS_TYPE_ScalarContributed_ISSR_208001100">#REF!,#REF!</definedName>
    <definedName name="V_ALL_KEYWORDS_TYPE_ScalarContributed_ISSR_208001219">#REF!,#REF!,#REF!,#REF!,#REF!,#REF!,#REF!,#REF!</definedName>
    <definedName name="V_ALL_KEYWORDS_TYPE_ScalarContributed_ISSR_208001433" localSheetId="1">#REF!,#REF!</definedName>
    <definedName name="V_ALL_KEYWORDS_TYPE_ScalarContributed_ISSR_208001433">[10]AIR.PA_Validation_Sheet!$9:$9,[10]AIR.PA_Validation_Sheet!$42:$42</definedName>
    <definedName name="V_ALL_KEYWORDS_TYPE_ScalarContributed_ISSR_208006659">#REF!,#REF!,#REF!</definedName>
    <definedName name="V_ALL_KEYWORDS_TYPE_ScalarContributed_ISSR_208007415">#REF!,#REF!</definedName>
    <definedName name="V_ALL_KEYWORDS_TYPE_ScalarContributed_ISSR_208008646">#REF!,#REF!</definedName>
    <definedName name="V_ALL_KEYWORDS_TYPE_ScalarReference_EQTY_200007513" localSheetId="1">#REF!</definedName>
    <definedName name="V_ALL_KEYWORDS_TYPE_ScalarReference_EQTY_200007513">#REF!</definedName>
    <definedName name="V_ALL_KEYWORDS_TYPE_ScalarReference_ISSR_208002861" localSheetId="1">#REF!</definedName>
    <definedName name="V_ALL_KEYWORDS_TYPE_ScalarReference_ISSR_208002861">#REF!</definedName>
    <definedName name="V_ALL_KEYWORDS_TYPE_Vector_EQTY_200000267">[5]ATCOa.ST_Validation_Sheet!$537:$552,[5]ATCOa.ST_Validation_Sheet!$554:$556,[5]ATCOa.ST_Validation_Sheet!$558:$558,[5]ATCOa.ST_Validation_Sheet!$560:$560,[5]ATCOa.ST_Validation_Sheet!$521:$535</definedName>
    <definedName name="V_ALL_KEYWORDS_TYPE_Vector_EQTY_200003162" localSheetId="2">[6]BAES.L_Validation_Sheet!$347:$357,[6]BAES.L_Validation_Sheet!$359:$374,[6]BAES.L_Validation_Sheet!$376:$378,[6]BAES.L_Validation_Sheet!$380:$380,[6]BAES.L_Validation_Sheet!$382:$382</definedName>
    <definedName name="V_ALL_KEYWORDS_TYPE_Vector_EQTY_200003162">#REF!,#REF!,#REF!,#REF!,#REF!</definedName>
    <definedName name="V_ALL_KEYWORDS_TYPE_Vector_EQTY_200003169">#REF!,#REF!,#REF!,#REF!,#REF!</definedName>
    <definedName name="V_ALL_KEYWORDS_TYPE_Vector_EQTY_200003170">#REF!,#REF!,#REF!,#REF!,#REF!</definedName>
    <definedName name="V_ALL_KEYWORDS_TYPE_Vector_EQTY_200003173">#REF!,#REF!,#REF!,#REF!,#REF!</definedName>
    <definedName name="V_ALL_KEYWORDS_TYPE_Vector_EQTY_200003183">#REF!,#REF!,#REF!,#REF!,#REF!</definedName>
    <definedName name="V_ALL_KEYWORDS_TYPE_Vector_EQTY_200003821">#REF!,#REF!,#REF!,#REF!,#REF!</definedName>
    <definedName name="V_ALL_KEYWORDS_TYPE_Vector_EQTY_200004285">#REF!,#REF!,#REF!,#REF!,#REF!</definedName>
    <definedName name="V_ALL_KEYWORDS_TYPE_Vector_EQTY_200005121" localSheetId="1">#REF!,#REF!,#REF!,#REF!,#REF!</definedName>
    <definedName name="V_ALL_KEYWORDS_TYPE_Vector_EQTY_200005121">[8]EAD.PA_Validation_Sheet!$350:$360,[8]EAD.PA_Validation_Sheet!$362:$377,[8]EAD.PA_Validation_Sheet!$379:$381,[8]EAD.PA_Validation_Sheet!$383:$383,[8]EAD.PA_Validation_Sheet!$385:$385</definedName>
    <definedName name="V_ALL_KEYWORDS_TYPE_Vector_EQTY_200007513">#REF!,#REF!,#REF!,#REF!,#REF!</definedName>
    <definedName name="V_ALL_KEYWORDS_TYPE_Vector_EQTY_200008448">#REF!,#REF!,#REF!,#REF!,#REF!</definedName>
    <definedName name="V_ALL_KEYWORDS_TYPE_Vector_EQTY_200009618">#REF!,#REF!,#REF!,#REF!,#REF!</definedName>
    <definedName name="V_ALL_KEYWORDS_TYPE_Vector_EQTY_200009619" localSheetId="2">'[4]COB.L_Validation_Sheet'!$307:$317,'[4]COB.L_Validation_Sheet'!$320:$336,'[4]COB.L_Validation_Sheet'!$338:$340,'[4]COB.L_Validation_Sheet'!$342:$342,'[4]COB.L_Validation_Sheet'!$344:$344</definedName>
    <definedName name="V_ALL_KEYWORDS_TYPE_Vector_EQTY_200009619">#REF!,#REF!,#REF!,#REF!,#REF!</definedName>
    <definedName name="V_ALL_KEYWORDS_TYPE_Vector_EQTY_200009620" localSheetId="2">[9]MGGT.L_Validation_Sheet!$352:$362,[9]MGGT.L_Validation_Sheet!$364:$379,[9]MGGT.L_Validation_Sheet!$381:$383,[9]MGGT.L_Validation_Sheet!$385:$385,[9]MGGT.L_Validation_Sheet!$387:$387</definedName>
    <definedName name="V_ALL_KEYWORDS_TYPE_Vector_EQTY_200009620">#REF!,#REF!,#REF!,#REF!,#REF!</definedName>
    <definedName name="V_ALL_KEYWORDS_TYPE_Vector_EQTY_200011295">#REF!,#REF!,#REF!,#REF!,#REF!</definedName>
    <definedName name="V_ALL_KEYWORDS_TYPE_Vector_ISSR_208000023">[5]ATCOa.ST_Validation_Sheet!$2:$3,[5]ATCOa.ST_Validation_Sheet!$11:$29,[5]ATCOa.ST_Validation_Sheet!$31:$41,[5]ATCOa.ST_Validation_Sheet!$46:$75,[5]ATCOa.ST_Validation_Sheet!$81:$93,[5]ATCOa.ST_Validation_Sheet!$96:$113,[5]ATCOa.ST_Validation_Sheet!$115:$127,[5]ATCOa.ST_Validation_Sheet!$132:$132,[5]ATCOa.ST_Validation_Sheet!$136:$139,[5]ATCOa.ST_Validation_Sheet!$141:$167,[5]ATCOa.ST_Validation_Sheet!$169:$175,[5]ATCOa.ST_Validation_Sheet!$177:$262,[5]ATCOa.ST_Validation_Sheet!$264:$321,[5]ATCOa.ST_Validation_Sheet!$323:$346,[5]ATCOa.ST_Validation_Sheet!$348:$371,[5]ATCOa.ST_Validation_Sheet!$373:$386,[5]ATCOa.ST_Validation_Sheet!$388:$428,[5]ATCOa.ST_Validation_Sheet!$430:$431,[5]ATCOa.ST_Validation_Sheet!$433:$438,[5]ATCOa.ST_Validation_Sheet!$440:$443,[5]ATCOa.ST_Validation_Sheet!$445:$449,[5]ATCOa.ST_Validation_Sheet!$451:$455,[5]ATCOa.ST_Validation_Sheet!$457:$461,[5]ATCOa.ST_Validation_Sheet!$463:$500,[5]ATCOa.ST_Validation_Sheet!$43:$43</definedName>
    <definedName name="V_ALL_KEYWORDS_TYPE_Vector_ISSR_208001092" localSheetId="2">[6]BAES.L_Validation_Sheet!$2:$3,[6]BAES.L_Validation_Sheet!$9:$27,[6]BAES.L_Validation_Sheet!$29:$37,[6]BAES.L_Validation_Sheet!$39:$66,[6]BAES.L_Validation_Sheet!$68:$80,[6]BAES.L_Validation_Sheet!$82:$98,[6]BAES.L_Validation_Sheet!$100:$112,[6]BAES.L_Validation_Sheet!$114:$114,[6]BAES.L_Validation_Sheet!$116:$117,[6]BAES.L_Validation_Sheet!$119:$123,[6]BAES.L_Validation_Sheet!$128:$129,[6]BAES.L_Validation_Sheet!$133:$133,[6]BAES.L_Validation_Sheet!$137:$137,[6]BAES.L_Validation_Sheet!$155:$158,[6]BAES.L_Validation_Sheet!$160:$164,[6]BAES.L_Validation_Sheet!$169:$170,[6]BAES.L_Validation_Sheet!$174:$174,[6]BAES.L_Validation_Sheet!$178:$178,[6]BAES.L_Validation_Sheet!$196:$197,[6]BAES.L_Validation_Sheet!$298:$298,[6]BAES.L_Validation_Sheet!$140:$151,[6]BAES.L_Validation_Sheet!$181:$192,[6]BAES.L_Validation_Sheet!$235:$238,[6]BAES.L_Validation_Sheet!$257:$260,[6]BAES.L_Validation_Sheet!$317:$329,[6]BAES.L_Validation_Sheet!$300:$315</definedName>
    <definedName name="V_ALL_KEYWORDS_TYPE_Vector_ISSR_208001092">#REF!,#REF!,#REF!,#REF!,#REF!,#REF!,#REF!,#REF!,#REF!,#REF!,#REF!,#REF!,#REF!,#REF!,#REF!,#REF!,#REF!,#REF!,#REF!,#REF!,#REF!,#REF!,#REF!,#REF!,#REF!,#REF!</definedName>
    <definedName name="V_ALL_KEYWORDS_TYPE_Vector_ISSR_208001095">#REF!,#REF!,#REF!,#REF!,#REF!,#REF!,#REF!,#REF!,#REF!,#REF!,#REF!,#REF!,#REF!,#REF!</definedName>
    <definedName name="V_ALL_KEYWORDS_TYPE_Vector_ISSR_208001096">#REF!,#REF!,#REF!,#REF!,#REF!,#REF!,#REF!,#REF!,#REF!,#REF!,#REF!,#REF!,#REF!,#REF!,#REF!,#REF!,#REF!,#REF!,#REF!,#REF!,#REF!,#REF!,#REF!,#REF!,#REF!,#REF!</definedName>
    <definedName name="V_ALL_KEYWORDS_TYPE_Vector_ISSR_208001098">#REF!,#REF!,#REF!,#REF!,#REF!,#REF!,#REF!,#REF!,#REF!,#REF!,#REF!,#REF!,#REF!,#REF!,#REF!,#REF!,#REF!,#REF!,#REF!,#REF!,#REF!,#REF!,#REF!,#REF!,#REF!,#REF!</definedName>
    <definedName name="V_ALL_KEYWORDS_TYPE_Vector_ISSR_208001100">#REF!,#REF!,#REF!,#REF!,#REF!,#REF!,#REF!,#REF!,#REF!,#REF!,#REF!,#REF!,#REF!,#REF!,#REF!,#REF!,#REF!,#REF!,#REF!,#REF!,#REF!,#REF!,#REF!,#REF!,#REF!,#REF!</definedName>
    <definedName name="V_ALL_KEYWORDS_TYPE_Vector_ISSR_208001129">#REF!,#REF!,#REF!,#REF!,#REF!,#REF!,#REF!,#REF!,#REF!,#REF!,#REF!,#REF!,#REF!,#REF!,#REF!,#REF!,#REF!,#REF!,#REF!,#REF!,#REF!,#REF!,#REF!,#REF!,#REF!,#REF!</definedName>
    <definedName name="V_ALL_KEYWORDS_TYPE_Vector_ISSR_208001219">#REF!,#REF!,#REF!,#REF!,#REF!,#REF!,#REF!,#REF!,#REF!,#REF!,#REF!,#REF!,#REF!,#REF!,#REF!,#REF!,#REF!,#REF!,#REF!</definedName>
    <definedName name="V_ALL_KEYWORDS_TYPE_Vector_ISSR_208001433" localSheetId="1">#REF!,#REF!,#REF!,#REF!,#REF!,#REF!,#REF!,#REF!,#REF!,#REF!,#REF!,#REF!,#REF!,#REF!</definedName>
    <definedName name="V_ALL_KEYWORDS_TYPE_Vector_ISSR_208001433">[8]EAD.PA_Validation_Sheet!$2:$3,[8]EAD.PA_Validation_Sheet!$9:$27,[8]EAD.PA_Validation_Sheet!$29:$37,[8]EAD.PA_Validation_Sheet!$39:$66,[8]EAD.PA_Validation_Sheet!$68:$80,[8]EAD.PA_Validation_Sheet!$82:$98,[8]EAD.PA_Validation_Sheet!$100:$112,[8]EAD.PA_Validation_Sheet!$114:$114,[8]EAD.PA_Validation_Sheet!$116:$117,[8]EAD.PA_Validation_Sheet!$119:$123,[8]EAD.PA_Validation_Sheet!$128:$129,[8]EAD.PA_Validation_Sheet!$133:$133,[8]EAD.PA_Validation_Sheet!$137:$137,[8]EAD.PA_Validation_Sheet!$155:$158,[8]EAD.PA_Validation_Sheet!$160:$164,[8]EAD.PA_Validation_Sheet!$169:$170,[8]EAD.PA_Validation_Sheet!$174:$174,[8]EAD.PA_Validation_Sheet!$178:$178,[8]EAD.PA_Validation_Sheet!$196:$197,[8]EAD.PA_Validation_Sheet!$298:$298,[8]EAD.PA_Validation_Sheet!$140:$151,[8]EAD.PA_Validation_Sheet!$181:$192,[8]EAD.PA_Validation_Sheet!$235:$238,[8]EAD.PA_Validation_Sheet!$257:$260,[8]EAD.PA_Validation_Sheet!$317:$329,[8]EAD.PA_Validation_Sheet!$300:$315</definedName>
    <definedName name="V_ALL_KEYWORDS_TYPE_Vector_ISSR_208002861">#REF!,#REF!,#REF!,#REF!,#REF!,#REF!,#REF!,#REF!,#REF!,#REF!,#REF!,#REF!,#REF!,#REF!,#REF!,#REF!,#REF!,#REF!,#REF!,#REF!,#REF!,#REF!,#REF!,#REF!,#REF!,#REF!</definedName>
    <definedName name="V_ALL_KEYWORDS_TYPE_Vector_ISSR_208006659">#REF!,#REF!,#REF!,#REF!,#REF!,#REF!,#REF!,#REF!,#REF!,#REF!,#REF!,#REF!,#REF!,#REF!</definedName>
    <definedName name="V_ALL_KEYWORDS_TYPE_Vector_ISSR_208007413">#REF!,#REF!,#REF!,#REF!,#REF!,#REF!,#REF!,#REF!,#REF!,#REF!,#REF!,#REF!,#REF!,#REF!,#REF!,#REF!,#REF!,#REF!,#REF!,#REF!,#REF!,#REF!,#REF!,#REF!,#REF!,#REF!</definedName>
    <definedName name="V_ALL_KEYWORDS_TYPE_Vector_ISSR_208007414" localSheetId="2">'[4]COB.L_Validation_Sheet'!$2:$3,'[4]COB.L_Validation_Sheet'!$9:$27,'[4]COB.L_Validation_Sheet'!$29:$37,'[4]COB.L_Validation_Sheet'!$39:$66,'[4]COB.L_Validation_Sheet'!$68:$80,'[4]COB.L_Validation_Sheet'!$82:$98,'[4]COB.L_Validation_Sheet'!$100:$112,'[4]COB.L_Validation_Sheet'!$114:$114,'[4]COB.L_Validation_Sheet'!$116:$288</definedName>
    <definedName name="V_ALL_KEYWORDS_TYPE_Vector_ISSR_208007414">#REF!,#REF!,#REF!,#REF!,#REF!,#REF!,#REF!,#REF!,#REF!</definedName>
    <definedName name="V_ALL_KEYWORDS_TYPE_Vector_ISSR_208007415" localSheetId="2">[9]MGGT.L_Validation_Sheet!$2:$3,[9]MGGT.L_Validation_Sheet!$9:$27,[9]MGGT.L_Validation_Sheet!$29:$37,[9]MGGT.L_Validation_Sheet!$39:$66,[9]MGGT.L_Validation_Sheet!$68:$80,[9]MGGT.L_Validation_Sheet!$82:$98,[9]MGGT.L_Validation_Sheet!$100:$112,[9]MGGT.L_Validation_Sheet!$114:$114,[9]MGGT.L_Validation_Sheet!$116:$117,[9]MGGT.L_Validation_Sheet!$119:$123,[9]MGGT.L_Validation_Sheet!$128:$129,[9]MGGT.L_Validation_Sheet!$133:$133,[9]MGGT.L_Validation_Sheet!$156:$159,[9]MGGT.L_Validation_Sheet!$161:$165,[9]MGGT.L_Validation_Sheet!$170:$171,[9]MGGT.L_Validation_Sheet!$175:$175,[9]MGGT.L_Validation_Sheet!$198:$199,[9]MGGT.L_Validation_Sheet!$141:$152,[9]MGGT.L_Validation_Sheet!$183:$194,[9]MGGT.L_Validation_Sheet!$237:$240,[9]MGGT.L_Validation_Sheet!$259:$262,[9]MGGT.L_Validation_Sheet!$137:$138,[9]MGGT.L_Validation_Sheet!$179:$180,[9]MGGT.L_Validation_Sheet!$321:$334,[9]MGGT.L_Validation_Sheet!$300:$301,[9]MGGT.L_Validation_Sheet!$303:$319</definedName>
    <definedName name="V_ALL_KEYWORDS_TYPE_Vector_ISSR_208007415">#REF!,#REF!,#REF!,#REF!,#REF!,#REF!,#REF!,#REF!,#REF!,#REF!,#REF!,#REF!,#REF!,#REF!,#REF!,#REF!,#REF!,#REF!,#REF!,#REF!,#REF!,#REF!,#REF!,#REF!,#REF!,#REF!</definedName>
    <definedName name="V_ALL_KEYWORDS_TYPE_Vector_ISSR_208008646">#REF!,#REF!,#REF!,#REF!,#REF!,#REF!,#REF!,#REF!,#REF!,#REF!,#REF!,#REF!,#REF!,#REF!</definedName>
    <definedName name="V_ALL_MGGT.L" localSheetId="2">[9]MGGT.L_Validation_Sheet!$A$1:$AR$391</definedName>
    <definedName name="V_ALL_MGGT.L">#REF!</definedName>
    <definedName name="V_ALL_MTXGn.DE">#REF!</definedName>
    <definedName name="V_ALL_PERIODS_MTXGn.DE" localSheetId="1">#REF!</definedName>
    <definedName name="V_ALL_PERIODS_MTXGn.DE">#REF!</definedName>
    <definedName name="V_ALL_QQ.L">#REF!</definedName>
    <definedName name="V_ALL_RR.L">#REF!</definedName>
    <definedName name="V_ALL_SAABb.ST">#REF!</definedName>
    <definedName name="V_ALL_SAABb.ST_" localSheetId="1">#REF!</definedName>
    <definedName name="V_ALL_SAABb.ST_">#REF!</definedName>
    <definedName name="V_ALL_SAF.PA">#REF!</definedName>
    <definedName name="V_ALL_SAF.PA_" localSheetId="1">#REF!</definedName>
    <definedName name="V_ALL_SAF.PA_">#REF!</definedName>
    <definedName name="V_ALL_SAND.ST">[11]SAND.ST_Validation_Sheet!$A$1:$DL$570</definedName>
    <definedName name="V_ALL_SECTION_KEYWORDS_EQTY_200005121_13K" localSheetId="1">#REF!</definedName>
    <definedName name="V_ALL_SECTION_KEYWORDS_EQTY_200007513_1314" localSheetId="1">#REF!</definedName>
    <definedName name="V_ALL_SECTION_KEYWORDS_EQTY_200007513_1314">#REF!</definedName>
    <definedName name="V_ALL_SECTION_KEYWORDS_EQTY_200007513_131E" localSheetId="1">#REF!</definedName>
    <definedName name="V_ALL_SECTION_KEYWORDS_EQTY_200007513_131E">#REF!</definedName>
    <definedName name="V_ALL_SECTION_KEYWORDS_EQTY_200007513_131O" localSheetId="1">#REF!</definedName>
    <definedName name="V_ALL_SECTION_KEYWORDS_EQTY_200007513_131O">#REF!</definedName>
    <definedName name="V_ALL_SECTION_KEYWORDS_EQTY_200007513_13A">#REF!</definedName>
    <definedName name="V_ALL_SECTION_KEYWORDS_EQTY_200007513_13K">#REF!</definedName>
    <definedName name="V_ALL_SECTION_KEYWORDS_EQTY_200007513_13U">#REF!</definedName>
    <definedName name="V_ALL_SECTION_KEYWORDS_EQTY_200007513_13V">#REF!</definedName>
    <definedName name="V_ALL_SECTION_KEYWORDS_EQTY_200007513_Reference_Data">#REF!</definedName>
    <definedName name="V_ALL_SECTION_KEYWORDS_ISSR_208000023_13V">[5]ATCOa.ST_Validation_Sheet!$C$31:$C$41,[5]ATCOa.ST_Validation_Sheet!$C$44</definedName>
    <definedName name="V_ALL_SECTION_KEYWORDS_ISSR_208001092_13V">#REF!,#REF!</definedName>
    <definedName name="V_ALL_SECTION_KEYWORDS_ISSR_208001095_13V">#REF!,#REF!</definedName>
    <definedName name="V_ALL_SECTION_KEYWORDS_ISSR_208001098_13173">#REF!,#REF!</definedName>
    <definedName name="V_ALL_SECTION_KEYWORDS_ISSR_208001098_13178">#REF!,#REF!</definedName>
    <definedName name="V_ALL_SECTION_KEYWORDS_ISSR_208001098_136J">#REF!,#REF!</definedName>
    <definedName name="V_ALL_SECTION_KEYWORDS_ISSR_208001100_13V">#REF!,#REF!</definedName>
    <definedName name="V_ALL_SECTION_KEYWORDS_ISSR_208001219_136E">#REF!,#REF!</definedName>
    <definedName name="V_ALL_SECTION_KEYWORDS_ISSR_208001433_1314" localSheetId="1">#REF!</definedName>
    <definedName name="V_ALL_SECTION_KEYWORDS_ISSR_208001433_13173" localSheetId="1">#REF!,#REF!</definedName>
    <definedName name="V_ALL_SECTION_KEYWORDS_ISSR_208001433_13173">#REF!,#REF!</definedName>
    <definedName name="V_ALL_SECTION_KEYWORDS_ISSR_208001433_13178">#REF!,#REF!</definedName>
    <definedName name="V_ALL_SECTION_KEYWORDS_ISSR_208001433_1319" localSheetId="1">#REF!</definedName>
    <definedName name="V_ALL_SECTION_KEYWORDS_ISSR_208001433_1319">[7]AIR.PA_Validation_Sheet!$C$75:$C$91,[7]AIR.PA_Validation_Sheet!$C$95</definedName>
    <definedName name="V_ALL_SECTION_KEYWORDS_ISSR_208001433_131E" localSheetId="1">#REF!</definedName>
    <definedName name="V_ALL_SECTION_KEYWORDS_ISSR_208001433_131O" localSheetId="1">#REF!,#REF!</definedName>
    <definedName name="V_ALL_SECTION_KEYWORDS_ISSR_208001433_131O">[7]AIR.PA_Validation_Sheet!$C$130,[7]AIR.PA_Validation_Sheet!$C$156</definedName>
    <definedName name="V_ALL_SECTION_KEYWORDS_ISSR_208001433_136J" localSheetId="1">#REF!,#REF!</definedName>
    <definedName name="V_ALL_SECTION_KEYWORDS_ISSR_208001433_136J">#REF!,#REF!</definedName>
    <definedName name="V_ALL_SECTION_KEYWORDS_ISSR_208001433_13V" localSheetId="1">#REF!,#REF!</definedName>
    <definedName name="V_ALL_SECTION_KEYWORDS_ISSR_208001433_13V">[10]AIR.PA_Validation_Sheet!$C$31:$C$39,[10]AIR.PA_Validation_Sheet!$C$42</definedName>
    <definedName name="V_ALL_SECTION_KEYWORDS_ISSR_208002861_1314" localSheetId="1">#REF!</definedName>
    <definedName name="V_ALL_SECTION_KEYWORDS_ISSR_208002861_1314">#REF!</definedName>
    <definedName name="V_ALL_SECTION_KEYWORDS_ISSR_208002861_13168" localSheetId="1">#REF!</definedName>
    <definedName name="V_ALL_SECTION_KEYWORDS_ISSR_208002861_13168">#REF!</definedName>
    <definedName name="V_ALL_SECTION_KEYWORDS_ISSR_208002861_1316S" localSheetId="1">#REF!</definedName>
    <definedName name="V_ALL_SECTION_KEYWORDS_ISSR_208002861_1316S">#REF!</definedName>
    <definedName name="V_ALL_SECTION_KEYWORDS_ISSR_208002861_1316T">#REF!</definedName>
    <definedName name="V_ALL_SECTION_KEYWORDS_ISSR_208002861_1316U">#REF!</definedName>
    <definedName name="V_ALL_SECTION_KEYWORDS_ISSR_208002861_1319">#REF!</definedName>
    <definedName name="V_ALL_SECTION_KEYWORDS_ISSR_208002861_131E">#REF!</definedName>
    <definedName name="V_ALL_SECTION_KEYWORDS_ISSR_208002861_131J">#REF!</definedName>
    <definedName name="V_ALL_SECTION_KEYWORDS_ISSR_208002861_131O">#REF!</definedName>
    <definedName name="V_ALL_SECTION_KEYWORDS_ISSR_208002861_13U">#REF!</definedName>
    <definedName name="V_ALL_SECTION_KEYWORDS_ISSR_208002861_13V">#REF!</definedName>
    <definedName name="V_ALL_SECTION_KEYWORDS_ISSR_208002861_Reference_Data">#REF!</definedName>
    <definedName name="V_ALL_SECTION_KEYWORDS_ISSR_208006659_13173">#REF!,#REF!</definedName>
    <definedName name="V_ALL_SECTION_KEYWORDS_ISSR_208006659_131O">#REF!,#REF!</definedName>
    <definedName name="V_ALL_SECTION_KEYWORDS_ISSR_208006659_136J">#REF!,#REF!</definedName>
    <definedName name="V_ALL_SECTION_KEYWORDS_ISSR_208007415_13V">#REF!,#REF!</definedName>
    <definedName name="V_ALL_SECTION_KEYWORDS_ISSR_208008646_13V">#REF!,#REF!</definedName>
    <definedName name="V_ALL_SECTIONS_EQTY_200003162" localSheetId="2">[6]BAES.L_Validation_Sheet!$331:$331,[6]BAES.L_Validation_Sheet!$338:$338,[6]BAES.L_Validation_Sheet!$346:$346,[6]BAES.L_Validation_Sheet!$358:$358,[6]BAES.L_Validation_Sheet!$375:$375,[6]BAES.L_Validation_Sheet!$379:$379,[6]BAES.L_Validation_Sheet!$381:$381,[6]BAES.L_Validation_Sheet!$383:$383</definedName>
    <definedName name="V_ALL_SECTIONS_EQTY_200003162">#REF!,#REF!,#REF!,#REF!,#REF!,#REF!,#REF!,#REF!</definedName>
    <definedName name="V_ALL_SECTIONS_EQTY_200003170">#REF!,#REF!,#REF!,#REF!,#REF!,#REF!,#REF!,#REF!</definedName>
    <definedName name="V_ALL_SECTIONS_EQTY_200003173">#REF!,#REF!,#REF!,#REF!,#REF!,#REF!,#REF!,#REF!</definedName>
    <definedName name="V_ALL_SECTIONS_EQTY_200003183">#REF!,#REF!,#REF!,#REF!,#REF!,#REF!,#REF!,#REF!</definedName>
    <definedName name="V_ALL_SECTIONS_EQTY_200003821">#REF!,#REF!,#REF!,#REF!,#REF!,#REF!,#REF!,#REF!</definedName>
    <definedName name="V_ALL_SECTIONS_EQTY_200004285">#REF!,#REF!,#REF!,#REF!,#REF!,#REF!,#REF!,#REF!</definedName>
    <definedName name="V_ALL_SECTIONS_EQTY_200005121">[8]EAD.PA_Validation_Sheet!$331:$331,[8]EAD.PA_Validation_Sheet!$338:$338,[8]EAD.PA_Validation_Sheet!$349:$349,[8]EAD.PA_Validation_Sheet!$361:$361,[8]EAD.PA_Validation_Sheet!$378:$378,[8]EAD.PA_Validation_Sheet!$382:$382,[8]EAD.PA_Validation_Sheet!$384:$384,[8]EAD.PA_Validation_Sheet!$386:$386</definedName>
    <definedName name="V_ALL_SECTIONS_EQTY_200007513">#REF!,#REF!,#REF!,#REF!,#REF!,#REF!,#REF!,#REF!</definedName>
    <definedName name="V_ALL_SECTIONS_EQTY_200009618">#REF!,#REF!,#REF!,#REF!,#REF!,#REF!,#REF!,#REF!</definedName>
    <definedName name="V_ALL_SECTIONS_EQTY_200009619" localSheetId="2">'[4]COB.L_Validation_Sheet'!$290:$290,'[4]COB.L_Validation_Sheet'!$297:$297,'[4]COB.L_Validation_Sheet'!$306:$306,'[4]COB.L_Validation_Sheet'!$318:$318,'[4]COB.L_Validation_Sheet'!$337:$337,'[4]COB.L_Validation_Sheet'!$341:$341,'[4]COB.L_Validation_Sheet'!$343:$343,'[4]COB.L_Validation_Sheet'!$345:$345</definedName>
    <definedName name="V_ALL_SECTIONS_EQTY_200009619">#REF!,#REF!,#REF!,#REF!,#REF!,#REF!,#REF!,#REF!</definedName>
    <definedName name="V_ALL_SECTIONS_EQTY_200009620" localSheetId="2">[9]MGGT.L_Validation_Sheet!$336:$336,[9]MGGT.L_Validation_Sheet!$343:$343,[9]MGGT.L_Validation_Sheet!$351:$351,[9]MGGT.L_Validation_Sheet!$363:$363,[9]MGGT.L_Validation_Sheet!$380:$380,[9]MGGT.L_Validation_Sheet!$384:$384,[9]MGGT.L_Validation_Sheet!$386:$386,[9]MGGT.L_Validation_Sheet!$388:$388</definedName>
    <definedName name="V_ALL_SECTIONS_EQTY_200009620">#REF!,#REF!,#REF!,#REF!,#REF!,#REF!,#REF!,#REF!</definedName>
    <definedName name="V_ALL_SECTIONS_EQTY_200011295">#REF!,#REF!,#REF!,#REF!,#REF!,#REF!,#REF!,#REF!</definedName>
    <definedName name="V_ALL_SECTIONS_ISSR_208001092" localSheetId="2">[6]BAES.L_Validation_Sheet!$5:$5,[6]BAES.L_Validation_Sheet!$8:$8,[6]BAES.L_Validation_Sheet!$28:$28,[6]BAES.L_Validation_Sheet!$38:$38,[6]BAES.L_Validation_Sheet!$67:$67,[6]BAES.L_Validation_Sheet!$81:$81,[6]BAES.L_Validation_Sheet!$99:$99,[6]BAES.L_Validation_Sheet!$113:$113,[6]BAES.L_Validation_Sheet!$115:$115,[6]BAES.L_Validation_Sheet!$297:$316</definedName>
    <definedName name="V_ALL_SECTIONS_ISSR_208001092">#REF!,#REF!,#REF!,#REF!,#REF!,#REF!,#REF!,#REF!,#REF!,#REF!</definedName>
    <definedName name="V_ALL_SECTIONS_ISSR_208001096">#REF!,#REF!,#REF!,#REF!,#REF!,#REF!,#REF!,#REF!,#REF!,#REF!</definedName>
    <definedName name="V_ALL_SECTIONS_ISSR_208001098">#REF!,#REF!,#REF!,#REF!,#REF!,#REF!,#REF!,#REF!,#REF!,#REF!</definedName>
    <definedName name="V_ALL_SECTIONS_ISSR_208001100">#REF!,#REF!,#REF!,#REF!,#REF!,#REF!,#REF!,#REF!,#REF!,#REF!</definedName>
    <definedName name="V_ALL_SECTIONS_ISSR_208001129">#REF!,#REF!,#REF!,#REF!,#REF!,#REF!,#REF!,#REF!,#REF!,#REF!</definedName>
    <definedName name="V_ALL_SECTIONS_ISSR_208001433">[8]EAD.PA_Validation_Sheet!$5:$5,[8]EAD.PA_Validation_Sheet!$8:$8,[8]EAD.PA_Validation_Sheet!$28:$28,[8]EAD.PA_Validation_Sheet!$38:$38,[8]EAD.PA_Validation_Sheet!$67:$67,[8]EAD.PA_Validation_Sheet!$81:$81,[8]EAD.PA_Validation_Sheet!$99:$99,[8]EAD.PA_Validation_Sheet!$113:$113,[8]EAD.PA_Validation_Sheet!$115:$115,[8]EAD.PA_Validation_Sheet!$297:$316</definedName>
    <definedName name="V_ALL_SECTIONS_ISSR_208002861">#REF!,#REF!,#REF!,#REF!,#REF!,#REF!,#REF!,#REF!,#REF!,#REF!</definedName>
    <definedName name="V_ALL_SECTIONS_ISSR_208007413">#REF!,#REF!,#REF!,#REF!,#REF!,#REF!,#REF!,#REF!,#REF!,#REF!</definedName>
    <definedName name="V_ALL_SECTIONS_ISSR_208007414" localSheetId="2">'[4]COB.L_Validation_Sheet'!$5:$5,'[4]COB.L_Validation_Sheet'!$8:$8,'[4]COB.L_Validation_Sheet'!$28:$28,'[4]COB.L_Validation_Sheet'!$38:$38,'[4]COB.L_Validation_Sheet'!$67:$67,'[4]COB.L_Validation_Sheet'!$81:$81,'[4]COB.L_Validation_Sheet'!$99:$99,'[4]COB.L_Validation_Sheet'!$113:$113,'[4]COB.L_Validation_Sheet'!$115:$115</definedName>
    <definedName name="V_ALL_SECTIONS_ISSR_208007414">#REF!,#REF!,#REF!,#REF!,#REF!,#REF!,#REF!,#REF!,#REF!</definedName>
    <definedName name="V_ALL_SECTIONS_ISSR_208007415" localSheetId="2">[9]MGGT.L_Validation_Sheet!$5:$5,[9]MGGT.L_Validation_Sheet!$8:$8,[9]MGGT.L_Validation_Sheet!$28:$28,[9]MGGT.L_Validation_Sheet!$38:$38,[9]MGGT.L_Validation_Sheet!$67:$67,[9]MGGT.L_Validation_Sheet!$81:$81,[9]MGGT.L_Validation_Sheet!$99:$99,[9]MGGT.L_Validation_Sheet!$113:$113,[9]MGGT.L_Validation_Sheet!$115:$115,[9]MGGT.L_Validation_Sheet!$299:$320</definedName>
    <definedName name="V_ALL_SECTIONS_ISSR_208007415">#REF!,#REF!,#REF!,#REF!,#REF!,#REF!,#REF!,#REF!,#REF!,#REF!</definedName>
    <definedName name="V_ALL_SECTIONS_ISSR_208008646">#REF!,#REF!,#REF!,#REF!,#REF!,#REF!,#REF!,#REF!,#REF!,#REF!</definedName>
    <definedName name="V_ALL_SIFI.MI">#REF!</definedName>
    <definedName name="V_ALL_SKFb.ST">[16]SKFb.ST_Validation_Sheet!$A$1:$DS$567</definedName>
    <definedName name="V_ALL_TCFP.PA">#REF!</definedName>
    <definedName name="V_ALL_ULE.L" localSheetId="2">[17]ULE.L_Validation_Sheet!$A$1:$AP$268</definedName>
    <definedName name="V_ALL_ULE.L">#REF!</definedName>
    <definedName name="V_CURRENCY_EQTY_200007513_PRI" localSheetId="1">#REF!</definedName>
    <definedName name="V_CURRENCY_EQTY_200007513_PRI">#REF!</definedName>
    <definedName name="V_CURRENCY_EQTY_200007513_PUB" localSheetId="1">#REF!</definedName>
    <definedName name="V_CURRENCY_EQTY_200007513_PUB">#REF!</definedName>
    <definedName name="V_CURRENCY_EQTY_200007513_REP" localSheetId="1">#REF!</definedName>
    <definedName name="V_CURRENCY_EQTY_200007513_REP">#REF!</definedName>
    <definedName name="V_CURRENCY_ISSR_208002861_REP" localSheetId="1">#REF!</definedName>
    <definedName name="V_CURRENCY_ISSR_208002861_REP">#REF!</definedName>
    <definedName name="V_ENTITY_DATA_ISSR_208002861" localSheetId="1">#REF!</definedName>
    <definedName name="V_ENTITY_DATA_ISSR_208002861">#REF!</definedName>
    <definedName name="V_KEYWORD_EQTY_200007513_BETA_ANALYST" localSheetId="1">#REF!</definedName>
    <definedName name="V_KEYWORD_EQTY_200007513_BETA_ANALYST">#REF!</definedName>
    <definedName name="V_KEYWORD_EQTY_200007513_BVPS" localSheetId="1">#REF!</definedName>
    <definedName name="V_KEYWORD_EQTY_200007513_BVPS">#REF!</definedName>
    <definedName name="V_KEYWORD_EQTY_200007513_BVPS_PUB" localSheetId="1">#REF!</definedName>
    <definedName name="V_KEYWORD_EQTY_200007513_BVPS_PUB">#REF!</definedName>
    <definedName name="V_KEYWORD_EQTY_200007513_CF_NI_PRE_PREF">#REF!</definedName>
    <definedName name="V_KEYWORD_EQTY_200007513_COMMON_DIV_PAID">#REF!</definedName>
    <definedName name="V_KEYWORD_EQTY_200007513_CURRENCY_ISO">#REF!</definedName>
    <definedName name="V_KEYWORD_EQTY_200007513_DILUTE_SHARES">#REF!</definedName>
    <definedName name="V_KEYWORD_EQTY_200007513_DPS">#REF!</definedName>
    <definedName name="V_KEYWORD_EQTY_200007513_DPS_PUB">#REF!</definedName>
    <definedName name="V_KEYWORD_EQTY_200007513_EBIT_PUB">#REF!</definedName>
    <definedName name="V_KEYWORD_EQTY_200007513_EBITDA_PUB">#REF!</definedName>
    <definedName name="V_KEYWORD_EQTY_200007513_EPS">#REF!</definedName>
    <definedName name="V_KEYWORD_EQTY_200007513_EPS_FUL_DIL">#REF!</definedName>
    <definedName name="V_KEYWORD_EQTY_200007513_EPS_POST_BASIC">#REF!</definedName>
    <definedName name="V_KEYWORD_EQTY_200007513_EPS_PUB">#REF!</definedName>
    <definedName name="V_KEYWORD_EQTY_200007513_EQ_PUB">#REF!</definedName>
    <definedName name="V_KEYWORD_EQTY_200007513_EURO_CONVICTION">#REF!</definedName>
    <definedName name="V_KEYWORD_EQTY_200007513_EURO_LIST">#REF!</definedName>
    <definedName name="V_KEYWORD_EQTY_200007513_EV_ADJ_PUB">#REF!</definedName>
    <definedName name="V_KEYWORD_EQTY_200007513_FREE_FLOAT">#REF!</definedName>
    <definedName name="V_KEYWORD_EQTY_200007513_FULLY_DIL_EPS">#REF!</definedName>
    <definedName name="V_KEYWORD_EQTY_200007513_INC_MINORITY">#REF!</definedName>
    <definedName name="V_KEYWORD_EQTY_200007513_Interim_Type">#REF!</definedName>
    <definedName name="V_KEYWORD_EQTY_200007513_LEGAL_RATING">#REF!</definedName>
    <definedName name="V_KEYWORD_EQTY_200007513_MARGIN_TAX_RATE">#REF!</definedName>
    <definedName name="V_KEYWORD_EQTY_200007513_MKT_EQ_RISK_PREM">#REF!</definedName>
    <definedName name="V_KEYWORD_EQTY_200007513_NET_DEBT_PUB">#REF!</definedName>
    <definedName name="V_KEYWORD_EQTY_200007513_NET_EARNING">#REF!</definedName>
    <definedName name="V_KEYWORD_EQTY_200007513_NET_INC">#REF!</definedName>
    <definedName name="V_KEYWORD_EQTY_200007513_NI_PRE_PREF">#REF!</definedName>
    <definedName name="V_KEYWORD_EQTY_200007513_NI_PUB">#REF!</definedName>
    <definedName name="V_KEYWORD_EQTY_200007513_NON_OP_ADD">#REF!</definedName>
    <definedName name="V_KEYWORD_EQTY_200007513_NUM_SH">#REF!</definedName>
    <definedName name="V_KEYWORD_EQTY_200007513_ORG_EPS">#REF!</definedName>
    <definedName name="V_KEYWORD_EQTY_200007513_ORG_NI">#REF!</definedName>
    <definedName name="V_KEYWORD_EQTY_200007513_PREF_DIV">#REF!</definedName>
    <definedName name="V_KEYWORD_EQTY_200007513_PRICE_CURRENCY_ISO">#REF!</definedName>
    <definedName name="V_KEYWORD_EQTY_200007513_PROV_INC_TAX">#REF!</definedName>
    <definedName name="V_KEYWORD_EQTY_200007513_PTP_PUB">#REF!</definedName>
    <definedName name="V_KEYWORD_EQTY_200007513_PUB_CURRENCY_ISO">#REF!</definedName>
    <definedName name="V_KEYWORD_EQTY_200007513_REVS_PUB">#REF!</definedName>
    <definedName name="V_KEYWORD_EQTY_200007513_RISK_FR_RATE">#REF!</definedName>
    <definedName name="V_KEYWORD_EQTY_200007513_Security_Name">#REF!</definedName>
    <definedName name="V_KEYWORD_EQTY_200007513_SH">#REF!</definedName>
    <definedName name="V_KEYWORD_EQTY_200007513_TARGET_PRICE">#REF!</definedName>
    <definedName name="V_KEYWORD_EQTY_200007513_TAX_EXC">#REF!</definedName>
    <definedName name="V_KEYWORD_EQTY_200007513_Ticker">#REF!</definedName>
    <definedName name="V_KEYWORD_EQTY_200007513_TP_PERIOD">#REF!</definedName>
    <definedName name="V_KEYWORD_ISSR_208002861_ACC_AMORT" localSheetId="1">#REF!</definedName>
    <definedName name="V_KEYWORD_ISSR_208002861_ACC_AMORT">#REF!</definedName>
    <definedName name="V_KEYWORD_ISSR_208002861_ACC_DDA" localSheetId="1">#REF!</definedName>
    <definedName name="V_KEYWORD_ISSR_208002861_ACC_DDA">#REF!</definedName>
    <definedName name="V_KEYWORD_ISSR_208002861_ACC_END_DATE" localSheetId="1">#REF!</definedName>
    <definedName name="V_KEYWORD_ISSR_208002861_ACC_END_DATE">#REF!</definedName>
    <definedName name="V_KEYWORD_ISSR_208002861_ACC_PAY_GQ">#REF!</definedName>
    <definedName name="V_KEYWORD_ISSR_208002861_ACQ">#REF!</definedName>
    <definedName name="V_KEYWORD_ISSR_208002861_ADJ_UNF_PENS_GOOD">#REF!</definedName>
    <definedName name="V_KEYWORD_ISSR_208002861_ASSOC_JV_ADDBK">#REF!</definedName>
    <definedName name="V_KEYWORD_ISSR_208002861_ASSOCIATE">#REF!</definedName>
    <definedName name="V_KEYWORD_ISSR_208002861_ASSOCIATE_OP">#REF!</definedName>
    <definedName name="V_KEYWORD_ISSR_208002861_BAL_MINO_INT">#REF!</definedName>
    <definedName name="V_KEYWORD_ISSR_208002861_CAP_LEASES">#REF!</definedName>
    <definedName name="V_KEYWORD_ISSR_208002861_CAPEX">#REF!</definedName>
    <definedName name="V_KEYWORD_ISSR_208002861_CAPEX_EXPANSION">#REF!</definedName>
    <definedName name="V_KEYWORD_ISSR_208002861_CAPEX_MAINTENANCE">#REF!</definedName>
    <definedName name="V_KEYWORD_ISSR_208002861_CASH_EQ">#REF!</definedName>
    <definedName name="V_KEYWORD_ISSR_208002861_CASH_INT_EXP">#REF!</definedName>
    <definedName name="V_KEYWORD_ISSR_208002861_CASH_INT_INC_EXP">#REF!</definedName>
    <definedName name="V_KEYWORD_ISSR_208002861_CASH_TAX_EXP">#REF!</definedName>
    <definedName name="V_KEYWORD_ISSR_208002861_CASH_TAX_PD">#REF!</definedName>
    <definedName name="V_KEYWORD_ISSR_208002861_CF_FIN">#REF!</definedName>
    <definedName name="V_KEYWORD_ISSR_208002861_CF_INC_MINORITY">#REF!</definedName>
    <definedName name="V_KEYWORD_ISSR_208002861_CF_INV">#REF!</definedName>
    <definedName name="V_KEYWORD_ISSR_208002861_CF_OPS">#REF!</definedName>
    <definedName name="V_KEYWORD_ISSR_208002861_CHG_LT_DEBT">#REF!</definedName>
    <definedName name="V_KEYWORD_ISSR_208002861_CO_BOR_MARGIN">#REF!</definedName>
    <definedName name="V_KEYWORD_ISSR_208002861_COST_GD_SD">#REF!</definedName>
    <definedName name="V_KEYWORD_ISSR_208002861_CUR_ASS">#REF!</definedName>
    <definedName name="V_KEYWORD_ISSR_208002861_CURRENCY_ISO">#REF!</definedName>
    <definedName name="V_KEYWORD_ISSR_208002861_DEBTORS">#REF!</definedName>
    <definedName name="V_KEYWORD_ISSR_208002861_DEF_INC_TAX">#REF!</definedName>
    <definedName name="V_KEYWORD_ISSR_208002861_DEPR_AMORT">#REF!</definedName>
    <definedName name="V_KEYWORD_ISSR_208002861_DEPREC">#REF!</definedName>
    <definedName name="V_KEYWORD_ISSR_208002861_DIV_PAID">#REF!</definedName>
    <definedName name="V_KEYWORD_ISSR_208002861_DIVDS_ASSOC_JV">#REF!</definedName>
    <definedName name="V_KEYWORD_ISSR_208002861_DIVDS_PD_MINORITIES">#REF!</definedName>
    <definedName name="V_KEYWORD_ISSR_208002861_DIVEST">#REF!</definedName>
    <definedName name="V_KEYWORD_ISSR_208002861_EBIT">#REF!</definedName>
    <definedName name="V_KEYWORD_ISSR_208002861_EBITDA_CALC">#REF!</definedName>
    <definedName name="V_KEYWORD_ISSR_208002861_EMPLOYEES">#REF!</definedName>
    <definedName name="V_KEYWORD_ISSR_208002861_EQ">#REF!</definedName>
    <definedName name="V_KEYWORD_ISSR_208002861_EXP_ALUMINIUM">#REF!</definedName>
    <definedName name="V_KEYWORD_ISSR_208002861_EXP_COPPER">#REF!</definedName>
    <definedName name="V_KEYWORD_ISSR_208002861_EXP_GLASS">#REF!</definedName>
    <definedName name="V_KEYWORD_ISSR_208002861_EXP_GOLD">#REF!</definedName>
    <definedName name="V_KEYWORD_ISSR_208002861_EXP_NAT_GAS">#REF!</definedName>
    <definedName name="V_KEYWORD_ISSR_208002861_EXP_NICKEL">#REF!</definedName>
    <definedName name="V_KEYWORD_ISSR_208002861_EXP_OIL_DERIV_NGLS_PLASTICS">#REF!</definedName>
    <definedName name="V_KEYWORD_ISSR_208002861_EXP_OIL_PETRO_FUEL">#REF!</definedName>
    <definedName name="V_KEYWORD_ISSR_208002861_EXP_OTH_COMMODITY">#REF!</definedName>
    <definedName name="V_KEYWORD_ISSR_208002861_EXP_OTH_COST">#REF!</definedName>
    <definedName name="V_KEYWORD_ISSR_208002861_EXP_PALLADIUM">#REF!</definedName>
    <definedName name="V_KEYWORD_ISSR_208002861_EXP_PLATINUM">#REF!</definedName>
    <definedName name="V_KEYWORD_ISSR_208002861_EXP_RUBBER">#REF!</definedName>
    <definedName name="V_KEYWORD_ISSR_208002861_EXP_SILVER">#REF!</definedName>
    <definedName name="V_KEYWORD_ISSR_208002861_EXP_STEEL">#REF!</definedName>
    <definedName name="V_KEYWORD_ISSR_208002861_EXP_WATER">#REF!</definedName>
    <definedName name="V_KEYWORD_ISSR_208002861_EXP_ZINC">#REF!</definedName>
    <definedName name="V_KEYWORD_ISSR_208002861_FIX_ASS_INV">#REF!</definedName>
    <definedName name="V_KEYWORD_ISSR_208002861_GCI_INFL">#REF!</definedName>
    <definedName name="V_KEYWORD_ISSR_208002861_GOODWILL_AMORT">#REF!</definedName>
    <definedName name="V_KEYWORD_ISSR_208002861_GR_FIX_ASS">#REF!</definedName>
    <definedName name="V_KEYWORD_ISSR_208002861_GR_INTANG">#REF!</definedName>
    <definedName name="V_KEYWORD_ISSR_208002861_GW_AMORT">#REF!</definedName>
    <definedName name="V_KEYWORD_ISSR_208002861_IND_SALES_BRAZIL">#REF!</definedName>
    <definedName name="V_KEYWORD_ISSR_208002861_IND_SALES_CEE">#REF!</definedName>
    <definedName name="V_KEYWORD_ISSR_208002861_IND_SALES_CHINA">#REF!</definedName>
    <definedName name="V_KEYWORD_ISSR_208002861_IND_SALES_CONS">#REF!</definedName>
    <definedName name="V_KEYWORD_ISSR_208002861_IND_SALES_EU_EX_UK">#REF!</definedName>
    <definedName name="V_KEYWORD_ISSR_208002861_IND_SALES_FINAN">#REF!</definedName>
    <definedName name="V_KEYWORD_ISSR_208002861_IND_SALES_FRA">#REF!</definedName>
    <definedName name="V_KEYWORD_ISSR_208002861_IND_SALES_GER">#REF!</definedName>
    <definedName name="V_KEYWORD_ISSR_208002861_IND_SALES_GOV">#REF!</definedName>
    <definedName name="V_KEYWORD_ISSR_208002861_IND_SALES_IND">#REF!</definedName>
    <definedName name="V_KEYWORD_ISSR_208002861_IND_SALES_INDIA">#REF!</definedName>
    <definedName name="V_KEYWORD_ISSR_208002861_IND_SALES_ITA">#REF!</definedName>
    <definedName name="V_KEYWORD_ISSR_208002861_IND_SALES_JAPAN">#REF!</definedName>
    <definedName name="V_KEYWORD_ISSR_208002861_IND_SALES_ME">#REF!</definedName>
    <definedName name="V_KEYWORD_ISSR_208002861_IND_SALES_NIGERIA">#REF!</definedName>
    <definedName name="V_KEYWORD_ISSR_208002861_IND_SALES_OTH_AEJ">#REF!</definedName>
    <definedName name="V_KEYWORD_ISSR_208002861_IND_SALES_OTH_AFRICA">#REF!</definedName>
    <definedName name="V_KEYWORD_ISSR_208002861_IND_SALES_OTH_AM">#REF!</definedName>
    <definedName name="V_KEYWORD_ISSR_208002861_IND_SALES_OTH_EMEA">#REF!</definedName>
    <definedName name="V_KEYWORD_ISSR_208002861_IND_SALES_OTH_EU_EX_UK">#REF!</definedName>
    <definedName name="V_KEYWORD_ISSR_208002861_IND_SALES_OTHER">#REF!</definedName>
    <definedName name="V_KEYWORD_ISSR_208002861_IND_SALES_RUSSIA">#REF!</definedName>
    <definedName name="V_KEYWORD_ISSR_208002861_IND_SALES_SO_AFRICA">#REF!</definedName>
    <definedName name="V_KEYWORD_ISSR_208002861_IND_SALES_SPA">#REF!</definedName>
    <definedName name="V_KEYWORD_ISSR_208002861_IND_SALES_TOT_AFRICA">#REF!</definedName>
    <definedName name="V_KEYWORD_ISSR_208002861_IND_SALES_TOT_AM">#REF!</definedName>
    <definedName name="V_KEYWORD_ISSR_208002861_IND_SALES_TOT_ASIA">#REF!</definedName>
    <definedName name="V_KEYWORD_ISSR_208002861_IND_SALES_TOT_EMEA">#REF!</definedName>
    <definedName name="V_KEYWORD_ISSR_208002861_IND_SALES_UK">#REF!</definedName>
    <definedName name="V_KEYWORD_ISSR_208002861_IND_SALES_US">#REF!</definedName>
    <definedName name="V_KEYWORD_ISSR_208002861_INT_EXP_IND">#REF!</definedName>
    <definedName name="V_KEYWORD_ISSR_208002861_INT_INC_IND">#REF!</definedName>
    <definedName name="V_KEYWORD_ISSR_208002861_INV_SECUR">#REF!</definedName>
    <definedName name="V_KEYWORD_ISSR_208002861_Issuer_Name">#REF!</definedName>
    <definedName name="V_KEYWORD_ISSR_208002861_LEASE_DEEM_DEPR">#REF!</definedName>
    <definedName name="V_KEYWORD_ISSR_208002861_LEASE_DEEM_INT">#REF!</definedName>
    <definedName name="V_KEYWORD_ISSR_208002861_LEASE_PAY">#REF!</definedName>
    <definedName name="V_KEYWORD_ISSR_208002861_LT_DEBT">#REF!</definedName>
    <definedName name="V_KEYWORD_ISSR_208002861_MINORITIES">#REF!</definedName>
    <definedName name="V_KEYWORD_ISSR_208002861_MV_ASSOCIATES">#REF!</definedName>
    <definedName name="V_KEYWORD_ISSR_208002861_NET_DEBT">#REF!</definedName>
    <definedName name="V_KEYWORD_ISSR_208002861_NET_DEBT_ADJ">#REF!</definedName>
    <definedName name="V_KEYWORD_ISSR_208002861_NET_FIX_ASS">#REF!</definedName>
    <definedName name="V_KEYWORD_ISSR_208002861_NET_INT_CH">#REF!</definedName>
    <definedName name="V_KEYWORD_ISSR_208002861_NET_INT_EXP">#REF!</definedName>
    <definedName name="V_KEYWORD_ISSR_208002861_NET_INTANG">#REF!</definedName>
    <definedName name="V_KEYWORD_ISSR_208002861_NONPPE_CAPEX">#REF!</definedName>
    <definedName name="V_KEYWORD_ISSR_208002861_OP_COST">#REF!</definedName>
    <definedName name="V_KEYWORD_ISSR_208002861_ORD_SH_FUND">#REF!</definedName>
    <definedName name="V_KEYWORD_ISSR_208002861_ORG_REV">#REF!</definedName>
    <definedName name="V_KEYWORD_ISSR_208002861_ORG_REV_GRTH">#REF!</definedName>
    <definedName name="V_KEYWORD_ISSR_208002861_OTH_COST_INC">#REF!</definedName>
    <definedName name="V_KEYWORD_ISSR_208002861_OTH_CUR_ASS">#REF!</definedName>
    <definedName name="V_KEYWORD_ISSR_208002861_OTH_CUR_LIABS">#REF!</definedName>
    <definedName name="V_KEYWORD_ISSR_208002861_OTH_DACF_ADJ">#REF!</definedName>
    <definedName name="V_KEYWORD_ISSR_208002861_OTH_FIN_CF">#REF!</definedName>
    <definedName name="V_KEYWORD_ISSR_208002861_OTH_GCI_ADJ">#REF!</definedName>
    <definedName name="V_KEYWORD_ISSR_208002861_OTH_INT_AMORT">#REF!</definedName>
    <definedName name="V_KEYWORD_ISSR_208002861_OTH_INV_CF">#REF!</definedName>
    <definedName name="V_KEYWORD_ISSR_208002861_OTH_ITEM_NCF">#REF!</definedName>
    <definedName name="V_KEYWORD_ISSR_208002861_OTH_LT_ASS">#REF!</definedName>
    <definedName name="V_KEYWORD_ISSR_208002861_OTH_LT_CRED_GQ">#REF!</definedName>
    <definedName name="V_KEYWORD_ISSR_208002861_OTH_NONCASH_ADJ">#REF!</definedName>
    <definedName name="V_KEYWORD_ISSR_208002861_OTH_OP_CF">#REF!</definedName>
    <definedName name="V_KEYWORD_ISSR_208002861_OTH_OP_INC_EXP">#REF!</definedName>
    <definedName name="V_KEYWORD_ISSR_208002861_PERIOD_MILESTONE">#REF!</definedName>
    <definedName name="V_KEYWORD_ISSR_208002861_PL_SALE_ASSETS">#REF!</definedName>
    <definedName name="V_KEYWORD_ISSR_208002861_PREF_SH">#REF!</definedName>
    <definedName name="V_KEYWORD_ISSR_208002861_PROFIT_ON_DISP">#REF!</definedName>
    <definedName name="V_KEYWORD_ISSR_208002861_PT_PROF">#REF!</definedName>
    <definedName name="V_KEYWORD_ISSR_208002861_RD_EXP">#REF!</definedName>
    <definedName name="V_KEYWORD_ISSR_208002861_SALES">#REF!</definedName>
    <definedName name="V_KEYWORD_ISSR_208002861_SALES_BRAZIL">#REF!</definedName>
    <definedName name="V_KEYWORD_ISSR_208002861_SALES_CEE">#REF!</definedName>
    <definedName name="V_KEYWORD_ISSR_208002861_SALES_CHINA">#REF!</definedName>
    <definedName name="V_KEYWORD_ISSR_208002861_SALES_CONS">#REF!</definedName>
    <definedName name="V_KEYWORD_ISSR_208002861_SALES_EU_EX_UK">#REF!</definedName>
    <definedName name="V_KEYWORD_ISSR_208002861_SALES_FINAN">#REF!</definedName>
    <definedName name="V_KEYWORD_ISSR_208002861_SALES_FRA">#REF!</definedName>
    <definedName name="V_KEYWORD_ISSR_208002861_SALES_FX_AED">#REF!</definedName>
    <definedName name="V_KEYWORD_ISSR_208002861_SALES_FX_BRL">#REF!</definedName>
    <definedName name="V_KEYWORD_ISSR_208002861_SALES_FX_CHF">#REF!</definedName>
    <definedName name="V_KEYWORD_ISSR_208002861_SALES_FX_CNY">#REF!</definedName>
    <definedName name="V_KEYWORD_ISSR_208002861_SALES_FX_EUR">#REF!</definedName>
    <definedName name="V_KEYWORD_ISSR_208002861_SALES_FX_GPB">#REF!</definedName>
    <definedName name="V_KEYWORD_ISSR_208002861_SALES_FX_INR">#REF!</definedName>
    <definedName name="V_KEYWORD_ISSR_208002861_SALES_FX_NGN">#REF!</definedName>
    <definedName name="V_KEYWORD_ISSR_208002861_SALES_FX_OTH">#REF!</definedName>
    <definedName name="V_KEYWORD_ISSR_208002861_SALES_FX_RUB">#REF!</definedName>
    <definedName name="V_KEYWORD_ISSR_208002861_SALES_FX_TRY">#REF!</definedName>
    <definedName name="V_KEYWORD_ISSR_208002861_SALES_FX_USD">#REF!</definedName>
    <definedName name="V_KEYWORD_ISSR_208002861_SALES_FX_YEN">#REF!</definedName>
    <definedName name="V_KEYWORD_ISSR_208002861_SALES_FX_ZAR">#REF!</definedName>
    <definedName name="V_KEYWORD_ISSR_208002861_SALES_GER">#REF!</definedName>
    <definedName name="V_KEYWORD_ISSR_208002861_SALES_GOV">#REF!</definedName>
    <definedName name="V_KEYWORD_ISSR_208002861_SALES_IND">#REF!</definedName>
    <definedName name="V_KEYWORD_ISSR_208002861_SALES_INDIA">#REF!</definedName>
    <definedName name="V_KEYWORD_ISSR_208002861_SALES_ITA">#REF!</definedName>
    <definedName name="V_KEYWORD_ISSR_208002861_SALES_JAPAN">#REF!</definedName>
    <definedName name="V_KEYWORD_ISSR_208002861_SALES_ME">#REF!</definedName>
    <definedName name="V_KEYWORD_ISSR_208002861_SALES_NIGERIA">#REF!</definedName>
    <definedName name="V_KEYWORD_ISSR_208002861_SALES_OTH_AEJ">#REF!</definedName>
    <definedName name="V_KEYWORD_ISSR_208002861_SALES_OTH_AFRICA">#REF!</definedName>
    <definedName name="V_KEYWORD_ISSR_208002861_SALES_OTH_AM">#REF!</definedName>
    <definedName name="V_KEYWORD_ISSR_208002861_SALES_OTH_COMMODITY">#REF!</definedName>
    <definedName name="V_KEYWORD_ISSR_208002861_SALES_OTH_EMEA">#REF!</definedName>
    <definedName name="V_KEYWORD_ISSR_208002861_SALES_OTH_EU_EX_UK">#REF!</definedName>
    <definedName name="V_KEYWORD_ISSR_208002861_SALES_OTH_SALES_SOURCES">#REF!</definedName>
    <definedName name="V_KEYWORD_ISSR_208002861_SALES_OTHER">#REF!</definedName>
    <definedName name="V_KEYWORD_ISSR_208002861_SALES_RUSSIA">#REF!</definedName>
    <definedName name="V_KEYWORD_ISSR_208002861_SALES_SO_AFRICA">#REF!</definedName>
    <definedName name="V_KEYWORD_ISSR_208002861_SALES_SPA">#REF!</definedName>
    <definedName name="V_KEYWORD_ISSR_208002861_SALES_TOT_AFRICA">#REF!</definedName>
    <definedName name="V_KEYWORD_ISSR_208002861_SALES_TOT_AM">#REF!</definedName>
    <definedName name="V_KEYWORD_ISSR_208002861_SALES_TOT_ASIA">#REF!</definedName>
    <definedName name="V_KEYWORD_ISSR_208002861_SALES_TOT_EMEA">#REF!</definedName>
    <definedName name="V_KEYWORD_ISSR_208002861_SALES_UK">#REF!</definedName>
    <definedName name="V_KEYWORD_ISSR_208002861_SALES_US">#REF!</definedName>
    <definedName name="V_KEYWORD_ISSR_208002861_SEL_GL_AD">#REF!</definedName>
    <definedName name="V_KEYWORD_ISSR_208002861_SH_REPUR">#REF!</definedName>
    <definedName name="V_KEYWORD_ISSR_208002861_SHORT_T_DEBT">#REF!</definedName>
    <definedName name="V_KEYWORD_ISSR_208002861_SHORT_TERM_LIABS">#REF!</definedName>
    <definedName name="V_KEYWORD_ISSR_208002861_STOCKS">#REF!</definedName>
    <definedName name="V_KEYWORD_ISSR_208002861_TOT_ASSET">#REF!</definedName>
    <definedName name="V_KEYWORD_ISSR_208002861_TOT_CF">#REF!</definedName>
    <definedName name="V_KEYWORD_ISSR_208002861_TOT_LIAB">#REF!</definedName>
    <definedName name="V_KEYWORD_ISSR_208002861_TOT_LIAB_EQ">#REF!</definedName>
    <definedName name="V_KEYWORD_ISSR_208002861_TOT_LT_LIAB">#REF!</definedName>
    <definedName name="V_KEYWORD_ISSR_208002861_TOT_OPS_EXP">#REF!</definedName>
    <definedName name="V_KEYWORD_ISSR_208002861_TOT_OPS_EXP_DDA">#REF!</definedName>
    <definedName name="V_KEYWORD_ISSR_208002861_UNF_PENS">#REF!</definedName>
    <definedName name="V_KEYWORD_ISSR_208002861_UNF_PENS_LIAB_OTH">#REF!</definedName>
    <definedName name="V_KEYWORD_ISSR_208002861_UNF_PENS_OFF">#REF!</definedName>
    <definedName name="V_KEYWORD_ISSR_208002861_WORK_CAP">#REF!</definedName>
    <definedName name="V_LIVEDATA_EQTY_200007513" localSheetId="1">#REF!</definedName>
    <definedName name="V_LIVEDATA_EQTY_200007513">#REF!</definedName>
    <definedName name="V_LIVEDATA_ISSR_208002861" localSheetId="1">#REF!</definedName>
    <definedName name="V_LIVEDATA_ISSR_208002861">#REF!</definedName>
    <definedName name="V_PERIOD_2006_Q1" localSheetId="1">#REF!</definedName>
    <definedName name="V_PERIOD_2006_Q1">#REF!</definedName>
    <definedName name="V_PERIOD_2006_Q2" localSheetId="1">#REF!</definedName>
    <definedName name="V_PERIOD_2006_Q2">#REF!</definedName>
    <definedName name="V_PERIOD_2006_Q3" localSheetId="1">#REF!</definedName>
    <definedName name="V_PERIOD_2006_Q3">#REF!</definedName>
    <definedName name="V_PERIOD_2006_Q4" localSheetId="1">#REF!</definedName>
    <definedName name="V_PERIOD_2006_Q4">#REF!</definedName>
    <definedName name="V_PERIOD_2007_Q1" localSheetId="1">#REF!</definedName>
    <definedName name="V_PERIOD_2007_Q1">#REF!</definedName>
    <definedName name="V_PERIOD_2007_Q2" localSheetId="1">#REF!</definedName>
    <definedName name="V_PERIOD_2007_Q2">#REF!</definedName>
    <definedName name="V_PERIOD_2007_Q3" localSheetId="1">#REF!</definedName>
    <definedName name="V_PERIOD_2007_Q3">#REF!</definedName>
    <definedName name="V_PERIOD_2007_Q4" localSheetId="1">#REF!</definedName>
    <definedName name="V_PERIOD_2007_Q4">#REF!</definedName>
    <definedName name="V_PERIOD_2008_Q1" localSheetId="1">#REF!</definedName>
    <definedName name="V_PERIOD_2008_Q1">#REF!</definedName>
    <definedName name="V_PERIOD_2008_Q2" localSheetId="1">#REF!</definedName>
    <definedName name="V_PERIOD_2008_Q2">#REF!</definedName>
    <definedName name="V_PERIOD_2008_Q3" localSheetId="1">#REF!</definedName>
    <definedName name="V_PERIOD_2008_Q3">#REF!</definedName>
    <definedName name="V_PERIOD_2008_Q4" localSheetId="1">#REF!</definedName>
    <definedName name="V_PERIOD_2008_Q4">#REF!</definedName>
    <definedName name="V_PERIOD_2009_Q1" localSheetId="1">#REF!</definedName>
    <definedName name="V_PERIOD_2009_Q1">#REF!</definedName>
    <definedName name="V_PERIOD_2009_Q2" localSheetId="1">#REF!</definedName>
    <definedName name="V_PERIOD_2009_Q2">#REF!</definedName>
    <definedName name="V_PERIOD_2009_Q3" localSheetId="1">#REF!</definedName>
    <definedName name="V_PERIOD_2009_Q3">#REF!</definedName>
    <definedName name="V_PERIOD_2009_Q4" localSheetId="1">#REF!</definedName>
    <definedName name="V_PERIOD_2009_Q4">#REF!</definedName>
    <definedName name="V_PERIOD_2010_Q1" localSheetId="1">#REF!</definedName>
    <definedName name="V_PERIOD_2010_Q1">#REF!</definedName>
    <definedName name="V_PERIOD_2010_Q2" localSheetId="1">#REF!</definedName>
    <definedName name="V_PERIOD_2010_Q2">#REF!</definedName>
    <definedName name="V_PERIOD_2010_Q3" localSheetId="1">#REF!</definedName>
    <definedName name="V_PERIOD_2010_Q3">#REF!</definedName>
    <definedName name="V_PERIOD_2010_Q4" localSheetId="1">#REF!</definedName>
    <definedName name="V_PERIOD_2010_Q4">#REF!</definedName>
    <definedName name="V_PERIOD_2011_Q1" localSheetId="1">#REF!</definedName>
    <definedName name="V_PERIOD_2011_Q1">#REF!</definedName>
    <definedName name="V_PERIOD_2011_Q2" localSheetId="1">#REF!</definedName>
    <definedName name="V_PERIOD_2011_Q2">#REF!</definedName>
    <definedName name="V_PERIOD_2011_Q3" localSheetId="1">#REF!</definedName>
    <definedName name="V_PERIOD_2011_Q3">#REF!</definedName>
    <definedName name="V_PERIOD_2011_Q4" localSheetId="1">#REF!</definedName>
    <definedName name="V_PERIOD_2011_Q4">#REF!</definedName>
    <definedName name="V_PERIOD_2012_Q1" localSheetId="1">#REF!</definedName>
    <definedName name="V_PERIOD_2012_Q1">#REF!</definedName>
    <definedName name="V_PERIOD_2012_Q2" localSheetId="1">#REF!</definedName>
    <definedName name="V_PERIOD_2012_Q2">#REF!</definedName>
    <definedName name="V_PERIOD_2012_Q3" localSheetId="1">#REF!</definedName>
    <definedName name="V_PERIOD_2012_Q3">#REF!</definedName>
    <definedName name="V_PERIOD_2012_Q4" localSheetId="1">#REF!</definedName>
    <definedName name="V_PERIOD_2012_Q4">#REF!</definedName>
    <definedName name="V_PERIOD_2020_H1" localSheetId="1">#REF!</definedName>
    <definedName name="V_PERIOD_2020_H1">#REF!</definedName>
    <definedName name="V_PERIOD_2020_H2">#REF!</definedName>
    <definedName name="V_PERIOD_2021_Q1" localSheetId="1">#REF!</definedName>
    <definedName name="V_PERIOD_2021_Q1">#REF!</definedName>
    <definedName name="V_PERIOD_2021_Q2" localSheetId="1">#REF!</definedName>
    <definedName name="V_PERIOD_2021_Q2">#REF!</definedName>
    <definedName name="V_PERIOD_2021_Q3" localSheetId="1">#REF!</definedName>
    <definedName name="V_PERIOD_2021_Q3">#REF!</definedName>
    <definedName name="V_PERIOD_2021_Q4" localSheetId="1">#REF!</definedName>
    <definedName name="V_PERIOD_2021_Q4">#REF!</definedName>
    <definedName name="V_SECTION_EQTY_200007513_1314" localSheetId="1">#REF!</definedName>
    <definedName name="V_SECTION_EQTY_200007513_1314">#REF!</definedName>
    <definedName name="V_SECTION_EQTY_200007513_131E" localSheetId="1">#REF!</definedName>
    <definedName name="V_SECTION_EQTY_200007513_131E">#REF!</definedName>
    <definedName name="V_SECTION_EQTY_200007513_131O" localSheetId="1">#REF!</definedName>
    <definedName name="V_SECTION_EQTY_200007513_131O">#REF!</definedName>
    <definedName name="V_SECTION_EQTY_200007513_13A">#REF!</definedName>
    <definedName name="V_SECTION_EQTY_200007513_13K">#REF!</definedName>
    <definedName name="V_SECTION_EQTY_200007513_13U">#REF!</definedName>
    <definedName name="V_SECTION_EQTY_200007513_13V">#REF!</definedName>
    <definedName name="V_SECTION_EQTY_200007513_Reference_Data">#REF!</definedName>
    <definedName name="V_SECTION_ISSR_208002861_1314" localSheetId="1">#REF!</definedName>
    <definedName name="V_SECTION_ISSR_208002861_1314">#REF!</definedName>
    <definedName name="V_SECTION_ISSR_208002861_13168" localSheetId="1">#REF!</definedName>
    <definedName name="V_SECTION_ISSR_208002861_13168">#REF!</definedName>
    <definedName name="V_SECTION_ISSR_208002861_1316S" localSheetId="1">#REF!</definedName>
    <definedName name="V_SECTION_ISSR_208002861_1316S">#REF!</definedName>
    <definedName name="V_SECTION_ISSR_208002861_1316T">#REF!</definedName>
    <definedName name="V_SECTION_ISSR_208002861_1316U">#REF!</definedName>
    <definedName name="V_SECTION_ISSR_208002861_1319">#REF!</definedName>
    <definedName name="V_SECTION_ISSR_208002861_131E">#REF!</definedName>
    <definedName name="V_SECTION_ISSR_208002861_131J">#REF!</definedName>
    <definedName name="V_SECTION_ISSR_208002861_131O">#REF!</definedName>
    <definedName name="V_SECTION_ISSR_208002861_13U">#REF!</definedName>
    <definedName name="V_SECTION_ISSR_208002861_13V">#REF!</definedName>
    <definedName name="V_SECTION_ISSR_208002861_Reference_Data">#REF!</definedName>
    <definedName name="Valuation">#REF!</definedName>
    <definedName name="valuationchart">#REF!</definedName>
    <definedName name="valuationdata">#REF!</definedName>
    <definedName name="vvvvvvvvvvvvvvvvvvvvvvvvvvvv" localSheetId="1" hidden="1">{"Back Page",#N/A,FALSE,"Front and Back"}</definedName>
    <definedName name="vvvvvvvvvvvvvvvvvvvvvvvvvvvv" localSheetId="2" hidden="1">{"Back Page",#N/A,FALSE,"Front and Back"}</definedName>
    <definedName name="vvvvvvvvvvvvvvvvvvvvvvvvvvvv" hidden="1">{"Back Page",#N/A,FALSE,"Front and Back"}</definedName>
    <definedName name="WagesPerEmpAvg">[12]Data!$BT$11:$BT$23</definedName>
    <definedName name="WagesSocialSecurity">[12]Data!$K$11:$K$23</definedName>
    <definedName name="WarrantsMarketValue">[12]Data!$HM$13:$HM$25</definedName>
    <definedName name="WarrantsYe">[12]Data!$HL$13:$HL$25</definedName>
    <definedName name="WorkingCapitalSalesRatio">[12]Data!$EU$11:$EU$23</definedName>
    <definedName name="wrn.all." localSheetId="1"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2"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_.Company._.Analyses."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ck._.Page." localSheetId="1" hidden="1">{"Back Page",#N/A,FALSE,"Front and Back"}</definedName>
    <definedName name="wrn.Back._.Page." localSheetId="2" hidden="1">{"Back Page",#N/A,FALSE,"Front and Back"}</definedName>
    <definedName name="wrn.Back._.Page." hidden="1">{"Back Page",#N/A,FALSE,"Front and Back"}</definedName>
    <definedName name="wrn.BPlan." localSheetId="1" hidden="1">{#N/A,#N/A,FALSE,"F_Plan";#N/A,#N/A,FALSE,"Parameter"}</definedName>
    <definedName name="wrn.BPlan." localSheetId="2" hidden="1">{#N/A,#N/A,FALSE,"F_Plan";#N/A,#N/A,FALSE,"Parameter"}</definedName>
    <definedName name="wrn.BPlan." hidden="1">{#N/A,#N/A,FALSE,"F_Plan";#N/A,#N/A,FALSE,"Parameter"}</definedName>
    <definedName name="wrn.Cider." localSheetId="1" hidden="1">{#N/A,#N/A,FALSE,"Cider Segment";#N/A,#N/A,FALSE,"Bulmers";#N/A,#N/A,FALSE,"Ritz";#N/A,#N/A,FALSE,"Stag";#N/A,#N/A,FALSE,"Cider Others"}</definedName>
    <definedName name="wrn.Cider." localSheetId="2" hidden="1">{#N/A,#N/A,FALSE,"Cider Segment";#N/A,#N/A,FALSE,"Bulmers";#N/A,#N/A,FALSE,"Ritz";#N/A,#N/A,FALSE,"Stag";#N/A,#N/A,FALSE,"Cider Others"}</definedName>
    <definedName name="wrn.Cider." hidden="1">{#N/A,#N/A,FALSE,"Cider Segment";#N/A,#N/A,FALSE,"Bulmers";#N/A,#N/A,FALSE,"Ritz";#N/A,#N/A,FALSE,"Stag";#N/A,#N/A,FALSE,"Cider Others"}</definedName>
    <definedName name="wrn.Consolidated._.Set." localSheetId="1" hidden="1">{"Consolidated IS w Ratios",#N/A,FALSE,"Consolidated";"Consolidated CF",#N/A,FALSE,"Consolidated";"Consolidated DCF",#N/A,FALSE,"Consolidated"}</definedName>
    <definedName name="wrn.Consolidated._.Set." localSheetId="2" hidden="1">{"Consolidated IS w Ratios",#N/A,FALSE,"Consolidated";"Consolidated CF",#N/A,FALSE,"Consolidated";"Consolidated DCF",#N/A,FALSE,"Consolidated"}</definedName>
    <definedName name="wrn.Consolidated._.Set." hidden="1">{"Consolidated IS w Ratios",#N/A,FALSE,"Consolidated";"Consolidated CF",#N/A,FALSE,"Consolidated";"Consolidated DCF",#N/A,FALSE,"Consolidated"}</definedName>
    <definedName name="wrn.CONSOLIDATION." localSheetId="1" hidden="1">{"PAGE1",#N/A,FALSE,"Consolidation";"PAGE2",#N/A,FALSE,"Consolidation";"PAGE3",#N/A,FALSE,"Consolidation";"PAGE4",#N/A,FALSE,"Consolidation";"PAGE5",#N/A,FALSE,"Consolidation";"PAGE6",#N/A,FALSE,"Consolidation";"PAGE7",#N/A,FALSE,"Consolidation"}</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tribution." localSheetId="1" hidden="1">{#N/A,#N/A,FALSE,"Contribution Analysis"}</definedName>
    <definedName name="wrn.contribution." localSheetId="2" hidden="1">{#N/A,#N/A,FALSE,"Contribution Analysis"}</definedName>
    <definedName name="wrn.contribution." hidden="1">{#N/A,#N/A,FALSE,"Contribution Analysis"}</definedName>
    <definedName name="wrn.Cover." localSheetId="1" hidden="1">{"coverall",#N/A,FALSE,"Definitions";"cover1",#N/A,FALSE,"Definitions";"cover2",#N/A,FALSE,"Definitions";"cover3",#N/A,FALSE,"Definitions";"cover4",#N/A,FALSE,"Definitions";"cover5",#N/A,FALSE,"Definitions";"blank",#N/A,FALSE,"Definitions"}</definedName>
    <definedName name="wrn.Cover." localSheetId="2"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T." localSheetId="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1" hidden="1">{"page1",#N/A,TRUE,"CSC";"page2",#N/A,TRUE,"CSC"}</definedName>
    <definedName name="wrn.CSC." localSheetId="2" hidden="1">{"page1",#N/A,TRUE,"CSC";"page2",#N/A,TRUE,"CSC"}</definedName>
    <definedName name="wrn.CSC." hidden="1">{"page1",#N/A,TRUE,"CSC";"page2",#N/A,TRUE,"CSC"}</definedName>
    <definedName name="wrn.CSC2" localSheetId="1" hidden="1">{"page1",#N/A,TRUE,"CSC";"page2",#N/A,TRUE,"CSC"}</definedName>
    <definedName name="wrn.CSC2" localSheetId="2" hidden="1">{"page1",#N/A,TRUE,"CSC";"page2",#N/A,TRUE,"CSC"}</definedName>
    <definedName name="wrn.CSC2" hidden="1">{"page1",#N/A,TRUE,"CSC";"page2",#N/A,TRUE,"CSC"}</definedName>
    <definedName name="wrn.csc2." localSheetId="1" hidden="1">{#N/A,#N/A,FALSE,"ORIX CSC"}</definedName>
    <definedName name="wrn.csc2." localSheetId="2" hidden="1">{#N/A,#N/A,FALSE,"ORIX CSC"}</definedName>
    <definedName name="wrn.csc2." hidden="1">{#N/A,#N/A,FALSE,"ORIX CSC"}</definedName>
    <definedName name="wrn.database." localSheetId="1" hidden="1">{"subs",#N/A,FALSE,"database ";"proportional",#N/A,FALSE,"database "}</definedName>
    <definedName name="wrn.database." localSheetId="2" hidden="1">{"subs",#N/A,FALSE,"database ";"proportional",#N/A,FALSE,"database "}</definedName>
    <definedName name="wrn.database." hidden="1">{"subs",#N/A,FALSE,"database ";"proportional",#N/A,FALSE,"database "}</definedName>
    <definedName name="wrn.dcf." localSheetId="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ed._.P._.and._.L." localSheetId="1" hidden="1">{"P and L Detail Page 1",#N/A,FALSE,"Data";"P and L Detail Page 2",#N/A,FALSE,"Data"}</definedName>
    <definedName name="wrn.Detailed._.P._.and._.L." localSheetId="2" hidden="1">{"P and L Detail Page 1",#N/A,FALSE,"Data";"P and L Detail Page 2",#N/A,FALSE,"Data"}</definedName>
    <definedName name="wrn.Detailed._.P._.and._.L." hidden="1">{"P and L Detail Page 1",#N/A,FALSE,"Data";"P and L Detail Page 2",#N/A,FALSE,"Data"}</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ployee._.Efficiency." localSheetId="1" hidden="1">{"Employee Efficiency",#N/A,FALSE,"Benchmarking"}</definedName>
    <definedName name="wrn.Employee._.Efficiency." localSheetId="2" hidden="1">{"Employee Efficiency",#N/A,FALSE,"Benchmarking"}</definedName>
    <definedName name="wrn.Employee._.Efficiency." hidden="1">{"Employee Efficiency",#N/A,FALSE,"Benchmarking"}</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Base." localSheetId="1" hidden="1">{"Eur Base Top",#N/A,FALSE,"Europe Base";"Eur Base Bottom",#N/A,FALSE,"Europe Base"}</definedName>
    <definedName name="wrn.Europe._.Base." localSheetId="2" hidden="1">{"Eur Base Top",#N/A,FALSE,"Europe Base";"Eur Base Bottom",#N/A,FALSE,"Europe Base"}</definedName>
    <definedName name="wrn.Europe._.Base." hidden="1">{"Eur Base Top",#N/A,FALSE,"Europe Base";"Eur Base Bottom",#N/A,FALSE,"Europe Base"}</definedName>
    <definedName name="wrn.Europe._.Set." localSheetId="1" hidden="1">{"IS w Ratios",#N/A,FALSE,"Europe";"PF CF Europe",#N/A,FALSE,"Europe";"DCF Eur Matrix",#N/A,FALSE,"Europe"}</definedName>
    <definedName name="wrn.Europe._.Set." localSheetId="2" hidden="1">{"IS w Ratios",#N/A,FALSE,"Europe";"PF CF Europe",#N/A,FALSE,"Europe";"DCF Eur Matrix",#N/A,FALSE,"Europe"}</definedName>
    <definedName name="wrn.Europe._.Set." hidden="1">{"IS w Ratios",#N/A,FALSE,"Europe";"PF CF Europe",#N/A,FALSE,"Europe";"DCF Eur Matrix",#N/A,FALSE,"Europe"}</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ports." localSheetId="1" hidden="1">{#N/A,#N/A,FALSE,"Exports";#N/A,#N/A,FALSE,"Carolans";#N/A,#N/A,FALSE,"Irish Mist";#N/A,#N/A,FALSE,"Tullamore Dew";#N/A,#N/A,FALSE,"Other Brands Exports";#N/A,#N/A,FALSE,"Frangelico";#N/A,#N/A,FALSE,"Mondoro";#N/A,#N/A,FALSE,"Aperol";#N/A,#N/A,FALSE,"Others Exports"}</definedName>
    <definedName name="wrn.Exports." localSheetId="2" hidden="1">{#N/A,#N/A,FALSE,"Exports";#N/A,#N/A,FALSE,"Carolans";#N/A,#N/A,FALSE,"Irish Mist";#N/A,#N/A,FALSE,"Tullamore Dew";#N/A,#N/A,FALSE,"Other Brands Exports";#N/A,#N/A,FALSE,"Frangelico";#N/A,#N/A,FALSE,"Mondoro";#N/A,#N/A,FALSE,"Aperol";#N/A,#N/A,FALSE,"Others Exports"}</definedName>
    <definedName name="wrn.Exports." hidden="1">{#N/A,#N/A,FALSE,"Exports";#N/A,#N/A,FALSE,"Carolans";#N/A,#N/A,FALSE,"Irish Mist";#N/A,#N/A,FALSE,"Tullamore Dew";#N/A,#N/A,FALSE,"Other Brands Exports";#N/A,#N/A,FALSE,"Frangelico";#N/A,#N/A,FALSE,"Mondoro";#N/A,#N/A,FALSE,"Aperol";#N/A,#N/A,FALSE,"Others Exports"}</definedName>
    <definedName name="wrn.Far._.East._.Set." localSheetId="1" hidden="1">{"IS FE with Ratios",#N/A,FALSE,"Far East";"PF CF Far East",#N/A,FALSE,"Far East";"DCF Far East Matrix",#N/A,FALSE,"Far East"}</definedName>
    <definedName name="wrn.Far._.East._.Set." localSheetId="2" hidden="1">{"IS FE with Ratios",#N/A,FALSE,"Far East";"PF CF Far East",#N/A,FALSE,"Far East";"DCF Far East Matrix",#N/A,FALSE,"Far East"}</definedName>
    <definedName name="wrn.Far._.East._.Set." hidden="1">{"IS FE with Ratios",#N/A,FALSE,"Far East";"PF CF Far East",#N/A,FALSE,"Far East";"DCF Far East Matrix",#N/A,FALSE,"Far East"}</definedName>
    <definedName name="wrn.FE._.Sensitivity." localSheetId="1" hidden="1">{"Far East Top",#N/A,FALSE,"FE Model";"Far East Mid",#N/A,FALSE,"FE Model";"Far East Base",#N/A,FALSE,"FE Model"}</definedName>
    <definedName name="wrn.FE._.Sensitivity." localSheetId="2" hidden="1">{"Far East Top",#N/A,FALSE,"FE Model";"Far East Mid",#N/A,FALSE,"FE Model";"Far East Base",#N/A,FALSE,"FE Model"}</definedName>
    <definedName name="wrn.FE._.Sensitivity." hidden="1">{"Far East Top",#N/A,FALSE,"FE Model";"Far East Mid",#N/A,FALSE,"FE Model";"Far East Base",#N/A,FALSE,"FE Model"}</definedName>
    <definedName name="wrn.Financial._.Output." localSheetId="1" hidden="1">{"P and L",#N/A,FALSE,"Financial Output";"Cashflow",#N/A,FALSE,"Financial Output";"Balance Sheet",#N/A,FALSE,"Financial Output"}</definedName>
    <definedName name="wrn.Financial._.Output." localSheetId="2"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ve._.Year._.Record." localSheetId="1" hidden="1">{"Five Year Record",#N/A,FALSE,"Front and Back"}</definedName>
    <definedName name="wrn.Five._.Year._.Record." localSheetId="2" hidden="1">{"Five Year Record",#N/A,FALSE,"Front and Back"}</definedName>
    <definedName name="wrn.Five._.Year._.Record." hidden="1">{"Five Year Record",#N/A,FALSE,"Front and Back"}</definedName>
    <definedName name="wrn.Front._.Page." localSheetId="1" hidden="1">{"Front Page",#N/A,FALSE,"Front and Back"}</definedName>
    <definedName name="wrn.Front._.Page." localSheetId="2" hidden="1">{"Front Page",#N/A,FALSE,"Front and Back"}</definedName>
    <definedName name="wrn.Front._.Page." hidden="1">{"Front Page",#N/A,FALSE,"Front and Back"}</definedName>
    <definedName name="wrn.full." localSheetId="1" hidden="1">{"ANNUAL",#N/A,FALSE,"DDCLINK";"DDC94",#N/A,FALSE,"DDCLINK"}</definedName>
    <definedName name="wrn.full." localSheetId="2" hidden="1">{"ANNUAL",#N/A,FALSE,"DDCLINK";"DDC94",#N/A,FALSE,"DDCLINK"}</definedName>
    <definedName name="wrn.full." hidden="1">{"ANNUAL",#N/A,FALSE,"DDCLINK";"DDC94",#N/A,FALSE,"DDCLINK"}</definedName>
    <definedName name="wrn.FY97SBP." localSheetId="1"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Geographic._.Trends." localSheetId="1" hidden="1">{"Geographic P1",#N/A,FALSE,"Division &amp; Geog"}</definedName>
    <definedName name="wrn.Geographic._.Trends." localSheetId="2" hidden="1">{"Geographic P1",#N/A,FALSE,"Division &amp; Geog"}</definedName>
    <definedName name="wrn.Geographic._.Trends." hidden="1">{"Geographic P1",#N/A,FALSE,"Division &amp; Geog"}</definedName>
    <definedName name="wrn.Income._.Statement." localSheetId="1" hidden="1">{#N/A,#N/A,FALSE,"Report Print"}</definedName>
    <definedName name="wrn.Income._.Statement." localSheetId="2" hidden="1">{#N/A,#N/A,FALSE,"Report Print"}</definedName>
    <definedName name="wrn.Income._.Statement." hidden="1">{#N/A,#N/A,FALSE,"Report Print"}</definedName>
    <definedName name="wrn.international." localSheetId="1" hidden="1">{"sweden",#N/A,FALSE,"Sweden";"germany",#N/A,FALSE,"Germany";"portugal",#N/A,FALSE,"Portugal";"belgium",#N/A,FALSE,"Belgium";"japan",#N/A,FALSE,"Japan ";"italy",#N/A,FALSE,"Italy";"spain",#N/A,FALSE,"Spain";"korea",#N/A,FALSE,"Korea"}</definedName>
    <definedName name="wrn.international." localSheetId="2"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taly." localSheetId="1" hidden="1">{#N/A,#N/A,FALSE,"Italy";#N/A,#N/A,FALSE,"Aperol Italy";#N/A,#N/A,FALSE,"Aperol Soda Italy";#N/A,#N/A,FALSE,"Spumanti";#N/A,#N/A,FALSE,"Barbieri Liqueur Italy";#N/A,#N/A,FALSE,"Others Italy"}</definedName>
    <definedName name="wrn.Italy." localSheetId="2" hidden="1">{#N/A,#N/A,FALSE,"Italy";#N/A,#N/A,FALSE,"Aperol Italy";#N/A,#N/A,FALSE,"Aperol Soda Italy";#N/A,#N/A,FALSE,"Spumanti";#N/A,#N/A,FALSE,"Barbieri Liqueur Italy";#N/A,#N/A,FALSE,"Others Italy"}</definedName>
    <definedName name="wrn.Italy." hidden="1">{#N/A,#N/A,FALSE,"Italy";#N/A,#N/A,FALSE,"Aperol Italy";#N/A,#N/A,FALSE,"Aperol Soda Italy";#N/A,#N/A,FALSE,"Spumanti";#N/A,#N/A,FALSE,"Barbieri Liqueur Italy";#N/A,#N/A,FALSE,"Others Italy"}</definedName>
    <definedName name="wrn.JG._.FE._.Dollar." localSheetId="1" hidden="1">{"JG FE Top",#N/A,FALSE,"JG FE $";"JG FE Bottom",#N/A,FALSE,"JG FE $"}</definedName>
    <definedName name="wrn.JG._.FE._.Dollar." localSheetId="2" hidden="1">{"JG FE Top",#N/A,FALSE,"JG FE $";"JG FE Bottom",#N/A,FALSE,"JG FE $"}</definedName>
    <definedName name="wrn.JG._.FE._.Dollar." hidden="1">{"JG FE Top",#N/A,FALSE,"JG FE $";"JG FE Bottom",#N/A,FALSE,"JG FE $"}</definedName>
    <definedName name="wrn.JG._.FE._.Yen." localSheetId="1" hidden="1">{"JG FE Top",#N/A,FALSE,"JG FE ¥";"JG FE Bottom",#N/A,FALSE,"JG FE ¥"}</definedName>
    <definedName name="wrn.JG._.FE._.Yen." localSheetId="2" hidden="1">{"JG FE Top",#N/A,FALSE,"JG FE ¥";"JG FE Bottom",#N/A,FALSE,"JG FE ¥"}</definedName>
    <definedName name="wrn.JG._.FE._.Yen." hidden="1">{"JG FE Top",#N/A,FALSE,"JG FE ¥";"JG FE Bottom",#N/A,FALSE,"JG FE ¥"}</definedName>
    <definedName name="wrn.lbo." localSheetId="1"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2" hidden="1">{"a",#N/A,FALSE,"LBO - 100%, No Sales";"aa",#N/A,FALSE,"LBO - 100%, No Sales";"aaa",#N/A,FALSE,"LBO - 100%, No Sales";"aaaa",#N/A,FALSE,"LBO - 100%, No Sales";"aaaaa",#N/A,FALSE,"LBO - 100%, No Sales";"aaaaaa",#N/A,FALSE,"LBO - 100%, No Sales";"aaaaaaa",#N/A,FALSE,"LBO - 100%, No Sales";"aaaaaaaa",#N/A,FALSE,"LBO - 100%, No Sales"}</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localSheetId="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localSheetId="1" hidden="1">{"a",#N/A,FALSE,"LBO - 100%, Sell C,CT 98......";"aa",#N/A,FALSE,"LBO - 100%, Sell C,CT 98......";"aaa",#N/A,FALSE,"LBO - 100%, Sell C,CT 98......";"aaaa",#N/A,FALSE,"LBO - 100%, Sell C,CT 98......";"aaaaa",#N/A,FALSE,"LBO - 100%, Sell C,CT 98......";"aaaaaa",#N/A,FALSE,"LBO - 100%, Sell C,CT 98......"}</definedName>
    <definedName name="wrn.lbo3." localSheetId="2" hidden="1">{"a",#N/A,FALSE,"LBO - 100%, Sell C,CT 98......";"aa",#N/A,FALSE,"LBO - 100%, Sell C,CT 98......";"aaa",#N/A,FALSE,"LBO - 100%, Sell C,CT 98......";"aaaa",#N/A,FALSE,"LBO - 100%, Sell C,CT 98......";"aaaaa",#N/A,FALSE,"LBO - 100%, Sell C,CT 98......";"aaaaaa",#N/A,FALSE,"LBO - 100%, Sell C,CT 98......"}</definedName>
    <definedName name="wrn.lbo3." hidden="1">{"a",#N/A,FALSE,"LBO - 100%, Sell C,CT 98......";"aa",#N/A,FALSE,"LBO - 100%, Sell C,CT 98......";"aaa",#N/A,FALSE,"LBO - 100%, Sell C,CT 98......";"aaaa",#N/A,FALSE,"LBO - 100%, Sell C,CT 98......";"aaaaa",#N/A,FALSE,"LBO - 100%, Sell C,CT 98......";"aaaaaa",#N/A,FALSE,"LBO - 100%, Sell C,CT 98......"}</definedName>
    <definedName name="wrn.Line._.Efficiency." localSheetId="1" hidden="1">{"Line Efficiency",#N/A,FALSE,"Benchmarking"}</definedName>
    <definedName name="wrn.Line._.Efficiency." localSheetId="2" hidden="1">{"Line Efficiency",#N/A,FALSE,"Benchmarking"}</definedName>
    <definedName name="wrn.Line._.Efficiency." hidden="1">{"Line Efficiency",#N/A,FALSE,"Benchmarking"}</definedName>
    <definedName name="wrn.Main._.Report._.All._.Sections."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ERGER._.PLANS." localSheetId="1" hidden="1">{"Assumptions1",#N/A,FALSE,"Assumptions";"MergerPlans1","20yearamort",FALSE,"MergerPlans";"MergerPlans1","40yearamort",FALSE,"MergerPlans";"MergerPlans2",#N/A,FALSE,"MergerPlans";"inputs",#N/A,FALSE,"MergerPlans"}</definedName>
    <definedName name="wrn.MERGER._.PLANS." localSheetId="2"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NA._.Model._.T._.and._.B." localSheetId="1" hidden="1">{"NA Top",#N/A,FALSE,"NA Model";"NA Bottom",#N/A,FALSE,"NA Model"}</definedName>
    <definedName name="wrn.NA._.Model._.T._.and._.B." localSheetId="2" hidden="1">{"NA Top",#N/A,FALSE,"NA Model";"NA Bottom",#N/A,FALSE,"NA Model"}</definedName>
    <definedName name="wrn.NA._.Model._.T._.and._.B." hidden="1">{"NA Top",#N/A,FALSE,"NA Model";"NA Bottom",#N/A,FALSE,"NA Model"}</definedName>
    <definedName name="wrn.NA_ULV._.Tand._.B." localSheetId="1" hidden="1">{"NA Top",#N/A,FALSE,"NA-ULV";"NA Bottom",#N/A,FALSE,"NA-ULV"}</definedName>
    <definedName name="wrn.NA_ULV._.Tand._.B." localSheetId="2" hidden="1">{"NA Top",#N/A,FALSE,"NA-ULV";"NA Bottom",#N/A,FALSE,"NA-ULV"}</definedName>
    <definedName name="wrn.NA_ULV._.Tand._.B." hidden="1">{"NA Top",#N/A,FALSE,"NA-ULV";"NA Bottom",#N/A,FALSE,"NA-ULV"}</definedName>
    <definedName name="wrn.Normal." localSheetId="1"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_.Set." localSheetId="1" hidden="1">{"NA Is w Ratios",#N/A,FALSE,"North America";"PF CFlow NA",#N/A,FALSE,"North America";"NA DCF Matrix",#N/A,FALSE,"North America"}</definedName>
    <definedName name="wrn.North._.America._.Set." localSheetId="2" hidden="1">{"NA Is w Ratios",#N/A,FALSE,"North America";"PF CFlow NA",#N/A,FALSE,"North America";"NA DCF Matrix",#N/A,FALSE,"North America"}</definedName>
    <definedName name="wrn.North._.America._.Set." hidden="1">{"NA Is w Ratios",#N/A,FALSE,"North America";"PF CFlow NA",#N/A,FALSE,"North America";"NA DCF Matrix",#N/A,FALSE,"North America"}</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localSheetId="1" hidden="1">{"print 1",#N/A,FALSE,"PrimeCo PCS";"print 2",#N/A,FALSE,"PrimeCo PCS";"valuation",#N/A,FALSE,"PrimeCo PCS"}</definedName>
    <definedName name="wrn.PrimeCo." localSheetId="2" hidden="1">{"print 1",#N/A,FALSE,"PrimeCo PCS";"print 2",#N/A,FALSE,"PrimeCo PCS";"valuation",#N/A,FALSE,"PrimeCo PCS"}</definedName>
    <definedName name="wrn.PrimeCo." hidden="1">{"print 1",#N/A,FALSE,"PrimeCo PCS";"print 2",#N/A,FALSE,"PrimeCo PCS";"valuation",#N/A,FALSE,"PrimeCo PCS"}</definedName>
    <definedName name="wrn.print." localSheetId="1" hidden="1">{#N/A,#N/A,FALSE,"FCF Corporate Services";#N/A,#N/A,FALSE,"FCF Assum Corporate Services";#N/A,#N/A,FALSE,"DCF Corp. Services Sensitivity";#N/A,#N/A,FALSE,"AVP Corporate Services";"FCF in percent",#N/A,FALSE,"FCF Corporate Services"}</definedName>
    <definedName name="wrn.print." localSheetId="2" hidden="1">{#N/A,#N/A,FALSE,"FCF Corporate Services";#N/A,#N/A,FALSE,"FCF Assum Corporate Services";#N/A,#N/A,FALSE,"DCF Corp. Services Sensitivity";#N/A,#N/A,FALSE,"AVP Corporate Services";"FCF in percent",#N/A,FALSE,"FCF Corporate Services"}</definedName>
    <definedName name="wrn.print." hidden="1">{#N/A,#N/A,FALSE,"FCF Corporate Services";#N/A,#N/A,FALSE,"FCF Assum Corporate Services";#N/A,#N/A,FALSE,"DCF Corp. Services Sensitivity";#N/A,#N/A,FALSE,"AVP Corporate Services";"FCF in percent",#N/A,FALSE,"FCF Corporate Services"}</definedName>
    <definedName name="wrn.print._.all." localSheetId="1"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2"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Europe._.TandB." localSheetId="1" hidden="1">{"Print Top",#N/A,FALSE,"Europe Model";"Print Bottom",#N/A,FALSE,"Europe Model"}</definedName>
    <definedName name="wrn.Print._.Europe._.TandB." localSheetId="2" hidden="1">{"Print Top",#N/A,FALSE,"Europe Model";"Print Bottom",#N/A,FALSE,"Europe Model"}</definedName>
    <definedName name="wrn.Print._.Europe._.TandB." hidden="1">{"Print Top",#N/A,FALSE,"Europe Model";"Print Bottom",#N/A,FALSE,"Europe Model"}</definedName>
    <definedName name="wrn.Print._.FE._.T._.and._.B." localSheetId="1" hidden="1">{"Far East Top",#N/A,FALSE,"FE Model";"Far East Bottom",#N/A,FALSE,"FE Model"}</definedName>
    <definedName name="wrn.Print._.FE._.T._.and._.B." localSheetId="2" hidden="1">{"Far East Top",#N/A,FALSE,"FE Model";"Far East Bottom",#N/A,FALSE,"FE Model"}</definedName>
    <definedName name="wrn.Print._.FE._.T._.and._.B." hidden="1">{"Far East Top",#N/A,FALSE,"FE Model";"Far East Bottom",#N/A,FALSE,"FE Model"}</definedName>
    <definedName name="wrn.print._.pages." localSheetId="1" hidden="1">{#N/A,#N/A,FALSE,"Spain MKT";#N/A,#N/A,FALSE,"Assumptions";#N/A,#N/A,FALSE,"Adve";#N/A,#N/A,FALSE,"E-Commerce";#N/A,#N/A,FALSE,"Opex";#N/A,#N/A,FALSE,"P&amp;L";#N/A,#N/A,FALSE,"FCF &amp; DCF"}</definedName>
    <definedName name="wrn.print._.pages." localSheetId="2"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standalone." localSheetId="1" hidden="1">{"standalone1",#N/A,FALSE,"DCFBase";"standalone2",#N/A,FALSE,"DCFBase"}</definedName>
    <definedName name="wrn.print._.standalone." localSheetId="2" hidden="1">{"standalone1",#N/A,FALSE,"DCFBase";"standalone2",#N/A,FALSE,"DCFBase"}</definedName>
    <definedName name="wrn.print._.standalone." hidden="1">{"standalone1",#N/A,FALSE,"DCFBase";"standalone2",#N/A,FALSE,"DCFBase"}</definedName>
    <definedName name="wrn.Print_CSC." localSheetId="1" hidden="1">{"CSC_1",#N/A,FALSE,"CSC Outputs";"CSC_2",#N/A,FALSE,"CSC Outputs"}</definedName>
    <definedName name="wrn.Print_CSC." localSheetId="2" hidden="1">{"CSC_1",#N/A,FALSE,"CSC Outputs";"CSC_2",#N/A,FALSE,"CSC Outputs"}</definedName>
    <definedName name="wrn.Print_CSC." hidden="1">{"CSC_1",#N/A,FALSE,"CSC Outputs";"CSC_2",#N/A,FALSE,"CSC Outputs"}</definedName>
    <definedName name="wrn.Print_CSC2" localSheetId="1" hidden="1">{"CSC_1",#N/A,FALSE,"CSC Outputs";"CSC_2",#N/A,FALSE,"CSC Outputs"}</definedName>
    <definedName name="wrn.Print_CSC2" localSheetId="2" hidden="1">{"CSC_1",#N/A,FALSE,"CSC Outputs";"CSC_2",#N/A,FALSE,"CSC Outputs"}</definedName>
    <definedName name="wrn.Print_CSC2" hidden="1">{"CSC_1",#N/A,FALSE,"CSC Outputs";"CSC_2",#N/A,FALSE,"CSC Outputs"}</definedName>
    <definedName name="wrn.printall." localSheetId="1" hidden="1">{"projections1",#N/A,FALSE,"projections";"dcf2",#N/A,FALSE,"dcf";"dcf no profit sharing",#N/A,FALSE,"dcf no profit sharing";"avp1",#N/A,FALSE,"avp"}</definedName>
    <definedName name="wrn.printall." localSheetId="2"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roMonte." localSheetId="1" hidden="1">{#N/A,#N/A,FALSE,"Assump";"view1",#N/A,FALSE,"P&amp;L";"view2",#N/A,FALSE,"P&amp;L";#N/A,#N/A,FALSE,"P&amp;L PERC";"view1",#N/A,FALSE,"BS";"view2",#N/A,FALSE,"BS";#N/A,#N/A,FALSE,"CF";#N/A,#N/A,FALSE,"Debt Rep";#N/A,#N/A,FALSE,"Ratios";#N/A,#N/A,FALSE,"adjusted BS";#N/A,#N/A,FALSE,"96-97 P&amp;L";#N/A,#N/A,FALSE,"96-97 BS"}</definedName>
    <definedName name="wrn.ProMonte." localSheetId="2"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Sapere."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KSCS1." localSheetId="1" hidden="1">{#N/A,#N/A,FALSE,"Antony Financials";#N/A,#N/A,FALSE,"Cowboy Financials";#N/A,#N/A,FALSE,"Combined";#N/A,#N/A,FALSE,"Valuematrix";#N/A,#N/A,FALSE,"DCFAntony";#N/A,#N/A,FALSE,"DCFCowboy";#N/A,#N/A,FALSE,"DCFCombined"}</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ft._.Drinks." localSheetId="1" hidden="1">{#N/A,#N/A,FALSE,"Soft Drinks";#N/A,#N/A,FALSE,"Club Soft";#N/A,#N/A,FALSE,"Club Mixers";#N/A,#N/A,FALSE,"TK";#N/A,#N/A,FALSE,"Cidona";#N/A,#N/A,FALSE,"Britvic";#N/A,#N/A,FALSE,"Mi Wadi";#N/A,#N/A,FALSE,"Pepsi";#N/A,#N/A,FALSE,"7UP";#N/A,#N/A,FALSE,"Schweppes";#N/A,#N/A,FALSE,"Wholesale";#N/A,#N/A,FALSE,"Other Soft Drinks"}</definedName>
    <definedName name="wrn.Soft._.Drinks." localSheetId="2" hidden="1">{#N/A,#N/A,FALSE,"Soft Drinks";#N/A,#N/A,FALSE,"Club Soft";#N/A,#N/A,FALSE,"Club Mixers";#N/A,#N/A,FALSE,"TK";#N/A,#N/A,FALSE,"Cidona";#N/A,#N/A,FALSE,"Britvic";#N/A,#N/A,FALSE,"Mi Wadi";#N/A,#N/A,FALSE,"Pepsi";#N/A,#N/A,FALSE,"7UP";#N/A,#N/A,FALSE,"Schweppes";#N/A,#N/A,FALSE,"Wholesale";#N/A,#N/A,FALSE,"Other Soft Drinks"}</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tandard." localSheetId="1" hidden="1">{"Financials",#N/A,FALSE,"Financials";"AVP",#N/A,FALSE,"AVP";"DCF",#N/A,FALSE,"DCF";"CSC",#N/A,FALSE,"CSC";"Deal_Comp",#N/A,FALSE,"DealComp"}</definedName>
    <definedName name="wrn.Standard." localSheetId="2" hidden="1">{"Financials",#N/A,FALSE,"Financials";"AVP",#N/A,FALSE,"AVP";"DCF",#N/A,FALSE,"DCF";"CSC",#N/A,FALSE,"CSC";"Deal_Comp",#N/A,FALSE,"DealComp"}</definedName>
    <definedName name="wrn.Standard." hidden="1">{"Financials",#N/A,FALSE,"Financials";"AVP",#N/A,FALSE,"AVP";"DCF",#N/A,FALSE,"DCF";"CSC",#N/A,FALSE,"CSC";"Deal_Comp",#N/A,FALSE,"DealComp"}</definedName>
    <definedName name="wrn.Summary." localSheetId="1" hidden="1">{"Print Summary",#N/A,FALSE,"Bal_Graphs";"Print Summary",#N/A,FALSE,"DCF";"Print Summary",#N/A,FALSE,"Graphs";"Print Summary",#N/A,FALSE,"Summary"}</definedName>
    <definedName name="wrn.Summary." localSheetId="2"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Pgs." localSheetId="1" hidden="1">{#N/A,#N/A,FALSE,"CreditStat";#N/A,#N/A,FALSE,"SPbrkup";#N/A,#N/A,FALSE,"MerSPsyn";#N/A,#N/A,FALSE,"MerSPwKCsyn";#N/A,#N/A,FALSE,"MerSPwKCsyn (2)";#N/A,#N/A,FALSE,"CreditStat (2)"}</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Tariff._.Analysis." localSheetId="1" hidden="1">{"Tarifica91",#N/A,FALSE,"Tariffs";"Tarifica92",#N/A,FALSE,"Tariffs";"Tarifica93",#N/A,FALSE,"Tariffs";"Tarifica94",#N/A,FALSE,"Tariffs";"Tarifica95",#N/A,FALSE,"Tariffs";"Tarifica96",#N/A,FALSE,"Tariffs"}</definedName>
    <definedName name="wrn.Tariff._.Analysis." localSheetId="2"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1" hidden="1">{"Tariff Comparison",#N/A,FALSE,"Benchmarking";"Tariff Comparison 2",#N/A,FALSE,"Benchmarking";"Tariff Comparison 3",#N/A,FALSE,"Benchmarking"}</definedName>
    <definedName name="wrn.Tariff._.Comaprison." localSheetId="2"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est." localSheetId="1" hidden="1">{"test2",#N/A,TRUE,"Prices"}</definedName>
    <definedName name="wrn.test." localSheetId="2" hidden="1">{"test2",#N/A,TRUE,"Prices"}</definedName>
    <definedName name="wrn.test." hidden="1">{"test2",#N/A,TRUE,"Prices"}</definedName>
    <definedName name="wrn.Tweety." localSheetId="1" hidden="1">{#N/A,#N/A,FALSE,"A&amp;E";#N/A,#N/A,FALSE,"HighTop";#N/A,#N/A,FALSE,"JG";#N/A,#N/A,FALSE,"RI";#N/A,#N/A,FALSE,"woHT";#N/A,#N/A,FALSE,"woHT&amp;JG"}</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Umsatz." localSheetId="1" hidden="1">{#N/A,#N/A,FALSE,"Umsatz";#N/A,#N/A,FALSE,"Base V.02";#N/A,#N/A,FALSE,"Charts"}</definedName>
    <definedName name="wrn.Umsatz." localSheetId="2" hidden="1">{#N/A,#N/A,FALSE,"Umsatz";#N/A,#N/A,FALSE,"Base V.02";#N/A,#N/A,FALSE,"Charts"}</definedName>
    <definedName name="wrn.Umsatz." hidden="1">{#N/A,#N/A,FALSE,"Umsatz";#N/A,#N/A,FALSE,"Base V.02";#N/A,#N/A,FALSE,"Charts"}</definedName>
    <definedName name="wrn.Upper._.Case." localSheetId="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2"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derrama." localSheetId="1" hidden="1">{"valderrama1",#N/A,FALSE,"Pro Forma";"valderrama",#N/A,FALSE,"Pro Forma"}</definedName>
    <definedName name="wrn.valderrama." localSheetId="2" hidden="1">{"valderrama1",#N/A,FALSE,"Pro Forma";"valderrama",#N/A,FALSE,"Pro Forma"}</definedName>
    <definedName name="wrn.valderrama." hidden="1">{"valderrama1",#N/A,FALSE,"Pro Forma";"valderrama",#N/A,FALSE,"Pro Forma"}</definedName>
    <definedName name="wrn.valuation." localSheetId="1" hidden="1">{#N/A,#N/A,FALSE,"Valuation";#N/A,#N/A,FALSE,"Valuation (5)";#N/A,#N/A,FALSE,"Valuation (2)";#N/A,#N/A,FALSE,"Valuation (3)"}</definedName>
    <definedName name="wrn.valuation." localSheetId="2" hidden="1">{#N/A,#N/A,FALSE,"Valuation";#N/A,#N/A,FALSE,"Valuation (5)";#N/A,#N/A,FALSE,"Valuation (2)";#N/A,#N/A,FALSE,"Valuation (3)"}</definedName>
    <definedName name="wrn.valuation." hidden="1">{#N/A,#N/A,FALSE,"Valuation";#N/A,#N/A,FALSE,"Valuation (5)";#N/A,#N/A,FALSE,"Valuation (2)";#N/A,#N/A,FALSE,"Valuation (3)"}</definedName>
    <definedName name="wrn.Valuation._.Package.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Water." localSheetId="1" hidden="1">{#N/A,#N/A,FALSE,"Water";#N/A,#N/A,FALSE,"Ballygowan";#N/A,#N/A,FALSE,"Volvic"}</definedName>
    <definedName name="wrn.Water." localSheetId="2" hidden="1">{#N/A,#N/A,FALSE,"Water";#N/A,#N/A,FALSE,"Ballygowan";#N/A,#N/A,FALSE,"Volvic"}</definedName>
    <definedName name="wrn.Water." hidden="1">{#N/A,#N/A,FALSE,"Water";#N/A,#N/A,FALSE,"Ballygowan";#N/A,#N/A,FALSE,"Volvic"}</definedName>
    <definedName name="wrn.whole._.document." localSheetId="1" hidden="1">{"page 1",#N/A,FALSE,"A";"page 2",#N/A,FALSE,"A";"page 3",#N/A,FALSE,"A";"page 4",#N/A,FALSE,"A";"page 5",#N/A,FALSE,"A";"page 6",#N/A,FALSE,"A";"page 7",#N/A,FALSE,"A";"page 8",#N/A,FALSE,"A";"page 9",#N/A,FALSE,"A";"page 10",#N/A,FALSE,"A";"page 11",#N/A,FALSE,"A";"page 12",#N/A,FALSE,"A";"page 13",#N/A,FALSE,"A";"page 14",#N/A,FALSE,"A"}</definedName>
    <definedName name="wrn.whole._.document." localSheetId="2"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localSheetId="1" hidden="1">{#N/A,#N/A,FALSE,"W&amp;Spirits";#N/A,#N/A,FALSE,"Grants";#N/A,#N/A,FALSE,"CCB"}</definedName>
    <definedName name="wrn.WineSpirits." localSheetId="2" hidden="1">{#N/A,#N/A,FALSE,"W&amp;Spirits";#N/A,#N/A,FALSE,"Grants";#N/A,#N/A,FALSE,"CCB"}</definedName>
    <definedName name="wrn.WineSpirits." hidden="1">{#N/A,#N/A,FALSE,"W&amp;Spirits";#N/A,#N/A,FALSE,"Grants";#N/A,#N/A,FALSE,"CCB"}</definedName>
    <definedName name="wrn2.Bplan." localSheetId="1" hidden="1">{#N/A,#N/A,FALSE,"F_Plan";#N/A,#N/A,FALSE,"Parameter"}</definedName>
    <definedName name="wrn2.Bplan." localSheetId="2" hidden="1">{#N/A,#N/A,FALSE,"F_Plan";#N/A,#N/A,FALSE,"Parameter"}</definedName>
    <definedName name="wrn2.Bplan." hidden="1">{#N/A,#N/A,FALSE,"F_Plan";#N/A,#N/A,FALSE,"Parameter"}</definedName>
    <definedName name="WW" localSheetId="1" hidden="1">{"page1",#N/A,TRUE,"CSC";"page2",#N/A,TRUE,"CSC"}</definedName>
    <definedName name="WW" localSheetId="2" hidden="1">{"page1",#N/A,TRUE,"CSC";"page2",#N/A,TRUE,"CSC"}</definedName>
    <definedName name="WW" hidden="1">{"page1",#N/A,TRUE,"CSC";"page2",#N/A,TRUE,"CSC"}</definedName>
    <definedName name="x" localSheetId="1" hidden="1">{#N/A,#N/A,FALSE,"Report Print"}</definedName>
    <definedName name="x" localSheetId="2" hidden="1">{#N/A,#N/A,FALSE,"Report Print"}</definedName>
    <definedName name="x" hidden="1">{#N/A,#N/A,FALSE,"Report Print"}</definedName>
    <definedName name="xw" localSheetId="1" hidden="1">{#N/A,#N/A,FALSE,"FCF Corporate Services";#N/A,#N/A,FALSE,"FCF Assum Corporate Services";#N/A,#N/A,FALSE,"DCF Corp. Services Sensitivity";#N/A,#N/A,FALSE,"AVP Corporate Services";"FCF in percent",#N/A,FALSE,"FCF Corporate Services"}</definedName>
    <definedName name="xw" localSheetId="2" hidden="1">{#N/A,#N/A,FALSE,"FCF Corporate Services";#N/A,#N/A,FALSE,"FCF Assum Corporate Services";#N/A,#N/A,FALSE,"DCF Corp. Services Sensitivity";#N/A,#N/A,FALSE,"AVP Corporate Services";"FCF in percent",#N/A,FALSE,"FCF Corporate Services"}</definedName>
    <definedName name="xw" hidden="1">{#N/A,#N/A,FALSE,"FCF Corporate Services";#N/A,#N/A,FALSE,"FCF Assum Corporate Services";#N/A,#N/A,FALSE,"DCF Corp. Services Sensitivity";#N/A,#N/A,FALSE,"AVP Corporate Services";"FCF in percent",#N/A,FALSE,"FCF Corporate Services"}</definedName>
    <definedName name="xxx" localSheetId="1" hidden="1">{"Geographic P1",#N/A,FALSE,"Division &amp; Geog"}</definedName>
    <definedName name="xxx" localSheetId="2" hidden="1">{"Geographic P1",#N/A,FALSE,"Division &amp; Geog"}</definedName>
    <definedName name="xxx" hidden="1">{"Geographic P1",#N/A,FALSE,"Division &amp; Geog"}</definedName>
    <definedName name="xxxxxxxxxxxxxxxxxxxxxx" localSheetId="1" hidden="1">{"Geographic P1",#N/A,FALSE,"Division &amp; Geog"}</definedName>
    <definedName name="xxxxxxxxxxxxxxxxxxxxxx" localSheetId="2" hidden="1">{"Geographic P1",#N/A,FALSE,"Division &amp; Geog"}</definedName>
    <definedName name="xxxxxxxxxxxxxxxxxxxxxx" hidden="1">{"Geographic P1",#N/A,FALSE,"Division &amp; Geog"}</definedName>
    <definedName name="xxxxxxxxxxxxxxxxxxxxxxx" localSheetId="1" hidden="1">{"EUUTI","COMPANIES",TRUE}</definedName>
    <definedName name="xxxxxxxxxxxxxxxxxxxxxxx" localSheetId="2" hidden="1">{"EUUTI","COMPANIES",TRUE}</definedName>
    <definedName name="xxxxxxxxxxxxxxxxxxxxxxx" hidden="1">{"EUUTI","COMPANIES",TRUE}</definedName>
    <definedName name="YearHeader">[12]Data!$C$11:$C$23</definedName>
    <definedName name="YearHigh">[12]Data!$U$2</definedName>
    <definedName name="YearLow">[12]Data!$V$2</definedName>
    <definedName name="Years">#REF!</definedName>
    <definedName name="YearVolumeAvg">[12]Data!$W$2</definedName>
    <definedName name="Yend">#REF!</definedName>
    <definedName name="YesNo" localSheetId="2">[14]DDETABLE!$AK$2:$AK$3</definedName>
    <definedName name="YesNo">#REF!</definedName>
    <definedName name="Yield_Today">[12]Data!$HK$11:$HK$23</definedName>
    <definedName name="Yield_Ye">[12]Data!$HL$11:$HL$23</definedName>
    <definedName name="zzzz" localSheetId="1" hidden="1">{"EUUTI","COMPANIES",TRUE}</definedName>
    <definedName name="zzzz" localSheetId="2" hidden="1">{"EUUTI","COMPANIES",TRUE}</definedName>
    <definedName name="zzzz" hidden="1">{"EUUTI","COMPANIES",TRUE}</definedName>
    <definedName name="zzzzz" localSheetId="1" hidden="1">{"EUUTI","COMPANIES",TRUE}</definedName>
    <definedName name="zzzzz" localSheetId="2" hidden="1">{"EUUTI","COMPANIES",TRUE}</definedName>
    <definedName name="zzzzz" hidden="1">{"EUUTI","COMPANIES",TRUE}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3" i="9" l="1"/>
  <c r="Z23" i="9"/>
  <c r="Y23" i="9"/>
  <c r="X23" i="9"/>
  <c r="W23" i="9"/>
  <c r="V23" i="9"/>
  <c r="AA28" i="56"/>
  <c r="AA75" i="56"/>
  <c r="AA165" i="56"/>
  <c r="R146" i="56"/>
  <c r="S146" i="56" s="1"/>
  <c r="T146" i="56" s="1"/>
  <c r="U146" i="56" s="1"/>
  <c r="X143" i="56"/>
  <c r="Y143" i="56" s="1"/>
  <c r="Z143" i="56" s="1"/>
  <c r="AA17" i="111" l="1"/>
  <c r="D29" i="117" l="1"/>
  <c r="W111" i="9" l="1"/>
  <c r="X111" i="9" s="1"/>
  <c r="Y111" i="9" s="1"/>
  <c r="Z111" i="9" s="1"/>
  <c r="AA111" i="9" s="1"/>
  <c r="AA40" i="58" l="1"/>
  <c r="W47" i="56"/>
  <c r="X47" i="56" s="1"/>
  <c r="Y47" i="56" s="1"/>
  <c r="Z47" i="56" s="1"/>
  <c r="AA47" i="56" s="1"/>
  <c r="DZ74" i="68" l="1"/>
  <c r="EB189" i="68"/>
  <c r="EA189" i="68" s="1"/>
  <c r="EA188" i="68"/>
  <c r="EA187" i="68"/>
  <c r="EA186" i="68"/>
  <c r="EB171" i="68"/>
  <c r="EA170" i="68"/>
  <c r="EA169" i="68"/>
  <c r="EA168" i="68"/>
  <c r="EA167" i="68"/>
  <c r="EA166" i="68"/>
  <c r="EA165" i="68"/>
  <c r="EA164" i="68"/>
  <c r="EA163" i="68"/>
  <c r="EA162" i="68"/>
  <c r="EA161" i="68"/>
  <c r="EA160" i="68"/>
  <c r="EA159" i="68"/>
  <c r="EA154" i="68"/>
  <c r="EA152" i="68"/>
  <c r="EA150" i="68"/>
  <c r="EA149" i="68"/>
  <c r="EA145" i="68"/>
  <c r="EA142" i="68"/>
  <c r="EA67" i="68"/>
  <c r="EA64" i="68"/>
  <c r="EA63" i="68"/>
  <c r="EA56" i="68"/>
  <c r="EA55" i="68"/>
  <c r="V147" i="56"/>
  <c r="W144" i="56"/>
  <c r="V144" i="56"/>
  <c r="X142" i="56"/>
  <c r="W142" i="56"/>
  <c r="V142" i="56"/>
  <c r="EA171" i="68" l="1"/>
  <c r="X144" i="56"/>
  <c r="Y142" i="56" l="1"/>
  <c r="Y144" i="56"/>
  <c r="Z142" i="56" l="1"/>
  <c r="AA143" i="56"/>
  <c r="Z144" i="56"/>
  <c r="AA144" i="56" l="1"/>
  <c r="AA142" i="56"/>
  <c r="V59" i="56" l="1"/>
  <c r="P41" i="58"/>
  <c r="N41" i="58"/>
  <c r="I41" i="58"/>
  <c r="O40" i="58"/>
  <c r="O41" i="58" s="1"/>
  <c r="M40" i="58"/>
  <c r="M41" i="58" s="1"/>
  <c r="L40" i="58"/>
  <c r="L41" i="58" s="1"/>
  <c r="K40" i="58"/>
  <c r="K41" i="58" s="1"/>
  <c r="J40" i="58"/>
  <c r="J41" i="58" s="1"/>
  <c r="X176" i="56"/>
  <c r="W176" i="56"/>
  <c r="D31" i="117" l="1"/>
  <c r="U86" i="9" l="1"/>
  <c r="V30" i="9" l="1"/>
  <c r="W30" i="9" s="1"/>
  <c r="W49" i="76"/>
  <c r="X49" i="76" s="1"/>
  <c r="Y49" i="76" s="1"/>
  <c r="Z49" i="76" s="1"/>
  <c r="AA44" i="58" l="1"/>
  <c r="U53" i="76"/>
  <c r="U46" i="76"/>
  <c r="U39" i="76"/>
  <c r="U40" i="76" s="1"/>
  <c r="T51" i="76"/>
  <c r="DZ189" i="68"/>
  <c r="DZ171" i="68"/>
  <c r="U47" i="76" l="1"/>
  <c r="U48" i="76"/>
  <c r="DZ81" i="68"/>
  <c r="DZ67" i="68"/>
  <c r="DZ59" i="68"/>
  <c r="EA59" i="68" s="1"/>
  <c r="DS97" i="68"/>
  <c r="DR121" i="68"/>
  <c r="V103" i="9" l="1"/>
  <c r="U19" i="58"/>
  <c r="W103" i="9" l="1"/>
  <c r="X103" i="9" s="1"/>
  <c r="Y103" i="9" s="1"/>
  <c r="Z103" i="9" s="1"/>
  <c r="AA103" i="9" s="1"/>
  <c r="T19" i="58" l="1"/>
  <c r="U22" i="58"/>
  <c r="U50" i="58"/>
  <c r="U53" i="58" s="1"/>
  <c r="Z42" i="76"/>
  <c r="AA42" i="76" s="1"/>
  <c r="AA49" i="76"/>
  <c r="W47" i="76"/>
  <c r="X47" i="76" s="1"/>
  <c r="Z47" i="76" s="1"/>
  <c r="AA47" i="76" s="1"/>
  <c r="W40" i="76"/>
  <c r="X40" i="76" s="1"/>
  <c r="Z40" i="76" s="1"/>
  <c r="AA40" i="76" s="1"/>
  <c r="X19" i="111"/>
  <c r="Y19" i="111" s="1"/>
  <c r="Z19" i="111" s="1"/>
  <c r="AA19" i="111" s="1"/>
  <c r="I8" i="117"/>
  <c r="T22" i="58" l="1"/>
  <c r="W29" i="112" l="1"/>
  <c r="W26" i="112"/>
  <c r="W36" i="76" l="1"/>
  <c r="X36" i="76" s="1"/>
  <c r="Y36" i="76" s="1"/>
  <c r="Z36" i="76" s="1"/>
  <c r="AA36" i="76" s="1"/>
  <c r="Y74" i="56"/>
  <c r="Z74" i="56" s="1"/>
  <c r="AA74" i="56" s="1"/>
  <c r="W99" i="56"/>
  <c r="W147" i="56" s="1"/>
  <c r="AA76" i="56"/>
  <c r="W74" i="56"/>
  <c r="W54" i="76"/>
  <c r="X54" i="76" s="1"/>
  <c r="Z54" i="76" s="1"/>
  <c r="AA54" i="76" s="1"/>
  <c r="Z75" i="56"/>
  <c r="W131" i="9"/>
  <c r="X131" i="9" s="1"/>
  <c r="Y131" i="9" s="1"/>
  <c r="W130" i="9"/>
  <c r="X130" i="9" s="1"/>
  <c r="Y130" i="9" s="1"/>
  <c r="T134" i="9"/>
  <c r="S134" i="9"/>
  <c r="R134" i="9"/>
  <c r="Q134" i="9"/>
  <c r="T133" i="9"/>
  <c r="S133" i="9"/>
  <c r="R133" i="9"/>
  <c r="Q133" i="9"/>
  <c r="U134" i="9"/>
  <c r="U133" i="9"/>
  <c r="X29" i="112"/>
  <c r="Y29" i="112" s="1"/>
  <c r="Z29" i="112" s="1"/>
  <c r="AA29" i="112" s="1"/>
  <c r="M15" i="117"/>
  <c r="M8" i="117"/>
  <c r="J8" i="117" s="1"/>
  <c r="K8" i="117" s="1"/>
  <c r="L8" i="117" s="1"/>
  <c r="DX188" i="68"/>
  <c r="DX187" i="68"/>
  <c r="DX186" i="68"/>
  <c r="DW188" i="68"/>
  <c r="DW187" i="68"/>
  <c r="DW186" i="68"/>
  <c r="DY189" i="68"/>
  <c r="DX189" i="68" s="1"/>
  <c r="DW169" i="68"/>
  <c r="DW165" i="68"/>
  <c r="U36" i="76"/>
  <c r="U62" i="58"/>
  <c r="U15" i="58"/>
  <c r="U10" i="58"/>
  <c r="AA170" i="56"/>
  <c r="Y170" i="56"/>
  <c r="U182" i="56"/>
  <c r="U50" i="9"/>
  <c r="U48" i="9"/>
  <c r="U47" i="9"/>
  <c r="U41" i="9"/>
  <c r="U39" i="9"/>
  <c r="U38" i="9"/>
  <c r="U36" i="9"/>
  <c r="U23" i="9"/>
  <c r="U7" i="9"/>
  <c r="U116" i="9"/>
  <c r="W118" i="9"/>
  <c r="X118" i="9" s="1"/>
  <c r="Y118" i="9" s="1"/>
  <c r="T116" i="9"/>
  <c r="S116" i="9"/>
  <c r="R116" i="9"/>
  <c r="Q116" i="9"/>
  <c r="U51" i="112"/>
  <c r="U12" i="112"/>
  <c r="U43" i="111"/>
  <c r="U41" i="111"/>
  <c r="V41" i="111" s="1"/>
  <c r="W41" i="111" s="1"/>
  <c r="X41" i="111" s="1"/>
  <c r="Y41" i="111" s="1"/>
  <c r="Z41" i="111" s="1"/>
  <c r="AA41" i="111" s="1"/>
  <c r="U32" i="111"/>
  <c r="U22" i="111"/>
  <c r="U17" i="111"/>
  <c r="X99" i="56" l="1"/>
  <c r="Y99" i="56" s="1"/>
  <c r="Z99" i="56" s="1"/>
  <c r="AA99" i="56" s="1"/>
  <c r="Z130" i="9"/>
  <c r="AA130" i="9" s="1"/>
  <c r="Z131" i="9"/>
  <c r="AA131" i="9" s="1"/>
  <c r="DW189" i="68"/>
  <c r="U13" i="56"/>
  <c r="X147" i="56" l="1"/>
  <c r="Y147" i="56" s="1"/>
  <c r="Z147" i="56" s="1"/>
  <c r="AA147" i="56" s="1"/>
  <c r="U92" i="9"/>
  <c r="U81" i="9"/>
  <c r="U76" i="9"/>
  <c r="AA46" i="56"/>
  <c r="AA37" i="56"/>
  <c r="AA25" i="56"/>
  <c r="AA103" i="112"/>
  <c r="AA101" i="112"/>
  <c r="AA99" i="112"/>
  <c r="AA82" i="112"/>
  <c r="AA116" i="111"/>
  <c r="AA77" i="9"/>
  <c r="AA48" i="9"/>
  <c r="AA47" i="9"/>
  <c r="D6" i="117"/>
  <c r="E6" i="117" s="1"/>
  <c r="F6" i="117" s="1"/>
  <c r="G6" i="117" s="1"/>
  <c r="H6" i="117" s="1"/>
  <c r="I6" i="117" s="1"/>
  <c r="J6" i="117" s="1"/>
  <c r="K6" i="117" s="1"/>
  <c r="L6" i="117" s="1"/>
  <c r="M6" i="117" s="1"/>
  <c r="E5" i="117"/>
  <c r="F5" i="117" s="1"/>
  <c r="G5" i="117" s="1"/>
  <c r="H5" i="117" s="1"/>
  <c r="I5" i="117" s="1"/>
  <c r="J5" i="117" s="1"/>
  <c r="K5" i="117" s="1"/>
  <c r="L5" i="117" s="1"/>
  <c r="M5" i="117" s="1"/>
  <c r="U165" i="56"/>
  <c r="V165" i="56" s="1"/>
  <c r="W165" i="56" s="1"/>
  <c r="U24" i="56"/>
  <c r="V170" i="56"/>
  <c r="V176" i="56" s="1"/>
  <c r="W146" i="56"/>
  <c r="X146" i="56" s="1"/>
  <c r="Y146" i="56" s="1"/>
  <c r="AA146" i="56" s="1"/>
  <c r="X172" i="56"/>
  <c r="W172" i="56"/>
  <c r="Y171" i="56" l="1"/>
  <c r="Y169" i="56"/>
  <c r="Z169" i="56" l="1"/>
  <c r="Y176" i="56"/>
  <c r="Z171" i="56"/>
  <c r="Y172" i="56"/>
  <c r="AA48" i="56"/>
  <c r="AA169" i="56" l="1"/>
  <c r="Z172" i="56"/>
  <c r="AA171" i="56"/>
  <c r="S23" i="112"/>
  <c r="R23" i="112"/>
  <c r="Q23" i="112"/>
  <c r="T23" i="112"/>
  <c r="AA172" i="56" l="1"/>
  <c r="U88" i="56" l="1"/>
  <c r="U87" i="56"/>
  <c r="U86" i="56"/>
  <c r="U85" i="56"/>
  <c r="U84" i="56"/>
  <c r="U83" i="56"/>
  <c r="U82" i="56"/>
  <c r="U81" i="56"/>
  <c r="U80" i="56"/>
  <c r="U77" i="56"/>
  <c r="T77" i="56"/>
  <c r="S77" i="56"/>
  <c r="R77" i="56"/>
  <c r="U76" i="56"/>
  <c r="T76" i="56"/>
  <c r="S76" i="56"/>
  <c r="R76" i="56"/>
  <c r="Q77" i="56"/>
  <c r="Q76" i="56"/>
  <c r="U75" i="56"/>
  <c r="U74" i="56"/>
  <c r="T69" i="56"/>
  <c r="S69" i="56"/>
  <c r="R69" i="56"/>
  <c r="Q69" i="56"/>
  <c r="U69" i="56"/>
  <c r="T65" i="56"/>
  <c r="S65" i="56"/>
  <c r="R65" i="56"/>
  <c r="Q65" i="56"/>
  <c r="U65" i="56"/>
  <c r="U68" i="56"/>
  <c r="U61" i="56"/>
  <c r="Z175" i="56" l="1"/>
  <c r="T182" i="56"/>
  <c r="S182" i="56"/>
  <c r="R182" i="56"/>
  <c r="T170" i="56"/>
  <c r="Q172" i="56"/>
  <c r="R172" i="56" s="1"/>
  <c r="AA175" i="56" l="1"/>
  <c r="Z176" i="56"/>
  <c r="X26" i="112"/>
  <c r="Y26" i="112" s="1"/>
  <c r="Z26" i="112" s="1"/>
  <c r="AA26" i="112" s="1"/>
  <c r="AA83" i="112" s="1"/>
  <c r="S172" i="56"/>
  <c r="R171" i="56"/>
  <c r="R175" i="56" s="1"/>
  <c r="Q171" i="56"/>
  <c r="Q175" i="56" s="1"/>
  <c r="AA176" i="56" l="1"/>
  <c r="AA179" i="56" s="1"/>
  <c r="T172" i="56"/>
  <c r="T171" i="56" s="1"/>
  <c r="T175" i="56" s="1"/>
  <c r="S171" i="56"/>
  <c r="S175" i="56" s="1"/>
  <c r="AA177" i="56" l="1"/>
  <c r="T144" i="111" l="1"/>
  <c r="T151" i="111" s="1"/>
  <c r="S144" i="111"/>
  <c r="S151" i="111" s="1"/>
  <c r="R144" i="111"/>
  <c r="R151" i="111" s="1"/>
  <c r="Q144" i="111"/>
  <c r="Q151" i="111" s="1"/>
  <c r="T143" i="111"/>
  <c r="T147" i="111" s="1"/>
  <c r="S143" i="111"/>
  <c r="S147" i="111" s="1"/>
  <c r="R143" i="111"/>
  <c r="R147" i="111" s="1"/>
  <c r="Q143" i="111"/>
  <c r="Q147" i="111" s="1"/>
  <c r="T142" i="111"/>
  <c r="T146" i="111" s="1"/>
  <c r="S142" i="111"/>
  <c r="S146" i="111" s="1"/>
  <c r="R142" i="111"/>
  <c r="R146" i="111" s="1"/>
  <c r="Q142" i="111"/>
  <c r="Q146" i="111" s="1"/>
  <c r="U141" i="111"/>
  <c r="C141" i="111"/>
  <c r="D141" i="111" s="1"/>
  <c r="E141" i="111" s="1"/>
  <c r="F141" i="111" s="1"/>
  <c r="G141" i="111" s="1"/>
  <c r="H141" i="111" s="1"/>
  <c r="I141" i="111" s="1"/>
  <c r="J141" i="111" s="1"/>
  <c r="K141" i="111" s="1"/>
  <c r="L141" i="111" s="1"/>
  <c r="M141" i="111" s="1"/>
  <c r="N141" i="111" s="1"/>
  <c r="O141" i="111" s="1"/>
  <c r="P141" i="111" s="1"/>
  <c r="Q141" i="111" s="1"/>
  <c r="R141" i="111" s="1"/>
  <c r="S141" i="111" s="1"/>
  <c r="T141" i="111" s="1"/>
  <c r="U120" i="9" l="1"/>
  <c r="DU154" i="68" l="1"/>
  <c r="DU55" i="68"/>
  <c r="DV59" i="68"/>
  <c r="DU56" i="68"/>
  <c r="DV81" i="68"/>
  <c r="DU79" i="68"/>
  <c r="DU81" i="68" s="1"/>
  <c r="DV67" i="68"/>
  <c r="DV74" i="68"/>
  <c r="DU71" i="68"/>
  <c r="DU64" i="68"/>
  <c r="DU63" i="68"/>
  <c r="DU70" i="68"/>
  <c r="DU188" i="68"/>
  <c r="DU187" i="68"/>
  <c r="DU186" i="68"/>
  <c r="DV189" i="68"/>
  <c r="DU189" i="68" s="1"/>
  <c r="DV171" i="68"/>
  <c r="DU170" i="68"/>
  <c r="DU169" i="68"/>
  <c r="DX169" i="68" s="1"/>
  <c r="DU168" i="68"/>
  <c r="DU167" i="68"/>
  <c r="DU166" i="68"/>
  <c r="DU165" i="68"/>
  <c r="DX165" i="68" s="1"/>
  <c r="DU164" i="68"/>
  <c r="DU163" i="68"/>
  <c r="DU162" i="68"/>
  <c r="DU161" i="68"/>
  <c r="DU160" i="68"/>
  <c r="DU159" i="68"/>
  <c r="DV138" i="68"/>
  <c r="DU59" i="68" l="1"/>
  <c r="DU74" i="68"/>
  <c r="DU67" i="68"/>
  <c r="DU171" i="68"/>
  <c r="C131" i="111" l="1"/>
  <c r="D131" i="111" s="1"/>
  <c r="E131" i="111" s="1"/>
  <c r="F131" i="111" s="1"/>
  <c r="G131" i="111" s="1"/>
  <c r="H131" i="111" s="1"/>
  <c r="I131" i="111" s="1"/>
  <c r="J131" i="111" s="1"/>
  <c r="K131" i="111" s="1"/>
  <c r="L131" i="111" s="1"/>
  <c r="M131" i="111" s="1"/>
  <c r="N131" i="111" s="1"/>
  <c r="O131" i="111" s="1"/>
  <c r="P131" i="111" s="1"/>
  <c r="Q131" i="111" s="1"/>
  <c r="R131" i="111" s="1"/>
  <c r="S131" i="111" s="1"/>
  <c r="T131" i="111" s="1"/>
  <c r="U131" i="111"/>
  <c r="U133" i="111"/>
  <c r="G134" i="111"/>
  <c r="H134" i="111"/>
  <c r="I134" i="111"/>
  <c r="J134" i="111"/>
  <c r="K134" i="111"/>
  <c r="L134" i="111"/>
  <c r="M134" i="111"/>
  <c r="N134" i="111"/>
  <c r="O134" i="111"/>
  <c r="P134" i="111"/>
  <c r="Q134" i="111"/>
  <c r="R134" i="111"/>
  <c r="S134" i="111"/>
  <c r="T134" i="111"/>
  <c r="B136" i="111"/>
  <c r="C136" i="111"/>
  <c r="D136" i="111"/>
  <c r="E136" i="111"/>
  <c r="F136" i="111"/>
  <c r="G136" i="111"/>
  <c r="H136" i="111"/>
  <c r="I136" i="111"/>
  <c r="J136" i="111"/>
  <c r="K136" i="111"/>
  <c r="L136" i="111"/>
  <c r="M136" i="111"/>
  <c r="N136" i="111"/>
  <c r="B139" i="111"/>
  <c r="C139" i="111"/>
  <c r="D139" i="111"/>
  <c r="E139" i="111"/>
  <c r="F139" i="111"/>
  <c r="G139" i="111"/>
  <c r="H139" i="111"/>
  <c r="I139" i="111"/>
  <c r="J139" i="111"/>
  <c r="K139" i="111"/>
  <c r="L139" i="111"/>
  <c r="M139" i="111"/>
  <c r="N139" i="111"/>
  <c r="O139" i="111"/>
  <c r="P139" i="111"/>
  <c r="Q139" i="111"/>
  <c r="R139" i="111"/>
  <c r="S139" i="111"/>
  <c r="T139" i="111"/>
  <c r="V133" i="111" l="1"/>
  <c r="V113" i="9"/>
  <c r="W113" i="9" s="1"/>
  <c r="X113" i="9" s="1"/>
  <c r="Y113" i="9" s="1"/>
  <c r="Z113" i="9" s="1"/>
  <c r="AA113" i="9" s="1"/>
  <c r="W133" i="111" l="1"/>
  <c r="X133" i="111" l="1"/>
  <c r="CW149" i="68"/>
  <c r="V38" i="76"/>
  <c r="W38" i="76" s="1"/>
  <c r="X38" i="76" s="1"/>
  <c r="Y38" i="76" s="1"/>
  <c r="Z38" i="76" s="1"/>
  <c r="AA38" i="76" s="1"/>
  <c r="AA45" i="76" s="1"/>
  <c r="AA52" i="76" s="1"/>
  <c r="Y133" i="111" l="1"/>
  <c r="Z133" i="111" l="1"/>
  <c r="AA133" i="111" s="1"/>
  <c r="U124" i="111"/>
  <c r="U118" i="111"/>
  <c r="U83" i="111"/>
  <c r="U71" i="111"/>
  <c r="U59" i="111"/>
  <c r="T157" i="9"/>
  <c r="S157" i="9"/>
  <c r="R157" i="9"/>
  <c r="Q157" i="9"/>
  <c r="P157" i="9"/>
  <c r="O157" i="9"/>
  <c r="N157" i="9"/>
  <c r="M157" i="9"/>
  <c r="L157" i="9"/>
  <c r="K157" i="9"/>
  <c r="J157" i="9"/>
  <c r="I157" i="9"/>
  <c r="H157" i="9"/>
  <c r="G157" i="9"/>
  <c r="F157" i="9"/>
  <c r="E157" i="9"/>
  <c r="D157" i="9"/>
  <c r="C157" i="9"/>
  <c r="B157" i="9"/>
  <c r="T139" i="9"/>
  <c r="S139" i="9"/>
  <c r="R139" i="9"/>
  <c r="Q139" i="9"/>
  <c r="P139" i="9"/>
  <c r="O139" i="9"/>
  <c r="N139" i="9"/>
  <c r="M139" i="9"/>
  <c r="L139" i="9"/>
  <c r="K139" i="9"/>
  <c r="J139" i="9"/>
  <c r="I139" i="9"/>
  <c r="H139" i="9"/>
  <c r="G139" i="9"/>
  <c r="F139" i="9"/>
  <c r="E139" i="9"/>
  <c r="D139" i="9"/>
  <c r="C139" i="9"/>
  <c r="B139" i="9"/>
  <c r="T123" i="9"/>
  <c r="S123" i="9"/>
  <c r="R123" i="9"/>
  <c r="Q123" i="9"/>
  <c r="P123" i="9"/>
  <c r="O123" i="9"/>
  <c r="N123" i="9"/>
  <c r="M123" i="9"/>
  <c r="L123" i="9"/>
  <c r="K123" i="9"/>
  <c r="J123" i="9"/>
  <c r="I123" i="9"/>
  <c r="H123" i="9"/>
  <c r="G123" i="9"/>
  <c r="F123" i="9"/>
  <c r="E123" i="9"/>
  <c r="D123" i="9"/>
  <c r="C123" i="9"/>
  <c r="B123" i="9"/>
  <c r="T4" i="9"/>
  <c r="S4" i="9"/>
  <c r="R4" i="9"/>
  <c r="Q4" i="9"/>
  <c r="P4" i="9"/>
  <c r="O4" i="9"/>
  <c r="N4" i="9"/>
  <c r="M4" i="9"/>
  <c r="L4" i="9"/>
  <c r="K4" i="9"/>
  <c r="J4" i="9"/>
  <c r="I4" i="9"/>
  <c r="H4" i="9"/>
  <c r="G4" i="9"/>
  <c r="F4" i="9"/>
  <c r="E4" i="9"/>
  <c r="D4" i="9"/>
  <c r="C4" i="9"/>
  <c r="B4" i="9"/>
  <c r="DJ120" i="68"/>
  <c r="T119" i="111"/>
  <c r="H119" i="111"/>
  <c r="I119" i="111"/>
  <c r="J119" i="111"/>
  <c r="K119" i="111"/>
  <c r="L119" i="111"/>
  <c r="M119" i="111"/>
  <c r="N119" i="111"/>
  <c r="O119" i="111"/>
  <c r="P119" i="111"/>
  <c r="Q119" i="111"/>
  <c r="R119" i="111"/>
  <c r="S119" i="111"/>
  <c r="U120" i="111"/>
  <c r="U121" i="111"/>
  <c r="V121" i="111" s="1"/>
  <c r="W121" i="111" s="1"/>
  <c r="X121" i="111" s="1"/>
  <c r="Y121" i="111" s="1"/>
  <c r="Z121" i="111" s="1"/>
  <c r="AA121" i="111" s="1"/>
  <c r="U119" i="111" l="1"/>
  <c r="V120" i="111"/>
  <c r="V119" i="111" l="1"/>
  <c r="W120" i="111"/>
  <c r="W119" i="111" l="1"/>
  <c r="X120" i="111"/>
  <c r="U129" i="111"/>
  <c r="V129" i="111" s="1"/>
  <c r="W129" i="111" s="1"/>
  <c r="X129" i="111" s="1"/>
  <c r="Y129" i="111" s="1"/>
  <c r="Z129" i="111" s="1"/>
  <c r="AA129" i="111" s="1"/>
  <c r="U127" i="111"/>
  <c r="V127" i="111" s="1"/>
  <c r="W127" i="111" s="1"/>
  <c r="X127" i="111" s="1"/>
  <c r="Y127" i="111" s="1"/>
  <c r="Z127" i="111" s="1"/>
  <c r="AA127" i="111" s="1"/>
  <c r="B119" i="111"/>
  <c r="C119" i="111"/>
  <c r="D119" i="111"/>
  <c r="E119" i="111"/>
  <c r="F119" i="111"/>
  <c r="G119" i="111"/>
  <c r="B122" i="111"/>
  <c r="C122" i="111"/>
  <c r="D122" i="111"/>
  <c r="E122" i="111"/>
  <c r="F122" i="111"/>
  <c r="G122" i="111"/>
  <c r="H122" i="111"/>
  <c r="I122" i="111"/>
  <c r="J122" i="111"/>
  <c r="K122" i="111"/>
  <c r="L122" i="111"/>
  <c r="H125" i="111"/>
  <c r="J125" i="111"/>
  <c r="K125" i="111"/>
  <c r="L125" i="111"/>
  <c r="M125" i="111"/>
  <c r="N125" i="111"/>
  <c r="O125" i="111"/>
  <c r="P125" i="111"/>
  <c r="C125" i="111"/>
  <c r="G125" i="111"/>
  <c r="P87" i="113"/>
  <c r="Q87" i="113"/>
  <c r="R87" i="113"/>
  <c r="S87" i="113"/>
  <c r="T87" i="113"/>
  <c r="O87" i="113"/>
  <c r="C87" i="113"/>
  <c r="D87" i="113"/>
  <c r="E87" i="113"/>
  <c r="F87" i="113"/>
  <c r="G87" i="113"/>
  <c r="H87" i="113"/>
  <c r="I87" i="113"/>
  <c r="J87" i="113"/>
  <c r="K87" i="113"/>
  <c r="L87" i="113"/>
  <c r="M87" i="113"/>
  <c r="N87" i="113"/>
  <c r="B87" i="113"/>
  <c r="B88" i="113"/>
  <c r="C88" i="113"/>
  <c r="D88" i="113"/>
  <c r="E88" i="113"/>
  <c r="F88" i="113"/>
  <c r="G88" i="113"/>
  <c r="AA125" i="111" l="1"/>
  <c r="X119" i="111"/>
  <c r="Y120" i="111"/>
  <c r="F125" i="111"/>
  <c r="I125" i="111"/>
  <c r="B125" i="111"/>
  <c r="E125" i="111"/>
  <c r="D125" i="111"/>
  <c r="Q125" i="111"/>
  <c r="R125" i="111"/>
  <c r="Y119" i="111" l="1"/>
  <c r="Z120" i="111"/>
  <c r="AA120" i="111" s="1"/>
  <c r="AA119" i="111" s="1"/>
  <c r="S125" i="111"/>
  <c r="Z119" i="111" l="1"/>
  <c r="T125" i="111"/>
  <c r="DS98" i="68"/>
  <c r="U125" i="111" l="1"/>
  <c r="DT189" i="68"/>
  <c r="DS189" i="68" s="1"/>
  <c r="DS188" i="68"/>
  <c r="DS187" i="68"/>
  <c r="DS186" i="68"/>
  <c r="DS170" i="68"/>
  <c r="DS169" i="68"/>
  <c r="DS168" i="68"/>
  <c r="DS167" i="68"/>
  <c r="DS166" i="68"/>
  <c r="DS165" i="68"/>
  <c r="DS164" i="68"/>
  <c r="DS163" i="68"/>
  <c r="DS162" i="68"/>
  <c r="DS161" i="68"/>
  <c r="DS160" i="68"/>
  <c r="DS159" i="68"/>
  <c r="DT171" i="68"/>
  <c r="DS156" i="68"/>
  <c r="DS154" i="68"/>
  <c r="DS152" i="68"/>
  <c r="DT151" i="68"/>
  <c r="DS149" i="68"/>
  <c r="DS150" i="68"/>
  <c r="DS145" i="68"/>
  <c r="DS142" i="68"/>
  <c r="DS117" i="68"/>
  <c r="DS118" i="68"/>
  <c r="DS116" i="68"/>
  <c r="DS138" i="68"/>
  <c r="DT81" i="68"/>
  <c r="DS79" i="68"/>
  <c r="DS81" i="68" s="1"/>
  <c r="DT74" i="68"/>
  <c r="DS71" i="68"/>
  <c r="DT67" i="68"/>
  <c r="DS64" i="68"/>
  <c r="DT59" i="68"/>
  <c r="DS56" i="68"/>
  <c r="DS55" i="68"/>
  <c r="DS63" i="68"/>
  <c r="DT94" i="68"/>
  <c r="DT95" i="68"/>
  <c r="DT96" i="68"/>
  <c r="DT93" i="68"/>
  <c r="DS101" i="68"/>
  <c r="DS102" i="68"/>
  <c r="DS103" i="68"/>
  <c r="DS104" i="68"/>
  <c r="DS130" i="68" l="1"/>
  <c r="DS123" i="68"/>
  <c r="DS132" i="68"/>
  <c r="DT123" i="68"/>
  <c r="DT125" i="68"/>
  <c r="V125" i="111"/>
  <c r="DS59" i="68"/>
  <c r="DS67" i="68"/>
  <c r="DT98" i="68"/>
  <c r="DS171" i="68"/>
  <c r="DS125" i="68"/>
  <c r="W125" i="111" l="1"/>
  <c r="C116" i="9"/>
  <c r="C117" i="9" s="1"/>
  <c r="D116" i="9"/>
  <c r="D117" i="9" s="1"/>
  <c r="E116" i="9"/>
  <c r="E117" i="9" s="1"/>
  <c r="F116" i="9"/>
  <c r="F117" i="9" s="1"/>
  <c r="G116" i="9"/>
  <c r="G117" i="9" s="1"/>
  <c r="H116" i="9"/>
  <c r="H117" i="9" s="1"/>
  <c r="I116" i="9"/>
  <c r="I117" i="9" s="1"/>
  <c r="J116" i="9"/>
  <c r="K116" i="9"/>
  <c r="L116" i="9"/>
  <c r="M116" i="9"/>
  <c r="N116" i="9"/>
  <c r="O116" i="9"/>
  <c r="P116" i="9"/>
  <c r="B116" i="9"/>
  <c r="B117" i="9" s="1"/>
  <c r="M117" i="9" l="1"/>
  <c r="S117" i="9"/>
  <c r="J117" i="9"/>
  <c r="R117" i="9"/>
  <c r="Q117" i="9"/>
  <c r="O117" i="9"/>
  <c r="L117" i="9"/>
  <c r="K117" i="9"/>
  <c r="P117" i="9"/>
  <c r="N117" i="9"/>
  <c r="X125" i="111"/>
  <c r="Q46" i="112" l="1"/>
  <c r="S46" i="112"/>
  <c r="R46" i="112"/>
  <c r="T46" i="112"/>
  <c r="Z125" i="111"/>
  <c r="Y125" i="111"/>
  <c r="N26" i="111" l="1"/>
  <c r="M13" i="111"/>
  <c r="L13" i="111"/>
  <c r="L57" i="112"/>
  <c r="J47" i="111" l="1"/>
  <c r="K47" i="111"/>
  <c r="L47" i="111"/>
  <c r="M47" i="111"/>
  <c r="J36" i="111"/>
  <c r="K36" i="111"/>
  <c r="L36" i="111"/>
  <c r="M36" i="111"/>
  <c r="J14" i="111" l="1"/>
  <c r="K14" i="111"/>
  <c r="L14" i="111"/>
  <c r="M14" i="111"/>
  <c r="O14" i="111"/>
  <c r="P14" i="111"/>
  <c r="Q14" i="111"/>
  <c r="R14" i="111"/>
  <c r="J25" i="111" l="1"/>
  <c r="K25" i="111"/>
  <c r="L25" i="111"/>
  <c r="K27" i="111" l="1"/>
  <c r="L27" i="111"/>
  <c r="K83" i="9"/>
  <c r="J83" i="9"/>
  <c r="M79" i="111" l="1"/>
  <c r="L79" i="111"/>
  <c r="K79" i="111"/>
  <c r="J79" i="111"/>
  <c r="K78" i="111"/>
  <c r="T77" i="111"/>
  <c r="S77" i="111"/>
  <c r="R77" i="111"/>
  <c r="Q77" i="111"/>
  <c r="P77" i="111"/>
  <c r="O77" i="111"/>
  <c r="N77" i="111"/>
  <c r="M77" i="111"/>
  <c r="L77" i="111"/>
  <c r="K77" i="111"/>
  <c r="J77" i="111"/>
  <c r="T73" i="111"/>
  <c r="S73" i="111"/>
  <c r="R73" i="111"/>
  <c r="Q73" i="111"/>
  <c r="P73" i="111"/>
  <c r="O73" i="111"/>
  <c r="N73" i="111"/>
  <c r="M73" i="111"/>
  <c r="L73" i="111"/>
  <c r="K73" i="111"/>
  <c r="J73" i="111"/>
  <c r="Q61" i="56" l="1"/>
  <c r="R68" i="56" l="1"/>
  <c r="S68" i="56"/>
  <c r="T68" i="56"/>
  <c r="Q68" i="56"/>
  <c r="R61" i="56"/>
  <c r="S61" i="56"/>
  <c r="T61" i="56"/>
  <c r="B57" i="9" l="1"/>
  <c r="C57" i="9"/>
  <c r="D57" i="9"/>
  <c r="E57" i="9"/>
  <c r="F57" i="9"/>
  <c r="G57" i="9"/>
  <c r="H57" i="9"/>
  <c r="I57" i="9"/>
  <c r="J57" i="9"/>
  <c r="K57" i="9"/>
  <c r="L57" i="9"/>
  <c r="M57" i="9"/>
  <c r="N57" i="9"/>
  <c r="O57" i="9"/>
  <c r="P57" i="9"/>
  <c r="Q76" i="9"/>
  <c r="I22" i="112"/>
  <c r="I21" i="112"/>
  <c r="I20" i="112"/>
  <c r="Q70" i="112"/>
  <c r="R70" i="112"/>
  <c r="S70" i="112"/>
  <c r="Q67" i="112"/>
  <c r="R67" i="112"/>
  <c r="S67" i="112"/>
  <c r="Q68" i="112"/>
  <c r="R68" i="112"/>
  <c r="S68" i="112"/>
  <c r="Q73" i="112"/>
  <c r="R73" i="112"/>
  <c r="S73" i="112"/>
  <c r="O83" i="112"/>
  <c r="P83" i="112"/>
  <c r="U99" i="111"/>
  <c r="V10" i="9"/>
  <c r="W10" i="9" s="1"/>
  <c r="X10" i="9" s="1"/>
  <c r="Y10" i="9" s="1"/>
  <c r="Z10" i="9" s="1"/>
  <c r="AA10" i="9" s="1"/>
  <c r="AA38" i="9" s="1"/>
  <c r="V11" i="9"/>
  <c r="W11" i="9" s="1"/>
  <c r="X11" i="9" s="1"/>
  <c r="Y11" i="9" s="1"/>
  <c r="Z11" i="9" s="1"/>
  <c r="AA11" i="9" s="1"/>
  <c r="AA39" i="9" s="1"/>
  <c r="V8" i="9"/>
  <c r="W8" i="9" s="1"/>
  <c r="X8" i="9" s="1"/>
  <c r="Y8" i="9" s="1"/>
  <c r="Z8" i="9" s="1"/>
  <c r="AA8" i="9" s="1"/>
  <c r="AA36" i="9" s="1"/>
  <c r="G27" i="9" l="1"/>
  <c r="H27" i="9"/>
  <c r="I27" i="9"/>
  <c r="J27" i="9"/>
  <c r="K27" i="9"/>
  <c r="B7" i="9"/>
  <c r="C7" i="9"/>
  <c r="D7" i="9"/>
  <c r="E7" i="9"/>
  <c r="F7" i="9"/>
  <c r="G7" i="9"/>
  <c r="H7" i="9"/>
  <c r="I7" i="9"/>
  <c r="J7" i="9"/>
  <c r="K7" i="9"/>
  <c r="N7" i="9"/>
  <c r="O7" i="9"/>
  <c r="P7" i="9"/>
  <c r="Q7" i="9"/>
  <c r="R7" i="9"/>
  <c r="S7" i="9"/>
  <c r="T7" i="9"/>
  <c r="U17" i="9" s="1"/>
  <c r="B151" i="9" l="1"/>
  <c r="C151" i="9"/>
  <c r="D151" i="9"/>
  <c r="E151" i="9"/>
  <c r="F151" i="9"/>
  <c r="G151" i="9"/>
  <c r="J3" i="56" l="1"/>
  <c r="K3" i="56"/>
  <c r="O3" i="56"/>
  <c r="P3" i="56"/>
  <c r="Q3" i="56"/>
  <c r="R3" i="56"/>
  <c r="S3" i="56"/>
  <c r="T3" i="56"/>
  <c r="C3" i="56"/>
  <c r="D3" i="56"/>
  <c r="E3" i="56"/>
  <c r="F3" i="56"/>
  <c r="G3" i="56"/>
  <c r="H3" i="56"/>
  <c r="I3" i="56"/>
  <c r="G115" i="56"/>
  <c r="H115" i="56"/>
  <c r="F115" i="56"/>
  <c r="Q164" i="56"/>
  <c r="S162" i="56"/>
  <c r="S166" i="56" s="1"/>
  <c r="T162" i="56"/>
  <c r="T166" i="56" s="1"/>
  <c r="R162" i="56"/>
  <c r="R166" i="56" s="1"/>
  <c r="Q166" i="56"/>
  <c r="I166" i="56"/>
  <c r="J166" i="56"/>
  <c r="K166" i="56"/>
  <c r="L166" i="56"/>
  <c r="M166" i="56"/>
  <c r="N166" i="56"/>
  <c r="O166" i="56"/>
  <c r="P166" i="56"/>
  <c r="H166" i="56"/>
  <c r="I168" i="56"/>
  <c r="J168" i="56"/>
  <c r="K168" i="56"/>
  <c r="L168" i="56"/>
  <c r="M168" i="56"/>
  <c r="N168" i="56"/>
  <c r="O168" i="56"/>
  <c r="P168" i="56"/>
  <c r="Q168" i="56"/>
  <c r="R168" i="56"/>
  <c r="J171" i="56"/>
  <c r="K171" i="56"/>
  <c r="L171" i="56"/>
  <c r="M171" i="56"/>
  <c r="N171" i="56"/>
  <c r="P171" i="56"/>
  <c r="O172" i="56"/>
  <c r="O171" i="56" s="1"/>
  <c r="M174" i="56"/>
  <c r="V45" i="76"/>
  <c r="V52" i="76" s="1"/>
  <c r="W45" i="76"/>
  <c r="W52" i="76" s="1"/>
  <c r="X45" i="76"/>
  <c r="X52" i="76" s="1"/>
  <c r="Y45" i="76"/>
  <c r="Y52" i="76" s="1"/>
  <c r="Z45" i="76"/>
  <c r="Z52" i="76" s="1"/>
  <c r="U45" i="76"/>
  <c r="U52" i="76" s="1"/>
  <c r="S14" i="111"/>
  <c r="T14" i="111"/>
  <c r="T129" i="56" l="1"/>
  <c r="Q129" i="56"/>
  <c r="R129" i="56"/>
  <c r="P129" i="56"/>
  <c r="S129" i="56"/>
  <c r="O129" i="56"/>
  <c r="R164" i="56"/>
  <c r="S164" i="56"/>
  <c r="T164" i="56"/>
  <c r="P164" i="56"/>
  <c r="B60" i="111"/>
  <c r="C60" i="111"/>
  <c r="D60" i="111"/>
  <c r="E60" i="111"/>
  <c r="F60" i="111"/>
  <c r="G60" i="111"/>
  <c r="H60" i="111"/>
  <c r="J60" i="111"/>
  <c r="K60" i="111"/>
  <c r="L60" i="111"/>
  <c r="B61" i="111"/>
  <c r="C61" i="111"/>
  <c r="D61" i="111"/>
  <c r="E61" i="111"/>
  <c r="F61" i="111"/>
  <c r="G61" i="111"/>
  <c r="H61" i="111"/>
  <c r="I61" i="111"/>
  <c r="J61" i="111"/>
  <c r="K61" i="111"/>
  <c r="L61" i="111"/>
  <c r="M61" i="111"/>
  <c r="N61" i="111"/>
  <c r="O61" i="111"/>
  <c r="P61" i="111"/>
  <c r="Q61" i="111"/>
  <c r="R61" i="111"/>
  <c r="S61" i="111"/>
  <c r="T61" i="111"/>
  <c r="B62" i="111"/>
  <c r="C62" i="111"/>
  <c r="D62" i="111"/>
  <c r="E62" i="111"/>
  <c r="F62" i="111"/>
  <c r="G62" i="111"/>
  <c r="H62" i="111"/>
  <c r="I62" i="111"/>
  <c r="J62" i="111"/>
  <c r="K62" i="111"/>
  <c r="L62" i="111"/>
  <c r="M62" i="111"/>
  <c r="N62" i="111"/>
  <c r="O62" i="111"/>
  <c r="P62" i="111"/>
  <c r="Q62" i="111"/>
  <c r="R62" i="111"/>
  <c r="S62" i="111"/>
  <c r="T62" i="111"/>
  <c r="B63" i="111"/>
  <c r="C63" i="111"/>
  <c r="D63" i="111"/>
  <c r="E63" i="111"/>
  <c r="F63" i="111"/>
  <c r="G63" i="111"/>
  <c r="H63" i="111"/>
  <c r="I63" i="111"/>
  <c r="J63" i="111"/>
  <c r="K63" i="111"/>
  <c r="L63" i="111"/>
  <c r="M63" i="111"/>
  <c r="N63" i="111"/>
  <c r="O63" i="111"/>
  <c r="P63" i="111"/>
  <c r="Q63" i="111"/>
  <c r="R63" i="111"/>
  <c r="S63" i="111"/>
  <c r="T63" i="111"/>
  <c r="B64" i="111"/>
  <c r="C64" i="111"/>
  <c r="D64" i="111"/>
  <c r="E64" i="111"/>
  <c r="F64" i="111"/>
  <c r="G64" i="111"/>
  <c r="H64" i="111"/>
  <c r="I64" i="111"/>
  <c r="J64" i="111"/>
  <c r="K64" i="111"/>
  <c r="L64" i="111"/>
  <c r="M64" i="111"/>
  <c r="N64" i="111"/>
  <c r="O64" i="111"/>
  <c r="P64" i="111"/>
  <c r="Q64" i="111"/>
  <c r="R64" i="111"/>
  <c r="S64" i="111"/>
  <c r="T64" i="111"/>
  <c r="U84" i="112"/>
  <c r="V83" i="112"/>
  <c r="W83" i="112"/>
  <c r="X83" i="112"/>
  <c r="Y83" i="112"/>
  <c r="Z83" i="112"/>
  <c r="R83" i="112"/>
  <c r="S83" i="112"/>
  <c r="T83" i="112"/>
  <c r="Q83" i="112"/>
  <c r="L65" i="111" l="1"/>
  <c r="E65" i="111"/>
  <c r="K65" i="111"/>
  <c r="D65" i="111"/>
  <c r="J65" i="111"/>
  <c r="H65" i="111"/>
  <c r="G65" i="111"/>
  <c r="C65" i="111"/>
  <c r="B65" i="111"/>
  <c r="F65" i="111"/>
  <c r="E30" i="9" l="1"/>
  <c r="F30" i="9"/>
  <c r="D30" i="9"/>
  <c r="T53" i="76"/>
  <c r="U54" i="76" l="1"/>
  <c r="V74" i="9"/>
  <c r="C54" i="111"/>
  <c r="D54" i="111"/>
  <c r="E54" i="111"/>
  <c r="F54" i="111"/>
  <c r="G54" i="111"/>
  <c r="I54" i="111"/>
  <c r="B54" i="111"/>
  <c r="B84" i="113" s="1"/>
  <c r="C26" i="111"/>
  <c r="D26" i="111"/>
  <c r="E26" i="111"/>
  <c r="F26" i="111"/>
  <c r="G26" i="111"/>
  <c r="H26" i="111"/>
  <c r="B26" i="111"/>
  <c r="G35" i="113"/>
  <c r="D35" i="113"/>
  <c r="C35" i="113"/>
  <c r="B35" i="113"/>
  <c r="T89" i="113"/>
  <c r="S89" i="113"/>
  <c r="R89" i="113"/>
  <c r="Q89" i="113"/>
  <c r="P89" i="113"/>
  <c r="O89" i="113"/>
  <c r="N89" i="113"/>
  <c r="M89" i="113"/>
  <c r="L89" i="113"/>
  <c r="K89" i="113"/>
  <c r="J89" i="113"/>
  <c r="I89" i="113"/>
  <c r="H89" i="113"/>
  <c r="G89" i="113"/>
  <c r="F89" i="113"/>
  <c r="E89" i="113"/>
  <c r="D89" i="113"/>
  <c r="C89" i="113"/>
  <c r="B89" i="113"/>
  <c r="Z88" i="113"/>
  <c r="Y88" i="113"/>
  <c r="X88" i="113"/>
  <c r="W88" i="113"/>
  <c r="V88" i="113"/>
  <c r="U88" i="113"/>
  <c r="T88" i="113"/>
  <c r="S88" i="113"/>
  <c r="R88" i="113"/>
  <c r="Q88" i="113"/>
  <c r="P88" i="113"/>
  <c r="O88" i="113"/>
  <c r="N88" i="113"/>
  <c r="M88" i="113"/>
  <c r="L88" i="113"/>
  <c r="K88" i="113"/>
  <c r="J88" i="113"/>
  <c r="T35" i="113"/>
  <c r="S35" i="113"/>
  <c r="R35" i="113"/>
  <c r="Q35" i="113"/>
  <c r="P35" i="113"/>
  <c r="O35" i="113"/>
  <c r="N35" i="113"/>
  <c r="M35" i="113"/>
  <c r="L35" i="113"/>
  <c r="K35" i="113"/>
  <c r="J35" i="113"/>
  <c r="I35" i="113"/>
  <c r="H35" i="113"/>
  <c r="F35" i="113"/>
  <c r="E35" i="113"/>
  <c r="N81" i="113"/>
  <c r="O81" i="113" s="1"/>
  <c r="O80" i="113" s="1"/>
  <c r="O41" i="113" s="1"/>
  <c r="F80" i="113"/>
  <c r="F41" i="113" s="1"/>
  <c r="E80" i="113"/>
  <c r="E41" i="113" s="1"/>
  <c r="D80" i="113"/>
  <c r="D41" i="113" s="1"/>
  <c r="C80" i="113"/>
  <c r="C41" i="113" s="1"/>
  <c r="B80" i="113"/>
  <c r="B41" i="113" s="1"/>
  <c r="M80" i="113"/>
  <c r="M41" i="113" s="1"/>
  <c r="L80" i="113"/>
  <c r="L41" i="113" s="1"/>
  <c r="K80" i="113"/>
  <c r="K41" i="113" s="1"/>
  <c r="J80" i="113"/>
  <c r="J41" i="113" s="1"/>
  <c r="I80" i="113"/>
  <c r="I41" i="113" s="1"/>
  <c r="H80" i="113"/>
  <c r="H41" i="113" s="1"/>
  <c r="G80" i="113"/>
  <c r="G41" i="113" s="1"/>
  <c r="Q78" i="113"/>
  <c r="I78" i="113"/>
  <c r="T77" i="113"/>
  <c r="S77" i="113"/>
  <c r="R77" i="113"/>
  <c r="P77" i="113"/>
  <c r="O77" i="113"/>
  <c r="N77" i="113"/>
  <c r="M77" i="113"/>
  <c r="L77" i="113"/>
  <c r="K77" i="113"/>
  <c r="J77" i="113"/>
  <c r="H77" i="113"/>
  <c r="I77" i="113" s="1"/>
  <c r="G77" i="113"/>
  <c r="Z74" i="113"/>
  <c r="Z40" i="113" s="1"/>
  <c r="Y74" i="113"/>
  <c r="Y40" i="113" s="1"/>
  <c r="X74" i="113"/>
  <c r="X40" i="113" s="1"/>
  <c r="W74" i="113"/>
  <c r="W40" i="113" s="1"/>
  <c r="V74" i="113"/>
  <c r="V40" i="113" s="1"/>
  <c r="U74" i="113"/>
  <c r="U40" i="113" s="1"/>
  <c r="T74" i="113"/>
  <c r="T40" i="113" s="1"/>
  <c r="S74" i="113"/>
  <c r="S40" i="113" s="1"/>
  <c r="R74" i="113"/>
  <c r="R40" i="113" s="1"/>
  <c r="Q74" i="113"/>
  <c r="Q40" i="113" s="1"/>
  <c r="P74" i="113"/>
  <c r="P40" i="113" s="1"/>
  <c r="O74" i="113"/>
  <c r="O40" i="113" s="1"/>
  <c r="N74" i="113"/>
  <c r="N40" i="113" s="1"/>
  <c r="M74" i="113"/>
  <c r="M40" i="113" s="1"/>
  <c r="L74" i="113"/>
  <c r="L40" i="113" s="1"/>
  <c r="K74" i="113"/>
  <c r="K40" i="113" s="1"/>
  <c r="I74" i="113"/>
  <c r="I40" i="113" s="1"/>
  <c r="G40" i="113"/>
  <c r="F40" i="113"/>
  <c r="E40" i="113"/>
  <c r="D40" i="113"/>
  <c r="C40" i="113"/>
  <c r="B40" i="113"/>
  <c r="T70" i="113"/>
  <c r="S70" i="113"/>
  <c r="R70" i="113"/>
  <c r="Q70" i="113"/>
  <c r="P70" i="113"/>
  <c r="O70" i="113"/>
  <c r="N70" i="113"/>
  <c r="M70" i="113"/>
  <c r="L70" i="113"/>
  <c r="K70" i="113"/>
  <c r="J70" i="113"/>
  <c r="I70" i="113"/>
  <c r="H70" i="113"/>
  <c r="G70" i="113"/>
  <c r="F70" i="113"/>
  <c r="E70" i="113"/>
  <c r="D70" i="113"/>
  <c r="C70" i="113"/>
  <c r="B70" i="113"/>
  <c r="O69" i="113"/>
  <c r="P69" i="113" s="1"/>
  <c r="Q69" i="113" s="1"/>
  <c r="R69" i="113" s="1"/>
  <c r="S69" i="113" s="1"/>
  <c r="T69" i="113" s="1"/>
  <c r="T68" i="113"/>
  <c r="S68" i="113"/>
  <c r="R68" i="113"/>
  <c r="Q68" i="113"/>
  <c r="P68" i="113"/>
  <c r="O68" i="113"/>
  <c r="N68" i="113"/>
  <c r="M68" i="113"/>
  <c r="L68" i="113"/>
  <c r="K68" i="113"/>
  <c r="J68" i="113"/>
  <c r="I68" i="113"/>
  <c r="H68" i="113"/>
  <c r="G68" i="113"/>
  <c r="F68" i="113"/>
  <c r="E68" i="113"/>
  <c r="D68" i="113"/>
  <c r="C68" i="113"/>
  <c r="B68" i="113"/>
  <c r="M65" i="113"/>
  <c r="Q62" i="113"/>
  <c r="R62" i="113" s="1"/>
  <c r="S62" i="113" s="1"/>
  <c r="T62" i="113" s="1"/>
  <c r="U62" i="113" s="1"/>
  <c r="V62" i="113" s="1"/>
  <c r="W62" i="113" s="1"/>
  <c r="X62" i="113" s="1"/>
  <c r="Y62" i="113" s="1"/>
  <c r="Z62" i="113" s="1"/>
  <c r="M62" i="113"/>
  <c r="L62" i="113"/>
  <c r="K62" i="113"/>
  <c r="J62" i="113"/>
  <c r="H62" i="113"/>
  <c r="I62" i="113" s="1"/>
  <c r="G62" i="113"/>
  <c r="U61" i="113"/>
  <c r="V61" i="113" s="1"/>
  <c r="V60" i="113" s="1"/>
  <c r="V37" i="113" s="1"/>
  <c r="M61" i="113"/>
  <c r="M60" i="113" s="1"/>
  <c r="M37" i="113" s="1"/>
  <c r="L61" i="113"/>
  <c r="L60" i="113" s="1"/>
  <c r="L37" i="113" s="1"/>
  <c r="K61" i="113"/>
  <c r="K60" i="113" s="1"/>
  <c r="K37" i="113" s="1"/>
  <c r="J61" i="113"/>
  <c r="J60" i="113" s="1"/>
  <c r="J37" i="113" s="1"/>
  <c r="H61" i="113"/>
  <c r="I61" i="113" s="1"/>
  <c r="I60" i="113" s="1"/>
  <c r="I37" i="113" s="1"/>
  <c r="G61" i="113"/>
  <c r="G60" i="113" s="1"/>
  <c r="G37" i="113" s="1"/>
  <c r="F60" i="113"/>
  <c r="F37" i="113" s="1"/>
  <c r="E60" i="113"/>
  <c r="E37" i="113" s="1"/>
  <c r="D60" i="113"/>
  <c r="D37" i="113" s="1"/>
  <c r="C60" i="113"/>
  <c r="C37" i="113" s="1"/>
  <c r="B60" i="113"/>
  <c r="B37" i="113" s="1"/>
  <c r="T60" i="113"/>
  <c r="T37" i="113" s="1"/>
  <c r="S60" i="113"/>
  <c r="S37" i="113" s="1"/>
  <c r="R60" i="113"/>
  <c r="R37" i="113" s="1"/>
  <c r="Q60" i="113"/>
  <c r="Q37" i="113" s="1"/>
  <c r="P60" i="113"/>
  <c r="P37" i="113" s="1"/>
  <c r="O60" i="113"/>
  <c r="O37" i="113" s="1"/>
  <c r="N60" i="113"/>
  <c r="N37" i="113" s="1"/>
  <c r="G36" i="113"/>
  <c r="P36" i="113"/>
  <c r="O36" i="113"/>
  <c r="N36" i="113"/>
  <c r="M36" i="113"/>
  <c r="L36" i="113"/>
  <c r="K36" i="113"/>
  <c r="J36" i="113"/>
  <c r="H36" i="113"/>
  <c r="T33" i="113"/>
  <c r="S33" i="113"/>
  <c r="I33" i="113"/>
  <c r="R33" i="113"/>
  <c r="Q33" i="113"/>
  <c r="P33" i="113"/>
  <c r="O33" i="113"/>
  <c r="N33" i="113"/>
  <c r="M33" i="113"/>
  <c r="L33" i="113"/>
  <c r="K33" i="113"/>
  <c r="J33" i="113"/>
  <c r="H33" i="113"/>
  <c r="J40" i="113"/>
  <c r="H40" i="113"/>
  <c r="I28" i="113"/>
  <c r="P27" i="113"/>
  <c r="N27" i="113"/>
  <c r="L27" i="113"/>
  <c r="M27" i="113" s="1"/>
  <c r="J27" i="113"/>
  <c r="T26" i="113"/>
  <c r="S26" i="113"/>
  <c r="R26" i="113"/>
  <c r="Q26" i="113"/>
  <c r="P26" i="113"/>
  <c r="O26" i="113"/>
  <c r="O30" i="113" s="1"/>
  <c r="N26" i="113"/>
  <c r="M26" i="113"/>
  <c r="L26" i="113"/>
  <c r="K26" i="113"/>
  <c r="J26" i="113"/>
  <c r="I26" i="113"/>
  <c r="I30" i="113" s="1"/>
  <c r="H26" i="113"/>
  <c r="H30" i="113" s="1"/>
  <c r="G26" i="113"/>
  <c r="G30" i="113" s="1"/>
  <c r="F26" i="113"/>
  <c r="F30" i="113" s="1"/>
  <c r="E26" i="113"/>
  <c r="E30" i="113" s="1"/>
  <c r="D26" i="113"/>
  <c r="D30" i="113" s="1"/>
  <c r="C26" i="113"/>
  <c r="C30" i="113" s="1"/>
  <c r="B26" i="113"/>
  <c r="B30" i="113" s="1"/>
  <c r="U25" i="113"/>
  <c r="T25" i="113"/>
  <c r="S25" i="113"/>
  <c r="R25" i="113"/>
  <c r="Q25" i="113"/>
  <c r="P25" i="113"/>
  <c r="O25" i="113"/>
  <c r="N25" i="113"/>
  <c r="M25" i="113"/>
  <c r="L25" i="113"/>
  <c r="K25" i="113"/>
  <c r="J25" i="113"/>
  <c r="I25" i="113"/>
  <c r="H25" i="113"/>
  <c r="G25" i="113"/>
  <c r="F25" i="113"/>
  <c r="E25" i="113"/>
  <c r="D25" i="113"/>
  <c r="C25" i="113"/>
  <c r="B25" i="113"/>
  <c r="I84" i="112"/>
  <c r="H84" i="112"/>
  <c r="G84" i="112"/>
  <c r="F84" i="112"/>
  <c r="E84" i="112"/>
  <c r="D84" i="112"/>
  <c r="C84" i="112"/>
  <c r="B84" i="112"/>
  <c r="Z82" i="112"/>
  <c r="Y82" i="112"/>
  <c r="X82" i="112"/>
  <c r="W82" i="112"/>
  <c r="V82" i="112"/>
  <c r="U82" i="112"/>
  <c r="T82" i="112"/>
  <c r="S82" i="112"/>
  <c r="R82" i="112"/>
  <c r="Q82" i="112"/>
  <c r="P82" i="112"/>
  <c r="O82" i="112"/>
  <c r="N82" i="112"/>
  <c r="M82" i="112"/>
  <c r="L82" i="112"/>
  <c r="K82" i="112"/>
  <c r="J82" i="112"/>
  <c r="I82" i="112"/>
  <c r="H82" i="112"/>
  <c r="G82" i="112"/>
  <c r="F82" i="112"/>
  <c r="E82" i="112"/>
  <c r="D82" i="112"/>
  <c r="K81" i="112"/>
  <c r="J81" i="112"/>
  <c r="I81" i="112"/>
  <c r="H81" i="112"/>
  <c r="G81" i="112"/>
  <c r="F81" i="112"/>
  <c r="E81" i="112"/>
  <c r="D81" i="112"/>
  <c r="J80" i="112"/>
  <c r="I80" i="112"/>
  <c r="H80" i="112"/>
  <c r="G80" i="112"/>
  <c r="F80" i="112"/>
  <c r="E80" i="112"/>
  <c r="D80" i="112"/>
  <c r="Z103" i="112"/>
  <c r="Y103" i="112"/>
  <c r="X103" i="112"/>
  <c r="W103" i="112"/>
  <c r="V103" i="112"/>
  <c r="U103" i="112"/>
  <c r="T103" i="112"/>
  <c r="S103" i="112"/>
  <c r="R103" i="112"/>
  <c r="Q103" i="112"/>
  <c r="P103" i="112"/>
  <c r="O103" i="112"/>
  <c r="N103" i="112"/>
  <c r="M103" i="112"/>
  <c r="L103" i="112"/>
  <c r="K103" i="112"/>
  <c r="J103" i="112"/>
  <c r="I103" i="112"/>
  <c r="H103" i="112"/>
  <c r="G103" i="112"/>
  <c r="F103" i="112"/>
  <c r="E103" i="112"/>
  <c r="D103" i="112"/>
  <c r="C103" i="112"/>
  <c r="B103" i="112"/>
  <c r="T102" i="112"/>
  <c r="S102" i="112"/>
  <c r="R102" i="112"/>
  <c r="Q102" i="112"/>
  <c r="P102" i="112"/>
  <c r="O102" i="112"/>
  <c r="N102" i="112"/>
  <c r="M102" i="112"/>
  <c r="L102" i="112"/>
  <c r="K102" i="112"/>
  <c r="J102" i="112"/>
  <c r="I102" i="112"/>
  <c r="H102" i="112"/>
  <c r="G102" i="112"/>
  <c r="F102" i="112"/>
  <c r="E102" i="112"/>
  <c r="D102" i="112"/>
  <c r="C102" i="112"/>
  <c r="B102" i="112"/>
  <c r="Z101" i="112"/>
  <c r="Y101" i="112"/>
  <c r="X101" i="112"/>
  <c r="W101" i="112"/>
  <c r="V101" i="112"/>
  <c r="U101" i="112"/>
  <c r="T101" i="112"/>
  <c r="S101" i="112"/>
  <c r="R101" i="112"/>
  <c r="Q101" i="112"/>
  <c r="P101" i="112"/>
  <c r="O101" i="112"/>
  <c r="N101" i="112"/>
  <c r="M101" i="112"/>
  <c r="L101" i="112"/>
  <c r="K101" i="112"/>
  <c r="J101" i="112"/>
  <c r="I101" i="112"/>
  <c r="H101" i="112"/>
  <c r="G101" i="112"/>
  <c r="F101" i="112"/>
  <c r="E101" i="112"/>
  <c r="D101" i="112"/>
  <c r="C101" i="112"/>
  <c r="B101" i="112"/>
  <c r="T100" i="112"/>
  <c r="S100" i="112"/>
  <c r="R100" i="112"/>
  <c r="Q100" i="112"/>
  <c r="P100" i="112"/>
  <c r="O100" i="112"/>
  <c r="N100" i="112"/>
  <c r="M100" i="112"/>
  <c r="L100" i="112"/>
  <c r="K100" i="112"/>
  <c r="J100" i="112"/>
  <c r="I100" i="112"/>
  <c r="H100" i="112"/>
  <c r="G100" i="112"/>
  <c r="F100" i="112"/>
  <c r="E100" i="112"/>
  <c r="D100" i="112"/>
  <c r="C100" i="112"/>
  <c r="B100" i="112"/>
  <c r="Z99" i="112"/>
  <c r="Y99" i="112"/>
  <c r="X99" i="112"/>
  <c r="W99" i="112"/>
  <c r="V99" i="112"/>
  <c r="U99" i="112"/>
  <c r="T99" i="112"/>
  <c r="S99" i="112"/>
  <c r="R99" i="112"/>
  <c r="Q99" i="112"/>
  <c r="P99" i="112"/>
  <c r="O99" i="112"/>
  <c r="N99" i="112"/>
  <c r="M99" i="112"/>
  <c r="L99" i="112"/>
  <c r="K99" i="112"/>
  <c r="J99" i="112"/>
  <c r="I99" i="112"/>
  <c r="H99" i="112"/>
  <c r="G99" i="112"/>
  <c r="F99" i="112"/>
  <c r="E99" i="112"/>
  <c r="D99" i="112"/>
  <c r="C99" i="112"/>
  <c r="B99" i="112"/>
  <c r="U95" i="112"/>
  <c r="U150" i="9"/>
  <c r="T150" i="9"/>
  <c r="S150" i="9"/>
  <c r="R150" i="9"/>
  <c r="Q150" i="9"/>
  <c r="P150" i="9"/>
  <c r="O150" i="9"/>
  <c r="N150" i="9"/>
  <c r="M150" i="9"/>
  <c r="L150" i="9"/>
  <c r="K150" i="9"/>
  <c r="J150" i="9"/>
  <c r="I150" i="9"/>
  <c r="H150" i="9"/>
  <c r="G150" i="9"/>
  <c r="F150" i="9"/>
  <c r="E150" i="9"/>
  <c r="D150" i="9"/>
  <c r="C150" i="9"/>
  <c r="B150" i="9"/>
  <c r="F84" i="113" l="1"/>
  <c r="E84" i="113"/>
  <c r="D84" i="113"/>
  <c r="C84" i="113"/>
  <c r="I84" i="113"/>
  <c r="G84" i="113"/>
  <c r="U60" i="113"/>
  <c r="U37" i="113" s="1"/>
  <c r="J86" i="112"/>
  <c r="J89" i="112" s="1"/>
  <c r="N80" i="113"/>
  <c r="N41" i="113" s="1"/>
  <c r="C31" i="113"/>
  <c r="C85" i="113" s="1"/>
  <c r="I31" i="113"/>
  <c r="I85" i="113" s="1"/>
  <c r="W74" i="9"/>
  <c r="V36" i="112"/>
  <c r="L67" i="113"/>
  <c r="L64" i="113" s="1"/>
  <c r="L39" i="113" s="1"/>
  <c r="L34" i="113" s="1"/>
  <c r="E33" i="113"/>
  <c r="E31" i="113"/>
  <c r="E85" i="113" s="1"/>
  <c r="H67" i="113"/>
  <c r="C33" i="113"/>
  <c r="F67" i="113"/>
  <c r="F64" i="113" s="1"/>
  <c r="F39" i="113" s="1"/>
  <c r="R67" i="113"/>
  <c r="F36" i="113"/>
  <c r="N67" i="113"/>
  <c r="E36" i="113"/>
  <c r="G67" i="113"/>
  <c r="G64" i="113" s="1"/>
  <c r="G39" i="113" s="1"/>
  <c r="G34" i="113" s="1"/>
  <c r="M67" i="113"/>
  <c r="M64" i="113" s="1"/>
  <c r="M39" i="113" s="1"/>
  <c r="M34" i="113" s="1"/>
  <c r="S72" i="113"/>
  <c r="T72" i="113" s="1"/>
  <c r="T67" i="113" s="1"/>
  <c r="J67" i="113"/>
  <c r="F33" i="113"/>
  <c r="C32" i="113"/>
  <c r="H60" i="113"/>
  <c r="H37" i="113" s="1"/>
  <c r="I36" i="113"/>
  <c r="E67" i="113"/>
  <c r="E64" i="113" s="1"/>
  <c r="E39" i="113" s="1"/>
  <c r="Q67" i="113"/>
  <c r="W61" i="113"/>
  <c r="X61" i="113" s="1"/>
  <c r="Y61" i="113" s="1"/>
  <c r="P67" i="113"/>
  <c r="B33" i="113"/>
  <c r="O67" i="113"/>
  <c r="B67" i="113"/>
  <c r="B64" i="113" s="1"/>
  <c r="B39" i="113" s="1"/>
  <c r="C36" i="113"/>
  <c r="D33" i="113"/>
  <c r="B36" i="113"/>
  <c r="M30" i="113"/>
  <c r="N30" i="113"/>
  <c r="P30" i="113"/>
  <c r="J30" i="113"/>
  <c r="D31" i="113"/>
  <c r="D85" i="113" s="1"/>
  <c r="F31" i="113"/>
  <c r="F85" i="113" s="1"/>
  <c r="G31" i="113"/>
  <c r="G85" i="113" s="1"/>
  <c r="L30" i="113"/>
  <c r="B31" i="113"/>
  <c r="B85" i="113" s="1"/>
  <c r="B83" i="113" s="1"/>
  <c r="Q77" i="113"/>
  <c r="R78" i="113"/>
  <c r="S78" i="113" s="1"/>
  <c r="T78" i="113" s="1"/>
  <c r="U78" i="113" s="1"/>
  <c r="V78" i="113" s="1"/>
  <c r="W78" i="113" s="1"/>
  <c r="X78" i="113" s="1"/>
  <c r="Y78" i="113" s="1"/>
  <c r="Z78" i="113" s="1"/>
  <c r="P81" i="113"/>
  <c r="Q36" i="113"/>
  <c r="D67" i="113"/>
  <c r="D64" i="113" s="1"/>
  <c r="D39" i="113" s="1"/>
  <c r="J28" i="113"/>
  <c r="G33" i="113"/>
  <c r="N65" i="113"/>
  <c r="K72" i="113"/>
  <c r="K67" i="113" s="1"/>
  <c r="K64" i="113" s="1"/>
  <c r="K39" i="113" s="1"/>
  <c r="K34" i="113" s="1"/>
  <c r="I67" i="113"/>
  <c r="Q27" i="113"/>
  <c r="U33" i="113"/>
  <c r="D36" i="113"/>
  <c r="C67" i="113"/>
  <c r="C64" i="113" s="1"/>
  <c r="C39" i="113" s="1"/>
  <c r="U69" i="113"/>
  <c r="V69" i="113" s="1"/>
  <c r="W69" i="113" s="1"/>
  <c r="X69" i="113" s="1"/>
  <c r="Y69" i="113" s="1"/>
  <c r="Z69" i="113" s="1"/>
  <c r="H75" i="113"/>
  <c r="I75" i="113" s="1"/>
  <c r="J75" i="113" s="1"/>
  <c r="K75" i="113" s="1"/>
  <c r="L75" i="113" s="1"/>
  <c r="M75" i="113" s="1"/>
  <c r="N75" i="113" s="1"/>
  <c r="O75" i="113" s="1"/>
  <c r="P75" i="113" s="1"/>
  <c r="Q75" i="113" s="1"/>
  <c r="R75" i="113" s="1"/>
  <c r="S75" i="113" s="1"/>
  <c r="T75" i="113" s="1"/>
  <c r="U75" i="113" s="1"/>
  <c r="V75" i="113" s="1"/>
  <c r="W75" i="113" s="1"/>
  <c r="X75" i="113" s="1"/>
  <c r="Y75" i="113" s="1"/>
  <c r="Z75" i="113" s="1"/>
  <c r="I86" i="112"/>
  <c r="F86" i="112"/>
  <c r="D86" i="112"/>
  <c r="H86" i="112"/>
  <c r="G32" i="113"/>
  <c r="D32" i="113"/>
  <c r="J32" i="113"/>
  <c r="G86" i="112"/>
  <c r="F32" i="113"/>
  <c r="L32" i="113"/>
  <c r="E86" i="112"/>
  <c r="B32" i="113"/>
  <c r="H32" i="113"/>
  <c r="E32" i="113"/>
  <c r="K32" i="113"/>
  <c r="D83" i="113" l="1"/>
  <c r="F83" i="113"/>
  <c r="C83" i="113"/>
  <c r="G83" i="113"/>
  <c r="E83" i="113"/>
  <c r="I83" i="113"/>
  <c r="X74" i="9"/>
  <c r="W36" i="112"/>
  <c r="X60" i="113"/>
  <c r="X37" i="113" s="1"/>
  <c r="S67" i="113"/>
  <c r="W60" i="113"/>
  <c r="W37" i="113" s="1"/>
  <c r="F34" i="113"/>
  <c r="F42" i="113" s="1"/>
  <c r="E34" i="113"/>
  <c r="E42" i="113" s="1"/>
  <c r="C34" i="113"/>
  <c r="C42" i="113" s="1"/>
  <c r="B34" i="113"/>
  <c r="B42" i="113" s="1"/>
  <c r="Z61" i="113"/>
  <c r="Z60" i="113" s="1"/>
  <c r="Z37" i="113" s="1"/>
  <c r="Y60" i="113"/>
  <c r="Y37" i="113" s="1"/>
  <c r="O65" i="113"/>
  <c r="N64" i="113"/>
  <c r="N39" i="113" s="1"/>
  <c r="N34" i="113" s="1"/>
  <c r="Q81" i="113"/>
  <c r="P80" i="113"/>
  <c r="P41" i="113" s="1"/>
  <c r="G42" i="113"/>
  <c r="R36" i="113"/>
  <c r="K28" i="113"/>
  <c r="Q30" i="113"/>
  <c r="R27" i="113"/>
  <c r="D34" i="113"/>
  <c r="D42" i="113" s="1"/>
  <c r="V33" i="113"/>
  <c r="U26" i="113" l="1"/>
  <c r="Y74" i="9"/>
  <c r="X36" i="112"/>
  <c r="S36" i="113"/>
  <c r="S27" i="113"/>
  <c r="R30" i="113"/>
  <c r="R81" i="113"/>
  <c r="Q80" i="113"/>
  <c r="Q41" i="113" s="1"/>
  <c r="W33" i="113"/>
  <c r="L28" i="113"/>
  <c r="P65" i="113"/>
  <c r="O64" i="113"/>
  <c r="O39" i="113" s="1"/>
  <c r="O34" i="113" s="1"/>
  <c r="V26" i="113" l="1"/>
  <c r="Z74" i="9"/>
  <c r="AA74" i="9" s="1"/>
  <c r="Y36" i="112"/>
  <c r="M28" i="113"/>
  <c r="X33" i="113"/>
  <c r="S30" i="113"/>
  <c r="T27" i="113"/>
  <c r="T36" i="113"/>
  <c r="S81" i="113"/>
  <c r="R80" i="113"/>
  <c r="R41" i="113" s="1"/>
  <c r="Q65" i="113"/>
  <c r="P64" i="113"/>
  <c r="P39" i="113" s="1"/>
  <c r="P34" i="113" s="1"/>
  <c r="O88" i="56"/>
  <c r="P88" i="56"/>
  <c r="Q88" i="56"/>
  <c r="R88" i="56"/>
  <c r="S88" i="56"/>
  <c r="T88" i="56"/>
  <c r="N88" i="56"/>
  <c r="O87" i="56"/>
  <c r="P87" i="56"/>
  <c r="Q87" i="56"/>
  <c r="R87" i="56"/>
  <c r="S87" i="56"/>
  <c r="T87" i="56"/>
  <c r="N87" i="56"/>
  <c r="O86" i="56"/>
  <c r="P86" i="56"/>
  <c r="Q86" i="56"/>
  <c r="R86" i="56"/>
  <c r="S86" i="56"/>
  <c r="T86" i="56"/>
  <c r="N86" i="56"/>
  <c r="N85" i="56"/>
  <c r="O85" i="56"/>
  <c r="P85" i="56"/>
  <c r="Q85" i="56"/>
  <c r="R85" i="56"/>
  <c r="S85" i="56"/>
  <c r="T85" i="56"/>
  <c r="J120" i="56"/>
  <c r="K120" i="56"/>
  <c r="L120" i="56"/>
  <c r="M120" i="56"/>
  <c r="N120" i="56"/>
  <c r="O120" i="56"/>
  <c r="I120" i="56"/>
  <c r="T141" i="56"/>
  <c r="S141" i="56"/>
  <c r="R141" i="56"/>
  <c r="Q141" i="56"/>
  <c r="P141" i="56"/>
  <c r="O141" i="56"/>
  <c r="N141" i="56"/>
  <c r="M141" i="56"/>
  <c r="L141" i="56"/>
  <c r="K141" i="56"/>
  <c r="J141" i="56"/>
  <c r="T140" i="56"/>
  <c r="S140" i="56"/>
  <c r="R140" i="56"/>
  <c r="Q140" i="56"/>
  <c r="P140" i="56"/>
  <c r="O140" i="56"/>
  <c r="N140" i="56"/>
  <c r="M140" i="56"/>
  <c r="L140" i="56"/>
  <c r="K140" i="56"/>
  <c r="J140" i="56"/>
  <c r="T139" i="56"/>
  <c r="S139" i="56"/>
  <c r="R139" i="56"/>
  <c r="Q139" i="56"/>
  <c r="P139" i="56"/>
  <c r="O139" i="56"/>
  <c r="N139" i="56"/>
  <c r="M139" i="56"/>
  <c r="L139" i="56"/>
  <c r="K139" i="56"/>
  <c r="J139" i="56"/>
  <c r="I141" i="56"/>
  <c r="I140" i="56"/>
  <c r="I139" i="56"/>
  <c r="P104" i="56"/>
  <c r="P105" i="56"/>
  <c r="O83" i="56"/>
  <c r="P83" i="56"/>
  <c r="Q83" i="56"/>
  <c r="R83" i="56"/>
  <c r="S83" i="56"/>
  <c r="T83" i="56"/>
  <c r="O84" i="56"/>
  <c r="P84" i="56"/>
  <c r="Q84" i="56"/>
  <c r="R84" i="56"/>
  <c r="S84" i="56"/>
  <c r="T84" i="56"/>
  <c r="T82" i="56"/>
  <c r="S82" i="56"/>
  <c r="R82" i="56"/>
  <c r="Q82" i="56"/>
  <c r="P82" i="56"/>
  <c r="O82" i="56"/>
  <c r="N83" i="56"/>
  <c r="N84" i="56"/>
  <c r="N82" i="56"/>
  <c r="M83" i="56"/>
  <c r="M84" i="56"/>
  <c r="M82" i="56"/>
  <c r="L83" i="56"/>
  <c r="L84" i="56"/>
  <c r="L82" i="56"/>
  <c r="P103" i="56"/>
  <c r="J37" i="56"/>
  <c r="K37" i="56"/>
  <c r="L37" i="56"/>
  <c r="M37" i="56"/>
  <c r="N37" i="56"/>
  <c r="O37" i="56"/>
  <c r="P37" i="56"/>
  <c r="Q37" i="56"/>
  <c r="R37" i="56"/>
  <c r="S37" i="56"/>
  <c r="T37" i="56"/>
  <c r="U37" i="56"/>
  <c r="V37" i="56"/>
  <c r="W37" i="56"/>
  <c r="X37" i="56"/>
  <c r="Y37" i="56"/>
  <c r="Z37" i="56"/>
  <c r="I37" i="56"/>
  <c r="I25" i="56"/>
  <c r="J25" i="56"/>
  <c r="K25" i="56"/>
  <c r="L25" i="56"/>
  <c r="M25" i="56"/>
  <c r="N25" i="56"/>
  <c r="O25" i="56"/>
  <c r="P25" i="56"/>
  <c r="Q25" i="56"/>
  <c r="R25" i="56"/>
  <c r="S25" i="56"/>
  <c r="T25" i="56"/>
  <c r="U25" i="56"/>
  <c r="V25" i="56"/>
  <c r="W25" i="56"/>
  <c r="X25" i="56"/>
  <c r="Y25" i="56"/>
  <c r="Z25" i="56"/>
  <c r="H25" i="56"/>
  <c r="J39" i="56"/>
  <c r="K39" i="56"/>
  <c r="L39" i="56"/>
  <c r="M39" i="56"/>
  <c r="N39" i="56"/>
  <c r="O39" i="56"/>
  <c r="P39" i="56"/>
  <c r="Q39" i="56"/>
  <c r="R39" i="56"/>
  <c r="S39" i="56"/>
  <c r="T39" i="56"/>
  <c r="I39" i="56"/>
  <c r="K23" i="56"/>
  <c r="L23" i="56"/>
  <c r="M23" i="56"/>
  <c r="N23" i="56"/>
  <c r="O23" i="56"/>
  <c r="P23" i="56"/>
  <c r="Q23" i="56"/>
  <c r="R23" i="56"/>
  <c r="S23" i="56"/>
  <c r="T23" i="56"/>
  <c r="J23" i="56"/>
  <c r="AA18" i="112" l="1"/>
  <c r="AA36" i="112"/>
  <c r="U121" i="56"/>
  <c r="W26" i="113"/>
  <c r="Z36" i="112"/>
  <c r="T81" i="113"/>
  <c r="S80" i="113"/>
  <c r="S41" i="113" s="1"/>
  <c r="Y33" i="113"/>
  <c r="T30" i="113"/>
  <c r="U27" i="113"/>
  <c r="R65" i="113"/>
  <c r="Q64" i="113"/>
  <c r="Q39" i="113" s="1"/>
  <c r="Q34" i="113" s="1"/>
  <c r="U36" i="113"/>
  <c r="M45" i="113"/>
  <c r="N28" i="113"/>
  <c r="V64" i="56"/>
  <c r="V66" i="56"/>
  <c r="V58" i="56"/>
  <c r="V67" i="56"/>
  <c r="V63" i="56"/>
  <c r="Q75" i="56"/>
  <c r="S75" i="56"/>
  <c r="T75" i="56"/>
  <c r="R5" i="76"/>
  <c r="S5" i="76"/>
  <c r="T5" i="76"/>
  <c r="V121" i="56" l="1"/>
  <c r="X26" i="113"/>
  <c r="V68" i="56"/>
  <c r="V65" i="56"/>
  <c r="Z33" i="113"/>
  <c r="U30" i="113"/>
  <c r="V27" i="113"/>
  <c r="V36" i="113"/>
  <c r="S65" i="113"/>
  <c r="R64" i="113"/>
  <c r="R39" i="113" s="1"/>
  <c r="R34" i="113" s="1"/>
  <c r="N45" i="113"/>
  <c r="O28" i="113"/>
  <c r="T80" i="113"/>
  <c r="T41" i="113" s="1"/>
  <c r="U81" i="113"/>
  <c r="W83" i="56"/>
  <c r="W82" i="56"/>
  <c r="W58" i="56" s="1"/>
  <c r="W84" i="56"/>
  <c r="V60" i="56"/>
  <c r="W87" i="56"/>
  <c r="W66" i="56" s="1"/>
  <c r="W85" i="56"/>
  <c r="W63" i="56" s="1"/>
  <c r="W88" i="56"/>
  <c r="W67" i="56" s="1"/>
  <c r="W86" i="56"/>
  <c r="W64" i="56" s="1"/>
  <c r="I55" i="76"/>
  <c r="J55" i="76"/>
  <c r="K55" i="76"/>
  <c r="L55" i="76"/>
  <c r="M55" i="76"/>
  <c r="N55" i="76"/>
  <c r="O55" i="76"/>
  <c r="P55" i="76"/>
  <c r="H55" i="76"/>
  <c r="J48" i="76"/>
  <c r="K48" i="76"/>
  <c r="L48" i="76"/>
  <c r="M48" i="76"/>
  <c r="N48" i="76"/>
  <c r="O48" i="76"/>
  <c r="P48" i="76"/>
  <c r="Q48" i="76"/>
  <c r="R48" i="76"/>
  <c r="S48" i="76"/>
  <c r="T48" i="76"/>
  <c r="I48" i="76"/>
  <c r="I41" i="76"/>
  <c r="J41" i="76"/>
  <c r="K41" i="76"/>
  <c r="L41" i="76"/>
  <c r="M41" i="76"/>
  <c r="N41" i="76"/>
  <c r="O41" i="76"/>
  <c r="P41" i="76"/>
  <c r="Q41" i="76"/>
  <c r="R41" i="76"/>
  <c r="S41" i="76"/>
  <c r="T41" i="76"/>
  <c r="H41" i="76"/>
  <c r="Q55" i="76" l="1"/>
  <c r="Q56" i="76" s="1"/>
  <c r="S55" i="76"/>
  <c r="S56" i="76" s="1"/>
  <c r="T55" i="76"/>
  <c r="T56" i="76" s="1"/>
  <c r="R55" i="76"/>
  <c r="R56" i="76" s="1"/>
  <c r="W121" i="56"/>
  <c r="Y26" i="113"/>
  <c r="W65" i="56"/>
  <c r="V61" i="56"/>
  <c r="W68" i="56"/>
  <c r="O43" i="76"/>
  <c r="T65" i="113"/>
  <c r="S64" i="113"/>
  <c r="S39" i="113" s="1"/>
  <c r="S34" i="113" s="1"/>
  <c r="V30" i="113"/>
  <c r="W27" i="113"/>
  <c r="W36" i="113"/>
  <c r="O45" i="113"/>
  <c r="P28" i="113"/>
  <c r="U80" i="113"/>
  <c r="U41" i="113" s="1"/>
  <c r="V81" i="113"/>
  <c r="M43" i="76"/>
  <c r="T50" i="76"/>
  <c r="N50" i="76"/>
  <c r="M57" i="76"/>
  <c r="P50" i="76"/>
  <c r="O57" i="76"/>
  <c r="L57" i="76"/>
  <c r="Q43" i="76"/>
  <c r="K43" i="76"/>
  <c r="L50" i="76"/>
  <c r="X88" i="56"/>
  <c r="X67" i="56" s="1"/>
  <c r="X84" i="56"/>
  <c r="W60" i="56"/>
  <c r="X85" i="56"/>
  <c r="X63" i="56" s="1"/>
  <c r="X82" i="56"/>
  <c r="X58" i="56" s="1"/>
  <c r="X86" i="56"/>
  <c r="X64" i="56" s="1"/>
  <c r="X87" i="56"/>
  <c r="X66" i="56" s="1"/>
  <c r="X83" i="56"/>
  <c r="W59" i="56"/>
  <c r="J50" i="76"/>
  <c r="T43" i="76"/>
  <c r="N43" i="76"/>
  <c r="O50" i="76"/>
  <c r="N57" i="76"/>
  <c r="L43" i="76"/>
  <c r="M50" i="76"/>
  <c r="I43" i="76"/>
  <c r="P43" i="76"/>
  <c r="J43" i="76"/>
  <c r="Q50" i="76"/>
  <c r="K50" i="76"/>
  <c r="P57" i="76"/>
  <c r="J57" i="76"/>
  <c r="K57" i="76"/>
  <c r="S43" i="76"/>
  <c r="S50" i="76"/>
  <c r="R43" i="76"/>
  <c r="R50" i="76"/>
  <c r="I40" i="76"/>
  <c r="J40" i="76"/>
  <c r="K40" i="76"/>
  <c r="L40" i="76"/>
  <c r="M40" i="76"/>
  <c r="N40" i="76"/>
  <c r="O40" i="76"/>
  <c r="P40" i="76"/>
  <c r="Q40" i="76"/>
  <c r="R40" i="76"/>
  <c r="S40" i="76"/>
  <c r="T40" i="76"/>
  <c r="I47" i="76"/>
  <c r="J47" i="76"/>
  <c r="K47" i="76"/>
  <c r="L47" i="76"/>
  <c r="M47" i="76"/>
  <c r="N47" i="76"/>
  <c r="O47" i="76"/>
  <c r="P47" i="76"/>
  <c r="Q47" i="76"/>
  <c r="R47" i="76"/>
  <c r="S47" i="76"/>
  <c r="T47" i="76"/>
  <c r="I54" i="76"/>
  <c r="J54" i="76"/>
  <c r="K54" i="76"/>
  <c r="L54" i="76"/>
  <c r="M54" i="76"/>
  <c r="N54" i="76"/>
  <c r="O54" i="76"/>
  <c r="P54" i="76"/>
  <c r="Q54" i="76"/>
  <c r="R54" i="76"/>
  <c r="S54" i="76"/>
  <c r="T54" i="76"/>
  <c r="Q57" i="76" l="1"/>
  <c r="T57" i="76"/>
  <c r="R57" i="76"/>
  <c r="S57" i="76"/>
  <c r="X121" i="56"/>
  <c r="Z26" i="113"/>
  <c r="X68" i="56"/>
  <c r="W61" i="56"/>
  <c r="X65" i="56"/>
  <c r="W30" i="113"/>
  <c r="X27" i="113"/>
  <c r="W81" i="113"/>
  <c r="V80" i="113"/>
  <c r="V41" i="113" s="1"/>
  <c r="X36" i="113"/>
  <c r="P45" i="113"/>
  <c r="Q28" i="113"/>
  <c r="U65" i="113"/>
  <c r="T64" i="113"/>
  <c r="T39" i="113" s="1"/>
  <c r="T34" i="113" s="1"/>
  <c r="Y85" i="56"/>
  <c r="Y63" i="56" s="1"/>
  <c r="Y86" i="56"/>
  <c r="Y64" i="56" s="1"/>
  <c r="Y87" i="56"/>
  <c r="Y66" i="56" s="1"/>
  <c r="Y84" i="56"/>
  <c r="Y60" i="56" s="1"/>
  <c r="X60" i="56"/>
  <c r="Y83" i="56"/>
  <c r="Y59" i="56" s="1"/>
  <c r="X59" i="56"/>
  <c r="Y82" i="56"/>
  <c r="Y58" i="56" s="1"/>
  <c r="Y88" i="56"/>
  <c r="Y67" i="56" s="1"/>
  <c r="I30" i="76"/>
  <c r="J30" i="76"/>
  <c r="K30" i="76"/>
  <c r="L30" i="76"/>
  <c r="M30" i="76"/>
  <c r="N30" i="76"/>
  <c r="O30" i="76"/>
  <c r="P30" i="76"/>
  <c r="Q30" i="76"/>
  <c r="R30" i="76"/>
  <c r="S30" i="76"/>
  <c r="T30" i="76"/>
  <c r="H30" i="76"/>
  <c r="I32" i="76"/>
  <c r="J32" i="76"/>
  <c r="K32" i="76"/>
  <c r="L32" i="76"/>
  <c r="M32" i="76"/>
  <c r="N32" i="76"/>
  <c r="O32" i="76"/>
  <c r="P32" i="76"/>
  <c r="Q32" i="76"/>
  <c r="R32" i="76"/>
  <c r="S32" i="76"/>
  <c r="T32" i="76"/>
  <c r="H48" i="76"/>
  <c r="I31" i="76"/>
  <c r="J31" i="76"/>
  <c r="K31" i="76"/>
  <c r="L31" i="76"/>
  <c r="M31" i="76"/>
  <c r="N31" i="76"/>
  <c r="O31" i="76"/>
  <c r="P31" i="76"/>
  <c r="Q31" i="76"/>
  <c r="R31" i="76"/>
  <c r="S31" i="76"/>
  <c r="T31" i="76"/>
  <c r="V46" i="76" l="1"/>
  <c r="W46" i="76" s="1"/>
  <c r="X46" i="76" s="1"/>
  <c r="Y46" i="76" s="1"/>
  <c r="Z46" i="76" s="1"/>
  <c r="AA46" i="76" s="1"/>
  <c r="AA48" i="76" s="1"/>
  <c r="V53" i="76"/>
  <c r="W53" i="76" s="1"/>
  <c r="X53" i="76" s="1"/>
  <c r="Y53" i="76" s="1"/>
  <c r="Z53" i="76" s="1"/>
  <c r="AA53" i="76" s="1"/>
  <c r="Y121" i="56"/>
  <c r="X61" i="56"/>
  <c r="Y65" i="56"/>
  <c r="Y68" i="56"/>
  <c r="Y61" i="56"/>
  <c r="Y36" i="113"/>
  <c r="Z36" i="113"/>
  <c r="Q45" i="113"/>
  <c r="R28" i="113"/>
  <c r="X81" i="113"/>
  <c r="W80" i="113"/>
  <c r="W41" i="113" s="1"/>
  <c r="V65" i="113"/>
  <c r="X30" i="113"/>
  <c r="Y27" i="113"/>
  <c r="Z87" i="56"/>
  <c r="Z82" i="56"/>
  <c r="Z83" i="56"/>
  <c r="Z86" i="56"/>
  <c r="Z88" i="56"/>
  <c r="Z84" i="56"/>
  <c r="Z85" i="56"/>
  <c r="H31" i="76"/>
  <c r="I50" i="76"/>
  <c r="V39" i="76"/>
  <c r="V41" i="76" s="1"/>
  <c r="AA15" i="76" l="1"/>
  <c r="AA16" i="76"/>
  <c r="Z64" i="56"/>
  <c r="AA86" i="56"/>
  <c r="AA64" i="56" s="1"/>
  <c r="Z58" i="56"/>
  <c r="AA82" i="56"/>
  <c r="AA58" i="56" s="1"/>
  <c r="Z66" i="56"/>
  <c r="AA87" i="56"/>
  <c r="AA66" i="56" s="1"/>
  <c r="Z59" i="56"/>
  <c r="AA83" i="56"/>
  <c r="AA59" i="56" s="1"/>
  <c r="AA140" i="56" s="1"/>
  <c r="Z63" i="56"/>
  <c r="AA85" i="56"/>
  <c r="AA63" i="56" s="1"/>
  <c r="Z60" i="56"/>
  <c r="Z141" i="56" s="1"/>
  <c r="AA84" i="56"/>
  <c r="AA60" i="56" s="1"/>
  <c r="AA141" i="56" s="1"/>
  <c r="Z67" i="56"/>
  <c r="AA88" i="56"/>
  <c r="AA67" i="56" s="1"/>
  <c r="AA31" i="76"/>
  <c r="W65" i="113"/>
  <c r="R45" i="113"/>
  <c r="S28" i="113"/>
  <c r="Y81" i="113"/>
  <c r="X80" i="113"/>
  <c r="X41" i="113" s="1"/>
  <c r="Y30" i="113"/>
  <c r="Z27" i="113"/>
  <c r="Z30" i="113" s="1"/>
  <c r="U41" i="76"/>
  <c r="W39" i="76"/>
  <c r="Z125" i="56" l="1"/>
  <c r="U30" i="76"/>
  <c r="U55" i="76"/>
  <c r="U56" i="76" s="1"/>
  <c r="V56" i="76" s="1"/>
  <c r="W56" i="76" s="1"/>
  <c r="Z68" i="56"/>
  <c r="Z121" i="56"/>
  <c r="Z65" i="56"/>
  <c r="Z61" i="56"/>
  <c r="AA68" i="56"/>
  <c r="AA125" i="56"/>
  <c r="AA121" i="56"/>
  <c r="AA65" i="56"/>
  <c r="AA61" i="56"/>
  <c r="AA139" i="56"/>
  <c r="V43" i="76"/>
  <c r="T28" i="113"/>
  <c r="S45" i="113"/>
  <c r="Z81" i="113"/>
  <c r="Z80" i="113" s="1"/>
  <c r="Z41" i="113" s="1"/>
  <c r="Y80" i="113"/>
  <c r="Y41" i="113" s="1"/>
  <c r="X65" i="113"/>
  <c r="U43" i="76"/>
  <c r="V30" i="76"/>
  <c r="X39" i="76"/>
  <c r="W41" i="76"/>
  <c r="AA145" i="56" l="1"/>
  <c r="AA120" i="56" s="1"/>
  <c r="X56" i="76"/>
  <c r="Y56" i="76" s="1"/>
  <c r="Z56" i="76" s="1"/>
  <c r="T45" i="113"/>
  <c r="U28" i="113"/>
  <c r="Y65" i="113"/>
  <c r="W30" i="76"/>
  <c r="W43" i="76"/>
  <c r="Y39" i="76"/>
  <c r="X41" i="76"/>
  <c r="Z65" i="113" l="1"/>
  <c r="V28" i="113"/>
  <c r="X30" i="76"/>
  <c r="X43" i="76"/>
  <c r="Z39" i="76"/>
  <c r="AA39" i="76" s="1"/>
  <c r="Y41" i="76"/>
  <c r="AA55" i="76" l="1"/>
  <c r="AA32" i="76" s="1"/>
  <c r="AA41" i="76"/>
  <c r="AA14" i="76"/>
  <c r="W28" i="113"/>
  <c r="Y30" i="76"/>
  <c r="Y43" i="76"/>
  <c r="Z41" i="76"/>
  <c r="AA2" i="76" l="1"/>
  <c r="AA20" i="76" s="1"/>
  <c r="AA30" i="76"/>
  <c r="AA4" i="76" s="1"/>
  <c r="AA43" i="76"/>
  <c r="X28" i="113"/>
  <c r="Z30" i="76"/>
  <c r="Z43" i="76"/>
  <c r="B77" i="9"/>
  <c r="C77" i="9"/>
  <c r="D77" i="9"/>
  <c r="E77" i="9"/>
  <c r="F77" i="9"/>
  <c r="G77" i="9"/>
  <c r="H77" i="9"/>
  <c r="AA6" i="76" l="1"/>
  <c r="AA40" i="9" s="1"/>
  <c r="AA33" i="76"/>
  <c r="AA35" i="76"/>
  <c r="AA17" i="76"/>
  <c r="AA22" i="76"/>
  <c r="AA21" i="76"/>
  <c r="Y28" i="113"/>
  <c r="T68" i="112"/>
  <c r="T67" i="112"/>
  <c r="T70" i="112"/>
  <c r="Z28" i="113" l="1"/>
  <c r="CQ165" i="68" l="1"/>
  <c r="CQ169" i="68"/>
  <c r="T5" i="112" l="1"/>
  <c r="P142" i="56" l="1"/>
  <c r="Q142" i="56"/>
  <c r="R142" i="56"/>
  <c r="S142" i="56"/>
  <c r="T143" i="56"/>
  <c r="P144" i="56"/>
  <c r="Q144" i="56"/>
  <c r="R144" i="56"/>
  <c r="S144" i="56"/>
  <c r="I136" i="56"/>
  <c r="J136" i="56"/>
  <c r="K136" i="56"/>
  <c r="Q120" i="56" l="1"/>
  <c r="P120" i="56"/>
  <c r="R120" i="56"/>
  <c r="S120" i="56"/>
  <c r="T142" i="56"/>
  <c r="T144" i="56"/>
  <c r="T120" i="56" l="1"/>
  <c r="T145" i="56"/>
  <c r="T31" i="58"/>
  <c r="U26" i="58"/>
  <c r="V26" i="58" s="1"/>
  <c r="N31" i="58"/>
  <c r="O31" i="58"/>
  <c r="P31" i="58"/>
  <c r="R31" i="58"/>
  <c r="S31" i="58"/>
  <c r="O32" i="58"/>
  <c r="P32" i="58"/>
  <c r="S32" i="58"/>
  <c r="T32" i="58"/>
  <c r="U39" i="58" l="1"/>
  <c r="T39" i="58"/>
  <c r="U29" i="58"/>
  <c r="U27" i="58"/>
  <c r="U28" i="58"/>
  <c r="W26" i="58"/>
  <c r="V27" i="58" l="1"/>
  <c r="X26" i="58"/>
  <c r="Y26" i="58" l="1"/>
  <c r="Z26" i="58" l="1"/>
  <c r="AA26" i="58" s="1"/>
  <c r="U50" i="76" l="1"/>
  <c r="U31" i="76" l="1"/>
  <c r="V48" i="76"/>
  <c r="V50" i="76" s="1"/>
  <c r="V31" i="76" l="1"/>
  <c r="W48" i="76"/>
  <c r="W50" i="76" s="1"/>
  <c r="W31" i="76" l="1"/>
  <c r="X48" i="76"/>
  <c r="X50" i="76" s="1"/>
  <c r="R53" i="56"/>
  <c r="Q53" i="56"/>
  <c r="P53" i="56"/>
  <c r="O53" i="56"/>
  <c r="N53" i="56"/>
  <c r="M53" i="56"/>
  <c r="L53" i="56"/>
  <c r="K53" i="56"/>
  <c r="J53" i="56"/>
  <c r="I53" i="56"/>
  <c r="H53" i="56"/>
  <c r="G53" i="56"/>
  <c r="F53" i="56"/>
  <c r="E53" i="56"/>
  <c r="D53" i="56"/>
  <c r="C53" i="56"/>
  <c r="B53" i="56"/>
  <c r="X31" i="76" l="1"/>
  <c r="Y48" i="76"/>
  <c r="Y50" i="76" s="1"/>
  <c r="U4" i="9"/>
  <c r="U57" i="9"/>
  <c r="T57" i="9"/>
  <c r="S57" i="9"/>
  <c r="R57" i="9"/>
  <c r="Q57" i="9"/>
  <c r="U157" i="9"/>
  <c r="U139" i="9"/>
  <c r="U123" i="9"/>
  <c r="V2" i="9"/>
  <c r="C2" i="112"/>
  <c r="C64" i="112" s="1"/>
  <c r="C79" i="112" s="1"/>
  <c r="C95" i="112" s="1"/>
  <c r="D2" i="112"/>
  <c r="D64" i="112" s="1"/>
  <c r="D79" i="112" s="1"/>
  <c r="D95" i="112" s="1"/>
  <c r="E2" i="112"/>
  <c r="E64" i="112" s="1"/>
  <c r="E79" i="112" s="1"/>
  <c r="E95" i="112" s="1"/>
  <c r="F2" i="112"/>
  <c r="F64" i="112" s="1"/>
  <c r="F79" i="112" s="1"/>
  <c r="F95" i="112" s="1"/>
  <c r="G2" i="112"/>
  <c r="G64" i="112" s="1"/>
  <c r="G79" i="112" s="1"/>
  <c r="G95" i="112" s="1"/>
  <c r="H2" i="112"/>
  <c r="H64" i="112" s="1"/>
  <c r="H79" i="112" s="1"/>
  <c r="H95" i="112" s="1"/>
  <c r="I2" i="112"/>
  <c r="I64" i="112" s="1"/>
  <c r="I79" i="112" s="1"/>
  <c r="I95" i="112" s="1"/>
  <c r="J2" i="112"/>
  <c r="J64" i="112" s="1"/>
  <c r="J79" i="112" s="1"/>
  <c r="J95" i="112" s="1"/>
  <c r="K2" i="112"/>
  <c r="K64" i="112" s="1"/>
  <c r="K79" i="112" s="1"/>
  <c r="K95" i="112" s="1"/>
  <c r="L2" i="112"/>
  <c r="L64" i="112" s="1"/>
  <c r="L79" i="112" s="1"/>
  <c r="L95" i="112" s="1"/>
  <c r="M2" i="112"/>
  <c r="M64" i="112" s="1"/>
  <c r="M79" i="112" s="1"/>
  <c r="M95" i="112" s="1"/>
  <c r="N2" i="112"/>
  <c r="N64" i="112" s="1"/>
  <c r="N79" i="112" s="1"/>
  <c r="N95" i="112" s="1"/>
  <c r="O2" i="112"/>
  <c r="O64" i="112" s="1"/>
  <c r="O79" i="112" s="1"/>
  <c r="O95" i="112" s="1"/>
  <c r="P2" i="112"/>
  <c r="P64" i="112" s="1"/>
  <c r="P79" i="112" s="1"/>
  <c r="P95" i="112" s="1"/>
  <c r="B2" i="112"/>
  <c r="B64" i="112" l="1"/>
  <c r="B79" i="112" s="1"/>
  <c r="B95" i="112" s="1"/>
  <c r="V141" i="111"/>
  <c r="V25" i="113"/>
  <c r="V131" i="111"/>
  <c r="V42" i="111"/>
  <c r="V95" i="112"/>
  <c r="V150" i="9"/>
  <c r="Y31" i="76"/>
  <c r="Z48" i="76"/>
  <c r="V57" i="9"/>
  <c r="V139" i="9"/>
  <c r="V157" i="9"/>
  <c r="W2" i="9"/>
  <c r="V4" i="9"/>
  <c r="V123" i="9"/>
  <c r="Z50" i="76" l="1"/>
  <c r="AA50" i="76"/>
  <c r="W131" i="111"/>
  <c r="W141" i="111"/>
  <c r="W42" i="111"/>
  <c r="W25" i="113"/>
  <c r="W95" i="112"/>
  <c r="W150" i="9"/>
  <c r="Z31" i="76"/>
  <c r="W157" i="9"/>
  <c r="W139" i="9"/>
  <c r="W4" i="9"/>
  <c r="W123" i="9"/>
  <c r="X2" i="9"/>
  <c r="W57" i="9"/>
  <c r="X141" i="111" l="1"/>
  <c r="X131" i="111"/>
  <c r="X42" i="111"/>
  <c r="X25" i="113"/>
  <c r="X95" i="112"/>
  <c r="X150" i="9"/>
  <c r="X4" i="9"/>
  <c r="X139" i="9"/>
  <c r="X123" i="9"/>
  <c r="X157" i="9"/>
  <c r="X57" i="9"/>
  <c r="Y2" i="9"/>
  <c r="Y131" i="111" l="1"/>
  <c r="Y141" i="111"/>
  <c r="Y42" i="111"/>
  <c r="Y25" i="113"/>
  <c r="Y95" i="112"/>
  <c r="Y150" i="9"/>
  <c r="Y123" i="9"/>
  <c r="Y157" i="9"/>
  <c r="Y139" i="9"/>
  <c r="Y57" i="9"/>
  <c r="Y4" i="9"/>
  <c r="Z2" i="9"/>
  <c r="AA2" i="9" s="1"/>
  <c r="AA157" i="9" l="1"/>
  <c r="AA131" i="111"/>
  <c r="AA57" i="9"/>
  <c r="AA4" i="9"/>
  <c r="AA95" i="112"/>
  <c r="AA139" i="9"/>
  <c r="AA123" i="9"/>
  <c r="AA141" i="111"/>
  <c r="AA150" i="9"/>
  <c r="Z141" i="111"/>
  <c r="Z131" i="111"/>
  <c r="Z25" i="113"/>
  <c r="Z42" i="111"/>
  <c r="AA42" i="111" s="1"/>
  <c r="Z95" i="112"/>
  <c r="Z150" i="9"/>
  <c r="Z157" i="9"/>
  <c r="Z139" i="9"/>
  <c r="Z57" i="9"/>
  <c r="Z4" i="9"/>
  <c r="Z123" i="9"/>
  <c r="T73" i="112" l="1"/>
  <c r="Z116" i="111"/>
  <c r="Y116" i="111"/>
  <c r="X116" i="111"/>
  <c r="W116" i="111"/>
  <c r="V116" i="111"/>
  <c r="U116" i="111"/>
  <c r="T116" i="111"/>
  <c r="S116" i="111"/>
  <c r="R116" i="111"/>
  <c r="Q116" i="111"/>
  <c r="P116" i="111"/>
  <c r="O116" i="111"/>
  <c r="N116" i="111"/>
  <c r="M116" i="111"/>
  <c r="L116" i="111"/>
  <c r="K116" i="111"/>
  <c r="T99" i="111"/>
  <c r="S99" i="111"/>
  <c r="R99" i="111"/>
  <c r="U97" i="111"/>
  <c r="U96" i="111"/>
  <c r="V96" i="111" s="1"/>
  <c r="W96" i="111" s="1"/>
  <c r="X96" i="111" s="1"/>
  <c r="Y96" i="111" s="1"/>
  <c r="Z96" i="111" s="1"/>
  <c r="AA96" i="111" s="1"/>
  <c r="T88" i="111"/>
  <c r="S88" i="111"/>
  <c r="R88" i="111"/>
  <c r="Q88" i="111"/>
  <c r="P88" i="111"/>
  <c r="O88" i="111"/>
  <c r="J19" i="111"/>
  <c r="K19" i="111"/>
  <c r="B19" i="111"/>
  <c r="C19" i="111"/>
  <c r="D19" i="111"/>
  <c r="E19" i="111"/>
  <c r="G19" i="111"/>
  <c r="F19" i="111"/>
  <c r="H19" i="111"/>
  <c r="C17" i="111"/>
  <c r="D17" i="111"/>
  <c r="E17" i="111"/>
  <c r="F17" i="111"/>
  <c r="G17" i="111"/>
  <c r="H17" i="111"/>
  <c r="I17" i="111"/>
  <c r="J17" i="111"/>
  <c r="K17" i="111"/>
  <c r="L17" i="111"/>
  <c r="M17" i="111"/>
  <c r="N17" i="111"/>
  <c r="B17" i="111"/>
  <c r="B2" i="111"/>
  <c r="D2" i="111"/>
  <c r="E2" i="111"/>
  <c r="F2" i="111"/>
  <c r="G2" i="111"/>
  <c r="C2" i="111"/>
  <c r="I2" i="111"/>
  <c r="J2" i="111"/>
  <c r="K2" i="111"/>
  <c r="L2" i="111"/>
  <c r="M2" i="111"/>
  <c r="N2" i="111"/>
  <c r="O2" i="111"/>
  <c r="H2" i="111"/>
  <c r="C41" i="111"/>
  <c r="D41" i="111"/>
  <c r="E41" i="111"/>
  <c r="F41" i="111"/>
  <c r="G41" i="111"/>
  <c r="H41" i="111"/>
  <c r="I41" i="111"/>
  <c r="J41" i="111"/>
  <c r="K41" i="111"/>
  <c r="L41" i="111"/>
  <c r="M41" i="111"/>
  <c r="N41" i="111"/>
  <c r="P41" i="111"/>
  <c r="B41" i="111"/>
  <c r="Q41" i="111"/>
  <c r="R41" i="111"/>
  <c r="S41" i="111"/>
  <c r="T41" i="111"/>
  <c r="V2" i="111"/>
  <c r="Y36" i="9"/>
  <c r="Z36" i="9"/>
  <c r="Y38" i="9"/>
  <c r="Z38" i="9"/>
  <c r="Y39" i="9"/>
  <c r="Z39" i="9"/>
  <c r="Y47" i="9"/>
  <c r="Z47" i="9"/>
  <c r="Y48" i="9"/>
  <c r="Z48" i="9"/>
  <c r="Y46" i="56"/>
  <c r="Z46" i="56"/>
  <c r="Z139" i="56"/>
  <c r="X36" i="9"/>
  <c r="X38" i="9"/>
  <c r="X39" i="9"/>
  <c r="X47" i="9"/>
  <c r="X48" i="9"/>
  <c r="U1" i="58"/>
  <c r="V1" i="58" s="1"/>
  <c r="W1" i="58" s="1"/>
  <c r="X1" i="58" s="1"/>
  <c r="Y1" i="58" s="1"/>
  <c r="Z1" i="58" s="1"/>
  <c r="AA1" i="58" s="1"/>
  <c r="K83" i="111" l="1"/>
  <c r="K71" i="111"/>
  <c r="K118" i="111"/>
  <c r="K124" i="111"/>
  <c r="K59" i="111"/>
  <c r="E83" i="111"/>
  <c r="E71" i="111"/>
  <c r="E118" i="111"/>
  <c r="E59" i="111"/>
  <c r="E124" i="111"/>
  <c r="V118" i="111"/>
  <c r="V83" i="111"/>
  <c r="V124" i="111"/>
  <c r="V71" i="111"/>
  <c r="V59" i="111"/>
  <c r="H59" i="111"/>
  <c r="H124" i="111"/>
  <c r="H118" i="111"/>
  <c r="H83" i="111"/>
  <c r="H71" i="111"/>
  <c r="J118" i="111"/>
  <c r="J83" i="111"/>
  <c r="J71" i="111"/>
  <c r="J59" i="111"/>
  <c r="J124" i="111"/>
  <c r="D118" i="111"/>
  <c r="D83" i="111"/>
  <c r="D124" i="111"/>
  <c r="D71" i="111"/>
  <c r="D59" i="111"/>
  <c r="O124" i="111"/>
  <c r="O118" i="111"/>
  <c r="O83" i="111"/>
  <c r="O59" i="111"/>
  <c r="O71" i="111"/>
  <c r="I124" i="111"/>
  <c r="I118" i="111"/>
  <c r="I59" i="111"/>
  <c r="I83" i="111"/>
  <c r="I71" i="111"/>
  <c r="B59" i="111"/>
  <c r="B124" i="111"/>
  <c r="B118" i="111"/>
  <c r="B71" i="111"/>
  <c r="B99" i="111"/>
  <c r="B83" i="111"/>
  <c r="N59" i="111"/>
  <c r="N124" i="111"/>
  <c r="N118" i="111"/>
  <c r="N71" i="111"/>
  <c r="N83" i="111"/>
  <c r="C124" i="111"/>
  <c r="C118" i="111"/>
  <c r="C83" i="111"/>
  <c r="C71" i="111"/>
  <c r="C59" i="111"/>
  <c r="M59" i="111"/>
  <c r="M124" i="111"/>
  <c r="M83" i="111"/>
  <c r="M118" i="111"/>
  <c r="M71" i="111"/>
  <c r="G59" i="111"/>
  <c r="G71" i="111"/>
  <c r="G124" i="111"/>
  <c r="G118" i="111"/>
  <c r="G83" i="111"/>
  <c r="L71" i="111"/>
  <c r="L83" i="111"/>
  <c r="L59" i="111"/>
  <c r="L124" i="111"/>
  <c r="L118" i="111"/>
  <c r="F71" i="111"/>
  <c r="F59" i="111"/>
  <c r="F118" i="111"/>
  <c r="F124" i="111"/>
  <c r="F83" i="111"/>
  <c r="V97" i="111"/>
  <c r="W2" i="111"/>
  <c r="V99" i="111"/>
  <c r="Z77" i="9"/>
  <c r="X77" i="9"/>
  <c r="Y77" i="9"/>
  <c r="Z140" i="56"/>
  <c r="Z145" i="56" s="1"/>
  <c r="Z120" i="56" l="1"/>
  <c r="W83" i="111"/>
  <c r="W71" i="111"/>
  <c r="W124" i="111"/>
  <c r="W118" i="111"/>
  <c r="W59" i="111"/>
  <c r="W97" i="111"/>
  <c r="X2" i="111"/>
  <c r="W99" i="111"/>
  <c r="X71" i="111" l="1"/>
  <c r="X59" i="111"/>
  <c r="X118" i="111"/>
  <c r="X124" i="111"/>
  <c r="X83" i="111"/>
  <c r="X97" i="111"/>
  <c r="Y2" i="111"/>
  <c r="X99" i="111"/>
  <c r="V50" i="111"/>
  <c r="W50" i="111" s="1"/>
  <c r="Y59" i="111" l="1"/>
  <c r="Y83" i="111"/>
  <c r="Y124" i="111"/>
  <c r="Y71" i="111"/>
  <c r="Y118" i="111"/>
  <c r="Y97" i="111"/>
  <c r="Y99" i="111"/>
  <c r="Z2" i="111"/>
  <c r="AA2" i="111" s="1"/>
  <c r="X50" i="111"/>
  <c r="C1" i="113"/>
  <c r="P17" i="111"/>
  <c r="S17" i="111"/>
  <c r="T17" i="111"/>
  <c r="R17" i="111"/>
  <c r="Q17" i="111"/>
  <c r="P2" i="111"/>
  <c r="B124" i="9"/>
  <c r="C124" i="9"/>
  <c r="D124" i="9"/>
  <c r="E124" i="9"/>
  <c r="F124" i="9"/>
  <c r="G124" i="9"/>
  <c r="H124" i="9"/>
  <c r="I124" i="9"/>
  <c r="J124" i="9"/>
  <c r="K124" i="9"/>
  <c r="L124" i="9"/>
  <c r="M124" i="9"/>
  <c r="N124" i="9"/>
  <c r="O124" i="9"/>
  <c r="P124" i="9"/>
  <c r="Q124" i="9"/>
  <c r="R124" i="9"/>
  <c r="S124" i="9"/>
  <c r="T124" i="9"/>
  <c r="B125" i="9"/>
  <c r="C125" i="9"/>
  <c r="D125" i="9"/>
  <c r="E125" i="9"/>
  <c r="F125" i="9"/>
  <c r="G125" i="9"/>
  <c r="H125" i="9"/>
  <c r="J125" i="9"/>
  <c r="K125" i="9"/>
  <c r="L125" i="9"/>
  <c r="B133" i="9"/>
  <c r="C133" i="9"/>
  <c r="C137" i="9" s="1"/>
  <c r="D133" i="9"/>
  <c r="D137" i="9" s="1"/>
  <c r="E133" i="9"/>
  <c r="E137" i="9" s="1"/>
  <c r="F133" i="9"/>
  <c r="F137" i="9" s="1"/>
  <c r="G133" i="9"/>
  <c r="G137" i="9" s="1"/>
  <c r="H133" i="9"/>
  <c r="J133" i="9"/>
  <c r="J137" i="9" s="1"/>
  <c r="K133" i="9"/>
  <c r="K137" i="9" s="1"/>
  <c r="L133" i="9"/>
  <c r="L137" i="9" s="1"/>
  <c r="M133" i="9"/>
  <c r="M137" i="9" s="1"/>
  <c r="N133" i="9"/>
  <c r="O133" i="9"/>
  <c r="O137" i="9" s="1"/>
  <c r="P133" i="9"/>
  <c r="P137" i="9" s="1"/>
  <c r="B134" i="9"/>
  <c r="C134" i="9"/>
  <c r="D134" i="9"/>
  <c r="E134" i="9"/>
  <c r="F134" i="9"/>
  <c r="G134" i="9"/>
  <c r="H134" i="9"/>
  <c r="I134" i="9"/>
  <c r="J134" i="9"/>
  <c r="K134" i="9"/>
  <c r="L134" i="9"/>
  <c r="M134" i="9"/>
  <c r="N134" i="9"/>
  <c r="O134" i="9"/>
  <c r="P134" i="9"/>
  <c r="I136" i="9"/>
  <c r="I133" i="9" s="1"/>
  <c r="Q136" i="9"/>
  <c r="R136" i="9" s="1"/>
  <c r="R2" i="112"/>
  <c r="R64" i="112" s="1"/>
  <c r="R79" i="112" s="1"/>
  <c r="R95" i="112" s="1"/>
  <c r="S2" i="112"/>
  <c r="S64" i="112" s="1"/>
  <c r="S79" i="112" s="1"/>
  <c r="S95" i="112" s="1"/>
  <c r="T2" i="112"/>
  <c r="Q2" i="112"/>
  <c r="A61" i="112"/>
  <c r="L56" i="112"/>
  <c r="K56" i="112"/>
  <c r="I52" i="112"/>
  <c r="H52" i="112"/>
  <c r="G52" i="112"/>
  <c r="F52" i="112"/>
  <c r="E52" i="112"/>
  <c r="D52" i="112"/>
  <c r="C52" i="112"/>
  <c r="B52" i="112"/>
  <c r="T51" i="112"/>
  <c r="S51" i="112"/>
  <c r="R51" i="112"/>
  <c r="Q51" i="112"/>
  <c r="P51" i="112"/>
  <c r="O51" i="112"/>
  <c r="N51" i="112"/>
  <c r="M51" i="112"/>
  <c r="L51" i="112"/>
  <c r="K51" i="112"/>
  <c r="J51" i="112"/>
  <c r="I50" i="112"/>
  <c r="H50" i="112"/>
  <c r="G50" i="112"/>
  <c r="F50" i="112"/>
  <c r="E50" i="112"/>
  <c r="D50" i="112"/>
  <c r="C50" i="112"/>
  <c r="B50" i="112"/>
  <c r="P46" i="112"/>
  <c r="O46" i="112"/>
  <c r="N46" i="112"/>
  <c r="M46" i="112"/>
  <c r="J46" i="112"/>
  <c r="I46" i="112"/>
  <c r="T40" i="112"/>
  <c r="S40" i="112"/>
  <c r="R40" i="112"/>
  <c r="Q40" i="112"/>
  <c r="P40" i="112"/>
  <c r="O40" i="112"/>
  <c r="N40" i="112"/>
  <c r="M40" i="112"/>
  <c r="L40" i="112"/>
  <c r="K39" i="112"/>
  <c r="J39" i="112"/>
  <c r="I39" i="112"/>
  <c r="G34" i="112"/>
  <c r="K31" i="112"/>
  <c r="J31" i="112"/>
  <c r="H31" i="112"/>
  <c r="G31" i="112"/>
  <c r="F31" i="112"/>
  <c r="E31" i="112"/>
  <c r="D31" i="112"/>
  <c r="C31" i="112"/>
  <c r="B31" i="112"/>
  <c r="K29" i="112"/>
  <c r="J29" i="112"/>
  <c r="H29" i="112"/>
  <c r="G29" i="112"/>
  <c r="F29" i="112"/>
  <c r="E29" i="112"/>
  <c r="D29" i="112"/>
  <c r="C29" i="112"/>
  <c r="B29" i="112"/>
  <c r="N26" i="112"/>
  <c r="N83" i="112" s="1"/>
  <c r="I24" i="112"/>
  <c r="T18" i="112"/>
  <c r="S18" i="112"/>
  <c r="R18" i="112"/>
  <c r="Q18" i="112"/>
  <c r="P18" i="112"/>
  <c r="O18" i="112"/>
  <c r="N18" i="112"/>
  <c r="M18" i="112"/>
  <c r="L18" i="112"/>
  <c r="H15" i="112"/>
  <c r="M15" i="112" s="1"/>
  <c r="G15" i="112"/>
  <c r="F15" i="112"/>
  <c r="E15" i="112"/>
  <c r="D15" i="112"/>
  <c r="C15" i="112"/>
  <c r="B15" i="112"/>
  <c r="H12" i="112"/>
  <c r="G12" i="112"/>
  <c r="F12" i="112"/>
  <c r="E12" i="112"/>
  <c r="D12" i="112"/>
  <c r="C12" i="112"/>
  <c r="B12" i="112"/>
  <c r="B13" i="112" s="1"/>
  <c r="I11" i="112"/>
  <c r="T10" i="112"/>
  <c r="S10" i="112"/>
  <c r="R10" i="112"/>
  <c r="Q10" i="112"/>
  <c r="P10" i="112"/>
  <c r="O10" i="112"/>
  <c r="N10" i="112"/>
  <c r="M10" i="112"/>
  <c r="L10" i="112"/>
  <c r="J10" i="112"/>
  <c r="I10" i="112"/>
  <c r="T7" i="112"/>
  <c r="S7" i="112"/>
  <c r="R7" i="112"/>
  <c r="Q7" i="112"/>
  <c r="P7" i="112"/>
  <c r="O7" i="112"/>
  <c r="N7" i="112"/>
  <c r="M7" i="112"/>
  <c r="L7" i="112"/>
  <c r="K7" i="112"/>
  <c r="J7" i="112"/>
  <c r="I7" i="112"/>
  <c r="T6" i="112"/>
  <c r="S6" i="112"/>
  <c r="R6" i="112"/>
  <c r="Q6" i="112"/>
  <c r="P6" i="112"/>
  <c r="O6" i="112"/>
  <c r="N6" i="112"/>
  <c r="M6" i="112"/>
  <c r="L6" i="112"/>
  <c r="K6" i="112"/>
  <c r="J6" i="112"/>
  <c r="I6" i="112"/>
  <c r="S5" i="112"/>
  <c r="R5" i="112"/>
  <c r="Q5" i="112"/>
  <c r="P5" i="112"/>
  <c r="O5" i="112"/>
  <c r="N5" i="112"/>
  <c r="M5" i="112"/>
  <c r="L5" i="112"/>
  <c r="K5" i="112"/>
  <c r="J5" i="112"/>
  <c r="I5" i="112"/>
  <c r="P4" i="112"/>
  <c r="O4" i="112"/>
  <c r="N4" i="112"/>
  <c r="M4" i="112"/>
  <c r="F56" i="111"/>
  <c r="E56" i="111"/>
  <c r="D56" i="111"/>
  <c r="C56" i="111"/>
  <c r="I56" i="111"/>
  <c r="G56" i="111"/>
  <c r="V53" i="111"/>
  <c r="W53" i="111" s="1"/>
  <c r="T52" i="111"/>
  <c r="H50" i="111"/>
  <c r="T43" i="111"/>
  <c r="S43" i="111"/>
  <c r="R43" i="111"/>
  <c r="Q43" i="111"/>
  <c r="P43" i="111"/>
  <c r="O43" i="111"/>
  <c r="N43" i="111"/>
  <c r="V38" i="111"/>
  <c r="W38" i="111" s="1"/>
  <c r="V34" i="111"/>
  <c r="W34" i="111" s="1"/>
  <c r="T32" i="111"/>
  <c r="S32" i="111"/>
  <c r="R32" i="111"/>
  <c r="Q32" i="111"/>
  <c r="P32" i="111"/>
  <c r="O32" i="111"/>
  <c r="N32" i="111"/>
  <c r="V31" i="111"/>
  <c r="W31" i="111" s="1"/>
  <c r="U61" i="111"/>
  <c r="T22" i="111"/>
  <c r="S22" i="111"/>
  <c r="R22" i="111"/>
  <c r="Q22" i="111"/>
  <c r="P22" i="111"/>
  <c r="O22" i="111"/>
  <c r="N22" i="111"/>
  <c r="I13" i="111"/>
  <c r="H13" i="111"/>
  <c r="G13" i="111"/>
  <c r="F13" i="111"/>
  <c r="E13" i="111"/>
  <c r="D13" i="111"/>
  <c r="C13" i="111"/>
  <c r="U62" i="111"/>
  <c r="V10" i="111"/>
  <c r="W10" i="111" s="1"/>
  <c r="W13" i="111"/>
  <c r="X13" i="111" s="1"/>
  <c r="Y13" i="111" s="1"/>
  <c r="Z13" i="111" s="1"/>
  <c r="AA13" i="111" s="1"/>
  <c r="N6" i="111"/>
  <c r="AA124" i="111" l="1"/>
  <c r="AA71" i="111"/>
  <c r="AA118" i="111"/>
  <c r="AA59" i="111"/>
  <c r="AA83" i="111"/>
  <c r="AA99" i="111"/>
  <c r="R152" i="111"/>
  <c r="R153" i="111" s="1"/>
  <c r="S152" i="111"/>
  <c r="S153" i="111" s="1"/>
  <c r="Q152" i="111"/>
  <c r="Q153" i="111" s="1"/>
  <c r="T152" i="111"/>
  <c r="T153" i="111" s="1"/>
  <c r="R148" i="111"/>
  <c r="R149" i="111" s="1"/>
  <c r="T148" i="111"/>
  <c r="T149" i="111" s="1"/>
  <c r="V21" i="111"/>
  <c r="S148" i="111"/>
  <c r="S149" i="111" s="1"/>
  <c r="Q148" i="111"/>
  <c r="Q149" i="111" s="1"/>
  <c r="P118" i="111"/>
  <c r="P83" i="111"/>
  <c r="P59" i="111"/>
  <c r="P71" i="111"/>
  <c r="P124" i="111"/>
  <c r="Z59" i="111"/>
  <c r="Z124" i="111"/>
  <c r="Z118" i="111"/>
  <c r="Z71" i="111"/>
  <c r="Z83" i="111"/>
  <c r="Q64" i="112"/>
  <c r="Q79" i="112" s="1"/>
  <c r="Q95" i="112" s="1"/>
  <c r="T64" i="112"/>
  <c r="T79" i="112" s="1"/>
  <c r="T95" i="112" s="1"/>
  <c r="U2" i="112"/>
  <c r="Z97" i="111"/>
  <c r="V11" i="111"/>
  <c r="E13" i="112"/>
  <c r="N36" i="111"/>
  <c r="T36" i="111"/>
  <c r="P47" i="111"/>
  <c r="F13" i="112"/>
  <c r="Q47" i="111"/>
  <c r="V49" i="111"/>
  <c r="G13" i="112"/>
  <c r="Z99" i="111"/>
  <c r="S36" i="111"/>
  <c r="V9" i="111"/>
  <c r="O36" i="111"/>
  <c r="R47" i="111"/>
  <c r="H13" i="112"/>
  <c r="O47" i="111"/>
  <c r="P36" i="111"/>
  <c r="N14" i="111"/>
  <c r="Q36" i="111"/>
  <c r="U63" i="111"/>
  <c r="S47" i="111"/>
  <c r="C13" i="112"/>
  <c r="J50" i="112"/>
  <c r="I105" i="112"/>
  <c r="R36" i="111"/>
  <c r="N47" i="111"/>
  <c r="T47" i="111"/>
  <c r="D13" i="112"/>
  <c r="X31" i="111"/>
  <c r="X10" i="111"/>
  <c r="X34" i="111"/>
  <c r="L50" i="112"/>
  <c r="V12" i="111"/>
  <c r="V62" i="111" s="1"/>
  <c r="Q81" i="112"/>
  <c r="M50" i="112"/>
  <c r="M56" i="112"/>
  <c r="O81" i="112"/>
  <c r="P81" i="112"/>
  <c r="L81" i="112"/>
  <c r="R81" i="112"/>
  <c r="X53" i="111"/>
  <c r="K50" i="112"/>
  <c r="V24" i="111"/>
  <c r="V61" i="111" s="1"/>
  <c r="V8" i="111"/>
  <c r="U70" i="113"/>
  <c r="V29" i="111"/>
  <c r="U77" i="113"/>
  <c r="X38" i="111"/>
  <c r="H56" i="111"/>
  <c r="H54" i="111"/>
  <c r="M81" i="112"/>
  <c r="S81" i="112"/>
  <c r="N81" i="112"/>
  <c r="T81" i="112"/>
  <c r="Y50" i="111"/>
  <c r="C57" i="112"/>
  <c r="C105" i="112"/>
  <c r="F57" i="112"/>
  <c r="F105" i="112"/>
  <c r="G57" i="112"/>
  <c r="G105" i="112"/>
  <c r="D57" i="112"/>
  <c r="D105" i="112"/>
  <c r="E57" i="112"/>
  <c r="E105" i="112"/>
  <c r="B57" i="112"/>
  <c r="B105" i="112"/>
  <c r="H57" i="112"/>
  <c r="I56" i="112" s="1"/>
  <c r="I57" i="112" s="1"/>
  <c r="J56" i="112" s="1"/>
  <c r="H105" i="112"/>
  <c r="V39" i="111"/>
  <c r="V63" i="111" s="1"/>
  <c r="V20" i="111"/>
  <c r="V44" i="111"/>
  <c r="V26" i="111"/>
  <c r="V45" i="111"/>
  <c r="V23" i="111"/>
  <c r="Q2" i="111"/>
  <c r="G39" i="112"/>
  <c r="R137" i="9"/>
  <c r="S136" i="9"/>
  <c r="B39" i="112"/>
  <c r="H39" i="112"/>
  <c r="B127" i="9"/>
  <c r="B130" i="9" s="1"/>
  <c r="Q137" i="9"/>
  <c r="C39" i="112"/>
  <c r="F39" i="112"/>
  <c r="D1" i="113"/>
  <c r="E127" i="9"/>
  <c r="F127" i="9"/>
  <c r="G128" i="9"/>
  <c r="G131" i="9" s="1"/>
  <c r="T127" i="9"/>
  <c r="N127" i="9"/>
  <c r="H127" i="9"/>
  <c r="D127" i="9"/>
  <c r="C127" i="9"/>
  <c r="C128" i="9"/>
  <c r="C131" i="9" s="1"/>
  <c r="B128" i="9"/>
  <c r="D128" i="9"/>
  <c r="D131" i="9" s="1"/>
  <c r="Q127" i="9"/>
  <c r="K127" i="9"/>
  <c r="F128" i="9"/>
  <c r="F131" i="9" s="1"/>
  <c r="S127" i="9"/>
  <c r="P127" i="9"/>
  <c r="J127" i="9"/>
  <c r="L128" i="9"/>
  <c r="L131" i="9" s="1"/>
  <c r="O127" i="9"/>
  <c r="K128" i="9"/>
  <c r="K131" i="9" s="1"/>
  <c r="I127" i="9"/>
  <c r="V52" i="111"/>
  <c r="W52" i="111" s="1"/>
  <c r="L127" i="9"/>
  <c r="R127" i="9"/>
  <c r="E128" i="9"/>
  <c r="E131" i="9" s="1"/>
  <c r="M127" i="9"/>
  <c r="G127" i="9"/>
  <c r="H128" i="9"/>
  <c r="H131" i="9" s="1"/>
  <c r="I137" i="9"/>
  <c r="J15" i="112"/>
  <c r="J14" i="112" s="1"/>
  <c r="D39" i="112"/>
  <c r="I15" i="112"/>
  <c r="N137" i="9"/>
  <c r="H137" i="9"/>
  <c r="B137" i="9"/>
  <c r="K15" i="112"/>
  <c r="K14" i="112" s="1"/>
  <c r="E39" i="112"/>
  <c r="L15" i="112"/>
  <c r="J52" i="112"/>
  <c r="V22" i="111"/>
  <c r="W22" i="111" s="1"/>
  <c r="V32" i="111"/>
  <c r="W32" i="111" s="1"/>
  <c r="AA97" i="111" l="1"/>
  <c r="Q155" i="111"/>
  <c r="Q97" i="112" s="1"/>
  <c r="S155" i="111"/>
  <c r="S97" i="112" s="1"/>
  <c r="U148" i="111"/>
  <c r="T155" i="111"/>
  <c r="T97" i="112" s="1"/>
  <c r="R155" i="111"/>
  <c r="R97" i="112" s="1"/>
  <c r="W21" i="111"/>
  <c r="V148" i="111"/>
  <c r="Q83" i="111"/>
  <c r="Q71" i="111"/>
  <c r="Q59" i="111"/>
  <c r="Q124" i="111"/>
  <c r="Q118" i="111"/>
  <c r="V2" i="112"/>
  <c r="U64" i="112"/>
  <c r="U79" i="112" s="1"/>
  <c r="W11" i="111"/>
  <c r="K76" i="111"/>
  <c r="K75" i="111" s="1"/>
  <c r="S79" i="111"/>
  <c r="J105" i="112"/>
  <c r="Q79" i="111"/>
  <c r="O79" i="111"/>
  <c r="W9" i="111"/>
  <c r="W49" i="111"/>
  <c r="T79" i="111"/>
  <c r="N79" i="111"/>
  <c r="R79" i="111"/>
  <c r="P79" i="111"/>
  <c r="J12" i="112"/>
  <c r="J76" i="111"/>
  <c r="X22" i="111"/>
  <c r="W12" i="111"/>
  <c r="W62" i="111" s="1"/>
  <c r="W8" i="111"/>
  <c r="V70" i="113"/>
  <c r="W24" i="111"/>
  <c r="W61" i="111" s="1"/>
  <c r="Y53" i="111"/>
  <c r="X52" i="111"/>
  <c r="Y10" i="111"/>
  <c r="W29" i="111"/>
  <c r="V77" i="113"/>
  <c r="Z50" i="111"/>
  <c r="AA50" i="111" s="1"/>
  <c r="U72" i="113"/>
  <c r="U71" i="113"/>
  <c r="Y34" i="111"/>
  <c r="X32" i="111"/>
  <c r="H84" i="113"/>
  <c r="H31" i="113"/>
  <c r="H85" i="113" s="1"/>
  <c r="Y38" i="111"/>
  <c r="Y31" i="111"/>
  <c r="K12" i="112"/>
  <c r="W39" i="111"/>
  <c r="V6" i="111"/>
  <c r="W20" i="111"/>
  <c r="W26" i="111"/>
  <c r="W23" i="111"/>
  <c r="W44" i="111"/>
  <c r="W45" i="111"/>
  <c r="R2" i="111"/>
  <c r="L130" i="9"/>
  <c r="K130" i="9"/>
  <c r="E130" i="9"/>
  <c r="O130" i="9"/>
  <c r="M130" i="9"/>
  <c r="C130" i="9"/>
  <c r="I130" i="9"/>
  <c r="J130" i="9"/>
  <c r="D130" i="9"/>
  <c r="S137" i="9"/>
  <c r="T136" i="9"/>
  <c r="U136" i="9" s="1"/>
  <c r="U137" i="9" s="1"/>
  <c r="Q130" i="9"/>
  <c r="P130" i="9"/>
  <c r="H130" i="9"/>
  <c r="G130" i="9"/>
  <c r="R130" i="9"/>
  <c r="N130" i="9"/>
  <c r="F130" i="9"/>
  <c r="E1" i="113"/>
  <c r="W148" i="111" l="1"/>
  <c r="X21" i="111"/>
  <c r="R71" i="111"/>
  <c r="R59" i="111"/>
  <c r="R118" i="111"/>
  <c r="R83" i="111"/>
  <c r="R124" i="111"/>
  <c r="W2" i="112"/>
  <c r="V64" i="112"/>
  <c r="V79" i="112" s="1"/>
  <c r="J153" i="9"/>
  <c r="K153" i="9"/>
  <c r="X11" i="111"/>
  <c r="X49" i="111"/>
  <c r="X9" i="111"/>
  <c r="W63" i="111"/>
  <c r="J13" i="112"/>
  <c r="H83" i="113"/>
  <c r="V71" i="113"/>
  <c r="Z31" i="111"/>
  <c r="AA31" i="111" s="1"/>
  <c r="Z38" i="111"/>
  <c r="AA38" i="111" s="1"/>
  <c r="X8" i="111"/>
  <c r="W70" i="113"/>
  <c r="V72" i="113"/>
  <c r="X29" i="111"/>
  <c r="W77" i="113"/>
  <c r="Z53" i="111"/>
  <c r="AA53" i="111" s="1"/>
  <c r="X12" i="111"/>
  <c r="X62" i="111" s="1"/>
  <c r="Y32" i="111"/>
  <c r="Z10" i="111"/>
  <c r="AA10" i="111" s="1"/>
  <c r="Z34" i="111"/>
  <c r="AA34" i="111" s="1"/>
  <c r="Y52" i="111"/>
  <c r="X24" i="111"/>
  <c r="X61" i="111" s="1"/>
  <c r="Y22" i="111"/>
  <c r="K13" i="112"/>
  <c r="W6" i="111"/>
  <c r="X39" i="111"/>
  <c r="X63" i="111" s="1"/>
  <c r="X20" i="111"/>
  <c r="X44" i="111"/>
  <c r="K97" i="112"/>
  <c r="X23" i="111"/>
  <c r="X45" i="111"/>
  <c r="X26" i="111"/>
  <c r="S2" i="111"/>
  <c r="V136" i="9"/>
  <c r="W136" i="9" s="1"/>
  <c r="X136" i="9" s="1"/>
  <c r="Y136" i="9" s="1"/>
  <c r="Z136" i="9" s="1"/>
  <c r="AA136" i="9" s="1"/>
  <c r="S130" i="9"/>
  <c r="F1" i="113"/>
  <c r="X148" i="111" l="1"/>
  <c r="Y21" i="111"/>
  <c r="S59" i="111"/>
  <c r="S71" i="111"/>
  <c r="S124" i="111"/>
  <c r="S118" i="111"/>
  <c r="S83" i="111"/>
  <c r="X2" i="112"/>
  <c r="W64" i="112"/>
  <c r="W79" i="112" s="1"/>
  <c r="Y11" i="111"/>
  <c r="Y9" i="111"/>
  <c r="Y49" i="111"/>
  <c r="W71" i="113"/>
  <c r="W72" i="113"/>
  <c r="Z52" i="111"/>
  <c r="AA52" i="111" s="1"/>
  <c r="Y24" i="111"/>
  <c r="Y61" i="111" s="1"/>
  <c r="Z32" i="111"/>
  <c r="AA32" i="111" s="1"/>
  <c r="Y12" i="111"/>
  <c r="Y62" i="111" s="1"/>
  <c r="Z22" i="111"/>
  <c r="AA22" i="111" s="1"/>
  <c r="X77" i="113"/>
  <c r="Y29" i="111"/>
  <c r="X70" i="113"/>
  <c r="Y8" i="111"/>
  <c r="Y39" i="111"/>
  <c r="X6" i="111"/>
  <c r="Y20" i="111"/>
  <c r="Y44" i="111"/>
  <c r="Y23" i="111"/>
  <c r="Y45" i="111"/>
  <c r="Y26" i="111"/>
  <c r="T2" i="111"/>
  <c r="T137" i="9"/>
  <c r="T130" i="9"/>
  <c r="G1" i="113"/>
  <c r="Y148" i="111" l="1"/>
  <c r="Z21" i="111"/>
  <c r="AA21" i="111" s="1"/>
  <c r="T59" i="111"/>
  <c r="T124" i="111"/>
  <c r="T118" i="111"/>
  <c r="T83" i="111"/>
  <c r="T71" i="111"/>
  <c r="Y2" i="112"/>
  <c r="X64" i="112"/>
  <c r="X79" i="112" s="1"/>
  <c r="D10" i="113"/>
  <c r="C9" i="113"/>
  <c r="D47" i="117" s="1"/>
  <c r="F10" i="113"/>
  <c r="C10" i="113"/>
  <c r="D9" i="113"/>
  <c r="F9" i="113"/>
  <c r="E10" i="113"/>
  <c r="B9" i="113"/>
  <c r="B10" i="113"/>
  <c r="G10" i="113"/>
  <c r="E9" i="113"/>
  <c r="G9" i="113"/>
  <c r="Z11" i="111"/>
  <c r="AA11" i="111" s="1"/>
  <c r="Z9" i="111"/>
  <c r="AA9" i="111" s="1"/>
  <c r="Z49" i="111"/>
  <c r="AA49" i="111" s="1"/>
  <c r="Y63" i="111"/>
  <c r="X71" i="113"/>
  <c r="Z29" i="111"/>
  <c r="AA29" i="111" s="1"/>
  <c r="Y77" i="113"/>
  <c r="X72" i="113"/>
  <c r="Y70" i="113"/>
  <c r="Z8" i="111"/>
  <c r="AA8" i="111" s="1"/>
  <c r="Z24" i="111"/>
  <c r="Z12" i="111"/>
  <c r="Y6" i="111"/>
  <c r="Z39" i="111"/>
  <c r="AA39" i="111" s="1"/>
  <c r="Z20" i="111"/>
  <c r="AA20" i="111" s="1"/>
  <c r="Z23" i="111"/>
  <c r="AA23" i="111" s="1"/>
  <c r="Z26" i="111"/>
  <c r="AA26" i="111" s="1"/>
  <c r="Z45" i="111"/>
  <c r="AA45" i="111" s="1"/>
  <c r="Z44" i="111"/>
  <c r="AA44" i="111" s="1"/>
  <c r="I25" i="111"/>
  <c r="AA12" i="111" l="1"/>
  <c r="AA62" i="111" s="1"/>
  <c r="AA24" i="111"/>
  <c r="AA61" i="111" s="1"/>
  <c r="AA63" i="111"/>
  <c r="AA148" i="111"/>
  <c r="Z148" i="111"/>
  <c r="Z62" i="111"/>
  <c r="Z61" i="111"/>
  <c r="Z2" i="112"/>
  <c r="AA2" i="112" s="1"/>
  <c r="AA64" i="112" s="1"/>
  <c r="AA79" i="112" s="1"/>
  <c r="Y64" i="112"/>
  <c r="Y79" i="112" s="1"/>
  <c r="Z63" i="111"/>
  <c r="Z70" i="113"/>
  <c r="Z77" i="113"/>
  <c r="Y71" i="113"/>
  <c r="I26" i="111"/>
  <c r="I60" i="111"/>
  <c r="I65" i="111" s="1"/>
  <c r="Y72" i="113"/>
  <c r="I125" i="9"/>
  <c r="Z6" i="111"/>
  <c r="AA6" i="111" s="1"/>
  <c r="DR132" i="68"/>
  <c r="Z64" i="112" l="1"/>
  <c r="Z79" i="112" s="1"/>
  <c r="Z71" i="113"/>
  <c r="Z72" i="113"/>
  <c r="I32" i="113"/>
  <c r="I128" i="9"/>
  <c r="I131" i="9" s="1"/>
  <c r="J128" i="9"/>
  <c r="J131" i="9" s="1"/>
  <c r="DR189" i="68"/>
  <c r="DR171" i="68"/>
  <c r="DR151" i="68"/>
  <c r="DR133" i="68"/>
  <c r="DR131" i="68"/>
  <c r="DR130" i="68"/>
  <c r="DR126" i="68"/>
  <c r="DR125" i="68"/>
  <c r="DR124" i="68"/>
  <c r="DR123" i="68"/>
  <c r="DR120" i="68"/>
  <c r="DR104" i="68"/>
  <c r="DR103" i="68"/>
  <c r="DR102" i="68"/>
  <c r="DR101" i="68"/>
  <c r="DR98" i="68"/>
  <c r="DR97" i="68"/>
  <c r="DR81" i="68"/>
  <c r="DR67" i="68"/>
  <c r="DR59" i="68"/>
  <c r="DT97" i="68" l="1"/>
  <c r="DS151" i="68"/>
  <c r="DR140" i="68"/>
  <c r="DR146" i="68" s="1"/>
  <c r="DR148" i="68" s="1"/>
  <c r="DR127" i="68"/>
  <c r="DR155" i="68" l="1"/>
  <c r="DR143" i="68"/>
  <c r="DR139" i="68"/>
  <c r="Y139" i="56" l="1"/>
  <c r="Y141" i="56"/>
  <c r="Y140" i="56" l="1"/>
  <c r="Y145" i="56" s="1"/>
  <c r="T13" i="56"/>
  <c r="DH87" i="68"/>
  <c r="DG87" i="68"/>
  <c r="DH86" i="68"/>
  <c r="DG86" i="68"/>
  <c r="DH85" i="68"/>
  <c r="DG85" i="68"/>
  <c r="DP87" i="68"/>
  <c r="DO87" i="68"/>
  <c r="DP86" i="68"/>
  <c r="DO86" i="68"/>
  <c r="DP85" i="68"/>
  <c r="DO85" i="68"/>
  <c r="DP71" i="68"/>
  <c r="DO71" i="68"/>
  <c r="DG71" i="68"/>
  <c r="DH71" i="68"/>
  <c r="DI64" i="68"/>
  <c r="DH64" i="68"/>
  <c r="DI63" i="68"/>
  <c r="DH63" i="68"/>
  <c r="DQ64" i="68"/>
  <c r="DP64" i="68"/>
  <c r="DQ63" i="68"/>
  <c r="DP63" i="68"/>
  <c r="T15" i="58"/>
  <c r="T10" i="58"/>
  <c r="DI67" i="68" l="1"/>
  <c r="DH67" i="68"/>
  <c r="T83" i="9" l="1"/>
  <c r="T140" i="9"/>
  <c r="M1" i="76"/>
  <c r="N1" i="76" s="1"/>
  <c r="O1" i="76" s="1"/>
  <c r="P1" i="76" s="1"/>
  <c r="Q1" i="76" s="1"/>
  <c r="R1" i="76" s="1"/>
  <c r="S1" i="76" s="1"/>
  <c r="T1" i="76" s="1"/>
  <c r="T50" i="9"/>
  <c r="T48" i="9"/>
  <c r="T47" i="9"/>
  <c r="T41" i="9"/>
  <c r="T39" i="9"/>
  <c r="T38" i="9"/>
  <c r="T36" i="9"/>
  <c r="T3" i="58"/>
  <c r="CC2" i="68"/>
  <c r="CK2" i="68" s="1"/>
  <c r="CS2" i="68" s="1"/>
  <c r="DA2" i="68" s="1"/>
  <c r="DI2" i="68" s="1"/>
  <c r="DQ2" i="68" s="1"/>
  <c r="DY2" i="68" s="1"/>
  <c r="EG2" i="68" s="1"/>
  <c r="CB2" i="68"/>
  <c r="CJ2" i="68" s="1"/>
  <c r="CR2" i="68" s="1"/>
  <c r="CZ2" i="68" s="1"/>
  <c r="DH2" i="68" s="1"/>
  <c r="DP2" i="68" s="1"/>
  <c r="DX2" i="68" s="1"/>
  <c r="EF2" i="68" s="1"/>
  <c r="CA2" i="68"/>
  <c r="CI2" i="68" s="1"/>
  <c r="CQ2" i="68" s="1"/>
  <c r="CY2" i="68" s="1"/>
  <c r="DG2" i="68" s="1"/>
  <c r="DO2" i="68" s="1"/>
  <c r="DW2" i="68" s="1"/>
  <c r="EE2" i="68" s="1"/>
  <c r="BZ2" i="68"/>
  <c r="CH2" i="68" s="1"/>
  <c r="CP2" i="68" s="1"/>
  <c r="CX2" i="68" s="1"/>
  <c r="DF2" i="68" s="1"/>
  <c r="DN2" i="68" s="1"/>
  <c r="DV2" i="68" s="1"/>
  <c r="ED2" i="68" s="1"/>
  <c r="BY2" i="68"/>
  <c r="CG2" i="68" s="1"/>
  <c r="CO2" i="68" s="1"/>
  <c r="CW2" i="68" s="1"/>
  <c r="DE2" i="68" s="1"/>
  <c r="DM2" i="68" s="1"/>
  <c r="DU2" i="68" s="1"/>
  <c r="EC2" i="68" s="1"/>
  <c r="BX2" i="68"/>
  <c r="CF2" i="68" s="1"/>
  <c r="CN2" i="68" s="1"/>
  <c r="CV2" i="68" s="1"/>
  <c r="DD2" i="68" s="1"/>
  <c r="DL2" i="68" s="1"/>
  <c r="EB2" i="68" s="1"/>
  <c r="BW2" i="68"/>
  <c r="CE2" i="68" s="1"/>
  <c r="CM2" i="68" s="1"/>
  <c r="CU2" i="68" s="1"/>
  <c r="DC2" i="68" s="1"/>
  <c r="DK2" i="68" s="1"/>
  <c r="DS2" i="68" s="1"/>
  <c r="EA2" i="68" s="1"/>
  <c r="BV2" i="68"/>
  <c r="CD2" i="68" s="1"/>
  <c r="CL2" i="68" s="1"/>
  <c r="CT2" i="68" s="1"/>
  <c r="DB2" i="68" s="1"/>
  <c r="DJ2" i="68" s="1"/>
  <c r="DR2" i="68" s="1"/>
  <c r="DZ2" i="68" s="1"/>
  <c r="BN1" i="68"/>
  <c r="BV1" i="68" s="1"/>
  <c r="CD1" i="68" s="1"/>
  <c r="CL1" i="68" s="1"/>
  <c r="CT1" i="68" s="1"/>
  <c r="DB1" i="68" s="1"/>
  <c r="DJ1" i="68" s="1"/>
  <c r="DR1" i="68" s="1"/>
  <c r="AI1" i="68"/>
  <c r="AQ1" i="68"/>
  <c r="AR1" i="68" s="1"/>
  <c r="AS1" i="68" s="1"/>
  <c r="AT1" i="68" s="1"/>
  <c r="AU1" i="68" s="1"/>
  <c r="AV1" i="68" s="1"/>
  <c r="AW1" i="68" s="1"/>
  <c r="AY1" i="68"/>
  <c r="AZ1" i="68" s="1"/>
  <c r="BA1" i="68" s="1"/>
  <c r="BB1" i="68" s="1"/>
  <c r="BC1" i="68" s="1"/>
  <c r="BD1" i="68" s="1"/>
  <c r="BE1" i="68" s="1"/>
  <c r="BG1" i="68"/>
  <c r="BO1" i="68" s="1"/>
  <c r="BW1" i="68" s="1"/>
  <c r="CE1" i="68" s="1"/>
  <c r="CM1" i="68" s="1"/>
  <c r="CU1" i="68" s="1"/>
  <c r="DC1" i="68" s="1"/>
  <c r="DK1" i="68" s="1"/>
  <c r="DS1" i="68" s="1"/>
  <c r="DS192" i="68" s="1"/>
  <c r="DH169" i="68"/>
  <c r="DG169" i="68"/>
  <c r="DH165" i="68"/>
  <c r="DG165" i="68"/>
  <c r="DQ133" i="68"/>
  <c r="DI133" i="68"/>
  <c r="DQ132" i="68"/>
  <c r="DI132" i="68"/>
  <c r="DQ131" i="68"/>
  <c r="DI131" i="68"/>
  <c r="DQ130" i="68"/>
  <c r="DI130" i="68"/>
  <c r="DI120" i="68"/>
  <c r="DG119" i="68"/>
  <c r="DG118" i="68"/>
  <c r="DG117" i="68"/>
  <c r="DG116" i="68"/>
  <c r="DI89" i="68"/>
  <c r="DI81" i="68"/>
  <c r="DH79" i="68"/>
  <c r="DG79" i="68"/>
  <c r="DI59" i="68"/>
  <c r="DH56" i="68"/>
  <c r="DG56" i="68"/>
  <c r="DH55" i="68"/>
  <c r="DG55" i="68"/>
  <c r="DQ188" i="68"/>
  <c r="DP188" i="68"/>
  <c r="DQ187" i="68"/>
  <c r="DP187" i="68"/>
  <c r="DQ186" i="68"/>
  <c r="DP186" i="68"/>
  <c r="DP169" i="68"/>
  <c r="DO169" i="68"/>
  <c r="DP165" i="68"/>
  <c r="DO165" i="68"/>
  <c r="DO119" i="68"/>
  <c r="DP119" i="68" s="1"/>
  <c r="DO118" i="68"/>
  <c r="DP118" i="68" s="1"/>
  <c r="DO117" i="68"/>
  <c r="DP117" i="68" s="1"/>
  <c r="DO116" i="68"/>
  <c r="DQ81" i="68"/>
  <c r="DO189" i="68"/>
  <c r="DQ89" i="68"/>
  <c r="DP89" i="68"/>
  <c r="DO89" i="68"/>
  <c r="DP79" i="68"/>
  <c r="DP81" i="68" s="1"/>
  <c r="DO79" i="68"/>
  <c r="DO81" i="68" s="1"/>
  <c r="DO55" i="68"/>
  <c r="DQ67" i="68"/>
  <c r="DP67" i="68"/>
  <c r="DO67" i="68"/>
  <c r="DQ59" i="68"/>
  <c r="DP56" i="68"/>
  <c r="DO56" i="68"/>
  <c r="DP55" i="68"/>
  <c r="U1" i="76" l="1"/>
  <c r="V1" i="76" s="1"/>
  <c r="W1" i="76" s="1"/>
  <c r="X1" i="76" s="1"/>
  <c r="Y1" i="76" s="1"/>
  <c r="Z1" i="76" s="1"/>
  <c r="AA1" i="76" s="1"/>
  <c r="DP116" i="68"/>
  <c r="DP120" i="68" s="1"/>
  <c r="DP140" i="68" s="1"/>
  <c r="DR191" i="68"/>
  <c r="DS191" i="68"/>
  <c r="T62" i="58"/>
  <c r="T77" i="9"/>
  <c r="AJ1" i="68"/>
  <c r="AK1" i="68" s="1"/>
  <c r="AL1" i="68" s="1"/>
  <c r="AM1" i="68" s="1"/>
  <c r="AN1" i="68" s="1"/>
  <c r="AO1" i="68" s="1"/>
  <c r="DR192" i="68"/>
  <c r="BH1" i="68"/>
  <c r="DR4" i="68"/>
  <c r="DZ1" i="68"/>
  <c r="DS4" i="68"/>
  <c r="EA1" i="68"/>
  <c r="T143" i="9"/>
  <c r="T98" i="112" s="1"/>
  <c r="DI140" i="68"/>
  <c r="DQ189" i="68"/>
  <c r="DP189" i="68"/>
  <c r="DO120" i="68"/>
  <c r="DZ4" i="68" l="1"/>
  <c r="DZ191" i="68"/>
  <c r="EA4" i="68"/>
  <c r="EA191" i="68"/>
  <c r="DO140" i="68"/>
  <c r="DR74" i="68"/>
  <c r="DS70" i="68"/>
  <c r="DS74" i="68" s="1"/>
  <c r="BP1" i="68"/>
  <c r="BX1" i="68" s="1"/>
  <c r="CF1" i="68" s="1"/>
  <c r="CN1" i="68" s="1"/>
  <c r="CV1" i="68" s="1"/>
  <c r="DD1" i="68" s="1"/>
  <c r="DL1" i="68" s="1"/>
  <c r="BI1" i="68"/>
  <c r="S76" i="9"/>
  <c r="S179" i="56"/>
  <c r="S140" i="9"/>
  <c r="DT191" i="68" l="1"/>
  <c r="BJ1" i="68"/>
  <c r="BQ1" i="68"/>
  <c r="BY1" i="68" s="1"/>
  <c r="CG1" i="68" s="1"/>
  <c r="CO1" i="68" s="1"/>
  <c r="CW1" i="68" s="1"/>
  <c r="DE1" i="68" s="1"/>
  <c r="DM1" i="68" s="1"/>
  <c r="DU1" i="68" s="1"/>
  <c r="DU192" i="68" s="1"/>
  <c r="DT4" i="68"/>
  <c r="EB1" i="68"/>
  <c r="T76" i="9"/>
  <c r="T84" i="9" s="1"/>
  <c r="DU191" i="68" l="1"/>
  <c r="EB4" i="68"/>
  <c r="EB191" i="68"/>
  <c r="BK1" i="68"/>
  <c r="BR1" i="68"/>
  <c r="BZ1" i="68" s="1"/>
  <c r="CH1" i="68" s="1"/>
  <c r="CP1" i="68" s="1"/>
  <c r="CX1" i="68" s="1"/>
  <c r="DF1" i="68" s="1"/>
  <c r="DN1" i="68" s="1"/>
  <c r="DV1" i="68" s="1"/>
  <c r="DV192" i="68" s="1"/>
  <c r="DU4" i="68"/>
  <c r="EC1" i="68"/>
  <c r="DV191" i="68" l="1"/>
  <c r="EC4" i="68"/>
  <c r="EC191" i="68"/>
  <c r="DV4" i="68"/>
  <c r="ED1" i="68"/>
  <c r="BL1" i="68"/>
  <c r="BS1" i="68"/>
  <c r="CA1" i="68" s="1"/>
  <c r="CI1" i="68" s="1"/>
  <c r="CQ1" i="68" s="1"/>
  <c r="CY1" i="68" s="1"/>
  <c r="DG1" i="68" s="1"/>
  <c r="DO1" i="68" s="1"/>
  <c r="DW1" i="68" s="1"/>
  <c r="DW192" i="68" s="1"/>
  <c r="DW191" i="68" l="1"/>
  <c r="ED4" i="68"/>
  <c r="ED191" i="68"/>
  <c r="DW4" i="68"/>
  <c r="EE1" i="68"/>
  <c r="BM1" i="68"/>
  <c r="BU1" i="68" s="1"/>
  <c r="CC1" i="68" s="1"/>
  <c r="CK1" i="68" s="1"/>
  <c r="CS1" i="68" s="1"/>
  <c r="CS145" i="68" s="1"/>
  <c r="BT1" i="68"/>
  <c r="CB1" i="68" s="1"/>
  <c r="CJ1" i="68" s="1"/>
  <c r="CR1" i="68" s="1"/>
  <c r="CZ1" i="68" s="1"/>
  <c r="DH1" i="68" s="1"/>
  <c r="DP1" i="68" s="1"/>
  <c r="DX1" i="68" s="1"/>
  <c r="DX191" i="68" s="1"/>
  <c r="DA1" i="68" l="1"/>
  <c r="DA145" i="68" s="1"/>
  <c r="CS149" i="68"/>
  <c r="CS148" i="68"/>
  <c r="EE4" i="68"/>
  <c r="EE191" i="68"/>
  <c r="DX4" i="68"/>
  <c r="EF1" i="68"/>
  <c r="EF4" i="68" s="1"/>
  <c r="DA170" i="68" l="1"/>
  <c r="DA167" i="68"/>
  <c r="DA163" i="68"/>
  <c r="DA168" i="68"/>
  <c r="DI1" i="68"/>
  <c r="DI145" i="68" s="1"/>
  <c r="DA160" i="68"/>
  <c r="DA164" i="68"/>
  <c r="DA166" i="68"/>
  <c r="DA148" i="68"/>
  <c r="DA149" i="68"/>
  <c r="DI163" i="68" l="1"/>
  <c r="DI4" i="68"/>
  <c r="DI192" i="68"/>
  <c r="DQ1" i="68"/>
  <c r="DQ149" i="68" s="1"/>
  <c r="DI170" i="68"/>
  <c r="DI166" i="68"/>
  <c r="DI167" i="68"/>
  <c r="DI191" i="68"/>
  <c r="DI160" i="68"/>
  <c r="DI96" i="68"/>
  <c r="DI126" i="68" s="1"/>
  <c r="DI168" i="68"/>
  <c r="DI149" i="68"/>
  <c r="DI148" i="68"/>
  <c r="CZ149" i="68"/>
  <c r="CY149" i="68"/>
  <c r="DQ145" i="68" l="1"/>
  <c r="DQ170" i="68"/>
  <c r="DQ148" i="68"/>
  <c r="DQ168" i="68"/>
  <c r="DQ167" i="68"/>
  <c r="DQ166" i="68"/>
  <c r="DQ96" i="68"/>
  <c r="DQ126" i="68" s="1"/>
  <c r="DQ163" i="68"/>
  <c r="DQ139" i="68"/>
  <c r="DQ164" i="68"/>
  <c r="DQ160" i="68"/>
  <c r="DY1" i="68"/>
  <c r="DY145" i="68" s="1"/>
  <c r="DY152" i="68" l="1"/>
  <c r="DX152" i="68" s="1"/>
  <c r="DY163" i="68"/>
  <c r="DW163" i="68" s="1"/>
  <c r="DX163" i="68" s="1"/>
  <c r="DY162" i="68"/>
  <c r="DW162" i="68" s="1"/>
  <c r="DX162" i="68" s="1"/>
  <c r="DY168" i="68"/>
  <c r="DW168" i="68" s="1"/>
  <c r="DX168" i="68" s="1"/>
  <c r="DY166" i="68"/>
  <c r="DW166" i="68" s="1"/>
  <c r="DX166" i="68" s="1"/>
  <c r="DQ104" i="68"/>
  <c r="EG1" i="68"/>
  <c r="DY191" i="68"/>
  <c r="DY4" i="68"/>
  <c r="DU152" i="68" l="1"/>
  <c r="DW152" i="68"/>
  <c r="EG4" i="68"/>
  <c r="EG152" i="68"/>
  <c r="EF152" i="68" s="1"/>
  <c r="EE152" i="68" l="1"/>
  <c r="ED152" i="68"/>
  <c r="EC152" i="68"/>
  <c r="O98" i="56" l="1"/>
  <c r="O97" i="56"/>
  <c r="O96" i="56"/>
  <c r="O95" i="56"/>
  <c r="O94" i="56"/>
  <c r="O93" i="56"/>
  <c r="O92" i="56"/>
  <c r="O91" i="56"/>
  <c r="O90" i="56"/>
  <c r="O104" i="56" l="1"/>
  <c r="O103" i="56"/>
  <c r="DM188" i="68" l="1"/>
  <c r="DM187" i="68"/>
  <c r="DM186" i="68"/>
  <c r="DM79" i="68" l="1"/>
  <c r="DE71" i="68"/>
  <c r="DM71" i="68"/>
  <c r="DM66" i="68"/>
  <c r="DM65" i="68"/>
  <c r="DM64" i="68"/>
  <c r="DM63" i="68"/>
  <c r="DM56" i="68"/>
  <c r="DM55" i="68"/>
  <c r="DN189" i="68"/>
  <c r="DM189" i="68" s="1"/>
  <c r="DM170" i="68"/>
  <c r="DM169" i="68"/>
  <c r="DM168" i="68"/>
  <c r="DM167" i="68"/>
  <c r="DM166" i="68"/>
  <c r="DM165" i="68"/>
  <c r="DM164" i="68"/>
  <c r="DM163" i="68"/>
  <c r="DM162" i="68"/>
  <c r="DM160" i="68"/>
  <c r="DM159" i="68"/>
  <c r="DN171" i="68"/>
  <c r="DM156" i="68"/>
  <c r="DM154" i="68"/>
  <c r="DM152" i="68"/>
  <c r="DM149" i="68"/>
  <c r="DM145" i="68"/>
  <c r="DM142" i="68"/>
  <c r="DM138" i="68"/>
  <c r="DN81" i="68"/>
  <c r="DN67" i="68"/>
  <c r="DM67" i="68" s="1"/>
  <c r="DN59" i="68"/>
  <c r="DO59" i="68" s="1"/>
  <c r="DM171" i="68" l="1"/>
  <c r="T29" i="56" l="1"/>
  <c r="DK188" i="68" l="1"/>
  <c r="DK187" i="68"/>
  <c r="DK186" i="68"/>
  <c r="DL189" i="68"/>
  <c r="DK189" i="68" s="1"/>
  <c r="DK170" i="68"/>
  <c r="DK169" i="68"/>
  <c r="DK168" i="68"/>
  <c r="DK167" i="68"/>
  <c r="DK166" i="68"/>
  <c r="DK165" i="68"/>
  <c r="DK164" i="68"/>
  <c r="DK163" i="68"/>
  <c r="DK162" i="68"/>
  <c r="DK161" i="68"/>
  <c r="DK160" i="68"/>
  <c r="DK159" i="68"/>
  <c r="DL171" i="68"/>
  <c r="DK156" i="68"/>
  <c r="DK154" i="68"/>
  <c r="DK152" i="68"/>
  <c r="DL151" i="68"/>
  <c r="DK150" i="68"/>
  <c r="DK149" i="68"/>
  <c r="DK145" i="68"/>
  <c r="DK142" i="68"/>
  <c r="DE149" i="68"/>
  <c r="DE145" i="68"/>
  <c r="DC145" i="68"/>
  <c r="DE142" i="68"/>
  <c r="DC142" i="68"/>
  <c r="DK138" i="68"/>
  <c r="DK120" i="68"/>
  <c r="DL119" i="68"/>
  <c r="DN119" i="68" s="1"/>
  <c r="DL118" i="68"/>
  <c r="DL117" i="68"/>
  <c r="DN117" i="68" s="1"/>
  <c r="DL116" i="68"/>
  <c r="DK97" i="68"/>
  <c r="DC97" i="68"/>
  <c r="DK98" i="68"/>
  <c r="DL96" i="68"/>
  <c r="DL95" i="68"/>
  <c r="DL94" i="68"/>
  <c r="DL93" i="68"/>
  <c r="DL81" i="68"/>
  <c r="DM81" i="68" s="1"/>
  <c r="DK79" i="68"/>
  <c r="DK81" i="68" s="1"/>
  <c r="DK71" i="68"/>
  <c r="DC71" i="68"/>
  <c r="DL67" i="68"/>
  <c r="DC64" i="68"/>
  <c r="DC63" i="68"/>
  <c r="DK64" i="68"/>
  <c r="DK63" i="68"/>
  <c r="DL59" i="68"/>
  <c r="DK56" i="68"/>
  <c r="DK55" i="68"/>
  <c r="DN93" i="68" l="1"/>
  <c r="DT101" i="68"/>
  <c r="DS105" i="68"/>
  <c r="DN94" i="68"/>
  <c r="DT102" i="68"/>
  <c r="DN116" i="68"/>
  <c r="DT130" i="68"/>
  <c r="DN95" i="68"/>
  <c r="DT103" i="68"/>
  <c r="DN96" i="68"/>
  <c r="DT104" i="68"/>
  <c r="DN118" i="68"/>
  <c r="DT132" i="68"/>
  <c r="DK140" i="68"/>
  <c r="DK139" i="68" s="1"/>
  <c r="DM59" i="68"/>
  <c r="DP59" i="68"/>
  <c r="DK67" i="68"/>
  <c r="DK171" i="68"/>
  <c r="DL120" i="68"/>
  <c r="DL140" i="68" s="1"/>
  <c r="DL98" i="68"/>
  <c r="DN120" i="68" l="1"/>
  <c r="DN98" i="68"/>
  <c r="DK155" i="68"/>
  <c r="DL155" i="68"/>
  <c r="DL146" i="68"/>
  <c r="DL143" i="68"/>
  <c r="DL139" i="68"/>
  <c r="DN140" i="68" l="1"/>
  <c r="DN143" i="68" s="1"/>
  <c r="DM143" i="68" s="1"/>
  <c r="DL148" i="68"/>
  <c r="DP148" i="68" s="1"/>
  <c r="DN139" i="68" l="1"/>
  <c r="DN146" i="68"/>
  <c r="DM146" i="68" l="1"/>
  <c r="DJ192" i="68" l="1"/>
  <c r="DJ189" i="68" l="1"/>
  <c r="DJ171" i="68"/>
  <c r="DJ81" i="68"/>
  <c r="DJ67" i="68"/>
  <c r="DJ59" i="68"/>
  <c r="DK59" i="68" s="1"/>
  <c r="S83" i="9" l="1"/>
  <c r="K55" i="56" l="1"/>
  <c r="X46" i="56" l="1"/>
  <c r="S36" i="76" l="1"/>
  <c r="S10" i="76" l="1"/>
  <c r="S62" i="58"/>
  <c r="S15" i="58"/>
  <c r="S10" i="58"/>
  <c r="S13" i="56" l="1"/>
  <c r="CZ188" i="68"/>
  <c r="CZ187" i="68"/>
  <c r="CZ186" i="68"/>
  <c r="DI188" i="68"/>
  <c r="DI187" i="68"/>
  <c r="DI186" i="68"/>
  <c r="DH188" i="68"/>
  <c r="DH187" i="68"/>
  <c r="DH186" i="68"/>
  <c r="DG189" i="68"/>
  <c r="DA188" i="68"/>
  <c r="DA187" i="68"/>
  <c r="DA186" i="68"/>
  <c r="DH119" i="68"/>
  <c r="DH118" i="68"/>
  <c r="DH117" i="68"/>
  <c r="DG67" i="68"/>
  <c r="DH89" i="68"/>
  <c r="DG89" i="68"/>
  <c r="DH81" i="68"/>
  <c r="DG81" i="68"/>
  <c r="DI164" i="68"/>
  <c r="S119" i="9"/>
  <c r="S77" i="9" l="1"/>
  <c r="DI189" i="68"/>
  <c r="DH189" i="68"/>
  <c r="DA189" i="68"/>
  <c r="S143" i="9"/>
  <c r="S98" i="112" s="1"/>
  <c r="CZ189" i="68"/>
  <c r="DG120" i="68"/>
  <c r="DH116" i="68"/>
  <c r="DI139" i="68" l="1"/>
  <c r="DI138" i="68" s="1"/>
  <c r="DH138" i="68" s="1"/>
  <c r="S84" i="9"/>
  <c r="DH120" i="68"/>
  <c r="DG138" i="68" l="1"/>
  <c r="C55" i="56" l="1"/>
  <c r="E55" i="56"/>
  <c r="F55" i="56" s="1"/>
  <c r="G55" i="56" s="1"/>
  <c r="H55" i="56" s="1"/>
  <c r="I55" i="56" s="1"/>
  <c r="S44" i="58" l="1"/>
  <c r="S47" i="58"/>
  <c r="T47" i="58" s="1"/>
  <c r="DE156" i="68" l="1"/>
  <c r="DE150" i="68" l="1"/>
  <c r="DF188" i="68"/>
  <c r="DF187" i="68"/>
  <c r="DF186" i="68"/>
  <c r="DE189" i="68"/>
  <c r="DF171" i="68"/>
  <c r="DE170" i="68"/>
  <c r="DE169" i="68"/>
  <c r="DE168" i="68"/>
  <c r="DE167" i="68"/>
  <c r="DE166" i="68"/>
  <c r="DE165" i="68"/>
  <c r="DE164" i="68"/>
  <c r="DE163" i="68"/>
  <c r="DE162" i="68"/>
  <c r="DE160" i="68"/>
  <c r="DE159" i="68"/>
  <c r="DE138" i="68"/>
  <c r="DE120" i="68"/>
  <c r="DE97" i="68"/>
  <c r="DE140" i="68" l="1"/>
  <c r="DE155" i="68" s="1"/>
  <c r="DF189" i="68"/>
  <c r="DE171" i="68"/>
  <c r="DE139" i="68" l="1"/>
  <c r="DE79" i="68"/>
  <c r="DE81" i="68" s="1"/>
  <c r="DF81" i="68"/>
  <c r="DF67" i="68"/>
  <c r="DE67" i="68"/>
  <c r="DE56" i="68"/>
  <c r="DE55" i="68"/>
  <c r="DF59" i="68"/>
  <c r="DG59" i="68" s="1"/>
  <c r="S1" i="56" l="1"/>
  <c r="S168" i="56" s="1"/>
  <c r="S53" i="56" l="1"/>
  <c r="T1" i="56"/>
  <c r="T168" i="56" s="1"/>
  <c r="T53" i="56" l="1"/>
  <c r="U53" i="56" s="1"/>
  <c r="V53" i="56" s="1"/>
  <c r="W53" i="56" s="1"/>
  <c r="X53" i="56" s="1"/>
  <c r="Y53" i="56" s="1"/>
  <c r="Z53" i="56" s="1"/>
  <c r="AA53" i="56" s="1"/>
  <c r="U1" i="56"/>
  <c r="V1" i="56" l="1"/>
  <c r="U168" i="56"/>
  <c r="P121" i="9"/>
  <c r="W1" i="56" l="1"/>
  <c r="V168" i="56"/>
  <c r="X1" i="56" l="1"/>
  <c r="W168" i="56"/>
  <c r="T44" i="58"/>
  <c r="DD188" i="68"/>
  <c r="DD187" i="68"/>
  <c r="DD186" i="68"/>
  <c r="Y1" i="56" l="1"/>
  <c r="X168" i="56"/>
  <c r="X149" i="56"/>
  <c r="Y168" i="56" l="1"/>
  <c r="Z1" i="56"/>
  <c r="AA1" i="56" s="1"/>
  <c r="Y149" i="56"/>
  <c r="DC189" i="68"/>
  <c r="DD189" i="68"/>
  <c r="DC170" i="68"/>
  <c r="DC169" i="68"/>
  <c r="DC168" i="68"/>
  <c r="DC167" i="68"/>
  <c r="DC166" i="68"/>
  <c r="DC165" i="68"/>
  <c r="DC164" i="68"/>
  <c r="DC163" i="68"/>
  <c r="DC162" i="68"/>
  <c r="DC161" i="68"/>
  <c r="DC160" i="68"/>
  <c r="DC159" i="68"/>
  <c r="DD171" i="68"/>
  <c r="DC156" i="68"/>
  <c r="DD154" i="68"/>
  <c r="DC150" i="68"/>
  <c r="DC149" i="68"/>
  <c r="DC138" i="68"/>
  <c r="DD117" i="68"/>
  <c r="DD118" i="68"/>
  <c r="DD119" i="68"/>
  <c r="DC101" i="68"/>
  <c r="DC102" i="68"/>
  <c r="DC103" i="68"/>
  <c r="DC104" i="68"/>
  <c r="DD96" i="68"/>
  <c r="DD95" i="68"/>
  <c r="DD94" i="68"/>
  <c r="DD93" i="68"/>
  <c r="DC79" i="68"/>
  <c r="DC81" i="68" s="1"/>
  <c r="DD81" i="68"/>
  <c r="AA149" i="56" l="1"/>
  <c r="AA168" i="56"/>
  <c r="Z168" i="56"/>
  <c r="Z149" i="56"/>
  <c r="DF119" i="68"/>
  <c r="DF96" i="68"/>
  <c r="DF154" i="68"/>
  <c r="DF118" i="68"/>
  <c r="DF94" i="68"/>
  <c r="DF95" i="68"/>
  <c r="DF117" i="68"/>
  <c r="DF93" i="68"/>
  <c r="DC171" i="68"/>
  <c r="DG96" i="68" l="1"/>
  <c r="DC67" i="68"/>
  <c r="DD67" i="68"/>
  <c r="DC56" i="68"/>
  <c r="DC55" i="68"/>
  <c r="DD59" i="68"/>
  <c r="DH59" i="68" s="1"/>
  <c r="DE59" i="68" l="1"/>
  <c r="CY119" i="68" l="1"/>
  <c r="O62" i="9" l="1"/>
  <c r="R62" i="9"/>
  <c r="R76" i="9" s="1"/>
  <c r="O60" i="9"/>
  <c r="O17" i="111" l="1"/>
  <c r="O41" i="111"/>
  <c r="CC74" i="68"/>
  <c r="CB74" i="68"/>
  <c r="CA74" i="68"/>
  <c r="BZ74" i="68"/>
  <c r="BY74" i="68"/>
  <c r="BX74" i="68"/>
  <c r="BW74" i="68"/>
  <c r="BV74" i="68"/>
  <c r="BU74" i="68"/>
  <c r="BT74" i="68"/>
  <c r="BS74" i="68"/>
  <c r="BR74" i="68"/>
  <c r="BQ74" i="68"/>
  <c r="BP74" i="68"/>
  <c r="BO74" i="68"/>
  <c r="BN74" i="68"/>
  <c r="BE74" i="68"/>
  <c r="BD74" i="68"/>
  <c r="BC74" i="68"/>
  <c r="BB74" i="68"/>
  <c r="BA74" i="68"/>
  <c r="AZ74" i="68"/>
  <c r="AY74" i="68"/>
  <c r="AX74" i="68"/>
  <c r="AW74" i="68"/>
  <c r="AV74" i="68"/>
  <c r="AU74" i="68"/>
  <c r="AT74" i="68"/>
  <c r="AS74" i="68"/>
  <c r="AR74" i="68"/>
  <c r="AQ74" i="68"/>
  <c r="AP74" i="68"/>
  <c r="AO74" i="68"/>
  <c r="AN74" i="68"/>
  <c r="AM74" i="68"/>
  <c r="AL74" i="68"/>
  <c r="AK74" i="68"/>
  <c r="AJ74" i="68"/>
  <c r="AI74" i="68"/>
  <c r="AH74" i="68"/>
  <c r="AG74" i="68"/>
  <c r="AF74" i="68"/>
  <c r="AE74" i="68"/>
  <c r="AD74" i="68"/>
  <c r="AC74" i="68"/>
  <c r="AB74" i="68"/>
  <c r="AA74" i="68"/>
  <c r="Z74" i="68"/>
  <c r="Y74" i="68"/>
  <c r="X74" i="68"/>
  <c r="W74" i="68"/>
  <c r="V74" i="68"/>
  <c r="U74" i="68"/>
  <c r="T74" i="68"/>
  <c r="S74" i="68"/>
  <c r="DB120" i="68" l="1"/>
  <c r="DB97" i="68"/>
  <c r="DB192" i="68"/>
  <c r="DB191" i="68"/>
  <c r="DB189" i="68"/>
  <c r="DB171" i="68"/>
  <c r="DB151" i="68"/>
  <c r="CW79" i="68"/>
  <c r="CU79" i="68"/>
  <c r="CO79" i="68"/>
  <c r="CO81" i="68" s="1"/>
  <c r="CM79" i="68"/>
  <c r="CM81" i="68" s="1"/>
  <c r="CG79" i="68"/>
  <c r="CG81" i="68" s="1"/>
  <c r="CE79" i="68"/>
  <c r="BY79" i="68"/>
  <c r="BW79" i="68"/>
  <c r="BW81" i="68" s="1"/>
  <c r="CZ79" i="68"/>
  <c r="CZ81" i="68" s="1"/>
  <c r="CY79" i="68"/>
  <c r="CY81" i="68" s="1"/>
  <c r="CR79" i="68"/>
  <c r="CR81" i="68" s="1"/>
  <c r="CQ79" i="68"/>
  <c r="CJ79" i="68"/>
  <c r="CJ81" i="68" s="1"/>
  <c r="CI79" i="68"/>
  <c r="CB79" i="68"/>
  <c r="CB81" i="68" s="1"/>
  <c r="CA79" i="68"/>
  <c r="BT79" i="68"/>
  <c r="BT78" i="68"/>
  <c r="BS79" i="68"/>
  <c r="BS78" i="68"/>
  <c r="BQ79" i="68"/>
  <c r="BQ78" i="68"/>
  <c r="BO79" i="68"/>
  <c r="BO78" i="68"/>
  <c r="H13" i="56"/>
  <c r="G13" i="56"/>
  <c r="F13" i="56"/>
  <c r="E13" i="56"/>
  <c r="D13" i="56"/>
  <c r="C13" i="56"/>
  <c r="B13" i="56"/>
  <c r="R10" i="76"/>
  <c r="Q10" i="76"/>
  <c r="P10" i="76"/>
  <c r="O10" i="76"/>
  <c r="N10" i="76"/>
  <c r="K10" i="76"/>
  <c r="J10" i="76"/>
  <c r="DB67" i="68"/>
  <c r="DA67" i="68"/>
  <c r="CZ67" i="68"/>
  <c r="CY67" i="68"/>
  <c r="CX67" i="68"/>
  <c r="CW67" i="68"/>
  <c r="CV67" i="68"/>
  <c r="CU67" i="68"/>
  <c r="CT67" i="68"/>
  <c r="CS67" i="68"/>
  <c r="CR67" i="68"/>
  <c r="CQ67" i="68"/>
  <c r="CP67" i="68"/>
  <c r="CO67" i="68"/>
  <c r="CN67" i="68"/>
  <c r="CM67" i="68"/>
  <c r="CL67" i="68"/>
  <c r="CK67" i="68"/>
  <c r="CJ67" i="68"/>
  <c r="CI67" i="68"/>
  <c r="CH67" i="68"/>
  <c r="CG67" i="68"/>
  <c r="CF67" i="68"/>
  <c r="CE67" i="68"/>
  <c r="CD67" i="68"/>
  <c r="CC67" i="68"/>
  <c r="CB67" i="68"/>
  <c r="CA67" i="68"/>
  <c r="BZ67" i="68"/>
  <c r="BY67" i="68"/>
  <c r="BX67" i="68"/>
  <c r="BW67" i="68"/>
  <c r="BV67" i="68"/>
  <c r="BU67" i="68"/>
  <c r="BT67" i="68"/>
  <c r="BS67" i="68"/>
  <c r="BR67" i="68"/>
  <c r="BQ67" i="68"/>
  <c r="BP67" i="68"/>
  <c r="BO67" i="68"/>
  <c r="BN67" i="68"/>
  <c r="BE67" i="68"/>
  <c r="BD67" i="68"/>
  <c r="BC67" i="68"/>
  <c r="BB67" i="68"/>
  <c r="BA67" i="68"/>
  <c r="AZ67" i="68"/>
  <c r="AY67" i="68"/>
  <c r="AX67" i="68"/>
  <c r="AW67" i="68"/>
  <c r="AV67" i="68"/>
  <c r="AU67" i="68"/>
  <c r="AT67" i="68"/>
  <c r="AS67" i="68"/>
  <c r="AR67" i="68"/>
  <c r="AQ67" i="68"/>
  <c r="AP67" i="68"/>
  <c r="AO67" i="68"/>
  <c r="AN67" i="68"/>
  <c r="AM67" i="68"/>
  <c r="AL67" i="68"/>
  <c r="AK67" i="68"/>
  <c r="AJ67" i="68"/>
  <c r="AI67" i="68"/>
  <c r="AH67" i="68"/>
  <c r="AG67" i="68"/>
  <c r="AF67" i="68"/>
  <c r="AE67" i="68"/>
  <c r="AD67" i="68"/>
  <c r="AC67" i="68"/>
  <c r="AB67" i="68"/>
  <c r="AA67" i="68"/>
  <c r="Z67" i="68"/>
  <c r="X67" i="68"/>
  <c r="W67" i="68"/>
  <c r="V67" i="68"/>
  <c r="U67" i="68"/>
  <c r="S67" i="68"/>
  <c r="M10" i="58"/>
  <c r="N10" i="58"/>
  <c r="O10" i="58"/>
  <c r="P10" i="58"/>
  <c r="Q10" i="58"/>
  <c r="R10" i="58"/>
  <c r="R13" i="56"/>
  <c r="Q13" i="56"/>
  <c r="P13" i="56"/>
  <c r="O13" i="56"/>
  <c r="N13" i="56"/>
  <c r="K13" i="56"/>
  <c r="J13" i="56"/>
  <c r="I13" i="56"/>
  <c r="S55" i="68"/>
  <c r="U55" i="68"/>
  <c r="W55" i="68"/>
  <c r="X55" i="68"/>
  <c r="S56" i="68"/>
  <c r="U56" i="68"/>
  <c r="W56" i="68"/>
  <c r="X56" i="68"/>
  <c r="Y67" i="68"/>
  <c r="T67" i="68"/>
  <c r="R67" i="68"/>
  <c r="DB59" i="68"/>
  <c r="DC59" i="68" s="1"/>
  <c r="DA59" i="68"/>
  <c r="CX59" i="68"/>
  <c r="CV59" i="68"/>
  <c r="CT59" i="68"/>
  <c r="CZ56" i="68"/>
  <c r="CY56" i="68"/>
  <c r="CW56" i="68"/>
  <c r="CU56" i="68"/>
  <c r="CZ55" i="68"/>
  <c r="CY55" i="68"/>
  <c r="CW55" i="68"/>
  <c r="CU55" i="68"/>
  <c r="CS59" i="68"/>
  <c r="CP59" i="68"/>
  <c r="CN59" i="68"/>
  <c r="CL59" i="68"/>
  <c r="CR56" i="68"/>
  <c r="CQ56" i="68"/>
  <c r="CO56" i="68"/>
  <c r="CM56" i="68"/>
  <c r="CR55" i="68"/>
  <c r="CQ55" i="68"/>
  <c r="CO55" i="68"/>
  <c r="CM55" i="68"/>
  <c r="CK59" i="68"/>
  <c r="CH59" i="68"/>
  <c r="CF59" i="68"/>
  <c r="CD59" i="68"/>
  <c r="CJ56" i="68"/>
  <c r="CI56" i="68"/>
  <c r="CG56" i="68"/>
  <c r="CE56" i="68"/>
  <c r="CJ55" i="68"/>
  <c r="CI55" i="68"/>
  <c r="CG55" i="68"/>
  <c r="CE55" i="68"/>
  <c r="CC59" i="68"/>
  <c r="BZ59" i="68"/>
  <c r="BX59" i="68"/>
  <c r="BV59" i="68"/>
  <c r="CB56" i="68"/>
  <c r="CA56" i="68"/>
  <c r="BY56" i="68"/>
  <c r="BW56" i="68"/>
  <c r="CB55" i="68"/>
  <c r="CA55" i="68"/>
  <c r="BY55" i="68"/>
  <c r="BW55" i="68"/>
  <c r="BU59" i="68"/>
  <c r="BR59" i="68"/>
  <c r="BP59" i="68"/>
  <c r="BN59" i="68"/>
  <c r="BT56" i="68"/>
  <c r="BS56" i="68"/>
  <c r="BQ56" i="68"/>
  <c r="BO56" i="68"/>
  <c r="BT55" i="68"/>
  <c r="BS55" i="68"/>
  <c r="BQ55" i="68"/>
  <c r="BO55" i="68"/>
  <c r="BE59" i="68"/>
  <c r="BB59" i="68"/>
  <c r="AZ59" i="68"/>
  <c r="AX59" i="68"/>
  <c r="BD56" i="68"/>
  <c r="BC56" i="68"/>
  <c r="BA56" i="68"/>
  <c r="AY56" i="68"/>
  <c r="BD55" i="68"/>
  <c r="BC55" i="68"/>
  <c r="BA55" i="68"/>
  <c r="AY55" i="68"/>
  <c r="AW59" i="68"/>
  <c r="AT59" i="68"/>
  <c r="AR59" i="68"/>
  <c r="AP59" i="68"/>
  <c r="AV56" i="68"/>
  <c r="AU56" i="68"/>
  <c r="AS56" i="68"/>
  <c r="AQ56" i="68"/>
  <c r="AV55" i="68"/>
  <c r="AU55" i="68"/>
  <c r="AS55" i="68"/>
  <c r="AQ55" i="68"/>
  <c r="AO59" i="68"/>
  <c r="AL59" i="68"/>
  <c r="AJ59" i="68"/>
  <c r="AH59" i="68"/>
  <c r="AN56" i="68"/>
  <c r="AM56" i="68"/>
  <c r="AK56" i="68"/>
  <c r="AI56" i="68"/>
  <c r="AN55" i="68"/>
  <c r="AM55" i="68"/>
  <c r="AK55" i="68"/>
  <c r="AI55" i="68"/>
  <c r="AG59" i="68"/>
  <c r="AD59" i="68"/>
  <c r="AB59" i="68"/>
  <c r="Z59" i="68"/>
  <c r="AF56" i="68"/>
  <c r="AE56" i="68"/>
  <c r="AC56" i="68"/>
  <c r="AA56" i="68"/>
  <c r="AF55" i="68"/>
  <c r="AE55" i="68"/>
  <c r="AC55" i="68"/>
  <c r="AA55" i="68"/>
  <c r="BD89" i="68"/>
  <c r="BC89" i="68"/>
  <c r="BA89" i="68"/>
  <c r="AV89" i="68"/>
  <c r="AU89" i="68"/>
  <c r="AS89" i="68"/>
  <c r="AN89" i="68"/>
  <c r="AM89" i="68"/>
  <c r="AK89" i="68"/>
  <c r="AF89" i="68"/>
  <c r="AE89" i="68"/>
  <c r="AC89" i="68"/>
  <c r="X89" i="68"/>
  <c r="W89" i="68"/>
  <c r="U89" i="68"/>
  <c r="DA89" i="68"/>
  <c r="CZ89" i="68"/>
  <c r="CY89" i="68"/>
  <c r="CS89" i="68"/>
  <c r="CR89" i="68"/>
  <c r="CQ89" i="68"/>
  <c r="CP89" i="68"/>
  <c r="CO89" i="68"/>
  <c r="CN89" i="68"/>
  <c r="CM89" i="68"/>
  <c r="CL89" i="68"/>
  <c r="CK89" i="68"/>
  <c r="CJ89" i="68"/>
  <c r="CI89" i="68"/>
  <c r="CH89" i="68"/>
  <c r="CG89" i="68"/>
  <c r="CF89" i="68"/>
  <c r="CE89" i="68"/>
  <c r="CD89" i="68"/>
  <c r="CC89" i="68"/>
  <c r="CB89" i="68"/>
  <c r="CA89" i="68"/>
  <c r="BZ89" i="68"/>
  <c r="BY89" i="68"/>
  <c r="BX89" i="68"/>
  <c r="BW89" i="68"/>
  <c r="BV89" i="68"/>
  <c r="BU89" i="68"/>
  <c r="BT89" i="68"/>
  <c r="BS89" i="68"/>
  <c r="BR89" i="68"/>
  <c r="BQ89" i="68"/>
  <c r="BP89" i="68"/>
  <c r="BO89" i="68"/>
  <c r="BN89" i="68"/>
  <c r="BE89" i="68"/>
  <c r="BB89" i="68"/>
  <c r="AZ89" i="68"/>
  <c r="AY89" i="68"/>
  <c r="AX89" i="68"/>
  <c r="AW89" i="68"/>
  <c r="AT89" i="68"/>
  <c r="AR89" i="68"/>
  <c r="AQ89" i="68"/>
  <c r="AP89" i="68"/>
  <c r="AO89" i="68"/>
  <c r="AL89" i="68"/>
  <c r="AJ89" i="68"/>
  <c r="AI89" i="68"/>
  <c r="AH89" i="68"/>
  <c r="AG89" i="68"/>
  <c r="AD89" i="68"/>
  <c r="AB89" i="68"/>
  <c r="AA89" i="68"/>
  <c r="Z89" i="68"/>
  <c r="Y89" i="68"/>
  <c r="V89" i="68"/>
  <c r="T89" i="68"/>
  <c r="S89" i="68"/>
  <c r="R89" i="68"/>
  <c r="DA81" i="68"/>
  <c r="CX81" i="68"/>
  <c r="CV81" i="68"/>
  <c r="CT81" i="68"/>
  <c r="CS81" i="68"/>
  <c r="CP81" i="68"/>
  <c r="CN81" i="68"/>
  <c r="CL81" i="68"/>
  <c r="CK81" i="68"/>
  <c r="CH81" i="68"/>
  <c r="CF81" i="68"/>
  <c r="CD81" i="68"/>
  <c r="CC81" i="68"/>
  <c r="BZ81" i="68"/>
  <c r="BX81" i="68"/>
  <c r="BV81" i="68"/>
  <c r="BU81" i="68"/>
  <c r="BR81" i="68"/>
  <c r="BP81" i="68"/>
  <c r="BN81" i="68"/>
  <c r="BE81" i="68"/>
  <c r="BB81" i="68"/>
  <c r="AZ81" i="68"/>
  <c r="AX81" i="68"/>
  <c r="AW81" i="68"/>
  <c r="AT81" i="68"/>
  <c r="AR81" i="68"/>
  <c r="AP81" i="68"/>
  <c r="AO81" i="68"/>
  <c r="AL81" i="68"/>
  <c r="AJ81" i="68"/>
  <c r="AH81" i="68"/>
  <c r="BD80" i="68"/>
  <c r="BC80" i="68"/>
  <c r="BA80" i="68"/>
  <c r="AY80" i="68"/>
  <c r="AV80" i="68"/>
  <c r="AU80" i="68"/>
  <c r="AS80" i="68"/>
  <c r="AQ80" i="68"/>
  <c r="AN80" i="68"/>
  <c r="AM80" i="68"/>
  <c r="AK80" i="68"/>
  <c r="AI80" i="68"/>
  <c r="BD79" i="68"/>
  <c r="BC79" i="68"/>
  <c r="BA79" i="68"/>
  <c r="AY79" i="68"/>
  <c r="AV79" i="68"/>
  <c r="AU79" i="68"/>
  <c r="AS79" i="68"/>
  <c r="AQ79" i="68"/>
  <c r="AN79" i="68"/>
  <c r="AM79" i="68"/>
  <c r="AK79" i="68"/>
  <c r="AI79" i="68"/>
  <c r="BD78" i="68"/>
  <c r="BC78" i="68"/>
  <c r="BA78" i="68"/>
  <c r="AY78" i="68"/>
  <c r="AV78" i="68"/>
  <c r="AU78" i="68"/>
  <c r="AS78" i="68"/>
  <c r="AQ78" i="68"/>
  <c r="AN78" i="68"/>
  <c r="AM78" i="68"/>
  <c r="AK78" i="68"/>
  <c r="AI78" i="68"/>
  <c r="BD77" i="68"/>
  <c r="BC77" i="68"/>
  <c r="BA77" i="68"/>
  <c r="AY77" i="68"/>
  <c r="AV77" i="68"/>
  <c r="AU77" i="68"/>
  <c r="AS77" i="68"/>
  <c r="AQ77" i="68"/>
  <c r="AN77" i="68"/>
  <c r="AM77" i="68"/>
  <c r="AK77" i="68"/>
  <c r="AI77" i="68"/>
  <c r="AG81" i="68"/>
  <c r="AD81" i="68"/>
  <c r="AB81" i="68"/>
  <c r="AF80" i="68"/>
  <c r="AE80" i="68"/>
  <c r="AC80" i="68"/>
  <c r="AA80" i="68"/>
  <c r="AF79" i="68"/>
  <c r="AE79" i="68"/>
  <c r="AC79" i="68"/>
  <c r="AA79" i="68"/>
  <c r="AF78" i="68"/>
  <c r="AE78" i="68"/>
  <c r="AC78" i="68"/>
  <c r="AA78" i="68"/>
  <c r="AF77" i="68"/>
  <c r="AE77" i="68"/>
  <c r="AC77" i="68"/>
  <c r="AA77" i="68"/>
  <c r="R74" i="68"/>
  <c r="Y59" i="68"/>
  <c r="V59" i="68"/>
  <c r="T59" i="68"/>
  <c r="R59" i="68"/>
  <c r="Y81" i="68"/>
  <c r="V81" i="68"/>
  <c r="T81" i="68"/>
  <c r="R81" i="68"/>
  <c r="X80" i="68"/>
  <c r="W80" i="68"/>
  <c r="U80" i="68"/>
  <c r="S80" i="68"/>
  <c r="X79" i="68"/>
  <c r="W79" i="68"/>
  <c r="U79" i="68"/>
  <c r="S79" i="68"/>
  <c r="X78" i="68"/>
  <c r="W78" i="68"/>
  <c r="U78" i="68"/>
  <c r="S78" i="68"/>
  <c r="X77" i="68"/>
  <c r="W77" i="68"/>
  <c r="U77" i="68"/>
  <c r="S77" i="68"/>
  <c r="BY81" i="68" l="1"/>
  <c r="AK81" i="68"/>
  <c r="CI81" i="68"/>
  <c r="CW81" i="68"/>
  <c r="DD97" i="68"/>
  <c r="BS81" i="68"/>
  <c r="CA81" i="68"/>
  <c r="DB140" i="68"/>
  <c r="DB146" i="68" s="1"/>
  <c r="DB148" i="68" s="1"/>
  <c r="BT81" i="68"/>
  <c r="CQ81" i="68"/>
  <c r="BO81" i="68"/>
  <c r="CE81" i="68"/>
  <c r="CU81" i="68"/>
  <c r="AA59" i="68"/>
  <c r="AI59" i="68"/>
  <c r="AY59" i="68"/>
  <c r="BQ81" i="68"/>
  <c r="BC81" i="68"/>
  <c r="BA81" i="68"/>
  <c r="BD81" i="68"/>
  <c r="AY81" i="68"/>
  <c r="AU81" i="68"/>
  <c r="AS81" i="68"/>
  <c r="AV81" i="68"/>
  <c r="AQ81" i="68"/>
  <c r="AM81" i="68"/>
  <c r="AN81" i="68"/>
  <c r="AI81" i="68"/>
  <c r="AA81" i="68"/>
  <c r="AC81" i="68"/>
  <c r="AF81" i="68"/>
  <c r="AE81" i="68"/>
  <c r="CE59" i="68"/>
  <c r="BW59" i="68"/>
  <c r="BO59" i="68"/>
  <c r="BC59" i="68"/>
  <c r="CR59" i="68"/>
  <c r="AV59" i="68"/>
  <c r="CY59" i="68"/>
  <c r="CU59" i="68"/>
  <c r="CM59" i="68"/>
  <c r="CJ59" i="68"/>
  <c r="CA59" i="68"/>
  <c r="CB59" i="68"/>
  <c r="BS59" i="68"/>
  <c r="BD59" i="68"/>
  <c r="AU59" i="68"/>
  <c r="AQ59" i="68"/>
  <c r="AM59" i="68"/>
  <c r="AE59" i="68"/>
  <c r="AF59" i="68"/>
  <c r="CZ59" i="68"/>
  <c r="CW59" i="68"/>
  <c r="CO59" i="68"/>
  <c r="CQ59" i="68"/>
  <c r="CG59" i="68"/>
  <c r="CI59" i="68"/>
  <c r="BY59" i="68"/>
  <c r="BQ59" i="68"/>
  <c r="BT59" i="68"/>
  <c r="BA59" i="68"/>
  <c r="AS59" i="68"/>
  <c r="AK59" i="68"/>
  <c r="AN59" i="68"/>
  <c r="AC59" i="68"/>
  <c r="W81" i="68"/>
  <c r="S59" i="68"/>
  <c r="U59" i="68"/>
  <c r="X59" i="68"/>
  <c r="U81" i="68"/>
  <c r="W59" i="68"/>
  <c r="S81" i="68"/>
  <c r="X81" i="68"/>
  <c r="DF97" i="68" l="1"/>
  <c r="DB143" i="68"/>
  <c r="DB155" i="68"/>
  <c r="DB139" i="68"/>
  <c r="DB81" i="68" l="1"/>
  <c r="R36" i="76" l="1"/>
  <c r="R15" i="58"/>
  <c r="DQ192" i="68"/>
  <c r="DP192" i="68"/>
  <c r="DO192" i="68"/>
  <c r="DN192" i="68"/>
  <c r="DM192" i="68"/>
  <c r="DL192" i="68"/>
  <c r="DK192" i="68"/>
  <c r="DQ191" i="68"/>
  <c r="DP191" i="68"/>
  <c r="DO191" i="68"/>
  <c r="DN191" i="68"/>
  <c r="DM191" i="68"/>
  <c r="DL191" i="68"/>
  <c r="DK191" i="68"/>
  <c r="DJ191" i="68"/>
  <c r="DQ33" i="68"/>
  <c r="DQ32" i="68"/>
  <c r="DQ31" i="68"/>
  <c r="DQ30" i="68"/>
  <c r="DQ29" i="68"/>
  <c r="DQ28" i="68"/>
  <c r="DQ27" i="68"/>
  <c r="DQ26" i="68"/>
  <c r="DQ13" i="68"/>
  <c r="DQ12" i="68"/>
  <c r="DQ11" i="68"/>
  <c r="DQ10" i="68"/>
  <c r="DQ9" i="68"/>
  <c r="DQ8" i="68"/>
  <c r="DQ7" i="68"/>
  <c r="DQ6" i="68"/>
  <c r="DQ4" i="68"/>
  <c r="DP4" i="68"/>
  <c r="DO4" i="68"/>
  <c r="DN4" i="68"/>
  <c r="DM4" i="68"/>
  <c r="DL4" i="68"/>
  <c r="DK4" i="68"/>
  <c r="DJ4" i="68"/>
  <c r="CX189" i="68"/>
  <c r="W48" i="9"/>
  <c r="W47" i="9"/>
  <c r="W39" i="9"/>
  <c r="W38" i="9"/>
  <c r="W36" i="9"/>
  <c r="R62" i="58" l="1"/>
  <c r="W77" i="9"/>
  <c r="DP163" i="68"/>
  <c r="DO163" i="68"/>
  <c r="DP166" i="68"/>
  <c r="DO166" i="68"/>
  <c r="DQ37" i="68"/>
  <c r="DQ38" i="68"/>
  <c r="DQ42" i="68"/>
  <c r="DQ34" i="68"/>
  <c r="DQ39" i="68"/>
  <c r="DQ14" i="68"/>
  <c r="DQ40" i="68"/>
  <c r="DQ41" i="68"/>
  <c r="DQ43" i="68" l="1"/>
  <c r="W149" i="56" l="1"/>
  <c r="W46" i="56"/>
  <c r="W48" i="56"/>
  <c r="S29" i="56" l="1"/>
  <c r="Q182" i="56"/>
  <c r="R83" i="9" l="1"/>
  <c r="R140" i="9"/>
  <c r="CY189" i="68"/>
  <c r="C189" i="68" l="1"/>
  <c r="E189" i="68"/>
  <c r="H189" i="68"/>
  <c r="G189" i="68" s="1"/>
  <c r="K189" i="68"/>
  <c r="P189" i="68"/>
  <c r="M189" i="68"/>
  <c r="O189" i="68"/>
  <c r="CU189" i="68"/>
  <c r="CT189" i="68"/>
  <c r="CS189" i="68"/>
  <c r="CR189" i="68"/>
  <c r="CQ189" i="68"/>
  <c r="CP189" i="68"/>
  <c r="CO189" i="68"/>
  <c r="CN189" i="68"/>
  <c r="CM189" i="68"/>
  <c r="CL189" i="68"/>
  <c r="CK189" i="68"/>
  <c r="CJ189" i="68"/>
  <c r="CI189" i="68"/>
  <c r="CH189" i="68"/>
  <c r="CG189" i="68"/>
  <c r="CF189" i="68"/>
  <c r="CE189" i="68"/>
  <c r="CD189" i="68"/>
  <c r="CC189" i="68"/>
  <c r="CB189" i="68"/>
  <c r="CA189" i="68"/>
  <c r="BZ189" i="68"/>
  <c r="BY189" i="68"/>
  <c r="BX189" i="68"/>
  <c r="BW189" i="68"/>
  <c r="BV189" i="68"/>
  <c r="BU189" i="68"/>
  <c r="BT189" i="68"/>
  <c r="BS189" i="68"/>
  <c r="BR189" i="68"/>
  <c r="BQ189" i="68"/>
  <c r="BP189" i="68"/>
  <c r="BO189" i="68"/>
  <c r="BN189" i="68"/>
  <c r="BM189" i="68"/>
  <c r="BL189" i="68"/>
  <c r="BK189" i="68"/>
  <c r="CV189" i="68"/>
  <c r="BJ189" i="68"/>
  <c r="BH189" i="68"/>
  <c r="BE189" i="68"/>
  <c r="BD189" i="68"/>
  <c r="BC189" i="68"/>
  <c r="BB189" i="68"/>
  <c r="BA189" i="68"/>
  <c r="AZ189" i="68"/>
  <c r="AY189" i="68"/>
  <c r="AX189" i="68"/>
  <c r="AW189" i="68"/>
  <c r="AV189" i="68"/>
  <c r="AT189" i="68"/>
  <c r="AR189" i="68"/>
  <c r="AO189" i="68"/>
  <c r="AN189" i="68"/>
  <c r="AL189" i="68"/>
  <c r="AJ189" i="68"/>
  <c r="AG189" i="68"/>
  <c r="AF189" i="68"/>
  <c r="AD189" i="68"/>
  <c r="AB189" i="68"/>
  <c r="Y189" i="68"/>
  <c r="X189" i="68"/>
  <c r="V189" i="68"/>
  <c r="T189" i="68"/>
  <c r="CW189" i="68"/>
  <c r="CW138" i="68" l="1"/>
  <c r="CG138" i="68"/>
  <c r="CO138" i="68"/>
  <c r="CU156" i="68"/>
  <c r="CW156" i="68"/>
  <c r="CZ169" i="68"/>
  <c r="CY169" i="68"/>
  <c r="CZ165" i="68"/>
  <c r="CY165" i="68"/>
  <c r="CW170" i="68"/>
  <c r="CW169" i="68"/>
  <c r="CW168" i="68"/>
  <c r="CW167" i="68"/>
  <c r="CW166" i="68"/>
  <c r="CW165" i="68"/>
  <c r="CW164" i="68"/>
  <c r="CW163" i="68"/>
  <c r="CW162" i="68"/>
  <c r="CW160" i="68"/>
  <c r="CW159" i="68"/>
  <c r="CU170" i="68"/>
  <c r="CU169" i="68"/>
  <c r="CU168" i="68"/>
  <c r="CU167" i="68"/>
  <c r="CU166" i="68"/>
  <c r="CU165" i="68"/>
  <c r="CU164" i="68"/>
  <c r="CU163" i="68"/>
  <c r="CU162" i="68"/>
  <c r="CU161" i="68"/>
  <c r="CU160" i="68"/>
  <c r="CU159" i="68"/>
  <c r="CX171" i="68"/>
  <c r="CX150" i="68"/>
  <c r="CW120" i="68"/>
  <c r="CW97" i="68"/>
  <c r="CU171" i="68" l="1"/>
  <c r="CW171" i="68"/>
  <c r="CV171" i="68" l="1"/>
  <c r="CU150" i="68"/>
  <c r="CU149" i="68"/>
  <c r="CU145" i="68"/>
  <c r="CU138" i="68"/>
  <c r="R29" i="56" l="1"/>
  <c r="CT171" i="68" l="1"/>
  <c r="N257" i="68" l="1"/>
  <c r="M257" i="68"/>
  <c r="L257" i="68"/>
  <c r="K257" i="68"/>
  <c r="J257" i="68"/>
  <c r="I257" i="68"/>
  <c r="H257" i="68"/>
  <c r="G257" i="68"/>
  <c r="F257" i="68"/>
  <c r="E257" i="68"/>
  <c r="D257" i="68"/>
  <c r="N252" i="68" l="1"/>
  <c r="M252" i="68"/>
  <c r="L252" i="68"/>
  <c r="K252" i="68"/>
  <c r="J252" i="68"/>
  <c r="I252" i="68"/>
  <c r="H252" i="68"/>
  <c r="G252" i="68"/>
  <c r="F252" i="68"/>
  <c r="E252" i="68"/>
  <c r="D252" i="68"/>
  <c r="N260" i="68"/>
  <c r="M260" i="68"/>
  <c r="L260" i="68"/>
  <c r="K260" i="68"/>
  <c r="J260" i="68"/>
  <c r="I260" i="68"/>
  <c r="H260" i="68"/>
  <c r="G260" i="68"/>
  <c r="F260" i="68"/>
  <c r="E260" i="68"/>
  <c r="D260" i="68"/>
  <c r="B252" i="68"/>
  <c r="C252" i="68"/>
  <c r="D241" i="68"/>
  <c r="N238" i="68"/>
  <c r="D238" i="68"/>
  <c r="M238" i="68" l="1"/>
  <c r="L238" i="68"/>
  <c r="K238" i="68"/>
  <c r="J238" i="68"/>
  <c r="I238" i="68"/>
  <c r="H238" i="68"/>
  <c r="G238" i="68"/>
  <c r="F238" i="68"/>
  <c r="E238" i="68"/>
  <c r="E229" i="68"/>
  <c r="N229" i="68"/>
  <c r="M229" i="68"/>
  <c r="L229" i="68"/>
  <c r="K229" i="68"/>
  <c r="J229" i="68"/>
  <c r="I229" i="68"/>
  <c r="H229" i="68"/>
  <c r="G229" i="68"/>
  <c r="F229" i="68"/>
  <c r="D229" i="68"/>
  <c r="N241" i="68" l="1"/>
  <c r="M241" i="68"/>
  <c r="L241" i="68"/>
  <c r="K241" i="68"/>
  <c r="J241" i="68"/>
  <c r="I241" i="68"/>
  <c r="H241" i="68"/>
  <c r="G241" i="68"/>
  <c r="F241" i="68"/>
  <c r="E241" i="68"/>
  <c r="C229" i="68"/>
  <c r="B229" i="68"/>
  <c r="N214" i="68"/>
  <c r="M214" i="68"/>
  <c r="L214" i="68"/>
  <c r="K214" i="68"/>
  <c r="J214" i="68"/>
  <c r="I214" i="68"/>
  <c r="H214" i="68"/>
  <c r="G214" i="68"/>
  <c r="F214" i="68"/>
  <c r="E214" i="68"/>
  <c r="D214" i="68"/>
  <c r="N211" i="68"/>
  <c r="M211" i="68"/>
  <c r="L211" i="68"/>
  <c r="K211" i="68"/>
  <c r="J211" i="68"/>
  <c r="I211" i="68"/>
  <c r="H211" i="68"/>
  <c r="G211" i="68"/>
  <c r="F211" i="68"/>
  <c r="E211" i="68"/>
  <c r="D211" i="68"/>
  <c r="S96" i="68" l="1"/>
  <c r="S95" i="68"/>
  <c r="S94" i="68"/>
  <c r="S93" i="68"/>
  <c r="T97" i="68"/>
  <c r="U96" i="68"/>
  <c r="U95" i="68"/>
  <c r="U94" i="68"/>
  <c r="U93" i="68"/>
  <c r="X96" i="68"/>
  <c r="X95" i="68"/>
  <c r="X94" i="68"/>
  <c r="X93" i="68"/>
  <c r="S118" i="68"/>
  <c r="S117" i="68"/>
  <c r="S116" i="68"/>
  <c r="S119" i="68"/>
  <c r="X119" i="68"/>
  <c r="X118" i="68"/>
  <c r="X117" i="68"/>
  <c r="X116" i="68"/>
  <c r="C202" i="68" l="1"/>
  <c r="B202" i="68"/>
  <c r="N202" i="68"/>
  <c r="M202" i="68"/>
  <c r="L202" i="68"/>
  <c r="K202" i="68"/>
  <c r="J202" i="68"/>
  <c r="I202" i="68"/>
  <c r="H202" i="68"/>
  <c r="G202" i="68"/>
  <c r="F202" i="68"/>
  <c r="E202" i="68"/>
  <c r="D202" i="68"/>
  <c r="DH192" i="68"/>
  <c r="DG192" i="68"/>
  <c r="DF192" i="68"/>
  <c r="DE192" i="68"/>
  <c r="DD192" i="68"/>
  <c r="DC192" i="68"/>
  <c r="CT192" i="68"/>
  <c r="CL192" i="68"/>
  <c r="CD192" i="68"/>
  <c r="BV192" i="68"/>
  <c r="BN192" i="68"/>
  <c r="AX192" i="68"/>
  <c r="AP192" i="68"/>
  <c r="AH192" i="68"/>
  <c r="AG192" i="68"/>
  <c r="AF192" i="68"/>
  <c r="AE192" i="68"/>
  <c r="AD192" i="68"/>
  <c r="AC192" i="68"/>
  <c r="AB192" i="68"/>
  <c r="AA192" i="68"/>
  <c r="Z192" i="68"/>
  <c r="Y192" i="68"/>
  <c r="X192" i="68"/>
  <c r="W192" i="68"/>
  <c r="V192" i="68"/>
  <c r="U192" i="68"/>
  <c r="T192" i="68"/>
  <c r="S192" i="68"/>
  <c r="R192" i="68"/>
  <c r="Q192" i="68"/>
  <c r="P192" i="68"/>
  <c r="O192" i="68"/>
  <c r="N192" i="68"/>
  <c r="M192" i="68"/>
  <c r="L192" i="68"/>
  <c r="K192" i="68"/>
  <c r="J192" i="68"/>
  <c r="I192" i="68"/>
  <c r="H192" i="68"/>
  <c r="G192" i="68"/>
  <c r="F192" i="68"/>
  <c r="E192" i="68"/>
  <c r="D192" i="68"/>
  <c r="C192" i="68"/>
  <c r="B192" i="68"/>
  <c r="DH191" i="68"/>
  <c r="DG191" i="68"/>
  <c r="DF191" i="68"/>
  <c r="DE191" i="68"/>
  <c r="DD191" i="68"/>
  <c r="DC191" i="68"/>
  <c r="CT191" i="68"/>
  <c r="CL191" i="68"/>
  <c r="CD191" i="68"/>
  <c r="BV191" i="68"/>
  <c r="BN191" i="68"/>
  <c r="AX191" i="68"/>
  <c r="AP191" i="68"/>
  <c r="AH191" i="68"/>
  <c r="AG191" i="68"/>
  <c r="AF191" i="68"/>
  <c r="AE191" i="68"/>
  <c r="AD191" i="68"/>
  <c r="AC191" i="68"/>
  <c r="AB191" i="68"/>
  <c r="AA191" i="68"/>
  <c r="Z191" i="68"/>
  <c r="Y191" i="68"/>
  <c r="X191" i="68"/>
  <c r="W191" i="68"/>
  <c r="V191" i="68"/>
  <c r="U191" i="68"/>
  <c r="T191" i="68"/>
  <c r="S191" i="68"/>
  <c r="R191" i="68"/>
  <c r="Q191" i="68"/>
  <c r="P191" i="68"/>
  <c r="O191" i="68"/>
  <c r="N191" i="68"/>
  <c r="M191" i="68"/>
  <c r="L191" i="68"/>
  <c r="K191" i="68"/>
  <c r="J191" i="68"/>
  <c r="I191" i="68"/>
  <c r="H191" i="68"/>
  <c r="G191" i="68"/>
  <c r="F191" i="68"/>
  <c r="E191" i="68"/>
  <c r="D191" i="68"/>
  <c r="C191" i="68"/>
  <c r="B191" i="68"/>
  <c r="U18" i="112" l="1"/>
  <c r="DY167" i="68" s="1"/>
  <c r="DW167" i="68" s="1"/>
  <c r="DX167" i="68" s="1"/>
  <c r="V18" i="112" l="1"/>
  <c r="U68" i="113" l="1"/>
  <c r="U67" i="113" s="1"/>
  <c r="U64" i="113" s="1"/>
  <c r="U39" i="113" s="1"/>
  <c r="V7" i="111"/>
  <c r="W18" i="112"/>
  <c r="Q36" i="76"/>
  <c r="Q15" i="58"/>
  <c r="V68" i="113" l="1"/>
  <c r="V67" i="113" s="1"/>
  <c r="V64" i="113" s="1"/>
  <c r="V39" i="113" s="1"/>
  <c r="X18" i="112"/>
  <c r="W7" i="111"/>
  <c r="W68" i="113" l="1"/>
  <c r="W67" i="113" s="1"/>
  <c r="W64" i="113" s="1"/>
  <c r="W39" i="113" s="1"/>
  <c r="Y18" i="112"/>
  <c r="X7" i="111"/>
  <c r="X68" i="113" l="1"/>
  <c r="X67" i="113" s="1"/>
  <c r="X64" i="113" s="1"/>
  <c r="X39" i="113" s="1"/>
  <c r="Y7" i="111"/>
  <c r="Z18" i="112"/>
  <c r="Y68" i="113" l="1"/>
  <c r="Y67" i="113" s="1"/>
  <c r="Y64" i="113" s="1"/>
  <c r="Y39" i="113" s="1"/>
  <c r="Z7" i="111"/>
  <c r="AA7" i="111" s="1"/>
  <c r="Z68" i="113" l="1"/>
  <c r="Z67" i="113" s="1"/>
  <c r="Z64" i="113" s="1"/>
  <c r="Z39" i="113" s="1"/>
  <c r="DH166" i="68" l="1"/>
  <c r="DG166" i="68"/>
  <c r="DH163" i="68"/>
  <c r="DG163" i="68"/>
  <c r="V149" i="56" l="1"/>
  <c r="V46" i="56"/>
  <c r="V48" i="56"/>
  <c r="DI33" i="68"/>
  <c r="DI32" i="68"/>
  <c r="DI31" i="68"/>
  <c r="DI30" i="68"/>
  <c r="DI29" i="68"/>
  <c r="DI28" i="68"/>
  <c r="DI27" i="68"/>
  <c r="DI26" i="68"/>
  <c r="DI13" i="68"/>
  <c r="DI12" i="68"/>
  <c r="DI11" i="68"/>
  <c r="DI10" i="68"/>
  <c r="DI9" i="68"/>
  <c r="DI8" i="68"/>
  <c r="DI7" i="68"/>
  <c r="DI6" i="68"/>
  <c r="DB4" i="68"/>
  <c r="DD4" i="68"/>
  <c r="DC4" i="68"/>
  <c r="V48" i="9"/>
  <c r="V47" i="9"/>
  <c r="V39" i="9"/>
  <c r="V38" i="9"/>
  <c r="V36" i="9"/>
  <c r="V77" i="9" l="1"/>
  <c r="DQ22" i="68"/>
  <c r="DI40" i="68"/>
  <c r="DQ49" i="68"/>
  <c r="DQ19" i="68"/>
  <c r="DI42" i="68"/>
  <c r="DQ51" i="68"/>
  <c r="DQ20" i="68"/>
  <c r="DI37" i="68"/>
  <c r="DQ46" i="68"/>
  <c r="DI34" i="68"/>
  <c r="DI39" i="68"/>
  <c r="DQ48" i="68"/>
  <c r="DI14" i="68"/>
  <c r="DQ17" i="68"/>
  <c r="DQ18" i="68"/>
  <c r="DI41" i="68"/>
  <c r="DQ50" i="68"/>
  <c r="DQ21" i="68"/>
  <c r="DI38" i="68"/>
  <c r="DQ47" i="68"/>
  <c r="Q29" i="56"/>
  <c r="EG139" i="68" l="1"/>
  <c r="DQ23" i="68"/>
  <c r="DI43" i="68"/>
  <c r="DQ52" i="68"/>
  <c r="DE4" i="68"/>
  <c r="DF4" i="68" l="1"/>
  <c r="DG4" i="68" l="1"/>
  <c r="DH4" i="68" l="1"/>
  <c r="W47" i="58"/>
  <c r="X47" i="58" s="1"/>
  <c r="Y47" i="58" s="1"/>
  <c r="Q3" i="58" l="1"/>
  <c r="Q83" i="9"/>
  <c r="Q77" i="9" s="1"/>
  <c r="Q140" i="9"/>
  <c r="Q5" i="58" l="1"/>
  <c r="Q62" i="58"/>
  <c r="R50" i="56" l="1"/>
  <c r="R19" i="56" s="1"/>
  <c r="R38" i="56" s="1"/>
  <c r="R20" i="56" l="1"/>
  <c r="R18" i="56"/>
  <c r="Q125" i="56"/>
  <c r="Q80" i="56" l="1"/>
  <c r="Q81" i="56"/>
  <c r="Q74" i="56"/>
  <c r="CS70" i="68" l="1"/>
  <c r="CS74" i="68" s="1"/>
  <c r="B4" i="68"/>
  <c r="C4" i="68"/>
  <c r="D4" i="68"/>
  <c r="E4" i="68"/>
  <c r="F4" i="68"/>
  <c r="G4" i="68"/>
  <c r="H4" i="68"/>
  <c r="I4" i="68"/>
  <c r="J4" i="68"/>
  <c r="K4" i="68"/>
  <c r="L4" i="68"/>
  <c r="M4" i="68"/>
  <c r="N4" i="68"/>
  <c r="O4" i="68"/>
  <c r="P4" i="68"/>
  <c r="Q4" i="68"/>
  <c r="R4" i="68"/>
  <c r="S4" i="68"/>
  <c r="T4" i="68"/>
  <c r="U4" i="68"/>
  <c r="V4" i="68"/>
  <c r="W4" i="68"/>
  <c r="X4" i="68"/>
  <c r="Y4" i="68"/>
  <c r="Z4" i="68"/>
  <c r="AA4" i="68"/>
  <c r="AB4" i="68"/>
  <c r="AC4" i="68"/>
  <c r="AD4" i="68"/>
  <c r="AE4" i="68"/>
  <c r="AF4" i="68"/>
  <c r="AG4" i="68"/>
  <c r="AH4" i="68"/>
  <c r="X224" i="68" l="1"/>
  <c r="U197" i="68"/>
  <c r="X196" i="68"/>
  <c r="X197" i="68"/>
  <c r="S223" i="68"/>
  <c r="X195" i="68"/>
  <c r="S225" i="68"/>
  <c r="U195" i="68"/>
  <c r="X222" i="68"/>
  <c r="Y196" i="68"/>
  <c r="V224" i="68"/>
  <c r="S224" i="68"/>
  <c r="T223" i="68"/>
  <c r="R225" i="68"/>
  <c r="D233" i="68" s="1"/>
  <c r="R196" i="68"/>
  <c r="X198" i="68"/>
  <c r="T196" i="68"/>
  <c r="S195" i="68"/>
  <c r="Y224" i="68"/>
  <c r="Y197" i="68"/>
  <c r="V222" i="68"/>
  <c r="X223" i="68"/>
  <c r="T222" i="68"/>
  <c r="R198" i="68"/>
  <c r="X225" i="68"/>
  <c r="R195" i="68"/>
  <c r="R223" i="68"/>
  <c r="D231" i="68" s="1"/>
  <c r="Y222" i="68"/>
  <c r="Y195" i="68"/>
  <c r="S197" i="68"/>
  <c r="U196" i="68"/>
  <c r="V198" i="68"/>
  <c r="U198" i="68"/>
  <c r="Y225" i="68"/>
  <c r="S198" i="68"/>
  <c r="V225" i="68"/>
  <c r="V197" i="68"/>
  <c r="T197" i="68"/>
  <c r="Y223" i="68"/>
  <c r="S196" i="68"/>
  <c r="V223" i="68"/>
  <c r="V195" i="68"/>
  <c r="T225" i="68"/>
  <c r="T198" i="68"/>
  <c r="Y198" i="68"/>
  <c r="S222" i="68"/>
  <c r="V196" i="68"/>
  <c r="T224" i="68"/>
  <c r="T195" i="68"/>
  <c r="R197" i="68"/>
  <c r="R222" i="68"/>
  <c r="D230" i="68" s="1"/>
  <c r="R224" i="68"/>
  <c r="D232" i="68" s="1"/>
  <c r="D205" i="68" l="1"/>
  <c r="D203" i="68"/>
  <c r="D204" i="68"/>
  <c r="D206" i="68"/>
  <c r="CI169" i="68" l="1"/>
  <c r="CI165" i="68"/>
  <c r="CR169" i="68"/>
  <c r="CR165" i="68"/>
  <c r="CJ169" i="68"/>
  <c r="CJ165" i="68"/>
  <c r="CH171" i="68"/>
  <c r="CG170" i="68"/>
  <c r="CG169" i="68"/>
  <c r="CG168" i="68"/>
  <c r="CG167" i="68"/>
  <c r="CG166" i="68"/>
  <c r="CG165" i="68"/>
  <c r="CG164" i="68"/>
  <c r="CG163" i="68"/>
  <c r="CG162" i="68"/>
  <c r="CG160" i="68"/>
  <c r="CG159" i="68"/>
  <c r="CO170" i="68"/>
  <c r="CO169" i="68"/>
  <c r="CO168" i="68"/>
  <c r="CO167" i="68"/>
  <c r="CO166" i="68"/>
  <c r="CO165" i="68"/>
  <c r="CO164" i="68"/>
  <c r="CO163" i="68"/>
  <c r="CO162" i="68"/>
  <c r="CO160" i="68"/>
  <c r="CO159" i="68"/>
  <c r="CF171" i="68"/>
  <c r="CE170" i="68"/>
  <c r="CE169" i="68"/>
  <c r="CE168" i="68"/>
  <c r="CE167" i="68"/>
  <c r="CE166" i="68"/>
  <c r="CE165" i="68"/>
  <c r="CE164" i="68"/>
  <c r="CE163" i="68"/>
  <c r="CE162" i="68"/>
  <c r="CE161" i="68"/>
  <c r="CE160" i="68"/>
  <c r="CE159" i="68"/>
  <c r="CM170" i="68"/>
  <c r="CM169" i="68"/>
  <c r="CM168" i="68"/>
  <c r="CM167" i="68"/>
  <c r="CM166" i="68"/>
  <c r="CM165" i="68"/>
  <c r="CM164" i="68"/>
  <c r="CM163" i="68"/>
  <c r="CM162" i="68"/>
  <c r="CM161" i="68"/>
  <c r="CM160" i="68"/>
  <c r="CM159" i="68"/>
  <c r="CN171" i="68"/>
  <c r="CL171" i="68"/>
  <c r="CD171" i="68"/>
  <c r="CT4" i="68"/>
  <c r="CL4" i="68"/>
  <c r="CD4" i="68"/>
  <c r="BV4" i="68"/>
  <c r="BN4" i="68"/>
  <c r="BF4" i="68"/>
  <c r="AX4" i="68"/>
  <c r="AP4" i="68"/>
  <c r="CO98" i="68"/>
  <c r="CM98" i="68"/>
  <c r="CL98" i="68"/>
  <c r="CG98" i="68"/>
  <c r="CE98" i="68"/>
  <c r="CD98" i="68"/>
  <c r="BY98" i="68"/>
  <c r="BW98" i="68"/>
  <c r="BV98" i="68"/>
  <c r="BQ98" i="68"/>
  <c r="BP98" i="68"/>
  <c r="BN98" i="68"/>
  <c r="BM98" i="68"/>
  <c r="BJ98" i="68"/>
  <c r="BH98" i="68"/>
  <c r="BF98" i="68"/>
  <c r="BE98" i="68"/>
  <c r="BA98" i="68"/>
  <c r="AY98" i="68"/>
  <c r="AX98" i="68"/>
  <c r="AW98" i="68"/>
  <c r="AT98" i="68"/>
  <c r="AQ98" i="68"/>
  <c r="AP98" i="68"/>
  <c r="CO156" i="68"/>
  <c r="CM156" i="68"/>
  <c r="CM152" i="68"/>
  <c r="CM171" i="68" l="1"/>
  <c r="CO171" i="68"/>
  <c r="CG171" i="68"/>
  <c r="CE171" i="68"/>
  <c r="Q86" i="9" l="1"/>
  <c r="Q90" i="9" l="1"/>
  <c r="CP171" i="68"/>
  <c r="CP150" i="68"/>
  <c r="CO149" i="68"/>
  <c r="Q96" i="9" l="1"/>
  <c r="CO120" i="68"/>
  <c r="CO97" i="68"/>
  <c r="CO140" i="68" l="1"/>
  <c r="CO139" i="68" s="1"/>
  <c r="CN151" i="68" l="1"/>
  <c r="CN154" i="68"/>
  <c r="CM150" i="68"/>
  <c r="CM149" i="68"/>
  <c r="CM145" i="68"/>
  <c r="CM138" i="68"/>
  <c r="CN119" i="68"/>
  <c r="CN118" i="68"/>
  <c r="CN117" i="68"/>
  <c r="CN116" i="68"/>
  <c r="CM120" i="68"/>
  <c r="CN96" i="68"/>
  <c r="CN95" i="68"/>
  <c r="CN94" i="68"/>
  <c r="CN93" i="68"/>
  <c r="CM97" i="68"/>
  <c r="CN98" i="68" l="1"/>
  <c r="CP154" i="68"/>
  <c r="CM134" i="68"/>
  <c r="P135" i="56" l="1"/>
  <c r="O105" i="56" l="1"/>
  <c r="O156" i="56"/>
  <c r="P156" i="56" l="1"/>
  <c r="Q156" i="56" l="1"/>
  <c r="I46" i="56" l="1"/>
  <c r="J46" i="56"/>
  <c r="K46" i="56"/>
  <c r="L46" i="56"/>
  <c r="M46" i="56"/>
  <c r="N46" i="56"/>
  <c r="L50" i="56"/>
  <c r="M50" i="56"/>
  <c r="N50" i="56"/>
  <c r="J48" i="56"/>
  <c r="K48" i="56" s="1"/>
  <c r="L48" i="56" s="1"/>
  <c r="I50" i="56"/>
  <c r="I19" i="56" s="1"/>
  <c r="J50" i="56"/>
  <c r="J19" i="56" s="1"/>
  <c r="K50" i="56"/>
  <c r="H18" i="56" l="1"/>
  <c r="H20" i="56"/>
  <c r="P131" i="56" l="1"/>
  <c r="P182" i="56"/>
  <c r="O50" i="56" l="1"/>
  <c r="N48" i="56"/>
  <c r="M48" i="56"/>
  <c r="CE154" i="68" l="1"/>
  <c r="P175" i="56" l="1"/>
  <c r="P83" i="9"/>
  <c r="P140" i="9"/>
  <c r="P76" i="9"/>
  <c r="Q5" i="76"/>
  <c r="P22" i="58" l="1"/>
  <c r="P62" i="58"/>
  <c r="Q6" i="58"/>
  <c r="P29" i="56" l="1"/>
  <c r="CE149" i="68" l="1"/>
  <c r="BY149" i="68"/>
  <c r="CG149" i="68"/>
  <c r="CE150" i="68"/>
  <c r="CG156" i="68"/>
  <c r="CG152" i="68"/>
  <c r="DY149" i="68" l="1"/>
  <c r="U5" i="112"/>
  <c r="DY160" i="68" l="1"/>
  <c r="DW160" i="68" s="1"/>
  <c r="DX160" i="68" s="1"/>
  <c r="DX149" i="68"/>
  <c r="CE145" i="68"/>
  <c r="CE142" i="68"/>
  <c r="CE138" i="68"/>
  <c r="CE97" i="68"/>
  <c r="CD151" i="68" l="1"/>
  <c r="O15" i="58" l="1"/>
  <c r="N15" i="58"/>
  <c r="CF156" i="68" l="1"/>
  <c r="CH154" i="68"/>
  <c r="DA33" i="68" l="1"/>
  <c r="DA32" i="68"/>
  <c r="DI51" i="68" s="1"/>
  <c r="DA31" i="68"/>
  <c r="DI50" i="68" s="1"/>
  <c r="DA30" i="68"/>
  <c r="DI49" i="68" s="1"/>
  <c r="DA29" i="68"/>
  <c r="DI48" i="68" s="1"/>
  <c r="DA28" i="68"/>
  <c r="DI47" i="68" s="1"/>
  <c r="DA27" i="68"/>
  <c r="DI46" i="68" s="1"/>
  <c r="DA26" i="68"/>
  <c r="DA13" i="68"/>
  <c r="DA12" i="68"/>
  <c r="DA11" i="68"/>
  <c r="DI22" i="68" s="1"/>
  <c r="DA10" i="68"/>
  <c r="DI21" i="68" s="1"/>
  <c r="DA9" i="68"/>
  <c r="DI20" i="68" s="1"/>
  <c r="DA8" i="68"/>
  <c r="DI19" i="68" s="1"/>
  <c r="DA7" i="68"/>
  <c r="DI18" i="68" s="1"/>
  <c r="DA6" i="68"/>
  <c r="DI17" i="68" s="1"/>
  <c r="CO152" i="68"/>
  <c r="CP152" i="68" s="1"/>
  <c r="CQ152" i="68" s="1"/>
  <c r="CY163" i="68" l="1"/>
  <c r="CZ163" i="68"/>
  <c r="CZ166" i="68"/>
  <c r="CY166" i="68"/>
  <c r="CU4" i="68"/>
  <c r="CU192" i="68"/>
  <c r="CU191" i="68"/>
  <c r="CR152" i="68"/>
  <c r="CS152" i="68" s="1"/>
  <c r="DA37" i="68"/>
  <c r="DA41" i="68"/>
  <c r="DA34" i="68"/>
  <c r="DI52" i="68" s="1"/>
  <c r="DA40" i="68"/>
  <c r="DA42" i="68"/>
  <c r="DA38" i="68"/>
  <c r="DA39" i="68"/>
  <c r="DA14" i="68"/>
  <c r="DI23" i="68" s="1"/>
  <c r="CV191" i="68" l="1"/>
  <c r="CV192" i="68"/>
  <c r="CV4" i="68"/>
  <c r="DA43" i="68"/>
  <c r="CW4" i="68" l="1"/>
  <c r="CX192" i="68"/>
  <c r="CX191" i="68"/>
  <c r="CW192" i="68"/>
  <c r="CW191" i="68"/>
  <c r="CX4" i="68"/>
  <c r="O22" i="58" l="1"/>
  <c r="CY192" i="68"/>
  <c r="CY191" i="68"/>
  <c r="CY4" i="68"/>
  <c r="O182" i="56"/>
  <c r="O83" i="9"/>
  <c r="O140" i="9"/>
  <c r="O76" i="9"/>
  <c r="N22" i="58" l="1"/>
  <c r="O62" i="58"/>
  <c r="O80" i="56"/>
  <c r="O81" i="56"/>
  <c r="CZ191" i="68"/>
  <c r="CZ192" i="68"/>
  <c r="CZ4" i="68"/>
  <c r="O70" i="56"/>
  <c r="O102" i="56"/>
  <c r="O155" i="56"/>
  <c r="O151" i="56"/>
  <c r="DA4" i="68" l="1"/>
  <c r="DA192" i="68"/>
  <c r="DA191" i="68"/>
  <c r="O158" i="56"/>
  <c r="O106" i="56"/>
  <c r="O107" i="56"/>
  <c r="O108" i="56" l="1"/>
  <c r="P81" i="56" l="1"/>
  <c r="P80" i="56"/>
  <c r="P151" i="56"/>
  <c r="P155" i="56"/>
  <c r="P153" i="56" s="1"/>
  <c r="P102" i="56"/>
  <c r="Q155" i="56" l="1"/>
  <c r="Q153" i="56" s="1"/>
  <c r="P107" i="56"/>
  <c r="P106" i="56"/>
  <c r="P110" i="56" s="1"/>
  <c r="P108" i="56" l="1"/>
  <c r="U48" i="56" l="1"/>
  <c r="N36" i="76" l="1"/>
  <c r="O36" i="76"/>
  <c r="CS33" i="68"/>
  <c r="CS32" i="68"/>
  <c r="DA51" i="68" s="1"/>
  <c r="CS31" i="68"/>
  <c r="DA50" i="68" s="1"/>
  <c r="CS30" i="68"/>
  <c r="DA49" i="68" s="1"/>
  <c r="CS29" i="68"/>
  <c r="DA48" i="68" s="1"/>
  <c r="CS28" i="68"/>
  <c r="DA47" i="68" s="1"/>
  <c r="CS27" i="68"/>
  <c r="DA46" i="68" s="1"/>
  <c r="CS26" i="68"/>
  <c r="CS13" i="68"/>
  <c r="CS12" i="68"/>
  <c r="CS11" i="68"/>
  <c r="DA22" i="68" s="1"/>
  <c r="CS10" i="68"/>
  <c r="DA21" i="68" s="1"/>
  <c r="CS9" i="68"/>
  <c r="DA20" i="68" s="1"/>
  <c r="CS8" i="68"/>
  <c r="DA19" i="68" s="1"/>
  <c r="CS7" i="68"/>
  <c r="DA18" i="68" s="1"/>
  <c r="CS6" i="68"/>
  <c r="DA17" i="68" s="1"/>
  <c r="CS166" i="68"/>
  <c r="CQ166" i="68" s="1"/>
  <c r="CS163" i="68"/>
  <c r="CQ163" i="68" s="1"/>
  <c r="CK166" i="68"/>
  <c r="CK163" i="68"/>
  <c r="CK136" i="68"/>
  <c r="CM192" i="68" l="1"/>
  <c r="CM191" i="68"/>
  <c r="CR163" i="68"/>
  <c r="CJ163" i="68"/>
  <c r="CI163" i="68"/>
  <c r="CR166" i="68"/>
  <c r="CI166" i="68"/>
  <c r="CJ166" i="68"/>
  <c r="CM4" i="68"/>
  <c r="CS37" i="68"/>
  <c r="CS41" i="68"/>
  <c r="CS38" i="68"/>
  <c r="CS42" i="68"/>
  <c r="CS40" i="68"/>
  <c r="CS14" i="68"/>
  <c r="DA23" i="68" s="1"/>
  <c r="CS34" i="68"/>
  <c r="DA52" i="68" s="1"/>
  <c r="CS39" i="68"/>
  <c r="CN192" i="68" l="1"/>
  <c r="CN191" i="68"/>
  <c r="CN4" i="68"/>
  <c r="CS43" i="68"/>
  <c r="CO192" i="68" l="1"/>
  <c r="CO191" i="68"/>
  <c r="CO4" i="68"/>
  <c r="CP192" i="68" l="1"/>
  <c r="CP191" i="68"/>
  <c r="CP4" i="68"/>
  <c r="CQ192" i="68" l="1"/>
  <c r="CQ191" i="68"/>
  <c r="CQ4" i="68"/>
  <c r="CR191" i="68" l="1"/>
  <c r="CR192" i="68"/>
  <c r="CR4" i="68"/>
  <c r="CS4" i="68" l="1"/>
  <c r="CS192" i="68"/>
  <c r="CS191" i="68"/>
  <c r="BY150" i="68" l="1"/>
  <c r="BQ150" i="68"/>
  <c r="BY142" i="68"/>
  <c r="BY145" i="68"/>
  <c r="BY138" i="68"/>
  <c r="BZ139" i="68"/>
  <c r="BZ140" i="68" s="1"/>
  <c r="BZ146" i="68" s="1"/>
  <c r="BZ148" i="68" l="1"/>
  <c r="BY146" i="68"/>
  <c r="BW145" i="68" l="1"/>
  <c r="BX154" i="68"/>
  <c r="BW152" i="68"/>
  <c r="BW142" i="68"/>
  <c r="BW138" i="68"/>
  <c r="BW126" i="68"/>
  <c r="BW125" i="68"/>
  <c r="BW124" i="68"/>
  <c r="BW123" i="68"/>
  <c r="BW120" i="68"/>
  <c r="BX119" i="68"/>
  <c r="BX118" i="68"/>
  <c r="BX117" i="68"/>
  <c r="BX116" i="68"/>
  <c r="BW97" i="68"/>
  <c r="BX96" i="68"/>
  <c r="BX95" i="68"/>
  <c r="BX94" i="68"/>
  <c r="BX93" i="68"/>
  <c r="BX133" i="68" l="1"/>
  <c r="BX102" i="68"/>
  <c r="BX103" i="68"/>
  <c r="BX101" i="68"/>
  <c r="BX131" i="68"/>
  <c r="BX104" i="68"/>
  <c r="BX98" i="68"/>
  <c r="BX125" i="68"/>
  <c r="BX126" i="68"/>
  <c r="BX132" i="68"/>
  <c r="BX123" i="68"/>
  <c r="BW127" i="68"/>
  <c r="BX130" i="68"/>
  <c r="BW140" i="68"/>
  <c r="BW143" i="68" s="1"/>
  <c r="BX124" i="68"/>
  <c r="BV151" i="68" l="1"/>
  <c r="O44" i="58" l="1"/>
  <c r="N83" i="9" l="1"/>
  <c r="N140" i="9" l="1"/>
  <c r="N119" i="9"/>
  <c r="M119" i="9"/>
  <c r="N76" i="9"/>
  <c r="M76" i="9"/>
  <c r="BU139" i="68"/>
  <c r="O118" i="56" l="1"/>
  <c r="M2" i="56" l="1"/>
  <c r="M7" i="9" s="1"/>
  <c r="U149" i="56"/>
  <c r="T149" i="56"/>
  <c r="S149" i="56"/>
  <c r="R149" i="56"/>
  <c r="Q149" i="56"/>
  <c r="P149" i="56"/>
  <c r="O149" i="56"/>
  <c r="N149" i="56"/>
  <c r="M149" i="56"/>
  <c r="L149" i="56"/>
  <c r="K149" i="56"/>
  <c r="J149" i="56"/>
  <c r="I149" i="56"/>
  <c r="N3" i="56" l="1"/>
  <c r="M13" i="56"/>
  <c r="M180" i="56"/>
  <c r="CS133" i="68" l="1"/>
  <c r="S36" i="9"/>
  <c r="S47" i="9"/>
  <c r="S48" i="9"/>
  <c r="S86" i="9"/>
  <c r="T86" i="9"/>
  <c r="T93" i="9" l="1"/>
  <c r="S93" i="9"/>
  <c r="S90" i="9"/>
  <c r="U77" i="9"/>
  <c r="T90" i="9"/>
  <c r="DA133" i="68"/>
  <c r="DY139" i="68" l="1"/>
  <c r="S72" i="111"/>
  <c r="S74" i="111" s="1"/>
  <c r="T72" i="111"/>
  <c r="T74" i="111" s="1"/>
  <c r="S99" i="9"/>
  <c r="S97" i="9"/>
  <c r="S96" i="9"/>
  <c r="T99" i="9"/>
  <c r="T97" i="9"/>
  <c r="T96" i="9"/>
  <c r="DP160" i="68"/>
  <c r="DO160" i="68"/>
  <c r="DG160" i="68"/>
  <c r="DH160" i="68"/>
  <c r="S98" i="9"/>
  <c r="CZ119" i="68"/>
  <c r="DY119" i="68" l="1"/>
  <c r="DP149" i="68"/>
  <c r="DO149" i="68"/>
  <c r="S102" i="9"/>
  <c r="S109" i="9" s="1"/>
  <c r="T102" i="9"/>
  <c r="DP145" i="68"/>
  <c r="DO145" i="68"/>
  <c r="DH145" i="68"/>
  <c r="DG145" i="68"/>
  <c r="DI146" i="68"/>
  <c r="S101" i="9"/>
  <c r="CV119" i="68"/>
  <c r="DE133" i="68"/>
  <c r="DC133" i="68"/>
  <c r="DY133" i="68" l="1"/>
  <c r="EG119" i="68"/>
  <c r="DU149" i="68"/>
  <c r="DW149" i="68" s="1"/>
  <c r="S108" i="9"/>
  <c r="T109" i="9"/>
  <c r="T108" i="9"/>
  <c r="DU133" i="68"/>
  <c r="DV119" i="68"/>
  <c r="S4" i="112"/>
  <c r="S107" i="9"/>
  <c r="DM133" i="68"/>
  <c r="DK133" i="68"/>
  <c r="DB133" i="68"/>
  <c r="CX119" i="68"/>
  <c r="V50" i="9"/>
  <c r="DZ133" i="68" l="1"/>
  <c r="X30" i="9"/>
  <c r="Y30" i="9" s="1"/>
  <c r="EG133" i="68"/>
  <c r="EC119" i="68"/>
  <c r="EC133" i="68" s="1"/>
  <c r="S118" i="9"/>
  <c r="DI159" i="68"/>
  <c r="DV133" i="68"/>
  <c r="DW119" i="68"/>
  <c r="DJ133" i="68"/>
  <c r="W50" i="9"/>
  <c r="X50" i="9" l="1"/>
  <c r="DW133" i="68"/>
  <c r="DX119" i="68"/>
  <c r="Z30" i="9"/>
  <c r="AA30" i="9" s="1"/>
  <c r="AA50" i="9" s="1"/>
  <c r="Y50" i="9"/>
  <c r="DN133" i="68"/>
  <c r="DL133" i="68"/>
  <c r="R48" i="56"/>
  <c r="R46" i="56"/>
  <c r="S46" i="56"/>
  <c r="T46" i="56"/>
  <c r="U46" i="56"/>
  <c r="S48" i="56"/>
  <c r="T48" i="56"/>
  <c r="R111" i="56"/>
  <c r="S50" i="56"/>
  <c r="T50" i="56"/>
  <c r="R115" i="56" l="1"/>
  <c r="R36" i="56" s="1"/>
  <c r="DX133" i="68"/>
  <c r="T111" i="56"/>
  <c r="T19" i="56"/>
  <c r="T38" i="56" s="1"/>
  <c r="Z50" i="9"/>
  <c r="S111" i="56"/>
  <c r="S19" i="56"/>
  <c r="S38" i="56" s="1"/>
  <c r="DO133" i="68"/>
  <c r="T115" i="56" l="1"/>
  <c r="T36" i="56" s="1"/>
  <c r="S115" i="56"/>
  <c r="S36" i="56" s="1"/>
  <c r="T20" i="56"/>
  <c r="T18" i="56"/>
  <c r="S20" i="56"/>
  <c r="S18" i="56"/>
  <c r="DP133" i="68"/>
  <c r="M32" i="58" l="1"/>
  <c r="BU166" i="68" l="1"/>
  <c r="BU163" i="68"/>
  <c r="BU136" i="68"/>
  <c r="BU33" i="68"/>
  <c r="BU32" i="68"/>
  <c r="BU31" i="68"/>
  <c r="BU30" i="68"/>
  <c r="BU29" i="68"/>
  <c r="BU28" i="68"/>
  <c r="BU27" i="68"/>
  <c r="BU26" i="68"/>
  <c r="BU13" i="68"/>
  <c r="BU12" i="68"/>
  <c r="BU11" i="68"/>
  <c r="BU10" i="68"/>
  <c r="BU9" i="68"/>
  <c r="BU8" i="68"/>
  <c r="BU7" i="68"/>
  <c r="BU6" i="68"/>
  <c r="S50" i="9" l="1"/>
  <c r="BP154" i="68" l="1"/>
  <c r="BS152" i="68"/>
  <c r="BT152" i="68" s="1"/>
  <c r="BQ152" i="68"/>
  <c r="BO152" i="68"/>
  <c r="BR151" i="68"/>
  <c r="BQ151" i="68" s="1"/>
  <c r="BN151" i="68"/>
  <c r="BO151" i="68" s="1"/>
  <c r="BO150" i="68"/>
  <c r="BN146" i="68"/>
  <c r="BQ145" i="68"/>
  <c r="BO145" i="68"/>
  <c r="BN143" i="68"/>
  <c r="BR139" i="68"/>
  <c r="BR140" i="68" s="1"/>
  <c r="BP139" i="68"/>
  <c r="BP140" i="68" s="1"/>
  <c r="BN138" i="68"/>
  <c r="BP133" i="68"/>
  <c r="BN133" i="68"/>
  <c r="BQ132" i="68"/>
  <c r="BP132" i="68"/>
  <c r="BN132" i="68"/>
  <c r="BP131" i="68"/>
  <c r="BN131" i="68"/>
  <c r="BP130" i="68"/>
  <c r="BN130" i="68"/>
  <c r="BQ126" i="68"/>
  <c r="BP126" i="68"/>
  <c r="BN126" i="68"/>
  <c r="BQ125" i="68"/>
  <c r="BY125" i="68" s="1"/>
  <c r="BP125" i="68"/>
  <c r="BN125" i="68"/>
  <c r="BQ124" i="68"/>
  <c r="BP124" i="68"/>
  <c r="BN124" i="68"/>
  <c r="BQ123" i="68"/>
  <c r="BP123" i="68"/>
  <c r="BN123" i="68"/>
  <c r="BQ120" i="68"/>
  <c r="BN120" i="68"/>
  <c r="BU133" i="68"/>
  <c r="BR119" i="68"/>
  <c r="BO119" i="68"/>
  <c r="BR118" i="68"/>
  <c r="BO118" i="68"/>
  <c r="BR117" i="68"/>
  <c r="BO117" i="68"/>
  <c r="BR116" i="68"/>
  <c r="BO116" i="68"/>
  <c r="BP104" i="68"/>
  <c r="BN104" i="68"/>
  <c r="BP103" i="68"/>
  <c r="BN103" i="68"/>
  <c r="BP102" i="68"/>
  <c r="BN102" i="68"/>
  <c r="BP101" i="68"/>
  <c r="BN101" i="68"/>
  <c r="BQ97" i="68"/>
  <c r="BN97" i="68"/>
  <c r="BR96" i="68"/>
  <c r="BO96" i="68"/>
  <c r="BR95" i="68"/>
  <c r="BO95" i="68"/>
  <c r="BR94" i="68"/>
  <c r="BO94" i="68"/>
  <c r="BR93" i="68"/>
  <c r="BO93" i="68"/>
  <c r="BP51" i="68"/>
  <c r="BN51" i="68"/>
  <c r="BP50" i="68"/>
  <c r="BN50" i="68"/>
  <c r="BP49" i="68"/>
  <c r="BN49" i="68"/>
  <c r="BP48" i="68"/>
  <c r="BN48" i="68"/>
  <c r="BP47" i="68"/>
  <c r="BN47" i="68"/>
  <c r="BP46" i="68"/>
  <c r="BN46" i="68"/>
  <c r="BR42" i="68"/>
  <c r="BP42" i="68"/>
  <c r="BN42" i="68"/>
  <c r="BR41" i="68"/>
  <c r="BP41" i="68"/>
  <c r="BN41" i="68"/>
  <c r="BR40" i="68"/>
  <c r="BP40" i="68"/>
  <c r="BN40" i="68"/>
  <c r="BR39" i="68"/>
  <c r="BP39" i="68"/>
  <c r="BN39" i="68"/>
  <c r="BR38" i="68"/>
  <c r="BP38" i="68"/>
  <c r="BN38" i="68"/>
  <c r="BR37" i="68"/>
  <c r="BP37" i="68"/>
  <c r="BN37" i="68"/>
  <c r="BN34" i="68"/>
  <c r="BS33" i="68"/>
  <c r="BQ33" i="68"/>
  <c r="BO33" i="68"/>
  <c r="BS32" i="68"/>
  <c r="BQ32" i="68"/>
  <c r="BO32" i="68"/>
  <c r="BQ31" i="68"/>
  <c r="BO31" i="68"/>
  <c r="BQ30" i="68"/>
  <c r="BO30" i="68"/>
  <c r="BS29" i="68"/>
  <c r="BQ29" i="68"/>
  <c r="BO29" i="68"/>
  <c r="BS28" i="68"/>
  <c r="BQ28" i="68"/>
  <c r="BO28" i="68"/>
  <c r="BQ27" i="68"/>
  <c r="BO27" i="68"/>
  <c r="BS26" i="68"/>
  <c r="BQ26" i="68"/>
  <c r="BO26" i="68"/>
  <c r="BP22" i="68"/>
  <c r="BN22" i="68"/>
  <c r="BP21" i="68"/>
  <c r="BN21" i="68"/>
  <c r="BP20" i="68"/>
  <c r="BN20" i="68"/>
  <c r="BP19" i="68"/>
  <c r="BN19" i="68"/>
  <c r="BP18" i="68"/>
  <c r="BN18" i="68"/>
  <c r="BP17" i="68"/>
  <c r="BN17" i="68"/>
  <c r="BR14" i="68"/>
  <c r="BP14" i="68"/>
  <c r="BN14" i="68"/>
  <c r="BS13" i="68"/>
  <c r="BQ13" i="68"/>
  <c r="BO13" i="68"/>
  <c r="BS12" i="68"/>
  <c r="BQ12" i="68"/>
  <c r="BO12" i="68"/>
  <c r="BS11" i="68"/>
  <c r="BQ11" i="68"/>
  <c r="BO11" i="68"/>
  <c r="BQ10" i="68"/>
  <c r="BO10" i="68"/>
  <c r="BQ9" i="68"/>
  <c r="BO9" i="68"/>
  <c r="BS8" i="68"/>
  <c r="BQ8" i="68"/>
  <c r="BO8" i="68"/>
  <c r="BS7" i="68"/>
  <c r="BQ7" i="68"/>
  <c r="BO7" i="68"/>
  <c r="BQ6" i="68"/>
  <c r="BO6" i="68"/>
  <c r="BR101" i="68" l="1"/>
  <c r="BR131" i="68"/>
  <c r="BS119" i="68"/>
  <c r="BR130" i="68"/>
  <c r="BR132" i="68"/>
  <c r="BO192" i="68"/>
  <c r="BO191" i="68"/>
  <c r="BN148" i="68"/>
  <c r="BO39" i="68"/>
  <c r="BO98" i="68"/>
  <c r="BO4" i="68"/>
  <c r="BR98" i="68"/>
  <c r="BR154" i="68"/>
  <c r="BR124" i="68"/>
  <c r="BT7" i="68"/>
  <c r="BO42" i="68"/>
  <c r="BT13" i="68"/>
  <c r="BT12" i="68"/>
  <c r="BO34" i="68"/>
  <c r="BP34" i="68" s="1"/>
  <c r="BR125" i="68"/>
  <c r="BR103" i="68"/>
  <c r="BW102" i="68"/>
  <c r="BO126" i="68"/>
  <c r="BW104" i="68"/>
  <c r="BW130" i="68"/>
  <c r="BW132" i="68"/>
  <c r="BW101" i="68"/>
  <c r="BO125" i="68"/>
  <c r="BW103" i="68"/>
  <c r="BR102" i="68"/>
  <c r="BW131" i="68"/>
  <c r="BW133" i="68"/>
  <c r="BT11" i="68"/>
  <c r="BO14" i="68"/>
  <c r="BS38" i="68"/>
  <c r="BQ39" i="68"/>
  <c r="BQ34" i="68"/>
  <c r="BQ40" i="68"/>
  <c r="BS42" i="68"/>
  <c r="BO37" i="68"/>
  <c r="BT8" i="68"/>
  <c r="BS9" i="68"/>
  <c r="BT26" i="68"/>
  <c r="BU37" i="68"/>
  <c r="BS27" i="68"/>
  <c r="BT28" i="68"/>
  <c r="BS39" i="68"/>
  <c r="BT29" i="68"/>
  <c r="BU40" i="68"/>
  <c r="BS30" i="68"/>
  <c r="BU41" i="68"/>
  <c r="BS31" i="68"/>
  <c r="BT32" i="68"/>
  <c r="BT33" i="68"/>
  <c r="BO38" i="68"/>
  <c r="BP146" i="68"/>
  <c r="BO140" i="68"/>
  <c r="BO143" i="68" s="1"/>
  <c r="BP143" i="68" s="1"/>
  <c r="BO41" i="68"/>
  <c r="BR146" i="68"/>
  <c r="BQ140" i="68"/>
  <c r="BQ143" i="68" s="1"/>
  <c r="BR143" i="68"/>
  <c r="BU14" i="68"/>
  <c r="BS6" i="68"/>
  <c r="BS10" i="68"/>
  <c r="BQ14" i="68"/>
  <c r="BO40" i="68"/>
  <c r="BN43" i="68"/>
  <c r="BU34" i="68"/>
  <c r="BQ37" i="68"/>
  <c r="BQ38" i="68"/>
  <c r="BU38" i="68"/>
  <c r="BU39" i="68"/>
  <c r="BQ41" i="68"/>
  <c r="BQ42" i="68"/>
  <c r="BU42" i="68"/>
  <c r="BQ127" i="68"/>
  <c r="BR104" i="68"/>
  <c r="BR123" i="68"/>
  <c r="BR126" i="68"/>
  <c r="BN127" i="68"/>
  <c r="BR133" i="68"/>
  <c r="BO97" i="68"/>
  <c r="BO120" i="68"/>
  <c r="BO123" i="68"/>
  <c r="BO124" i="68"/>
  <c r="BT119" i="68" l="1"/>
  <c r="BP148" i="68"/>
  <c r="BO148" i="68" s="1"/>
  <c r="BW134" i="68"/>
  <c r="BP191" i="68"/>
  <c r="BP192" i="68"/>
  <c r="BP4" i="68"/>
  <c r="BO146" i="68"/>
  <c r="BW105" i="68"/>
  <c r="BO43" i="68"/>
  <c r="BP120" i="68"/>
  <c r="BS37" i="68"/>
  <c r="BT27" i="68"/>
  <c r="BT9" i="68"/>
  <c r="BO127" i="68"/>
  <c r="BR148" i="68"/>
  <c r="BQ146" i="68"/>
  <c r="BT42" i="68"/>
  <c r="BS40" i="68"/>
  <c r="BT30" i="68"/>
  <c r="BS34" i="68"/>
  <c r="BT39" i="68"/>
  <c r="BP97" i="68"/>
  <c r="BT10" i="68"/>
  <c r="BS41" i="68"/>
  <c r="BT31" i="68"/>
  <c r="BU43" i="68"/>
  <c r="BP43" i="68"/>
  <c r="BT6" i="68"/>
  <c r="BS14" i="68"/>
  <c r="BT38" i="68"/>
  <c r="BQ43" i="68"/>
  <c r="BR34" i="68"/>
  <c r="BQ148" i="68" l="1"/>
  <c r="BR120" i="68"/>
  <c r="BQ191" i="68"/>
  <c r="BQ192" i="68"/>
  <c r="BQ4" i="68"/>
  <c r="BT14" i="68"/>
  <c r="BT41" i="68"/>
  <c r="BR97" i="68"/>
  <c r="BP127" i="68"/>
  <c r="BT40" i="68"/>
  <c r="BT37" i="68"/>
  <c r="BS43" i="68"/>
  <c r="BT34" i="68"/>
  <c r="BR43" i="68"/>
  <c r="BR192" i="68" l="1"/>
  <c r="BR191" i="68"/>
  <c r="BR127" i="68"/>
  <c r="BR4" i="68"/>
  <c r="BT43" i="68"/>
  <c r="J175" i="56"/>
  <c r="I8" i="9"/>
  <c r="I16" i="76"/>
  <c r="H16" i="76"/>
  <c r="I15" i="76"/>
  <c r="H15" i="76"/>
  <c r="I14" i="76"/>
  <c r="H14" i="76"/>
  <c r="K6" i="76"/>
  <c r="J6" i="76"/>
  <c r="H6" i="76"/>
  <c r="K5" i="76"/>
  <c r="J5" i="76"/>
  <c r="I5" i="76"/>
  <c r="L5" i="76"/>
  <c r="K3" i="76"/>
  <c r="M2" i="76"/>
  <c r="L2" i="76"/>
  <c r="L57" i="58"/>
  <c r="M47" i="58"/>
  <c r="N38" i="58"/>
  <c r="M38" i="58"/>
  <c r="L38" i="58"/>
  <c r="K38" i="58"/>
  <c r="H38" i="58"/>
  <c r="G38" i="58"/>
  <c r="F38" i="58"/>
  <c r="E38" i="58"/>
  <c r="D38" i="58"/>
  <c r="C38" i="58"/>
  <c r="N37" i="58"/>
  <c r="M37" i="58"/>
  <c r="L37" i="58"/>
  <c r="K37" i="58"/>
  <c r="H37" i="58"/>
  <c r="G37" i="58"/>
  <c r="F37" i="58"/>
  <c r="E37" i="58"/>
  <c r="D37" i="58"/>
  <c r="C37" i="58"/>
  <c r="N36" i="58"/>
  <c r="M36" i="58"/>
  <c r="L36" i="58"/>
  <c r="K36" i="58"/>
  <c r="H36" i="58"/>
  <c r="G36" i="58"/>
  <c r="F36" i="58"/>
  <c r="E36" i="58"/>
  <c r="D36" i="58"/>
  <c r="C36" i="58"/>
  <c r="Q35" i="58"/>
  <c r="P35" i="58"/>
  <c r="O35" i="58"/>
  <c r="N35" i="58"/>
  <c r="M35" i="58"/>
  <c r="L35" i="58"/>
  <c r="K35" i="58"/>
  <c r="H35" i="58"/>
  <c r="G35" i="58"/>
  <c r="F35" i="58"/>
  <c r="E35" i="58"/>
  <c r="D35" i="58"/>
  <c r="C35" i="58"/>
  <c r="N32" i="58"/>
  <c r="L32" i="58"/>
  <c r="K32" i="58"/>
  <c r="J32" i="58"/>
  <c r="H32" i="58"/>
  <c r="G32" i="58"/>
  <c r="F32" i="58"/>
  <c r="E32" i="58"/>
  <c r="D32" i="58"/>
  <c r="C32" i="58"/>
  <c r="B32" i="58"/>
  <c r="M31" i="58"/>
  <c r="L31" i="58"/>
  <c r="K31" i="58"/>
  <c r="J31" i="58"/>
  <c r="H31" i="58"/>
  <c r="G31" i="58"/>
  <c r="F31" i="58"/>
  <c r="E31" i="58"/>
  <c r="D31" i="58"/>
  <c r="C31" i="58"/>
  <c r="B31" i="58"/>
  <c r="O38" i="58"/>
  <c r="I29" i="58"/>
  <c r="I38" i="58" s="1"/>
  <c r="O37" i="58"/>
  <c r="I28" i="58"/>
  <c r="I37" i="58" s="1"/>
  <c r="O36" i="58"/>
  <c r="I27" i="58"/>
  <c r="I26" i="58"/>
  <c r="M22" i="58"/>
  <c r="K22" i="58"/>
  <c r="J22" i="58"/>
  <c r="I22" i="58"/>
  <c r="D17" i="58"/>
  <c r="K15" i="58"/>
  <c r="L15" i="58" s="1"/>
  <c r="J15" i="58"/>
  <c r="I15" i="58"/>
  <c r="H15" i="58"/>
  <c r="G15" i="58"/>
  <c r="F15" i="58"/>
  <c r="E15" i="58"/>
  <c r="D15" i="58"/>
  <c r="C15" i="58"/>
  <c r="B15" i="58"/>
  <c r="K10" i="58"/>
  <c r="J10" i="58"/>
  <c r="I10" i="58"/>
  <c r="H10" i="58"/>
  <c r="G10" i="58"/>
  <c r="F10" i="58"/>
  <c r="E10" i="58"/>
  <c r="D10" i="58"/>
  <c r="C10" i="58"/>
  <c r="B10" i="58"/>
  <c r="K6" i="58"/>
  <c r="J6" i="58"/>
  <c r="I6" i="58"/>
  <c r="H6" i="58"/>
  <c r="K5" i="58"/>
  <c r="J5" i="58"/>
  <c r="I5" i="58"/>
  <c r="H5" i="58"/>
  <c r="G5" i="58"/>
  <c r="F5" i="58"/>
  <c r="E5" i="58"/>
  <c r="D5" i="58"/>
  <c r="C5" i="58"/>
  <c r="B5" i="58"/>
  <c r="M5" i="58"/>
  <c r="K3" i="58"/>
  <c r="J3" i="58"/>
  <c r="I3" i="58"/>
  <c r="H3" i="58"/>
  <c r="G3" i="58"/>
  <c r="F3" i="58"/>
  <c r="E3" i="58"/>
  <c r="D3" i="58"/>
  <c r="C3" i="58"/>
  <c r="L2" i="58"/>
  <c r="M176" i="56"/>
  <c r="L176" i="56"/>
  <c r="K176" i="56"/>
  <c r="J176" i="56"/>
  <c r="I53" i="9"/>
  <c r="M131" i="56"/>
  <c r="L131" i="56"/>
  <c r="K131" i="56"/>
  <c r="J131" i="56"/>
  <c r="I131" i="56"/>
  <c r="H131" i="56"/>
  <c r="H128" i="56"/>
  <c r="G128" i="56"/>
  <c r="F128" i="56"/>
  <c r="E128" i="56"/>
  <c r="D128" i="56"/>
  <c r="C128" i="56"/>
  <c r="B128" i="56"/>
  <c r="M127" i="56"/>
  <c r="K127" i="56"/>
  <c r="K126" i="56"/>
  <c r="L118" i="56"/>
  <c r="M70" i="56"/>
  <c r="L70" i="56"/>
  <c r="K70" i="56"/>
  <c r="J70" i="56"/>
  <c r="H70" i="56"/>
  <c r="G70" i="56"/>
  <c r="F70" i="56"/>
  <c r="E70" i="56"/>
  <c r="D70" i="56"/>
  <c r="C70" i="56"/>
  <c r="B70" i="56"/>
  <c r="K111" i="56"/>
  <c r="K115" i="56" s="1"/>
  <c r="K36" i="56" s="1"/>
  <c r="J111" i="56"/>
  <c r="J115" i="56" s="1"/>
  <c r="J36" i="56" s="1"/>
  <c r="I111" i="56"/>
  <c r="I115" i="56" s="1"/>
  <c r="I36" i="56" s="1"/>
  <c r="Q50" i="56"/>
  <c r="Q111" i="56" s="1"/>
  <c r="P50" i="56"/>
  <c r="P111" i="56" s="1"/>
  <c r="O111" i="56"/>
  <c r="N111" i="56"/>
  <c r="M111" i="56"/>
  <c r="M115" i="56" s="1"/>
  <c r="M36" i="56" s="1"/>
  <c r="L111" i="56"/>
  <c r="Q46" i="56"/>
  <c r="P46" i="56"/>
  <c r="O46" i="56"/>
  <c r="O29" i="56"/>
  <c r="N29" i="56"/>
  <c r="M29" i="56"/>
  <c r="L29" i="56"/>
  <c r="I29" i="56"/>
  <c r="Q48" i="56"/>
  <c r="P48" i="56"/>
  <c r="O48" i="56"/>
  <c r="K182" i="56"/>
  <c r="J182" i="56"/>
  <c r="I182" i="56"/>
  <c r="H182" i="56"/>
  <c r="G182" i="56"/>
  <c r="F182" i="56"/>
  <c r="E182" i="56"/>
  <c r="D182" i="56"/>
  <c r="C182" i="56"/>
  <c r="B182" i="56"/>
  <c r="K180" i="56"/>
  <c r="J180" i="56"/>
  <c r="I180" i="56"/>
  <c r="H180" i="56"/>
  <c r="G180" i="56"/>
  <c r="F180" i="56"/>
  <c r="E180" i="56"/>
  <c r="D180" i="56"/>
  <c r="C180" i="56"/>
  <c r="B180" i="56"/>
  <c r="K9" i="56"/>
  <c r="J9" i="56"/>
  <c r="K8" i="56"/>
  <c r="J8" i="56"/>
  <c r="I8" i="56"/>
  <c r="G8" i="56"/>
  <c r="F8" i="56"/>
  <c r="E8" i="56"/>
  <c r="D8" i="56"/>
  <c r="C8" i="56"/>
  <c r="B8" i="56"/>
  <c r="M27" i="9"/>
  <c r="L27" i="9"/>
  <c r="M6" i="56"/>
  <c r="L6" i="56"/>
  <c r="K6" i="56"/>
  <c r="J6" i="56"/>
  <c r="I6" i="56"/>
  <c r="H6" i="56"/>
  <c r="G6" i="56"/>
  <c r="F6" i="56"/>
  <c r="E6" i="56"/>
  <c r="D6" i="56"/>
  <c r="C6" i="56"/>
  <c r="K5" i="56"/>
  <c r="J5" i="56"/>
  <c r="I5" i="56"/>
  <c r="H5" i="56"/>
  <c r="G5" i="56"/>
  <c r="F5" i="56"/>
  <c r="E5" i="56"/>
  <c r="D5" i="56"/>
  <c r="C5" i="56"/>
  <c r="B5" i="56"/>
  <c r="L2" i="56"/>
  <c r="L7" i="9" s="1"/>
  <c r="BB171" i="68"/>
  <c r="BA171" i="68" s="1"/>
  <c r="AT171" i="68"/>
  <c r="AL171" i="68"/>
  <c r="AJ171" i="68"/>
  <c r="AH171" i="68"/>
  <c r="AD171" i="68"/>
  <c r="AB171" i="68"/>
  <c r="Z171" i="68"/>
  <c r="V171" i="68"/>
  <c r="T171" i="68"/>
  <c r="R171" i="68"/>
  <c r="L171" i="68"/>
  <c r="BA170" i="68"/>
  <c r="AY170" i="68"/>
  <c r="AV170" i="68"/>
  <c r="AU170" i="68"/>
  <c r="AS170" i="68"/>
  <c r="AQ170" i="68"/>
  <c r="AK170" i="68"/>
  <c r="AI170" i="68"/>
  <c r="AC170" i="68"/>
  <c r="AA170" i="68"/>
  <c r="U170" i="68"/>
  <c r="S170" i="68"/>
  <c r="BA169" i="68"/>
  <c r="AY169" i="68"/>
  <c r="AV169" i="68"/>
  <c r="AU169" i="68"/>
  <c r="AS169" i="68"/>
  <c r="AQ169" i="68"/>
  <c r="AN169" i="68"/>
  <c r="AM169" i="68"/>
  <c r="AK169" i="68"/>
  <c r="AI169" i="68"/>
  <c r="AF169" i="68"/>
  <c r="AE169" i="68"/>
  <c r="AC169" i="68"/>
  <c r="AA169" i="68"/>
  <c r="X169" i="68"/>
  <c r="U169" i="68"/>
  <c r="S169" i="68"/>
  <c r="P169" i="68"/>
  <c r="BA168" i="68"/>
  <c r="AY168" i="68"/>
  <c r="AV168" i="68"/>
  <c r="AU168" i="68"/>
  <c r="AS168" i="68"/>
  <c r="AQ168" i="68"/>
  <c r="AO168" i="68"/>
  <c r="AN168" i="68" s="1"/>
  <c r="AK168" i="68"/>
  <c r="AI168" i="68"/>
  <c r="AG168" i="68"/>
  <c r="AE168" i="68" s="1"/>
  <c r="AC168" i="68"/>
  <c r="AA168" i="68"/>
  <c r="Y168" i="68"/>
  <c r="X168" i="68" s="1"/>
  <c r="U168" i="68"/>
  <c r="S168" i="68"/>
  <c r="Q168" i="68"/>
  <c r="P168" i="68" s="1"/>
  <c r="BA167" i="68"/>
  <c r="AY167" i="68"/>
  <c r="AV167" i="68"/>
  <c r="AU167" i="68"/>
  <c r="AS167" i="68"/>
  <c r="AQ167" i="68"/>
  <c r="AO167" i="68"/>
  <c r="AM167" i="68" s="1"/>
  <c r="AK167" i="68"/>
  <c r="AI167" i="68"/>
  <c r="AG167" i="68"/>
  <c r="AF167" i="68" s="1"/>
  <c r="AC167" i="68"/>
  <c r="AA167" i="68"/>
  <c r="Y167" i="68"/>
  <c r="X167" i="68" s="1"/>
  <c r="U167" i="68"/>
  <c r="S167" i="68"/>
  <c r="Q167" i="68"/>
  <c r="P167" i="68" s="1"/>
  <c r="CC166" i="68"/>
  <c r="BA166" i="68"/>
  <c r="AY166" i="68"/>
  <c r="AV166" i="68"/>
  <c r="AU166" i="68"/>
  <c r="AS166" i="68"/>
  <c r="AQ166" i="68"/>
  <c r="AO166" i="68"/>
  <c r="AM166" i="68" s="1"/>
  <c r="AK166" i="68"/>
  <c r="AI166" i="68"/>
  <c r="AG166" i="68"/>
  <c r="AF166" i="68" s="1"/>
  <c r="AC166" i="68"/>
  <c r="AA166" i="68"/>
  <c r="Y166" i="68"/>
  <c r="X166" i="68" s="1"/>
  <c r="U166" i="68"/>
  <c r="S166" i="68"/>
  <c r="Q166" i="68"/>
  <c r="P166" i="68" s="1"/>
  <c r="BA165" i="68"/>
  <c r="AY165" i="68"/>
  <c r="AV165" i="68"/>
  <c r="AU165" i="68"/>
  <c r="AS165" i="68"/>
  <c r="AQ165" i="68"/>
  <c r="AN165" i="68"/>
  <c r="AM165" i="68"/>
  <c r="AK165" i="68"/>
  <c r="AI165" i="68"/>
  <c r="AF165" i="68"/>
  <c r="AE165" i="68"/>
  <c r="AC165" i="68"/>
  <c r="AA165" i="68"/>
  <c r="X165" i="68"/>
  <c r="U165" i="68"/>
  <c r="S165" i="68"/>
  <c r="P165" i="68"/>
  <c r="BE164" i="68"/>
  <c r="BA164" i="68"/>
  <c r="AY164" i="68"/>
  <c r="AV164" i="68"/>
  <c r="AU164" i="68"/>
  <c r="AS164" i="68"/>
  <c r="AQ164" i="68"/>
  <c r="AO164" i="68"/>
  <c r="AN164" i="68" s="1"/>
  <c r="AK164" i="68"/>
  <c r="AI164" i="68"/>
  <c r="AC164" i="68"/>
  <c r="AA164" i="68"/>
  <c r="U164" i="68"/>
  <c r="S164" i="68"/>
  <c r="Q164" i="68"/>
  <c r="P164" i="68" s="1"/>
  <c r="CC163" i="68"/>
  <c r="BA163" i="68"/>
  <c r="AY163" i="68"/>
  <c r="AV163" i="68"/>
  <c r="AU163" i="68"/>
  <c r="AS163" i="68"/>
  <c r="AQ163" i="68"/>
  <c r="AO163" i="68"/>
  <c r="AN163" i="68" s="1"/>
  <c r="AK163" i="68"/>
  <c r="AI163" i="68"/>
  <c r="AG163" i="68"/>
  <c r="AE163" i="68" s="1"/>
  <c r="AC163" i="68"/>
  <c r="AA163" i="68"/>
  <c r="Y163" i="68"/>
  <c r="X163" i="68" s="1"/>
  <c r="U163" i="68"/>
  <c r="S163" i="68"/>
  <c r="Q163" i="68"/>
  <c r="P163" i="68" s="1"/>
  <c r="BE162" i="68"/>
  <c r="BA162" i="68"/>
  <c r="AY162" i="68"/>
  <c r="AW162" i="68"/>
  <c r="AU162" i="68" s="1"/>
  <c r="AR162" i="68"/>
  <c r="AR171" i="68" s="1"/>
  <c r="AP162" i="68"/>
  <c r="AP171" i="68" s="1"/>
  <c r="AK162" i="68"/>
  <c r="AI162" i="68"/>
  <c r="AC162" i="68"/>
  <c r="AA162" i="68"/>
  <c r="U162" i="68"/>
  <c r="S162" i="68"/>
  <c r="BA160" i="68"/>
  <c r="AY160" i="68"/>
  <c r="AV160" i="68"/>
  <c r="AU160" i="68"/>
  <c r="AS160" i="68"/>
  <c r="AQ160" i="68"/>
  <c r="AK160" i="68"/>
  <c r="AI160" i="68"/>
  <c r="AC160" i="68"/>
  <c r="AA160" i="68"/>
  <c r="U160" i="68"/>
  <c r="S160" i="68"/>
  <c r="Q160" i="68"/>
  <c r="P160" i="68" s="1"/>
  <c r="BA159" i="68"/>
  <c r="AY159" i="68"/>
  <c r="AV159" i="68"/>
  <c r="AU159" i="68"/>
  <c r="AS159" i="68"/>
  <c r="AQ159" i="68"/>
  <c r="AK159" i="68"/>
  <c r="AI159" i="68"/>
  <c r="AC159" i="68"/>
  <c r="AA159" i="68"/>
  <c r="U159" i="68"/>
  <c r="S159" i="68"/>
  <c r="AV156" i="68"/>
  <c r="AU156" i="68" s="1"/>
  <c r="AQ156" i="68"/>
  <c r="AK156" i="68"/>
  <c r="AI156" i="68"/>
  <c r="AC156" i="68"/>
  <c r="AA156" i="68"/>
  <c r="U156" i="68"/>
  <c r="T156" i="68"/>
  <c r="S156" i="68" s="1"/>
  <c r="R156" i="68"/>
  <c r="N156" i="68"/>
  <c r="M156" i="68" s="1"/>
  <c r="L156" i="68"/>
  <c r="K156" i="68" s="1"/>
  <c r="J156" i="68"/>
  <c r="F156" i="68"/>
  <c r="E156" i="68" s="1"/>
  <c r="D156" i="68"/>
  <c r="C156" i="68" s="1"/>
  <c r="B156" i="68"/>
  <c r="AJ155" i="68"/>
  <c r="AH155" i="68"/>
  <c r="BB154" i="68"/>
  <c r="AY154" i="68"/>
  <c r="AV154" i="68"/>
  <c r="AT154" i="68"/>
  <c r="AQ154" i="68"/>
  <c r="AL154" i="68"/>
  <c r="AI154" i="68"/>
  <c r="AC154" i="68"/>
  <c r="AA154" i="68"/>
  <c r="U154" i="68"/>
  <c r="S154" i="68"/>
  <c r="M154" i="68"/>
  <c r="K154" i="68"/>
  <c r="E154" i="68"/>
  <c r="C154" i="68"/>
  <c r="CI152" i="68"/>
  <c r="CJ152" i="68" s="1"/>
  <c r="CE152" i="68"/>
  <c r="CA152" i="68"/>
  <c r="CB152" i="68" s="1"/>
  <c r="AZ152" i="68"/>
  <c r="BA152" i="68" s="1"/>
  <c r="BB152" i="68" s="1"/>
  <c r="AS152" i="68"/>
  <c r="AT152" i="68" s="1"/>
  <c r="AU152" i="68" s="1"/>
  <c r="AV152" i="68" s="1"/>
  <c r="AQ152" i="68"/>
  <c r="AC152" i="68"/>
  <c r="AA152" i="68"/>
  <c r="U152" i="68"/>
  <c r="S152" i="68"/>
  <c r="M152" i="68"/>
  <c r="K152" i="68"/>
  <c r="E152" i="68"/>
  <c r="C152" i="68"/>
  <c r="BE151" i="68"/>
  <c r="AX151" i="68"/>
  <c r="AR151" i="68"/>
  <c r="BC150" i="68"/>
  <c r="AY150" i="68"/>
  <c r="AV148" i="68"/>
  <c r="AT148" i="68"/>
  <c r="AS148" i="68" s="1"/>
  <c r="AQ148" i="68"/>
  <c r="AK148" i="68"/>
  <c r="AI148" i="68"/>
  <c r="AC148" i="68"/>
  <c r="AA148" i="68"/>
  <c r="U148" i="68"/>
  <c r="X148" i="68" s="1"/>
  <c r="S148" i="68"/>
  <c r="N148" i="68"/>
  <c r="L148" i="68"/>
  <c r="J148" i="68"/>
  <c r="F148" i="68"/>
  <c r="D148" i="68"/>
  <c r="B148" i="68"/>
  <c r="BD145" i="68"/>
  <c r="BB145" i="68"/>
  <c r="BC145" i="68" s="1"/>
  <c r="AY145" i="68"/>
  <c r="AT145" i="68"/>
  <c r="AR145" i="68"/>
  <c r="AV145" i="68" s="1"/>
  <c r="AK145" i="68"/>
  <c r="AI145" i="68"/>
  <c r="AC145" i="68"/>
  <c r="AA145" i="68"/>
  <c r="U145" i="68"/>
  <c r="X145" i="68" s="1"/>
  <c r="S145" i="68"/>
  <c r="N145" i="68"/>
  <c r="L145" i="68"/>
  <c r="J145" i="68"/>
  <c r="F145" i="68"/>
  <c r="D145" i="68"/>
  <c r="B145" i="68"/>
  <c r="BD142" i="68"/>
  <c r="BC142" i="68"/>
  <c r="BA142" i="68"/>
  <c r="AY142" i="68"/>
  <c r="AV142" i="68"/>
  <c r="AU142" i="68"/>
  <c r="AS142" i="68"/>
  <c r="AQ142" i="68"/>
  <c r="AK142" i="68"/>
  <c r="AI142" i="68"/>
  <c r="AC142" i="68"/>
  <c r="AA142" i="68"/>
  <c r="U142" i="68"/>
  <c r="X142" i="68" s="1"/>
  <c r="S142" i="68"/>
  <c r="L142" i="68"/>
  <c r="M142" i="68" s="1"/>
  <c r="J142" i="68"/>
  <c r="F142" i="68"/>
  <c r="D142" i="68"/>
  <c r="B142" i="68"/>
  <c r="AW140" i="68"/>
  <c r="AD140" i="68"/>
  <c r="AD146" i="68" s="1"/>
  <c r="AB140" i="68"/>
  <c r="AB143" i="68" s="1"/>
  <c r="Z140" i="68"/>
  <c r="Z146" i="68" s="1"/>
  <c r="N140" i="68"/>
  <c r="N143" i="68" s="1"/>
  <c r="L140" i="68"/>
  <c r="J140" i="68"/>
  <c r="F140" i="68"/>
  <c r="D140" i="68"/>
  <c r="B140" i="68"/>
  <c r="BE139" i="68"/>
  <c r="BB139" i="68"/>
  <c r="BB140" i="68" s="1"/>
  <c r="BB143" i="68" s="1"/>
  <c r="AZ139" i="68"/>
  <c r="AZ140" i="68" s="1"/>
  <c r="AZ146" i="68" s="1"/>
  <c r="AX139" i="68"/>
  <c r="AX140" i="68" s="1"/>
  <c r="AV139" i="68"/>
  <c r="AT139" i="68"/>
  <c r="AU139" i="68" s="1"/>
  <c r="AP139" i="68"/>
  <c r="AP140" i="68" s="1"/>
  <c r="AK139" i="68"/>
  <c r="AI139" i="68"/>
  <c r="AC139" i="68"/>
  <c r="AA139" i="68"/>
  <c r="V139" i="68"/>
  <c r="V140" i="68" s="1"/>
  <c r="T139" i="68"/>
  <c r="T140" i="68" s="1"/>
  <c r="R139" i="68"/>
  <c r="R140" i="68" s="1"/>
  <c r="M139" i="68"/>
  <c r="K139" i="68"/>
  <c r="E139" i="68"/>
  <c r="C139" i="68"/>
  <c r="BD138" i="68"/>
  <c r="BC138" i="68"/>
  <c r="BA138" i="68"/>
  <c r="AY138" i="68"/>
  <c r="AV138" i="68"/>
  <c r="AU138" i="68"/>
  <c r="AQ138" i="68"/>
  <c r="AK138" i="68"/>
  <c r="AI138" i="68"/>
  <c r="AC138" i="68"/>
  <c r="AA138" i="68"/>
  <c r="U138" i="68"/>
  <c r="S138" i="68"/>
  <c r="M138" i="68"/>
  <c r="K138" i="68"/>
  <c r="E138" i="68"/>
  <c r="C138" i="68"/>
  <c r="AU137" i="68"/>
  <c r="AR137" i="68"/>
  <c r="AV137" i="68" s="1"/>
  <c r="AL137" i="68"/>
  <c r="AM137" i="68" s="1"/>
  <c r="AJ137" i="68"/>
  <c r="AJ140" i="68" s="1"/>
  <c r="AH137" i="68"/>
  <c r="AH140" i="68" s="1"/>
  <c r="AF137" i="68"/>
  <c r="AE137" i="68"/>
  <c r="AC137" i="68"/>
  <c r="Y137" i="68"/>
  <c r="X137" i="68" s="1"/>
  <c r="U137" i="68"/>
  <c r="S137" i="68"/>
  <c r="Q137" i="68"/>
  <c r="O137" i="68" s="1"/>
  <c r="M137" i="68"/>
  <c r="K137" i="68"/>
  <c r="I137" i="68"/>
  <c r="G137" i="68" s="1"/>
  <c r="E137" i="68"/>
  <c r="C137" i="68"/>
  <c r="CC136" i="68"/>
  <c r="AV136" i="68"/>
  <c r="AU136" i="68"/>
  <c r="AQ136" i="68"/>
  <c r="AO136" i="68"/>
  <c r="AK136" i="68"/>
  <c r="AI136" i="68"/>
  <c r="AG136" i="68"/>
  <c r="AE136" i="68" s="1"/>
  <c r="AC136" i="68"/>
  <c r="AA136" i="68"/>
  <c r="Y136" i="68"/>
  <c r="X136" i="68" s="1"/>
  <c r="U136" i="68"/>
  <c r="S136" i="68"/>
  <c r="Q136" i="68"/>
  <c r="O136" i="68" s="1"/>
  <c r="M136" i="68"/>
  <c r="K136" i="68"/>
  <c r="I136" i="68"/>
  <c r="G136" i="68" s="1"/>
  <c r="E136" i="68"/>
  <c r="C136" i="68"/>
  <c r="AX134" i="68"/>
  <c r="BE133" i="68"/>
  <c r="AY133" i="68"/>
  <c r="AX133" i="68"/>
  <c r="AQ133" i="68"/>
  <c r="AP133" i="68"/>
  <c r="AH133" i="68"/>
  <c r="AB133" i="68"/>
  <c r="Z133" i="68"/>
  <c r="BE132" i="68"/>
  <c r="AY132" i="68"/>
  <c r="AX132" i="68"/>
  <c r="AT132" i="68"/>
  <c r="AQ132" i="68"/>
  <c r="AP132" i="68"/>
  <c r="AH132" i="68"/>
  <c r="AB132" i="68"/>
  <c r="Z132" i="68"/>
  <c r="BE131" i="68"/>
  <c r="AY131" i="68"/>
  <c r="AX131" i="68"/>
  <c r="AT131" i="68"/>
  <c r="AQ131" i="68"/>
  <c r="AP131" i="68"/>
  <c r="AH131" i="68"/>
  <c r="AB131" i="68"/>
  <c r="Z131" i="68"/>
  <c r="BE130" i="68"/>
  <c r="AY130" i="68"/>
  <c r="AX130" i="68"/>
  <c r="AT130" i="68"/>
  <c r="AQ130" i="68"/>
  <c r="AP130" i="68"/>
  <c r="AH130" i="68"/>
  <c r="AB130" i="68"/>
  <c r="Z130" i="68"/>
  <c r="AX127" i="68"/>
  <c r="AQ127" i="68"/>
  <c r="AP127" i="68"/>
  <c r="BM126" i="68"/>
  <c r="BJ126" i="68"/>
  <c r="BH126" i="68"/>
  <c r="BF126" i="68"/>
  <c r="BE126" i="68"/>
  <c r="BA126" i="68"/>
  <c r="AY126" i="68"/>
  <c r="AX126" i="68"/>
  <c r="AW126" i="68"/>
  <c r="AQ126" i="68"/>
  <c r="AP126" i="68"/>
  <c r="AL126" i="68"/>
  <c r="AI126" i="68"/>
  <c r="AH126" i="68"/>
  <c r="AC126" i="68"/>
  <c r="Z126" i="68"/>
  <c r="Y126" i="68"/>
  <c r="V126" i="68"/>
  <c r="T126" i="68"/>
  <c r="R126" i="68"/>
  <c r="BM125" i="68"/>
  <c r="BJ125" i="68"/>
  <c r="BH125" i="68"/>
  <c r="BF125" i="68"/>
  <c r="BE125" i="68"/>
  <c r="BA125" i="68"/>
  <c r="AY125" i="68"/>
  <c r="AX125" i="68"/>
  <c r="AW125" i="68"/>
  <c r="AT125" i="68"/>
  <c r="AQ125" i="68"/>
  <c r="AP125" i="68"/>
  <c r="AL125" i="68"/>
  <c r="AI125" i="68"/>
  <c r="AH125" i="68"/>
  <c r="AC125" i="68"/>
  <c r="Z125" i="68"/>
  <c r="Y125" i="68"/>
  <c r="V125" i="68"/>
  <c r="T125" i="68"/>
  <c r="R125" i="68"/>
  <c r="BM124" i="68"/>
  <c r="BJ124" i="68"/>
  <c r="BH124" i="68"/>
  <c r="BF124" i="68"/>
  <c r="BE124" i="68"/>
  <c r="BA124" i="68"/>
  <c r="AY124" i="68"/>
  <c r="AX124" i="68"/>
  <c r="AW124" i="68"/>
  <c r="AT124" i="68"/>
  <c r="AQ124" i="68"/>
  <c r="AP124" i="68"/>
  <c r="AL124" i="68"/>
  <c r="AI124" i="68"/>
  <c r="AH124" i="68"/>
  <c r="AC124" i="68"/>
  <c r="Z124" i="68"/>
  <c r="Y124" i="68"/>
  <c r="V124" i="68"/>
  <c r="T124" i="68"/>
  <c r="R124" i="68"/>
  <c r="BM123" i="68"/>
  <c r="BJ123" i="68"/>
  <c r="BH123" i="68"/>
  <c r="BF123" i="68"/>
  <c r="BE123" i="68"/>
  <c r="BA123" i="68"/>
  <c r="AY123" i="68"/>
  <c r="AX123" i="68"/>
  <c r="AW123" i="68"/>
  <c r="AT123" i="68"/>
  <c r="AQ123" i="68"/>
  <c r="AP123" i="68"/>
  <c r="AL123" i="68"/>
  <c r="AI123" i="68"/>
  <c r="AH123" i="68"/>
  <c r="AC123" i="68"/>
  <c r="Z123" i="68"/>
  <c r="Y123" i="68"/>
  <c r="V123" i="68"/>
  <c r="T123" i="68"/>
  <c r="R123" i="68"/>
  <c r="AV122" i="68"/>
  <c r="BM120" i="68"/>
  <c r="BJ120" i="68"/>
  <c r="BR134" i="68" s="1"/>
  <c r="BH120" i="68"/>
  <c r="BP134" i="68" s="1"/>
  <c r="BF120" i="68"/>
  <c r="BN134" i="68" s="1"/>
  <c r="BE120" i="68"/>
  <c r="BA120" i="68"/>
  <c r="AY120" i="68"/>
  <c r="AW120" i="68"/>
  <c r="AR120" i="68"/>
  <c r="AL120" i="68"/>
  <c r="AC120" i="68"/>
  <c r="AB120" i="68"/>
  <c r="Z120" i="68"/>
  <c r="Y120" i="68"/>
  <c r="Y226" i="68" s="1"/>
  <c r="V120" i="68"/>
  <c r="T120" i="68"/>
  <c r="R120" i="68"/>
  <c r="CC119" i="68"/>
  <c r="BL119" i="68"/>
  <c r="BT133" i="68" s="1"/>
  <c r="BI119" i="68"/>
  <c r="BQ133" i="68" s="1"/>
  <c r="BG119" i="68"/>
  <c r="BO133" i="68" s="1"/>
  <c r="AZ119" i="68"/>
  <c r="AT119" i="68"/>
  <c r="AR119" i="68"/>
  <c r="AJ119" i="68"/>
  <c r="AD119" i="68"/>
  <c r="AA119" i="68"/>
  <c r="W119" i="68"/>
  <c r="W225" i="68" s="1"/>
  <c r="U119" i="68"/>
  <c r="U225" i="68" s="1"/>
  <c r="BL118" i="68"/>
  <c r="BG118" i="68"/>
  <c r="BO132" i="68" s="1"/>
  <c r="AZ118" i="68"/>
  <c r="AU118" i="68"/>
  <c r="AR118" i="68"/>
  <c r="AJ118" i="68"/>
  <c r="AD118" i="68"/>
  <c r="AA118" i="68"/>
  <c r="W118" i="68"/>
  <c r="W224" i="68" s="1"/>
  <c r="U118" i="68"/>
  <c r="BL117" i="68"/>
  <c r="BI117" i="68"/>
  <c r="BQ131" i="68" s="1"/>
  <c r="BG117" i="68"/>
  <c r="BO131" i="68" s="1"/>
  <c r="AZ117" i="68"/>
  <c r="AU117" i="68"/>
  <c r="AR117" i="68"/>
  <c r="AJ117" i="68"/>
  <c r="AD117" i="68"/>
  <c r="AA117" i="68"/>
  <c r="W117" i="68"/>
  <c r="W223" i="68" s="1"/>
  <c r="U117" i="68"/>
  <c r="BL116" i="68"/>
  <c r="BI116" i="68"/>
  <c r="BQ130" i="68" s="1"/>
  <c r="BG116" i="68"/>
  <c r="BO130" i="68" s="1"/>
  <c r="AZ116" i="68"/>
  <c r="AU116" i="68"/>
  <c r="AR116" i="68"/>
  <c r="AJ116" i="68"/>
  <c r="AD116" i="68"/>
  <c r="AA116" i="68"/>
  <c r="W116" i="68"/>
  <c r="U116" i="68"/>
  <c r="U222" i="68" s="1"/>
  <c r="AX105" i="68"/>
  <c r="BE104" i="68"/>
  <c r="AY104" i="68"/>
  <c r="AX104" i="68"/>
  <c r="AT104" i="68"/>
  <c r="AQ104" i="68"/>
  <c r="AP104" i="68"/>
  <c r="AI104" i="68"/>
  <c r="AH104" i="68"/>
  <c r="Z104" i="68"/>
  <c r="BE103" i="68"/>
  <c r="AY103" i="68"/>
  <c r="AX103" i="68"/>
  <c r="AT103" i="68"/>
  <c r="AQ103" i="68"/>
  <c r="AP103" i="68"/>
  <c r="AI103" i="68"/>
  <c r="AH103" i="68"/>
  <c r="Z103" i="68"/>
  <c r="BE102" i="68"/>
  <c r="AY102" i="68"/>
  <c r="AX102" i="68"/>
  <c r="AT102" i="68"/>
  <c r="AQ102" i="68"/>
  <c r="AP102" i="68"/>
  <c r="AI102" i="68"/>
  <c r="AH102" i="68"/>
  <c r="Z102" i="68"/>
  <c r="BE101" i="68"/>
  <c r="AY101" i="68"/>
  <c r="AX101" i="68"/>
  <c r="AT101" i="68"/>
  <c r="AQ101" i="68"/>
  <c r="AP101" i="68"/>
  <c r="AI101" i="68"/>
  <c r="AH101" i="68"/>
  <c r="Z101" i="68"/>
  <c r="BM97" i="68"/>
  <c r="BJ97" i="68"/>
  <c r="BH97" i="68"/>
  <c r="BF97" i="68"/>
  <c r="BE97" i="68"/>
  <c r="BA97" i="68"/>
  <c r="AY97" i="68"/>
  <c r="AW97" i="68"/>
  <c r="AT97" i="68"/>
  <c r="AR97" i="68"/>
  <c r="AL97" i="68"/>
  <c r="AH97" i="68"/>
  <c r="Z97" i="68"/>
  <c r="Y97" i="68"/>
  <c r="Y199" i="68" s="1"/>
  <c r="V97" i="68"/>
  <c r="R97" i="68"/>
  <c r="BL96" i="68"/>
  <c r="BI96" i="68"/>
  <c r="BG96" i="68"/>
  <c r="AZ96" i="68"/>
  <c r="AU96" i="68"/>
  <c r="AR96" i="68"/>
  <c r="AO96" i="68"/>
  <c r="AJ96" i="68"/>
  <c r="AG96" i="68"/>
  <c r="AB96" i="68"/>
  <c r="W96" i="68"/>
  <c r="W198" i="68" s="1"/>
  <c r="AA104" i="68"/>
  <c r="BL95" i="68"/>
  <c r="BI95" i="68"/>
  <c r="BQ103" i="68" s="1"/>
  <c r="BG95" i="68"/>
  <c r="BO103" i="68" s="1"/>
  <c r="AZ95" i="68"/>
  <c r="AU95" i="68"/>
  <c r="AR95" i="68"/>
  <c r="AJ95" i="68"/>
  <c r="AB95" i="68"/>
  <c r="W95" i="68"/>
  <c r="W197" i="68" s="1"/>
  <c r="BL94" i="68"/>
  <c r="BI94" i="68"/>
  <c r="BQ102" i="68" s="1"/>
  <c r="BG94" i="68"/>
  <c r="BO102" i="68" s="1"/>
  <c r="AZ94" i="68"/>
  <c r="AU94" i="68"/>
  <c r="AR94" i="68"/>
  <c r="AJ94" i="68"/>
  <c r="AB94" i="68"/>
  <c r="W94" i="68"/>
  <c r="W196" i="68" s="1"/>
  <c r="AC102" i="68"/>
  <c r="BL93" i="68"/>
  <c r="BI93" i="68"/>
  <c r="BQ101" i="68" s="1"/>
  <c r="BG93" i="68"/>
  <c r="BO101" i="68" s="1"/>
  <c r="AZ93" i="68"/>
  <c r="AU93" i="68"/>
  <c r="AR93" i="68"/>
  <c r="AJ93" i="68"/>
  <c r="AB93" i="68"/>
  <c r="W93" i="68"/>
  <c r="W195" i="68" s="1"/>
  <c r="AC101" i="68"/>
  <c r="V52" i="68"/>
  <c r="CH51" i="68"/>
  <c r="CF51" i="68"/>
  <c r="CD51" i="68"/>
  <c r="BX51" i="68"/>
  <c r="BV51" i="68"/>
  <c r="AZ51" i="68"/>
  <c r="AX51" i="68"/>
  <c r="AR51" i="68"/>
  <c r="AP51" i="68"/>
  <c r="AL51" i="68"/>
  <c r="AJ51" i="68"/>
  <c r="AH51" i="68"/>
  <c r="AD51" i="68"/>
  <c r="Z51" i="68"/>
  <c r="V51" i="68"/>
  <c r="R51" i="68"/>
  <c r="N51" i="68"/>
  <c r="L51" i="68"/>
  <c r="J51" i="68"/>
  <c r="CH50" i="68"/>
  <c r="CF50" i="68"/>
  <c r="CD50" i="68"/>
  <c r="BX50" i="68"/>
  <c r="BV50" i="68"/>
  <c r="AZ50" i="68"/>
  <c r="AX50" i="68"/>
  <c r="AR50" i="68"/>
  <c r="AP50" i="68"/>
  <c r="AL50" i="68"/>
  <c r="AJ50" i="68"/>
  <c r="AH50" i="68"/>
  <c r="AD50" i="68"/>
  <c r="Z50" i="68"/>
  <c r="V50" i="68"/>
  <c r="R50" i="68"/>
  <c r="N50" i="68"/>
  <c r="L50" i="68"/>
  <c r="J50" i="68"/>
  <c r="CH49" i="68"/>
  <c r="CF49" i="68"/>
  <c r="CD49" i="68"/>
  <c r="BX49" i="68"/>
  <c r="BV49" i="68"/>
  <c r="AZ49" i="68"/>
  <c r="AX49" i="68"/>
  <c r="AR49" i="68"/>
  <c r="AP49" i="68"/>
  <c r="AL49" i="68"/>
  <c r="AJ49" i="68"/>
  <c r="AH49" i="68"/>
  <c r="AD49" i="68"/>
  <c r="Z49" i="68"/>
  <c r="V49" i="68"/>
  <c r="R49" i="68"/>
  <c r="N49" i="68"/>
  <c r="L49" i="68"/>
  <c r="J49" i="68"/>
  <c r="CH48" i="68"/>
  <c r="CF48" i="68"/>
  <c r="CD48" i="68"/>
  <c r="BX48" i="68"/>
  <c r="BV48" i="68"/>
  <c r="AZ48" i="68"/>
  <c r="AX48" i="68"/>
  <c r="AR48" i="68"/>
  <c r="AP48" i="68"/>
  <c r="AL48" i="68"/>
  <c r="AJ48" i="68"/>
  <c r="AH48" i="68"/>
  <c r="AD48" i="68"/>
  <c r="Z48" i="68"/>
  <c r="V48" i="68"/>
  <c r="R48" i="68"/>
  <c r="N48" i="68"/>
  <c r="L48" i="68"/>
  <c r="J48" i="68"/>
  <c r="CH47" i="68"/>
  <c r="CF47" i="68"/>
  <c r="CD47" i="68"/>
  <c r="BX47" i="68"/>
  <c r="BV47" i="68"/>
  <c r="AZ47" i="68"/>
  <c r="AX47" i="68"/>
  <c r="AR47" i="68"/>
  <c r="AP47" i="68"/>
  <c r="AL47" i="68"/>
  <c r="AJ47" i="68"/>
  <c r="AH47" i="68"/>
  <c r="AD47" i="68"/>
  <c r="Z47" i="68"/>
  <c r="V47" i="68"/>
  <c r="R47" i="68"/>
  <c r="N47" i="68"/>
  <c r="L47" i="68"/>
  <c r="J47" i="68"/>
  <c r="CH46" i="68"/>
  <c r="CF46" i="68"/>
  <c r="CD46" i="68"/>
  <c r="BX46" i="68"/>
  <c r="BV46" i="68"/>
  <c r="AZ46" i="68"/>
  <c r="AX46" i="68"/>
  <c r="AR46" i="68"/>
  <c r="AP46" i="68"/>
  <c r="AL46" i="68"/>
  <c r="AJ46" i="68"/>
  <c r="AH46" i="68"/>
  <c r="AD46" i="68"/>
  <c r="Z46" i="68"/>
  <c r="V46" i="68"/>
  <c r="R46" i="68"/>
  <c r="N46" i="68"/>
  <c r="L46" i="68"/>
  <c r="J46" i="68"/>
  <c r="V43" i="68"/>
  <c r="N43" i="68"/>
  <c r="L43" i="68"/>
  <c r="J43" i="68"/>
  <c r="CH42" i="68"/>
  <c r="CF42" i="68"/>
  <c r="CD42" i="68"/>
  <c r="BZ42" i="68"/>
  <c r="BX42" i="68"/>
  <c r="BV42" i="68"/>
  <c r="BB42" i="68"/>
  <c r="AZ42" i="68"/>
  <c r="AX42" i="68"/>
  <c r="AR42" i="68"/>
  <c r="AP42" i="68"/>
  <c r="AL42" i="68"/>
  <c r="AJ42" i="68"/>
  <c r="AH42" i="68"/>
  <c r="AD42" i="68"/>
  <c r="AB42" i="68"/>
  <c r="Z42" i="68"/>
  <c r="V42" i="68"/>
  <c r="R42" i="68"/>
  <c r="N42" i="68"/>
  <c r="L42" i="68"/>
  <c r="J42" i="68"/>
  <c r="F42" i="68"/>
  <c r="D42" i="68"/>
  <c r="B42" i="68"/>
  <c r="CH41" i="68"/>
  <c r="CF41" i="68"/>
  <c r="CD41" i="68"/>
  <c r="BZ41" i="68"/>
  <c r="BX41" i="68"/>
  <c r="BV41" i="68"/>
  <c r="BB41" i="68"/>
  <c r="AZ41" i="68"/>
  <c r="AX41" i="68"/>
  <c r="AR41" i="68"/>
  <c r="AP41" i="68"/>
  <c r="AL41" i="68"/>
  <c r="AJ41" i="68"/>
  <c r="AH41" i="68"/>
  <c r="AD41" i="68"/>
  <c r="AB41" i="68"/>
  <c r="Z41" i="68"/>
  <c r="V41" i="68"/>
  <c r="R41" i="68"/>
  <c r="N41" i="68"/>
  <c r="L41" i="68"/>
  <c r="J41" i="68"/>
  <c r="F41" i="68"/>
  <c r="D41" i="68"/>
  <c r="B41" i="68"/>
  <c r="CH40" i="68"/>
  <c r="CF40" i="68"/>
  <c r="CD40" i="68"/>
  <c r="BZ40" i="68"/>
  <c r="BX40" i="68"/>
  <c r="BV40" i="68"/>
  <c r="BB40" i="68"/>
  <c r="AZ40" i="68"/>
  <c r="AX40" i="68"/>
  <c r="AR40" i="68"/>
  <c r="AP40" i="68"/>
  <c r="AL40" i="68"/>
  <c r="AJ40" i="68"/>
  <c r="AH40" i="68"/>
  <c r="AD40" i="68"/>
  <c r="AB40" i="68"/>
  <c r="Z40" i="68"/>
  <c r="V40" i="68"/>
  <c r="R40" i="68"/>
  <c r="N40" i="68"/>
  <c r="L40" i="68"/>
  <c r="J40" i="68"/>
  <c r="F40" i="68"/>
  <c r="D40" i="68"/>
  <c r="B40" i="68"/>
  <c r="CH39" i="68"/>
  <c r="CF39" i="68"/>
  <c r="CD39" i="68"/>
  <c r="BZ39" i="68"/>
  <c r="BX39" i="68"/>
  <c r="BV39" i="68"/>
  <c r="BB39" i="68"/>
  <c r="AZ39" i="68"/>
  <c r="AX39" i="68"/>
  <c r="AR39" i="68"/>
  <c r="AP39" i="68"/>
  <c r="AL39" i="68"/>
  <c r="AJ39" i="68"/>
  <c r="AH39" i="68"/>
  <c r="AD39" i="68"/>
  <c r="AB39" i="68"/>
  <c r="Z39" i="68"/>
  <c r="V39" i="68"/>
  <c r="R39" i="68"/>
  <c r="N39" i="68"/>
  <c r="L39" i="68"/>
  <c r="J39" i="68"/>
  <c r="F39" i="68"/>
  <c r="D39" i="68"/>
  <c r="B39" i="68"/>
  <c r="CH38" i="68"/>
  <c r="CF38" i="68"/>
  <c r="CD38" i="68"/>
  <c r="BZ38" i="68"/>
  <c r="BX38" i="68"/>
  <c r="BV38" i="68"/>
  <c r="BB38" i="68"/>
  <c r="AZ38" i="68"/>
  <c r="AX38" i="68"/>
  <c r="AR38" i="68"/>
  <c r="AP38" i="68"/>
  <c r="AL38" i="68"/>
  <c r="AJ38" i="68"/>
  <c r="AH38" i="68"/>
  <c r="AD38" i="68"/>
  <c r="AB38" i="68"/>
  <c r="Z38" i="68"/>
  <c r="V38" i="68"/>
  <c r="R38" i="68"/>
  <c r="N38" i="68"/>
  <c r="L38" i="68"/>
  <c r="J38" i="68"/>
  <c r="F38" i="68"/>
  <c r="D38" i="68"/>
  <c r="B38" i="68"/>
  <c r="CH37" i="68"/>
  <c r="CF37" i="68"/>
  <c r="CD37" i="68"/>
  <c r="BZ37" i="68"/>
  <c r="BX37" i="68"/>
  <c r="BV37" i="68"/>
  <c r="BB37" i="68"/>
  <c r="AZ37" i="68"/>
  <c r="AX37" i="68"/>
  <c r="AR37" i="68"/>
  <c r="AP37" i="68"/>
  <c r="AL37" i="68"/>
  <c r="AJ37" i="68"/>
  <c r="AH37" i="68"/>
  <c r="AD37" i="68"/>
  <c r="AB37" i="68"/>
  <c r="Z37" i="68"/>
  <c r="V37" i="68"/>
  <c r="R37" i="68"/>
  <c r="N37" i="68"/>
  <c r="L37" i="68"/>
  <c r="J37" i="68"/>
  <c r="F37" i="68"/>
  <c r="D37" i="68"/>
  <c r="B37" i="68"/>
  <c r="CD34" i="68"/>
  <c r="BV34" i="68"/>
  <c r="BV52" i="68" s="1"/>
  <c r="AX34" i="68"/>
  <c r="BN52" i="68" s="1"/>
  <c r="AP34" i="68"/>
  <c r="AH34" i="68"/>
  <c r="Z34" i="68"/>
  <c r="R34" i="68"/>
  <c r="R52" i="68" s="1"/>
  <c r="B34" i="68"/>
  <c r="J52" i="68" s="1"/>
  <c r="CK33" i="68"/>
  <c r="CI33" i="68" s="1"/>
  <c r="CG33" i="68"/>
  <c r="CE33" i="68"/>
  <c r="CC33" i="68"/>
  <c r="CA33" i="68" s="1"/>
  <c r="BY33" i="68"/>
  <c r="BW33" i="68"/>
  <c r="BE33" i="68"/>
  <c r="BC33" i="68" s="1"/>
  <c r="BA33" i="68"/>
  <c r="AY33" i="68"/>
  <c r="AW33" i="68"/>
  <c r="AQ33" i="68"/>
  <c r="AO33" i="68"/>
  <c r="AM33" i="68" s="1"/>
  <c r="AK33" i="68"/>
  <c r="AI33" i="68"/>
  <c r="AG33" i="68"/>
  <c r="AE33" i="68" s="1"/>
  <c r="AC33" i="68"/>
  <c r="AA33" i="68"/>
  <c r="Y33" i="68"/>
  <c r="V33" i="68"/>
  <c r="Q33" i="68"/>
  <c r="O33" i="68" s="1"/>
  <c r="L33" i="68"/>
  <c r="M33" i="68" s="1"/>
  <c r="S33" i="68" s="1"/>
  <c r="J33" i="68"/>
  <c r="E33" i="68"/>
  <c r="C33" i="68"/>
  <c r="CK32" i="68"/>
  <c r="CS51" i="68" s="1"/>
  <c r="CG32" i="68"/>
  <c r="CE32" i="68"/>
  <c r="CC32" i="68"/>
  <c r="BY32" i="68"/>
  <c r="BY51" i="68" s="1"/>
  <c r="BW32" i="68"/>
  <c r="BE32" i="68"/>
  <c r="BA32" i="68"/>
  <c r="BQ51" i="68" s="1"/>
  <c r="AY32" i="68"/>
  <c r="BO51" i="68" s="1"/>
  <c r="AW32" i="68"/>
  <c r="AQ32" i="68"/>
  <c r="AK32" i="68"/>
  <c r="AI32" i="68"/>
  <c r="AC32" i="68"/>
  <c r="AA32" i="68"/>
  <c r="M32" i="68"/>
  <c r="AB51" i="68" s="1"/>
  <c r="K32" i="68"/>
  <c r="E32" i="68"/>
  <c r="C32" i="68"/>
  <c r="CK31" i="68"/>
  <c r="CG31" i="68"/>
  <c r="CE31" i="68"/>
  <c r="CC31" i="68"/>
  <c r="BY31" i="68"/>
  <c r="BW31" i="68"/>
  <c r="BW50" i="68" s="1"/>
  <c r="BE31" i="68"/>
  <c r="BC31" i="68" s="1"/>
  <c r="BA31" i="68"/>
  <c r="BQ50" i="68" s="1"/>
  <c r="AY31" i="68"/>
  <c r="BO50" i="68" s="1"/>
  <c r="AW31" i="68"/>
  <c r="AQ31" i="68"/>
  <c r="AO31" i="68"/>
  <c r="AK31" i="68"/>
  <c r="AI31" i="68"/>
  <c r="AG31" i="68"/>
  <c r="AE31" i="68" s="1"/>
  <c r="AC31" i="68"/>
  <c r="AA31" i="68"/>
  <c r="M31" i="68"/>
  <c r="AB50" i="68" s="1"/>
  <c r="K31" i="68"/>
  <c r="E31" i="68"/>
  <c r="C31" i="68"/>
  <c r="CK30" i="68"/>
  <c r="CS49" i="68" s="1"/>
  <c r="CG30" i="68"/>
  <c r="CE30" i="68"/>
  <c r="CC30" i="68"/>
  <c r="CC49" i="68" s="1"/>
  <c r="BY30" i="68"/>
  <c r="BW30" i="68"/>
  <c r="BW49" i="68" s="1"/>
  <c r="BE30" i="68"/>
  <c r="BC30" i="68" s="1"/>
  <c r="BA30" i="68"/>
  <c r="BQ49" i="68" s="1"/>
  <c r="AY30" i="68"/>
  <c r="BO49" i="68" s="1"/>
  <c r="AW30" i="68"/>
  <c r="AQ30" i="68"/>
  <c r="AO30" i="68"/>
  <c r="AM30" i="68" s="1"/>
  <c r="AK30" i="68"/>
  <c r="AI30" i="68"/>
  <c r="AG30" i="68"/>
  <c r="AE30" i="68" s="1"/>
  <c r="AC30" i="68"/>
  <c r="AA30" i="68"/>
  <c r="M30" i="68"/>
  <c r="T49" i="68" s="1"/>
  <c r="K30" i="68"/>
  <c r="E30" i="68"/>
  <c r="C30" i="68"/>
  <c r="CK29" i="68"/>
  <c r="CG29" i="68"/>
  <c r="CE29" i="68"/>
  <c r="CC29" i="68"/>
  <c r="CC48" i="68" s="1"/>
  <c r="BY29" i="68"/>
  <c r="BW29" i="68"/>
  <c r="BE29" i="68"/>
  <c r="BA29" i="68"/>
  <c r="BQ48" i="68" s="1"/>
  <c r="AY29" i="68"/>
  <c r="BO48" i="68" s="1"/>
  <c r="AQ29" i="68"/>
  <c r="AK29" i="68"/>
  <c r="AI29" i="68"/>
  <c r="AC29" i="68"/>
  <c r="AA29" i="68"/>
  <c r="M29" i="68"/>
  <c r="AB48" i="68" s="1"/>
  <c r="K29" i="68"/>
  <c r="E29" i="68"/>
  <c r="C29" i="68"/>
  <c r="CK28" i="68"/>
  <c r="CS47" i="68" s="1"/>
  <c r="CG28" i="68"/>
  <c r="CE28" i="68"/>
  <c r="CC28" i="68"/>
  <c r="CC47" i="68" s="1"/>
  <c r="BY28" i="68"/>
  <c r="BY47" i="68" s="1"/>
  <c r="BW28" i="68"/>
  <c r="BE28" i="68"/>
  <c r="BA28" i="68"/>
  <c r="BQ47" i="68" s="1"/>
  <c r="AY28" i="68"/>
  <c r="BO47" i="68" s="1"/>
  <c r="AW28" i="68"/>
  <c r="AQ28" i="68"/>
  <c r="AO28" i="68"/>
  <c r="AM28" i="68" s="1"/>
  <c r="AK28" i="68"/>
  <c r="AI28" i="68"/>
  <c r="AG28" i="68"/>
  <c r="AE28" i="68" s="1"/>
  <c r="AC28" i="68"/>
  <c r="AA28" i="68"/>
  <c r="M28" i="68"/>
  <c r="AB47" i="68" s="1"/>
  <c r="K28" i="68"/>
  <c r="E28" i="68"/>
  <c r="C28" i="68"/>
  <c r="CK27" i="68"/>
  <c r="CS46" i="68" s="1"/>
  <c r="CG27" i="68"/>
  <c r="CE27" i="68"/>
  <c r="CC27" i="68"/>
  <c r="CC46" i="68" s="1"/>
  <c r="BY27" i="68"/>
  <c r="BW27" i="68"/>
  <c r="BW46" i="68" s="1"/>
  <c r="BE27" i="68"/>
  <c r="BA27" i="68"/>
  <c r="BQ46" i="68" s="1"/>
  <c r="AY27" i="68"/>
  <c r="BO46" i="68" s="1"/>
  <c r="AQ27" i="68"/>
  <c r="AK27" i="68"/>
  <c r="AI27" i="68"/>
  <c r="AC27" i="68"/>
  <c r="AA27" i="68"/>
  <c r="M27" i="68"/>
  <c r="AB46" i="68" s="1"/>
  <c r="K27" i="68"/>
  <c r="E27" i="68"/>
  <c r="C27" i="68"/>
  <c r="CK26" i="68"/>
  <c r="CI26" i="68" s="1"/>
  <c r="CG26" i="68"/>
  <c r="CE26" i="68"/>
  <c r="CC26" i="68"/>
  <c r="CA26" i="68" s="1"/>
  <c r="BY26" i="68"/>
  <c r="BW26" i="68"/>
  <c r="BE26" i="68"/>
  <c r="BC26" i="68" s="1"/>
  <c r="BA26" i="68"/>
  <c r="AY26" i="68"/>
  <c r="AQ26" i="68"/>
  <c r="AK26" i="68"/>
  <c r="AI26" i="68"/>
  <c r="AC26" i="68"/>
  <c r="AA26" i="68"/>
  <c r="M26" i="68"/>
  <c r="U26" i="68" s="1"/>
  <c r="K26" i="68"/>
  <c r="E26" i="68"/>
  <c r="C26" i="68"/>
  <c r="V23" i="68"/>
  <c r="R23" i="68"/>
  <c r="N23" i="68"/>
  <c r="L23" i="68"/>
  <c r="J23" i="68"/>
  <c r="CH22" i="68"/>
  <c r="CF22" i="68"/>
  <c r="CD22" i="68"/>
  <c r="BX22" i="68"/>
  <c r="BV22" i="68"/>
  <c r="AZ22" i="68"/>
  <c r="AX22" i="68"/>
  <c r="AR22" i="68"/>
  <c r="AP22" i="68"/>
  <c r="AL22" i="68"/>
  <c r="AJ22" i="68"/>
  <c r="AH22" i="68"/>
  <c r="AD22" i="68"/>
  <c r="Z22" i="68"/>
  <c r="V22" i="68"/>
  <c r="R22" i="68"/>
  <c r="N22" i="68"/>
  <c r="L22" i="68"/>
  <c r="J22" i="68"/>
  <c r="CH21" i="68"/>
  <c r="CF21" i="68"/>
  <c r="CD21" i="68"/>
  <c r="BX21" i="68"/>
  <c r="BV21" i="68"/>
  <c r="AZ21" i="68"/>
  <c r="AX21" i="68"/>
  <c r="AR21" i="68"/>
  <c r="AP21" i="68"/>
  <c r="AL21" i="68"/>
  <c r="AJ21" i="68"/>
  <c r="AH21" i="68"/>
  <c r="AD21" i="68"/>
  <c r="Z21" i="68"/>
  <c r="V21" i="68"/>
  <c r="R21" i="68"/>
  <c r="N21" i="68"/>
  <c r="L21" i="68"/>
  <c r="J21" i="68"/>
  <c r="CH20" i="68"/>
  <c r="CF20" i="68"/>
  <c r="CD20" i="68"/>
  <c r="BX20" i="68"/>
  <c r="BV20" i="68"/>
  <c r="AZ20" i="68"/>
  <c r="AX20" i="68"/>
  <c r="AR20" i="68"/>
  <c r="AP20" i="68"/>
  <c r="AL20" i="68"/>
  <c r="AJ20" i="68"/>
  <c r="AH20" i="68"/>
  <c r="AD20" i="68"/>
  <c r="Z20" i="68"/>
  <c r="V20" i="68"/>
  <c r="R20" i="68"/>
  <c r="N20" i="68"/>
  <c r="L20" i="68"/>
  <c r="J20" i="68"/>
  <c r="CH19" i="68"/>
  <c r="CF19" i="68"/>
  <c r="CD19" i="68"/>
  <c r="BX19" i="68"/>
  <c r="BV19" i="68"/>
  <c r="AZ19" i="68"/>
  <c r="AX19" i="68"/>
  <c r="AR19" i="68"/>
  <c r="AP19" i="68"/>
  <c r="AL19" i="68"/>
  <c r="AJ19" i="68"/>
  <c r="AH19" i="68"/>
  <c r="AD19" i="68"/>
  <c r="Z19" i="68"/>
  <c r="V19" i="68"/>
  <c r="R19" i="68"/>
  <c r="N19" i="68"/>
  <c r="L19" i="68"/>
  <c r="J19" i="68"/>
  <c r="CH18" i="68"/>
  <c r="CF18" i="68"/>
  <c r="CD18" i="68"/>
  <c r="BX18" i="68"/>
  <c r="BV18" i="68"/>
  <c r="AZ18" i="68"/>
  <c r="AX18" i="68"/>
  <c r="AR18" i="68"/>
  <c r="AP18" i="68"/>
  <c r="AL18" i="68"/>
  <c r="AJ18" i="68"/>
  <c r="AH18" i="68"/>
  <c r="AD18" i="68"/>
  <c r="Z18" i="68"/>
  <c r="V18" i="68"/>
  <c r="R18" i="68"/>
  <c r="N18" i="68"/>
  <c r="L18" i="68"/>
  <c r="J18" i="68"/>
  <c r="CH17" i="68"/>
  <c r="CF17" i="68"/>
  <c r="CD17" i="68"/>
  <c r="BX17" i="68"/>
  <c r="BV17" i="68"/>
  <c r="AZ17" i="68"/>
  <c r="AX17" i="68"/>
  <c r="AR17" i="68"/>
  <c r="AP17" i="68"/>
  <c r="AL17" i="68"/>
  <c r="AJ17" i="68"/>
  <c r="AH17" i="68"/>
  <c r="AD17" i="68"/>
  <c r="Z17" i="68"/>
  <c r="V17" i="68"/>
  <c r="R17" i="68"/>
  <c r="N17" i="68"/>
  <c r="L17" i="68"/>
  <c r="J17" i="68"/>
  <c r="CH14" i="68"/>
  <c r="CH23" i="68" s="1"/>
  <c r="CF14" i="68"/>
  <c r="CD14" i="68"/>
  <c r="BZ14" i="68"/>
  <c r="BX14" i="68"/>
  <c r="BX23" i="68" s="1"/>
  <c r="BV14" i="68"/>
  <c r="BV23" i="68" s="1"/>
  <c r="BB14" i="68"/>
  <c r="AZ14" i="68"/>
  <c r="AX14" i="68"/>
  <c r="AR14" i="68"/>
  <c r="AP14" i="68"/>
  <c r="AL14" i="68"/>
  <c r="AJ14" i="68"/>
  <c r="AH14" i="68"/>
  <c r="AD14" i="68"/>
  <c r="AD23" i="68" s="1"/>
  <c r="AB14" i="68"/>
  <c r="Z14" i="68"/>
  <c r="Z23" i="68" s="1"/>
  <c r="CK13" i="68"/>
  <c r="CI13" i="68" s="1"/>
  <c r="CG13" i="68"/>
  <c r="CE13" i="68"/>
  <c r="CC13" i="68"/>
  <c r="CA13" i="68" s="1"/>
  <c r="BY13" i="68"/>
  <c r="BW13" i="68"/>
  <c r="BE13" i="68"/>
  <c r="BC13" i="68" s="1"/>
  <c r="BA13" i="68"/>
  <c r="AY13" i="68"/>
  <c r="AW13" i="68"/>
  <c r="AQ13" i="68"/>
  <c r="AO13" i="68"/>
  <c r="AM13" i="68" s="1"/>
  <c r="AS13" i="68" s="1"/>
  <c r="AK13" i="68"/>
  <c r="AI13" i="68"/>
  <c r="AG13" i="68"/>
  <c r="AE13" i="68" s="1"/>
  <c r="AC13" i="68"/>
  <c r="AA13" i="68"/>
  <c r="Y13" i="68"/>
  <c r="W13" i="68" s="1"/>
  <c r="Q13" i="68"/>
  <c r="O13" i="68" s="1"/>
  <c r="M13" i="68"/>
  <c r="U13" i="68" s="1"/>
  <c r="K13" i="68"/>
  <c r="I13" i="68"/>
  <c r="G13" i="68" s="1"/>
  <c r="E13" i="68"/>
  <c r="C13" i="68"/>
  <c r="CK12" i="68"/>
  <c r="CI12" i="68" s="1"/>
  <c r="CG12" i="68"/>
  <c r="CE12" i="68"/>
  <c r="CC12" i="68"/>
  <c r="CA12" i="68" s="1"/>
  <c r="BY12" i="68"/>
  <c r="BW12" i="68"/>
  <c r="BE12" i="68"/>
  <c r="BC12" i="68" s="1"/>
  <c r="BA12" i="68"/>
  <c r="AY12" i="68"/>
  <c r="AW12" i="68"/>
  <c r="AQ12" i="68"/>
  <c r="AO12" i="68"/>
  <c r="AM12" i="68" s="1"/>
  <c r="AS12" i="68" s="1"/>
  <c r="AK12" i="68"/>
  <c r="AI12" i="68"/>
  <c r="AG12" i="68"/>
  <c r="AE12" i="68" s="1"/>
  <c r="AC12" i="68"/>
  <c r="AA12" i="68"/>
  <c r="Y12" i="68"/>
  <c r="V12" i="68"/>
  <c r="R12" i="68"/>
  <c r="Q12" i="68"/>
  <c r="N12" i="68"/>
  <c r="L12" i="68"/>
  <c r="J12" i="68"/>
  <c r="I12" i="68"/>
  <c r="F12" i="68"/>
  <c r="D12" i="68"/>
  <c r="B12" i="68"/>
  <c r="CK11" i="68"/>
  <c r="CG11" i="68"/>
  <c r="CE11" i="68"/>
  <c r="CC11" i="68"/>
  <c r="CC22" i="68" s="1"/>
  <c r="BY11" i="68"/>
  <c r="BY22" i="68" s="1"/>
  <c r="BW11" i="68"/>
  <c r="BW22" i="68" s="1"/>
  <c r="BE11" i="68"/>
  <c r="BA11" i="68"/>
  <c r="BQ22" i="68" s="1"/>
  <c r="AY11" i="68"/>
  <c r="AW11" i="68"/>
  <c r="AQ11" i="68"/>
  <c r="AK11" i="68"/>
  <c r="AI11" i="68"/>
  <c r="AG11" i="68"/>
  <c r="AE11" i="68" s="1"/>
  <c r="AC11" i="68"/>
  <c r="AA11" i="68"/>
  <c r="Y11" i="68"/>
  <c r="Q11" i="68"/>
  <c r="M11" i="68"/>
  <c r="K11" i="68"/>
  <c r="E11" i="68"/>
  <c r="C11" i="68"/>
  <c r="CK10" i="68"/>
  <c r="CG10" i="68"/>
  <c r="CE10" i="68"/>
  <c r="CC10" i="68"/>
  <c r="CC21" i="68" s="1"/>
  <c r="BY10" i="68"/>
  <c r="BY21" i="68" s="1"/>
  <c r="BW10" i="68"/>
  <c r="BW21" i="68" s="1"/>
  <c r="BA10" i="68"/>
  <c r="BQ21" i="68" s="1"/>
  <c r="AY10" i="68"/>
  <c r="AW10" i="68"/>
  <c r="AQ10" i="68"/>
  <c r="AK10" i="68"/>
  <c r="AI10" i="68"/>
  <c r="AG10" i="68"/>
  <c r="AC10" i="68"/>
  <c r="AA10" i="68"/>
  <c r="M10" i="68"/>
  <c r="U10" i="68" s="1"/>
  <c r="U21" i="68" s="1"/>
  <c r="K10" i="68"/>
  <c r="E10" i="68"/>
  <c r="C10" i="68"/>
  <c r="CK9" i="68"/>
  <c r="CG9" i="68"/>
  <c r="CE9" i="68"/>
  <c r="CC9" i="68"/>
  <c r="BY9" i="68"/>
  <c r="BY20" i="68" s="1"/>
  <c r="BW9" i="68"/>
  <c r="BW20" i="68" s="1"/>
  <c r="BA9" i="68"/>
  <c r="BQ20" i="68" s="1"/>
  <c r="AY9" i="68"/>
  <c r="AW9" i="68"/>
  <c r="AQ9" i="68"/>
  <c r="AK9" i="68"/>
  <c r="AI9" i="68"/>
  <c r="AG9" i="68"/>
  <c r="AE9" i="68" s="1"/>
  <c r="AC9" i="68"/>
  <c r="AA9" i="68"/>
  <c r="M9" i="68"/>
  <c r="S9" i="68" s="1"/>
  <c r="K9" i="68"/>
  <c r="E9" i="68"/>
  <c r="C9" i="68"/>
  <c r="CK8" i="68"/>
  <c r="CS19" i="68" s="1"/>
  <c r="CG8" i="68"/>
  <c r="CE8" i="68"/>
  <c r="CC8" i="68"/>
  <c r="BY8" i="68"/>
  <c r="BY19" i="68" s="1"/>
  <c r="BW8" i="68"/>
  <c r="BW19" i="68" s="1"/>
  <c r="BE8" i="68"/>
  <c r="BA8" i="68"/>
  <c r="BQ19" i="68" s="1"/>
  <c r="AY8" i="68"/>
  <c r="AW8" i="68"/>
  <c r="AQ8" i="68"/>
  <c r="AK8" i="68"/>
  <c r="AI8" i="68"/>
  <c r="AC8" i="68"/>
  <c r="AA8" i="68"/>
  <c r="M8" i="68"/>
  <c r="U8" i="68" s="1"/>
  <c r="U19" i="68" s="1"/>
  <c r="K8" i="68"/>
  <c r="E8" i="68"/>
  <c r="C8" i="68"/>
  <c r="CK7" i="68"/>
  <c r="CS18" i="68" s="1"/>
  <c r="CG7" i="68"/>
  <c r="CE7" i="68"/>
  <c r="CC7" i="68"/>
  <c r="BY7" i="68"/>
  <c r="BY18" i="68" s="1"/>
  <c r="BW7" i="68"/>
  <c r="BW18" i="68" s="1"/>
  <c r="BE7" i="68"/>
  <c r="BA7" i="68"/>
  <c r="BQ18" i="68" s="1"/>
  <c r="AY7" i="68"/>
  <c r="AW7" i="68"/>
  <c r="AQ7" i="68"/>
  <c r="AO7" i="68"/>
  <c r="AK7" i="68"/>
  <c r="AI7" i="68"/>
  <c r="AG7" i="68"/>
  <c r="AE7" i="68" s="1"/>
  <c r="AC7" i="68"/>
  <c r="AA7" i="68"/>
  <c r="M7" i="68"/>
  <c r="S7" i="68" s="1"/>
  <c r="K7" i="68"/>
  <c r="E7" i="68"/>
  <c r="C7" i="68"/>
  <c r="CK6" i="68"/>
  <c r="CS17" i="68" s="1"/>
  <c r="CG6" i="68"/>
  <c r="CE6" i="68"/>
  <c r="CC6" i="68"/>
  <c r="CC17" i="68" s="1"/>
  <c r="BY6" i="68"/>
  <c r="BY17" i="68" s="1"/>
  <c r="BW6" i="68"/>
  <c r="BW17" i="68" s="1"/>
  <c r="BE6" i="68"/>
  <c r="BA6" i="68"/>
  <c r="BQ17" i="68" s="1"/>
  <c r="AY6" i="68"/>
  <c r="BO17" i="68" s="1"/>
  <c r="AW6" i="68"/>
  <c r="AQ6" i="68"/>
  <c r="AK6" i="68"/>
  <c r="AI6" i="68"/>
  <c r="AC6" i="68"/>
  <c r="AA6" i="68"/>
  <c r="M6" i="68"/>
  <c r="T17" i="68" s="1"/>
  <c r="K6" i="68"/>
  <c r="E6" i="68"/>
  <c r="C6" i="68"/>
  <c r="H64" i="113"/>
  <c r="H39" i="113" s="1"/>
  <c r="H34" i="113" s="1"/>
  <c r="H42" i="113" s="1"/>
  <c r="J64" i="113"/>
  <c r="J39" i="113" s="1"/>
  <c r="J34" i="113" s="1"/>
  <c r="I64" i="113"/>
  <c r="I39" i="113" s="1"/>
  <c r="I34" i="113" s="1"/>
  <c r="I42" i="113" s="1"/>
  <c r="C61" i="112"/>
  <c r="B61" i="112"/>
  <c r="K151" i="9"/>
  <c r="J151" i="9"/>
  <c r="I151" i="9"/>
  <c r="H151" i="9"/>
  <c r="H84" i="9" s="1"/>
  <c r="M83" i="9"/>
  <c r="L83" i="9"/>
  <c r="K77" i="9"/>
  <c r="J77" i="9"/>
  <c r="I83" i="9"/>
  <c r="R77" i="9"/>
  <c r="Q84" i="9"/>
  <c r="P77" i="9"/>
  <c r="O77" i="9"/>
  <c r="N77" i="9"/>
  <c r="K147" i="9"/>
  <c r="J147" i="9"/>
  <c r="H147" i="9"/>
  <c r="G147" i="9"/>
  <c r="F147" i="9"/>
  <c r="E147" i="9"/>
  <c r="D147" i="9"/>
  <c r="C147" i="9"/>
  <c r="B147" i="9"/>
  <c r="K146" i="9"/>
  <c r="J146" i="9"/>
  <c r="H146" i="9"/>
  <c r="I146" i="9" s="1"/>
  <c r="I141" i="9" s="1"/>
  <c r="G146" i="9"/>
  <c r="F146" i="9"/>
  <c r="E146" i="9"/>
  <c r="D146" i="9"/>
  <c r="C146" i="9"/>
  <c r="B146" i="9"/>
  <c r="H145" i="9"/>
  <c r="G145" i="9"/>
  <c r="F145" i="9"/>
  <c r="E145" i="9"/>
  <c r="D145" i="9"/>
  <c r="C145" i="9"/>
  <c r="B145" i="9"/>
  <c r="H143" i="9"/>
  <c r="G143" i="9"/>
  <c r="F143" i="9"/>
  <c r="F98" i="112" s="1"/>
  <c r="E143" i="9"/>
  <c r="D143" i="9"/>
  <c r="C143" i="9"/>
  <c r="B143" i="9"/>
  <c r="B98" i="112" s="1"/>
  <c r="M140" i="9"/>
  <c r="L140" i="9"/>
  <c r="K140" i="9"/>
  <c r="J140" i="9"/>
  <c r="I140" i="9"/>
  <c r="N121" i="9"/>
  <c r="L121" i="9"/>
  <c r="J121" i="9"/>
  <c r="I121" i="9"/>
  <c r="V120" i="9"/>
  <c r="W120" i="9" s="1"/>
  <c r="X120" i="9" s="1"/>
  <c r="Y120" i="9" s="1"/>
  <c r="Z120" i="9" s="1"/>
  <c r="AA120" i="9" s="1"/>
  <c r="M120" i="9"/>
  <c r="M121" i="9" s="1"/>
  <c r="K120" i="9"/>
  <c r="K27" i="113" s="1"/>
  <c r="K30" i="113" s="1"/>
  <c r="K119" i="9"/>
  <c r="J119" i="9"/>
  <c r="K46" i="112" s="1"/>
  <c r="I119" i="9"/>
  <c r="M106" i="9"/>
  <c r="R86" i="9"/>
  <c r="P86" i="9"/>
  <c r="O86" i="9"/>
  <c r="N86" i="9"/>
  <c r="L86" i="9"/>
  <c r="K86" i="9"/>
  <c r="J86" i="9"/>
  <c r="I86" i="9"/>
  <c r="H86" i="9"/>
  <c r="G86" i="9"/>
  <c r="F86" i="9"/>
  <c r="E86" i="9"/>
  <c r="D86" i="9"/>
  <c r="C86" i="9"/>
  <c r="B86" i="9"/>
  <c r="K74" i="9"/>
  <c r="J74" i="9"/>
  <c r="K73" i="9"/>
  <c r="J73" i="9"/>
  <c r="H73" i="9"/>
  <c r="G73" i="9"/>
  <c r="F73" i="9"/>
  <c r="E73" i="9"/>
  <c r="D73" i="9"/>
  <c r="C73" i="9"/>
  <c r="B73" i="9"/>
  <c r="K71" i="9"/>
  <c r="J71" i="9"/>
  <c r="H71" i="9"/>
  <c r="G71" i="9"/>
  <c r="F71" i="9"/>
  <c r="E71" i="9"/>
  <c r="D71" i="9"/>
  <c r="C71" i="9"/>
  <c r="B71" i="9"/>
  <c r="K69" i="9"/>
  <c r="J69" i="9"/>
  <c r="H69" i="9"/>
  <c r="G69" i="9"/>
  <c r="F69" i="9"/>
  <c r="E69" i="9"/>
  <c r="D69" i="9"/>
  <c r="C69" i="9"/>
  <c r="B68" i="9"/>
  <c r="K67" i="9"/>
  <c r="J67" i="9"/>
  <c r="H67" i="9"/>
  <c r="G67" i="9"/>
  <c r="F67" i="9"/>
  <c r="E67" i="9"/>
  <c r="D67" i="9"/>
  <c r="C67" i="9"/>
  <c r="B67" i="9"/>
  <c r="K65" i="9"/>
  <c r="J65" i="9"/>
  <c r="H65" i="9"/>
  <c r="G65" i="9"/>
  <c r="F65" i="9"/>
  <c r="E65" i="9"/>
  <c r="D65" i="9"/>
  <c r="C65" i="9"/>
  <c r="B65" i="9"/>
  <c r="K62" i="9"/>
  <c r="J62" i="9"/>
  <c r="H62" i="9"/>
  <c r="G62" i="9"/>
  <c r="F62" i="9"/>
  <c r="E62" i="9"/>
  <c r="D62" i="9"/>
  <c r="C62" i="9"/>
  <c r="B62" i="9"/>
  <c r="K59" i="9"/>
  <c r="H59" i="9"/>
  <c r="G59" i="9"/>
  <c r="F59" i="9"/>
  <c r="E59" i="9"/>
  <c r="D59" i="9"/>
  <c r="C59" i="9"/>
  <c r="K51" i="9"/>
  <c r="J51" i="9"/>
  <c r="I51" i="9"/>
  <c r="O50" i="9"/>
  <c r="N50" i="9"/>
  <c r="M50" i="9"/>
  <c r="C50" i="9"/>
  <c r="R48" i="9"/>
  <c r="Q48" i="9"/>
  <c r="P48" i="9"/>
  <c r="O48" i="9"/>
  <c r="N48" i="9"/>
  <c r="M48" i="9"/>
  <c r="L48" i="9"/>
  <c r="K48" i="9"/>
  <c r="C48" i="9"/>
  <c r="R47" i="9"/>
  <c r="Q47" i="9"/>
  <c r="P47" i="9"/>
  <c r="O47" i="9"/>
  <c r="N47" i="9"/>
  <c r="M47" i="9"/>
  <c r="L47" i="9"/>
  <c r="K47" i="9"/>
  <c r="C47" i="9"/>
  <c r="F46" i="9"/>
  <c r="E46" i="9"/>
  <c r="D46" i="9"/>
  <c r="C46" i="9"/>
  <c r="F45" i="9"/>
  <c r="E45" i="9"/>
  <c r="D45" i="9"/>
  <c r="C45" i="9"/>
  <c r="H42" i="9"/>
  <c r="M41" i="9"/>
  <c r="L41" i="9"/>
  <c r="Q39" i="9"/>
  <c r="P39" i="9"/>
  <c r="O39" i="9"/>
  <c r="N39" i="9"/>
  <c r="M39" i="9"/>
  <c r="L39" i="9"/>
  <c r="K39" i="9"/>
  <c r="J39" i="9"/>
  <c r="Q38" i="9"/>
  <c r="P38" i="9"/>
  <c r="O38" i="9"/>
  <c r="N38" i="9"/>
  <c r="M38" i="9"/>
  <c r="L38" i="9"/>
  <c r="K38" i="9"/>
  <c r="J38" i="9"/>
  <c r="R36" i="9"/>
  <c r="Q36" i="9"/>
  <c r="P36" i="9"/>
  <c r="O36" i="9"/>
  <c r="N36" i="9"/>
  <c r="M36" i="9"/>
  <c r="L36" i="9"/>
  <c r="K36" i="9"/>
  <c r="J36" i="9"/>
  <c r="N29" i="9"/>
  <c r="K29" i="9"/>
  <c r="J29" i="9"/>
  <c r="I29" i="9"/>
  <c r="H29" i="9"/>
  <c r="D48" i="9"/>
  <c r="K28" i="9"/>
  <c r="J28" i="9"/>
  <c r="I28" i="9"/>
  <c r="H28" i="9"/>
  <c r="G28" i="9"/>
  <c r="M23" i="9"/>
  <c r="L23" i="9"/>
  <c r="K23" i="9"/>
  <c r="J23" i="9"/>
  <c r="I23" i="9"/>
  <c r="N23" i="9"/>
  <c r="G13" i="9"/>
  <c r="F13" i="9"/>
  <c r="E13" i="9"/>
  <c r="D13" i="9"/>
  <c r="C13" i="9"/>
  <c r="B13" i="9"/>
  <c r="N12" i="9"/>
  <c r="K12" i="9"/>
  <c r="J12" i="9"/>
  <c r="H12" i="9"/>
  <c r="I11" i="9"/>
  <c r="H11" i="9"/>
  <c r="G11" i="9"/>
  <c r="F11" i="9"/>
  <c r="E11" i="9"/>
  <c r="D11" i="9"/>
  <c r="C11" i="9"/>
  <c r="B11" i="9"/>
  <c r="I10" i="9"/>
  <c r="H10" i="9"/>
  <c r="G10" i="9"/>
  <c r="F10" i="9"/>
  <c r="E10" i="9"/>
  <c r="D10" i="9"/>
  <c r="C10" i="9"/>
  <c r="B10" i="9"/>
  <c r="M9" i="9"/>
  <c r="K9" i="9"/>
  <c r="J9" i="9"/>
  <c r="I9" i="9"/>
  <c r="H9" i="9"/>
  <c r="G9" i="9"/>
  <c r="F9" i="9"/>
  <c r="F37" i="9" s="1"/>
  <c r="E9" i="9"/>
  <c r="D9" i="9"/>
  <c r="D37" i="9" s="1"/>
  <c r="C9" i="9"/>
  <c r="B9" i="9"/>
  <c r="H8" i="9"/>
  <c r="G8" i="9"/>
  <c r="F8" i="9"/>
  <c r="E8" i="9"/>
  <c r="D8" i="9"/>
  <c r="C8" i="9"/>
  <c r="B8" i="9"/>
  <c r="I6" i="9"/>
  <c r="H6" i="9"/>
  <c r="E17" i="58" l="1"/>
  <c r="F17" i="58"/>
  <c r="G17" i="58"/>
  <c r="I36" i="58"/>
  <c r="O115" i="56"/>
  <c r="O36" i="56" s="1"/>
  <c r="Q115" i="56"/>
  <c r="Q36" i="56" s="1"/>
  <c r="N53" i="58"/>
  <c r="M122" i="9"/>
  <c r="R84" i="9"/>
  <c r="N84" i="9"/>
  <c r="Q93" i="9"/>
  <c r="O84" i="9"/>
  <c r="P84" i="9"/>
  <c r="L3" i="56"/>
  <c r="M3" i="56"/>
  <c r="N115" i="56"/>
  <c r="N36" i="56" s="1"/>
  <c r="L13" i="56"/>
  <c r="L115" i="56"/>
  <c r="L36" i="56" s="1"/>
  <c r="P152" i="56"/>
  <c r="P157" i="56" s="1"/>
  <c r="P115" i="56"/>
  <c r="P36" i="56" s="1"/>
  <c r="J170" i="56"/>
  <c r="J177" i="56" s="1"/>
  <c r="G30" i="9"/>
  <c r="I32" i="68" s="1"/>
  <c r="G32" i="68" s="1"/>
  <c r="H32" i="68" s="1"/>
  <c r="H17" i="76"/>
  <c r="I17" i="76"/>
  <c r="C148" i="9"/>
  <c r="C98" i="112"/>
  <c r="D148" i="9"/>
  <c r="D98" i="112"/>
  <c r="E148" i="9"/>
  <c r="E98" i="112"/>
  <c r="G148" i="9"/>
  <c r="G98" i="112"/>
  <c r="H148" i="9"/>
  <c r="H98" i="112"/>
  <c r="K121" i="9"/>
  <c r="BU145" i="68"/>
  <c r="BT145" i="68" s="1"/>
  <c r="BS145" i="68" s="1"/>
  <c r="O112" i="56"/>
  <c r="M77" i="9"/>
  <c r="I77" i="9"/>
  <c r="L77" i="9"/>
  <c r="H136" i="56"/>
  <c r="L136" i="56"/>
  <c r="M136" i="56"/>
  <c r="J118" i="56"/>
  <c r="I9" i="56"/>
  <c r="G14" i="9"/>
  <c r="L46" i="112"/>
  <c r="V226" i="68"/>
  <c r="AB101" i="68"/>
  <c r="AB124" i="68"/>
  <c r="AB198" i="68"/>
  <c r="V199" i="68"/>
  <c r="T226" i="68"/>
  <c r="AG198" i="68"/>
  <c r="AC198" i="68"/>
  <c r="AA198" i="68"/>
  <c r="Z198" i="68"/>
  <c r="AI133" i="68"/>
  <c r="AD130" i="68"/>
  <c r="AL131" i="68"/>
  <c r="AL133" i="68"/>
  <c r="AP105" i="68"/>
  <c r="AK117" i="68"/>
  <c r="AK131" i="68" s="1"/>
  <c r="AJ133" i="68"/>
  <c r="AK155" i="68"/>
  <c r="R199" i="68"/>
  <c r="W222" i="68"/>
  <c r="U223" i="68"/>
  <c r="U224" i="68"/>
  <c r="R226" i="68"/>
  <c r="D234" i="68" s="1"/>
  <c r="AL155" i="68"/>
  <c r="L3" i="76"/>
  <c r="L10" i="76"/>
  <c r="L22" i="58"/>
  <c r="L10" i="58"/>
  <c r="M12" i="9"/>
  <c r="N22" i="9" s="1"/>
  <c r="M10" i="76"/>
  <c r="AI132" i="68"/>
  <c r="N26" i="56"/>
  <c r="AZ151" i="68"/>
  <c r="AY151" i="68" s="1"/>
  <c r="I7" i="68"/>
  <c r="G7" i="68" s="1"/>
  <c r="H7" i="68" s="1"/>
  <c r="I26" i="68"/>
  <c r="G26" i="68" s="1"/>
  <c r="H26" i="68" s="1"/>
  <c r="Q152" i="68"/>
  <c r="O152" i="68" s="1"/>
  <c r="Y152" i="68"/>
  <c r="X152" i="68" s="1"/>
  <c r="Y28" i="68"/>
  <c r="W28" i="68" s="1"/>
  <c r="I10" i="68"/>
  <c r="G10" i="68" s="1"/>
  <c r="H10" i="68" s="1"/>
  <c r="BU95" i="68"/>
  <c r="Y26" i="68"/>
  <c r="W26" i="68" s="1"/>
  <c r="X26" i="68" s="1"/>
  <c r="I31" i="68"/>
  <c r="G31" i="68" s="1"/>
  <c r="BU160" i="68"/>
  <c r="AG139" i="68"/>
  <c r="AE139" i="68" s="1"/>
  <c r="AG152" i="68"/>
  <c r="AE152" i="68" s="1"/>
  <c r="AF152" i="68" s="1"/>
  <c r="AG164" i="68"/>
  <c r="AF164" i="68" s="1"/>
  <c r="I152" i="68"/>
  <c r="H152" i="68" s="1"/>
  <c r="I28" i="68"/>
  <c r="G28" i="68" s="1"/>
  <c r="H28" i="68" s="1"/>
  <c r="Q28" i="68"/>
  <c r="O28" i="68" s="1"/>
  <c r="Q139" i="68"/>
  <c r="O139" i="68" s="1"/>
  <c r="P139" i="68" s="1"/>
  <c r="Q10" i="68"/>
  <c r="O10" i="68" s="1"/>
  <c r="Q31" i="68"/>
  <c r="O31" i="68" s="1"/>
  <c r="P31" i="68" s="1"/>
  <c r="Y160" i="68"/>
  <c r="X160" i="68" s="1"/>
  <c r="Q162" i="68"/>
  <c r="P162" i="68" s="1"/>
  <c r="AO139" i="68"/>
  <c r="AN139" i="68" s="1"/>
  <c r="AO152" i="68"/>
  <c r="I9" i="68"/>
  <c r="G9" i="68" s="1"/>
  <c r="H9" i="68" s="1"/>
  <c r="CC149" i="68"/>
  <c r="CA149" i="68" s="1"/>
  <c r="I139" i="68"/>
  <c r="G139" i="68" s="1"/>
  <c r="H139" i="68" s="1"/>
  <c r="Q7" i="68"/>
  <c r="Q26" i="68"/>
  <c r="O26" i="68" s="1"/>
  <c r="P26" i="68" s="1"/>
  <c r="Y30" i="68"/>
  <c r="W30" i="68" s="1"/>
  <c r="AE49" i="68" s="1"/>
  <c r="AG160" i="68"/>
  <c r="AF160" i="68" s="1"/>
  <c r="AW152" i="68"/>
  <c r="Y7" i="68"/>
  <c r="AG18" i="68" s="1"/>
  <c r="Y8" i="68"/>
  <c r="W8" i="68" s="1"/>
  <c r="X8" i="68" s="1"/>
  <c r="M28" i="9"/>
  <c r="Y164" i="68"/>
  <c r="X164" i="68" s="1"/>
  <c r="AI192" i="68"/>
  <c r="AI191" i="68"/>
  <c r="BW192" i="68"/>
  <c r="BW191" i="68"/>
  <c r="AV93" i="68"/>
  <c r="AV95" i="68"/>
  <c r="S97" i="68"/>
  <c r="S199" i="68" s="1"/>
  <c r="AV119" i="68"/>
  <c r="S120" i="68"/>
  <c r="S226" i="68" s="1"/>
  <c r="Z150" i="68"/>
  <c r="Z151" i="68" s="1"/>
  <c r="AQ192" i="68"/>
  <c r="AQ191" i="68"/>
  <c r="CE192" i="68"/>
  <c r="CE191" i="68"/>
  <c r="U120" i="68"/>
  <c r="U226" i="68" s="1"/>
  <c r="AY134" i="68"/>
  <c r="BS192" i="68"/>
  <c r="BS191" i="68"/>
  <c r="AY192" i="68"/>
  <c r="AY191" i="68"/>
  <c r="BB93" i="68"/>
  <c r="BB94" i="68"/>
  <c r="BB95" i="68"/>
  <c r="U97" i="68"/>
  <c r="U199" i="68" s="1"/>
  <c r="AZ97" i="68"/>
  <c r="AC133" i="68"/>
  <c r="BD119" i="68"/>
  <c r="X120" i="68"/>
  <c r="X226" i="68" s="1"/>
  <c r="AD150" i="68"/>
  <c r="AD151" i="68" s="1"/>
  <c r="X97" i="68"/>
  <c r="X199" i="68" s="1"/>
  <c r="AC131" i="68"/>
  <c r="AZ148" i="68"/>
  <c r="AW104" i="68"/>
  <c r="G46" i="9"/>
  <c r="Y29" i="68"/>
  <c r="W29" i="68" s="1"/>
  <c r="AG117" i="68"/>
  <c r="AD223" i="68" s="1"/>
  <c r="AG118" i="68"/>
  <c r="I27" i="68"/>
  <c r="G27" i="68" s="1"/>
  <c r="Y27" i="68"/>
  <c r="AG27" i="68"/>
  <c r="AE27" i="68" s="1"/>
  <c r="AI130" i="68"/>
  <c r="AC130" i="68"/>
  <c r="C148" i="68"/>
  <c r="M148" i="68"/>
  <c r="E39" i="58"/>
  <c r="E40" i="58" s="1"/>
  <c r="AC171" i="68"/>
  <c r="AU98" i="68"/>
  <c r="BL98" i="68"/>
  <c r="AI4" i="68"/>
  <c r="BW4" i="68"/>
  <c r="BB96" i="68"/>
  <c r="AZ98" i="68"/>
  <c r="BS4" i="68"/>
  <c r="BG4" i="68"/>
  <c r="AQ4" i="68"/>
  <c r="CE4" i="68"/>
  <c r="BO104" i="68"/>
  <c r="BG98" i="68"/>
  <c r="BN105" i="68"/>
  <c r="BR105" i="68"/>
  <c r="AY4" i="68"/>
  <c r="AR98" i="68"/>
  <c r="BQ104" i="68"/>
  <c r="BI98" i="68"/>
  <c r="BP105" i="68"/>
  <c r="AU154" i="68"/>
  <c r="O152" i="56"/>
  <c r="O153" i="56" s="1"/>
  <c r="O154" i="56" s="1"/>
  <c r="K26" i="56"/>
  <c r="P112" i="56"/>
  <c r="CQ149" i="68"/>
  <c r="CK149" i="68"/>
  <c r="L180" i="56"/>
  <c r="N3" i="76"/>
  <c r="D35" i="9"/>
  <c r="CI10" i="68"/>
  <c r="CJ10" i="68" s="1"/>
  <c r="CS21" i="68"/>
  <c r="Y6" i="68"/>
  <c r="CI9" i="68"/>
  <c r="CJ9" i="68" s="1"/>
  <c r="CS20" i="68"/>
  <c r="CI29" i="68"/>
  <c r="CJ29" i="68" s="1"/>
  <c r="CS48" i="68"/>
  <c r="CI11" i="68"/>
  <c r="CJ11" i="68" s="1"/>
  <c r="CS22" i="68"/>
  <c r="E35" i="9"/>
  <c r="I6" i="68"/>
  <c r="G6" i="68" s="1"/>
  <c r="CI31" i="68"/>
  <c r="CJ31" i="68" s="1"/>
  <c r="CS50" i="68"/>
  <c r="CC133" i="68"/>
  <c r="CK133" i="68"/>
  <c r="M5" i="76"/>
  <c r="L29" i="9"/>
  <c r="CC39" i="68"/>
  <c r="L9" i="9"/>
  <c r="M29" i="9"/>
  <c r="L12" i="9"/>
  <c r="L28" i="9"/>
  <c r="AK46" i="68"/>
  <c r="CE46" i="68"/>
  <c r="S32" i="68"/>
  <c r="S51" i="68" s="1"/>
  <c r="H136" i="68"/>
  <c r="AS145" i="68"/>
  <c r="J143" i="68"/>
  <c r="AD96" i="68"/>
  <c r="AV120" i="68"/>
  <c r="C140" i="68"/>
  <c r="M140" i="68"/>
  <c r="M143" i="68" s="1"/>
  <c r="B146" i="68"/>
  <c r="B150" i="68" s="1"/>
  <c r="B151" i="68" s="1"/>
  <c r="L143" i="68"/>
  <c r="AH52" i="68"/>
  <c r="CD52" i="68"/>
  <c r="K20" i="68"/>
  <c r="AQ46" i="68"/>
  <c r="S30" i="68"/>
  <c r="S49" i="68" s="1"/>
  <c r="AI49" i="68"/>
  <c r="C23" i="9"/>
  <c r="J49" i="9"/>
  <c r="AC14" i="68"/>
  <c r="CG14" i="68"/>
  <c r="BK117" i="68"/>
  <c r="J19" i="9"/>
  <c r="F20" i="9"/>
  <c r="F21" i="9"/>
  <c r="K17" i="68"/>
  <c r="S20" i="68"/>
  <c r="AS119" i="68"/>
  <c r="P137" i="68"/>
  <c r="K142" i="68"/>
  <c r="AQ145" i="68"/>
  <c r="BA145" i="68"/>
  <c r="BE171" i="68"/>
  <c r="C6" i="9"/>
  <c r="C14" i="9"/>
  <c r="AV97" i="68"/>
  <c r="F143" i="68"/>
  <c r="AV162" i="68"/>
  <c r="O175" i="56"/>
  <c r="H17" i="58"/>
  <c r="I27" i="76"/>
  <c r="C18" i="9"/>
  <c r="C20" i="9"/>
  <c r="E23" i="9"/>
  <c r="H47" i="9"/>
  <c r="E50" i="9"/>
  <c r="D18" i="9"/>
  <c r="K46" i="9"/>
  <c r="U11" i="68"/>
  <c r="U22" i="68" s="1"/>
  <c r="S11" i="68"/>
  <c r="S22" i="68" s="1"/>
  <c r="AI14" i="68"/>
  <c r="AI18" i="68"/>
  <c r="CG18" i="68"/>
  <c r="AF9" i="68"/>
  <c r="AI21" i="68"/>
  <c r="AQ47" i="68"/>
  <c r="CE47" i="68"/>
  <c r="AQ51" i="68"/>
  <c r="AU97" i="68"/>
  <c r="AR102" i="68"/>
  <c r="BK96" i="68"/>
  <c r="AR131" i="68"/>
  <c r="W120" i="68"/>
  <c r="W226" i="68" s="1"/>
  <c r="E140" i="68"/>
  <c r="S171" i="68"/>
  <c r="AI171" i="68"/>
  <c r="U171" i="68"/>
  <c r="F39" i="58"/>
  <c r="F40" i="58" s="1"/>
  <c r="I26" i="76"/>
  <c r="AI19" i="68"/>
  <c r="AQ22" i="68"/>
  <c r="C12" i="68"/>
  <c r="C14" i="68" s="1"/>
  <c r="K12" i="68"/>
  <c r="K14" i="68" s="1"/>
  <c r="AF12" i="68"/>
  <c r="BD12" i="68"/>
  <c r="K48" i="68"/>
  <c r="AI48" i="68"/>
  <c r="K49" i="68"/>
  <c r="U31" i="68"/>
  <c r="U50" i="68" s="1"/>
  <c r="AI50" i="68"/>
  <c r="K51" i="68"/>
  <c r="CG51" i="68"/>
  <c r="BL97" i="68"/>
  <c r="AR104" i="68"/>
  <c r="AK119" i="68"/>
  <c r="D143" i="68"/>
  <c r="AQ14" i="68"/>
  <c r="CE17" i="68"/>
  <c r="S8" i="68"/>
  <c r="AA19" i="68" s="1"/>
  <c r="AK20" i="68"/>
  <c r="CE20" i="68"/>
  <c r="CG21" i="68"/>
  <c r="AF11" i="68"/>
  <c r="CG22" i="68"/>
  <c r="E12" i="68"/>
  <c r="E14" i="68" s="1"/>
  <c r="M12" i="68"/>
  <c r="S12" i="68" s="1"/>
  <c r="H13" i="68"/>
  <c r="AK47" i="68"/>
  <c r="AS96" i="68"/>
  <c r="AJ120" i="68"/>
  <c r="K140" i="68"/>
  <c r="H137" i="68"/>
  <c r="E148" i="68"/>
  <c r="AA171" i="68"/>
  <c r="AY171" i="68"/>
  <c r="I32" i="58"/>
  <c r="U7" i="68"/>
  <c r="U18" i="68" s="1"/>
  <c r="S13" i="68"/>
  <c r="BD26" i="68"/>
  <c r="K47" i="68"/>
  <c r="U29" i="68"/>
  <c r="U48" i="68" s="1"/>
  <c r="AK48" i="68"/>
  <c r="AQ49" i="68"/>
  <c r="BD30" i="68"/>
  <c r="BT49" i="68" s="1"/>
  <c r="CE49" i="68"/>
  <c r="AK50" i="68"/>
  <c r="AI51" i="68"/>
  <c r="K33" i="68"/>
  <c r="K34" i="68" s="1"/>
  <c r="E18" i="9"/>
  <c r="E19" i="9"/>
  <c r="H37" i="9"/>
  <c r="K18" i="68"/>
  <c r="AC19" i="68"/>
  <c r="CG19" i="68"/>
  <c r="AL23" i="68"/>
  <c r="K46" i="68"/>
  <c r="AI46" i="68"/>
  <c r="AA34" i="68"/>
  <c r="AB34" i="68" s="1"/>
  <c r="AQ48" i="68"/>
  <c r="CG49" i="68"/>
  <c r="K50" i="68"/>
  <c r="AK51" i="68"/>
  <c r="F18" i="9"/>
  <c r="AK22" i="68"/>
  <c r="AP23" i="68"/>
  <c r="CJ26" i="68"/>
  <c r="U28" i="68"/>
  <c r="AI47" i="68"/>
  <c r="CG47" i="68"/>
  <c r="CG48" i="68"/>
  <c r="AK49" i="68"/>
  <c r="AQ50" i="68"/>
  <c r="CE50" i="68"/>
  <c r="CE51" i="68"/>
  <c r="D19" i="9"/>
  <c r="H19" i="9"/>
  <c r="D21" i="9"/>
  <c r="AK17" i="68"/>
  <c r="U9" i="68"/>
  <c r="U20" i="68" s="1"/>
  <c r="P13" i="68"/>
  <c r="CJ13" i="68"/>
  <c r="AH23" i="68"/>
  <c r="CF23" i="68"/>
  <c r="BY34" i="68"/>
  <c r="BY52" i="68" s="1"/>
  <c r="U33" i="68"/>
  <c r="AV96" i="68"/>
  <c r="W97" i="68"/>
  <c r="W199" i="68" s="1"/>
  <c r="AU123" i="68"/>
  <c r="BK116" i="68"/>
  <c r="W124" i="68"/>
  <c r="AU125" i="68"/>
  <c r="AA120" i="68"/>
  <c r="AZ120" i="68"/>
  <c r="C142" i="68"/>
  <c r="D146" i="68"/>
  <c r="D150" i="68" s="1"/>
  <c r="D151" i="68" s="1"/>
  <c r="L146" i="68"/>
  <c r="L150" i="68" s="1"/>
  <c r="L151" i="68" s="1"/>
  <c r="Z52" i="68"/>
  <c r="AD93" i="68"/>
  <c r="AS93" i="68"/>
  <c r="AD94" i="68"/>
  <c r="AS94" i="68"/>
  <c r="AD95" i="68"/>
  <c r="AS95" i="68"/>
  <c r="AZ104" i="68"/>
  <c r="Z105" i="68"/>
  <c r="AT105" i="68"/>
  <c r="BE105" i="68"/>
  <c r="W123" i="68"/>
  <c r="AZ123" i="68"/>
  <c r="BL123" i="68"/>
  <c r="X124" i="68"/>
  <c r="AZ125" i="68"/>
  <c r="R127" i="68"/>
  <c r="BA127" i="68"/>
  <c r="E145" i="68"/>
  <c r="M145" i="68"/>
  <c r="AI155" i="68"/>
  <c r="C39" i="58"/>
  <c r="G39" i="58"/>
  <c r="G40" i="58" s="1"/>
  <c r="AJ101" i="68"/>
  <c r="AJ102" i="68"/>
  <c r="AJ103" i="68"/>
  <c r="AR130" i="68"/>
  <c r="AU124" i="68"/>
  <c r="W125" i="68"/>
  <c r="AJ125" i="68"/>
  <c r="W126" i="68"/>
  <c r="AU119" i="68"/>
  <c r="BK119" i="68"/>
  <c r="BS133" i="68" s="1"/>
  <c r="AW127" i="68"/>
  <c r="BE127" i="68"/>
  <c r="BM127" i="68"/>
  <c r="AK171" i="68"/>
  <c r="D39" i="58"/>
  <c r="H39" i="58"/>
  <c r="H40" i="58" s="1"/>
  <c r="M53" i="58"/>
  <c r="AF33" i="68"/>
  <c r="AK93" i="68"/>
  <c r="AZ101" i="68"/>
  <c r="AK94" i="68"/>
  <c r="AZ102" i="68"/>
  <c r="BK94" i="68"/>
  <c r="AK95" i="68"/>
  <c r="AZ103" i="68"/>
  <c r="BK95" i="68"/>
  <c r="AJ104" i="68"/>
  <c r="BD96" i="68"/>
  <c r="AS116" i="68"/>
  <c r="AZ131" i="68"/>
  <c r="BL124" i="68"/>
  <c r="X125" i="68"/>
  <c r="AR125" i="68"/>
  <c r="BL125" i="68"/>
  <c r="Z134" i="68"/>
  <c r="AL127" i="68"/>
  <c r="U139" i="68"/>
  <c r="U140" i="68" s="1"/>
  <c r="BD139" i="68"/>
  <c r="AA140" i="68"/>
  <c r="AA146" i="68" s="1"/>
  <c r="B143" i="68"/>
  <c r="C145" i="68"/>
  <c r="J146" i="68"/>
  <c r="J150" i="68" s="1"/>
  <c r="J151" i="68" s="1"/>
  <c r="I148" i="68"/>
  <c r="G148" i="68" s="1"/>
  <c r="Q148" i="68"/>
  <c r="O148" i="68" s="1"/>
  <c r="Y148" i="68"/>
  <c r="E20" i="9"/>
  <c r="I20" i="9"/>
  <c r="E21" i="9"/>
  <c r="I21" i="9"/>
  <c r="D23" i="9"/>
  <c r="H18" i="9"/>
  <c r="G38" i="9"/>
  <c r="I30" i="68"/>
  <c r="G30" i="68" s="1"/>
  <c r="H30" i="68" s="1"/>
  <c r="I39" i="9"/>
  <c r="Y31" i="68"/>
  <c r="W31" i="68" s="1"/>
  <c r="D41" i="9"/>
  <c r="G36" i="9"/>
  <c r="E37" i="9"/>
  <c r="I46" i="9"/>
  <c r="D50" i="9"/>
  <c r="D63" i="9"/>
  <c r="H63" i="9"/>
  <c r="E76" i="9"/>
  <c r="J76" i="9"/>
  <c r="J84" i="9" s="1"/>
  <c r="AO160" i="68"/>
  <c r="AN160" i="68" s="1"/>
  <c r="J143" i="9"/>
  <c r="J98" i="112" s="1"/>
  <c r="K145" i="9"/>
  <c r="B148" i="9"/>
  <c r="F148" i="9"/>
  <c r="S6" i="68"/>
  <c r="AA17" i="68" s="1"/>
  <c r="CK14" i="68"/>
  <c r="CS23" i="68" s="1"/>
  <c r="AB18" i="68"/>
  <c r="T18" i="68"/>
  <c r="M18" i="68"/>
  <c r="AA18" i="68"/>
  <c r="AK18" i="68"/>
  <c r="BO18" i="68"/>
  <c r="AY18" i="68"/>
  <c r="AB19" i="68"/>
  <c r="T19" i="68"/>
  <c r="M19" i="68"/>
  <c r="AQ19" i="68"/>
  <c r="CE19" i="68"/>
  <c r="AQ20" i="68"/>
  <c r="CG20" i="68"/>
  <c r="K21" i="68"/>
  <c r="AB22" i="68"/>
  <c r="T22" i="68"/>
  <c r="M22" i="68"/>
  <c r="AI22" i="68"/>
  <c r="BO22" i="68"/>
  <c r="AY22" i="68"/>
  <c r="O12" i="68"/>
  <c r="CB12" i="68"/>
  <c r="X13" i="68"/>
  <c r="AK14" i="68"/>
  <c r="AR23" i="68"/>
  <c r="BA14" i="68"/>
  <c r="BQ23" i="68" s="1"/>
  <c r="CE14" i="68"/>
  <c r="AB17" i="68"/>
  <c r="AI17" i="68"/>
  <c r="AY17" i="68"/>
  <c r="E37" i="68"/>
  <c r="CG37" i="68"/>
  <c r="C39" i="68"/>
  <c r="E41" i="68"/>
  <c r="BY41" i="68"/>
  <c r="T143" i="68"/>
  <c r="T146" i="68"/>
  <c r="C21" i="9"/>
  <c r="I18" i="9"/>
  <c r="D38" i="9"/>
  <c r="H36" i="9"/>
  <c r="I38" i="9"/>
  <c r="I48" i="9"/>
  <c r="E63" i="9"/>
  <c r="J63" i="9"/>
  <c r="B76" i="9"/>
  <c r="F76" i="9"/>
  <c r="K76" i="9"/>
  <c r="K84" i="9" s="1"/>
  <c r="M107" i="9"/>
  <c r="K143" i="9"/>
  <c r="K98" i="112" s="1"/>
  <c r="U6" i="68"/>
  <c r="S18" i="68"/>
  <c r="Q8" i="68"/>
  <c r="AB21" i="68"/>
  <c r="T21" i="68"/>
  <c r="M21" i="68"/>
  <c r="Y10" i="68"/>
  <c r="W10" i="68" s="1"/>
  <c r="X10" i="68" s="1"/>
  <c r="BO21" i="68"/>
  <c r="AY21" i="68"/>
  <c r="AA14" i="68"/>
  <c r="BN23" i="68"/>
  <c r="AX23" i="68"/>
  <c r="BY14" i="68"/>
  <c r="BY23" i="68" s="1"/>
  <c r="AQ17" i="68"/>
  <c r="CG17" i="68"/>
  <c r="BY37" i="68"/>
  <c r="E39" i="68"/>
  <c r="CE39" i="68"/>
  <c r="C40" i="68"/>
  <c r="C42" i="68"/>
  <c r="AH143" i="68"/>
  <c r="AH120" i="68"/>
  <c r="AH146" i="68"/>
  <c r="AS171" i="68"/>
  <c r="E38" i="9"/>
  <c r="I37" i="9"/>
  <c r="J48" i="9"/>
  <c r="B63" i="9"/>
  <c r="F63" i="9"/>
  <c r="K63" i="9"/>
  <c r="B69" i="9"/>
  <c r="C76" i="9"/>
  <c r="G76" i="9"/>
  <c r="L143" i="9"/>
  <c r="L98" i="112" s="1"/>
  <c r="J152" i="9"/>
  <c r="AF7" i="68"/>
  <c r="AQ18" i="68"/>
  <c r="CE18" i="68"/>
  <c r="BO19" i="68"/>
  <c r="AY19" i="68"/>
  <c r="T20" i="68"/>
  <c r="M20" i="68"/>
  <c r="AB20" i="68"/>
  <c r="Y9" i="68"/>
  <c r="AG20" i="68" s="1"/>
  <c r="AI20" i="68"/>
  <c r="BO20" i="68"/>
  <c r="AY20" i="68"/>
  <c r="AK21" i="68"/>
  <c r="CE21" i="68"/>
  <c r="CE22" i="68"/>
  <c r="G12" i="68"/>
  <c r="W12" i="68"/>
  <c r="CB13" i="68"/>
  <c r="AY14" i="68"/>
  <c r="C38" i="68"/>
  <c r="BW38" i="68"/>
  <c r="BW39" i="68"/>
  <c r="E40" i="68"/>
  <c r="BY40" i="68"/>
  <c r="E42" i="68"/>
  <c r="AJ146" i="68"/>
  <c r="AI140" i="68"/>
  <c r="AJ143" i="68"/>
  <c r="V146" i="68"/>
  <c r="V143" i="68"/>
  <c r="AX143" i="68"/>
  <c r="AX146" i="68"/>
  <c r="BC152" i="68"/>
  <c r="BB151" i="68"/>
  <c r="M15" i="58"/>
  <c r="L14" i="58"/>
  <c r="L60" i="58" s="1"/>
  <c r="D20" i="9"/>
  <c r="H20" i="9"/>
  <c r="F23" i="9"/>
  <c r="I19" i="9"/>
  <c r="Q29" i="68"/>
  <c r="H46" i="9"/>
  <c r="C63" i="9"/>
  <c r="G63" i="9"/>
  <c r="D76" i="9"/>
  <c r="H76" i="9"/>
  <c r="I143" i="9"/>
  <c r="I98" i="112" s="1"/>
  <c r="M143" i="9"/>
  <c r="M98" i="112" s="1"/>
  <c r="J145" i="9"/>
  <c r="K19" i="68"/>
  <c r="AK19" i="68"/>
  <c r="Q9" i="68"/>
  <c r="AA20" i="68"/>
  <c r="S10" i="68"/>
  <c r="S21" i="68" s="1"/>
  <c r="AC21" i="68"/>
  <c r="AQ21" i="68"/>
  <c r="K22" i="68"/>
  <c r="CJ12" i="68"/>
  <c r="AF13" i="68"/>
  <c r="BD13" i="68"/>
  <c r="AJ23" i="68"/>
  <c r="BP23" i="68"/>
  <c r="AZ23" i="68"/>
  <c r="BW14" i="68"/>
  <c r="BW23" i="68" s="1"/>
  <c r="CD23" i="68"/>
  <c r="M17" i="68"/>
  <c r="C37" i="68"/>
  <c r="E38" i="68"/>
  <c r="C41" i="68"/>
  <c r="CG41" i="68"/>
  <c r="BW42" i="68"/>
  <c r="R146" i="68"/>
  <c r="R143" i="68"/>
  <c r="AP143" i="68"/>
  <c r="AP146" i="68"/>
  <c r="S28" i="68"/>
  <c r="AA47" i="68" s="1"/>
  <c r="S29" i="68"/>
  <c r="S31" i="68"/>
  <c r="P33" i="68"/>
  <c r="W33" i="68"/>
  <c r="C34" i="68"/>
  <c r="AI34" i="68"/>
  <c r="AY34" i="68"/>
  <c r="CG34" i="68"/>
  <c r="K37" i="68"/>
  <c r="AC37" i="68"/>
  <c r="AQ37" i="68"/>
  <c r="BW37" i="68"/>
  <c r="AK38" i="68"/>
  <c r="BA38" i="68"/>
  <c r="CE38" i="68"/>
  <c r="M39" i="68"/>
  <c r="T39" i="68"/>
  <c r="AA39" i="68"/>
  <c r="BY39" i="68"/>
  <c r="AI40" i="68"/>
  <c r="AY40" i="68"/>
  <c r="CG40" i="68"/>
  <c r="K41" i="68"/>
  <c r="AC41" i="68"/>
  <c r="AQ41" i="68"/>
  <c r="BW41" i="68"/>
  <c r="AK42" i="68"/>
  <c r="BA42" i="68"/>
  <c r="CE42" i="68"/>
  <c r="B43" i="68"/>
  <c r="AH43" i="68"/>
  <c r="AX43" i="68"/>
  <c r="BY46" i="68"/>
  <c r="CG46" i="68"/>
  <c r="M48" i="68"/>
  <c r="T48" i="68"/>
  <c r="BW48" i="68"/>
  <c r="CE48" i="68"/>
  <c r="AB49" i="68"/>
  <c r="AY49" i="68"/>
  <c r="BY50" i="68"/>
  <c r="CG50" i="68"/>
  <c r="AX52" i="68"/>
  <c r="AK96" i="68"/>
  <c r="AB97" i="68"/>
  <c r="AJ97" i="68"/>
  <c r="AS97" i="68"/>
  <c r="AR101" i="68"/>
  <c r="AA102" i="68"/>
  <c r="AB103" i="68"/>
  <c r="AC104" i="68"/>
  <c r="AY105" i="68"/>
  <c r="BB116" i="68"/>
  <c r="AS117" i="68"/>
  <c r="BB117" i="68"/>
  <c r="AS118" i="68"/>
  <c r="BB118" i="68"/>
  <c r="BK118" i="68"/>
  <c r="BB119" i="68"/>
  <c r="AD120" i="68"/>
  <c r="AU120" i="68"/>
  <c r="S123" i="68"/>
  <c r="AA123" i="68"/>
  <c r="BI123" i="68"/>
  <c r="U124" i="68"/>
  <c r="AJ124" i="68"/>
  <c r="BG124" i="68"/>
  <c r="S125" i="68"/>
  <c r="AA125" i="68"/>
  <c r="BI125" i="68"/>
  <c r="AR126" i="68"/>
  <c r="AZ126" i="68"/>
  <c r="BL126" i="68"/>
  <c r="T127" i="68"/>
  <c r="AT127" i="68"/>
  <c r="BF127" i="68"/>
  <c r="BJ127" i="68"/>
  <c r="AA130" i="68"/>
  <c r="AL130" i="68"/>
  <c r="AZ130" i="68"/>
  <c r="AI131" i="68"/>
  <c r="AC132" i="68"/>
  <c r="AJ132" i="68"/>
  <c r="AD133" i="68"/>
  <c r="AR133" i="68"/>
  <c r="AN137" i="68"/>
  <c r="BA139" i="68"/>
  <c r="BA140" i="68" s="1"/>
  <c r="AR140" i="68"/>
  <c r="AV140" i="68" s="1"/>
  <c r="F146" i="68"/>
  <c r="F150" i="68" s="1"/>
  <c r="F151" i="68" s="1"/>
  <c r="AW146" i="68"/>
  <c r="K148" i="68"/>
  <c r="AW171" i="68"/>
  <c r="I35" i="58"/>
  <c r="J36" i="58"/>
  <c r="J37" i="58"/>
  <c r="J38" i="58"/>
  <c r="N57" i="58"/>
  <c r="N5" i="76"/>
  <c r="S26" i="68"/>
  <c r="M34" i="68"/>
  <c r="AC34" i="68"/>
  <c r="AQ34" i="68"/>
  <c r="BW34" i="68"/>
  <c r="BX34" i="68" s="1"/>
  <c r="AK37" i="68"/>
  <c r="BA37" i="68"/>
  <c r="CE37" i="68"/>
  <c r="M38" i="68"/>
  <c r="T38" i="68"/>
  <c r="AA38" i="68"/>
  <c r="BY38" i="68"/>
  <c r="AI39" i="68"/>
  <c r="AY39" i="68"/>
  <c r="CG39" i="68"/>
  <c r="K40" i="68"/>
  <c r="AC40" i="68"/>
  <c r="AQ40" i="68"/>
  <c r="BW40" i="68"/>
  <c r="AK41" i="68"/>
  <c r="BA41" i="68"/>
  <c r="CE41" i="68"/>
  <c r="M42" i="68"/>
  <c r="T42" i="68"/>
  <c r="AA42" i="68"/>
  <c r="BY42" i="68"/>
  <c r="AP43" i="68"/>
  <c r="BV43" i="68"/>
  <c r="M47" i="68"/>
  <c r="T47" i="68"/>
  <c r="BW47" i="68"/>
  <c r="AY48" i="68"/>
  <c r="BY49" i="68"/>
  <c r="M51" i="68"/>
  <c r="T51" i="68"/>
  <c r="BW51" i="68"/>
  <c r="AP52" i="68"/>
  <c r="BG97" i="68"/>
  <c r="AA101" i="68"/>
  <c r="AB102" i="68"/>
  <c r="AC103" i="68"/>
  <c r="AH105" i="68"/>
  <c r="BI120" i="68"/>
  <c r="X123" i="68"/>
  <c r="AB123" i="68"/>
  <c r="AR124" i="68"/>
  <c r="AZ124" i="68"/>
  <c r="AB125" i="68"/>
  <c r="S126" i="68"/>
  <c r="AA126" i="68"/>
  <c r="BI126" i="68"/>
  <c r="Y127" i="68"/>
  <c r="AC127" i="68"/>
  <c r="AY127" i="68"/>
  <c r="AJ131" i="68"/>
  <c r="AD132" i="68"/>
  <c r="AR132" i="68"/>
  <c r="AA133" i="68"/>
  <c r="AZ133" i="68"/>
  <c r="AB134" i="68"/>
  <c r="AT134" i="68"/>
  <c r="BE134" i="68"/>
  <c r="AK137" i="68"/>
  <c r="AK140" i="68" s="1"/>
  <c r="AQ139" i="68"/>
  <c r="AL140" i="68"/>
  <c r="BE140" i="68"/>
  <c r="E142" i="68"/>
  <c r="Z143" i="68"/>
  <c r="AD143" i="68"/>
  <c r="K145" i="68"/>
  <c r="N146" i="68"/>
  <c r="N150" i="68" s="1"/>
  <c r="N151" i="68" s="1"/>
  <c r="AB146" i="68"/>
  <c r="BB146" i="68"/>
  <c r="AS162" i="68"/>
  <c r="L30" i="56"/>
  <c r="J35" i="58"/>
  <c r="CB26" i="68"/>
  <c r="S27" i="68"/>
  <c r="U30" i="68"/>
  <c r="AC49" i="68" s="1"/>
  <c r="U32" i="68"/>
  <c r="CB33" i="68"/>
  <c r="CJ33" i="68"/>
  <c r="E34" i="68"/>
  <c r="AK34" i="68"/>
  <c r="BA34" i="68"/>
  <c r="CE34" i="68"/>
  <c r="CF34" i="68" s="1"/>
  <c r="M37" i="68"/>
  <c r="T37" i="68"/>
  <c r="AA37" i="68"/>
  <c r="AI38" i="68"/>
  <c r="AY38" i="68"/>
  <c r="CG38" i="68"/>
  <c r="K39" i="68"/>
  <c r="AC39" i="68"/>
  <c r="AQ39" i="68"/>
  <c r="AK40" i="68"/>
  <c r="BA40" i="68"/>
  <c r="CE40" i="68"/>
  <c r="M41" i="68"/>
  <c r="T41" i="68"/>
  <c r="AA41" i="68"/>
  <c r="AI42" i="68"/>
  <c r="AY42" i="68"/>
  <c r="CG42" i="68"/>
  <c r="R43" i="68"/>
  <c r="CD43" i="68"/>
  <c r="M46" i="68"/>
  <c r="T46" i="68"/>
  <c r="AY47" i="68"/>
  <c r="BY48" i="68"/>
  <c r="M50" i="68"/>
  <c r="T50" i="68"/>
  <c r="AY51" i="68"/>
  <c r="BK93" i="68"/>
  <c r="AR103" i="68"/>
  <c r="AK116" i="68"/>
  <c r="AV116" i="68"/>
  <c r="AV117" i="68"/>
  <c r="BD117" i="68"/>
  <c r="AK118" i="68"/>
  <c r="AV118" i="68"/>
  <c r="BD118" i="68"/>
  <c r="AW122" i="68"/>
  <c r="U123" i="68"/>
  <c r="AJ123" i="68"/>
  <c r="BG123" i="68"/>
  <c r="S124" i="68"/>
  <c r="AA124" i="68"/>
  <c r="BI124" i="68"/>
  <c r="U125" i="68"/>
  <c r="BG125" i="68"/>
  <c r="X126" i="68"/>
  <c r="AB126" i="68"/>
  <c r="AT126" i="68"/>
  <c r="V127" i="68"/>
  <c r="Z127" i="68"/>
  <c r="AR127" i="68"/>
  <c r="BH127" i="68"/>
  <c r="AJ130" i="68"/>
  <c r="AD131" i="68"/>
  <c r="AA132" i="68"/>
  <c r="AL132" i="68"/>
  <c r="AZ132" i="68"/>
  <c r="AT133" i="68"/>
  <c r="S139" i="68"/>
  <c r="S140" i="68" s="1"/>
  <c r="AY139" i="68"/>
  <c r="AY140" i="68" s="1"/>
  <c r="BC139" i="68"/>
  <c r="AT140" i="68"/>
  <c r="AT146" i="68" s="1"/>
  <c r="AW143" i="68"/>
  <c r="L3" i="58"/>
  <c r="L5" i="58"/>
  <c r="L6" i="58"/>
  <c r="N23" i="58"/>
  <c r="M50" i="58"/>
  <c r="U27" i="68"/>
  <c r="BD33" i="68"/>
  <c r="AI37" i="68"/>
  <c r="AY37" i="68"/>
  <c r="K38" i="68"/>
  <c r="AC38" i="68"/>
  <c r="AQ38" i="68"/>
  <c r="AK39" i="68"/>
  <c r="BA39" i="68"/>
  <c r="M40" i="68"/>
  <c r="T40" i="68"/>
  <c r="AA40" i="68"/>
  <c r="AI41" i="68"/>
  <c r="AY41" i="68"/>
  <c r="K42" i="68"/>
  <c r="AC42" i="68"/>
  <c r="AQ42" i="68"/>
  <c r="Z43" i="68"/>
  <c r="AY46" i="68"/>
  <c r="M49" i="68"/>
  <c r="AY50" i="68"/>
  <c r="AV94" i="68"/>
  <c r="BD95" i="68"/>
  <c r="BI97" i="68"/>
  <c r="AA103" i="68"/>
  <c r="AB104" i="68"/>
  <c r="AS120" i="68"/>
  <c r="BG120" i="68"/>
  <c r="BL120" i="68"/>
  <c r="AR123" i="68"/>
  <c r="U126" i="68"/>
  <c r="AJ126" i="68"/>
  <c r="BG126" i="68"/>
  <c r="AA131" i="68"/>
  <c r="P136" i="68"/>
  <c r="AC140" i="68"/>
  <c r="AC146" i="68" s="1"/>
  <c r="AQ162" i="68"/>
  <c r="AQ171" i="68" s="1"/>
  <c r="M6" i="58"/>
  <c r="M57" i="58"/>
  <c r="M3" i="76"/>
  <c r="M6" i="76"/>
  <c r="I33" i="76"/>
  <c r="K22" i="9"/>
  <c r="K40" i="9"/>
  <c r="AG95" i="68"/>
  <c r="AB197" i="68" s="1"/>
  <c r="AO95" i="68"/>
  <c r="AO118" i="68"/>
  <c r="K49" i="9"/>
  <c r="F71" i="56"/>
  <c r="K19" i="56"/>
  <c r="K38" i="56" s="1"/>
  <c r="M31" i="56"/>
  <c r="H8" i="56"/>
  <c r="H9" i="56"/>
  <c r="J26" i="56"/>
  <c r="H71" i="56"/>
  <c r="N30" i="56"/>
  <c r="B71" i="56"/>
  <c r="N31" i="56"/>
  <c r="D71" i="56"/>
  <c r="M129" i="56"/>
  <c r="L26" i="56"/>
  <c r="G21" i="9"/>
  <c r="H40" i="9"/>
  <c r="I47" i="9"/>
  <c r="Q30" i="68"/>
  <c r="O30" i="68" s="1"/>
  <c r="F19" i="9"/>
  <c r="G20" i="9"/>
  <c r="H21" i="9"/>
  <c r="J47" i="9"/>
  <c r="L6" i="76"/>
  <c r="H23" i="9"/>
  <c r="G39" i="9"/>
  <c r="I8" i="68"/>
  <c r="G8" i="68" s="1"/>
  <c r="H8" i="68" s="1"/>
  <c r="AG94" i="68"/>
  <c r="AO94" i="68"/>
  <c r="C19" i="9"/>
  <c r="G19" i="9"/>
  <c r="K19" i="9"/>
  <c r="I36" i="9"/>
  <c r="J37" i="9"/>
  <c r="H39" i="9"/>
  <c r="J40" i="9"/>
  <c r="J46" i="9"/>
  <c r="I49" i="9"/>
  <c r="AG8" i="68"/>
  <c r="AE8" i="68" s="1"/>
  <c r="AF8" i="68" s="1"/>
  <c r="I11" i="68"/>
  <c r="G11" i="68" s="1"/>
  <c r="H11" i="68" s="1"/>
  <c r="I29" i="68"/>
  <c r="G29" i="68" s="1"/>
  <c r="AO117" i="68"/>
  <c r="M3" i="58"/>
  <c r="I25" i="76"/>
  <c r="K14" i="9"/>
  <c r="G23" i="9"/>
  <c r="AG29" i="68"/>
  <c r="AE29" i="68" s="1"/>
  <c r="B14" i="9"/>
  <c r="G18" i="9"/>
  <c r="H34" i="9"/>
  <c r="G37" i="9"/>
  <c r="K37" i="9"/>
  <c r="H38" i="9"/>
  <c r="H48" i="9"/>
  <c r="AU12" i="68"/>
  <c r="AV12" i="68" s="1"/>
  <c r="E6" i="9"/>
  <c r="F6" i="9"/>
  <c r="F34" i="9" s="1"/>
  <c r="CA29" i="68"/>
  <c r="CA48" i="68" s="1"/>
  <c r="CA10" i="68"/>
  <c r="CK39" i="68"/>
  <c r="CK21" i="68"/>
  <c r="AF163" i="68"/>
  <c r="AM163" i="68"/>
  <c r="AF136" i="68"/>
  <c r="AM136" i="68"/>
  <c r="CI6" i="68"/>
  <c r="CJ6" i="68" s="1"/>
  <c r="CA11" i="68"/>
  <c r="CA30" i="68"/>
  <c r="CA49" i="68" s="1"/>
  <c r="CC40" i="68"/>
  <c r="AN136" i="68"/>
  <c r="AF168" i="68"/>
  <c r="AM168" i="68"/>
  <c r="CK22" i="68"/>
  <c r="Y22" i="68"/>
  <c r="CA27" i="68"/>
  <c r="CA46" i="68" s="1"/>
  <c r="CA28" i="68"/>
  <c r="CB28" i="68" s="1"/>
  <c r="AM164" i="68"/>
  <c r="CA7" i="68"/>
  <c r="CC18" i="68"/>
  <c r="AO170" i="68"/>
  <c r="CI7" i="68"/>
  <c r="CK18" i="68"/>
  <c r="CC50" i="68"/>
  <c r="CA31" i="68"/>
  <c r="CC41" i="68"/>
  <c r="CC34" i="68"/>
  <c r="CC14" i="68"/>
  <c r="CC23" i="68" s="1"/>
  <c r="CA6" i="68"/>
  <c r="CC37" i="68"/>
  <c r="AN33" i="68"/>
  <c r="AS33" i="68"/>
  <c r="CC20" i="68"/>
  <c r="CA9" i="68"/>
  <c r="CK49" i="68"/>
  <c r="CI30" i="68"/>
  <c r="CC51" i="68"/>
  <c r="CC42" i="68"/>
  <c r="CA32" i="68"/>
  <c r="CK51" i="68"/>
  <c r="CK42" i="68"/>
  <c r="CI32" i="68"/>
  <c r="CC19" i="68"/>
  <c r="CA8" i="68"/>
  <c r="CI8" i="68"/>
  <c r="CK19" i="68"/>
  <c r="CK20" i="68"/>
  <c r="CK17" i="68"/>
  <c r="CK46" i="68"/>
  <c r="CK37" i="68"/>
  <c r="CI27" i="68"/>
  <c r="CK47" i="68"/>
  <c r="CK38" i="68"/>
  <c r="CI28" i="68"/>
  <c r="CK34" i="68"/>
  <c r="CS52" i="68" s="1"/>
  <c r="CK40" i="68"/>
  <c r="CK50" i="68"/>
  <c r="CK41" i="68"/>
  <c r="CK48" i="68"/>
  <c r="CC38" i="68"/>
  <c r="AN166" i="68"/>
  <c r="AN167" i="68"/>
  <c r="AE166" i="68"/>
  <c r="AE167" i="68"/>
  <c r="I34" i="9"/>
  <c r="M5" i="56"/>
  <c r="L182" i="56"/>
  <c r="C71" i="56"/>
  <c r="G71" i="56"/>
  <c r="M71" i="56"/>
  <c r="L5" i="56"/>
  <c r="M182" i="56"/>
  <c r="M9" i="56"/>
  <c r="E71" i="56"/>
  <c r="K71" i="56"/>
  <c r="K118" i="56"/>
  <c r="L8" i="56"/>
  <c r="M8" i="56"/>
  <c r="L9" i="56"/>
  <c r="L71" i="56"/>
  <c r="AO18" i="68"/>
  <c r="AM7" i="68"/>
  <c r="AT38" i="68" s="1"/>
  <c r="AW14" i="68"/>
  <c r="AO9" i="68"/>
  <c r="AW20" i="68" s="1"/>
  <c r="R38" i="9"/>
  <c r="BU96" i="68"/>
  <c r="N41" i="9"/>
  <c r="AO10" i="68"/>
  <c r="AW21" i="68" s="1"/>
  <c r="R39" i="9"/>
  <c r="K152" i="9"/>
  <c r="BU17" i="68"/>
  <c r="BE17" i="68"/>
  <c r="AW18" i="68"/>
  <c r="BU19" i="68"/>
  <c r="BE19" i="68"/>
  <c r="AW47" i="68"/>
  <c r="AU28" i="68"/>
  <c r="AW38" i="68"/>
  <c r="BE38" i="68"/>
  <c r="BU48" i="68"/>
  <c r="BE34" i="68"/>
  <c r="BC29" i="68"/>
  <c r="AE40" i="68"/>
  <c r="AF30" i="68"/>
  <c r="BE39" i="68"/>
  <c r="BU18" i="68"/>
  <c r="BE18" i="68"/>
  <c r="BU22" i="68"/>
  <c r="BE22" i="68"/>
  <c r="BU46" i="68"/>
  <c r="BC27" i="68"/>
  <c r="BE37" i="68"/>
  <c r="AE38" i="68"/>
  <c r="AF28" i="68"/>
  <c r="BS50" i="68"/>
  <c r="BZ50" i="68"/>
  <c r="BD31" i="68"/>
  <c r="BU51" i="68"/>
  <c r="BE51" i="68"/>
  <c r="BE42" i="68"/>
  <c r="BC32" i="68"/>
  <c r="H152" i="9"/>
  <c r="BC6" i="68"/>
  <c r="BC8" i="68"/>
  <c r="AE10" i="68"/>
  <c r="AE41" i="68" s="1"/>
  <c r="O11" i="68"/>
  <c r="AG22" i="68"/>
  <c r="AN12" i="68"/>
  <c r="AU13" i="68"/>
  <c r="AV13" i="68" s="1"/>
  <c r="AN13" i="68"/>
  <c r="AG38" i="68"/>
  <c r="AU33" i="68"/>
  <c r="BC7" i="68"/>
  <c r="W11" i="68"/>
  <c r="BC11" i="68"/>
  <c r="AW40" i="68"/>
  <c r="AW49" i="68"/>
  <c r="AU30" i="68"/>
  <c r="BC49" i="68" s="1"/>
  <c r="BS49" i="68"/>
  <c r="BZ49" i="68"/>
  <c r="AO50" i="68"/>
  <c r="AM31" i="68"/>
  <c r="AU31" i="68" s="1"/>
  <c r="AO47" i="68"/>
  <c r="BC28" i="68"/>
  <c r="AO49" i="68"/>
  <c r="AG41" i="68"/>
  <c r="AW42" i="68"/>
  <c r="AO38" i="68"/>
  <c r="AM47" i="68"/>
  <c r="BB47" i="68"/>
  <c r="AT47" i="68"/>
  <c r="AS28" i="68"/>
  <c r="BU47" i="68"/>
  <c r="BE47" i="68"/>
  <c r="AM49" i="68"/>
  <c r="BB49" i="68"/>
  <c r="AT49" i="68"/>
  <c r="AS30" i="68"/>
  <c r="BU49" i="68"/>
  <c r="BE49" i="68"/>
  <c r="AW41" i="68"/>
  <c r="AW50" i="68"/>
  <c r="AN28" i="68"/>
  <c r="AN30" i="68"/>
  <c r="AF31" i="68"/>
  <c r="BU50" i="68"/>
  <c r="BE50" i="68"/>
  <c r="AG40" i="68"/>
  <c r="AF96" i="68"/>
  <c r="AF198" i="68" s="1"/>
  <c r="AM96" i="68"/>
  <c r="AN96" i="68"/>
  <c r="AG104" i="68"/>
  <c r="AO104" i="68"/>
  <c r="O179" i="56"/>
  <c r="F17" i="9"/>
  <c r="D14" i="9"/>
  <c r="J30" i="9"/>
  <c r="E14" i="9"/>
  <c r="G35" i="9"/>
  <c r="E17" i="9"/>
  <c r="I35" i="9"/>
  <c r="G45" i="9"/>
  <c r="AO93" i="68"/>
  <c r="J14" i="9"/>
  <c r="C17" i="9"/>
  <c r="G17" i="9"/>
  <c r="K17" i="9"/>
  <c r="F35" i="9"/>
  <c r="J35" i="9"/>
  <c r="J45" i="9"/>
  <c r="Q6" i="68"/>
  <c r="F14" i="9"/>
  <c r="D17" i="9"/>
  <c r="H17" i="9"/>
  <c r="AG116" i="68"/>
  <c r="AD222" i="68" s="1"/>
  <c r="AG26" i="68"/>
  <c r="AE26" i="68" s="1"/>
  <c r="AF26" i="68" s="1"/>
  <c r="I17" i="9"/>
  <c r="I30" i="9"/>
  <c r="AG93" i="68"/>
  <c r="J17" i="9"/>
  <c r="AG6" i="68"/>
  <c r="F47" i="9"/>
  <c r="N40" i="9"/>
  <c r="N20" i="58"/>
  <c r="N50" i="58"/>
  <c r="P50" i="9"/>
  <c r="BY133" i="68"/>
  <c r="M19" i="56"/>
  <c r="L19" i="56"/>
  <c r="L38" i="56" s="1"/>
  <c r="F38" i="9"/>
  <c r="E41" i="9"/>
  <c r="O53" i="58"/>
  <c r="O23" i="58"/>
  <c r="F48" i="9"/>
  <c r="G48" i="9"/>
  <c r="D36" i="9"/>
  <c r="G47" i="9"/>
  <c r="E36" i="9"/>
  <c r="E48" i="9"/>
  <c r="E39" i="9"/>
  <c r="D39" i="9"/>
  <c r="F41" i="9"/>
  <c r="D47" i="9"/>
  <c r="F50" i="9"/>
  <c r="F36" i="9"/>
  <c r="E47" i="9"/>
  <c r="F39" i="9"/>
  <c r="N6" i="76"/>
  <c r="N54" i="58" l="1"/>
  <c r="P158" i="56"/>
  <c r="Q99" i="9"/>
  <c r="Q102" i="9" s="1"/>
  <c r="M84" i="9"/>
  <c r="R93" i="9"/>
  <c r="Q97" i="9"/>
  <c r="P93" i="9"/>
  <c r="O93" i="9"/>
  <c r="Q72" i="111"/>
  <c r="Q74" i="111" s="1"/>
  <c r="K93" i="9"/>
  <c r="I84" i="9"/>
  <c r="J93" i="9"/>
  <c r="N93" i="9"/>
  <c r="P114" i="56"/>
  <c r="G41" i="9"/>
  <c r="G50" i="9"/>
  <c r="F67" i="111"/>
  <c r="F69" i="111" s="1"/>
  <c r="K67" i="111"/>
  <c r="K69" i="111" s="1"/>
  <c r="J67" i="111"/>
  <c r="J69" i="111" s="1"/>
  <c r="Y145" i="68"/>
  <c r="B97" i="112"/>
  <c r="J66" i="56"/>
  <c r="M18" i="56"/>
  <c r="M38" i="56"/>
  <c r="M42" i="56" s="1"/>
  <c r="K20" i="56"/>
  <c r="K18" i="56"/>
  <c r="L20" i="56"/>
  <c r="L18" i="56"/>
  <c r="M20" i="56"/>
  <c r="R75" i="56"/>
  <c r="C97" i="112"/>
  <c r="H97" i="112"/>
  <c r="D97" i="112"/>
  <c r="E97" i="112"/>
  <c r="E90" i="9"/>
  <c r="E67" i="111"/>
  <c r="E69" i="111" s="1"/>
  <c r="C90" i="9"/>
  <c r="C67" i="111"/>
  <c r="C69" i="111" s="1"/>
  <c r="D90" i="9"/>
  <c r="D67" i="111"/>
  <c r="D69" i="111" s="1"/>
  <c r="G90" i="9"/>
  <c r="G67" i="111"/>
  <c r="G69" i="111" s="1"/>
  <c r="H90" i="9"/>
  <c r="H67" i="111"/>
  <c r="H69" i="111" s="1"/>
  <c r="B90" i="9"/>
  <c r="B67" i="111"/>
  <c r="B69" i="111" s="1"/>
  <c r="D207" i="68"/>
  <c r="E206" i="68"/>
  <c r="AG195" i="68"/>
  <c r="Z195" i="68"/>
  <c r="AA195" i="68"/>
  <c r="AC195" i="68"/>
  <c r="AK103" i="68"/>
  <c r="AL104" i="68"/>
  <c r="AD198" i="68"/>
  <c r="AG224" i="68"/>
  <c r="Z224" i="68"/>
  <c r="E232" i="68" s="1"/>
  <c r="AB224" i="68"/>
  <c r="AC224" i="68"/>
  <c r="BB103" i="68"/>
  <c r="AD224" i="68"/>
  <c r="AA223" i="68"/>
  <c r="AG196" i="68"/>
  <c r="AC196" i="68"/>
  <c r="Z196" i="68"/>
  <c r="AA196" i="68"/>
  <c r="AD102" i="68"/>
  <c r="AD196" i="68"/>
  <c r="BC94" i="68"/>
  <c r="BC102" i="68" s="1"/>
  <c r="AA222" i="68"/>
  <c r="AG197" i="68"/>
  <c r="AA197" i="68"/>
  <c r="Z197" i="68"/>
  <c r="AC197" i="68"/>
  <c r="AK133" i="68"/>
  <c r="AG223" i="68"/>
  <c r="AC223" i="68"/>
  <c r="AB223" i="68"/>
  <c r="Z223" i="68"/>
  <c r="E231" i="68" s="1"/>
  <c r="BD133" i="68"/>
  <c r="BC93" i="68"/>
  <c r="BD93" i="68" s="1"/>
  <c r="AB196" i="68"/>
  <c r="AK102" i="68"/>
  <c r="AL101" i="68"/>
  <c r="AD195" i="68"/>
  <c r="BU103" i="68"/>
  <c r="BC96" i="68"/>
  <c r="BC104" i="68" s="1"/>
  <c r="BB97" i="68"/>
  <c r="BB105" i="68" s="1"/>
  <c r="AB195" i="68"/>
  <c r="AG222" i="68"/>
  <c r="AC222" i="68"/>
  <c r="Z222" i="68"/>
  <c r="E230" i="68" s="1"/>
  <c r="AB222" i="68"/>
  <c r="AK101" i="68"/>
  <c r="AL103" i="68"/>
  <c r="AD197" i="68"/>
  <c r="AR134" i="68"/>
  <c r="AA224" i="68"/>
  <c r="J55" i="56"/>
  <c r="M22" i="9"/>
  <c r="L53" i="58"/>
  <c r="I6" i="76"/>
  <c r="I10" i="76"/>
  <c r="AF117" i="68"/>
  <c r="AG132" i="68"/>
  <c r="N27" i="56"/>
  <c r="CZ160" i="68"/>
  <c r="CY160" i="68"/>
  <c r="AF139" i="68"/>
  <c r="BA151" i="68"/>
  <c r="K42" i="56"/>
  <c r="W7" i="68"/>
  <c r="AE18" i="68" s="1"/>
  <c r="Q18" i="68"/>
  <c r="W50" i="68"/>
  <c r="AG49" i="68"/>
  <c r="AE164" i="68"/>
  <c r="AE160" i="68"/>
  <c r="I38" i="68"/>
  <c r="G38" i="68"/>
  <c r="P152" i="68"/>
  <c r="O21" i="68"/>
  <c r="I41" i="68"/>
  <c r="W49" i="68"/>
  <c r="Q47" i="68"/>
  <c r="D239" i="68"/>
  <c r="AZ105" i="68"/>
  <c r="Y19" i="68"/>
  <c r="AM139" i="68"/>
  <c r="W39" i="68"/>
  <c r="BS95" i="68"/>
  <c r="Y47" i="68"/>
  <c r="O41" i="68"/>
  <c r="AK126" i="68"/>
  <c r="Q21" i="68"/>
  <c r="AO148" i="68"/>
  <c r="AN148" i="68" s="1"/>
  <c r="Q50" i="68"/>
  <c r="Y38" i="68"/>
  <c r="Y18" i="68"/>
  <c r="P10" i="68"/>
  <c r="P21" i="68" s="1"/>
  <c r="Q142" i="68"/>
  <c r="O142" i="68" s="1"/>
  <c r="P142" i="68" s="1"/>
  <c r="I142" i="68"/>
  <c r="G142" i="68" s="1"/>
  <c r="H142" i="68" s="1"/>
  <c r="O50" i="68"/>
  <c r="CC139" i="68"/>
  <c r="CA139" i="68" s="1"/>
  <c r="AG148" i="68"/>
  <c r="AE148" i="68" s="1"/>
  <c r="Q41" i="68"/>
  <c r="Q38" i="68"/>
  <c r="O7" i="68"/>
  <c r="O38" i="68" s="1"/>
  <c r="G152" i="68"/>
  <c r="E151" i="68"/>
  <c r="CK160" i="68"/>
  <c r="CI160" i="68" s="1"/>
  <c r="I154" i="68"/>
  <c r="G154" i="68" s="1"/>
  <c r="H154" i="68" s="1"/>
  <c r="AG47" i="68"/>
  <c r="AD123" i="68"/>
  <c r="Q20" i="68"/>
  <c r="E61" i="112"/>
  <c r="M37" i="9"/>
  <c r="D61" i="112"/>
  <c r="BZ34" i="68"/>
  <c r="BZ43" i="68" s="1"/>
  <c r="M146" i="68"/>
  <c r="M150" i="68" s="1"/>
  <c r="AC134" i="68"/>
  <c r="K143" i="68"/>
  <c r="S127" i="68"/>
  <c r="F61" i="112"/>
  <c r="X33" i="68"/>
  <c r="AE117" i="68"/>
  <c r="AE223" i="68" s="1"/>
  <c r="AG37" i="68"/>
  <c r="C143" i="68"/>
  <c r="S19" i="68"/>
  <c r="D212" i="68"/>
  <c r="AC105" i="68"/>
  <c r="U127" i="68"/>
  <c r="AV125" i="68"/>
  <c r="AV123" i="68"/>
  <c r="V150" i="68"/>
  <c r="V151" i="68" s="1"/>
  <c r="CF192" i="68"/>
  <c r="CF191" i="68"/>
  <c r="BT192" i="68"/>
  <c r="BT191" i="68"/>
  <c r="BX192" i="68"/>
  <c r="BX191" i="68"/>
  <c r="BA134" i="68"/>
  <c r="BD103" i="68"/>
  <c r="AU126" i="68"/>
  <c r="BA103" i="68"/>
  <c r="BA101" i="68"/>
  <c r="AZ191" i="68"/>
  <c r="AZ192" i="68"/>
  <c r="BB102" i="68"/>
  <c r="BD94" i="68"/>
  <c r="AU127" i="68"/>
  <c r="BA130" i="68"/>
  <c r="AR191" i="68"/>
  <c r="AR192" i="68"/>
  <c r="AJ191" i="68"/>
  <c r="AJ192" i="68"/>
  <c r="R150" i="68"/>
  <c r="R151" i="68" s="1"/>
  <c r="AJ150" i="68"/>
  <c r="AJ151" i="68" s="1"/>
  <c r="BC95" i="68"/>
  <c r="BB101" i="68"/>
  <c r="Y39" i="68"/>
  <c r="AF118" i="68"/>
  <c r="AE48" i="68"/>
  <c r="AO132" i="68"/>
  <c r="AG131" i="68"/>
  <c r="AF94" i="68"/>
  <c r="AF95" i="68"/>
  <c r="AG124" i="68"/>
  <c r="AE118" i="68"/>
  <c r="AE224" i="68" s="1"/>
  <c r="AW131" i="68"/>
  <c r="AW102" i="68"/>
  <c r="AM95" i="68"/>
  <c r="AG46" i="68"/>
  <c r="W27" i="68"/>
  <c r="X27" i="68" s="1"/>
  <c r="Y37" i="68"/>
  <c r="L66" i="58"/>
  <c r="M66" i="58" s="1"/>
  <c r="H30" i="9"/>
  <c r="L42" i="56"/>
  <c r="M40" i="9"/>
  <c r="P148" i="68"/>
  <c r="AM160" i="68"/>
  <c r="AJ127" i="68"/>
  <c r="AS101" i="68"/>
  <c r="U39" i="68"/>
  <c r="K151" i="68"/>
  <c r="J17" i="58"/>
  <c r="U41" i="68"/>
  <c r="AS133" i="68"/>
  <c r="J3" i="76"/>
  <c r="AC22" i="68"/>
  <c r="H148" i="68"/>
  <c r="I17" i="58"/>
  <c r="AD104" i="68"/>
  <c r="H12" i="68"/>
  <c r="W127" i="68"/>
  <c r="N58" i="58"/>
  <c r="L27" i="56"/>
  <c r="AC50" i="68"/>
  <c r="AV127" i="68"/>
  <c r="AS126" i="68"/>
  <c r="C151" i="68"/>
  <c r="I12" i="9"/>
  <c r="BA133" i="68"/>
  <c r="AG156" i="68"/>
  <c r="AF156" i="68" s="1"/>
  <c r="AE156" i="68" s="1"/>
  <c r="I156" i="68"/>
  <c r="H156" i="68" s="1"/>
  <c r="G61" i="112"/>
  <c r="N49" i="9"/>
  <c r="AG102" i="68"/>
  <c r="X29" i="68"/>
  <c r="X39" i="68" s="1"/>
  <c r="I3" i="76"/>
  <c r="AE96" i="68"/>
  <c r="AE198" i="68" s="1"/>
  <c r="AD126" i="68"/>
  <c r="AE94" i="68"/>
  <c r="AE196" i="68" s="1"/>
  <c r="Y50" i="68"/>
  <c r="H154" i="9"/>
  <c r="CI50" i="68"/>
  <c r="AI120" i="68"/>
  <c r="AO156" i="68"/>
  <c r="AN156" i="68" s="1"/>
  <c r="AM156" i="68" s="1"/>
  <c r="AA43" i="68"/>
  <c r="BQ105" i="68"/>
  <c r="BK98" i="68"/>
  <c r="AZ4" i="68"/>
  <c r="AR4" i="68"/>
  <c r="BH4" i="68"/>
  <c r="BX4" i="68"/>
  <c r="BO105" i="68"/>
  <c r="BD104" i="68"/>
  <c r="Q156" i="68"/>
  <c r="P156" i="68" s="1"/>
  <c r="CF4" i="68"/>
  <c r="BB104" i="68"/>
  <c r="BB98" i="68"/>
  <c r="AJ4" i="68"/>
  <c r="AK124" i="68"/>
  <c r="AV126" i="68"/>
  <c r="AV98" i="68"/>
  <c r="BA104" i="68"/>
  <c r="AS98" i="68"/>
  <c r="BT4" i="68"/>
  <c r="AC48" i="68"/>
  <c r="CQ145" i="68"/>
  <c r="K27" i="56"/>
  <c r="K29" i="56" s="1"/>
  <c r="K30" i="56" s="1"/>
  <c r="M26" i="56"/>
  <c r="M27" i="56" s="1"/>
  <c r="M30" i="56"/>
  <c r="M32" i="56" s="1"/>
  <c r="J38" i="56"/>
  <c r="I51" i="56"/>
  <c r="W6" i="68"/>
  <c r="M51" i="56"/>
  <c r="M41" i="56"/>
  <c r="M43" i="56"/>
  <c r="K41" i="56"/>
  <c r="K43" i="56"/>
  <c r="K51" i="56"/>
  <c r="L41" i="56"/>
  <c r="L43" i="56"/>
  <c r="L51" i="56"/>
  <c r="N51" i="56"/>
  <c r="N41" i="56"/>
  <c r="N43" i="56"/>
  <c r="CI149" i="68"/>
  <c r="CJ149" i="68"/>
  <c r="Y17" i="68"/>
  <c r="M14" i="68"/>
  <c r="AB23" i="68" s="1"/>
  <c r="AQ23" i="68"/>
  <c r="W21" i="68"/>
  <c r="O8" i="68"/>
  <c r="O19" i="68" s="1"/>
  <c r="O9" i="68"/>
  <c r="O40" i="68" s="1"/>
  <c r="BK124" i="68"/>
  <c r="AN117" i="68"/>
  <c r="CI22" i="68"/>
  <c r="CI21" i="68"/>
  <c r="AG21" i="68"/>
  <c r="Y21" i="68"/>
  <c r="AF19" i="68"/>
  <c r="Q39" i="68"/>
  <c r="C24" i="9"/>
  <c r="CK145" i="68"/>
  <c r="W9" i="68"/>
  <c r="X9" i="68" s="1"/>
  <c r="Y40" i="68"/>
  <c r="CW133" i="68"/>
  <c r="H42" i="68"/>
  <c r="M151" i="68"/>
  <c r="K146" i="68"/>
  <c r="K150" i="68" s="1"/>
  <c r="AC18" i="68"/>
  <c r="L31" i="9"/>
  <c r="CI41" i="68"/>
  <c r="CO133" i="68"/>
  <c r="Y48" i="68"/>
  <c r="M49" i="9"/>
  <c r="L49" i="9"/>
  <c r="D6" i="9"/>
  <c r="Q48" i="68"/>
  <c r="I37" i="68"/>
  <c r="M46" i="9"/>
  <c r="L37" i="9"/>
  <c r="L19" i="9"/>
  <c r="L46" i="9"/>
  <c r="M19" i="9"/>
  <c r="Q19" i="68"/>
  <c r="I39" i="68"/>
  <c r="CS160" i="68"/>
  <c r="CQ160" i="68" s="1"/>
  <c r="CC145" i="68"/>
  <c r="CA145" i="68" s="1"/>
  <c r="CB145" i="68" s="1"/>
  <c r="AG125" i="68"/>
  <c r="AO103" i="68"/>
  <c r="E146" i="68"/>
  <c r="E150" i="68" s="1"/>
  <c r="AF29" i="68"/>
  <c r="H38" i="68"/>
  <c r="I42" i="68"/>
  <c r="AG48" i="68"/>
  <c r="G42" i="68"/>
  <c r="AO125" i="68"/>
  <c r="O29" i="68"/>
  <c r="O48" i="68" s="1"/>
  <c r="BK120" i="68"/>
  <c r="AJ134" i="68"/>
  <c r="BY43" i="68"/>
  <c r="U12" i="68"/>
  <c r="X12" i="68" s="1"/>
  <c r="BK125" i="68"/>
  <c r="L22" i="9"/>
  <c r="S40" i="68"/>
  <c r="E143" i="68"/>
  <c r="AD101" i="68"/>
  <c r="P12" i="68"/>
  <c r="C146" i="68"/>
  <c r="C150" i="68" s="1"/>
  <c r="AD125" i="68"/>
  <c r="L40" i="9"/>
  <c r="BK126" i="68"/>
  <c r="AD103" i="68"/>
  <c r="AA51" i="68"/>
  <c r="AA49" i="68"/>
  <c r="CA47" i="68"/>
  <c r="BK97" i="68"/>
  <c r="AK23" i="68"/>
  <c r="Y20" i="68"/>
  <c r="AN118" i="68"/>
  <c r="E43" i="68"/>
  <c r="Y14" i="68"/>
  <c r="I14" i="68"/>
  <c r="AG103" i="68"/>
  <c r="AE95" i="68"/>
  <c r="AE197" i="68" s="1"/>
  <c r="Y41" i="68"/>
  <c r="X31" i="68"/>
  <c r="X41" i="68" s="1"/>
  <c r="AI23" i="68"/>
  <c r="W41" i="68"/>
  <c r="BL127" i="68"/>
  <c r="AA134" i="68"/>
  <c r="AE50" i="68"/>
  <c r="AG50" i="68"/>
  <c r="I40" i="68"/>
  <c r="Y49" i="68"/>
  <c r="CI48" i="68"/>
  <c r="AO102" i="68"/>
  <c r="Q49" i="68"/>
  <c r="AG39" i="68"/>
  <c r="U143" i="68"/>
  <c r="U146" i="68"/>
  <c r="K17" i="58"/>
  <c r="Q40" i="68"/>
  <c r="K129" i="56"/>
  <c r="AG19" i="68"/>
  <c r="K23" i="68"/>
  <c r="AA22" i="68"/>
  <c r="AO131" i="68"/>
  <c r="AE39" i="68"/>
  <c r="AS123" i="68"/>
  <c r="AL102" i="68"/>
  <c r="S42" i="68"/>
  <c r="D119" i="9"/>
  <c r="AC20" i="68"/>
  <c r="AM117" i="68"/>
  <c r="AO124" i="68"/>
  <c r="AE19" i="68"/>
  <c r="AD124" i="68"/>
  <c r="AA150" i="68"/>
  <c r="AZ134" i="68"/>
  <c r="AZ127" i="68"/>
  <c r="BB120" i="68"/>
  <c r="U47" i="68"/>
  <c r="AC47" i="68"/>
  <c r="U38" i="68"/>
  <c r="CB29" i="68"/>
  <c r="CB48" i="68" s="1"/>
  <c r="CA39" i="68"/>
  <c r="BD126" i="68"/>
  <c r="BA102" i="68"/>
  <c r="AS102" i="68"/>
  <c r="CB27" i="68"/>
  <c r="CB46" i="68" s="1"/>
  <c r="AW132" i="68"/>
  <c r="AM118" i="68"/>
  <c r="AK104" i="68"/>
  <c r="AS104" i="68"/>
  <c r="AA143" i="68"/>
  <c r="AS103" i="68"/>
  <c r="AT150" i="68"/>
  <c r="AK143" i="68"/>
  <c r="AK146" i="68"/>
  <c r="BA143" i="68"/>
  <c r="AY146" i="68"/>
  <c r="AY143" i="68"/>
  <c r="S143" i="68"/>
  <c r="S146" i="68"/>
  <c r="CB30" i="68"/>
  <c r="CB49" i="68" s="1"/>
  <c r="U46" i="68"/>
  <c r="U37" i="68"/>
  <c r="AK125" i="68"/>
  <c r="AK132" i="68"/>
  <c r="AK130" i="68"/>
  <c r="AK123" i="68"/>
  <c r="AK120" i="68"/>
  <c r="BQ52" i="68"/>
  <c r="BA43" i="68"/>
  <c r="AB150" i="68"/>
  <c r="AL143" i="68"/>
  <c r="AL146" i="68"/>
  <c r="AQ52" i="68"/>
  <c r="AQ43" i="68"/>
  <c r="AW150" i="68"/>
  <c r="AU146" i="68"/>
  <c r="AD134" i="68"/>
  <c r="BA132" i="68"/>
  <c r="AS132" i="68"/>
  <c r="AS125" i="68"/>
  <c r="AA97" i="68"/>
  <c r="AB105" i="68"/>
  <c r="AD97" i="68"/>
  <c r="H119" i="9"/>
  <c r="G119" i="9"/>
  <c r="M14" i="58"/>
  <c r="M60" i="58" s="1"/>
  <c r="AI143" i="68"/>
  <c r="AI146" i="68"/>
  <c r="AR105" i="68"/>
  <c r="AR34" i="68"/>
  <c r="AB52" i="68"/>
  <c r="AB43" i="68"/>
  <c r="J90" i="9"/>
  <c r="J85" i="9"/>
  <c r="BO134" i="68"/>
  <c r="BG127" i="68"/>
  <c r="CF52" i="68"/>
  <c r="CF43" i="68"/>
  <c r="AT143" i="68"/>
  <c r="AS140" i="68"/>
  <c r="X127" i="68"/>
  <c r="BD131" i="68"/>
  <c r="AK52" i="68"/>
  <c r="AK43" i="68"/>
  <c r="U51" i="68"/>
  <c r="U42" i="68"/>
  <c r="BQ134" i="68"/>
  <c r="BI127" i="68"/>
  <c r="AC43" i="68"/>
  <c r="AD34" i="68"/>
  <c r="AB127" i="68"/>
  <c r="BB133" i="68"/>
  <c r="BB126" i="68"/>
  <c r="BC119" i="68"/>
  <c r="BB124" i="68"/>
  <c r="BB131" i="68"/>
  <c r="BC117" i="68"/>
  <c r="CG52" i="68"/>
  <c r="CG43" i="68"/>
  <c r="CH34" i="68"/>
  <c r="K52" i="68"/>
  <c r="K43" i="68"/>
  <c r="S50" i="68"/>
  <c r="S41" i="68"/>
  <c r="AP150" i="68"/>
  <c r="C119" i="9"/>
  <c r="AA21" i="68"/>
  <c r="F119" i="9"/>
  <c r="G85" i="9"/>
  <c r="J15" i="76"/>
  <c r="J26" i="76" s="1"/>
  <c r="U17" i="68"/>
  <c r="AG154" i="68"/>
  <c r="J61" i="112"/>
  <c r="K90" i="9"/>
  <c r="K85" i="9"/>
  <c r="AU140" i="68"/>
  <c r="E85" i="9"/>
  <c r="CG23" i="68"/>
  <c r="N32" i="56"/>
  <c r="AC143" i="68"/>
  <c r="BD125" i="68"/>
  <c r="BD132" i="68"/>
  <c r="AV124" i="68"/>
  <c r="CE43" i="68"/>
  <c r="CE52" i="68"/>
  <c r="U49" i="68"/>
  <c r="U40" i="68"/>
  <c r="U34" i="68"/>
  <c r="AC52" i="68" s="1"/>
  <c r="AV171" i="68"/>
  <c r="AU171" i="68"/>
  <c r="AS131" i="68"/>
  <c r="AS124" i="68"/>
  <c r="BA131" i="68"/>
  <c r="BO52" i="68"/>
  <c r="AY52" i="68"/>
  <c r="AY43" i="68"/>
  <c r="AZ34" i="68"/>
  <c r="C43" i="68"/>
  <c r="D34" i="68"/>
  <c r="S48" i="68"/>
  <c r="S39" i="68"/>
  <c r="S34" i="68"/>
  <c r="AC51" i="68"/>
  <c r="Q154" i="68"/>
  <c r="O154" i="68" s="1"/>
  <c r="P154" i="68" s="1"/>
  <c r="H61" i="112"/>
  <c r="H85" i="9"/>
  <c r="BD152" i="68"/>
  <c r="BK123" i="68"/>
  <c r="C85" i="9"/>
  <c r="AH150" i="68"/>
  <c r="F85" i="9"/>
  <c r="F90" i="9"/>
  <c r="T150" i="68"/>
  <c r="AA50" i="68"/>
  <c r="AC46" i="68"/>
  <c r="Y154" i="68"/>
  <c r="I61" i="112"/>
  <c r="AS127" i="68"/>
  <c r="BX43" i="68"/>
  <c r="BX52" i="68"/>
  <c r="S46" i="68"/>
  <c r="S37" i="68"/>
  <c r="BB148" i="68"/>
  <c r="BA148" i="68" s="1"/>
  <c r="BA146" i="68"/>
  <c r="BC140" i="68"/>
  <c r="BD140" i="68" s="1"/>
  <c r="BE143" i="68"/>
  <c r="BC143" i="68" s="1"/>
  <c r="BE146" i="68"/>
  <c r="BW43" i="68"/>
  <c r="BW52" i="68"/>
  <c r="T52" i="68"/>
  <c r="M52" i="68"/>
  <c r="AQ140" i="68"/>
  <c r="AR143" i="68"/>
  <c r="AV143" i="68" s="1"/>
  <c r="AL134" i="68"/>
  <c r="AS130" i="68"/>
  <c r="BB125" i="68"/>
  <c r="BC118" i="68"/>
  <c r="BB132" i="68"/>
  <c r="BB130" i="68"/>
  <c r="BB123" i="68"/>
  <c r="BC116" i="68"/>
  <c r="AJ105" i="68"/>
  <c r="AI97" i="68"/>
  <c r="AA48" i="68"/>
  <c r="AI52" i="68"/>
  <c r="AI43" i="68"/>
  <c r="AJ34" i="68"/>
  <c r="AL34" i="68" s="1"/>
  <c r="S47" i="68"/>
  <c r="S38" i="68"/>
  <c r="AR146" i="68"/>
  <c r="AA46" i="68"/>
  <c r="D85" i="9"/>
  <c r="BC151" i="68"/>
  <c r="AX148" i="68"/>
  <c r="AY148" i="68" s="1"/>
  <c r="BA105" i="68"/>
  <c r="BO23" i="68"/>
  <c r="AY23" i="68"/>
  <c r="X30" i="68"/>
  <c r="AF49" i="68" s="1"/>
  <c r="AH127" i="68"/>
  <c r="AP134" i="68"/>
  <c r="AH134" i="68"/>
  <c r="AK97" i="68"/>
  <c r="AC17" i="68"/>
  <c r="K148" i="9"/>
  <c r="E119" i="9"/>
  <c r="B85" i="9"/>
  <c r="CE23" i="68"/>
  <c r="S17" i="68"/>
  <c r="S14" i="68"/>
  <c r="S23" i="68" s="1"/>
  <c r="J148" i="9"/>
  <c r="CC160" i="68"/>
  <c r="AG162" i="68"/>
  <c r="AW103" i="68"/>
  <c r="AN95" i="68"/>
  <c r="BU167" i="68"/>
  <c r="K30" i="9"/>
  <c r="L45" i="9"/>
  <c r="M14" i="9"/>
  <c r="L17" i="9"/>
  <c r="L129" i="56"/>
  <c r="AO116" i="68"/>
  <c r="K42" i="9"/>
  <c r="Q27" i="68"/>
  <c r="Q46" i="68" s="1"/>
  <c r="H35" i="9"/>
  <c r="H45" i="9"/>
  <c r="AV33" i="68"/>
  <c r="Q22" i="68"/>
  <c r="CA40" i="68"/>
  <c r="AM94" i="68"/>
  <c r="AN94" i="68"/>
  <c r="I45" i="9"/>
  <c r="K24" i="9"/>
  <c r="CI17" i="68"/>
  <c r="B6" i="9"/>
  <c r="CA21" i="68"/>
  <c r="CB10" i="68"/>
  <c r="CB21" i="68" s="1"/>
  <c r="AT18" i="68"/>
  <c r="AU7" i="68"/>
  <c r="AU18" i="68" s="1"/>
  <c r="BB18" i="68"/>
  <c r="CJ41" i="68"/>
  <c r="AN7" i="68"/>
  <c r="AN18" i="68" s="1"/>
  <c r="G40" i="68"/>
  <c r="CA22" i="68"/>
  <c r="CB11" i="68"/>
  <c r="CB22" i="68" s="1"/>
  <c r="H40" i="68"/>
  <c r="AM38" i="68"/>
  <c r="AS7" i="68"/>
  <c r="BA18" i="68" s="1"/>
  <c r="CB47" i="68"/>
  <c r="CA17" i="68"/>
  <c r="CB6" i="68"/>
  <c r="CA14" i="68"/>
  <c r="CA23" i="68" s="1"/>
  <c r="CA50" i="68"/>
  <c r="CA41" i="68"/>
  <c r="CB31" i="68"/>
  <c r="CA37" i="68"/>
  <c r="CK23" i="68"/>
  <c r="CK52" i="68"/>
  <c r="CK43" i="68"/>
  <c r="CI47" i="68"/>
  <c r="CJ28" i="68"/>
  <c r="CI38" i="68"/>
  <c r="CI49" i="68"/>
  <c r="CI40" i="68"/>
  <c r="CJ30" i="68"/>
  <c r="CI18" i="68"/>
  <c r="CJ7" i="68"/>
  <c r="AM170" i="68"/>
  <c r="AN170" i="68"/>
  <c r="BV133" i="68"/>
  <c r="AM18" i="68"/>
  <c r="CI46" i="68"/>
  <c r="CJ27" i="68"/>
  <c r="CI37" i="68"/>
  <c r="CJ8" i="68"/>
  <c r="CJ39" i="68" s="1"/>
  <c r="CI19" i="68"/>
  <c r="CA51" i="68"/>
  <c r="CB32" i="68"/>
  <c r="CA42" i="68"/>
  <c r="CA20" i="68"/>
  <c r="CB9" i="68"/>
  <c r="CB20" i="68" s="1"/>
  <c r="CI39" i="68"/>
  <c r="CC52" i="68"/>
  <c r="CC43" i="68"/>
  <c r="CI20" i="68"/>
  <c r="CA34" i="68"/>
  <c r="CB8" i="68"/>
  <c r="CA19" i="68"/>
  <c r="CI51" i="68"/>
  <c r="CI42" i="68"/>
  <c r="CJ32" i="68"/>
  <c r="CI34" i="68"/>
  <c r="CI14" i="68"/>
  <c r="CA18" i="68"/>
  <c r="CB7" i="68"/>
  <c r="CB18" i="68" s="1"/>
  <c r="CA38" i="68"/>
  <c r="E24" i="9"/>
  <c r="L35" i="9"/>
  <c r="K45" i="9"/>
  <c r="L14" i="9"/>
  <c r="K35" i="9"/>
  <c r="AO41" i="68"/>
  <c r="D24" i="9"/>
  <c r="O177" i="56"/>
  <c r="AG32" i="68"/>
  <c r="AG42" i="68" s="1"/>
  <c r="Y139" i="68"/>
  <c r="X139" i="68" s="1"/>
  <c r="AG119" i="68"/>
  <c r="I118" i="56"/>
  <c r="G6" i="9"/>
  <c r="G34" i="9" s="1"/>
  <c r="M17" i="9"/>
  <c r="J41" i="9"/>
  <c r="J31" i="56"/>
  <c r="J27" i="56"/>
  <c r="J29" i="56" s="1"/>
  <c r="K31" i="56" s="1"/>
  <c r="J50" i="9"/>
  <c r="M118" i="56"/>
  <c r="BR50" i="68"/>
  <c r="AU50" i="68"/>
  <c r="BC50" i="68"/>
  <c r="BS17" i="68"/>
  <c r="BZ17" i="68"/>
  <c r="BD6" i="68"/>
  <c r="BT17" i="68" s="1"/>
  <c r="O49" i="68"/>
  <c r="P30" i="68"/>
  <c r="G41" i="68"/>
  <c r="H31" i="68"/>
  <c r="AU104" i="68"/>
  <c r="W47" i="68"/>
  <c r="X28" i="68"/>
  <c r="AF47" i="68" s="1"/>
  <c r="AE21" i="68"/>
  <c r="AF10" i="68"/>
  <c r="AF21" i="68" s="1"/>
  <c r="G39" i="68"/>
  <c r="H29" i="68"/>
  <c r="H39" i="68" s="1"/>
  <c r="AE47" i="68"/>
  <c r="BS48" i="68"/>
  <c r="BZ48" i="68"/>
  <c r="BC39" i="68"/>
  <c r="BD29" i="68"/>
  <c r="BC34" i="68"/>
  <c r="AO21" i="68"/>
  <c r="AM10" i="68"/>
  <c r="AM41" i="68" s="1"/>
  <c r="BU104" i="68"/>
  <c r="BS96" i="68"/>
  <c r="BU126" i="68"/>
  <c r="AV104" i="68"/>
  <c r="AN104" i="68"/>
  <c r="AF104" i="68"/>
  <c r="AN49" i="68"/>
  <c r="BA47" i="68"/>
  <c r="AS47" i="68"/>
  <c r="BR49" i="68"/>
  <c r="AU49" i="68"/>
  <c r="AV30" i="68"/>
  <c r="BS22" i="68"/>
  <c r="BZ22" i="68"/>
  <c r="BD11" i="68"/>
  <c r="BS18" i="68"/>
  <c r="BZ18" i="68"/>
  <c r="BD7" i="68"/>
  <c r="O47" i="68"/>
  <c r="P28" i="68"/>
  <c r="BS19" i="68"/>
  <c r="BZ19" i="68"/>
  <c r="BD8" i="68"/>
  <c r="BT19" i="68" s="1"/>
  <c r="BS51" i="68"/>
  <c r="BC42" i="68"/>
  <c r="BZ51" i="68"/>
  <c r="BD32" i="68"/>
  <c r="BT50" i="68"/>
  <c r="AF40" i="68"/>
  <c r="BU52" i="68"/>
  <c r="BR47" i="68"/>
  <c r="AU47" i="68"/>
  <c r="AV28" i="68"/>
  <c r="S39" i="9"/>
  <c r="CC96" i="68"/>
  <c r="O41" i="9"/>
  <c r="O23" i="9"/>
  <c r="CK96" i="68"/>
  <c r="AO20" i="68"/>
  <c r="AO40" i="68"/>
  <c r="AM9" i="68"/>
  <c r="AN47" i="68"/>
  <c r="BA49" i="68"/>
  <c r="AS49" i="68"/>
  <c r="BS47" i="68"/>
  <c r="BC47" i="68"/>
  <c r="BZ47" i="68"/>
  <c r="BC38" i="68"/>
  <c r="BD28" i="68"/>
  <c r="AM50" i="68"/>
  <c r="BB50" i="68"/>
  <c r="AT50" i="68"/>
  <c r="AS31" i="68"/>
  <c r="AV31" i="68" s="1"/>
  <c r="AN31" i="68"/>
  <c r="W22" i="68"/>
  <c r="AE22" i="68"/>
  <c r="X11" i="68"/>
  <c r="P11" i="68"/>
  <c r="P22" i="68" s="1"/>
  <c r="O22" i="68"/>
  <c r="AF38" i="68"/>
  <c r="BS46" i="68"/>
  <c r="BZ46" i="68"/>
  <c r="BC37" i="68"/>
  <c r="BD27" i="68"/>
  <c r="S38" i="9"/>
  <c r="K175" i="56"/>
  <c r="AG97" i="68"/>
  <c r="AE93" i="68"/>
  <c r="AE195" i="68" s="1"/>
  <c r="AG101" i="68"/>
  <c r="AF93" i="68"/>
  <c r="AF195" i="68" s="1"/>
  <c r="H24" i="9"/>
  <c r="G24" i="9"/>
  <c r="AG123" i="68"/>
  <c r="AE116" i="68"/>
  <c r="AG130" i="68"/>
  <c r="AF116" i="68"/>
  <c r="AF222" i="68" s="1"/>
  <c r="H6" i="68"/>
  <c r="G14" i="68"/>
  <c r="Y32" i="68"/>
  <c r="I41" i="9"/>
  <c r="G37" i="68"/>
  <c r="H27" i="68"/>
  <c r="Q14" i="68"/>
  <c r="Q17" i="68"/>
  <c r="O6" i="68"/>
  <c r="AO97" i="68"/>
  <c r="AW101" i="68"/>
  <c r="AN93" i="68"/>
  <c r="AM93" i="68"/>
  <c r="AO101" i="68"/>
  <c r="AF27" i="68"/>
  <c r="AE6" i="68"/>
  <c r="AG17" i="68"/>
  <c r="AG14" i="68"/>
  <c r="F24" i="9"/>
  <c r="J42" i="9"/>
  <c r="BU132" i="68"/>
  <c r="BS118" i="68"/>
  <c r="BU125" i="68"/>
  <c r="P36" i="58"/>
  <c r="P37" i="58"/>
  <c r="O50" i="58"/>
  <c r="O58" i="58" s="1"/>
  <c r="O20" i="58"/>
  <c r="Q29" i="58"/>
  <c r="P38" i="58"/>
  <c r="N3" i="58"/>
  <c r="N9" i="9"/>
  <c r="Q50" i="9"/>
  <c r="P53" i="58"/>
  <c r="P23" i="58"/>
  <c r="CG133" i="68"/>
  <c r="I70" i="56"/>
  <c r="N70" i="56"/>
  <c r="Q31" i="58" l="1"/>
  <c r="Q108" i="9"/>
  <c r="Q118" i="9" s="1"/>
  <c r="R72" i="111"/>
  <c r="R74" i="111" s="1"/>
  <c r="K97" i="9"/>
  <c r="J97" i="9"/>
  <c r="R97" i="9"/>
  <c r="R99" i="9"/>
  <c r="I44" i="113"/>
  <c r="I43" i="113"/>
  <c r="K99" i="9"/>
  <c r="K102" i="9" s="1"/>
  <c r="J99" i="9"/>
  <c r="J102" i="9" s="1"/>
  <c r="J72" i="111"/>
  <c r="J74" i="111" s="1"/>
  <c r="P72" i="111"/>
  <c r="P74" i="111" s="1"/>
  <c r="P97" i="9"/>
  <c r="P99" i="9"/>
  <c r="M93" i="9"/>
  <c r="N72" i="111"/>
  <c r="N74" i="111" s="1"/>
  <c r="N99" i="9"/>
  <c r="N97" i="9"/>
  <c r="K72" i="111"/>
  <c r="K74" i="111" s="1"/>
  <c r="K81" i="111" s="1"/>
  <c r="O72" i="111"/>
  <c r="O74" i="111" s="1"/>
  <c r="O97" i="9"/>
  <c r="O99" i="9"/>
  <c r="C91" i="9"/>
  <c r="E96" i="9"/>
  <c r="D98" i="9"/>
  <c r="H91" i="9"/>
  <c r="K170" i="56"/>
  <c r="K177" i="56" s="1"/>
  <c r="K45" i="113"/>
  <c r="H43" i="113"/>
  <c r="H44" i="113"/>
  <c r="H96" i="112"/>
  <c r="H107" i="112" s="1"/>
  <c r="B96" i="112"/>
  <c r="B107" i="112" s="1"/>
  <c r="C96" i="112"/>
  <c r="E96" i="112"/>
  <c r="D96" i="112"/>
  <c r="D107" i="112" s="1"/>
  <c r="H155" i="9"/>
  <c r="N33" i="56"/>
  <c r="I38" i="56"/>
  <c r="I18" i="56"/>
  <c r="J20" i="56"/>
  <c r="J18" i="56"/>
  <c r="I20" i="56"/>
  <c r="D96" i="9"/>
  <c r="Q32" i="58"/>
  <c r="Q39" i="58" s="1"/>
  <c r="R27" i="58"/>
  <c r="E98" i="9"/>
  <c r="H96" i="9"/>
  <c r="E91" i="9"/>
  <c r="H98" i="9"/>
  <c r="C98" i="9"/>
  <c r="D91" i="9"/>
  <c r="B98" i="9"/>
  <c r="C96" i="9"/>
  <c r="B91" i="9"/>
  <c r="B96" i="9"/>
  <c r="G98" i="9"/>
  <c r="G96" i="9"/>
  <c r="G91" i="9"/>
  <c r="BC97" i="68"/>
  <c r="BC105" i="68" s="1"/>
  <c r="E203" i="68"/>
  <c r="E204" i="68"/>
  <c r="E205" i="68"/>
  <c r="BC101" i="68"/>
  <c r="AG199" i="68"/>
  <c r="AC199" i="68"/>
  <c r="Z199" i="68"/>
  <c r="AB199" i="68"/>
  <c r="AS105" i="68"/>
  <c r="AG249" i="68"/>
  <c r="AD249" i="68"/>
  <c r="Z249" i="68"/>
  <c r="E253" i="68" s="1"/>
  <c r="AB249" i="68"/>
  <c r="AA249" i="68"/>
  <c r="AC249" i="68"/>
  <c r="AS134" i="68"/>
  <c r="Y249" i="68"/>
  <c r="T249" i="68"/>
  <c r="V249" i="68"/>
  <c r="R249" i="68"/>
  <c r="D253" i="68" s="1"/>
  <c r="U249" i="68"/>
  <c r="S249" i="68"/>
  <c r="AE222" i="68"/>
  <c r="AG225" i="68"/>
  <c r="Z225" i="68"/>
  <c r="E233" i="68" s="1"/>
  <c r="AC225" i="68"/>
  <c r="AB225" i="68"/>
  <c r="AD225" i="68"/>
  <c r="AA225" i="68"/>
  <c r="AA199" i="68"/>
  <c r="BC98" i="68"/>
  <c r="BS103" i="68"/>
  <c r="AQ134" i="68"/>
  <c r="AF224" i="68"/>
  <c r="AD127" i="68"/>
  <c r="AD199" i="68"/>
  <c r="AF197" i="68"/>
  <c r="AF196" i="68"/>
  <c r="BD124" i="68"/>
  <c r="AF223" i="68"/>
  <c r="L50" i="58"/>
  <c r="M58" i="58" s="1"/>
  <c r="AF131" i="68"/>
  <c r="AN131" i="68"/>
  <c r="O54" i="58"/>
  <c r="BD151" i="68"/>
  <c r="X7" i="68"/>
  <c r="X38" i="68" s="1"/>
  <c r="W38" i="68"/>
  <c r="J42" i="56"/>
  <c r="AV131" i="68"/>
  <c r="CJ160" i="68"/>
  <c r="BT95" i="68"/>
  <c r="W18" i="68"/>
  <c r="P41" i="68"/>
  <c r="X21" i="68"/>
  <c r="O18" i="68"/>
  <c r="P7" i="68"/>
  <c r="P18" i="68" s="1"/>
  <c r="BE10" i="68"/>
  <c r="BU21" i="68" s="1"/>
  <c r="BE9" i="68"/>
  <c r="BU20" i="68" s="1"/>
  <c r="H41" i="9"/>
  <c r="AM148" i="68"/>
  <c r="AF148" i="68"/>
  <c r="L50" i="9"/>
  <c r="L70" i="58"/>
  <c r="M70" i="58" s="1"/>
  <c r="L69" i="58"/>
  <c r="M69" i="58" s="1"/>
  <c r="L68" i="58"/>
  <c r="M68" i="58" s="1"/>
  <c r="H50" i="9"/>
  <c r="Q32" i="68"/>
  <c r="Q34" i="68" s="1"/>
  <c r="I50" i="9"/>
  <c r="J22" i="9"/>
  <c r="AF125" i="68"/>
  <c r="AF124" i="68"/>
  <c r="AE131" i="68"/>
  <c r="AE46" i="68"/>
  <c r="T23" i="68"/>
  <c r="N60" i="58"/>
  <c r="M43" i="68"/>
  <c r="O20" i="68"/>
  <c r="M23" i="68"/>
  <c r="O156" i="68"/>
  <c r="W37" i="68"/>
  <c r="H14" i="68"/>
  <c r="AE132" i="68"/>
  <c r="W154" i="68"/>
  <c r="W249" i="68" s="1"/>
  <c r="AI134" i="68"/>
  <c r="AL150" i="68"/>
  <c r="AK150" i="68" s="1"/>
  <c r="S150" i="68"/>
  <c r="BD101" i="68"/>
  <c r="AV146" i="68"/>
  <c r="BC120" i="68"/>
  <c r="U150" i="68"/>
  <c r="U151" i="68" s="1"/>
  <c r="BU4" i="68"/>
  <c r="BU192" i="68"/>
  <c r="BU191" i="68"/>
  <c r="AK191" i="68"/>
  <c r="AK192" i="68"/>
  <c r="CG192" i="68"/>
  <c r="CG191" i="68"/>
  <c r="BA191" i="68"/>
  <c r="BA192" i="68"/>
  <c r="BD102" i="68"/>
  <c r="BY192" i="68"/>
  <c r="BY191" i="68"/>
  <c r="AS191" i="68"/>
  <c r="AS192" i="68"/>
  <c r="BC103" i="68"/>
  <c r="AN124" i="68"/>
  <c r="AE102" i="68"/>
  <c r="AF102" i="68"/>
  <c r="AE101" i="68"/>
  <c r="AU102" i="68"/>
  <c r="AU131" i="68"/>
  <c r="AE103" i="68"/>
  <c r="AV132" i="68"/>
  <c r="AF103" i="68"/>
  <c r="AG133" i="68"/>
  <c r="AN116" i="68"/>
  <c r="AM132" i="68"/>
  <c r="AE104" i="68"/>
  <c r="AU103" i="68"/>
  <c r="AF132" i="68"/>
  <c r="I22" i="9"/>
  <c r="X6" i="68"/>
  <c r="X37" i="68" s="1"/>
  <c r="W17" i="68"/>
  <c r="J129" i="56"/>
  <c r="L31" i="56"/>
  <c r="L32" i="56" s="1"/>
  <c r="P9" i="68"/>
  <c r="P20" i="68" s="1"/>
  <c r="AE124" i="68"/>
  <c r="AI127" i="68"/>
  <c r="W14" i="68"/>
  <c r="W40" i="68"/>
  <c r="T43" i="68"/>
  <c r="G156" i="68"/>
  <c r="M33" i="56"/>
  <c r="T12" i="68"/>
  <c r="AF48" i="68"/>
  <c r="W19" i="68"/>
  <c r="AM104" i="68"/>
  <c r="I40" i="9"/>
  <c r="I14" i="9"/>
  <c r="Q179" i="56"/>
  <c r="Q177" i="56"/>
  <c r="BY4" i="68"/>
  <c r="AS4" i="68"/>
  <c r="BK127" i="68"/>
  <c r="AK4" i="68"/>
  <c r="CG4" i="68"/>
  <c r="BD98" i="68"/>
  <c r="BI4" i="68"/>
  <c r="BA4" i="68"/>
  <c r="CK126" i="68"/>
  <c r="CR160" i="68"/>
  <c r="W20" i="68"/>
  <c r="CJ48" i="68"/>
  <c r="CB37" i="68"/>
  <c r="L51" i="9"/>
  <c r="P8" i="68"/>
  <c r="P19" i="68" s="1"/>
  <c r="I41" i="56"/>
  <c r="J43" i="56"/>
  <c r="J41" i="56"/>
  <c r="J51" i="56"/>
  <c r="L151" i="9"/>
  <c r="CR149" i="68"/>
  <c r="AE20" i="68"/>
  <c r="P70" i="56"/>
  <c r="AF39" i="68"/>
  <c r="P50" i="58"/>
  <c r="P58" i="58" s="1"/>
  <c r="CU133" i="68"/>
  <c r="BB134" i="68"/>
  <c r="BB127" i="68"/>
  <c r="AF50" i="68"/>
  <c r="X50" i="68"/>
  <c r="CD133" i="68"/>
  <c r="CM133" i="68"/>
  <c r="Q23" i="68"/>
  <c r="AM102" i="68"/>
  <c r="CK104" i="68"/>
  <c r="AS18" i="68"/>
  <c r="AV7" i="68"/>
  <c r="AV18" i="68" s="1"/>
  <c r="AS38" i="68"/>
  <c r="AO119" i="68"/>
  <c r="K50" i="9"/>
  <c r="AN125" i="68"/>
  <c r="AG23" i="68"/>
  <c r="W48" i="68"/>
  <c r="P29" i="68"/>
  <c r="P48" i="68" s="1"/>
  <c r="AT41" i="68"/>
  <c r="O39" i="68"/>
  <c r="U14" i="68"/>
  <c r="AC23" i="68" s="1"/>
  <c r="AN132" i="68"/>
  <c r="CF119" i="68"/>
  <c r="CE133" i="68"/>
  <c r="AE125" i="68"/>
  <c r="AM131" i="68"/>
  <c r="CB40" i="68"/>
  <c r="AM103" i="68"/>
  <c r="AM116" i="68"/>
  <c r="AM124" i="68"/>
  <c r="AZ143" i="68"/>
  <c r="AO123" i="68"/>
  <c r="AN38" i="68"/>
  <c r="AU132" i="68"/>
  <c r="AM125" i="68"/>
  <c r="AL52" i="68"/>
  <c r="AL43" i="68"/>
  <c r="Q37" i="58"/>
  <c r="AG142" i="68"/>
  <c r="J154" i="9"/>
  <c r="AA23" i="68"/>
  <c r="K15" i="76"/>
  <c r="T151" i="68"/>
  <c r="AH151" i="68"/>
  <c r="BP52" i="68"/>
  <c r="AZ52" i="68"/>
  <c r="AZ43" i="68"/>
  <c r="AI150" i="68"/>
  <c r="BC126" i="68"/>
  <c r="BC133" i="68"/>
  <c r="AG138" i="68"/>
  <c r="AR52" i="68"/>
  <c r="AR43" i="68"/>
  <c r="AA105" i="68"/>
  <c r="AA127" i="68"/>
  <c r="AV150" i="68"/>
  <c r="AU150" i="68"/>
  <c r="AK134" i="68"/>
  <c r="AK127" i="68"/>
  <c r="BC130" i="68"/>
  <c r="BC123" i="68"/>
  <c r="BD116" i="68"/>
  <c r="BC125" i="68"/>
  <c r="BC132" i="68"/>
  <c r="F96" i="9"/>
  <c r="F98" i="9"/>
  <c r="F91" i="9"/>
  <c r="K91" i="9"/>
  <c r="K96" i="9"/>
  <c r="K98" i="9"/>
  <c r="AF154" i="68"/>
  <c r="AF249" i="68" s="1"/>
  <c r="AE154" i="68"/>
  <c r="AE249" i="68" s="1"/>
  <c r="BC131" i="68"/>
  <c r="BC124" i="68"/>
  <c r="AS143" i="68"/>
  <c r="AB151" i="68"/>
  <c r="AC150" i="68"/>
  <c r="Q36" i="58"/>
  <c r="AK105" i="68"/>
  <c r="AQ143" i="68"/>
  <c r="AQ146" i="68"/>
  <c r="BA150" i="68"/>
  <c r="L52" i="68"/>
  <c r="F34" i="68"/>
  <c r="D43" i="68"/>
  <c r="AO145" i="68"/>
  <c r="AO138" i="68"/>
  <c r="AQ150" i="68"/>
  <c r="AP151" i="68"/>
  <c r="CH52" i="68"/>
  <c r="CH43" i="68"/>
  <c r="AD52" i="68"/>
  <c r="AD43" i="68"/>
  <c r="AD105" i="68"/>
  <c r="AL105" i="68"/>
  <c r="AS146" i="68"/>
  <c r="R38" i="58"/>
  <c r="AE162" i="68"/>
  <c r="AF162" i="68"/>
  <c r="AG145" i="68"/>
  <c r="AJ52" i="68"/>
  <c r="AJ43" i="68"/>
  <c r="AQ105" i="68"/>
  <c r="AI105" i="68"/>
  <c r="BE148" i="68"/>
  <c r="BC146" i="68"/>
  <c r="S52" i="68"/>
  <c r="S43" i="68"/>
  <c r="AA52" i="68"/>
  <c r="T34" i="68"/>
  <c r="U52" i="68"/>
  <c r="J98" i="9"/>
  <c r="J91" i="9"/>
  <c r="J96" i="9"/>
  <c r="AO162" i="68"/>
  <c r="BB34" i="68"/>
  <c r="BB43" i="68" s="1"/>
  <c r="AU143" i="68"/>
  <c r="BD143" i="68"/>
  <c r="AS150" i="68"/>
  <c r="AT151" i="68"/>
  <c r="AS151" i="68" s="1"/>
  <c r="AV103" i="68"/>
  <c r="AN103" i="68"/>
  <c r="K41" i="9"/>
  <c r="M58" i="9"/>
  <c r="P179" i="56"/>
  <c r="AO130" i="68"/>
  <c r="AW130" i="68"/>
  <c r="AE32" i="68"/>
  <c r="AE42" i="68" s="1"/>
  <c r="AF119" i="68"/>
  <c r="AF225" i="68" s="1"/>
  <c r="AG126" i="68"/>
  <c r="J30" i="56"/>
  <c r="J32" i="56" s="1"/>
  <c r="L58" i="9"/>
  <c r="O27" i="68"/>
  <c r="O37" i="68" s="1"/>
  <c r="Y46" i="68"/>
  <c r="L24" i="9"/>
  <c r="L42" i="9"/>
  <c r="Q37" i="68"/>
  <c r="N66" i="58"/>
  <c r="CI23" i="68"/>
  <c r="AV102" i="68"/>
  <c r="AN102" i="68"/>
  <c r="AG34" i="68"/>
  <c r="AG43" i="68" s="1"/>
  <c r="M24" i="9"/>
  <c r="CJ22" i="68"/>
  <c r="CJ21" i="68"/>
  <c r="AU38" i="68"/>
  <c r="BC18" i="68"/>
  <c r="BR18" i="68"/>
  <c r="BZ119" i="68"/>
  <c r="AF41" i="68"/>
  <c r="CJ51" i="68"/>
  <c r="CJ42" i="68"/>
  <c r="CB19" i="68"/>
  <c r="CB39" i="68"/>
  <c r="CJ46" i="68"/>
  <c r="CJ37" i="68"/>
  <c r="CJ18" i="68"/>
  <c r="CJ14" i="68"/>
  <c r="CJ49" i="68"/>
  <c r="CJ40" i="68"/>
  <c r="I145" i="68"/>
  <c r="G145" i="68" s="1"/>
  <c r="H145" i="68" s="1"/>
  <c r="CJ47" i="68"/>
  <c r="CJ38" i="68"/>
  <c r="CI52" i="68"/>
  <c r="CI43" i="68"/>
  <c r="CJ34" i="68"/>
  <c r="CA52" i="68"/>
  <c r="CA43" i="68"/>
  <c r="CB34" i="68"/>
  <c r="CB38" i="68"/>
  <c r="CB51" i="68"/>
  <c r="CB42" i="68"/>
  <c r="CJ19" i="68"/>
  <c r="Q145" i="68"/>
  <c r="O145" i="68" s="1"/>
  <c r="P145" i="68" s="1"/>
  <c r="CJ20" i="68"/>
  <c r="CB50" i="68"/>
  <c r="CB41" i="68"/>
  <c r="CJ50" i="68"/>
  <c r="CB17" i="68"/>
  <c r="CB14" i="68"/>
  <c r="CB23" i="68" s="1"/>
  <c r="CJ17" i="68"/>
  <c r="P177" i="56"/>
  <c r="AG51" i="68"/>
  <c r="AG120" i="68"/>
  <c r="AE119" i="68"/>
  <c r="AE225" i="68" s="1"/>
  <c r="K53" i="9"/>
  <c r="K32" i="56"/>
  <c r="M31" i="9"/>
  <c r="M35" i="9"/>
  <c r="M45" i="9"/>
  <c r="BV104" i="68"/>
  <c r="BV126" i="68"/>
  <c r="AV50" i="68"/>
  <c r="BD50" i="68"/>
  <c r="BT47" i="68"/>
  <c r="BD47" i="68"/>
  <c r="BD38" i="68"/>
  <c r="P47" i="68"/>
  <c r="BS52" i="68"/>
  <c r="BZ52" i="68"/>
  <c r="BD34" i="68"/>
  <c r="BT52" i="68" s="1"/>
  <c r="X47" i="68"/>
  <c r="AN50" i="68"/>
  <c r="BT48" i="68"/>
  <c r="BD39" i="68"/>
  <c r="BT46" i="68"/>
  <c r="BD37" i="68"/>
  <c r="X22" i="68"/>
  <c r="AF22" i="68"/>
  <c r="BA50" i="68"/>
  <c r="AS50" i="68"/>
  <c r="P23" i="9"/>
  <c r="P41" i="9"/>
  <c r="CC104" i="68"/>
  <c r="CC126" i="68"/>
  <c r="AV47" i="68"/>
  <c r="H41" i="68"/>
  <c r="P50" i="68"/>
  <c r="P49" i="68"/>
  <c r="X49" i="68"/>
  <c r="BB20" i="68"/>
  <c r="AT20" i="68"/>
  <c r="AM20" i="68"/>
  <c r="AN9" i="68"/>
  <c r="AS9" i="68"/>
  <c r="AU9" i="68"/>
  <c r="AT40" i="68"/>
  <c r="AM40" i="68"/>
  <c r="BT51" i="68"/>
  <c r="BD42" i="68"/>
  <c r="BT18" i="68"/>
  <c r="BT22" i="68"/>
  <c r="AV49" i="68"/>
  <c r="BD49" i="68"/>
  <c r="BS104" i="68"/>
  <c r="BT96" i="68"/>
  <c r="BS126" i="68"/>
  <c r="BB21" i="68"/>
  <c r="AT21" i="68"/>
  <c r="AS10" i="68"/>
  <c r="AM21" i="68"/>
  <c r="AU10" i="68"/>
  <c r="AN10" i="68"/>
  <c r="AN21" i="68" s="1"/>
  <c r="X40" i="68"/>
  <c r="AF20" i="68"/>
  <c r="I54" i="9"/>
  <c r="I55" i="9" s="1"/>
  <c r="L175" i="56"/>
  <c r="L170" i="56" s="1"/>
  <c r="AE17" i="68"/>
  <c r="AF6" i="68"/>
  <c r="AF37" i="68" s="1"/>
  <c r="AE14" i="68"/>
  <c r="Y23" i="68"/>
  <c r="AF123" i="68"/>
  <c r="AF130" i="68"/>
  <c r="AN97" i="68"/>
  <c r="AM97" i="68"/>
  <c r="AO105" i="68"/>
  <c r="AW105" i="68"/>
  <c r="AF46" i="68"/>
  <c r="AU101" i="68"/>
  <c r="AM101" i="68"/>
  <c r="O17" i="68"/>
  <c r="O14" i="68"/>
  <c r="O23" i="68" s="1"/>
  <c r="P6" i="68"/>
  <c r="AF97" i="68"/>
  <c r="AF199" i="68" s="1"/>
  <c r="AE97" i="68"/>
  <c r="AE199" i="68" s="1"/>
  <c r="AG105" i="68"/>
  <c r="AE37" i="68"/>
  <c r="AV101" i="68"/>
  <c r="AN101" i="68"/>
  <c r="H37" i="68"/>
  <c r="Y42" i="68"/>
  <c r="W32" i="68"/>
  <c r="Y34" i="68"/>
  <c r="AE130" i="68"/>
  <c r="AE123" i="68"/>
  <c r="AF101" i="68"/>
  <c r="BS132" i="68"/>
  <c r="BT118" i="68"/>
  <c r="BS125" i="68"/>
  <c r="BU94" i="68"/>
  <c r="N19" i="9"/>
  <c r="Q38" i="58"/>
  <c r="O9" i="9"/>
  <c r="O3" i="58"/>
  <c r="AO32" i="68"/>
  <c r="R50" i="9"/>
  <c r="L53" i="9"/>
  <c r="M53" i="9"/>
  <c r="CC167" i="68"/>
  <c r="I71" i="56"/>
  <c r="R102" i="9" l="1"/>
  <c r="R108" i="9" s="1"/>
  <c r="J87" i="112"/>
  <c r="J109" i="9"/>
  <c r="J108" i="9"/>
  <c r="N102" i="9"/>
  <c r="P102" i="9"/>
  <c r="O102" i="9"/>
  <c r="K108" i="9"/>
  <c r="K109" i="9"/>
  <c r="M72" i="111"/>
  <c r="M74" i="111" s="1"/>
  <c r="M97" i="9"/>
  <c r="M99" i="9"/>
  <c r="D101" i="9"/>
  <c r="H45" i="113"/>
  <c r="I45" i="113"/>
  <c r="J45" i="113"/>
  <c r="C111" i="112"/>
  <c r="C112" i="112"/>
  <c r="C110" i="112"/>
  <c r="C109" i="112"/>
  <c r="C104" i="112"/>
  <c r="C108" i="112"/>
  <c r="F97" i="112"/>
  <c r="D110" i="112"/>
  <c r="D109" i="112"/>
  <c r="D112" i="112"/>
  <c r="D111" i="112"/>
  <c r="D104" i="112"/>
  <c r="D108" i="112"/>
  <c r="B112" i="112"/>
  <c r="B109" i="112"/>
  <c r="B110" i="112"/>
  <c r="B111" i="112"/>
  <c r="B104" i="112"/>
  <c r="B108" i="112"/>
  <c r="G97" i="112"/>
  <c r="E109" i="112"/>
  <c r="E111" i="112"/>
  <c r="E112" i="112"/>
  <c r="E110" i="112"/>
  <c r="E104" i="112"/>
  <c r="E108" i="112"/>
  <c r="E107" i="112"/>
  <c r="H112" i="112"/>
  <c r="H109" i="112"/>
  <c r="H111" i="112"/>
  <c r="H110" i="112"/>
  <c r="H104" i="112"/>
  <c r="H108" i="112"/>
  <c r="C107" i="112"/>
  <c r="B101" i="9"/>
  <c r="BD97" i="68"/>
  <c r="BD105" i="68" s="1"/>
  <c r="H101" i="9"/>
  <c r="E101" i="9"/>
  <c r="L33" i="56"/>
  <c r="R32" i="58"/>
  <c r="G101" i="9"/>
  <c r="C101" i="9"/>
  <c r="L19" i="111"/>
  <c r="M19" i="111"/>
  <c r="E207" i="68"/>
  <c r="M29" i="112"/>
  <c r="M31" i="112"/>
  <c r="M14" i="112"/>
  <c r="L31" i="112"/>
  <c r="L29" i="112"/>
  <c r="L14" i="112"/>
  <c r="AG226" i="68"/>
  <c r="Z226" i="68"/>
  <c r="E234" i="68" s="1"/>
  <c r="AB226" i="68"/>
  <c r="AC226" i="68"/>
  <c r="AD226" i="68"/>
  <c r="AA226" i="68"/>
  <c r="BT103" i="68"/>
  <c r="AN130" i="68"/>
  <c r="BC127" i="68"/>
  <c r="P54" i="58"/>
  <c r="AF18" i="68"/>
  <c r="O32" i="68"/>
  <c r="P32" i="68" s="1"/>
  <c r="BC10" i="68"/>
  <c r="BS21" i="68" s="1"/>
  <c r="BE21" i="68"/>
  <c r="BC9" i="68"/>
  <c r="BS20" i="68" s="1"/>
  <c r="BE40" i="68"/>
  <c r="BE14" i="68"/>
  <c r="BE23" i="68" s="1"/>
  <c r="BE41" i="68"/>
  <c r="P38" i="68"/>
  <c r="X18" i="68"/>
  <c r="BE20" i="68"/>
  <c r="Q51" i="68"/>
  <c r="AL151" i="68"/>
  <c r="AK151" i="68" s="1"/>
  <c r="Y51" i="68"/>
  <c r="Q42" i="68"/>
  <c r="L58" i="58"/>
  <c r="AV130" i="68"/>
  <c r="BD120" i="68"/>
  <c r="AN123" i="68"/>
  <c r="L67" i="58"/>
  <c r="E258" i="68"/>
  <c r="X154" i="68"/>
  <c r="X249" i="68" s="1"/>
  <c r="CH119" i="68"/>
  <c r="BD146" i="68"/>
  <c r="BB192" i="68"/>
  <c r="BB191" i="68"/>
  <c r="BZ192" i="68"/>
  <c r="BZ191" i="68"/>
  <c r="BC134" i="68"/>
  <c r="CA119" i="68"/>
  <c r="AL192" i="68"/>
  <c r="AL191" i="68"/>
  <c r="AT192" i="68"/>
  <c r="AT191" i="68"/>
  <c r="CH192" i="68"/>
  <c r="CH191" i="68"/>
  <c r="AW133" i="68"/>
  <c r="AE133" i="68"/>
  <c r="AF126" i="68"/>
  <c r="AM123" i="68"/>
  <c r="X17" i="68"/>
  <c r="X14" i="68"/>
  <c r="J71" i="56"/>
  <c r="X20" i="68"/>
  <c r="P40" i="68"/>
  <c r="U23" i="68"/>
  <c r="AE23" i="68"/>
  <c r="U43" i="68"/>
  <c r="X48" i="68"/>
  <c r="X19" i="68"/>
  <c r="BD18" i="68"/>
  <c r="AV38" i="68"/>
  <c r="I24" i="9"/>
  <c r="J24" i="9"/>
  <c r="I42" i="9"/>
  <c r="I58" i="9"/>
  <c r="BB4" i="68"/>
  <c r="AL4" i="68"/>
  <c r="BZ4" i="68"/>
  <c r="BJ4" i="68"/>
  <c r="CH4" i="68"/>
  <c r="AT4" i="68"/>
  <c r="R177" i="56"/>
  <c r="CS96" i="68"/>
  <c r="Q70" i="56"/>
  <c r="CK167" i="68"/>
  <c r="P20" i="58"/>
  <c r="CT133" i="68"/>
  <c r="AI151" i="68"/>
  <c r="CF133" i="68"/>
  <c r="N68" i="58"/>
  <c r="CL133" i="68"/>
  <c r="AM130" i="68"/>
  <c r="S38" i="58"/>
  <c r="AO120" i="68"/>
  <c r="AM119" i="68"/>
  <c r="AO126" i="68"/>
  <c r="AO133" i="68"/>
  <c r="AU130" i="68"/>
  <c r="M67" i="9"/>
  <c r="AE34" i="68"/>
  <c r="AF34" i="68" s="1"/>
  <c r="M145" i="9"/>
  <c r="P39" i="68"/>
  <c r="AN119" i="68"/>
  <c r="O66" i="58"/>
  <c r="M73" i="9"/>
  <c r="M59" i="9"/>
  <c r="M148" i="9"/>
  <c r="M146" i="9"/>
  <c r="M63" i="9"/>
  <c r="W46" i="68"/>
  <c r="M69" i="9"/>
  <c r="M147" i="9"/>
  <c r="M65" i="9"/>
  <c r="M71" i="9"/>
  <c r="N70" i="58"/>
  <c r="AN162" i="68"/>
  <c r="AM162" i="68"/>
  <c r="J101" i="9"/>
  <c r="BD148" i="68"/>
  <c r="BC148" i="68"/>
  <c r="AQ151" i="68"/>
  <c r="L15" i="76"/>
  <c r="L21" i="76" s="1"/>
  <c r="AE138" i="68"/>
  <c r="AG140" i="68"/>
  <c r="AF138" i="68"/>
  <c r="Y156" i="68"/>
  <c r="X156" i="68" s="1"/>
  <c r="W156" i="68" s="1"/>
  <c r="AE142" i="68"/>
  <c r="AF142" i="68"/>
  <c r="AN145" i="68"/>
  <c r="AM145" i="68"/>
  <c r="K101" i="9"/>
  <c r="S151" i="68"/>
  <c r="R37" i="58"/>
  <c r="AF145" i="68"/>
  <c r="AE145" i="68"/>
  <c r="AN138" i="68"/>
  <c r="AO140" i="68"/>
  <c r="AM138" i="68"/>
  <c r="R36" i="58"/>
  <c r="K26" i="76"/>
  <c r="AO142" i="68"/>
  <c r="K154" i="9"/>
  <c r="N52" i="68"/>
  <c r="F43" i="68"/>
  <c r="BD150" i="68"/>
  <c r="AA151" i="68"/>
  <c r="AC151" i="68"/>
  <c r="F101" i="9"/>
  <c r="BD123" i="68"/>
  <c r="BD130" i="68"/>
  <c r="J155" i="9"/>
  <c r="BZ133" i="68"/>
  <c r="L146" i="9"/>
  <c r="L62" i="9"/>
  <c r="L76" i="9" s="1"/>
  <c r="AF32" i="68"/>
  <c r="AF42" i="68" s="1"/>
  <c r="AF133" i="68"/>
  <c r="L152" i="9"/>
  <c r="L147" i="9"/>
  <c r="L65" i="9"/>
  <c r="L73" i="9"/>
  <c r="L67" i="9"/>
  <c r="L148" i="9"/>
  <c r="L69" i="9"/>
  <c r="L145" i="9"/>
  <c r="L59" i="9"/>
  <c r="L71" i="9"/>
  <c r="O46" i="68"/>
  <c r="P27" i="68"/>
  <c r="X46" i="68" s="1"/>
  <c r="AF120" i="68"/>
  <c r="AF226" i="68" s="1"/>
  <c r="N69" i="58"/>
  <c r="BV103" i="68"/>
  <c r="AE126" i="68"/>
  <c r="CJ23" i="68"/>
  <c r="CJ52" i="68"/>
  <c r="CJ43" i="68"/>
  <c r="CB52" i="68"/>
  <c r="CB43" i="68"/>
  <c r="AG127" i="68"/>
  <c r="AG134" i="68"/>
  <c r="AE120" i="68"/>
  <c r="AE226" i="68" s="1"/>
  <c r="H26" i="56"/>
  <c r="M42" i="9"/>
  <c r="M51" i="9"/>
  <c r="M151" i="9"/>
  <c r="BA21" i="68"/>
  <c r="AS21" i="68"/>
  <c r="BT104" i="68"/>
  <c r="BT126" i="68"/>
  <c r="BR20" i="68"/>
  <c r="AU20" i="68"/>
  <c r="AV9" i="68"/>
  <c r="AU40" i="68"/>
  <c r="AS41" i="68"/>
  <c r="BY104" i="68"/>
  <c r="BY126" i="68"/>
  <c r="BA20" i="68"/>
  <c r="AS20" i="68"/>
  <c r="AS40" i="68"/>
  <c r="BR21" i="68"/>
  <c r="AU21" i="68"/>
  <c r="AV10" i="68"/>
  <c r="AU41" i="68"/>
  <c r="BZ96" i="68"/>
  <c r="AN20" i="68"/>
  <c r="AN40" i="68"/>
  <c r="Q23" i="9"/>
  <c r="Q41" i="9"/>
  <c r="AN41" i="68"/>
  <c r="M175" i="56"/>
  <c r="Y138" i="68"/>
  <c r="X138" i="68" s="1"/>
  <c r="Y140" i="68"/>
  <c r="Y52" i="68"/>
  <c r="Y43" i="68"/>
  <c r="AE105" i="68"/>
  <c r="P14" i="68"/>
  <c r="P23" i="68" s="1"/>
  <c r="P17" i="68"/>
  <c r="AF14" i="68"/>
  <c r="AF17" i="68"/>
  <c r="W23" i="68"/>
  <c r="X32" i="68"/>
  <c r="W34" i="68"/>
  <c r="W42" i="68"/>
  <c r="AF105" i="68"/>
  <c r="AU105" i="68"/>
  <c r="AM105" i="68"/>
  <c r="AE51" i="68"/>
  <c r="AG52" i="68"/>
  <c r="AV105" i="68"/>
  <c r="AN105" i="68"/>
  <c r="Q138" i="68"/>
  <c r="O138" i="68" s="1"/>
  <c r="Q140" i="68"/>
  <c r="Q43" i="68"/>
  <c r="BT125" i="68"/>
  <c r="BT132" i="68"/>
  <c r="O60" i="58"/>
  <c r="BU102" i="68"/>
  <c r="BS94" i="68"/>
  <c r="CC94" i="68"/>
  <c r="O19" i="9"/>
  <c r="AW51" i="68"/>
  <c r="AO51" i="68"/>
  <c r="AM32" i="68"/>
  <c r="R39" i="58" l="1"/>
  <c r="S39" i="58"/>
  <c r="Q22" i="58"/>
  <c r="R118" i="9"/>
  <c r="K118" i="9"/>
  <c r="J118" i="9"/>
  <c r="P108" i="9"/>
  <c r="N108" i="9"/>
  <c r="N118" i="9" s="1"/>
  <c r="O108" i="9"/>
  <c r="O118" i="9" s="1"/>
  <c r="M102" i="9"/>
  <c r="L76" i="111"/>
  <c r="H4" i="112"/>
  <c r="J4" i="112"/>
  <c r="M76" i="111"/>
  <c r="K4" i="112"/>
  <c r="B4" i="112"/>
  <c r="B26" i="112" s="1"/>
  <c r="B106" i="9"/>
  <c r="B107" i="9"/>
  <c r="E4" i="112"/>
  <c r="E107" i="9"/>
  <c r="E106" i="9"/>
  <c r="C4" i="112"/>
  <c r="C107" i="9"/>
  <c r="C106" i="9"/>
  <c r="G4" i="112"/>
  <c r="G107" i="9"/>
  <c r="G106" i="9"/>
  <c r="F4" i="112"/>
  <c r="F107" i="9"/>
  <c r="F106" i="9"/>
  <c r="D4" i="112"/>
  <c r="D107" i="9"/>
  <c r="D106" i="9"/>
  <c r="Y151" i="68"/>
  <c r="M12" i="112"/>
  <c r="L12" i="112"/>
  <c r="G96" i="112"/>
  <c r="G107" i="112" s="1"/>
  <c r="F96" i="112"/>
  <c r="L84" i="9"/>
  <c r="B42" i="9"/>
  <c r="H106" i="9"/>
  <c r="H107" i="9"/>
  <c r="I19" i="111"/>
  <c r="I14" i="112"/>
  <c r="I31" i="112"/>
  <c r="I29" i="112"/>
  <c r="J53" i="9"/>
  <c r="BD134" i="68"/>
  <c r="CH133" i="68"/>
  <c r="E212" i="68"/>
  <c r="BC21" i="68"/>
  <c r="D258" i="68"/>
  <c r="O34" i="68"/>
  <c r="W52" i="68" s="1"/>
  <c r="O51" i="68"/>
  <c r="O42" i="68"/>
  <c r="W51" i="68"/>
  <c r="BC20" i="68"/>
  <c r="BZ21" i="68"/>
  <c r="BD10" i="68"/>
  <c r="BT21" i="68" s="1"/>
  <c r="BC41" i="68"/>
  <c r="BC14" i="68"/>
  <c r="BS23" i="68" s="1"/>
  <c r="BD127" i="68"/>
  <c r="BD9" i="68"/>
  <c r="BT20" i="68" s="1"/>
  <c r="BU23" i="68"/>
  <c r="BZ20" i="68"/>
  <c r="BE43" i="68"/>
  <c r="AK152" i="68"/>
  <c r="BC40" i="68"/>
  <c r="AI152" i="68"/>
  <c r="CA133" i="68"/>
  <c r="AE43" i="68"/>
  <c r="CB119" i="68"/>
  <c r="CA192" i="68"/>
  <c r="CA191" i="68"/>
  <c r="AU192" i="68"/>
  <c r="AU191" i="68"/>
  <c r="CI119" i="68"/>
  <c r="O69" i="58"/>
  <c r="CI192" i="68"/>
  <c r="CI191" i="68"/>
  <c r="BC192" i="68"/>
  <c r="BC191" i="68"/>
  <c r="AM192" i="68"/>
  <c r="AM191" i="68"/>
  <c r="AU133" i="68"/>
  <c r="DD133" i="68"/>
  <c r="AE134" i="68"/>
  <c r="AM120" i="68"/>
  <c r="AN126" i="68"/>
  <c r="AF23" i="68"/>
  <c r="Q50" i="58"/>
  <c r="Q53" i="58" s="1"/>
  <c r="I152" i="9"/>
  <c r="I71" i="9"/>
  <c r="J59" i="9"/>
  <c r="I65" i="9"/>
  <c r="I148" i="9"/>
  <c r="I59" i="9"/>
  <c r="I147" i="9"/>
  <c r="I73" i="9"/>
  <c r="I145" i="9"/>
  <c r="I69" i="9"/>
  <c r="I62" i="9"/>
  <c r="Q20" i="58"/>
  <c r="CJ167" i="68"/>
  <c r="CI167" i="68"/>
  <c r="AM4" i="68"/>
  <c r="BC4" i="68"/>
  <c r="CI4" i="68"/>
  <c r="AU4" i="68"/>
  <c r="BK4" i="68"/>
  <c r="CA4" i="68"/>
  <c r="CS104" i="68"/>
  <c r="CS126" i="68"/>
  <c r="AM133" i="68"/>
  <c r="O70" i="58"/>
  <c r="O68" i="58"/>
  <c r="AV133" i="68"/>
  <c r="S177" i="56"/>
  <c r="P3" i="58"/>
  <c r="P66" i="58" s="1"/>
  <c r="P15" i="58"/>
  <c r="P9" i="9"/>
  <c r="AM126" i="68"/>
  <c r="CL104" i="68"/>
  <c r="CV133" i="68"/>
  <c r="AW134" i="68"/>
  <c r="CL126" i="68"/>
  <c r="CN126" i="68"/>
  <c r="CM104" i="68"/>
  <c r="CM126" i="68"/>
  <c r="CO104" i="68"/>
  <c r="CP96" i="68"/>
  <c r="CO126" i="68"/>
  <c r="CN133" i="68"/>
  <c r="CP119" i="68"/>
  <c r="AO134" i="68"/>
  <c r="AO127" i="68"/>
  <c r="AN120" i="68"/>
  <c r="T38" i="58"/>
  <c r="V29" i="58"/>
  <c r="W29" i="58" s="1"/>
  <c r="X29" i="58" s="1"/>
  <c r="S37" i="58"/>
  <c r="W27" i="58"/>
  <c r="T36" i="58"/>
  <c r="P60" i="58"/>
  <c r="AN133" i="68"/>
  <c r="CS167" i="68"/>
  <c r="CQ167" i="68" s="1"/>
  <c r="J14" i="76"/>
  <c r="S36" i="58"/>
  <c r="M15" i="76"/>
  <c r="J107" i="9"/>
  <c r="J106" i="9"/>
  <c r="K155" i="9"/>
  <c r="AN142" i="68"/>
  <c r="AM142" i="68"/>
  <c r="K106" i="9"/>
  <c r="K107" i="9"/>
  <c r="AF140" i="68"/>
  <c r="AG146" i="68"/>
  <c r="AE140" i="68"/>
  <c r="AE146" i="68" s="1"/>
  <c r="AG143" i="68"/>
  <c r="AF143" i="68" s="1"/>
  <c r="L26" i="76"/>
  <c r="L71" i="58"/>
  <c r="M67" i="58"/>
  <c r="CC102" i="68"/>
  <c r="AO146" i="68"/>
  <c r="AM140" i="68"/>
  <c r="AM146" i="68" s="1"/>
  <c r="AO143" i="68"/>
  <c r="AN140" i="68"/>
  <c r="R179" i="56"/>
  <c r="M177" i="56"/>
  <c r="L177" i="56"/>
  <c r="AF134" i="68"/>
  <c r="P37" i="68"/>
  <c r="P46" i="68"/>
  <c r="L63" i="9"/>
  <c r="AF51" i="68"/>
  <c r="AF127" i="68"/>
  <c r="AE127" i="68"/>
  <c r="O71" i="56"/>
  <c r="H27" i="56"/>
  <c r="H30" i="56"/>
  <c r="H31" i="56"/>
  <c r="M152" i="9"/>
  <c r="X23" i="68"/>
  <c r="CE126" i="68"/>
  <c r="CF96" i="68"/>
  <c r="CE104" i="68"/>
  <c r="CA96" i="68"/>
  <c r="BZ104" i="68"/>
  <c r="BZ126" i="68"/>
  <c r="CD104" i="68"/>
  <c r="CD126" i="68"/>
  <c r="AV21" i="68"/>
  <c r="AV41" i="68"/>
  <c r="AV20" i="68"/>
  <c r="AV40" i="68"/>
  <c r="CG104" i="68"/>
  <c r="CG126" i="68"/>
  <c r="P42" i="68"/>
  <c r="P51" i="68"/>
  <c r="X34" i="68"/>
  <c r="W43" i="68"/>
  <c r="AF43" i="68"/>
  <c r="L85" i="9"/>
  <c r="L90" i="9"/>
  <c r="Q143" i="68"/>
  <c r="Q146" i="68"/>
  <c r="Q150" i="68" s="1"/>
  <c r="X42" i="68"/>
  <c r="X51" i="68"/>
  <c r="AE52" i="68"/>
  <c r="O140" i="68"/>
  <c r="P138" i="68"/>
  <c r="P140" i="68" s="1"/>
  <c r="Y146" i="68"/>
  <c r="X140" i="68"/>
  <c r="BT94" i="68"/>
  <c r="BS102" i="68"/>
  <c r="BV102" i="68"/>
  <c r="BB51" i="68"/>
  <c r="AT51" i="68"/>
  <c r="AU32" i="68"/>
  <c r="AN32" i="68"/>
  <c r="AM51" i="68"/>
  <c r="AS32" i="68"/>
  <c r="N71" i="56"/>
  <c r="BV132" i="68"/>
  <c r="BV125" i="68"/>
  <c r="X27" i="58" l="1"/>
  <c r="R22" i="58"/>
  <c r="Q23" i="58"/>
  <c r="P118" i="9"/>
  <c r="Q159" i="68"/>
  <c r="P159" i="68" s="1"/>
  <c r="M109" i="9"/>
  <c r="M108" i="9"/>
  <c r="C26" i="112"/>
  <c r="H26" i="112"/>
  <c r="Q170" i="68" s="1"/>
  <c r="P170" i="68" s="1"/>
  <c r="J122" i="9"/>
  <c r="F26" i="112"/>
  <c r="N109" i="9"/>
  <c r="K122" i="9"/>
  <c r="I12" i="112"/>
  <c r="I13" i="112" s="1"/>
  <c r="H122" i="9"/>
  <c r="D26" i="112"/>
  <c r="G26" i="112"/>
  <c r="E26" i="112"/>
  <c r="K27" i="112"/>
  <c r="J26" i="112"/>
  <c r="G122" i="9"/>
  <c r="D122" i="9"/>
  <c r="F122" i="9"/>
  <c r="B122" i="9"/>
  <c r="E122" i="9"/>
  <c r="C122" i="9"/>
  <c r="L93" i="9"/>
  <c r="L45" i="113"/>
  <c r="M13" i="112"/>
  <c r="M153" i="9"/>
  <c r="M67" i="111"/>
  <c r="L67" i="111"/>
  <c r="L69" i="111" s="1"/>
  <c r="L153" i="9"/>
  <c r="L154" i="9" s="1"/>
  <c r="L13" i="112"/>
  <c r="F42" i="9"/>
  <c r="C42" i="9"/>
  <c r="C51" i="9"/>
  <c r="E51" i="9"/>
  <c r="D51" i="9"/>
  <c r="D42" i="9"/>
  <c r="E42" i="9"/>
  <c r="F51" i="9"/>
  <c r="F110" i="112"/>
  <c r="F112" i="112"/>
  <c r="F111" i="112"/>
  <c r="F109" i="112"/>
  <c r="F104" i="112"/>
  <c r="F108" i="112"/>
  <c r="F107" i="112"/>
  <c r="G112" i="112"/>
  <c r="G111" i="112"/>
  <c r="G110" i="112"/>
  <c r="G109" i="112"/>
  <c r="G104" i="112"/>
  <c r="G108" i="112"/>
  <c r="M26" i="76"/>
  <c r="M21" i="76"/>
  <c r="I97" i="112"/>
  <c r="J97" i="112"/>
  <c r="V36" i="58"/>
  <c r="CB133" i="68"/>
  <c r="AM134" i="68"/>
  <c r="Q58" i="58"/>
  <c r="Q54" i="58"/>
  <c r="P34" i="68"/>
  <c r="P43" i="68" s="1"/>
  <c r="O43" i="68"/>
  <c r="BD21" i="68"/>
  <c r="BD41" i="68"/>
  <c r="E239" i="68"/>
  <c r="BC43" i="68"/>
  <c r="BZ23" i="68"/>
  <c r="BD14" i="68"/>
  <c r="BT23" i="68" s="1"/>
  <c r="BD20" i="68"/>
  <c r="BD40" i="68"/>
  <c r="R131" i="56"/>
  <c r="P69" i="58"/>
  <c r="AM127" i="68"/>
  <c r="BD192" i="68"/>
  <c r="BD191" i="68"/>
  <c r="AN143" i="68"/>
  <c r="CJ191" i="68"/>
  <c r="CJ192" i="68"/>
  <c r="AN192" i="68"/>
  <c r="AN191" i="68"/>
  <c r="CJ119" i="68"/>
  <c r="CI133" i="68"/>
  <c r="Y150" i="68"/>
  <c r="CB191" i="68"/>
  <c r="CB192" i="68"/>
  <c r="AV192" i="68"/>
  <c r="AV191" i="68"/>
  <c r="AV134" i="68"/>
  <c r="BT102" i="68"/>
  <c r="AU134" i="68"/>
  <c r="DF133" i="68"/>
  <c r="U38" i="58"/>
  <c r="I63" i="9"/>
  <c r="R20" i="58"/>
  <c r="CQ96" i="68"/>
  <c r="CB4" i="68"/>
  <c r="AV4" i="68"/>
  <c r="CJ4" i="68"/>
  <c r="AN4" i="68"/>
  <c r="CH96" i="68"/>
  <c r="BM4" i="68"/>
  <c r="BL4" i="68"/>
  <c r="BD4" i="68"/>
  <c r="CR167" i="68"/>
  <c r="P70" i="58"/>
  <c r="CK94" i="68"/>
  <c r="P68" i="58"/>
  <c r="P19" i="9"/>
  <c r="I43" i="56"/>
  <c r="I42" i="56"/>
  <c r="Q66" i="58"/>
  <c r="R50" i="58"/>
  <c r="R53" i="58" s="1"/>
  <c r="Q9" i="9"/>
  <c r="R9" i="9"/>
  <c r="CX133" i="68"/>
  <c r="AN134" i="68"/>
  <c r="CQ119" i="68"/>
  <c r="CP133" i="68"/>
  <c r="CP126" i="68"/>
  <c r="CN104" i="68"/>
  <c r="AN127" i="68"/>
  <c r="T37" i="58"/>
  <c r="U36" i="58"/>
  <c r="AO150" i="68"/>
  <c r="AN146" i="68"/>
  <c r="AE143" i="68"/>
  <c r="AO151" i="68"/>
  <c r="AG150" i="68"/>
  <c r="AF146" i="68"/>
  <c r="AG151" i="68"/>
  <c r="R3" i="58"/>
  <c r="N67" i="58"/>
  <c r="M71" i="58"/>
  <c r="AO159" i="68"/>
  <c r="AG159" i="68"/>
  <c r="AM143" i="68"/>
  <c r="L59" i="58"/>
  <c r="L62" i="58" s="1"/>
  <c r="N15" i="76"/>
  <c r="J25" i="76"/>
  <c r="K14" i="76"/>
  <c r="H32" i="56"/>
  <c r="N179" i="56"/>
  <c r="N177" i="56"/>
  <c r="O41" i="56"/>
  <c r="Q151" i="68"/>
  <c r="O151" i="68" s="1"/>
  <c r="P151" i="68" s="1"/>
  <c r="BU168" i="68"/>
  <c r="CB96" i="68"/>
  <c r="CA104" i="68"/>
  <c r="CA126" i="68"/>
  <c r="CF104" i="68"/>
  <c r="CF126" i="68"/>
  <c r="BU152" i="68"/>
  <c r="X43" i="68"/>
  <c r="P146" i="68"/>
  <c r="P150" i="68" s="1"/>
  <c r="P143" i="68"/>
  <c r="L98" i="9"/>
  <c r="L96" i="9"/>
  <c r="L91" i="9"/>
  <c r="AF52" i="68"/>
  <c r="X143" i="68"/>
  <c r="X146" i="68"/>
  <c r="O143" i="68"/>
  <c r="O146" i="68"/>
  <c r="O150" i="68" s="1"/>
  <c r="Q60" i="58"/>
  <c r="BY102" i="68"/>
  <c r="BA51" i="68"/>
  <c r="AS51" i="68"/>
  <c r="AN51" i="68"/>
  <c r="BR51" i="68"/>
  <c r="AV32" i="68"/>
  <c r="BC51" i="68"/>
  <c r="AU51" i="68"/>
  <c r="N28" i="9"/>
  <c r="N5" i="58"/>
  <c r="O57" i="58"/>
  <c r="N6" i="58"/>
  <c r="I26" i="56"/>
  <c r="I31" i="56" s="1"/>
  <c r="Y27" i="58" l="1"/>
  <c r="R23" i="58"/>
  <c r="S50" i="58"/>
  <c r="S22" i="58"/>
  <c r="O131" i="56"/>
  <c r="M118" i="9"/>
  <c r="V28" i="58"/>
  <c r="K96" i="112"/>
  <c r="K80" i="112"/>
  <c r="K86" i="112" s="1"/>
  <c r="K87" i="112" s="1"/>
  <c r="K52" i="112"/>
  <c r="L72" i="111"/>
  <c r="L74" i="111" s="1"/>
  <c r="L97" i="9"/>
  <c r="L99" i="9"/>
  <c r="L102" i="9" s="1"/>
  <c r="AW151" i="68"/>
  <c r="AV151" i="68" s="1"/>
  <c r="I96" i="112"/>
  <c r="I107" i="112" s="1"/>
  <c r="J96" i="112"/>
  <c r="J107" i="112" s="1"/>
  <c r="M154" i="9"/>
  <c r="N26" i="76"/>
  <c r="N21" i="76"/>
  <c r="M97" i="112"/>
  <c r="N97" i="112"/>
  <c r="L97" i="112"/>
  <c r="Y177" i="56"/>
  <c r="Y179" i="56"/>
  <c r="T177" i="56"/>
  <c r="T179" i="56"/>
  <c r="CI96" i="68"/>
  <c r="CQ104" i="68" s="1"/>
  <c r="X177" i="56"/>
  <c r="R58" i="58"/>
  <c r="R54" i="58"/>
  <c r="X52" i="68"/>
  <c r="V38" i="58"/>
  <c r="W179" i="56"/>
  <c r="W177" i="56"/>
  <c r="CY167" i="68"/>
  <c r="CZ167" i="68"/>
  <c r="S131" i="56"/>
  <c r="BD43" i="68"/>
  <c r="Q68" i="58"/>
  <c r="Q171" i="68"/>
  <c r="P171" i="68" s="1"/>
  <c r="AG170" i="68"/>
  <c r="AF170" i="68" s="1"/>
  <c r="Q70" i="58"/>
  <c r="Q69" i="58"/>
  <c r="S20" i="58"/>
  <c r="DA94" i="68"/>
  <c r="BE4" i="68"/>
  <c r="BE192" i="68"/>
  <c r="BE191" i="68"/>
  <c r="CH104" i="68"/>
  <c r="CK4" i="68"/>
  <c r="CK192" i="68"/>
  <c r="CK191" i="68"/>
  <c r="CC4" i="68"/>
  <c r="CC192" i="68"/>
  <c r="CC191" i="68"/>
  <c r="AO4" i="68"/>
  <c r="AO192" i="68"/>
  <c r="AO191" i="68"/>
  <c r="AW4" i="68"/>
  <c r="AW192" i="68"/>
  <c r="AW191" i="68"/>
  <c r="CJ133" i="68"/>
  <c r="DG133" i="68"/>
  <c r="V177" i="56"/>
  <c r="V179" i="56"/>
  <c r="U37" i="58"/>
  <c r="U177" i="56"/>
  <c r="CK102" i="68"/>
  <c r="CH126" i="68"/>
  <c r="CP104" i="68"/>
  <c r="Y162" i="68"/>
  <c r="X162" i="68" s="1"/>
  <c r="Q19" i="9"/>
  <c r="CS94" i="68"/>
  <c r="R66" i="58"/>
  <c r="N131" i="56"/>
  <c r="T20" i="58"/>
  <c r="R60" i="58"/>
  <c r="CY133" i="68"/>
  <c r="CD102" i="68"/>
  <c r="CE102" i="68"/>
  <c r="CR119" i="68"/>
  <c r="CQ126" i="68"/>
  <c r="CQ133" i="68"/>
  <c r="CG102" i="68"/>
  <c r="CR96" i="68"/>
  <c r="AM159" i="68"/>
  <c r="AN159" i="68"/>
  <c r="AO171" i="68"/>
  <c r="AF150" i="68"/>
  <c r="AE150" i="68"/>
  <c r="AN150" i="68"/>
  <c r="AM150" i="68"/>
  <c r="K25" i="76"/>
  <c r="AE159" i="68"/>
  <c r="AF159" i="68"/>
  <c r="M59" i="58"/>
  <c r="M62" i="58" s="1"/>
  <c r="AM151" i="68"/>
  <c r="AN151" i="68"/>
  <c r="O67" i="58"/>
  <c r="N71" i="58"/>
  <c r="AE151" i="68"/>
  <c r="AF151" i="68"/>
  <c r="O15" i="76"/>
  <c r="O21" i="76" s="1"/>
  <c r="L14" i="76"/>
  <c r="O51" i="56"/>
  <c r="CB104" i="68"/>
  <c r="CB126" i="68"/>
  <c r="BU131" i="68"/>
  <c r="X150" i="68"/>
  <c r="L101" i="9"/>
  <c r="L155" i="9"/>
  <c r="CF94" i="68"/>
  <c r="BZ94" i="68"/>
  <c r="BS117" i="68"/>
  <c r="BU124" i="68"/>
  <c r="BD51" i="68"/>
  <c r="AV51" i="68"/>
  <c r="N37" i="9"/>
  <c r="N46" i="9"/>
  <c r="AO8" i="68"/>
  <c r="R19" i="9"/>
  <c r="I27" i="56"/>
  <c r="I30" i="56"/>
  <c r="W28" i="58" l="1"/>
  <c r="W37" i="58" s="1"/>
  <c r="Z27" i="58"/>
  <c r="T23" i="58"/>
  <c r="S23" i="58"/>
  <c r="S53" i="58"/>
  <c r="S58" i="58" s="1"/>
  <c r="T131" i="56"/>
  <c r="W131" i="56"/>
  <c r="T180" i="56"/>
  <c r="DX225" i="68"/>
  <c r="DY225" i="68"/>
  <c r="K105" i="112"/>
  <c r="K104" i="112" s="1"/>
  <c r="M155" i="9"/>
  <c r="K111" i="112"/>
  <c r="K108" i="112"/>
  <c r="K107" i="112"/>
  <c r="K110" i="112"/>
  <c r="K109" i="112"/>
  <c r="K112" i="112"/>
  <c r="L4" i="112"/>
  <c r="AU151" i="68"/>
  <c r="L109" i="9"/>
  <c r="L108" i="9"/>
  <c r="L20" i="76"/>
  <c r="I111" i="112"/>
  <c r="I109" i="112"/>
  <c r="I112" i="112"/>
  <c r="I110" i="112"/>
  <c r="I104" i="112"/>
  <c r="I108" i="112"/>
  <c r="J110" i="112"/>
  <c r="J111" i="112"/>
  <c r="J112" i="112"/>
  <c r="J109" i="112"/>
  <c r="J104" i="112"/>
  <c r="J108" i="112"/>
  <c r="K135" i="56"/>
  <c r="V32" i="58"/>
  <c r="V39" i="58" s="1"/>
  <c r="V41" i="58" s="1"/>
  <c r="V19" i="58" s="1"/>
  <c r="W32" i="58"/>
  <c r="W36" i="58"/>
  <c r="Z179" i="56"/>
  <c r="AA131" i="56" s="1"/>
  <c r="Z177" i="56"/>
  <c r="CI104" i="68"/>
  <c r="CJ96" i="68"/>
  <c r="CR104" i="68" s="1"/>
  <c r="CI126" i="68"/>
  <c r="CK196" i="68"/>
  <c r="BZ196" i="68"/>
  <c r="CR198" i="68"/>
  <c r="AY222" i="68"/>
  <c r="AK199" i="68"/>
  <c r="AL198" i="68"/>
  <c r="BA223" i="68"/>
  <c r="AT224" i="68"/>
  <c r="BA195" i="68"/>
  <c r="AS224" i="68"/>
  <c r="BB222" i="68"/>
  <c r="BA222" i="68"/>
  <c r="AT196" i="68"/>
  <c r="BY222" i="68"/>
  <c r="AI226" i="68"/>
  <c r="BU196" i="68"/>
  <c r="AY196" i="68"/>
  <c r="AT226" i="68"/>
  <c r="BR223" i="68"/>
  <c r="DD223" i="68"/>
  <c r="CY225" i="68"/>
  <c r="DF225" i="68"/>
  <c r="DD224" i="68"/>
  <c r="DF224" i="68"/>
  <c r="DF223" i="68"/>
  <c r="DB226" i="68"/>
  <c r="DG223" i="68"/>
  <c r="DE226" i="68"/>
  <c r="CN223" i="68"/>
  <c r="DD225" i="68"/>
  <c r="BR222" i="68"/>
  <c r="DF198" i="68"/>
  <c r="BR196" i="68"/>
  <c r="CN225" i="68"/>
  <c r="CN224" i="68"/>
  <c r="DG198" i="68"/>
  <c r="CN222" i="68"/>
  <c r="BR224" i="68"/>
  <c r="DH225" i="68"/>
  <c r="DG222" i="68"/>
  <c r="CN198" i="68"/>
  <c r="CN196" i="68"/>
  <c r="DH224" i="68"/>
  <c r="BO225" i="68"/>
  <c r="DH223" i="68"/>
  <c r="DD198" i="68"/>
  <c r="DH222" i="68"/>
  <c r="DG226" i="68"/>
  <c r="DH226" i="68"/>
  <c r="DG224" i="68"/>
  <c r="DG225" i="68"/>
  <c r="CT225" i="68"/>
  <c r="CT224" i="68"/>
  <c r="M232" i="68" s="1"/>
  <c r="AX198" i="68"/>
  <c r="DE222" i="68"/>
  <c r="AP225" i="68"/>
  <c r="G233" i="68" s="1"/>
  <c r="BN198" i="68"/>
  <c r="AH197" i="68"/>
  <c r="AP222" i="68"/>
  <c r="G230" i="68" s="1"/>
  <c r="AX196" i="68"/>
  <c r="BO223" i="68"/>
  <c r="AX226" i="68"/>
  <c r="H234" i="68" s="1"/>
  <c r="BO197" i="68"/>
  <c r="DC198" i="68"/>
  <c r="BV224" i="68"/>
  <c r="CT196" i="68"/>
  <c r="DE224" i="68"/>
  <c r="BN223" i="68"/>
  <c r="I231" i="68" s="1"/>
  <c r="DE223" i="68"/>
  <c r="BR225" i="68"/>
  <c r="BR197" i="68"/>
  <c r="BO224" i="68"/>
  <c r="AY226" i="68"/>
  <c r="AX195" i="68"/>
  <c r="CL222" i="68"/>
  <c r="BV222" i="68"/>
  <c r="CL225" i="68"/>
  <c r="AH224" i="68"/>
  <c r="F232" i="68" s="1"/>
  <c r="AP196" i="68"/>
  <c r="BN197" i="68"/>
  <c r="CL198" i="68"/>
  <c r="DB225" i="68"/>
  <c r="DE225" i="68"/>
  <c r="AP199" i="68"/>
  <c r="AX197" i="68"/>
  <c r="AH196" i="68"/>
  <c r="CZ225" i="68"/>
  <c r="BN224" i="68"/>
  <c r="I232" i="68" s="1"/>
  <c r="CD198" i="68"/>
  <c r="CL223" i="68"/>
  <c r="L231" i="68" s="1"/>
  <c r="AX225" i="68"/>
  <c r="H233" i="68" s="1"/>
  <c r="BS225" i="68"/>
  <c r="AP198" i="68"/>
  <c r="BN196" i="68"/>
  <c r="DB223" i="68"/>
  <c r="N231" i="68" s="1"/>
  <c r="CD222" i="68"/>
  <c r="K230" i="68" s="1"/>
  <c r="AH225" i="68"/>
  <c r="F233" i="68" s="1"/>
  <c r="DC223" i="68"/>
  <c r="DB222" i="68"/>
  <c r="N230" i="68" s="1"/>
  <c r="DC222" i="68"/>
  <c r="AP226" i="68"/>
  <c r="G234" i="68" s="1"/>
  <c r="CT222" i="68"/>
  <c r="M230" i="68" s="1"/>
  <c r="BR198" i="68"/>
  <c r="AP195" i="68"/>
  <c r="BN222" i="68"/>
  <c r="I230" i="68" s="1"/>
  <c r="BV196" i="68"/>
  <c r="AX222" i="68"/>
  <c r="H230" i="68" s="1"/>
  <c r="DC224" i="68"/>
  <c r="AP197" i="68"/>
  <c r="CL196" i="68"/>
  <c r="AX224" i="68"/>
  <c r="H232" i="68" s="1"/>
  <c r="CT223" i="68"/>
  <c r="BV198" i="68"/>
  <c r="AX199" i="68"/>
  <c r="BV225" i="68"/>
  <c r="J233" i="68" s="1"/>
  <c r="BV223" i="68"/>
  <c r="J231" i="68" s="1"/>
  <c r="DB224" i="68"/>
  <c r="N232" i="68" s="1"/>
  <c r="CL224" i="68"/>
  <c r="BO198" i="68"/>
  <c r="AP249" i="68"/>
  <c r="G253" i="68" s="1"/>
  <c r="AP223" i="68"/>
  <c r="G231" i="68" s="1"/>
  <c r="AH198" i="68"/>
  <c r="AP224" i="68"/>
  <c r="G232" i="68" s="1"/>
  <c r="CD225" i="68"/>
  <c r="BT225" i="68"/>
  <c r="DC225" i="68"/>
  <c r="BO196" i="68"/>
  <c r="DE198" i="68"/>
  <c r="AH222" i="68"/>
  <c r="F230" i="68" s="1"/>
  <c r="DI224" i="68"/>
  <c r="CD224" i="68"/>
  <c r="K232" i="68" s="1"/>
  <c r="AX223" i="68"/>
  <c r="H231" i="68" s="1"/>
  <c r="DB198" i="68"/>
  <c r="AH223" i="68"/>
  <c r="F231" i="68" s="1"/>
  <c r="AH195" i="68"/>
  <c r="CD223" i="68"/>
  <c r="BN225" i="68"/>
  <c r="I233" i="68" s="1"/>
  <c r="CX225" i="68"/>
  <c r="CD196" i="68"/>
  <c r="AJ197" i="68"/>
  <c r="DK225" i="68"/>
  <c r="DN224" i="68"/>
  <c r="BX198" i="68"/>
  <c r="DQ224" i="68"/>
  <c r="DJ224" i="68"/>
  <c r="CU223" i="68"/>
  <c r="AJ224" i="68"/>
  <c r="AQ249" i="68"/>
  <c r="BQ223" i="68"/>
  <c r="DO222" i="68"/>
  <c r="CW196" i="68"/>
  <c r="AJ195" i="68"/>
  <c r="CW225" i="68"/>
  <c r="AZ222" i="68"/>
  <c r="BP198" i="68"/>
  <c r="DI198" i="68"/>
  <c r="BX224" i="68"/>
  <c r="BP224" i="68"/>
  <c r="CW224" i="68"/>
  <c r="CV225" i="68"/>
  <c r="DA225" i="68"/>
  <c r="DQ222" i="68"/>
  <c r="AI222" i="68"/>
  <c r="CM225" i="68"/>
  <c r="DQ225" i="68"/>
  <c r="AR222" i="68"/>
  <c r="AJ222" i="68"/>
  <c r="AZ225" i="68"/>
  <c r="DM225" i="68"/>
  <c r="DI222" i="68"/>
  <c r="DI225" i="68"/>
  <c r="DL198" i="68"/>
  <c r="CO225" i="68"/>
  <c r="DL225" i="68"/>
  <c r="DL223" i="68"/>
  <c r="DK198" i="68"/>
  <c r="AZ195" i="68"/>
  <c r="DO225" i="68"/>
  <c r="DJ223" i="68"/>
  <c r="CU222" i="68"/>
  <c r="DK224" i="68"/>
  <c r="DO223" i="68"/>
  <c r="AR196" i="68"/>
  <c r="AR225" i="68"/>
  <c r="DN198" i="68"/>
  <c r="AR226" i="68"/>
  <c r="AZ198" i="68"/>
  <c r="AY199" i="68"/>
  <c r="DP222" i="68"/>
  <c r="DI223" i="68"/>
  <c r="AR198" i="68"/>
  <c r="AJ198" i="68"/>
  <c r="CO224" i="68"/>
  <c r="AH226" i="68"/>
  <c r="F234" i="68" s="1"/>
  <c r="BX223" i="68"/>
  <c r="DA223" i="68"/>
  <c r="AJ199" i="68"/>
  <c r="DN223" i="68"/>
  <c r="DN222" i="68"/>
  <c r="BX222" i="68"/>
  <c r="CO222" i="68"/>
  <c r="DP223" i="68"/>
  <c r="AR197" i="68"/>
  <c r="CU225" i="68"/>
  <c r="BP225" i="68"/>
  <c r="CM196" i="68"/>
  <c r="CM222" i="68"/>
  <c r="CU224" i="68"/>
  <c r="AQ222" i="68"/>
  <c r="BP197" i="68"/>
  <c r="CM224" i="68"/>
  <c r="AR199" i="68"/>
  <c r="CS224" i="68"/>
  <c r="AZ226" i="68"/>
  <c r="DP224" i="68"/>
  <c r="DM222" i="68"/>
  <c r="BQ225" i="68"/>
  <c r="AR223" i="68"/>
  <c r="CS222" i="68"/>
  <c r="CS223" i="68"/>
  <c r="DL222" i="68"/>
  <c r="DI226" i="68"/>
  <c r="CO198" i="68"/>
  <c r="CW223" i="68"/>
  <c r="DN225" i="68"/>
  <c r="AZ223" i="68"/>
  <c r="BO222" i="68"/>
  <c r="CO196" i="68"/>
  <c r="DK222" i="68"/>
  <c r="BQ224" i="68"/>
  <c r="CM223" i="68"/>
  <c r="DA222" i="68"/>
  <c r="DK223" i="68"/>
  <c r="AZ197" i="68"/>
  <c r="DP225" i="68"/>
  <c r="DL224" i="68"/>
  <c r="CM198" i="68"/>
  <c r="AJ196" i="68"/>
  <c r="DJ225" i="68"/>
  <c r="BQ198" i="68"/>
  <c r="DM224" i="68"/>
  <c r="CU196" i="68"/>
  <c r="DQ223" i="68"/>
  <c r="CS225" i="68"/>
  <c r="CO223" i="68"/>
  <c r="DA224" i="68"/>
  <c r="AQ223" i="68"/>
  <c r="BZ225" i="68"/>
  <c r="DQ198" i="68"/>
  <c r="DO224" i="68"/>
  <c r="AQ224" i="68"/>
  <c r="BA226" i="68"/>
  <c r="BW198" i="68"/>
  <c r="BW225" i="68"/>
  <c r="BQ222" i="68"/>
  <c r="BX225" i="68"/>
  <c r="AZ199" i="68"/>
  <c r="DJ222" i="68"/>
  <c r="AR195" i="68"/>
  <c r="AQ226" i="68"/>
  <c r="AQ197" i="68"/>
  <c r="AS196" i="68"/>
  <c r="CE222" i="68"/>
  <c r="BA199" i="68"/>
  <c r="CW222" i="68"/>
  <c r="CE224" i="68"/>
  <c r="AI199" i="68"/>
  <c r="AK198" i="68"/>
  <c r="AI197" i="68"/>
  <c r="BU198" i="68"/>
  <c r="AS199" i="68"/>
  <c r="BP223" i="68"/>
  <c r="BW222" i="68"/>
  <c r="AS225" i="68"/>
  <c r="AZ224" i="68"/>
  <c r="DJ198" i="68"/>
  <c r="DM223" i="68"/>
  <c r="AK226" i="68"/>
  <c r="AQ196" i="68"/>
  <c r="AY223" i="68"/>
  <c r="CE225" i="68"/>
  <c r="AQ199" i="68"/>
  <c r="AS198" i="68"/>
  <c r="AQ225" i="68"/>
  <c r="BS198" i="68"/>
  <c r="BX196" i="68"/>
  <c r="AZ196" i="68"/>
  <c r="BW224" i="68"/>
  <c r="BQ196" i="68"/>
  <c r="AQ195" i="68"/>
  <c r="AH199" i="68"/>
  <c r="BP222" i="68"/>
  <c r="BP196" i="68"/>
  <c r="DM198" i="68"/>
  <c r="AR224" i="68"/>
  <c r="AS197" i="68"/>
  <c r="AS226" i="68"/>
  <c r="AY225" i="68"/>
  <c r="AS195" i="68"/>
  <c r="BT224" i="68"/>
  <c r="AU197" i="68"/>
  <c r="CE196" i="68"/>
  <c r="AT223" i="68"/>
  <c r="AQ198" i="68"/>
  <c r="AL224" i="68"/>
  <c r="AI224" i="68"/>
  <c r="BA197" i="68"/>
  <c r="AL225" i="68"/>
  <c r="AS223" i="68"/>
  <c r="AN222" i="68"/>
  <c r="AN198" i="68"/>
  <c r="BB226" i="68"/>
  <c r="AY197" i="68"/>
  <c r="BC225" i="68"/>
  <c r="CG198" i="68"/>
  <c r="AS249" i="68"/>
  <c r="BD224" i="68"/>
  <c r="AV198" i="68"/>
  <c r="AV226" i="68"/>
  <c r="CE223" i="68"/>
  <c r="CA198" i="68"/>
  <c r="AL226" i="68"/>
  <c r="BS197" i="68"/>
  <c r="AU222" i="68"/>
  <c r="BB225" i="68"/>
  <c r="AT197" i="68"/>
  <c r="BY225" i="68"/>
  <c r="AU199" i="68"/>
  <c r="BT198" i="68"/>
  <c r="AM195" i="68"/>
  <c r="AT199" i="68"/>
  <c r="AK224" i="68"/>
  <c r="BQ197" i="68"/>
  <c r="BA196" i="68"/>
  <c r="AL195" i="68"/>
  <c r="BW223" i="68"/>
  <c r="AI196" i="68"/>
  <c r="AK195" i="68"/>
  <c r="AN196" i="68"/>
  <c r="CH198" i="68"/>
  <c r="AM224" i="68"/>
  <c r="AT249" i="68"/>
  <c r="AU224" i="68"/>
  <c r="BB197" i="68"/>
  <c r="AI223" i="68"/>
  <c r="BD226" i="68"/>
  <c r="BD198" i="68"/>
  <c r="AV224" i="68"/>
  <c r="AV195" i="68"/>
  <c r="BS196" i="68"/>
  <c r="BC197" i="68"/>
  <c r="CF225" i="68"/>
  <c r="BU225" i="68"/>
  <c r="AU225" i="68"/>
  <c r="CQ198" i="68"/>
  <c r="AM198" i="68"/>
  <c r="BB223" i="68"/>
  <c r="AK222" i="68"/>
  <c r="AM222" i="68"/>
  <c r="BC199" i="68"/>
  <c r="AJ226" i="68"/>
  <c r="BU197" i="68"/>
  <c r="AL196" i="68"/>
  <c r="AJ225" i="68"/>
  <c r="AL199" i="68"/>
  <c r="AN195" i="68"/>
  <c r="CI198" i="68"/>
  <c r="CI225" i="68"/>
  <c r="BT197" i="68"/>
  <c r="AU226" i="68"/>
  <c r="AM223" i="68"/>
  <c r="BB195" i="68"/>
  <c r="BD199" i="68"/>
  <c r="BD197" i="68"/>
  <c r="AV225" i="68"/>
  <c r="AV196" i="68"/>
  <c r="AM196" i="68"/>
  <c r="AU196" i="68"/>
  <c r="BB198" i="68"/>
  <c r="BY223" i="68"/>
  <c r="CQ225" i="68"/>
  <c r="BB196" i="68"/>
  <c r="AM199" i="68"/>
  <c r="BU223" i="68"/>
  <c r="AK196" i="68"/>
  <c r="CA225" i="68"/>
  <c r="AR249" i="68"/>
  <c r="BC223" i="68"/>
  <c r="AT225" i="68"/>
  <c r="AY198" i="68"/>
  <c r="CG223" i="68"/>
  <c r="AJ223" i="68"/>
  <c r="BY198" i="68"/>
  <c r="AL222" i="68"/>
  <c r="AN197" i="68"/>
  <c r="CB198" i="68"/>
  <c r="BA198" i="68"/>
  <c r="AS222" i="68"/>
  <c r="BC224" i="68"/>
  <c r="BD222" i="68"/>
  <c r="BD225" i="68"/>
  <c r="AV199" i="68"/>
  <c r="AV249" i="68"/>
  <c r="BB224" i="68"/>
  <c r="AU195" i="68"/>
  <c r="CH225" i="68"/>
  <c r="AK197" i="68"/>
  <c r="AK225" i="68"/>
  <c r="BT196" i="68"/>
  <c r="CR225" i="68"/>
  <c r="CS196" i="68"/>
  <c r="AL223" i="68"/>
  <c r="CG222" i="68"/>
  <c r="BC196" i="68"/>
  <c r="BA225" i="68"/>
  <c r="CS198" i="68"/>
  <c r="AU198" i="68"/>
  <c r="BU224" i="68"/>
  <c r="CG196" i="68"/>
  <c r="AI225" i="68"/>
  <c r="BY224" i="68"/>
  <c r="AI195" i="68"/>
  <c r="AN225" i="68"/>
  <c r="AN224" i="68"/>
  <c r="AT222" i="68"/>
  <c r="CF198" i="68"/>
  <c r="BB199" i="68"/>
  <c r="BC226" i="68"/>
  <c r="BD196" i="68"/>
  <c r="BD223" i="68"/>
  <c r="AV197" i="68"/>
  <c r="CP225" i="68"/>
  <c r="AK223" i="68"/>
  <c r="AM226" i="68"/>
  <c r="CP198" i="68"/>
  <c r="BY196" i="68"/>
  <c r="AN226" i="68"/>
  <c r="CF102" i="68"/>
  <c r="CF196" i="68"/>
  <c r="DG167" i="68"/>
  <c r="DH167" i="68"/>
  <c r="AW249" i="68"/>
  <c r="AW224" i="68"/>
  <c r="AW222" i="68"/>
  <c r="AW225" i="68"/>
  <c r="AW223" i="68"/>
  <c r="AW196" i="68"/>
  <c r="AW197" i="68"/>
  <c r="AW198" i="68"/>
  <c r="AW195" i="68"/>
  <c r="AW199" i="68"/>
  <c r="AW226" i="68"/>
  <c r="CC224" i="68"/>
  <c r="CC222" i="68"/>
  <c r="CC223" i="68"/>
  <c r="CC225" i="68"/>
  <c r="CC198" i="68"/>
  <c r="CC196" i="68"/>
  <c r="DP167" i="68"/>
  <c r="DO167" i="68"/>
  <c r="BE225" i="68"/>
  <c r="BE224" i="68"/>
  <c r="BE223" i="68"/>
  <c r="BE222" i="68"/>
  <c r="BE198" i="68"/>
  <c r="BE197" i="68"/>
  <c r="BE195" i="68"/>
  <c r="BE196" i="68"/>
  <c r="BE226" i="68"/>
  <c r="BE199" i="68"/>
  <c r="BS223" i="68"/>
  <c r="AO198" i="68"/>
  <c r="AO224" i="68"/>
  <c r="AO195" i="68"/>
  <c r="AO196" i="68"/>
  <c r="AO197" i="68"/>
  <c r="AO223" i="68"/>
  <c r="AO222" i="68"/>
  <c r="AO199" i="68"/>
  <c r="AO225" i="68"/>
  <c r="AO226" i="68"/>
  <c r="CK225" i="68"/>
  <c r="CK224" i="68"/>
  <c r="CK223" i="68"/>
  <c r="CK222" i="68"/>
  <c r="CK198" i="68"/>
  <c r="DA196" i="68"/>
  <c r="AY195" i="68"/>
  <c r="BC222" i="68"/>
  <c r="BW196" i="68"/>
  <c r="AY224" i="68"/>
  <c r="BZ198" i="68"/>
  <c r="AU249" i="68"/>
  <c r="CG225" i="68"/>
  <c r="BA224" i="68"/>
  <c r="CE198" i="68"/>
  <c r="AL197" i="68"/>
  <c r="AN199" i="68"/>
  <c r="AN223" i="68"/>
  <c r="BU222" i="68"/>
  <c r="AT195" i="68"/>
  <c r="BC198" i="68"/>
  <c r="AI198" i="68"/>
  <c r="AT198" i="68"/>
  <c r="AU223" i="68"/>
  <c r="BD195" i="68"/>
  <c r="AV222" i="68"/>
  <c r="AV223" i="68"/>
  <c r="CG224" i="68"/>
  <c r="AM225" i="68"/>
  <c r="CJ225" i="68"/>
  <c r="AM197" i="68"/>
  <c r="BC195" i="68"/>
  <c r="BS224" i="68"/>
  <c r="CB225" i="68"/>
  <c r="T50" i="58"/>
  <c r="X179" i="56"/>
  <c r="W38" i="58"/>
  <c r="Y29" i="58"/>
  <c r="S3" i="58"/>
  <c r="S66" i="58" s="1"/>
  <c r="AE170" i="68"/>
  <c r="AG171" i="68"/>
  <c r="AE171" i="68" s="1"/>
  <c r="S9" i="9"/>
  <c r="R70" i="58"/>
  <c r="BZ102" i="68"/>
  <c r="DH133" i="68"/>
  <c r="V37" i="58"/>
  <c r="R69" i="58"/>
  <c r="R68" i="58"/>
  <c r="Y142" i="68"/>
  <c r="Y143" i="68" s="1"/>
  <c r="I154" i="9"/>
  <c r="P15" i="76"/>
  <c r="P21" i="76" s="1"/>
  <c r="DA102" i="68"/>
  <c r="CS102" i="68"/>
  <c r="CL102" i="68"/>
  <c r="CZ133" i="68"/>
  <c r="CO102" i="68"/>
  <c r="CR126" i="68"/>
  <c r="CR133" i="68"/>
  <c r="CN102" i="68"/>
  <c r="CM102" i="68"/>
  <c r="S60" i="58"/>
  <c r="O26" i="76"/>
  <c r="L25" i="76"/>
  <c r="N59" i="58"/>
  <c r="N62" i="58" s="1"/>
  <c r="AM152" i="68"/>
  <c r="AN171" i="68"/>
  <c r="AM171" i="68"/>
  <c r="O71" i="58"/>
  <c r="P67" i="58"/>
  <c r="M14" i="76"/>
  <c r="U179" i="56"/>
  <c r="CA94" i="68"/>
  <c r="CA196" i="68" s="1"/>
  <c r="N180" i="56"/>
  <c r="M90" i="9"/>
  <c r="M85" i="9"/>
  <c r="CC168" i="68"/>
  <c r="L106" i="9"/>
  <c r="L107" i="9"/>
  <c r="X151" i="68"/>
  <c r="CH94" i="68"/>
  <c r="CH196" i="68" s="1"/>
  <c r="BS131" i="68"/>
  <c r="BS124" i="68"/>
  <c r="BT117" i="68"/>
  <c r="BT223" i="68" s="1"/>
  <c r="I32" i="56"/>
  <c r="AW19" i="68"/>
  <c r="AO19" i="68"/>
  <c r="AM8" i="68"/>
  <c r="N53" i="9"/>
  <c r="N182" i="56"/>
  <c r="N19" i="56"/>
  <c r="N38" i="56" s="1"/>
  <c r="W39" i="58" l="1"/>
  <c r="W41" i="58" s="1"/>
  <c r="W19" i="58" s="1"/>
  <c r="AA27" i="58"/>
  <c r="X28" i="58"/>
  <c r="T53" i="58"/>
  <c r="U58" i="58" s="1"/>
  <c r="S54" i="58"/>
  <c r="U131" i="56"/>
  <c r="Z131" i="56"/>
  <c r="Y131" i="56"/>
  <c r="V131" i="56"/>
  <c r="G207" i="68"/>
  <c r="H206" i="68"/>
  <c r="X131" i="56"/>
  <c r="L118" i="9"/>
  <c r="L27" i="112"/>
  <c r="L122" i="9"/>
  <c r="G203" i="68"/>
  <c r="N20" i="56"/>
  <c r="N18" i="56"/>
  <c r="L206" i="68"/>
  <c r="M20" i="76"/>
  <c r="H205" i="68"/>
  <c r="J135" i="56"/>
  <c r="L204" i="68"/>
  <c r="F205" i="68"/>
  <c r="CJ198" i="68"/>
  <c r="X32" i="58"/>
  <c r="X39" i="58" s="1"/>
  <c r="X41" i="58" s="1"/>
  <c r="X36" i="58"/>
  <c r="Z29" i="58"/>
  <c r="Y38" i="58"/>
  <c r="CJ126" i="68"/>
  <c r="CJ104" i="68"/>
  <c r="I204" i="68"/>
  <c r="J204" i="68"/>
  <c r="G204" i="68"/>
  <c r="G205" i="68"/>
  <c r="F204" i="68"/>
  <c r="I205" i="68"/>
  <c r="H203" i="68"/>
  <c r="F206" i="68"/>
  <c r="F203" i="68"/>
  <c r="I206" i="68"/>
  <c r="G206" i="68"/>
  <c r="H204" i="68"/>
  <c r="F207" i="68"/>
  <c r="H207" i="68"/>
  <c r="X38" i="58"/>
  <c r="J206" i="68"/>
  <c r="DI94" i="68"/>
  <c r="L233" i="68"/>
  <c r="K206" i="68"/>
  <c r="K204" i="68"/>
  <c r="J230" i="68"/>
  <c r="M204" i="68"/>
  <c r="K233" i="68"/>
  <c r="L232" i="68"/>
  <c r="M231" i="68"/>
  <c r="L230" i="68"/>
  <c r="J232" i="68"/>
  <c r="K231" i="68"/>
  <c r="I135" i="56"/>
  <c r="CY94" i="68"/>
  <c r="CY196" i="68" s="1"/>
  <c r="S19" i="9"/>
  <c r="G258" i="68"/>
  <c r="AF171" i="68"/>
  <c r="S70" i="58"/>
  <c r="T66" i="58"/>
  <c r="T9" i="9"/>
  <c r="CH102" i="68"/>
  <c r="CW102" i="68"/>
  <c r="CU102" i="68"/>
  <c r="N42" i="56"/>
  <c r="S68" i="58"/>
  <c r="CA102" i="68"/>
  <c r="S69" i="58"/>
  <c r="I155" i="9"/>
  <c r="CP94" i="68"/>
  <c r="CP196" i="68" s="1"/>
  <c r="P26" i="76"/>
  <c r="M25" i="76"/>
  <c r="Q67" i="58"/>
  <c r="P71" i="58"/>
  <c r="P59" i="58" s="1"/>
  <c r="O59" i="58"/>
  <c r="O61" i="58" s="1"/>
  <c r="K61" i="112"/>
  <c r="AO154" i="68"/>
  <c r="AN152" i="68"/>
  <c r="Q15" i="76"/>
  <c r="Q21" i="76" s="1"/>
  <c r="N14" i="76"/>
  <c r="CB94" i="68"/>
  <c r="CB196" i="68" s="1"/>
  <c r="CI94" i="68"/>
  <c r="CI196" i="68" s="1"/>
  <c r="L135" i="56"/>
  <c r="M91" i="9"/>
  <c r="M96" i="9"/>
  <c r="M98" i="9"/>
  <c r="BT124" i="68"/>
  <c r="BT131" i="68"/>
  <c r="AS8" i="68"/>
  <c r="AM19" i="68"/>
  <c r="BB19" i="68"/>
  <c r="AT19" i="68"/>
  <c r="AU8" i="68"/>
  <c r="AN8" i="68"/>
  <c r="AN19" i="68" s="1"/>
  <c r="Y28" i="58" l="1"/>
  <c r="Y32" i="58" s="1"/>
  <c r="Y39" i="58" s="1"/>
  <c r="Y41" i="58" s="1"/>
  <c r="X37" i="58"/>
  <c r="AA36" i="58"/>
  <c r="X19" i="58"/>
  <c r="T54" i="58"/>
  <c r="T58" i="58"/>
  <c r="Z38" i="58"/>
  <c r="AA29" i="58"/>
  <c r="DD196" i="68"/>
  <c r="DF110" i="68"/>
  <c r="DC110" i="68"/>
  <c r="DI110" i="68"/>
  <c r="DD110" i="68"/>
  <c r="DB110" i="68"/>
  <c r="DE110" i="68"/>
  <c r="L52" i="112"/>
  <c r="L80" i="112"/>
  <c r="L86" i="112" s="1"/>
  <c r="L87" i="112" s="1"/>
  <c r="L96" i="112"/>
  <c r="U9" i="9"/>
  <c r="N20" i="76"/>
  <c r="Q26" i="76"/>
  <c r="L54" i="9"/>
  <c r="L55" i="9" s="1"/>
  <c r="J54" i="9"/>
  <c r="J55" i="9" s="1"/>
  <c r="Y36" i="58"/>
  <c r="DF196" i="68"/>
  <c r="DG94" i="68"/>
  <c r="DI124" i="68"/>
  <c r="DE196" i="68"/>
  <c r="DB196" i="68"/>
  <c r="DC196" i="68"/>
  <c r="DI196" i="68"/>
  <c r="DI102" i="68"/>
  <c r="DQ94" i="68"/>
  <c r="AO249" i="68"/>
  <c r="AL249" i="68"/>
  <c r="AK249" i="68"/>
  <c r="AJ249" i="68"/>
  <c r="AI249" i="68"/>
  <c r="AH249" i="68"/>
  <c r="F253" i="68" s="1"/>
  <c r="CZ94" i="68"/>
  <c r="CZ196" i="68" s="1"/>
  <c r="F239" i="68"/>
  <c r="C233" i="68"/>
  <c r="T19" i="9"/>
  <c r="B233" i="68"/>
  <c r="H239" i="68"/>
  <c r="G239" i="68"/>
  <c r="T68" i="58"/>
  <c r="F212" i="68"/>
  <c r="T70" i="58"/>
  <c r="CB102" i="68"/>
  <c r="T69" i="58"/>
  <c r="CJ94" i="68"/>
  <c r="CJ196" i="68" s="1"/>
  <c r="CQ94" i="68"/>
  <c r="CQ196" i="68" s="1"/>
  <c r="CP102" i="68"/>
  <c r="P14" i="76"/>
  <c r="AN154" i="68"/>
  <c r="AN249" i="68" s="1"/>
  <c r="AM154" i="68"/>
  <c r="AM249" i="68" s="1"/>
  <c r="N25" i="76"/>
  <c r="R67" i="58"/>
  <c r="Q71" i="58"/>
  <c r="R15" i="76"/>
  <c r="O14" i="76"/>
  <c r="CI102" i="68"/>
  <c r="BU93" i="68"/>
  <c r="M135" i="56"/>
  <c r="BA19" i="68"/>
  <c r="AS19" i="68"/>
  <c r="BR19" i="68"/>
  <c r="BC19" i="68"/>
  <c r="AU19" i="68"/>
  <c r="AV8" i="68"/>
  <c r="N17" i="9"/>
  <c r="N14" i="9"/>
  <c r="Z28" i="58" l="1"/>
  <c r="Z32" i="58" s="1"/>
  <c r="Z39" i="58" s="1"/>
  <c r="Z41" i="58" s="1"/>
  <c r="Y37" i="58"/>
  <c r="Y19" i="58"/>
  <c r="AA38" i="58"/>
  <c r="U19" i="9"/>
  <c r="DL110" i="68"/>
  <c r="DQ110" i="68"/>
  <c r="DK110" i="68"/>
  <c r="DJ110" i="68"/>
  <c r="DN110" i="68"/>
  <c r="DM110" i="68"/>
  <c r="DG196" i="68"/>
  <c r="DG110" i="68"/>
  <c r="DQ124" i="68"/>
  <c r="DY94" i="68"/>
  <c r="L108" i="112"/>
  <c r="L107" i="112"/>
  <c r="L111" i="112"/>
  <c r="L110" i="112"/>
  <c r="L109" i="112"/>
  <c r="L112" i="112"/>
  <c r="L105" i="112"/>
  <c r="L104" i="112" s="1"/>
  <c r="N15" i="112"/>
  <c r="O15" i="112" s="1"/>
  <c r="J56" i="9"/>
  <c r="K54" i="9"/>
  <c r="K55" i="9" s="1"/>
  <c r="O20" i="76"/>
  <c r="R26" i="76"/>
  <c r="R21" i="76"/>
  <c r="P20" i="76"/>
  <c r="Z36" i="58"/>
  <c r="N204" i="68"/>
  <c r="V182" i="56"/>
  <c r="W182" i="56" s="1"/>
  <c r="X182" i="56" s="1"/>
  <c r="Y182" i="56" s="1"/>
  <c r="DQ102" i="68"/>
  <c r="DN196" i="68"/>
  <c r="DK196" i="68"/>
  <c r="DL196" i="68"/>
  <c r="DJ196" i="68"/>
  <c r="DM196" i="68"/>
  <c r="DQ196" i="68"/>
  <c r="BU195" i="68"/>
  <c r="BR195" i="68"/>
  <c r="BQ195" i="68"/>
  <c r="BP195" i="68"/>
  <c r="BN195" i="68"/>
  <c r="BO195" i="68"/>
  <c r="DO94" i="68"/>
  <c r="DO110" i="68" s="1"/>
  <c r="DK102" i="68"/>
  <c r="DE102" i="68"/>
  <c r="AM155" i="68"/>
  <c r="AN155" i="68"/>
  <c r="CJ102" i="68"/>
  <c r="BU98" i="68"/>
  <c r="T15" i="76"/>
  <c r="CR94" i="68"/>
  <c r="CR196" i="68" s="1"/>
  <c r="CQ102" i="68"/>
  <c r="BS93" i="68"/>
  <c r="BS195" i="68" s="1"/>
  <c r="O5" i="58"/>
  <c r="P57" i="58"/>
  <c r="P61" i="58" s="1"/>
  <c r="O6" i="58"/>
  <c r="O28" i="9"/>
  <c r="Q59" i="58"/>
  <c r="S67" i="58"/>
  <c r="R71" i="58"/>
  <c r="S15" i="76"/>
  <c r="S21" i="76" s="1"/>
  <c r="O25" i="76"/>
  <c r="BU97" i="68"/>
  <c r="BT93" i="68"/>
  <c r="BT195" i="68" s="1"/>
  <c r="BU101" i="68"/>
  <c r="BV131" i="68"/>
  <c r="BV124" i="68"/>
  <c r="BD19" i="68"/>
  <c r="AV19" i="68"/>
  <c r="N24" i="9"/>
  <c r="N58" i="9"/>
  <c r="AA28" i="58" l="1"/>
  <c r="Z37" i="58"/>
  <c r="Z19" i="58"/>
  <c r="N146" i="9"/>
  <c r="DR110" i="68"/>
  <c r="DR196" i="68" s="1"/>
  <c r="DU110" i="68"/>
  <c r="DU196" i="68" s="1"/>
  <c r="DT110" i="68"/>
  <c r="DY110" i="68"/>
  <c r="DS110" i="68"/>
  <c r="DS196" i="68" s="1"/>
  <c r="DY102" i="68"/>
  <c r="L56" i="9"/>
  <c r="K56" i="9"/>
  <c r="Z182" i="56"/>
  <c r="AA182" i="56" s="1"/>
  <c r="N19" i="111"/>
  <c r="N31" i="112"/>
  <c r="N29" i="112"/>
  <c r="P15" i="112"/>
  <c r="N14" i="112"/>
  <c r="I203" i="68"/>
  <c r="BU199" i="68"/>
  <c r="BQ199" i="68"/>
  <c r="BP199" i="68"/>
  <c r="BR199" i="68"/>
  <c r="BN199" i="68"/>
  <c r="BO199" i="68"/>
  <c r="DO196" i="68"/>
  <c r="DM102" i="68"/>
  <c r="DP94" i="68"/>
  <c r="F258" i="68"/>
  <c r="M54" i="9"/>
  <c r="M55" i="9" s="1"/>
  <c r="BS98" i="68"/>
  <c r="BS97" i="68"/>
  <c r="BS199" i="68" s="1"/>
  <c r="Q14" i="76"/>
  <c r="BT101" i="68"/>
  <c r="BT98" i="68"/>
  <c r="S26" i="76"/>
  <c r="T26" i="76"/>
  <c r="CR102" i="68"/>
  <c r="S71" i="58"/>
  <c r="S59" i="58" s="1"/>
  <c r="T67" i="58"/>
  <c r="BS101" i="68"/>
  <c r="P25" i="76"/>
  <c r="O3" i="76"/>
  <c r="O12" i="9"/>
  <c r="R59" i="58"/>
  <c r="O46" i="9"/>
  <c r="O37" i="9"/>
  <c r="N73" i="9"/>
  <c r="N65" i="9"/>
  <c r="N147" i="9"/>
  <c r="N71" i="9"/>
  <c r="N63" i="9"/>
  <c r="BU105" i="68"/>
  <c r="L61" i="112"/>
  <c r="N69" i="9"/>
  <c r="N145" i="9"/>
  <c r="N59" i="9"/>
  <c r="AA37" i="58" l="1"/>
  <c r="AA32" i="58"/>
  <c r="AA39" i="58" s="1"/>
  <c r="AA41" i="58" s="1"/>
  <c r="AA19" i="58" s="1"/>
  <c r="DP196" i="68"/>
  <c r="DP110" i="68"/>
  <c r="DV94" i="68"/>
  <c r="DV196" i="68" s="1"/>
  <c r="DU102" i="68"/>
  <c r="N76" i="111"/>
  <c r="Q20" i="76"/>
  <c r="N12" i="112"/>
  <c r="I207" i="68"/>
  <c r="X15" i="76"/>
  <c r="DJ102" i="68"/>
  <c r="W15" i="76"/>
  <c r="M56" i="9"/>
  <c r="BT97" i="68"/>
  <c r="Q25" i="76"/>
  <c r="BS105" i="68"/>
  <c r="V15" i="76"/>
  <c r="U15" i="76"/>
  <c r="P36" i="76"/>
  <c r="P5" i="58"/>
  <c r="P28" i="9"/>
  <c r="Q57" i="58"/>
  <c r="Q61" i="58" s="1"/>
  <c r="P6" i="58"/>
  <c r="T71" i="58"/>
  <c r="R14" i="76"/>
  <c r="P3" i="76"/>
  <c r="P12" i="9"/>
  <c r="CC124" i="68"/>
  <c r="CC131" i="68"/>
  <c r="O22" i="9"/>
  <c r="CC95" i="68"/>
  <c r="DV110" i="68" l="1"/>
  <c r="DW94" i="68"/>
  <c r="DV102" i="68"/>
  <c r="N27" i="112"/>
  <c r="N153" i="9"/>
  <c r="N13" i="112"/>
  <c r="N67" i="111"/>
  <c r="R20" i="76"/>
  <c r="U26" i="76"/>
  <c r="Z15" i="76"/>
  <c r="AA26" i="76" s="1"/>
  <c r="Y15" i="76"/>
  <c r="BT105" i="68"/>
  <c r="BT199" i="68"/>
  <c r="CC197" i="68"/>
  <c r="BX197" i="68"/>
  <c r="BV197" i="68"/>
  <c r="BY197" i="68"/>
  <c r="DL102" i="68"/>
  <c r="X26" i="76"/>
  <c r="W26" i="76"/>
  <c r="I212" i="68"/>
  <c r="C204" i="68"/>
  <c r="B204" i="68"/>
  <c r="V26" i="76"/>
  <c r="CK95" i="68"/>
  <c r="P37" i="9"/>
  <c r="P46" i="9"/>
  <c r="T59" i="58"/>
  <c r="P22" i="9"/>
  <c r="Q12" i="9"/>
  <c r="Q3" i="76"/>
  <c r="CC103" i="68"/>
  <c r="BY124" i="68"/>
  <c r="BY131" i="68"/>
  <c r="BZ117" i="68"/>
  <c r="BZ223" i="68" s="1"/>
  <c r="R25" i="76"/>
  <c r="S14" i="76"/>
  <c r="DW110" i="68" l="1"/>
  <c r="DW196" i="68" s="1"/>
  <c r="DX94" i="68"/>
  <c r="DW102" i="68"/>
  <c r="N52" i="112"/>
  <c r="N96" i="112"/>
  <c r="N107" i="112" s="1"/>
  <c r="N80" i="112"/>
  <c r="S20" i="76"/>
  <c r="Y26" i="76"/>
  <c r="Z26" i="76"/>
  <c r="CK197" i="68"/>
  <c r="CD197" i="68"/>
  <c r="CE197" i="68"/>
  <c r="DN102" i="68"/>
  <c r="DO102" i="68"/>
  <c r="DH94" i="68"/>
  <c r="CK103" i="68"/>
  <c r="CS95" i="68"/>
  <c r="CD103" i="68"/>
  <c r="R57" i="58"/>
  <c r="R61" i="58" s="1"/>
  <c r="Q28" i="9"/>
  <c r="CK124" i="68"/>
  <c r="CK131" i="68"/>
  <c r="R12" i="9"/>
  <c r="CG131" i="68"/>
  <c r="CG124" i="68"/>
  <c r="R3" i="76"/>
  <c r="BZ124" i="68"/>
  <c r="BZ131" i="68"/>
  <c r="CA117" i="68"/>
  <c r="CA223" i="68" s="1"/>
  <c r="Q22" i="9"/>
  <c r="S25" i="76"/>
  <c r="BZ95" i="68"/>
  <c r="BZ197" i="68" s="1"/>
  <c r="BY103" i="68"/>
  <c r="DX102" i="68" l="1"/>
  <c r="DX110" i="68"/>
  <c r="DH196" i="68"/>
  <c r="DH110" i="68"/>
  <c r="N105" i="112"/>
  <c r="N110" i="112"/>
  <c r="N109" i="112"/>
  <c r="N111" i="112"/>
  <c r="N112" i="112"/>
  <c r="N84" i="112"/>
  <c r="N86" i="112" s="1"/>
  <c r="CS197" i="68"/>
  <c r="CO197" i="68"/>
  <c r="CN197" i="68"/>
  <c r="CL197" i="68"/>
  <c r="CM197" i="68"/>
  <c r="DP102" i="68"/>
  <c r="CS103" i="68"/>
  <c r="DA95" i="68"/>
  <c r="CL103" i="68"/>
  <c r="CF95" i="68"/>
  <c r="CF197" i="68" s="1"/>
  <c r="Q37" i="9"/>
  <c r="AW29" i="68"/>
  <c r="Q46" i="9"/>
  <c r="S57" i="58"/>
  <c r="CD124" i="68"/>
  <c r="CD131" i="68"/>
  <c r="CE131" i="68"/>
  <c r="CE124" i="68"/>
  <c r="CF117" i="68"/>
  <c r="CF223" i="68" s="1"/>
  <c r="S12" i="9"/>
  <c r="CE103" i="68"/>
  <c r="S3" i="76"/>
  <c r="BZ103" i="68"/>
  <c r="CA95" i="68"/>
  <c r="CA197" i="68" s="1"/>
  <c r="R22" i="9"/>
  <c r="CA131" i="68"/>
  <c r="CB117" i="68"/>
  <c r="CB223" i="68" s="1"/>
  <c r="CA124" i="68"/>
  <c r="CG103" i="68"/>
  <c r="BU162" i="68"/>
  <c r="N87" i="112" l="1"/>
  <c r="N89" i="112"/>
  <c r="L205" i="68"/>
  <c r="DI95" i="68"/>
  <c r="DA197" i="68"/>
  <c r="CT197" i="68"/>
  <c r="CU197" i="68"/>
  <c r="CW197" i="68"/>
  <c r="CF103" i="68"/>
  <c r="C231" i="68"/>
  <c r="CH95" i="68"/>
  <c r="CH197" i="68" s="1"/>
  <c r="DA103" i="68"/>
  <c r="CO103" i="68"/>
  <c r="CO124" i="68"/>
  <c r="CO131" i="68"/>
  <c r="CM103" i="68"/>
  <c r="CF131" i="68"/>
  <c r="CH117" i="68"/>
  <c r="CH223" i="68" s="1"/>
  <c r="CF124" i="68"/>
  <c r="BE48" i="68"/>
  <c r="AW39" i="68"/>
  <c r="R5" i="58"/>
  <c r="R28" i="9"/>
  <c r="R6" i="58"/>
  <c r="CS124" i="68"/>
  <c r="CS131" i="68"/>
  <c r="S22" i="9"/>
  <c r="CA103" i="68"/>
  <c r="CB95" i="68"/>
  <c r="CB197" i="68" s="1"/>
  <c r="CB131" i="68"/>
  <c r="CB124" i="68"/>
  <c r="DI197" i="68" l="1"/>
  <c r="DC111" i="68"/>
  <c r="DI111" i="68"/>
  <c r="DD111" i="68"/>
  <c r="DB111" i="68"/>
  <c r="DE111" i="68"/>
  <c r="DF111" i="68"/>
  <c r="DF197" i="68"/>
  <c r="DD197" i="68"/>
  <c r="DE197" i="68"/>
  <c r="DI103" i="68"/>
  <c r="DC197" i="68"/>
  <c r="DB197" i="68"/>
  <c r="N205" i="68" s="1"/>
  <c r="DG95" i="68"/>
  <c r="DI125" i="68"/>
  <c r="M205" i="68"/>
  <c r="CY95" i="68"/>
  <c r="CY197" i="68" s="1"/>
  <c r="CH103" i="68"/>
  <c r="CI95" i="68"/>
  <c r="CW103" i="68"/>
  <c r="CB103" i="68"/>
  <c r="CU103" i="68"/>
  <c r="CM131" i="68"/>
  <c r="CM124" i="68"/>
  <c r="CN103" i="68"/>
  <c r="CP95" i="68"/>
  <c r="CP197" i="68" s="1"/>
  <c r="CL124" i="68"/>
  <c r="CL131" i="68"/>
  <c r="R37" i="9"/>
  <c r="AO29" i="68"/>
  <c r="R46" i="9"/>
  <c r="CI117" i="68"/>
  <c r="CI223" i="68" s="1"/>
  <c r="CH124" i="68"/>
  <c r="CH131" i="68"/>
  <c r="DG197" i="68" l="1"/>
  <c r="DG111" i="68"/>
  <c r="CI103" i="68"/>
  <c r="CI197" i="68"/>
  <c r="DE103" i="68"/>
  <c r="CZ95" i="68"/>
  <c r="CZ197" i="68" s="1"/>
  <c r="CY117" i="68"/>
  <c r="CY223" i="68" s="1"/>
  <c r="CJ95" i="68"/>
  <c r="CJ197" i="68" s="1"/>
  <c r="CT103" i="68"/>
  <c r="CV95" i="68"/>
  <c r="CQ95" i="68"/>
  <c r="CQ197" i="68" s="1"/>
  <c r="DA124" i="68"/>
  <c r="DA131" i="68"/>
  <c r="CP103" i="68"/>
  <c r="CP117" i="68"/>
  <c r="CP223" i="68" s="1"/>
  <c r="CN131" i="68"/>
  <c r="CN124" i="68"/>
  <c r="AO39" i="68"/>
  <c r="AM29" i="68"/>
  <c r="AO48" i="68"/>
  <c r="AW48" i="68"/>
  <c r="S5" i="58"/>
  <c r="S28" i="9"/>
  <c r="T57" i="58"/>
  <c r="S6" i="58"/>
  <c r="CI131" i="68"/>
  <c r="CI124" i="68"/>
  <c r="CJ117" i="68"/>
  <c r="CJ223" i="68" s="1"/>
  <c r="Y15" i="112" l="1"/>
  <c r="DD103" i="68"/>
  <c r="CV197" i="68"/>
  <c r="DM103" i="68"/>
  <c r="DK103" i="68"/>
  <c r="CJ103" i="68"/>
  <c r="DB103" i="68"/>
  <c r="CV103" i="68"/>
  <c r="CX95" i="68"/>
  <c r="CX197" i="68" s="1"/>
  <c r="CZ117" i="68"/>
  <c r="CZ223" i="68" s="1"/>
  <c r="CW131" i="68"/>
  <c r="CU131" i="68"/>
  <c r="CW124" i="68"/>
  <c r="CU124" i="68"/>
  <c r="CQ117" i="68"/>
  <c r="CQ223" i="68" s="1"/>
  <c r="CP124" i="68"/>
  <c r="CP131" i="68"/>
  <c r="CR95" i="68"/>
  <c r="CR197" i="68" s="1"/>
  <c r="CQ103" i="68"/>
  <c r="S37" i="9"/>
  <c r="S46" i="9"/>
  <c r="AS29" i="68"/>
  <c r="AT48" i="68"/>
  <c r="AN29" i="68"/>
  <c r="AT39" i="68"/>
  <c r="AU29" i="68"/>
  <c r="AM39" i="68"/>
  <c r="AM48" i="68"/>
  <c r="BB48" i="68"/>
  <c r="CJ131" i="68"/>
  <c r="CJ124" i="68"/>
  <c r="Z15" i="112" l="1"/>
  <c r="AA15" i="112" s="1"/>
  <c r="DJ103" i="68"/>
  <c r="CV117" i="68"/>
  <c r="CV223" i="68" s="1"/>
  <c r="CX103" i="68"/>
  <c r="CT131" i="68"/>
  <c r="CY103" i="68"/>
  <c r="CR103" i="68"/>
  <c r="CZ103" i="68"/>
  <c r="CR117" i="68"/>
  <c r="CQ131" i="68"/>
  <c r="CQ124" i="68"/>
  <c r="AV29" i="68"/>
  <c r="BC48" i="68"/>
  <c r="BR48" i="68"/>
  <c r="AU48" i="68"/>
  <c r="AU39" i="68"/>
  <c r="AS39" i="68"/>
  <c r="BA48" i="68"/>
  <c r="AS48" i="68"/>
  <c r="AN39" i="68"/>
  <c r="AN48" i="68"/>
  <c r="T5" i="58"/>
  <c r="U57" i="58"/>
  <c r="T6" i="58"/>
  <c r="N54" i="9"/>
  <c r="N27" i="9"/>
  <c r="B231" i="68" l="1"/>
  <c r="CR223" i="68"/>
  <c r="DL103" i="68"/>
  <c r="DC124" i="68"/>
  <c r="DF103" i="68"/>
  <c r="CV131" i="68"/>
  <c r="CX117" i="68"/>
  <c r="CX223" i="68" s="1"/>
  <c r="DC131" i="68"/>
  <c r="DE131" i="68"/>
  <c r="DE124" i="68"/>
  <c r="CR131" i="68"/>
  <c r="CR124" i="68"/>
  <c r="BD48" i="68"/>
  <c r="AV39" i="68"/>
  <c r="AV48" i="68"/>
  <c r="N56" i="9"/>
  <c r="N55" i="9"/>
  <c r="N9" i="56"/>
  <c r="N8" i="56"/>
  <c r="N5" i="56"/>
  <c r="N6" i="56"/>
  <c r="DG103" i="68" l="1"/>
  <c r="DH95" i="68"/>
  <c r="DH111" i="68" s="1"/>
  <c r="DN103" i="68"/>
  <c r="CX131" i="68"/>
  <c r="DB131" i="68"/>
  <c r="CY131" i="68"/>
  <c r="CZ131" i="68"/>
  <c r="O29" i="9"/>
  <c r="O6" i="76"/>
  <c r="O5" i="76"/>
  <c r="DH197" i="68" l="1"/>
  <c r="CG197" i="68"/>
  <c r="BW197" i="68"/>
  <c r="DM131" i="68"/>
  <c r="DK131" i="68"/>
  <c r="DH103" i="68"/>
  <c r="DO124" i="68"/>
  <c r="DK124" i="68"/>
  <c r="DM124" i="68"/>
  <c r="DD131" i="68"/>
  <c r="O49" i="9"/>
  <c r="O40" i="9"/>
  <c r="N35" i="9"/>
  <c r="N31" i="9"/>
  <c r="N45" i="9"/>
  <c r="J205" i="68" l="1"/>
  <c r="C205" i="68" s="1"/>
  <c r="K205" i="68"/>
  <c r="DP124" i="68"/>
  <c r="DJ124" i="68"/>
  <c r="DJ131" i="68"/>
  <c r="DF131" i="68"/>
  <c r="CC132" i="68"/>
  <c r="CC125" i="68"/>
  <c r="P29" i="9"/>
  <c r="P6" i="76"/>
  <c r="P5" i="76"/>
  <c r="N42" i="9"/>
  <c r="N51" i="9"/>
  <c r="N151" i="9"/>
  <c r="BU130" i="68"/>
  <c r="BU123" i="68"/>
  <c r="BU120" i="68"/>
  <c r="BS116" i="68"/>
  <c r="BS222" i="68" s="1"/>
  <c r="B205" i="68" l="1"/>
  <c r="BU226" i="68"/>
  <c r="BO226" i="68"/>
  <c r="BQ226" i="68"/>
  <c r="BP226" i="68"/>
  <c r="BN226" i="68"/>
  <c r="I234" i="68" s="1"/>
  <c r="BR226" i="68"/>
  <c r="DN131" i="68"/>
  <c r="DL131" i="68"/>
  <c r="DL124" i="68"/>
  <c r="DO131" i="68"/>
  <c r="DG131" i="68"/>
  <c r="BY132" i="68"/>
  <c r="BZ118" i="68"/>
  <c r="BZ224" i="68" s="1"/>
  <c r="P40" i="9"/>
  <c r="P49" i="9"/>
  <c r="BU127" i="68"/>
  <c r="BS120" i="68"/>
  <c r="BS226" i="68" s="1"/>
  <c r="BU138" i="68"/>
  <c r="BU140" i="68" s="1"/>
  <c r="BU134" i="68"/>
  <c r="BS130" i="68"/>
  <c r="BS123" i="68"/>
  <c r="BT116" i="68"/>
  <c r="BT222" i="68" s="1"/>
  <c r="N152" i="9"/>
  <c r="N154" i="9"/>
  <c r="DN124" i="68" l="1"/>
  <c r="DP131" i="68"/>
  <c r="DH131" i="68"/>
  <c r="CK132" i="68"/>
  <c r="CK125" i="68"/>
  <c r="BZ132" i="68"/>
  <c r="BZ125" i="68"/>
  <c r="CA118" i="68"/>
  <c r="CA224" i="68" s="1"/>
  <c r="BT123" i="68"/>
  <c r="BT130" i="68"/>
  <c r="BS134" i="68"/>
  <c r="BT120" i="68"/>
  <c r="BS127" i="68"/>
  <c r="BU146" i="68"/>
  <c r="BS140" i="68"/>
  <c r="BT140" i="68" s="1"/>
  <c r="BU143" i="68"/>
  <c r="N155" i="9"/>
  <c r="I239" i="68" l="1"/>
  <c r="BT226" i="68"/>
  <c r="CD132" i="68"/>
  <c r="CD125" i="68"/>
  <c r="CB118" i="68"/>
  <c r="CB224" i="68" s="1"/>
  <c r="CA132" i="68"/>
  <c r="CA125" i="68"/>
  <c r="CG132" i="68"/>
  <c r="CG125" i="68"/>
  <c r="CE132" i="68"/>
  <c r="CF118" i="68"/>
  <c r="CF224" i="68" s="1"/>
  <c r="CE125" i="68"/>
  <c r="N85" i="9"/>
  <c r="N90" i="9"/>
  <c r="BS143" i="68"/>
  <c r="BT143" i="68" s="1"/>
  <c r="BT127" i="68"/>
  <c r="BT134" i="68"/>
  <c r="BS146" i="68"/>
  <c r="N96" i="9" l="1"/>
  <c r="BT146" i="68"/>
  <c r="C232" i="68"/>
  <c r="CH118" i="68"/>
  <c r="CH224" i="68" s="1"/>
  <c r="CF132" i="68"/>
  <c r="CF125" i="68"/>
  <c r="CB132" i="68"/>
  <c r="CB125" i="68"/>
  <c r="N67" i="9"/>
  <c r="N91" i="9"/>
  <c r="CH132" i="68" l="1"/>
  <c r="CH125" i="68"/>
  <c r="CI118" i="68"/>
  <c r="CI224" i="68" s="1"/>
  <c r="N98" i="9"/>
  <c r="CI125" i="68" l="1"/>
  <c r="CJ118" i="68"/>
  <c r="CJ224" i="68" s="1"/>
  <c r="CI132" i="68"/>
  <c r="CJ125" i="68" l="1"/>
  <c r="CJ132" i="68"/>
  <c r="N107" i="9"/>
  <c r="N106" i="9"/>
  <c r="N122" i="9" l="1"/>
  <c r="BU164" i="68"/>
  <c r="BU159" i="68"/>
  <c r="BU170" i="68" l="1"/>
  <c r="BU171" i="68" s="1"/>
  <c r="N61" i="112" l="1"/>
  <c r="BU154" i="68"/>
  <c r="BU249" i="68" l="1"/>
  <c r="BR249" i="68"/>
  <c r="BO249" i="68"/>
  <c r="BP249" i="68"/>
  <c r="BQ249" i="68"/>
  <c r="BN249" i="68"/>
  <c r="I253" i="68" s="1"/>
  <c r="BS154" i="68"/>
  <c r="BS249" i="68" s="1"/>
  <c r="BT154" i="68" l="1"/>
  <c r="I258" i="68" l="1"/>
  <c r="BT249" i="68"/>
  <c r="BY97" i="68"/>
  <c r="BY101" i="68"/>
  <c r="BV101" i="68"/>
  <c r="BV97" i="68"/>
  <c r="BX97" i="68" l="1"/>
  <c r="BZ93" i="68"/>
  <c r="BV105" i="68"/>
  <c r="BY105" i="68"/>
  <c r="BZ98" i="68" l="1"/>
  <c r="BX105" i="68"/>
  <c r="BZ101" i="68"/>
  <c r="BZ97" i="68"/>
  <c r="BZ105" i="68" l="1"/>
  <c r="BY123" i="68" l="1"/>
  <c r="BY120" i="68"/>
  <c r="BY130" i="68"/>
  <c r="BY140" i="68" l="1"/>
  <c r="BY143" i="68" s="1"/>
  <c r="BZ154" i="68"/>
  <c r="BY134" i="68"/>
  <c r="BY127" i="68"/>
  <c r="N143" i="9" l="1"/>
  <c r="N98" i="112" s="1"/>
  <c r="N108" i="112" l="1"/>
  <c r="N104" i="112"/>
  <c r="N148" i="9"/>
  <c r="BV120" i="68" l="1"/>
  <c r="BV123" i="68"/>
  <c r="BV130" i="68"/>
  <c r="BX120" i="68" l="1"/>
  <c r="BV140" i="68"/>
  <c r="BZ116" i="68"/>
  <c r="BZ222" i="68" s="1"/>
  <c r="BV127" i="68"/>
  <c r="BV134" i="68"/>
  <c r="CA116" i="68" l="1"/>
  <c r="BV146" i="68"/>
  <c r="BV139" i="68"/>
  <c r="BV143" i="68"/>
  <c r="BX127" i="68"/>
  <c r="BX140" i="68"/>
  <c r="BX134" i="68"/>
  <c r="BZ120" i="68"/>
  <c r="BZ123" i="68"/>
  <c r="BZ130" i="68"/>
  <c r="CA222" i="68" l="1"/>
  <c r="BX143" i="68"/>
  <c r="BZ143" i="68" s="1"/>
  <c r="BX139" i="68"/>
  <c r="BV148" i="68"/>
  <c r="BW146" i="68"/>
  <c r="BZ134" i="68"/>
  <c r="BZ127" i="68"/>
  <c r="BW139" i="68" l="1"/>
  <c r="BY139" i="68"/>
  <c r="CB139" i="68" s="1"/>
  <c r="O109" i="9" l="1"/>
  <c r="CC152" i="68"/>
  <c r="BZ151" i="68" l="1"/>
  <c r="BX148" i="68" l="1"/>
  <c r="BY148" i="68" s="1"/>
  <c r="BW150" i="68"/>
  <c r="BW151" i="68" s="1"/>
  <c r="BX151" i="68"/>
  <c r="BY151" i="68" s="1"/>
  <c r="BW148" i="68" l="1"/>
  <c r="O19" i="56" l="1"/>
  <c r="O38" i="56" s="1"/>
  <c r="O53" i="9"/>
  <c r="O180" i="56"/>
  <c r="O20" i="56" l="1"/>
  <c r="O18" i="56"/>
  <c r="O43" i="56"/>
  <c r="O42" i="56"/>
  <c r="O31" i="56" l="1"/>
  <c r="O30" i="56"/>
  <c r="O26" i="56"/>
  <c r="O27" i="56" s="1"/>
  <c r="O14" i="9"/>
  <c r="O17" i="9"/>
  <c r="CC93" i="68"/>
  <c r="O95" i="111" l="1"/>
  <c r="O93" i="111"/>
  <c r="O87" i="111"/>
  <c r="O85" i="111"/>
  <c r="CC195" i="68"/>
  <c r="BV195" i="68"/>
  <c r="BW195" i="68"/>
  <c r="BX195" i="68"/>
  <c r="BZ195" i="68"/>
  <c r="CC98" i="68"/>
  <c r="O32" i="56"/>
  <c r="CC101" i="68"/>
  <c r="CC97" i="68"/>
  <c r="CA93" i="68"/>
  <c r="CA195" i="68" s="1"/>
  <c r="O58" i="9"/>
  <c r="O24" i="9"/>
  <c r="O146" i="9" l="1"/>
  <c r="O33" i="56"/>
  <c r="O19" i="111"/>
  <c r="O29" i="112"/>
  <c r="O31" i="112"/>
  <c r="J203" i="68"/>
  <c r="CC199" i="68"/>
  <c r="BW199" i="68"/>
  <c r="BY199" i="68"/>
  <c r="BV199" i="68"/>
  <c r="BX199" i="68"/>
  <c r="BZ199" i="68"/>
  <c r="O63" i="9"/>
  <c r="CA98" i="68"/>
  <c r="O73" i="9"/>
  <c r="O71" i="9"/>
  <c r="O65" i="9"/>
  <c r="O145" i="9"/>
  <c r="O69" i="9"/>
  <c r="O59" i="9"/>
  <c r="CA101" i="68"/>
  <c r="CB93" i="68"/>
  <c r="CB195" i="68" s="1"/>
  <c r="CC105" i="68"/>
  <c r="CA97" i="68"/>
  <c r="CA199" i="68" s="1"/>
  <c r="O76" i="111" l="1"/>
  <c r="O12" i="112"/>
  <c r="J207" i="68"/>
  <c r="CB98" i="68"/>
  <c r="CB101" i="68"/>
  <c r="CA105" i="68"/>
  <c r="CB97" i="68"/>
  <c r="O13" i="112" l="1"/>
  <c r="O153" i="9"/>
  <c r="O27" i="112"/>
  <c r="O67" i="111"/>
  <c r="O97" i="112"/>
  <c r="P97" i="112"/>
  <c r="J212" i="68"/>
  <c r="CB199" i="68"/>
  <c r="CC170" i="68"/>
  <c r="CB105" i="68"/>
  <c r="O80" i="112" l="1"/>
  <c r="O84" i="112" s="1"/>
  <c r="O86" i="112" s="1"/>
  <c r="O52" i="112"/>
  <c r="O96" i="112"/>
  <c r="O107" i="112" s="1"/>
  <c r="O147" i="9"/>
  <c r="O143" i="9"/>
  <c r="O98" i="112" s="1"/>
  <c r="O87" i="112" l="1"/>
  <c r="O89" i="112"/>
  <c r="O111" i="112"/>
  <c r="O109" i="112"/>
  <c r="O110" i="112"/>
  <c r="O112" i="112"/>
  <c r="O108" i="112"/>
  <c r="O105" i="112"/>
  <c r="O104" i="112" s="1"/>
  <c r="O148" i="9"/>
  <c r="CC162" i="68"/>
  <c r="CC142" i="68" l="1"/>
  <c r="CA142" i="68" s="1"/>
  <c r="CB142" i="68" s="1"/>
  <c r="P31" i="56" l="1"/>
  <c r="P26" i="56"/>
  <c r="P27" i="56" l="1"/>
  <c r="P30" i="56" s="1"/>
  <c r="P32" i="56" s="1"/>
  <c r="Q31" i="56"/>
  <c r="Q26" i="56"/>
  <c r="Q27" i="56" s="1"/>
  <c r="Q30" i="56" l="1"/>
  <c r="Q32" i="56" s="1"/>
  <c r="P33" i="56"/>
  <c r="Q33" i="56" l="1"/>
  <c r="CD101" i="68" l="1"/>
  <c r="CD97" i="68"/>
  <c r="CD105" i="68" l="1"/>
  <c r="CC123" i="68" l="1"/>
  <c r="CC130" i="68"/>
  <c r="CC120" i="68"/>
  <c r="CC226" i="68" l="1"/>
  <c r="BW226" i="68"/>
  <c r="BY226" i="68"/>
  <c r="BV226" i="68"/>
  <c r="J234" i="68" s="1"/>
  <c r="BX226" i="68"/>
  <c r="BZ226" i="68"/>
  <c r="CC134" i="68"/>
  <c r="CC127" i="68"/>
  <c r="CA120" i="68"/>
  <c r="CA226" i="68" s="1"/>
  <c r="CC140" i="68" l="1"/>
  <c r="CA140" i="68" s="1"/>
  <c r="CB140" i="68" s="1"/>
  <c r="CA138" i="68"/>
  <c r="CB138" i="68" s="1"/>
  <c r="O9" i="56"/>
  <c r="O8" i="56"/>
  <c r="O27" i="9"/>
  <c r="CB120" i="68"/>
  <c r="CB226" i="68" s="1"/>
  <c r="CA127" i="68"/>
  <c r="CA134" i="68"/>
  <c r="C234" i="68" l="1"/>
  <c r="CC143" i="68"/>
  <c r="CC146" i="68"/>
  <c r="O54" i="9"/>
  <c r="CB127" i="68"/>
  <c r="CB134" i="68"/>
  <c r="O35" i="9"/>
  <c r="O45" i="9"/>
  <c r="O31" i="9"/>
  <c r="CA143" i="68" l="1"/>
  <c r="CB143" i="68" s="1"/>
  <c r="CA146" i="68"/>
  <c r="O56" i="9"/>
  <c r="O55" i="9"/>
  <c r="O51" i="9"/>
  <c r="O42" i="9"/>
  <c r="O151" i="9"/>
  <c r="CB146" i="68" l="1"/>
  <c r="O152" i="9"/>
  <c r="O154" i="9"/>
  <c r="AW26" i="68" l="1"/>
  <c r="AW34" i="68" s="1"/>
  <c r="AW27" i="68"/>
  <c r="O155" i="9"/>
  <c r="CE101" i="68" l="1"/>
  <c r="CF93" i="68"/>
  <c r="BE52" i="68"/>
  <c r="AW43" i="68"/>
  <c r="O85" i="9"/>
  <c r="O90" i="9"/>
  <c r="BE46" i="68"/>
  <c r="AW37" i="68"/>
  <c r="O96" i="9" l="1"/>
  <c r="CF98" i="68"/>
  <c r="CF101" i="68"/>
  <c r="CE105" i="68"/>
  <c r="CF97" i="68"/>
  <c r="O67" i="9"/>
  <c r="O91" i="9"/>
  <c r="CF105" i="68" l="1"/>
  <c r="O98" i="9"/>
  <c r="O107" i="9" l="1"/>
  <c r="O106" i="9"/>
  <c r="O122" i="9" l="1"/>
  <c r="CC164" i="68"/>
  <c r="CC159" i="68"/>
  <c r="CC171" i="68" l="1"/>
  <c r="O119" i="9"/>
  <c r="O121" i="9"/>
  <c r="CC154" i="68" l="1"/>
  <c r="O61" i="112"/>
  <c r="O62" i="112" l="1"/>
  <c r="CC249" i="68"/>
  <c r="BX249" i="68"/>
  <c r="BV249" i="68"/>
  <c r="J253" i="68" s="1"/>
  <c r="BZ249" i="68"/>
  <c r="CB154" i="68"/>
  <c r="CB249" i="68" s="1"/>
  <c r="CA154" i="68"/>
  <c r="CA249" i="68" s="1"/>
  <c r="J258" i="68" l="1"/>
  <c r="P109" i="9" l="1"/>
  <c r="CK152" i="68"/>
  <c r="Q109" i="9" l="1"/>
  <c r="CU152" i="68" l="1"/>
  <c r="CW152" i="68" s="1"/>
  <c r="CY152" i="68" l="1"/>
  <c r="CZ152" i="68" s="1"/>
  <c r="DA152" i="68" s="1"/>
  <c r="R109" i="9" l="1"/>
  <c r="DC152" i="68"/>
  <c r="DE152" i="68" s="1"/>
  <c r="DG152" i="68" s="1"/>
  <c r="DH152" i="68" s="1"/>
  <c r="DI152" i="68" s="1"/>
  <c r="CA123" i="68" l="1"/>
  <c r="CA130" i="68"/>
  <c r="CB116" i="68"/>
  <c r="CB222" i="68" s="1"/>
  <c r="CB123" i="68" l="1"/>
  <c r="CB130" i="68"/>
  <c r="CD120" i="68" l="1"/>
  <c r="CD123" i="68"/>
  <c r="CD130" i="68"/>
  <c r="CD140" i="68" l="1"/>
  <c r="CD139" i="68" s="1"/>
  <c r="CD127" i="68"/>
  <c r="CD134" i="68"/>
  <c r="CD146" i="68" l="1"/>
  <c r="CD143" i="68"/>
  <c r="CD148" i="68" l="1"/>
  <c r="Q6" i="76"/>
  <c r="Q29" i="9"/>
  <c r="Q40" i="9" l="1"/>
  <c r="Q49" i="9"/>
  <c r="R29" i="9"/>
  <c r="R6" i="76"/>
  <c r="R40" i="9" l="1"/>
  <c r="R49" i="9"/>
  <c r="CS132" i="68"/>
  <c r="CS125" i="68"/>
  <c r="CY118" i="68" l="1"/>
  <c r="CY224" i="68" s="1"/>
  <c r="CL125" i="68"/>
  <c r="CL132" i="68"/>
  <c r="CM125" i="68"/>
  <c r="CM132" i="68"/>
  <c r="CP118" i="68"/>
  <c r="CP224" i="68" s="1"/>
  <c r="CO132" i="68"/>
  <c r="CO125" i="68"/>
  <c r="DA132" i="68"/>
  <c r="DA125" i="68"/>
  <c r="CE130" i="68"/>
  <c r="CF116" i="68"/>
  <c r="CF222" i="68" s="1"/>
  <c r="CE123" i="68"/>
  <c r="CZ118" i="68" l="1"/>
  <c r="CZ224" i="68" s="1"/>
  <c r="CW132" i="68"/>
  <c r="CW125" i="68"/>
  <c r="CN132" i="68"/>
  <c r="CN125" i="68"/>
  <c r="CT125" i="68"/>
  <c r="CU132" i="68"/>
  <c r="CU125" i="68"/>
  <c r="CP132" i="68"/>
  <c r="CP125" i="68"/>
  <c r="CQ118" i="68"/>
  <c r="CQ224" i="68" s="1"/>
  <c r="CF120" i="68"/>
  <c r="CE140" i="68"/>
  <c r="CE134" i="68"/>
  <c r="CE127" i="68"/>
  <c r="CF130" i="68"/>
  <c r="CF123" i="68"/>
  <c r="DE132" i="68" l="1"/>
  <c r="CT132" i="68"/>
  <c r="DC125" i="68"/>
  <c r="DC132" i="68"/>
  <c r="DE125" i="68"/>
  <c r="CV118" i="68"/>
  <c r="CV224" i="68" s="1"/>
  <c r="CE143" i="68"/>
  <c r="CE146" i="68"/>
  <c r="CQ125" i="68"/>
  <c r="CQ132" i="68"/>
  <c r="CR118" i="68"/>
  <c r="CR224" i="68" s="1"/>
  <c r="CF127" i="68"/>
  <c r="CF140" i="68"/>
  <c r="CF134" i="68"/>
  <c r="DB125" i="68" l="1"/>
  <c r="CV132" i="68"/>
  <c r="DB132" i="68"/>
  <c r="CV125" i="68"/>
  <c r="CX118" i="68"/>
  <c r="CX224" i="68" s="1"/>
  <c r="B232" i="68"/>
  <c r="CF143" i="68"/>
  <c r="CF146" i="68"/>
  <c r="CF139" i="68"/>
  <c r="CE139" i="68" s="1"/>
  <c r="CR132" i="68"/>
  <c r="CR125" i="68"/>
  <c r="DD132" i="68" l="1"/>
  <c r="DD125" i="68"/>
  <c r="CX125" i="68"/>
  <c r="CX132" i="68"/>
  <c r="DF132" i="68"/>
  <c r="DF125" i="68"/>
  <c r="CF148" i="68"/>
  <c r="CE148" i="68" s="1"/>
  <c r="CY125" i="68"/>
  <c r="CY132" i="68"/>
  <c r="CZ125" i="68" l="1"/>
  <c r="CZ132" i="68"/>
  <c r="CF151" i="68"/>
  <c r="CE151" i="68" s="1"/>
  <c r="CK70" i="68" l="1"/>
  <c r="CK74" i="68" s="1"/>
  <c r="P71" i="56" l="1"/>
  <c r="P43" i="56" l="1"/>
  <c r="P41" i="56"/>
  <c r="P51" i="56"/>
  <c r="P180" i="56" l="1"/>
  <c r="P53" i="9"/>
  <c r="P19" i="56"/>
  <c r="P38" i="56" s="1"/>
  <c r="P20" i="56" l="1"/>
  <c r="P18" i="56"/>
  <c r="P42" i="56"/>
  <c r="P17" i="9" l="1"/>
  <c r="CK93" i="68"/>
  <c r="P14" i="9"/>
  <c r="P95" i="111" l="1"/>
  <c r="P93" i="111"/>
  <c r="P87" i="111"/>
  <c r="P85" i="111"/>
  <c r="CK195" i="68"/>
  <c r="CD195" i="68"/>
  <c r="CE195" i="68"/>
  <c r="CF195" i="68"/>
  <c r="CK98" i="68"/>
  <c r="P24" i="9"/>
  <c r="P58" i="9"/>
  <c r="CK101" i="68"/>
  <c r="CK97" i="68"/>
  <c r="P146" i="9" l="1"/>
  <c r="P19" i="111"/>
  <c r="P31" i="112"/>
  <c r="P29" i="112"/>
  <c r="K203" i="68"/>
  <c r="CK199" i="68"/>
  <c r="CE199" i="68"/>
  <c r="CD199" i="68"/>
  <c r="CF199" i="68"/>
  <c r="P65" i="9"/>
  <c r="P73" i="9"/>
  <c r="P63" i="9"/>
  <c r="P71" i="9"/>
  <c r="CK105" i="68"/>
  <c r="CH93" i="68"/>
  <c r="CH195" i="68" s="1"/>
  <c r="CG101" i="68"/>
  <c r="CG97" i="68"/>
  <c r="CG199" i="68" s="1"/>
  <c r="P145" i="9"/>
  <c r="P69" i="9"/>
  <c r="P59" i="9"/>
  <c r="P76" i="111" l="1"/>
  <c r="P12" i="112"/>
  <c r="K207" i="68"/>
  <c r="CH98" i="68"/>
  <c r="CG105" i="68"/>
  <c r="CH97" i="68"/>
  <c r="CH199" i="68" s="1"/>
  <c r="CH101" i="68"/>
  <c r="CI93" i="68"/>
  <c r="CI195" i="68" s="1"/>
  <c r="P153" i="9" l="1"/>
  <c r="CK142" i="68" s="1"/>
  <c r="CK162" i="68"/>
  <c r="CJ162" i="68" s="1"/>
  <c r="P27" i="112"/>
  <c r="P13" i="112"/>
  <c r="P67" i="111"/>
  <c r="CI98" i="68"/>
  <c r="CJ93" i="68"/>
  <c r="CJ195" i="68" s="1"/>
  <c r="CI101" i="68"/>
  <c r="CH105" i="68"/>
  <c r="CI97" i="68"/>
  <c r="CI199" i="68" s="1"/>
  <c r="P80" i="112" l="1"/>
  <c r="P84" i="112" s="1"/>
  <c r="P86" i="112" s="1"/>
  <c r="P96" i="112"/>
  <c r="CI162" i="68"/>
  <c r="P52" i="112"/>
  <c r="CJ101" i="68"/>
  <c r="CJ98" i="68"/>
  <c r="CI105" i="68"/>
  <c r="CJ97" i="68"/>
  <c r="P87" i="112" l="1"/>
  <c r="P89" i="112"/>
  <c r="P105" i="112"/>
  <c r="P110" i="112"/>
  <c r="P111" i="112"/>
  <c r="P109" i="112"/>
  <c r="P112" i="112"/>
  <c r="P107" i="112"/>
  <c r="K212" i="68"/>
  <c r="CJ199" i="68"/>
  <c r="CJ105" i="68"/>
  <c r="CK139" i="68" l="1"/>
  <c r="CS139" i="68" l="1"/>
  <c r="CH150" i="68" l="1"/>
  <c r="CH151" i="68" l="1"/>
  <c r="CG151" i="68" l="1"/>
  <c r="CK168" i="68"/>
  <c r="CI168" i="68" l="1"/>
  <c r="CJ168" i="68"/>
  <c r="CG120" i="68" l="1"/>
  <c r="CH116" i="68"/>
  <c r="CH222" i="68" s="1"/>
  <c r="CG123" i="68"/>
  <c r="CG130" i="68"/>
  <c r="CH123" i="68" l="1"/>
  <c r="CH130" i="68"/>
  <c r="CG134" i="68"/>
  <c r="CG140" i="68"/>
  <c r="CG139" i="68" s="1"/>
  <c r="CH120" i="68"/>
  <c r="CG127" i="68"/>
  <c r="CH134" i="68" l="1"/>
  <c r="CH140" i="68"/>
  <c r="CH127" i="68"/>
  <c r="CH139" i="68" l="1"/>
  <c r="CH143" i="68"/>
  <c r="CG143" i="68" s="1"/>
  <c r="CH146" i="68"/>
  <c r="CG146" i="68" l="1"/>
  <c r="CH148" i="68"/>
  <c r="CG148" i="68" s="1"/>
  <c r="Q71" i="56" l="1"/>
  <c r="Q53" i="9" l="1"/>
  <c r="Q180" i="56"/>
  <c r="Q19" i="56"/>
  <c r="Q38" i="56" s="1"/>
  <c r="Q20" i="56" l="1"/>
  <c r="Q18" i="56"/>
  <c r="Q14" i="9"/>
  <c r="Q15" i="111" s="1"/>
  <c r="CS93" i="68"/>
  <c r="Q17" i="9"/>
  <c r="Q58" i="9" l="1"/>
  <c r="Q146" i="9" s="1"/>
  <c r="Q95" i="111"/>
  <c r="Q93" i="111"/>
  <c r="Q87" i="111"/>
  <c r="Q85" i="111"/>
  <c r="CS195" i="68"/>
  <c r="CO195" i="68"/>
  <c r="CN195" i="68"/>
  <c r="CL195" i="68"/>
  <c r="CM195" i="68"/>
  <c r="CS98" i="68"/>
  <c r="Q51" i="56"/>
  <c r="Q43" i="56"/>
  <c r="Q41" i="56"/>
  <c r="Q42" i="56"/>
  <c r="CS101" i="68"/>
  <c r="CS97" i="68"/>
  <c r="Q24" i="9"/>
  <c r="Q15" i="112" l="1"/>
  <c r="Q61" i="9"/>
  <c r="Q69" i="9"/>
  <c r="Q71" i="9"/>
  <c r="Q59" i="9"/>
  <c r="Q73" i="9"/>
  <c r="Q63" i="9"/>
  <c r="Q65" i="9"/>
  <c r="Q67" i="9"/>
  <c r="Q19" i="111"/>
  <c r="Q31" i="112"/>
  <c r="Q29" i="112"/>
  <c r="L203" i="68"/>
  <c r="CS199" i="68"/>
  <c r="CO199" i="68"/>
  <c r="CM199" i="68"/>
  <c r="CL101" i="68"/>
  <c r="Q145" i="9"/>
  <c r="CO101" i="68"/>
  <c r="CM101" i="68"/>
  <c r="CS105" i="68"/>
  <c r="Q76" i="111" l="1"/>
  <c r="Q12" i="112"/>
  <c r="CN101" i="68"/>
  <c r="CL97" i="68"/>
  <c r="CM105" i="68"/>
  <c r="CO105" i="68"/>
  <c r="CL199" i="68" l="1"/>
  <c r="L207" i="68" s="1"/>
  <c r="CS162" i="68"/>
  <c r="CQ162" i="68" s="1"/>
  <c r="Q13" i="112"/>
  <c r="Q67" i="111"/>
  <c r="Q153" i="9"/>
  <c r="CS142" i="68" s="1"/>
  <c r="CN97" i="68"/>
  <c r="CN199" i="68" s="1"/>
  <c r="CL105" i="68"/>
  <c r="CP93" i="68"/>
  <c r="CP195" i="68" s="1"/>
  <c r="CR162" i="68" l="1"/>
  <c r="CN105" i="68"/>
  <c r="CP101" i="68"/>
  <c r="CP98" i="68"/>
  <c r="CQ93" i="68"/>
  <c r="CQ195" i="68" s="1"/>
  <c r="CP97" i="68"/>
  <c r="CP199" i="68" s="1"/>
  <c r="CQ97" i="68" l="1"/>
  <c r="CQ98" i="68"/>
  <c r="CR93" i="68"/>
  <c r="CR195" i="68" s="1"/>
  <c r="CQ101" i="68"/>
  <c r="CP105" i="68"/>
  <c r="CQ199" i="68" l="1"/>
  <c r="CR98" i="68"/>
  <c r="CR101" i="68"/>
  <c r="CQ105" i="68"/>
  <c r="CR97" i="68"/>
  <c r="L212" i="68" l="1"/>
  <c r="CR199" i="68"/>
  <c r="CR105" i="68"/>
  <c r="DA139" i="68" l="1"/>
  <c r="CK170" i="68" l="1"/>
  <c r="CI170" i="68" l="1"/>
  <c r="CJ170" i="68"/>
  <c r="CS170" i="68" l="1"/>
  <c r="CQ170" i="68" s="1"/>
  <c r="CR170" i="68" l="1"/>
  <c r="P54" i="9" l="1"/>
  <c r="P56" i="9" l="1"/>
  <c r="P55" i="9"/>
  <c r="CS123" i="68" l="1"/>
  <c r="CS120" i="68"/>
  <c r="CS226" i="68" l="1"/>
  <c r="CM226" i="68"/>
  <c r="CO226" i="68"/>
  <c r="CO123" i="68"/>
  <c r="CO130" i="68"/>
  <c r="CS140" i="68"/>
  <c r="CS127" i="68"/>
  <c r="CM123" i="68"/>
  <c r="CM130" i="68"/>
  <c r="CL123" i="68"/>
  <c r="CL130" i="68"/>
  <c r="CL120" i="68"/>
  <c r="CL226" i="68" l="1"/>
  <c r="J239" i="68"/>
  <c r="CN120" i="68"/>
  <c r="CN226" i="68" s="1"/>
  <c r="CS143" i="68"/>
  <c r="CS146" i="68"/>
  <c r="CS138" i="68"/>
  <c r="CO127" i="68"/>
  <c r="CO134" i="68"/>
  <c r="CN123" i="68"/>
  <c r="CN130" i="68"/>
  <c r="CL127" i="68"/>
  <c r="CL140" i="68"/>
  <c r="CL134" i="68"/>
  <c r="CP116" i="68"/>
  <c r="CP222" i="68" s="1"/>
  <c r="L240" i="68" l="1"/>
  <c r="J240" i="68"/>
  <c r="H240" i="68"/>
  <c r="N240" i="68"/>
  <c r="E240" i="68"/>
  <c r="K240" i="68"/>
  <c r="D240" i="68"/>
  <c r="G240" i="68"/>
  <c r="M240" i="68"/>
  <c r="I240" i="68"/>
  <c r="F240" i="68"/>
  <c r="C230" i="68"/>
  <c r="CN140" i="68"/>
  <c r="CN143" i="68" s="1"/>
  <c r="CL146" i="68"/>
  <c r="CL143" i="68"/>
  <c r="CL139" i="68"/>
  <c r="CM140" i="68"/>
  <c r="CM139" i="68" s="1"/>
  <c r="CM127" i="68"/>
  <c r="CP130" i="68"/>
  <c r="CP120" i="68"/>
  <c r="CP226" i="68" s="1"/>
  <c r="CP123" i="68"/>
  <c r="CQ116" i="68"/>
  <c r="CQ222" i="68" s="1"/>
  <c r="Q85" i="9"/>
  <c r="CN127" i="68"/>
  <c r="CN134" i="68"/>
  <c r="CN146" i="68" l="1"/>
  <c r="CM146" i="68" s="1"/>
  <c r="CN139" i="68"/>
  <c r="CL148" i="68"/>
  <c r="CR116" i="68"/>
  <c r="CR222" i="68" s="1"/>
  <c r="CQ123" i="68"/>
  <c r="CQ120" i="68"/>
  <c r="Q91" i="9"/>
  <c r="CP127" i="68"/>
  <c r="CP134" i="68"/>
  <c r="CP140" i="68"/>
  <c r="CQ226" i="68" l="1"/>
  <c r="CN148" i="68"/>
  <c r="CM148" i="68" s="1"/>
  <c r="L239" i="68"/>
  <c r="CQ140" i="68"/>
  <c r="CP143" i="68"/>
  <c r="CP146" i="68"/>
  <c r="CP139" i="68"/>
  <c r="CR120" i="68"/>
  <c r="CR226" i="68" s="1"/>
  <c r="CR123" i="68"/>
  <c r="Q98" i="9"/>
  <c r="CQ127" i="68"/>
  <c r="CQ146" i="68" l="1"/>
  <c r="CO146" i="68"/>
  <c r="CP148" i="68"/>
  <c r="CO143" i="68"/>
  <c r="CQ143" i="68"/>
  <c r="Q101" i="9"/>
  <c r="CR140" i="68"/>
  <c r="CR127" i="68"/>
  <c r="CQ142" i="68" l="1"/>
  <c r="Q4" i="112"/>
  <c r="Q27" i="112" s="1"/>
  <c r="CR146" i="68"/>
  <c r="Q106" i="9"/>
  <c r="Q107" i="9"/>
  <c r="Q122" i="9" l="1"/>
  <c r="Q121" i="9"/>
  <c r="CS159" i="68"/>
  <c r="CQ159" i="68" s="1"/>
  <c r="CS164" i="68"/>
  <c r="CQ164" i="68" s="1"/>
  <c r="Q65" i="112" l="1"/>
  <c r="Q75" i="112" s="1"/>
  <c r="Q52" i="112"/>
  <c r="Q96" i="112"/>
  <c r="Q107" i="112" s="1"/>
  <c r="Q80" i="112"/>
  <c r="Q84" i="112" s="1"/>
  <c r="Q86" i="112" s="1"/>
  <c r="Q87" i="112" s="1"/>
  <c r="CR164" i="68"/>
  <c r="CR159" i="68"/>
  <c r="Q105" i="112" l="1"/>
  <c r="Q110" i="112"/>
  <c r="Q112" i="112"/>
  <c r="Q111" i="112"/>
  <c r="Q89" i="112"/>
  <c r="Q109" i="112"/>
  <c r="CS168" i="68" l="1"/>
  <c r="CQ168" i="68" s="1"/>
  <c r="CS171" i="68" l="1"/>
  <c r="CQ171" i="68"/>
  <c r="CR168" i="68"/>
  <c r="CR171" i="68" s="1"/>
  <c r="Q61" i="112" l="1"/>
  <c r="CS154" i="68"/>
  <c r="Q62" i="112" l="1"/>
  <c r="CS249" i="68"/>
  <c r="CM249" i="68"/>
  <c r="CP249" i="68"/>
  <c r="CL249" i="68"/>
  <c r="CO249" i="68"/>
  <c r="CN249" i="68"/>
  <c r="CQ154" i="68"/>
  <c r="CQ249" i="68" s="1"/>
  <c r="CR154" i="68" l="1"/>
  <c r="CR249" i="68" l="1"/>
  <c r="CK123" i="68"/>
  <c r="CK130" i="68"/>
  <c r="CS130" i="68"/>
  <c r="CI116" i="68"/>
  <c r="CK120" i="68"/>
  <c r="CI222" i="68" l="1"/>
  <c r="CK226" i="68"/>
  <c r="CE226" i="68"/>
  <c r="CD226" i="68"/>
  <c r="CF226" i="68"/>
  <c r="CG226" i="68"/>
  <c r="CH226" i="68"/>
  <c r="CK140" i="68"/>
  <c r="CK143" i="68" s="1"/>
  <c r="CQ130" i="68"/>
  <c r="P27" i="9"/>
  <c r="P8" i="56"/>
  <c r="P9" i="56"/>
  <c r="CK127" i="68"/>
  <c r="CI120" i="68"/>
  <c r="CI226" i="68" s="1"/>
  <c r="CS134" i="68"/>
  <c r="CK134" i="68"/>
  <c r="CI123" i="68"/>
  <c r="CI130" i="68"/>
  <c r="CJ116" i="68"/>
  <c r="CJ222" i="68" s="1"/>
  <c r="K234" i="68" l="1"/>
  <c r="L234" i="68"/>
  <c r="CI143" i="68"/>
  <c r="CJ143" i="68" s="1"/>
  <c r="B230" i="68"/>
  <c r="CK146" i="68"/>
  <c r="CK138" i="68"/>
  <c r="P45" i="9"/>
  <c r="P31" i="9"/>
  <c r="P35" i="9"/>
  <c r="CJ123" i="68"/>
  <c r="CJ130" i="68"/>
  <c r="CR130" i="68"/>
  <c r="CI140" i="68"/>
  <c r="CQ134" i="68"/>
  <c r="CJ120" i="68"/>
  <c r="CJ226" i="68" s="1"/>
  <c r="CI127" i="68"/>
  <c r="CI134" i="68"/>
  <c r="CR143" i="68"/>
  <c r="CI146" i="68" l="1"/>
  <c r="CJ146" i="68" s="1"/>
  <c r="B234" i="68"/>
  <c r="K239" i="68"/>
  <c r="P151" i="9"/>
  <c r="P42" i="9"/>
  <c r="P51" i="9"/>
  <c r="CJ127" i="68"/>
  <c r="CJ140" i="68"/>
  <c r="CJ134" i="68"/>
  <c r="CR134" i="68"/>
  <c r="P152" i="9" l="1"/>
  <c r="P154" i="9"/>
  <c r="P155" i="9" l="1"/>
  <c r="P85" i="9"/>
  <c r="P90" i="9"/>
  <c r="P96" i="9" l="1"/>
  <c r="P91" i="9"/>
  <c r="P67" i="9"/>
  <c r="P98" i="9" l="1"/>
  <c r="CK164" i="68" l="1"/>
  <c r="CI164" i="68" l="1"/>
  <c r="CJ164" i="68"/>
  <c r="P107" i="9"/>
  <c r="P106" i="9"/>
  <c r="P122" i="9" l="1"/>
  <c r="CK159" i="68"/>
  <c r="CK171" i="68" l="1"/>
  <c r="CI159" i="68"/>
  <c r="CI171" i="68" s="1"/>
  <c r="CJ159" i="68"/>
  <c r="CJ171" i="68" s="1"/>
  <c r="P61" i="112" l="1"/>
  <c r="CK154" i="68"/>
  <c r="P62" i="112" l="1"/>
  <c r="CK249" i="68"/>
  <c r="CD249" i="68"/>
  <c r="CE249" i="68"/>
  <c r="CH249" i="68"/>
  <c r="CF249" i="68"/>
  <c r="CI154" i="68"/>
  <c r="CI249" i="68" s="1"/>
  <c r="K253" i="68" l="1"/>
  <c r="L253" i="68"/>
  <c r="L258" i="68" s="1"/>
  <c r="CJ154" i="68"/>
  <c r="CJ249" i="68" s="1"/>
  <c r="K258" i="68" l="1"/>
  <c r="CC148" i="68" l="1"/>
  <c r="CC150" i="68" l="1"/>
  <c r="CA148" i="68"/>
  <c r="CB148" i="68" s="1"/>
  <c r="CK148" i="68"/>
  <c r="BU148" i="68"/>
  <c r="CJ148" i="68" l="1"/>
  <c r="CK150" i="68"/>
  <c r="CI148" i="68"/>
  <c r="CA150" i="68"/>
  <c r="CB150" i="68" s="1"/>
  <c r="CC151" i="68"/>
  <c r="BT148" i="68"/>
  <c r="BS148" i="68" s="1"/>
  <c r="BU150" i="68"/>
  <c r="CL151" i="68"/>
  <c r="CA151" i="68" l="1"/>
  <c r="CM151" i="68"/>
  <c r="BU151" i="68"/>
  <c r="BS151" i="68" s="1"/>
  <c r="BT151" i="68" s="1"/>
  <c r="BS150" i="68"/>
  <c r="BT150" i="68" s="1"/>
  <c r="O92" i="112"/>
  <c r="O93" i="112" s="1"/>
  <c r="CI150" i="68"/>
  <c r="CJ150" i="68" s="1"/>
  <c r="CK151" i="68"/>
  <c r="P92" i="112"/>
  <c r="P93" i="112" s="1"/>
  <c r="CI151" i="68" l="1"/>
  <c r="CB151" i="68"/>
  <c r="CJ151" i="68" l="1"/>
  <c r="Q143" i="9" l="1"/>
  <c r="Q98" i="112" s="1"/>
  <c r="Q108" i="112" l="1"/>
  <c r="Q104" i="112"/>
  <c r="P143" i="9"/>
  <c r="P98" i="112" s="1"/>
  <c r="Q147" i="9"/>
  <c r="P147" i="9"/>
  <c r="P108" i="112" l="1"/>
  <c r="P104" i="112"/>
  <c r="P148" i="9"/>
  <c r="Q148" i="9"/>
  <c r="CP151" i="68" l="1"/>
  <c r="CO151" i="68" l="1"/>
  <c r="CO148" i="68" l="1"/>
  <c r="CQ148" i="68" l="1"/>
  <c r="CQ150" i="68" s="1"/>
  <c r="CS150" i="68"/>
  <c r="CR148" i="68"/>
  <c r="CR150" i="68" s="1"/>
  <c r="CS151" i="68" l="1"/>
  <c r="CQ151" i="68" l="1"/>
  <c r="CR151" i="68" l="1"/>
  <c r="CY102" i="68"/>
  <c r="CY124" i="68"/>
  <c r="CZ102" i="68"/>
  <c r="CZ124" i="68"/>
  <c r="CV94" i="68" l="1"/>
  <c r="CT124" i="68"/>
  <c r="CT102" i="68"/>
  <c r="DD102" i="68" l="1"/>
  <c r="CV196" i="68"/>
  <c r="CV124" i="68"/>
  <c r="CX94" i="68"/>
  <c r="CV102" i="68"/>
  <c r="DB124" i="68"/>
  <c r="DB102" i="68"/>
  <c r="CX124" i="68" l="1"/>
  <c r="CX196" i="68"/>
  <c r="CX102" i="68"/>
  <c r="DD124" i="68"/>
  <c r="DF124" i="68" l="1"/>
  <c r="DF102" i="68"/>
  <c r="DG124" i="68" l="1"/>
  <c r="DG102" i="68"/>
  <c r="DH124" i="68" l="1"/>
  <c r="DH102" i="68"/>
  <c r="CU130" i="68" l="1"/>
  <c r="CU120" i="68"/>
  <c r="CV116" i="68"/>
  <c r="CV222" i="68" s="1"/>
  <c r="CT120" i="68"/>
  <c r="CT130" i="68"/>
  <c r="CU134" i="68" l="1"/>
  <c r="CU140" i="68"/>
  <c r="CU139" i="68" s="1"/>
  <c r="CV120" i="68"/>
  <c r="CV130" i="68"/>
  <c r="CT134" i="68"/>
  <c r="CT140" i="68"/>
  <c r="CT155" i="68" s="1"/>
  <c r="CV140" i="68" l="1"/>
  <c r="CT146" i="68"/>
  <c r="CT148" i="68" s="1"/>
  <c r="CT143" i="68"/>
  <c r="CT139" i="68"/>
  <c r="CV134" i="68"/>
  <c r="CU101" i="68"/>
  <c r="CU123" i="68"/>
  <c r="CV139" i="68" l="1"/>
  <c r="CV146" i="68"/>
  <c r="CV148" i="68" s="1"/>
  <c r="CV143" i="68"/>
  <c r="CU143" i="68" s="1"/>
  <c r="CV93" i="68"/>
  <c r="CU97" i="68"/>
  <c r="CT101" i="68"/>
  <c r="CT123" i="68"/>
  <c r="CU98" i="68"/>
  <c r="CU126" i="68"/>
  <c r="CU104" i="68"/>
  <c r="CZ148" i="68" l="1"/>
  <c r="CU148" i="68"/>
  <c r="DD101" i="68"/>
  <c r="DC105" i="68"/>
  <c r="CU105" i="68"/>
  <c r="CV123" i="68"/>
  <c r="CV101" i="68"/>
  <c r="CU127" i="68"/>
  <c r="CV96" i="68"/>
  <c r="CT104" i="68"/>
  <c r="CT126" i="68"/>
  <c r="CT98" i="68"/>
  <c r="CT97" i="68"/>
  <c r="DD104" i="68" l="1"/>
  <c r="CV126" i="68"/>
  <c r="CV104" i="68"/>
  <c r="CV98" i="68"/>
  <c r="CT127" i="68"/>
  <c r="CT105" i="68"/>
  <c r="CV97" i="68"/>
  <c r="DD105" i="68" l="1"/>
  <c r="CV105" i="68"/>
  <c r="CV127" i="68"/>
  <c r="CU155" i="68" l="1"/>
  <c r="CV154" i="68"/>
  <c r="CV155" i="68" l="1"/>
  <c r="CT151" i="68" l="1"/>
  <c r="G212" i="68" l="1"/>
  <c r="CU146" i="68" l="1"/>
  <c r="CV151" i="68"/>
  <c r="CU151" i="68" s="1"/>
  <c r="R74" i="56" l="1"/>
  <c r="R80" i="56"/>
  <c r="R81" i="56"/>
  <c r="R70" i="56"/>
  <c r="DA70" i="68" l="1"/>
  <c r="DA74" i="68" s="1"/>
  <c r="R71" i="56"/>
  <c r="CW101" i="68" l="1"/>
  <c r="CX93" i="68"/>
  <c r="CX101" i="68" l="1"/>
  <c r="CW126" i="68"/>
  <c r="CW98" i="68"/>
  <c r="CW104" i="68"/>
  <c r="CX96" i="68"/>
  <c r="CX104" i="68" l="1"/>
  <c r="CX98" i="68"/>
  <c r="CX126" i="68"/>
  <c r="CW105" i="68"/>
  <c r="CX97" i="68"/>
  <c r="CX105" i="68" l="1"/>
  <c r="CX116" i="68" l="1"/>
  <c r="CX222" i="68" s="1"/>
  <c r="CW130" i="68"/>
  <c r="CW123" i="68"/>
  <c r="CX120" i="68" l="1"/>
  <c r="CX130" i="68"/>
  <c r="CX123" i="68"/>
  <c r="CW134" i="68"/>
  <c r="CW140" i="68"/>
  <c r="CW139" i="68" s="1"/>
  <c r="CW127" i="68"/>
  <c r="CX140" i="68" l="1"/>
  <c r="CX134" i="68"/>
  <c r="CX127" i="68"/>
  <c r="CX139" i="68" l="1"/>
  <c r="CX143" i="68"/>
  <c r="CW143" i="68" s="1"/>
  <c r="CX146" i="68"/>
  <c r="CX148" i="68" s="1"/>
  <c r="CW148" i="68" l="1"/>
  <c r="CY148" i="68"/>
  <c r="CW155" i="68"/>
  <c r="CX154" i="68"/>
  <c r="CX155" i="68" l="1"/>
  <c r="CW146" i="68" l="1"/>
  <c r="CX151" i="68" l="1"/>
  <c r="CW151" i="68" s="1"/>
  <c r="B207" i="68" l="1"/>
  <c r="C206" i="68"/>
  <c r="C203" i="68"/>
  <c r="H212" i="68" l="1"/>
  <c r="L213" i="68" s="1"/>
  <c r="C207" i="68"/>
  <c r="B206" i="68"/>
  <c r="B203" i="68"/>
  <c r="M213" i="68" l="1"/>
  <c r="I213" i="68"/>
  <c r="K213" i="68"/>
  <c r="D213" i="68"/>
  <c r="H213" i="68"/>
  <c r="F213" i="68"/>
  <c r="J213" i="68"/>
  <c r="N213" i="68"/>
  <c r="E213" i="68"/>
  <c r="G213" i="68"/>
  <c r="R154" i="56" l="1"/>
  <c r="S154" i="56" s="1"/>
  <c r="T154" i="56" s="1"/>
  <c r="U154" i="56" s="1"/>
  <c r="Q96" i="56"/>
  <c r="R96" i="56" s="1"/>
  <c r="S96" i="56" s="1"/>
  <c r="T96" i="56" s="1"/>
  <c r="V96" i="56" s="1"/>
  <c r="Q92" i="56"/>
  <c r="Q94" i="56"/>
  <c r="R94" i="56" s="1"/>
  <c r="S94" i="56" s="1"/>
  <c r="T94" i="56" s="1"/>
  <c r="V94" i="56" s="1"/>
  <c r="W94" i="56" s="1"/>
  <c r="X94" i="56" s="1"/>
  <c r="Y94" i="56" s="1"/>
  <c r="Z94" i="56" s="1"/>
  <c r="AA94" i="56" s="1"/>
  <c r="Q93" i="56"/>
  <c r="R93" i="56" s="1"/>
  <c r="S93" i="56" s="1"/>
  <c r="Q91" i="56"/>
  <c r="Q95" i="56"/>
  <c r="Q90" i="56"/>
  <c r="Q98" i="56"/>
  <c r="R98" i="56" s="1"/>
  <c r="S98" i="56" s="1"/>
  <c r="Q97" i="56"/>
  <c r="R156" i="56"/>
  <c r="W96" i="56" l="1"/>
  <c r="X96" i="56" s="1"/>
  <c r="Y96" i="56" s="1"/>
  <c r="Z96" i="56" s="1"/>
  <c r="AA96" i="56" s="1"/>
  <c r="V154" i="56"/>
  <c r="T98" i="56"/>
  <c r="V98" i="56" s="1"/>
  <c r="W98" i="56" s="1"/>
  <c r="X98" i="56" s="1"/>
  <c r="Y98" i="56" s="1"/>
  <c r="Z98" i="56" s="1"/>
  <c r="AA98" i="56" s="1"/>
  <c r="T93" i="56"/>
  <c r="Q105" i="56"/>
  <c r="R95" i="56"/>
  <c r="Q104" i="56"/>
  <c r="R92" i="56"/>
  <c r="Q103" i="56"/>
  <c r="R125" i="56"/>
  <c r="S156" i="56"/>
  <c r="R155" i="56"/>
  <c r="R153" i="56" s="1"/>
  <c r="R91" i="56"/>
  <c r="R90" i="56"/>
  <c r="Q151" i="56"/>
  <c r="Q152" i="56" s="1"/>
  <c r="Q157" i="56" s="1"/>
  <c r="Q102" i="56"/>
  <c r="R97" i="56"/>
  <c r="W154" i="56" l="1"/>
  <c r="X154" i="56" s="1"/>
  <c r="Y154" i="56" s="1"/>
  <c r="Z154" i="56" s="1"/>
  <c r="AA154" i="56" s="1"/>
  <c r="V93" i="56"/>
  <c r="S95" i="56"/>
  <c r="R104" i="56"/>
  <c r="R105" i="56"/>
  <c r="S92" i="56"/>
  <c r="R103" i="56"/>
  <c r="Q107" i="56"/>
  <c r="Q106" i="56"/>
  <c r="S91" i="56"/>
  <c r="T156" i="56"/>
  <c r="U156" i="56" s="1"/>
  <c r="V156" i="56" s="1"/>
  <c r="W156" i="56" s="1"/>
  <c r="X156" i="56" s="1"/>
  <c r="Y156" i="56" s="1"/>
  <c r="Z156" i="56" s="1"/>
  <c r="AA156" i="56" s="1"/>
  <c r="Q158" i="56"/>
  <c r="Q119" i="56"/>
  <c r="S97" i="56"/>
  <c r="T97" i="56" s="1"/>
  <c r="R102" i="56"/>
  <c r="S90" i="56"/>
  <c r="R151" i="56"/>
  <c r="R152" i="56" s="1"/>
  <c r="R157" i="56" s="1"/>
  <c r="W93" i="56" l="1"/>
  <c r="T95" i="56"/>
  <c r="S104" i="56"/>
  <c r="S105" i="56"/>
  <c r="T92" i="56"/>
  <c r="S103" i="56"/>
  <c r="T91" i="56"/>
  <c r="Q108" i="56"/>
  <c r="Q110" i="56"/>
  <c r="Q112" i="56"/>
  <c r="R158" i="56"/>
  <c r="R119" i="56"/>
  <c r="T90" i="56"/>
  <c r="R107" i="56"/>
  <c r="R106" i="56"/>
  <c r="Q54" i="9"/>
  <c r="T105" i="56"/>
  <c r="X93" i="56" l="1"/>
  <c r="Q101" i="56"/>
  <c r="U95" i="56"/>
  <c r="T104" i="56"/>
  <c r="V92" i="56"/>
  <c r="T103" i="56"/>
  <c r="R108" i="56"/>
  <c r="R110" i="56"/>
  <c r="R112" i="56"/>
  <c r="Q56" i="9"/>
  <c r="Q55" i="9"/>
  <c r="Q114" i="56"/>
  <c r="U97" i="56"/>
  <c r="W92" i="56" l="1"/>
  <c r="Y93" i="56"/>
  <c r="Z93" i="56" s="1"/>
  <c r="AA93" i="56" s="1"/>
  <c r="R101" i="56"/>
  <c r="V95" i="56"/>
  <c r="V90" i="56"/>
  <c r="V97" i="56"/>
  <c r="V91" i="56"/>
  <c r="R114" i="56"/>
  <c r="Q92" i="112"/>
  <c r="Q93" i="112" s="1"/>
  <c r="X92" i="56" l="1"/>
  <c r="W95" i="56"/>
  <c r="W90" i="56"/>
  <c r="W97" i="56"/>
  <c r="X97" i="56" s="1"/>
  <c r="Y97" i="56" s="1"/>
  <c r="W91" i="56"/>
  <c r="Y92" i="56" l="1"/>
  <c r="X95" i="56"/>
  <c r="Y105" i="56"/>
  <c r="Z97" i="56"/>
  <c r="X90" i="56"/>
  <c r="X91" i="56"/>
  <c r="Z92" i="56" l="1"/>
  <c r="Y103" i="56"/>
  <c r="Y91" i="56"/>
  <c r="Z91" i="56" s="1"/>
  <c r="Y90" i="56"/>
  <c r="AA97" i="56"/>
  <c r="Y95" i="56"/>
  <c r="Z105" i="56"/>
  <c r="R180" i="56"/>
  <c r="Z103" i="56" l="1"/>
  <c r="AA92" i="56"/>
  <c r="Z90" i="56"/>
  <c r="AA91" i="56"/>
  <c r="AA105" i="56"/>
  <c r="Z95" i="56"/>
  <c r="Y104" i="56"/>
  <c r="R41" i="56"/>
  <c r="R51" i="56"/>
  <c r="R42" i="56"/>
  <c r="AA103" i="56" l="1"/>
  <c r="AA90" i="56"/>
  <c r="Z104" i="56"/>
  <c r="AA95" i="56"/>
  <c r="R14" i="9"/>
  <c r="R15" i="111" s="1"/>
  <c r="DA93" i="68"/>
  <c r="R17" i="9"/>
  <c r="AO6" i="68"/>
  <c r="R43" i="56"/>
  <c r="AA104" i="56" l="1"/>
  <c r="R95" i="111"/>
  <c r="R93" i="111"/>
  <c r="R87" i="111"/>
  <c r="R85" i="111"/>
  <c r="DA195" i="68"/>
  <c r="CW195" i="68"/>
  <c r="CT195" i="68"/>
  <c r="CU195" i="68"/>
  <c r="CV195" i="68"/>
  <c r="CX195" i="68"/>
  <c r="R23" i="9"/>
  <c r="R41" i="9"/>
  <c r="DA96" i="68"/>
  <c r="AO11" i="68"/>
  <c r="AO14" i="68" s="1"/>
  <c r="R26" i="56"/>
  <c r="R27" i="56" s="1"/>
  <c r="R31" i="56"/>
  <c r="R30" i="56"/>
  <c r="DA101" i="68"/>
  <c r="CY93" i="68"/>
  <c r="CY195" i="68" s="1"/>
  <c r="AW17" i="68"/>
  <c r="AO17" i="68"/>
  <c r="AM6" i="68"/>
  <c r="M203" i="68" l="1"/>
  <c r="DA198" i="68"/>
  <c r="DI104" i="68"/>
  <c r="CW198" i="68"/>
  <c r="CU198" i="68"/>
  <c r="CT198" i="68"/>
  <c r="CV198" i="68"/>
  <c r="CX198" i="68"/>
  <c r="DA97" i="68"/>
  <c r="DA98" i="68"/>
  <c r="R24" i="9"/>
  <c r="R58" i="9"/>
  <c r="R146" i="9" s="1"/>
  <c r="CZ93" i="68"/>
  <c r="CZ195" i="68" s="1"/>
  <c r="CY101" i="68"/>
  <c r="R32" i="56"/>
  <c r="AW22" i="68"/>
  <c r="AO42" i="68"/>
  <c r="AO22" i="68"/>
  <c r="AM11" i="68"/>
  <c r="AT14" i="68" s="1"/>
  <c r="DA104" i="68"/>
  <c r="CY96" i="68"/>
  <c r="CY198" i="68" s="1"/>
  <c r="DA126" i="68"/>
  <c r="BB17" i="68"/>
  <c r="AM17" i="68"/>
  <c r="AT17" i="68"/>
  <c r="AS6" i="68"/>
  <c r="AN6" i="68"/>
  <c r="AU6" i="68"/>
  <c r="AO23" i="68"/>
  <c r="AW23" i="68"/>
  <c r="R15" i="112" l="1"/>
  <c r="R61" i="9"/>
  <c r="R19" i="111"/>
  <c r="R29" i="112"/>
  <c r="R31" i="112"/>
  <c r="M206" i="68"/>
  <c r="N206" i="68"/>
  <c r="DA199" i="68"/>
  <c r="CW199" i="68"/>
  <c r="CU199" i="68"/>
  <c r="CT199" i="68"/>
  <c r="CV199" i="68"/>
  <c r="CX199" i="68"/>
  <c r="CY97" i="68"/>
  <c r="DA105" i="68"/>
  <c r="R67" i="9"/>
  <c r="R73" i="9"/>
  <c r="R65" i="9"/>
  <c r="R71" i="9"/>
  <c r="AM14" i="68"/>
  <c r="AT23" i="68" s="1"/>
  <c r="BR17" i="68"/>
  <c r="BC17" i="68"/>
  <c r="AU17" i="68"/>
  <c r="AV6" i="68"/>
  <c r="CZ101" i="68"/>
  <c r="AN17" i="68"/>
  <c r="R33" i="56"/>
  <c r="AT42" i="68"/>
  <c r="AM42" i="68"/>
  <c r="AN11" i="68"/>
  <c r="AN14" i="68" s="1"/>
  <c r="AN23" i="68" s="1"/>
  <c r="BB22" i="68"/>
  <c r="AM22" i="68"/>
  <c r="AT22" i="68"/>
  <c r="AS11" i="68"/>
  <c r="AS14" i="68" s="1"/>
  <c r="AU11" i="68"/>
  <c r="R59" i="9"/>
  <c r="R145" i="9"/>
  <c r="R69" i="9"/>
  <c r="AS17" i="68"/>
  <c r="BA17" i="68"/>
  <c r="CY126" i="68"/>
  <c r="CY104" i="68"/>
  <c r="CY98" i="68"/>
  <c r="CZ96" i="68"/>
  <c r="CZ97" i="68" l="1"/>
  <c r="CZ199" i="68" s="1"/>
  <c r="R76" i="111"/>
  <c r="R12" i="112"/>
  <c r="M207" i="68"/>
  <c r="CZ98" i="68"/>
  <c r="CZ198" i="68"/>
  <c r="CY105" i="68"/>
  <c r="CY199" i="68"/>
  <c r="M212" i="68"/>
  <c r="AM23" i="68"/>
  <c r="BB23" i="68"/>
  <c r="DB101" i="68"/>
  <c r="AU42" i="68"/>
  <c r="BR22" i="68"/>
  <c r="BC22" i="68"/>
  <c r="AU22" i="68"/>
  <c r="AV11" i="68"/>
  <c r="AV14" i="68" s="1"/>
  <c r="AU14" i="68"/>
  <c r="CZ104" i="68"/>
  <c r="CZ126" i="68"/>
  <c r="AS22" i="68"/>
  <c r="AS42" i="68"/>
  <c r="BA22" i="68"/>
  <c r="BA23" i="68"/>
  <c r="AS23" i="68"/>
  <c r="DC98" i="68"/>
  <c r="DC126" i="68"/>
  <c r="BD17" i="68"/>
  <c r="AV17" i="68"/>
  <c r="AN22" i="68"/>
  <c r="AN42" i="68"/>
  <c r="CZ105" i="68" l="1"/>
  <c r="R67" i="111"/>
  <c r="R153" i="9"/>
  <c r="DA142" i="68" s="1"/>
  <c r="R13" i="112"/>
  <c r="DA162" i="68"/>
  <c r="CZ162" i="68" s="1"/>
  <c r="DB104" i="68"/>
  <c r="DB126" i="68"/>
  <c r="DB98" i="68"/>
  <c r="BD22" i="68"/>
  <c r="AV22" i="68"/>
  <c r="AV42" i="68"/>
  <c r="BR23" i="68"/>
  <c r="BC23" i="68"/>
  <c r="AU23" i="68"/>
  <c r="BD23" i="68"/>
  <c r="AV23" i="68"/>
  <c r="CY162" i="68" l="1"/>
  <c r="DD98" i="68"/>
  <c r="DD126" i="68"/>
  <c r="DB105" i="68"/>
  <c r="CY170" i="68"/>
  <c r="CZ170" i="68"/>
  <c r="DA123" i="68" l="1"/>
  <c r="DA130" i="68"/>
  <c r="CY116" i="68"/>
  <c r="CY222" i="68" s="1"/>
  <c r="DA120" i="68"/>
  <c r="AO34" i="68"/>
  <c r="DA226" i="68" l="1"/>
  <c r="DI134" i="68"/>
  <c r="CW226" i="68"/>
  <c r="CU226" i="68"/>
  <c r="CT226" i="68"/>
  <c r="CV226" i="68"/>
  <c r="CX226" i="68"/>
  <c r="AM34" i="68"/>
  <c r="AW52" i="68"/>
  <c r="AO43" i="68"/>
  <c r="AO52" i="68"/>
  <c r="DA134" i="68"/>
  <c r="DA140" i="68"/>
  <c r="DA127" i="68"/>
  <c r="CY130" i="68"/>
  <c r="CY123" i="68"/>
  <c r="CY120" i="68"/>
  <c r="CZ116" i="68"/>
  <c r="CZ222" i="68" s="1"/>
  <c r="CY226" i="68" l="1"/>
  <c r="M234" i="68"/>
  <c r="N234" i="68"/>
  <c r="CY140" i="68"/>
  <c r="CY134" i="68"/>
  <c r="CY127" i="68"/>
  <c r="M239" i="68"/>
  <c r="DA138" i="68"/>
  <c r="DA143" i="68"/>
  <c r="DA146" i="68"/>
  <c r="AM43" i="68"/>
  <c r="BB52" i="68"/>
  <c r="AT43" i="68"/>
  <c r="AM52" i="68"/>
  <c r="AN34" i="68"/>
  <c r="AT52" i="68"/>
  <c r="CZ130" i="68"/>
  <c r="CZ123" i="68"/>
  <c r="CZ120" i="68"/>
  <c r="CZ226" i="68" s="1"/>
  <c r="AU34" i="68"/>
  <c r="CY143" i="68" l="1"/>
  <c r="BC52" i="68"/>
  <c r="AU43" i="68"/>
  <c r="AU52" i="68"/>
  <c r="BR52" i="68"/>
  <c r="AN52" i="68"/>
  <c r="AN43" i="68"/>
  <c r="CZ127" i="68"/>
  <c r="CZ140" i="68"/>
  <c r="CZ134" i="68"/>
  <c r="CY146" i="68"/>
  <c r="R85" i="9"/>
  <c r="R90" i="9"/>
  <c r="CZ143" i="68" l="1"/>
  <c r="R96" i="9"/>
  <c r="R91" i="9"/>
  <c r="CZ146" i="68"/>
  <c r="CY150" i="68"/>
  <c r="R63" i="9"/>
  <c r="R98" i="9" l="1"/>
  <c r="R101" i="9" l="1"/>
  <c r="R4" i="112" l="1"/>
  <c r="R27" i="112" s="1"/>
  <c r="R106" i="9"/>
  <c r="R107" i="9"/>
  <c r="DA159" i="68" l="1"/>
  <c r="R122" i="9"/>
  <c r="R96" i="112" l="1"/>
  <c r="R112" i="112" s="1"/>
  <c r="R65" i="112"/>
  <c r="R75" i="112" s="1"/>
  <c r="R52" i="112"/>
  <c r="R80" i="112"/>
  <c r="R84" i="112" s="1"/>
  <c r="R86" i="112" s="1"/>
  <c r="R87" i="112" s="1"/>
  <c r="CZ164" i="68"/>
  <c r="CY164" i="68"/>
  <c r="CY159" i="68"/>
  <c r="CZ159" i="68"/>
  <c r="R121" i="9"/>
  <c r="R110" i="112" l="1"/>
  <c r="R109" i="112"/>
  <c r="R107" i="112"/>
  <c r="R111" i="112"/>
  <c r="R105" i="112"/>
  <c r="R89" i="112"/>
  <c r="CY168" i="68" l="1"/>
  <c r="CY171" i="68" s="1"/>
  <c r="CZ168" i="68"/>
  <c r="CZ171" i="68" s="1"/>
  <c r="DA171" i="68"/>
  <c r="R61" i="112" l="1"/>
  <c r="DA154" i="68"/>
  <c r="R62" i="112" l="1"/>
  <c r="DA249" i="68"/>
  <c r="CU249" i="68"/>
  <c r="CT249" i="68"/>
  <c r="CW249" i="68"/>
  <c r="CV249" i="68"/>
  <c r="CX249" i="68"/>
  <c r="DA155" i="68"/>
  <c r="CY154" i="68"/>
  <c r="CY249" i="68" s="1"/>
  <c r="M253" i="68" l="1"/>
  <c r="M258" i="68" s="1"/>
  <c r="CY155" i="68"/>
  <c r="CZ154" i="68"/>
  <c r="CZ249" i="68" s="1"/>
  <c r="CZ155" i="68" l="1"/>
  <c r="DO152" i="68" l="1"/>
  <c r="DP152" i="68" s="1"/>
  <c r="DQ152" i="68" s="1"/>
  <c r="DA150" i="68" l="1"/>
  <c r="DA151" i="68" s="1"/>
  <c r="CY151" i="68" s="1"/>
  <c r="CZ150" i="68"/>
  <c r="CZ151" i="68" l="1"/>
  <c r="R92" i="112" l="1"/>
  <c r="R93" i="112" s="1"/>
  <c r="DC123" i="68" l="1"/>
  <c r="DC130" i="68"/>
  <c r="DD116" i="68" l="1"/>
  <c r="DC120" i="68"/>
  <c r="DB130" i="68"/>
  <c r="DB123" i="68"/>
  <c r="DC226" i="68" l="1"/>
  <c r="DF116" i="68"/>
  <c r="DD222" i="68"/>
  <c r="DD120" i="68"/>
  <c r="DD226" i="68" s="1"/>
  <c r="DC140" i="68"/>
  <c r="DC139" i="68" s="1"/>
  <c r="DC134" i="68"/>
  <c r="DC127" i="68"/>
  <c r="DD123" i="68"/>
  <c r="DD130" i="68"/>
  <c r="DB134" i="68"/>
  <c r="DB127" i="68"/>
  <c r="DF120" i="68" l="1"/>
  <c r="DF222" i="68"/>
  <c r="DD140" i="68"/>
  <c r="DD134" i="68"/>
  <c r="DD127" i="68"/>
  <c r="DF140" i="68" l="1"/>
  <c r="DF226" i="68"/>
  <c r="DD139" i="68"/>
  <c r="DD143" i="68"/>
  <c r="DD146" i="68"/>
  <c r="DF139" i="68" l="1"/>
  <c r="DF146" i="68"/>
  <c r="DF143" i="68"/>
  <c r="DE143" i="68" s="1"/>
  <c r="DF155" i="68"/>
  <c r="DC143" i="68"/>
  <c r="DD148" i="68"/>
  <c r="DC146" i="68"/>
  <c r="DD151" i="68"/>
  <c r="DG146" i="68" l="1"/>
  <c r="DF148" i="68"/>
  <c r="DE148" i="68" s="1"/>
  <c r="DE146" i="68"/>
  <c r="DC148" i="68"/>
  <c r="DC151" i="68"/>
  <c r="DC155" i="68" l="1"/>
  <c r="DD155" i="68" l="1"/>
  <c r="R147" i="9" l="1"/>
  <c r="R143" i="9" l="1"/>
  <c r="R98" i="112" s="1"/>
  <c r="R108" i="112" l="1"/>
  <c r="R104" i="112"/>
  <c r="R148" i="9"/>
  <c r="S125" i="56" l="1"/>
  <c r="S74" i="56" l="1"/>
  <c r="S80" i="56"/>
  <c r="S81" i="56"/>
  <c r="S155" i="56"/>
  <c r="S153" i="56" s="1"/>
  <c r="S151" i="56"/>
  <c r="S152" i="56" s="1"/>
  <c r="S102" i="56"/>
  <c r="S157" i="56" l="1"/>
  <c r="S119" i="56" l="1"/>
  <c r="S158" i="56"/>
  <c r="S70" i="56" l="1"/>
  <c r="S71" i="56" l="1"/>
  <c r="DI70" i="68"/>
  <c r="DI74" i="68" s="1"/>
  <c r="S107" i="56"/>
  <c r="S106" i="56"/>
  <c r="S110" i="56" l="1"/>
  <c r="S112" i="56"/>
  <c r="S108" i="56"/>
  <c r="S101" i="56" l="1"/>
  <c r="S114" i="56"/>
  <c r="S180" i="56" l="1"/>
  <c r="S51" i="56" l="1"/>
  <c r="S41" i="56"/>
  <c r="S14" i="9" l="1"/>
  <c r="S15" i="111" s="1"/>
  <c r="DI93" i="68"/>
  <c r="S17" i="9"/>
  <c r="DF109" i="68" l="1"/>
  <c r="DC109" i="68"/>
  <c r="DI109" i="68"/>
  <c r="DD109" i="68"/>
  <c r="DB109" i="68"/>
  <c r="DE109" i="68"/>
  <c r="S95" i="111"/>
  <c r="S93" i="111"/>
  <c r="S87" i="111"/>
  <c r="S85" i="111"/>
  <c r="DI123" i="68"/>
  <c r="DG93" i="68"/>
  <c r="DC195" i="68"/>
  <c r="DD195" i="68"/>
  <c r="DF195" i="68"/>
  <c r="DB195" i="68"/>
  <c r="DE195" i="68"/>
  <c r="DI195" i="68"/>
  <c r="DI98" i="68"/>
  <c r="DI97" i="68"/>
  <c r="DI101" i="68"/>
  <c r="S41" i="9"/>
  <c r="S23" i="9"/>
  <c r="DG195" i="68" l="1"/>
  <c r="DG109" i="68"/>
  <c r="DB112" i="68"/>
  <c r="DF112" i="68"/>
  <c r="DE112" i="68"/>
  <c r="DD112" i="68"/>
  <c r="DI112" i="68"/>
  <c r="DC112" i="68"/>
  <c r="N203" i="68"/>
  <c r="DC199" i="68"/>
  <c r="DI199" i="68"/>
  <c r="DI127" i="68"/>
  <c r="DF199" i="68"/>
  <c r="DG97" i="68"/>
  <c r="DG112" i="68" s="1"/>
  <c r="DB199" i="68"/>
  <c r="DE199" i="68"/>
  <c r="DD199" i="68"/>
  <c r="DI105" i="68"/>
  <c r="S58" i="9"/>
  <c r="S146" i="9" s="1"/>
  <c r="S24" i="9"/>
  <c r="DE101" i="68"/>
  <c r="S15" i="112" l="1"/>
  <c r="DG199" i="68"/>
  <c r="S61" i="9"/>
  <c r="S19" i="111"/>
  <c r="S29" i="112"/>
  <c r="S31" i="112"/>
  <c r="N207" i="68"/>
  <c r="S59" i="9"/>
  <c r="S69" i="9"/>
  <c r="S145" i="9"/>
  <c r="S85" i="9"/>
  <c r="S73" i="9"/>
  <c r="S147" i="9"/>
  <c r="S91" i="9"/>
  <c r="S65" i="9"/>
  <c r="S67" i="9"/>
  <c r="S71" i="9"/>
  <c r="S148" i="9"/>
  <c r="DE105" i="68"/>
  <c r="DE98" i="68"/>
  <c r="DE126" i="68"/>
  <c r="DE104" i="68"/>
  <c r="DF101" i="68"/>
  <c r="S76" i="111" l="1"/>
  <c r="S12" i="112"/>
  <c r="S27" i="112" s="1"/>
  <c r="DF104" i="68"/>
  <c r="DF126" i="68"/>
  <c r="DF98" i="68"/>
  <c r="DF105" i="68"/>
  <c r="DH93" i="68"/>
  <c r="DH109" i="68" s="1"/>
  <c r="DG101" i="68"/>
  <c r="S153" i="9" l="1"/>
  <c r="DI162" i="68"/>
  <c r="DG162" i="68" s="1"/>
  <c r="S67" i="111"/>
  <c r="S13" i="112"/>
  <c r="DG170" i="68"/>
  <c r="DH170" i="68"/>
  <c r="DH195" i="68"/>
  <c r="CG195" i="68"/>
  <c r="BY195" i="68"/>
  <c r="DG104" i="68"/>
  <c r="DH96" i="68"/>
  <c r="DH198" i="68" s="1"/>
  <c r="DG98" i="68"/>
  <c r="DG126" i="68"/>
  <c r="DH97" i="68"/>
  <c r="DH112" i="68" s="1"/>
  <c r="N212" i="68"/>
  <c r="DG105" i="68"/>
  <c r="DH101" i="68"/>
  <c r="S65" i="112" l="1"/>
  <c r="S75" i="112" s="1"/>
  <c r="DI142" i="68"/>
  <c r="DH142" i="68" s="1"/>
  <c r="S80" i="112"/>
  <c r="S84" i="112" s="1"/>
  <c r="S86" i="112" s="1"/>
  <c r="S87" i="112" s="1"/>
  <c r="S96" i="112"/>
  <c r="S52" i="112"/>
  <c r="DH162" i="68"/>
  <c r="DH199" i="68"/>
  <c r="T199" i="68"/>
  <c r="DH98" i="68"/>
  <c r="DH105" i="68"/>
  <c r="DH126" i="68"/>
  <c r="DH104" i="68"/>
  <c r="DG142" i="68" l="1"/>
  <c r="DI143" i="68"/>
  <c r="DG143" i="68" s="1"/>
  <c r="S89" i="112"/>
  <c r="S61" i="112" s="1"/>
  <c r="S105" i="112"/>
  <c r="S104" i="112" s="1"/>
  <c r="S112" i="112"/>
  <c r="S109" i="112"/>
  <c r="S110" i="112"/>
  <c r="S111" i="112"/>
  <c r="S107" i="112"/>
  <c r="S108" i="112"/>
  <c r="DI154" i="68"/>
  <c r="DI249" i="68" s="1"/>
  <c r="S62" i="112" l="1"/>
  <c r="DC249" i="68"/>
  <c r="DD249" i="68"/>
  <c r="DI155" i="68"/>
  <c r="DG154" i="68"/>
  <c r="DG249" i="68" s="1"/>
  <c r="DB249" i="68"/>
  <c r="N253" i="68" s="1"/>
  <c r="DE249" i="68"/>
  <c r="DF249" i="68"/>
  <c r="DG130" i="68" l="1"/>
  <c r="DG123" i="68"/>
  <c r="DE130" i="68"/>
  <c r="DE123" i="68"/>
  <c r="DH130" i="68" l="1"/>
  <c r="DH123" i="68"/>
  <c r="DE127" i="68"/>
  <c r="DE134" i="68"/>
  <c r="DF130" i="68"/>
  <c r="DF123" i="68"/>
  <c r="DF127" i="68" l="1"/>
  <c r="DF134" i="68"/>
  <c r="DF151" i="68" l="1"/>
  <c r="DE151" i="68" s="1"/>
  <c r="T29" i="9" l="1"/>
  <c r="N239" i="68" l="1"/>
  <c r="S29" i="9"/>
  <c r="S6" i="76"/>
  <c r="DH132" i="68"/>
  <c r="DH125" i="68"/>
  <c r="DG132" i="68"/>
  <c r="DG125" i="68"/>
  <c r="T49" i="9" l="1"/>
  <c r="S40" i="9"/>
  <c r="S49" i="9"/>
  <c r="DG127" i="68"/>
  <c r="DG134" i="68"/>
  <c r="DG140" i="68"/>
  <c r="DG139" i="68" s="1"/>
  <c r="DH134" i="68"/>
  <c r="DH140" i="68"/>
  <c r="DH139" i="68" s="1"/>
  <c r="DH127" i="68"/>
  <c r="DH143" i="68"/>
  <c r="DH146" i="68" l="1"/>
  <c r="DM125" i="68" l="1"/>
  <c r="DM132" i="68"/>
  <c r="DK132" i="68"/>
  <c r="DK125" i="68"/>
  <c r="DJ132" i="68" l="1"/>
  <c r="DJ125" i="68"/>
  <c r="S63" i="9"/>
  <c r="DL132" i="68" l="1"/>
  <c r="DL125" i="68"/>
  <c r="DN132" i="68" l="1"/>
  <c r="DN125" i="68"/>
  <c r="DO132" i="68" l="1"/>
  <c r="S106" i="9"/>
  <c r="S122" i="9" l="1"/>
  <c r="DH149" i="68"/>
  <c r="DG149" i="68"/>
  <c r="DP132" i="68"/>
  <c r="DH159" i="68" l="1"/>
  <c r="DG159" i="68"/>
  <c r="DG164" i="68"/>
  <c r="DH164" i="68"/>
  <c r="S121" i="9"/>
  <c r="DH168" i="68" l="1"/>
  <c r="DH171" i="68" s="1"/>
  <c r="DG168" i="68"/>
  <c r="DG171" i="68" s="1"/>
  <c r="DI171" i="68"/>
  <c r="N258" i="68" l="1"/>
  <c r="DH154" i="68" l="1"/>
  <c r="DG155" i="68"/>
  <c r="DH249" i="68" l="1"/>
  <c r="BW249" i="68"/>
  <c r="CG249" i="68"/>
  <c r="BY249" i="68"/>
  <c r="DH155" i="68"/>
  <c r="DH148" i="68" l="1"/>
  <c r="DH150" i="68" s="1"/>
  <c r="DG148" i="68"/>
  <c r="DG150" i="68" s="1"/>
  <c r="DI150" i="68"/>
  <c r="DI151" i="68" s="1"/>
  <c r="DG151" i="68" l="1"/>
  <c r="DH151" i="68" l="1"/>
  <c r="S92" i="112"/>
  <c r="S93" i="112" s="1"/>
  <c r="S31" i="56" l="1"/>
  <c r="S30" i="56"/>
  <c r="S42" i="56"/>
  <c r="S26" i="56"/>
  <c r="S27" i="56" s="1"/>
  <c r="S43" i="56"/>
  <c r="S32" i="56" l="1"/>
  <c r="S33" i="56" l="1"/>
  <c r="S61" i="58" l="1"/>
  <c r="DK101" i="68" l="1"/>
  <c r="DM101" i="68"/>
  <c r="DJ101" i="68" l="1"/>
  <c r="DM97" i="68"/>
  <c r="DK126" i="68"/>
  <c r="DK104" i="68"/>
  <c r="DM104" i="68"/>
  <c r="DM98" i="68"/>
  <c r="DM126" i="68"/>
  <c r="DM105" i="68" l="1"/>
  <c r="DL101" i="68"/>
  <c r="DK105" i="68"/>
  <c r="DJ98" i="68"/>
  <c r="DJ126" i="68"/>
  <c r="DJ104" i="68"/>
  <c r="DJ97" i="68"/>
  <c r="DR105" i="68" l="1"/>
  <c r="DL97" i="68"/>
  <c r="DT105" i="68" s="1"/>
  <c r="DN101" i="68"/>
  <c r="DJ105" i="68"/>
  <c r="DL126" i="68"/>
  <c r="DL104" i="68"/>
  <c r="DN97" i="68" l="1"/>
  <c r="DN104" i="68"/>
  <c r="DN126" i="68"/>
  <c r="DL105" i="68"/>
  <c r="DN105" i="68" l="1"/>
  <c r="DK130" i="68" l="1"/>
  <c r="DK123" i="68"/>
  <c r="DJ123" i="68" l="1"/>
  <c r="DJ130" i="68"/>
  <c r="DK127" i="68"/>
  <c r="DK134" i="68"/>
  <c r="DR134" i="68" l="1"/>
  <c r="DJ127" i="68"/>
  <c r="DJ134" i="68"/>
  <c r="DJ140" i="68"/>
  <c r="DL130" i="68"/>
  <c r="DL123" i="68"/>
  <c r="DJ139" i="68" l="1"/>
  <c r="DJ146" i="68"/>
  <c r="DJ143" i="68"/>
  <c r="DL127" i="68"/>
  <c r="DL134" i="68"/>
  <c r="DK143" i="68" l="1"/>
  <c r="DJ148" i="68"/>
  <c r="DK148" i="68" s="1"/>
  <c r="DK146" i="68"/>
  <c r="DJ155" i="68" l="1"/>
  <c r="DM130" i="68" l="1"/>
  <c r="DM120" i="68"/>
  <c r="DM123" i="68"/>
  <c r="DM140" i="68" l="1"/>
  <c r="DM139" i="68" s="1"/>
  <c r="DN123" i="68"/>
  <c r="DN130" i="68"/>
  <c r="DM134" i="68"/>
  <c r="DM127" i="68"/>
  <c r="DM155" i="68" l="1"/>
  <c r="DN127" i="68"/>
  <c r="DN155" i="68"/>
  <c r="DN134" i="68"/>
  <c r="DJ151" i="68" l="1"/>
  <c r="DK151" i="68" l="1"/>
  <c r="X104" i="56" l="1"/>
  <c r="X141" i="56" l="1"/>
  <c r="X139" i="56"/>
  <c r="Y125" i="56" l="1"/>
  <c r="X140" i="56"/>
  <c r="X145" i="56" s="1"/>
  <c r="X120" i="56" l="1"/>
  <c r="X105" i="56"/>
  <c r="X103" i="56"/>
  <c r="Y120" i="56"/>
  <c r="W104" i="56" l="1"/>
  <c r="X125" i="56" l="1"/>
  <c r="W105" i="56" l="1"/>
  <c r="V104" i="56" l="1"/>
  <c r="V105" i="56" l="1"/>
  <c r="W125" i="56" l="1"/>
  <c r="CD74" i="68" l="1"/>
  <c r="CE74" i="68"/>
  <c r="CF70" i="68" l="1"/>
  <c r="CG74" i="68"/>
  <c r="V125" i="56"/>
  <c r="U105" i="56" l="1"/>
  <c r="T125" i="56"/>
  <c r="U125" i="56"/>
  <c r="U104" i="56"/>
  <c r="CF74" i="68"/>
  <c r="CH70" i="68"/>
  <c r="CH74" i="68" s="1"/>
  <c r="CI74" i="68" l="1"/>
  <c r="CJ70" i="68"/>
  <c r="CJ74" i="68" s="1"/>
  <c r="T80" i="56" l="1"/>
  <c r="T81" i="56"/>
  <c r="T74" i="56"/>
  <c r="T102" i="56"/>
  <c r="T151" i="56"/>
  <c r="T152" i="56" s="1"/>
  <c r="T155" i="56"/>
  <c r="T153" i="56" s="1"/>
  <c r="U70" i="56" l="1"/>
  <c r="U102" i="56"/>
  <c r="V57" i="56"/>
  <c r="V56" i="56"/>
  <c r="T107" i="56"/>
  <c r="T106" i="56"/>
  <c r="T157" i="56"/>
  <c r="U155" i="56"/>
  <c r="U153" i="56" s="1"/>
  <c r="T159" i="56" l="1"/>
  <c r="V69" i="56"/>
  <c r="U71" i="56"/>
  <c r="T158" i="56"/>
  <c r="U151" i="56"/>
  <c r="T119" i="56"/>
  <c r="T112" i="56"/>
  <c r="T108" i="56"/>
  <c r="T110" i="56"/>
  <c r="W56" i="56" l="1"/>
  <c r="W81" i="56"/>
  <c r="W57" i="56" s="1"/>
  <c r="V155" i="56"/>
  <c r="V153" i="56" s="1"/>
  <c r="V151" i="56"/>
  <c r="V102" i="56"/>
  <c r="X80" i="56"/>
  <c r="W69" i="56" l="1"/>
  <c r="X56" i="56"/>
  <c r="X81" i="56"/>
  <c r="X57" i="56" s="1"/>
  <c r="W102" i="56"/>
  <c r="W155" i="56"/>
  <c r="W153" i="56" s="1"/>
  <c r="W151" i="56"/>
  <c r="Y80" i="56"/>
  <c r="X69" i="56" l="1"/>
  <c r="Y56" i="56"/>
  <c r="Y81" i="56"/>
  <c r="Y57" i="56" s="1"/>
  <c r="Z80" i="56"/>
  <c r="AA80" i="56" s="1"/>
  <c r="X102" i="56"/>
  <c r="X151" i="56"/>
  <c r="X70" i="56"/>
  <c r="X155" i="56"/>
  <c r="X153" i="56" s="1"/>
  <c r="AA56" i="56" l="1"/>
  <c r="AA81" i="56"/>
  <c r="AA57" i="56" s="1"/>
  <c r="Y69" i="56"/>
  <c r="Z56" i="56"/>
  <c r="Z81" i="56"/>
  <c r="Z57" i="56" s="1"/>
  <c r="X71" i="56"/>
  <c r="Y70" i="56"/>
  <c r="Y155" i="56"/>
  <c r="Y153" i="56" s="1"/>
  <c r="Y102" i="56"/>
  <c r="Y151" i="56"/>
  <c r="X107" i="56"/>
  <c r="X106" i="56"/>
  <c r="AA70" i="56" l="1"/>
  <c r="AA69" i="56"/>
  <c r="AA155" i="56"/>
  <c r="AA153" i="56" s="1"/>
  <c r="AA151" i="56"/>
  <c r="AA102" i="56"/>
  <c r="Z69" i="56"/>
  <c r="Z70" i="56"/>
  <c r="Z155" i="56"/>
  <c r="Z153" i="56" s="1"/>
  <c r="Z102" i="56"/>
  <c r="Z106" i="56" s="1"/>
  <c r="Z151" i="56"/>
  <c r="Y71" i="56"/>
  <c r="Y107" i="56"/>
  <c r="Y106" i="56"/>
  <c r="X108" i="56"/>
  <c r="AA71" i="56" l="1"/>
  <c r="AA107" i="56"/>
  <c r="AA106" i="56"/>
  <c r="Z71" i="56"/>
  <c r="Z107" i="56"/>
  <c r="Z108" i="56" s="1"/>
  <c r="Z110" i="56"/>
  <c r="Y108" i="56"/>
  <c r="Y110" i="56"/>
  <c r="AA110" i="56" l="1"/>
  <c r="AA108" i="56"/>
  <c r="CU74" i="68" l="1"/>
  <c r="DK74" i="68"/>
  <c r="CM74" i="68"/>
  <c r="DC74" i="68"/>
  <c r="CQ74" i="68"/>
  <c r="CY74" i="68"/>
  <c r="CW74" i="68" l="1"/>
  <c r="CZ70" i="68"/>
  <c r="CZ74" i="68" s="1"/>
  <c r="CO74" i="68"/>
  <c r="CR70" i="68"/>
  <c r="CR74" i="68" s="1"/>
  <c r="DM74" i="68"/>
  <c r="DJ74" i="68"/>
  <c r="DL70" i="68"/>
  <c r="CT74" i="68"/>
  <c r="CV70" i="68"/>
  <c r="DD70" i="68"/>
  <c r="DB74" i="68"/>
  <c r="DE74" i="68"/>
  <c r="CL74" i="68"/>
  <c r="CN70" i="68"/>
  <c r="CV74" i="68" l="1"/>
  <c r="CX70" i="68"/>
  <c r="CX74" i="68" s="1"/>
  <c r="DL74" i="68"/>
  <c r="DN70" i="68"/>
  <c r="DN74" i="68" s="1"/>
  <c r="CN74" i="68"/>
  <c r="CP70" i="68"/>
  <c r="CP74" i="68" s="1"/>
  <c r="DD74" i="68"/>
  <c r="DF70" i="68"/>
  <c r="DF74" i="68" s="1"/>
  <c r="DG74" i="68" l="1"/>
  <c r="DH70" i="68"/>
  <c r="DH74" i="68" s="1"/>
  <c r="DO74" i="68" l="1"/>
  <c r="DP70" i="68"/>
  <c r="DP74" i="68" s="1"/>
  <c r="U141" i="56"/>
  <c r="U139" i="56"/>
  <c r="U140" i="56" l="1"/>
  <c r="T70" i="56"/>
  <c r="T101" i="56"/>
  <c r="V141" i="56"/>
  <c r="V139" i="56"/>
  <c r="U120" i="56" l="1"/>
  <c r="U103" i="56"/>
  <c r="T71" i="56"/>
  <c r="DQ70" i="68"/>
  <c r="DQ74" i="68" s="1"/>
  <c r="V140" i="56"/>
  <c r="V145" i="56" s="1"/>
  <c r="T114" i="56"/>
  <c r="W141" i="56"/>
  <c r="W139" i="56"/>
  <c r="V103" i="56" l="1"/>
  <c r="V70" i="56"/>
  <c r="W140" i="56"/>
  <c r="W145" i="56" s="1"/>
  <c r="V107" i="56" l="1"/>
  <c r="V106" i="56"/>
  <c r="W103" i="56"/>
  <c r="W106" i="56" s="1"/>
  <c r="W120" i="56"/>
  <c r="V71" i="56"/>
  <c r="W70" i="56"/>
  <c r="V108" i="56" l="1"/>
  <c r="W107" i="56"/>
  <c r="W108" i="56" s="1"/>
  <c r="W71" i="56"/>
  <c r="W110" i="56"/>
  <c r="X110" i="56"/>
  <c r="U162" i="56" l="1"/>
  <c r="V162" i="56" l="1"/>
  <c r="U166" i="56"/>
  <c r="U129" i="56" s="1"/>
  <c r="T41" i="56"/>
  <c r="T51" i="56"/>
  <c r="W162" i="56" l="1"/>
  <c r="DQ93" i="68"/>
  <c r="T17" i="9"/>
  <c r="DM109" i="68" l="1"/>
  <c r="DL109" i="68"/>
  <c r="DJ109" i="68"/>
  <c r="DN109" i="68"/>
  <c r="DQ109" i="68"/>
  <c r="DK109" i="68"/>
  <c r="X162" i="56"/>
  <c r="V166" i="56"/>
  <c r="DQ195" i="68"/>
  <c r="DQ123" i="68"/>
  <c r="DK195" i="68"/>
  <c r="DN195" i="68"/>
  <c r="DM195" i="68"/>
  <c r="DQ101" i="68"/>
  <c r="DO93" i="68"/>
  <c r="DO109" i="68" s="1"/>
  <c r="DL195" i="68"/>
  <c r="DJ195" i="68"/>
  <c r="T23" i="9"/>
  <c r="V129" i="56" l="1"/>
  <c r="Y162" i="56"/>
  <c r="W166" i="56"/>
  <c r="W129" i="56" s="1"/>
  <c r="DP93" i="68"/>
  <c r="DO195" i="68"/>
  <c r="DO101" i="68"/>
  <c r="DO96" i="68"/>
  <c r="DP195" i="68" l="1"/>
  <c r="DP109" i="68"/>
  <c r="Z162" i="56"/>
  <c r="AA162" i="56" s="1"/>
  <c r="AA166" i="56" s="1"/>
  <c r="X166" i="56"/>
  <c r="X129" i="56" s="1"/>
  <c r="DP101" i="68"/>
  <c r="DO198" i="68"/>
  <c r="DO104" i="68"/>
  <c r="DP96" i="68"/>
  <c r="DP104" i="68" s="1"/>
  <c r="DO126" i="68"/>
  <c r="Y166" i="56" l="1"/>
  <c r="Y129" i="56" s="1"/>
  <c r="DP126" i="68"/>
  <c r="DP198" i="68"/>
  <c r="Z166" i="56" l="1"/>
  <c r="Z129" i="56" l="1"/>
  <c r="AA129" i="56"/>
  <c r="T98" i="9" l="1"/>
  <c r="T101" i="9" l="1"/>
  <c r="T4" i="112" l="1"/>
  <c r="T107" i="9"/>
  <c r="T106" i="9"/>
  <c r="DQ159" i="68" l="1"/>
  <c r="DO164" i="68" l="1"/>
  <c r="DP164" i="68"/>
  <c r="DP159" i="68"/>
  <c r="DO159" i="68"/>
  <c r="DP168" i="68" l="1"/>
  <c r="DO168" i="68"/>
  <c r="DQ120" i="68" l="1"/>
  <c r="DQ140" i="68" l="1"/>
  <c r="DQ138" i="68" s="1"/>
  <c r="DQ226" i="68"/>
  <c r="DQ134" i="68"/>
  <c r="DP226" i="68"/>
  <c r="DJ226" i="68"/>
  <c r="DM226" i="68"/>
  <c r="DK226" i="68"/>
  <c r="DN226" i="68"/>
  <c r="DL226" i="68"/>
  <c r="DO226" i="68"/>
  <c r="DQ146" i="68" l="1"/>
  <c r="DO146" i="68" s="1"/>
  <c r="DP146" i="68" s="1"/>
  <c r="DO138" i="68"/>
  <c r="DO139" i="68" s="1"/>
  <c r="DP138" i="68"/>
  <c r="DP139" i="68" s="1"/>
  <c r="DO123" i="68" l="1"/>
  <c r="DO130" i="68"/>
  <c r="DP130" i="68" l="1"/>
  <c r="DP123" i="68"/>
  <c r="DO134" i="68"/>
  <c r="DP134" i="68" l="1"/>
  <c r="T28" i="9" l="1"/>
  <c r="U60" i="58" l="1"/>
  <c r="V15" i="58"/>
  <c r="W15" i="58" s="1"/>
  <c r="X15" i="58" s="1"/>
  <c r="Y15" i="58" s="1"/>
  <c r="Z15" i="58" s="1"/>
  <c r="AA15" i="58" s="1"/>
  <c r="T60" i="58"/>
  <c r="T46" i="9"/>
  <c r="T37" i="9"/>
  <c r="U28" i="9" l="1"/>
  <c r="U37" i="9" l="1"/>
  <c r="U46" i="9"/>
  <c r="U6" i="58"/>
  <c r="U5" i="58"/>
  <c r="V57" i="58"/>
  <c r="DY117" i="68" l="1"/>
  <c r="DU223" i="68" l="1"/>
  <c r="DR223" i="68"/>
  <c r="DS223" i="68"/>
  <c r="DY223" i="68"/>
  <c r="DY131" i="68"/>
  <c r="DY124" i="68"/>
  <c r="DQ150" i="68"/>
  <c r="DQ151" i="68" s="1"/>
  <c r="DU131" i="68" l="1"/>
  <c r="DV117" i="68"/>
  <c r="DV223" i="68" s="1"/>
  <c r="DU124" i="68"/>
  <c r="DP150" i="68"/>
  <c r="DV131" i="68" l="1"/>
  <c r="DV124" i="68"/>
  <c r="DW117" i="68"/>
  <c r="DW223" i="68" s="1"/>
  <c r="DW131" i="68" l="1"/>
  <c r="DW124" i="68"/>
  <c r="DX117" i="68"/>
  <c r="DX223" i="68" l="1"/>
  <c r="DX131" i="68"/>
  <c r="DX124" i="68"/>
  <c r="DP170" i="68" l="1"/>
  <c r="DO170" i="68"/>
  <c r="V114" i="9" l="1"/>
  <c r="B13" i="113" s="1"/>
  <c r="W114" i="9" l="1"/>
  <c r="C13" i="113" s="1"/>
  <c r="D50" i="117" l="1"/>
  <c r="X114" i="9"/>
  <c r="D13" i="113" s="1"/>
  <c r="Y114" i="9" l="1"/>
  <c r="E13" i="113" s="1"/>
  <c r="Z114" i="9" l="1"/>
  <c r="F13" i="113" s="1"/>
  <c r="AA114" i="9" l="1"/>
  <c r="G13" i="113" l="1"/>
  <c r="T43" i="56" l="1"/>
  <c r="T42" i="56"/>
  <c r="T26" i="56" l="1"/>
  <c r="T27" i="56" s="1"/>
  <c r="T31" i="56"/>
  <c r="T30" i="56"/>
  <c r="T32" i="56" l="1"/>
  <c r="T33" i="56" l="1"/>
  <c r="B13" i="111" l="1"/>
  <c r="B56" i="111"/>
  <c r="T61" i="58"/>
  <c r="J16" i="76" l="1"/>
  <c r="J17" i="76" s="1"/>
  <c r="K16" i="76" l="1"/>
  <c r="K17" i="76" s="1"/>
  <c r="J27" i="76"/>
  <c r="L16" i="76" l="1"/>
  <c r="L17" i="76" s="1"/>
  <c r="K27" i="76"/>
  <c r="L22" i="76" l="1"/>
  <c r="L27" i="76"/>
  <c r="M16" i="76"/>
  <c r="M17" i="76" s="1"/>
  <c r="M22" i="76" l="1"/>
  <c r="M27" i="76"/>
  <c r="N16" i="76"/>
  <c r="N17" i="76" s="1"/>
  <c r="N22" i="76" l="1"/>
  <c r="N27" i="76"/>
  <c r="O16" i="76"/>
  <c r="O17" i="76" s="1"/>
  <c r="O22" i="76" l="1"/>
  <c r="P16" i="76"/>
  <c r="P17" i="76" s="1"/>
  <c r="O27" i="76"/>
  <c r="J33" i="76"/>
  <c r="P27" i="76" l="1"/>
  <c r="P22" i="76"/>
  <c r="Q16" i="76"/>
  <c r="Q22" i="76" l="1"/>
  <c r="Q17" i="76"/>
  <c r="K33" i="76"/>
  <c r="R16" i="76"/>
  <c r="R17" i="76" s="1"/>
  <c r="Q27" i="76"/>
  <c r="R22" i="76" l="1"/>
  <c r="S16" i="76"/>
  <c r="S17" i="76" s="1"/>
  <c r="R27" i="76"/>
  <c r="S22" i="76" l="1"/>
  <c r="L33" i="76"/>
  <c r="T16" i="76"/>
  <c r="S27" i="76"/>
  <c r="U16" i="76" l="1"/>
  <c r="T27" i="76"/>
  <c r="V16" i="76" l="1"/>
  <c r="M33" i="76"/>
  <c r="U27" i="76"/>
  <c r="W16" i="76" l="1"/>
  <c r="V27" i="76"/>
  <c r="N33" i="76" l="1"/>
  <c r="X16" i="76"/>
  <c r="W27" i="76"/>
  <c r="Y16" i="76" l="1"/>
  <c r="X27" i="76"/>
  <c r="O33" i="76"/>
  <c r="Z16" i="76" l="1"/>
  <c r="AA27" i="76" s="1"/>
  <c r="Y27" i="76"/>
  <c r="Z27" i="76" l="1"/>
  <c r="P33" i="76"/>
  <c r="Q33" i="76" l="1"/>
  <c r="U14" i="76" l="1"/>
  <c r="T14" i="76"/>
  <c r="T17" i="76" s="1"/>
  <c r="U17" i="76" l="1"/>
  <c r="U12" i="9"/>
  <c r="V14" i="76"/>
  <c r="V2" i="76" s="1"/>
  <c r="V17" i="76" s="1"/>
  <c r="T25" i="76"/>
  <c r="U25" i="76"/>
  <c r="U14" i="9" l="1"/>
  <c r="U15" i="111" s="1"/>
  <c r="T21" i="76"/>
  <c r="T22" i="76"/>
  <c r="T20" i="76"/>
  <c r="W14" i="76"/>
  <c r="W2" i="76" s="1"/>
  <c r="W17" i="76" s="1"/>
  <c r="T3" i="76"/>
  <c r="T10" i="76"/>
  <c r="T36" i="76"/>
  <c r="T6" i="76"/>
  <c r="T12" i="9"/>
  <c r="U22" i="9" s="1"/>
  <c r="V25" i="76"/>
  <c r="U58" i="9" l="1"/>
  <c r="U146" i="9" s="1"/>
  <c r="V146" i="9" s="1"/>
  <c r="W146" i="9" s="1"/>
  <c r="X146" i="9" s="1"/>
  <c r="Y146" i="9" s="1"/>
  <c r="Z146" i="9" s="1"/>
  <c r="AA146" i="9" s="1"/>
  <c r="X14" i="76"/>
  <c r="X2" i="76" s="1"/>
  <c r="X17" i="76" s="1"/>
  <c r="T22" i="9"/>
  <c r="DQ95" i="68"/>
  <c r="T14" i="9"/>
  <c r="T40" i="9"/>
  <c r="W25" i="76"/>
  <c r="T15" i="111" l="1"/>
  <c r="U65" i="9"/>
  <c r="V65" i="9" s="1"/>
  <c r="W65" i="9" s="1"/>
  <c r="X65" i="9" s="1"/>
  <c r="Y65" i="9" s="1"/>
  <c r="Z65" i="9" s="1"/>
  <c r="AA65" i="9" s="1"/>
  <c r="U73" i="9"/>
  <c r="U19" i="111"/>
  <c r="U31" i="112"/>
  <c r="V31" i="112" s="1"/>
  <c r="W31" i="112" s="1"/>
  <c r="X31" i="112" s="1"/>
  <c r="Y31" i="112" s="1"/>
  <c r="Z31" i="112" s="1"/>
  <c r="AA31" i="112" s="1"/>
  <c r="U29" i="112"/>
  <c r="U15" i="112"/>
  <c r="V15" i="112" s="1"/>
  <c r="W15" i="112" s="1"/>
  <c r="U147" i="9"/>
  <c r="U13" i="112"/>
  <c r="V13" i="112" s="1"/>
  <c r="W13" i="112" s="1"/>
  <c r="X13" i="112" s="1"/>
  <c r="Y13" i="112" s="1"/>
  <c r="Z13" i="112" s="1"/>
  <c r="AA13" i="112" s="1"/>
  <c r="U24" i="9"/>
  <c r="DM111" i="68"/>
  <c r="DJ111" i="68"/>
  <c r="DN111" i="68"/>
  <c r="DL111" i="68"/>
  <c r="DQ111" i="68"/>
  <c r="DK111" i="68"/>
  <c r="T58" i="9"/>
  <c r="Y14" i="76"/>
  <c r="Y2" i="76" s="1"/>
  <c r="Y17" i="76" s="1"/>
  <c r="T87" i="111"/>
  <c r="U87" i="111" s="1"/>
  <c r="T24" i="9"/>
  <c r="T95" i="111"/>
  <c r="U95" i="111" s="1"/>
  <c r="T85" i="111"/>
  <c r="U85" i="111" s="1"/>
  <c r="T93" i="111"/>
  <c r="U93" i="111" s="1"/>
  <c r="DQ197" i="68"/>
  <c r="DJ197" i="68"/>
  <c r="DQ98" i="68"/>
  <c r="DQ103" i="68"/>
  <c r="DL197" i="68"/>
  <c r="DK197" i="68"/>
  <c r="DN197" i="68"/>
  <c r="DM197" i="68"/>
  <c r="DQ125" i="68"/>
  <c r="DQ97" i="68"/>
  <c r="DO95" i="68"/>
  <c r="X25" i="76"/>
  <c r="T15" i="112" l="1"/>
  <c r="T146" i="9"/>
  <c r="T67" i="9"/>
  <c r="T65" i="9"/>
  <c r="DO111" i="68"/>
  <c r="DN112" i="68"/>
  <c r="DM112" i="68"/>
  <c r="DL112" i="68"/>
  <c r="DQ112" i="68"/>
  <c r="DK112" i="68"/>
  <c r="DJ112" i="68"/>
  <c r="U138" i="111"/>
  <c r="T61" i="9"/>
  <c r="T71" i="9"/>
  <c r="T73" i="9"/>
  <c r="V73" i="9" s="1"/>
  <c r="W73" i="9" s="1"/>
  <c r="X73" i="9" s="1"/>
  <c r="Y73" i="9" s="1"/>
  <c r="Z73" i="9" s="1"/>
  <c r="AA73" i="9" s="1"/>
  <c r="V85" i="111"/>
  <c r="DK199" i="68"/>
  <c r="DQ105" i="68"/>
  <c r="DQ199" i="68"/>
  <c r="DL199" i="68"/>
  <c r="DJ199" i="68"/>
  <c r="DQ127" i="68"/>
  <c r="DN199" i="68"/>
  <c r="DM199" i="68"/>
  <c r="DO97" i="68"/>
  <c r="DO112" i="68" s="1"/>
  <c r="V95" i="111"/>
  <c r="V93" i="111"/>
  <c r="DO125" i="68"/>
  <c r="DO197" i="68"/>
  <c r="DO103" i="68"/>
  <c r="DO98" i="68"/>
  <c r="DP95" i="68"/>
  <c r="DP111" i="68" s="1"/>
  <c r="Y25" i="76"/>
  <c r="T69" i="9"/>
  <c r="T145" i="9"/>
  <c r="T63" i="9"/>
  <c r="T147" i="9"/>
  <c r="T19" i="111"/>
  <c r="T31" i="112"/>
  <c r="T85" i="9"/>
  <c r="T29" i="112"/>
  <c r="T148" i="9"/>
  <c r="T59" i="9"/>
  <c r="T91" i="9"/>
  <c r="V87" i="111"/>
  <c r="Z14" i="76"/>
  <c r="Z2" i="76" l="1"/>
  <c r="AA25" i="76"/>
  <c r="T76" i="111"/>
  <c r="W95" i="111"/>
  <c r="DP97" i="68"/>
  <c r="DP112" i="68" s="1"/>
  <c r="DO105" i="68"/>
  <c r="DO127" i="68"/>
  <c r="DO199" i="68"/>
  <c r="Z25" i="76"/>
  <c r="W85" i="111"/>
  <c r="DP125" i="68"/>
  <c r="DP103" i="68"/>
  <c r="DP197" i="68"/>
  <c r="T12" i="112"/>
  <c r="T27" i="112" s="1"/>
  <c r="W93" i="111"/>
  <c r="W87" i="111"/>
  <c r="Z17" i="76" l="1"/>
  <c r="AA3" i="76"/>
  <c r="AA22" i="9" s="1"/>
  <c r="T153" i="9"/>
  <c r="DQ142" i="68" s="1"/>
  <c r="X95" i="111"/>
  <c r="T67" i="111"/>
  <c r="T13" i="112"/>
  <c r="DQ162" i="68"/>
  <c r="X85" i="111"/>
  <c r="DP127" i="68"/>
  <c r="DP199" i="68"/>
  <c r="DP105" i="68"/>
  <c r="X93" i="111"/>
  <c r="X87" i="111"/>
  <c r="DO142" i="68" l="1"/>
  <c r="DP142" i="68" s="1"/>
  <c r="T52" i="112"/>
  <c r="T96" i="112"/>
  <c r="T109" i="112" s="1"/>
  <c r="T80" i="112"/>
  <c r="Y93" i="111"/>
  <c r="DO162" i="68"/>
  <c r="DO171" i="68" s="1"/>
  <c r="DP162" i="68"/>
  <c r="DP171" i="68" s="1"/>
  <c r="DQ171" i="68"/>
  <c r="Y85" i="111"/>
  <c r="T65" i="112"/>
  <c r="T75" i="112" s="1"/>
  <c r="Y87" i="111"/>
  <c r="Y95" i="111"/>
  <c r="T84" i="112" l="1"/>
  <c r="T86" i="112" s="1"/>
  <c r="T87" i="112" s="1"/>
  <c r="T110" i="112"/>
  <c r="T112" i="112"/>
  <c r="T108" i="112"/>
  <c r="T107" i="112"/>
  <c r="T111" i="112"/>
  <c r="T105" i="112"/>
  <c r="T104" i="112" s="1"/>
  <c r="Z85" i="111"/>
  <c r="AA85" i="111" s="1"/>
  <c r="DQ143" i="68"/>
  <c r="DO143" i="68" s="1"/>
  <c r="Z87" i="111"/>
  <c r="AA87" i="111" s="1"/>
  <c r="Z93" i="111"/>
  <c r="AA93" i="111" s="1"/>
  <c r="Z95" i="111"/>
  <c r="AA95" i="111" s="1"/>
  <c r="DP143" i="68" l="1"/>
  <c r="R33" i="76" l="1"/>
  <c r="T33" i="76" l="1"/>
  <c r="S33" i="76" l="1"/>
  <c r="G42" i="9" l="1"/>
  <c r="I33" i="68"/>
  <c r="G33" i="68" s="1"/>
  <c r="G34" i="68" s="1"/>
  <c r="O52" i="68" s="1"/>
  <c r="H51" i="9"/>
  <c r="G51" i="9"/>
  <c r="H33" i="68" l="1"/>
  <c r="I34" i="68"/>
  <c r="Q52" i="68" s="1"/>
  <c r="H34" i="68"/>
  <c r="H43" i="68" s="1"/>
  <c r="G43" i="68"/>
  <c r="P52" i="68" l="1"/>
  <c r="I43" i="68"/>
  <c r="I140" i="68"/>
  <c r="I146" i="68" s="1"/>
  <c r="I150" i="68" s="1"/>
  <c r="I138" i="68"/>
  <c r="G138" i="68" s="1"/>
  <c r="H138" i="68" s="1"/>
  <c r="H140" i="68" s="1"/>
  <c r="H146" i="68" s="1"/>
  <c r="H150" i="68" s="1"/>
  <c r="I143" i="68" l="1"/>
  <c r="G140" i="68"/>
  <c r="G146" i="68" s="1"/>
  <c r="G150" i="68" s="1"/>
  <c r="H143" i="68"/>
  <c r="G143" i="68" l="1"/>
  <c r="U3" i="76"/>
  <c r="U21" i="76"/>
  <c r="U22" i="76"/>
  <c r="U20" i="76"/>
  <c r="DY95" i="68" l="1"/>
  <c r="V22" i="76"/>
  <c r="V3" i="76"/>
  <c r="V22" i="9" s="1"/>
  <c r="V12" i="9" s="1"/>
  <c r="V21" i="76"/>
  <c r="V20" i="76"/>
  <c r="V35" i="76"/>
  <c r="DU111" i="68" l="1"/>
  <c r="DU197" i="68" s="1"/>
  <c r="DT111" i="68"/>
  <c r="DY111" i="68"/>
  <c r="DS111" i="68"/>
  <c r="DS197" i="68" s="1"/>
  <c r="DR111" i="68"/>
  <c r="DR197" i="68" s="1"/>
  <c r="EG95" i="68"/>
  <c r="DY103" i="68"/>
  <c r="W22" i="76"/>
  <c r="W3" i="76"/>
  <c r="W22" i="9" s="1"/>
  <c r="W12" i="9" s="1"/>
  <c r="W21" i="76"/>
  <c r="W20" i="76"/>
  <c r="W35" i="76"/>
  <c r="EG103" i="68" l="1"/>
  <c r="EG111" i="68"/>
  <c r="EC95" i="68"/>
  <c r="DU103" i="68"/>
  <c r="DV95" i="68"/>
  <c r="DV197" i="68" s="1"/>
  <c r="X21" i="76"/>
  <c r="X22" i="76"/>
  <c r="X20" i="76"/>
  <c r="X3" i="76"/>
  <c r="X35" i="76"/>
  <c r="DV111" i="68" l="1"/>
  <c r="DZ111" i="68"/>
  <c r="EC103" i="68"/>
  <c r="EC111" i="68"/>
  <c r="EA103" i="68"/>
  <c r="EA111" i="68"/>
  <c r="EB95" i="68"/>
  <c r="DZ103" i="68"/>
  <c r="DV103" i="68"/>
  <c r="DW95" i="68"/>
  <c r="X22" i="9"/>
  <c r="X12" i="9" s="1"/>
  <c r="Y21" i="76"/>
  <c r="Y22" i="76"/>
  <c r="Y3" i="76"/>
  <c r="Y22" i="9" s="1"/>
  <c r="Y20" i="76"/>
  <c r="Y35" i="76"/>
  <c r="DW111" i="68" l="1"/>
  <c r="DW197" i="68" s="1"/>
  <c r="EB103" i="68"/>
  <c r="EB111" i="68"/>
  <c r="ED95" i="68"/>
  <c r="DW103" i="68"/>
  <c r="DX95" i="68"/>
  <c r="Y12" i="9"/>
  <c r="Z3" i="76"/>
  <c r="Z22" i="9" s="1"/>
  <c r="Z22" i="76"/>
  <c r="Z20" i="76"/>
  <c r="Z21" i="76"/>
  <c r="Z35" i="76"/>
  <c r="DX103" i="68" l="1"/>
  <c r="DX111" i="68"/>
  <c r="ED103" i="68"/>
  <c r="ED111" i="68"/>
  <c r="EE95" i="68"/>
  <c r="Z12" i="9"/>
  <c r="AA12" i="9" l="1"/>
  <c r="AA29" i="9" s="1"/>
  <c r="EE103" i="68"/>
  <c r="EE111" i="68"/>
  <c r="EF95" i="68"/>
  <c r="EF103" i="68" l="1"/>
  <c r="EF111" i="68"/>
  <c r="I57" i="76"/>
  <c r="H32" i="76"/>
  <c r="H33" i="76" s="1"/>
  <c r="V55" i="76" l="1"/>
  <c r="U57" i="76"/>
  <c r="U32" i="76"/>
  <c r="U29" i="9" s="1"/>
  <c r="U49" i="9" l="1"/>
  <c r="U40" i="9"/>
  <c r="U33" i="76"/>
  <c r="U5" i="76"/>
  <c r="V57" i="76"/>
  <c r="V32" i="76"/>
  <c r="V4" i="76" s="1"/>
  <c r="V5" i="76" s="1"/>
  <c r="W55" i="76"/>
  <c r="X55" i="76" l="1"/>
  <c r="W57" i="76"/>
  <c r="W32" i="76"/>
  <c r="W4" i="76" s="1"/>
  <c r="W5" i="76" s="1"/>
  <c r="X57" i="76" l="1"/>
  <c r="X32" i="76"/>
  <c r="X4" i="76" s="1"/>
  <c r="X5" i="76" s="1"/>
  <c r="Z55" i="76"/>
  <c r="AA57" i="76" s="1"/>
  <c r="Y55" i="76"/>
  <c r="Y57" i="76" l="1"/>
  <c r="Y32" i="76"/>
  <c r="Y4" i="76" s="1"/>
  <c r="Y5" i="76" s="1"/>
  <c r="Z57" i="76"/>
  <c r="Z32" i="76"/>
  <c r="Z4" i="76" s="1"/>
  <c r="AA5" i="76" s="1"/>
  <c r="U6" i="76"/>
  <c r="DY118" i="68" l="1"/>
  <c r="Z5" i="76"/>
  <c r="DU224" i="68" l="1"/>
  <c r="DR224" i="68"/>
  <c r="DS224" i="68"/>
  <c r="DY224" i="68"/>
  <c r="DY132" i="68"/>
  <c r="DY125" i="68"/>
  <c r="DV118" i="68" l="1"/>
  <c r="DV224" i="68" s="1"/>
  <c r="DU125" i="68"/>
  <c r="DU132" i="68"/>
  <c r="W6" i="76"/>
  <c r="W40" i="9" s="1"/>
  <c r="W29" i="9" s="1"/>
  <c r="Z6" i="76"/>
  <c r="Z40" i="9" s="1"/>
  <c r="Z29" i="9" s="1"/>
  <c r="Y6" i="76"/>
  <c r="Y40" i="9" s="1"/>
  <c r="Y29" i="9" s="1"/>
  <c r="V6" i="76"/>
  <c r="V40" i="9" s="1"/>
  <c r="V29" i="9" s="1"/>
  <c r="V33" i="76"/>
  <c r="W33" i="76"/>
  <c r="Y33" i="76"/>
  <c r="Z33" i="76"/>
  <c r="X6" i="76"/>
  <c r="X40" i="9" s="1"/>
  <c r="X29" i="9" s="1"/>
  <c r="X33" i="76"/>
  <c r="AA49" i="9" l="1"/>
  <c r="EG118" i="68"/>
  <c r="DW118" i="68"/>
  <c r="DW224" i="68" s="1"/>
  <c r="DV132" i="68"/>
  <c r="DV125" i="68"/>
  <c r="Z49" i="9"/>
  <c r="W49" i="9"/>
  <c r="V49" i="9"/>
  <c r="X49" i="9"/>
  <c r="Y49" i="9"/>
  <c r="EC118" i="68" l="1"/>
  <c r="EG132" i="68"/>
  <c r="EG125" i="68"/>
  <c r="DX118" i="68"/>
  <c r="DW132" i="68"/>
  <c r="DW125" i="68"/>
  <c r="DX224" i="68" l="1"/>
  <c r="EA132" i="68"/>
  <c r="EA125" i="68"/>
  <c r="EB118" i="68"/>
  <c r="DZ132" i="68"/>
  <c r="DZ125" i="68"/>
  <c r="EC125" i="68"/>
  <c r="EC132" i="68"/>
  <c r="DX132" i="68"/>
  <c r="DX125" i="68"/>
  <c r="V120" i="56"/>
  <c r="U107" i="56"/>
  <c r="EB125" i="68" l="1"/>
  <c r="ED118" i="68"/>
  <c r="EB132" i="68"/>
  <c r="U106" i="56"/>
  <c r="U108" i="56" s="1"/>
  <c r="EE118" i="68" l="1"/>
  <c r="ED132" i="68"/>
  <c r="ED125" i="68"/>
  <c r="U110" i="56"/>
  <c r="V110" i="56"/>
  <c r="EE125" i="68" l="1"/>
  <c r="EF118" i="68"/>
  <c r="EE132" i="68"/>
  <c r="EF132" i="68" l="1"/>
  <c r="EF125" i="68"/>
  <c r="DV93" i="68" l="1"/>
  <c r="DV195" i="68" s="1"/>
  <c r="DU101" i="68"/>
  <c r="DV101" i="68" l="1"/>
  <c r="U35" i="111" l="1"/>
  <c r="V35" i="111" l="1"/>
  <c r="W35" i="111" s="1"/>
  <c r="X35" i="111" s="1"/>
  <c r="Y35" i="111" l="1"/>
  <c r="Z35" i="111" l="1"/>
  <c r="AA35" i="111" s="1"/>
  <c r="V46" i="111" l="1"/>
  <c r="W46" i="111" l="1"/>
  <c r="X46" i="111" l="1"/>
  <c r="Y46" i="111" l="1"/>
  <c r="Z46" i="111" l="1"/>
  <c r="AA46" i="111" s="1"/>
  <c r="U83" i="112" l="1"/>
  <c r="V30" i="111" l="1"/>
  <c r="U64" i="111"/>
  <c r="U124" i="9"/>
  <c r="V133" i="9" l="1"/>
  <c r="V88" i="9" s="1"/>
  <c r="U127" i="9"/>
  <c r="U130" i="9" s="1"/>
  <c r="V124" i="9"/>
  <c r="V127" i="9"/>
  <c r="W30" i="111"/>
  <c r="V64" i="111"/>
  <c r="W127" i="9" l="1"/>
  <c r="W133" i="9"/>
  <c r="W64" i="111"/>
  <c r="X30" i="111"/>
  <c r="W124" i="9"/>
  <c r="X133" i="9" s="1"/>
  <c r="U67" i="112" l="1"/>
  <c r="U7" i="112"/>
  <c r="W137" i="9"/>
  <c r="X127" i="9"/>
  <c r="X64" i="111"/>
  <c r="Y30" i="111"/>
  <c r="X124" i="9"/>
  <c r="Y133" i="9" s="1"/>
  <c r="V137" i="9"/>
  <c r="W88" i="9" l="1"/>
  <c r="X137" i="9"/>
  <c r="Y127" i="9"/>
  <c r="Y64" i="111"/>
  <c r="Y124" i="9"/>
  <c r="Z133" i="9" s="1"/>
  <c r="Z30" i="111"/>
  <c r="AA30" i="111" s="1"/>
  <c r="AA124" i="9" s="1"/>
  <c r="V9" i="112"/>
  <c r="V7" i="112"/>
  <c r="W7" i="112" l="1"/>
  <c r="W9" i="112"/>
  <c r="W67" i="112" s="1"/>
  <c r="X88" i="9"/>
  <c r="X7" i="112" s="1"/>
  <c r="Y137" i="9"/>
  <c r="Z127" i="9"/>
  <c r="Z64" i="111"/>
  <c r="Z124" i="9"/>
  <c r="V67" i="112"/>
  <c r="AA64" i="111" l="1"/>
  <c r="AA127" i="9"/>
  <c r="AA133" i="9"/>
  <c r="X9" i="112"/>
  <c r="X67" i="112" s="1"/>
  <c r="Z88" i="9"/>
  <c r="Y88" i="9"/>
  <c r="AA88" i="9" l="1"/>
  <c r="AA137" i="9"/>
  <c r="Z137" i="9"/>
  <c r="Y7" i="112"/>
  <c r="Y9" i="112"/>
  <c r="Z7" i="112"/>
  <c r="Z9" i="112"/>
  <c r="AA9" i="112" l="1"/>
  <c r="AA67" i="112" s="1"/>
  <c r="AA7" i="112"/>
  <c r="Y67" i="112"/>
  <c r="Z67" i="112"/>
  <c r="T89" i="112" l="1"/>
  <c r="T61" i="112" s="1"/>
  <c r="DQ154" i="68"/>
  <c r="DK249" i="68" l="1"/>
  <c r="DJ249" i="68"/>
  <c r="T62" i="112"/>
  <c r="T92" i="112"/>
  <c r="T93" i="112" s="1"/>
  <c r="DM249" i="68"/>
  <c r="DQ249" i="68"/>
  <c r="DL249" i="68"/>
  <c r="DN249" i="68"/>
  <c r="DQ155" i="68"/>
  <c r="DO154" i="68"/>
  <c r="DO155" i="68" l="1"/>
  <c r="DO249" i="68"/>
  <c r="DP154" i="68"/>
  <c r="DP155" i="68" l="1"/>
  <c r="DP249" i="68"/>
  <c r="DV96" i="68" l="1"/>
  <c r="DU104" i="68"/>
  <c r="DU126" i="68"/>
  <c r="DU98" i="68"/>
  <c r="DU97" i="68"/>
  <c r="DV104" i="68" l="1"/>
  <c r="DV126" i="68"/>
  <c r="DV98" i="68"/>
  <c r="DU105" i="68"/>
  <c r="DV97" i="68"/>
  <c r="AD91" i="113"/>
  <c r="DV105" i="68" l="1"/>
  <c r="DV116" i="68" l="1"/>
  <c r="DU130" i="68"/>
  <c r="DU120" i="68"/>
  <c r="DU123" i="68"/>
  <c r="DU140" i="68" l="1"/>
  <c r="DU134" i="68"/>
  <c r="DU127" i="68"/>
  <c r="DV120" i="68"/>
  <c r="DV130" i="68"/>
  <c r="DV123" i="68"/>
  <c r="DU139" i="68" l="1"/>
  <c r="DV140" i="68"/>
  <c r="DV139" i="68" s="1"/>
  <c r="DV134" i="68"/>
  <c r="DV127" i="68"/>
  <c r="DV143" i="68" l="1"/>
  <c r="AE91" i="113" l="1"/>
  <c r="AG91" i="113" l="1"/>
  <c r="AF91" i="113"/>
  <c r="AH91" i="113"/>
  <c r="AI91" i="113" l="1"/>
  <c r="D154" i="9" l="1"/>
  <c r="F154" i="9"/>
  <c r="G154" i="9"/>
  <c r="E154" i="9"/>
  <c r="B154" i="9"/>
  <c r="B155" i="9" s="1"/>
  <c r="C152" i="9"/>
  <c r="D152" i="9"/>
  <c r="G152" i="9"/>
  <c r="F152" i="9"/>
  <c r="B152" i="9"/>
  <c r="E84" i="9"/>
  <c r="E152" i="9"/>
  <c r="F84" i="9"/>
  <c r="B84" i="9"/>
  <c r="B43" i="113" s="1"/>
  <c r="G84" i="9"/>
  <c r="C84" i="9"/>
  <c r="C154" i="9"/>
  <c r="D84" i="9"/>
  <c r="D43" i="113" l="1"/>
  <c r="E43" i="113"/>
  <c r="G43" i="113"/>
  <c r="C155" i="9"/>
  <c r="C43" i="113"/>
  <c r="E155" i="9"/>
  <c r="G155" i="9"/>
  <c r="F155" i="9"/>
  <c r="F43" i="113"/>
  <c r="D155" i="9"/>
  <c r="C45" i="113"/>
  <c r="F45" i="113" l="1"/>
  <c r="G45" i="113"/>
  <c r="I151" i="68"/>
  <c r="G151" i="68" s="1"/>
  <c r="H151" i="68" s="1"/>
  <c r="E45" i="113"/>
  <c r="D45" i="113"/>
  <c r="B45" i="113" l="1"/>
  <c r="I67" i="9" l="1"/>
  <c r="I76" i="9"/>
  <c r="I85" i="9" s="1"/>
  <c r="I90" i="9" l="1"/>
  <c r="I67" i="111"/>
  <c r="I69" i="111" s="1"/>
  <c r="I91" i="9" l="1"/>
  <c r="I96" i="9"/>
  <c r="I98" i="9"/>
  <c r="I101" i="9" l="1"/>
  <c r="I106" i="9" l="1"/>
  <c r="I4" i="112"/>
  <c r="I107" i="9"/>
  <c r="I122" i="9" l="1"/>
  <c r="I26" i="112"/>
  <c r="Y159" i="68"/>
  <c r="Y170" i="68" l="1"/>
  <c r="X170" i="68" s="1"/>
  <c r="X159" i="68"/>
  <c r="Y171" i="68" l="1"/>
  <c r="X171" i="68" s="1"/>
  <c r="U45" i="113" l="1"/>
  <c r="V45" i="113" l="1"/>
  <c r="W45" i="113" l="1"/>
  <c r="X45" i="113" l="1"/>
  <c r="Y45" i="113" l="1"/>
  <c r="Z45" i="113" l="1"/>
  <c r="M26" i="112"/>
  <c r="M27" i="112" l="1"/>
  <c r="M96" i="112" l="1"/>
  <c r="M80" i="112"/>
  <c r="M86" i="112" s="1"/>
  <c r="M89" i="112" s="1"/>
  <c r="M61" i="112" s="1"/>
  <c r="M52" i="112"/>
  <c r="M105" i="112" l="1"/>
  <c r="M104" i="112" s="1"/>
  <c r="M57" i="112"/>
  <c r="M25" i="111" s="1"/>
  <c r="M108" i="112"/>
  <c r="M112" i="112"/>
  <c r="M109" i="112"/>
  <c r="M110" i="112"/>
  <c r="M107" i="112"/>
  <c r="M111" i="112"/>
  <c r="M27" i="111" l="1"/>
  <c r="M60" i="111"/>
  <c r="M125" i="9"/>
  <c r="N56" i="112"/>
  <c r="M87" i="112"/>
  <c r="BE154" i="68"/>
  <c r="M65" i="111" l="1"/>
  <c r="M128" i="9"/>
  <c r="M131" i="9" s="1"/>
  <c r="AX249" i="68"/>
  <c r="H253" i="68" s="1"/>
  <c r="BC154" i="68"/>
  <c r="BC249" i="68" s="1"/>
  <c r="BE249" i="68"/>
  <c r="BA249" i="68"/>
  <c r="AZ249" i="68"/>
  <c r="BD154" i="68"/>
  <c r="BD249" i="68" s="1"/>
  <c r="BB249" i="68"/>
  <c r="AY249" i="68"/>
  <c r="N57" i="112"/>
  <c r="N25" i="111" s="1"/>
  <c r="M32" i="113" l="1"/>
  <c r="M69" i="111"/>
  <c r="N27" i="111"/>
  <c r="N60" i="111"/>
  <c r="N125" i="9"/>
  <c r="N128" i="9" s="1"/>
  <c r="N131" i="9" s="1"/>
  <c r="O56" i="112"/>
  <c r="H258" i="68"/>
  <c r="C253" i="68"/>
  <c r="B253" i="68"/>
  <c r="N65" i="111" l="1"/>
  <c r="N259" i="68"/>
  <c r="E259" i="68"/>
  <c r="M259" i="68"/>
  <c r="K259" i="68"/>
  <c r="J259" i="68"/>
  <c r="F259" i="68"/>
  <c r="G259" i="68"/>
  <c r="I259" i="68"/>
  <c r="H259" i="68"/>
  <c r="L259" i="68"/>
  <c r="D259" i="68"/>
  <c r="O57" i="112"/>
  <c r="N69" i="111" l="1"/>
  <c r="N32" i="113"/>
  <c r="BU156" i="68"/>
  <c r="O25" i="111"/>
  <c r="P56" i="112"/>
  <c r="O27" i="111" l="1"/>
  <c r="P57" i="112"/>
  <c r="O125" i="9"/>
  <c r="O60" i="111"/>
  <c r="O65" i="111" l="1"/>
  <c r="O128" i="9"/>
  <c r="O131" i="9" s="1"/>
  <c r="Q56" i="112"/>
  <c r="P25" i="111"/>
  <c r="O69" i="111" l="1"/>
  <c r="O32" i="113"/>
  <c r="O90" i="111"/>
  <c r="CC156" i="68"/>
  <c r="P27" i="111"/>
  <c r="Q57" i="112"/>
  <c r="P125" i="9"/>
  <c r="P60" i="111"/>
  <c r="P65" i="111" s="1"/>
  <c r="P128" i="9" l="1"/>
  <c r="P131" i="9" s="1"/>
  <c r="Q25" i="111"/>
  <c r="R56" i="112"/>
  <c r="Q27" i="111" l="1"/>
  <c r="R57" i="112"/>
  <c r="Q125" i="9"/>
  <c r="Q60" i="111"/>
  <c r="Q65" i="111" s="1"/>
  <c r="CK156" i="68"/>
  <c r="CI156" i="68" s="1"/>
  <c r="CJ156" i="68" s="1"/>
  <c r="P32" i="113"/>
  <c r="P69" i="111"/>
  <c r="P90" i="111"/>
  <c r="S56" i="112" l="1"/>
  <c r="S57" i="112" s="1"/>
  <c r="S25" i="111" s="1"/>
  <c r="R25" i="111"/>
  <c r="Q128" i="9"/>
  <c r="Q131" i="9" s="1"/>
  <c r="R27" i="111" l="1"/>
  <c r="S27" i="111"/>
  <c r="S60" i="111"/>
  <c r="S125" i="9"/>
  <c r="Q90" i="111"/>
  <c r="Q32" i="113"/>
  <c r="Q69" i="111"/>
  <c r="CS156" i="68"/>
  <c r="R125" i="9"/>
  <c r="R60" i="111"/>
  <c r="R65" i="111" s="1"/>
  <c r="S65" i="111" l="1"/>
  <c r="S78" i="111"/>
  <c r="S75" i="111" s="1"/>
  <c r="T56" i="112"/>
  <c r="T57" i="112" s="1"/>
  <c r="U56" i="112" s="1"/>
  <c r="S128" i="9"/>
  <c r="S131" i="9" s="1"/>
  <c r="R128" i="9"/>
  <c r="R131" i="9" s="1"/>
  <c r="T60" i="112" l="1"/>
  <c r="S32" i="113"/>
  <c r="S69" i="111"/>
  <c r="DI156" i="68"/>
  <c r="DH156" i="68" s="1"/>
  <c r="S90" i="111"/>
  <c r="R90" i="111"/>
  <c r="DA156" i="68"/>
  <c r="R32" i="113"/>
  <c r="R69" i="111"/>
  <c r="T25" i="111" l="1"/>
  <c r="DG156" i="68"/>
  <c r="T27" i="111" l="1"/>
  <c r="T125" i="9"/>
  <c r="T60" i="111"/>
  <c r="T65" i="111" s="1"/>
  <c r="T78" i="111" l="1"/>
  <c r="T75" i="111" s="1"/>
  <c r="T81" i="111" s="1"/>
  <c r="T128" i="9"/>
  <c r="T131" i="9" s="1"/>
  <c r="DQ156" i="68" l="1"/>
  <c r="T69" i="111"/>
  <c r="T90" i="111"/>
  <c r="T32" i="113"/>
  <c r="DP156" i="68" l="1"/>
  <c r="DO156" i="68"/>
  <c r="U6" i="112" l="1"/>
  <c r="DY170" i="68" s="1"/>
  <c r="DW170" i="68" s="1"/>
  <c r="DX170" i="68" s="1"/>
  <c r="U70" i="112" l="1"/>
  <c r="DX145" i="68" l="1"/>
  <c r="DU145" i="68" l="1"/>
  <c r="DV146" i="68"/>
  <c r="DV148" i="68" s="1"/>
  <c r="DW145" i="68" l="1"/>
  <c r="DU146" i="68"/>
  <c r="DV155" i="68" l="1"/>
  <c r="DU155" i="68"/>
  <c r="R78" i="111" l="1"/>
  <c r="R75" i="111" s="1"/>
  <c r="S81" i="111" s="1"/>
  <c r="N78" i="111"/>
  <c r="N75" i="111" s="1"/>
  <c r="N81" i="111" s="1"/>
  <c r="L78" i="111"/>
  <c r="L75" i="111" s="1"/>
  <c r="L81" i="111" s="1"/>
  <c r="P78" i="111"/>
  <c r="P75" i="111" s="1"/>
  <c r="O78" i="111"/>
  <c r="O75" i="111" s="1"/>
  <c r="O81" i="111" s="1"/>
  <c r="M78" i="111"/>
  <c r="M75" i="111" s="1"/>
  <c r="M81" i="111" s="1"/>
  <c r="Q78" i="111"/>
  <c r="Q75" i="111" s="1"/>
  <c r="P81" i="111" l="1"/>
  <c r="Q81" i="111"/>
  <c r="R81" i="111"/>
  <c r="J27" i="111"/>
  <c r="J78" i="111" l="1"/>
  <c r="J75" i="111" s="1"/>
  <c r="J81" i="111" s="1"/>
  <c r="M31" i="113"/>
  <c r="M42" i="113" s="1"/>
  <c r="S84" i="113"/>
  <c r="Q84" i="113"/>
  <c r="M84" i="113"/>
  <c r="K84" i="113"/>
  <c r="L31" i="113"/>
  <c r="L42" i="113" s="1"/>
  <c r="P84" i="113"/>
  <c r="P31" i="113"/>
  <c r="P85" i="113" s="1"/>
  <c r="N31" i="113"/>
  <c r="N42" i="113" s="1"/>
  <c r="R84" i="113"/>
  <c r="O31" i="113"/>
  <c r="O42" i="113" s="1"/>
  <c r="Q31" i="113"/>
  <c r="Q85" i="113" s="1"/>
  <c r="M55" i="111"/>
  <c r="P55" i="111"/>
  <c r="R31" i="113"/>
  <c r="R85" i="113" s="1"/>
  <c r="N84" i="113"/>
  <c r="T31" i="113"/>
  <c r="N55" i="111"/>
  <c r="Q55" i="111"/>
  <c r="O84" i="113"/>
  <c r="O55" i="111"/>
  <c r="J84" i="113"/>
  <c r="T84" i="113"/>
  <c r="L55" i="111"/>
  <c r="L84" i="113"/>
  <c r="R55" i="111"/>
  <c r="S55" i="111"/>
  <c r="S31" i="113"/>
  <c r="S85" i="113" s="1"/>
  <c r="J55" i="111"/>
  <c r="J31" i="113"/>
  <c r="J42" i="113" s="1"/>
  <c r="K55" i="111"/>
  <c r="K31" i="113"/>
  <c r="K85" i="113" s="1"/>
  <c r="T55" i="111"/>
  <c r="S83" i="113" l="1"/>
  <c r="R83" i="113"/>
  <c r="P83" i="113"/>
  <c r="N56" i="111"/>
  <c r="P56" i="111"/>
  <c r="K56" i="111"/>
  <c r="L56" i="111"/>
  <c r="O56" i="111"/>
  <c r="J56" i="111"/>
  <c r="J57" i="111" s="1"/>
  <c r="S56" i="111"/>
  <c r="Q56" i="111"/>
  <c r="K42" i="113"/>
  <c r="K44" i="113" s="1"/>
  <c r="Q83" i="113"/>
  <c r="K83" i="113"/>
  <c r="V54" i="111"/>
  <c r="L85" i="113"/>
  <c r="L83" i="113" s="1"/>
  <c r="M56" i="111"/>
  <c r="R42" i="113"/>
  <c r="R44" i="113" s="1"/>
  <c r="R56" i="111"/>
  <c r="J85" i="113"/>
  <c r="J83" i="113" s="1"/>
  <c r="U84" i="113"/>
  <c r="S42" i="113"/>
  <c r="S44" i="113" s="1"/>
  <c r="Q42" i="113"/>
  <c r="O85" i="113"/>
  <c r="O83" i="113" s="1"/>
  <c r="N85" i="113"/>
  <c r="N83" i="113" s="1"/>
  <c r="N44" i="113"/>
  <c r="N43" i="113"/>
  <c r="L44" i="113"/>
  <c r="L43" i="113"/>
  <c r="M43" i="113"/>
  <c r="M44" i="113"/>
  <c r="T42" i="113"/>
  <c r="T85" i="113"/>
  <c r="T83" i="113" s="1"/>
  <c r="T56" i="111"/>
  <c r="J44" i="113"/>
  <c r="J43" i="113"/>
  <c r="O43" i="113"/>
  <c r="O44" i="113"/>
  <c r="M85" i="113"/>
  <c r="M83" i="113" s="1"/>
  <c r="P42" i="113"/>
  <c r="P57" i="111" l="1"/>
  <c r="O57" i="111"/>
  <c r="N57" i="111"/>
  <c r="L57" i="111"/>
  <c r="K57" i="111"/>
  <c r="Q57" i="111"/>
  <c r="T57" i="111"/>
  <c r="S57" i="111"/>
  <c r="M57" i="111"/>
  <c r="K43" i="113"/>
  <c r="V84" i="113"/>
  <c r="R57" i="111"/>
  <c r="W54" i="111"/>
  <c r="Q44" i="113"/>
  <c r="T44" i="113"/>
  <c r="P43" i="113"/>
  <c r="P44" i="113"/>
  <c r="X54" i="111" l="1"/>
  <c r="W84" i="113"/>
  <c r="X84" i="113" l="1"/>
  <c r="Y54" i="111"/>
  <c r="Z54" i="111" l="1"/>
  <c r="AA54" i="111" s="1"/>
  <c r="Y84" i="113"/>
  <c r="Z84" i="113" l="1"/>
  <c r="T117" i="9"/>
  <c r="T118" i="9" l="1"/>
  <c r="U119" i="9"/>
  <c r="U46" i="112"/>
  <c r="T122" i="9"/>
  <c r="T119" i="9"/>
  <c r="T121" i="9"/>
  <c r="U100" i="112" l="1"/>
  <c r="DU156" i="68" l="1"/>
  <c r="DS124" i="68" l="1"/>
  <c r="DS131" i="68"/>
  <c r="DT131" i="68" l="1"/>
  <c r="DT124" i="68"/>
  <c r="DT133" i="68"/>
  <c r="DT126" i="68"/>
  <c r="DS119" i="68"/>
  <c r="DT120" i="68"/>
  <c r="DT127" i="68" l="1"/>
  <c r="DS133" i="68"/>
  <c r="DT134" i="68"/>
  <c r="DS120" i="68"/>
  <c r="DS126" i="68"/>
  <c r="DT140" i="68"/>
  <c r="EB119" i="68" l="1"/>
  <c r="EA133" i="68"/>
  <c r="DS134" i="68"/>
  <c r="DS127" i="68"/>
  <c r="DS140" i="68"/>
  <c r="DS139" i="68" s="1"/>
  <c r="DT139" i="68"/>
  <c r="DT143" i="68"/>
  <c r="DT155" i="68"/>
  <c r="DT146" i="68"/>
  <c r="DT148" i="68" s="1"/>
  <c r="DU148" i="68" s="1"/>
  <c r="DU150" i="68" s="1"/>
  <c r="DS143" i="68" l="1"/>
  <c r="ED119" i="68"/>
  <c r="EB133" i="68"/>
  <c r="DS155" i="68"/>
  <c r="DS146" i="68"/>
  <c r="ED133" i="68" l="1"/>
  <c r="EE119" i="68"/>
  <c r="EE133" i="68" s="1"/>
  <c r="DV151" i="68"/>
  <c r="DU151" i="68" s="1"/>
  <c r="DS148" i="68"/>
  <c r="EF119" i="68" l="1"/>
  <c r="EF133" i="68" s="1"/>
  <c r="DN151" i="68" l="1"/>
  <c r="DM150" i="68"/>
  <c r="DN148" i="68"/>
  <c r="DM148" i="68" s="1"/>
  <c r="DO151" i="68" l="1"/>
  <c r="DM151" i="68"/>
  <c r="DO148" i="68"/>
  <c r="DO150" i="68" s="1"/>
  <c r="DP151" i="68" l="1"/>
  <c r="AS34" i="68" l="1"/>
  <c r="AT34" i="68" s="1"/>
  <c r="N136" i="56" a="1"/>
  <c r="N136" i="56" s="1"/>
  <c r="O136" i="56" a="1"/>
  <c r="O136" i="56" s="1"/>
  <c r="P136" i="56" a="1"/>
  <c r="P136" i="56" s="1"/>
  <c r="Q136" i="56" a="1"/>
  <c r="Q136" i="56" s="1"/>
  <c r="S136" i="56" a="1"/>
  <c r="S136" i="56" s="1"/>
  <c r="S7" i="56" s="1"/>
  <c r="R136" i="56" a="1"/>
  <c r="R136" i="56" s="1"/>
  <c r="T136" i="56" a="1"/>
  <c r="T136" i="56" s="1"/>
  <c r="T4" i="56" l="1"/>
  <c r="U118" i="56"/>
  <c r="AS52" i="68"/>
  <c r="AS43" i="68"/>
  <c r="BA52" i="68"/>
  <c r="AV34" i="68"/>
  <c r="T7" i="56"/>
  <c r="S118" i="56"/>
  <c r="S135" i="56" s="1"/>
  <c r="R4" i="56"/>
  <c r="R7" i="56"/>
  <c r="T118" i="56"/>
  <c r="T135" i="56" s="1"/>
  <c r="S4" i="56"/>
  <c r="S8" i="56"/>
  <c r="S27" i="9"/>
  <c r="R118" i="56"/>
  <c r="R135" i="56" s="1"/>
  <c r="Q4" i="56"/>
  <c r="Q7" i="56"/>
  <c r="P133" i="56"/>
  <c r="Q118" i="56"/>
  <c r="Q135" i="56" s="1"/>
  <c r="P4" i="56"/>
  <c r="O135" i="56"/>
  <c r="O4" i="56"/>
  <c r="AV52" i="68" l="1"/>
  <c r="BD52" i="68"/>
  <c r="AV43" i="68"/>
  <c r="Q8" i="56"/>
  <c r="Q9" i="56"/>
  <c r="Q27" i="9"/>
  <c r="Q6" i="56"/>
  <c r="Q5" i="56"/>
  <c r="R8" i="56"/>
  <c r="R9" i="56"/>
  <c r="R27" i="9"/>
  <c r="S45" i="9" s="1"/>
  <c r="P6" i="56"/>
  <c r="P5" i="56"/>
  <c r="R6" i="56"/>
  <c r="R5" i="56"/>
  <c r="T9" i="56"/>
  <c r="T8" i="56"/>
  <c r="T27" i="9"/>
  <c r="O6" i="56"/>
  <c r="O5" i="56"/>
  <c r="S35" i="9"/>
  <c r="S31" i="9"/>
  <c r="S6" i="56"/>
  <c r="S5" i="56"/>
  <c r="T6" i="56"/>
  <c r="T5" i="56"/>
  <c r="S9" i="56"/>
  <c r="Q35" i="9" l="1"/>
  <c r="Q45" i="9"/>
  <c r="Q31" i="9"/>
  <c r="S42" i="9"/>
  <c r="S76" i="112"/>
  <c r="S77" i="112" s="1"/>
  <c r="S151" i="9"/>
  <c r="T35" i="9"/>
  <c r="T45" i="9"/>
  <c r="T31" i="9"/>
  <c r="R35" i="9"/>
  <c r="AO27" i="68"/>
  <c r="R45" i="9"/>
  <c r="AO26" i="68"/>
  <c r="AM26" i="68" s="1"/>
  <c r="R31" i="9"/>
  <c r="S51" i="9" s="1"/>
  <c r="AS26" i="68" l="1"/>
  <c r="AU26" i="68"/>
  <c r="AN26" i="68"/>
  <c r="AW46" i="68"/>
  <c r="AM27" i="68"/>
  <c r="AO37" i="68"/>
  <c r="AO46" i="68"/>
  <c r="Q51" i="9"/>
  <c r="Q42" i="9"/>
  <c r="Q76" i="112"/>
  <c r="Q77" i="112" s="1"/>
  <c r="Q151" i="9"/>
  <c r="T51" i="9"/>
  <c r="T42" i="9"/>
  <c r="T76" i="112"/>
  <c r="T77" i="112" s="1"/>
  <c r="T151" i="9"/>
  <c r="R51" i="9"/>
  <c r="R76" i="112"/>
  <c r="R77" i="112" s="1"/>
  <c r="R42" i="9"/>
  <c r="R151" i="9"/>
  <c r="S43" i="113"/>
  <c r="S154" i="9"/>
  <c r="S152" i="9"/>
  <c r="S155" i="9" l="1"/>
  <c r="AV26" i="68"/>
  <c r="R152" i="9"/>
  <c r="R154" i="9"/>
  <c r="R43" i="113"/>
  <c r="T43" i="113"/>
  <c r="T152" i="9"/>
  <c r="T154" i="9"/>
  <c r="AT37" i="68"/>
  <c r="BB46" i="68"/>
  <c r="AM37" i="68"/>
  <c r="AU27" i="68"/>
  <c r="AM46" i="68"/>
  <c r="AN27" i="68"/>
  <c r="AT46" i="68"/>
  <c r="AS27" i="68"/>
  <c r="Q43" i="113"/>
  <c r="Q152" i="9"/>
  <c r="Q154" i="9"/>
  <c r="Q155" i="9" l="1"/>
  <c r="AN37" i="68"/>
  <c r="AN46" i="68"/>
  <c r="AU37" i="68"/>
  <c r="BR46" i="68"/>
  <c r="AV27" i="68"/>
  <c r="BC46" i="68"/>
  <c r="AU46" i="68"/>
  <c r="BA46" i="68"/>
  <c r="AS46" i="68"/>
  <c r="AS37" i="68"/>
  <c r="R155" i="9"/>
  <c r="T155" i="9"/>
  <c r="AV46" i="68" l="1"/>
  <c r="BD46" i="68"/>
  <c r="AV37" i="68"/>
  <c r="X48" i="56" l="1"/>
  <c r="Y48" i="56" l="1"/>
  <c r="U50" i="56" l="1"/>
  <c r="U111" i="56" s="1"/>
  <c r="Z48" i="56"/>
  <c r="U112" i="56" l="1"/>
  <c r="U152" i="56"/>
  <c r="U157" i="56" s="1"/>
  <c r="U119" i="56" l="1"/>
  <c r="U101" i="56"/>
  <c r="U159" i="56"/>
  <c r="U158" i="56"/>
  <c r="U114" i="56"/>
  <c r="U3" i="56"/>
  <c r="U19" i="56" l="1"/>
  <c r="DY93" i="68"/>
  <c r="U163" i="56"/>
  <c r="U115" i="56" l="1"/>
  <c r="U180" i="56"/>
  <c r="DY96" i="68"/>
  <c r="DR109" i="68"/>
  <c r="DR195" i="68" s="1"/>
  <c r="DY101" i="68"/>
  <c r="DU109" i="68"/>
  <c r="DU195" i="68" s="1"/>
  <c r="DT109" i="68"/>
  <c r="DY109" i="68"/>
  <c r="DS109" i="68"/>
  <c r="DS195" i="68" s="1"/>
  <c r="DV109" i="68"/>
  <c r="DW93" i="68"/>
  <c r="U36" i="56" l="1"/>
  <c r="U51" i="56" s="1"/>
  <c r="W115" i="56"/>
  <c r="V115" i="56"/>
  <c r="V36" i="56" s="1"/>
  <c r="X115" i="56"/>
  <c r="X36" i="56" s="1"/>
  <c r="Y115" i="56"/>
  <c r="Z115" i="56"/>
  <c r="AA115" i="56"/>
  <c r="U84" i="111"/>
  <c r="U94" i="111"/>
  <c r="U92" i="111"/>
  <c r="U86" i="111"/>
  <c r="DZ101" i="68"/>
  <c r="DW109" i="68"/>
  <c r="DW195" i="68" s="1"/>
  <c r="DW101" i="68"/>
  <c r="DX93" i="68"/>
  <c r="U59" i="9"/>
  <c r="V12" i="112"/>
  <c r="U152" i="111"/>
  <c r="DY104" i="68"/>
  <c r="DY126" i="68"/>
  <c r="DW96" i="68"/>
  <c r="DY97" i="68"/>
  <c r="U41" i="56" l="1"/>
  <c r="V19" i="56"/>
  <c r="V21" i="56" s="1"/>
  <c r="V29" i="56" s="1"/>
  <c r="U88" i="111"/>
  <c r="W36" i="56"/>
  <c r="V41" i="56"/>
  <c r="DW126" i="68"/>
  <c r="DW98" i="68"/>
  <c r="DW104" i="68"/>
  <c r="DX96" i="68"/>
  <c r="U135" i="111"/>
  <c r="U153" i="9"/>
  <c r="DY142" i="68" s="1"/>
  <c r="U40" i="112"/>
  <c r="U137" i="111"/>
  <c r="U134" i="111"/>
  <c r="U73" i="112"/>
  <c r="V138" i="111"/>
  <c r="DX101" i="68"/>
  <c r="DX109" i="68"/>
  <c r="DT112" i="68"/>
  <c r="DS112" i="68"/>
  <c r="DS199" i="68" s="1"/>
  <c r="DY112" i="68"/>
  <c r="DY105" i="68"/>
  <c r="DR112" i="68"/>
  <c r="DU112" i="68"/>
  <c r="DU199" i="68" s="1"/>
  <c r="DV112" i="68"/>
  <c r="DV199" i="68" s="1"/>
  <c r="DW97" i="68"/>
  <c r="U143" i="111"/>
  <c r="U147" i="111" s="1"/>
  <c r="V38" i="56" l="1"/>
  <c r="V42" i="56" s="1"/>
  <c r="V26" i="56"/>
  <c r="V27" i="56" s="1"/>
  <c r="V30" i="56" s="1"/>
  <c r="V18" i="56"/>
  <c r="V23" i="56"/>
  <c r="V39" i="56"/>
  <c r="V43" i="56" s="1"/>
  <c r="W41" i="56"/>
  <c r="W19" i="56"/>
  <c r="DR199" i="68"/>
  <c r="U132" i="111"/>
  <c r="DW112" i="68"/>
  <c r="DW199" i="68" s="1"/>
  <c r="DX97" i="68"/>
  <c r="DW105" i="68"/>
  <c r="U76" i="111"/>
  <c r="U14" i="111"/>
  <c r="U139" i="111"/>
  <c r="U77" i="111"/>
  <c r="U81" i="112"/>
  <c r="DX104" i="68"/>
  <c r="DX126" i="68"/>
  <c r="DU142" i="68"/>
  <c r="DU143" i="68" s="1"/>
  <c r="DX142" i="68"/>
  <c r="V51" i="56" l="1"/>
  <c r="V50" i="56" s="1"/>
  <c r="X19" i="56"/>
  <c r="X21" i="56" s="1"/>
  <c r="AA36" i="56"/>
  <c r="Y36" i="56"/>
  <c r="X41" i="56"/>
  <c r="Z36" i="56"/>
  <c r="DW142" i="68"/>
  <c r="DX112" i="68"/>
  <c r="DX105" i="68"/>
  <c r="U136" i="111"/>
  <c r="V111" i="56" l="1"/>
  <c r="V152" i="56" s="1"/>
  <c r="V157" i="56" s="1"/>
  <c r="X38" i="56"/>
  <c r="X42" i="56" s="1"/>
  <c r="X29" i="56"/>
  <c r="X23" i="56"/>
  <c r="X26" i="56"/>
  <c r="X27" i="56" s="1"/>
  <c r="X18" i="56"/>
  <c r="X39" i="56"/>
  <c r="X43" i="56" s="1"/>
  <c r="Z19" i="56"/>
  <c r="Z21" i="56" s="1"/>
  <c r="AA19" i="56"/>
  <c r="AA21" i="56" s="1"/>
  <c r="Y19" i="56"/>
  <c r="Y21" i="56" s="1"/>
  <c r="AA41" i="56"/>
  <c r="Y41" i="56"/>
  <c r="Z41" i="56"/>
  <c r="V112" i="56" l="1"/>
  <c r="V3" i="56" s="1"/>
  <c r="V17" i="9" s="1"/>
  <c r="V7" i="9" s="1"/>
  <c r="V158" i="56"/>
  <c r="V159" i="56"/>
  <c r="V119" i="56"/>
  <c r="X30" i="56"/>
  <c r="Y26" i="56"/>
  <c r="Y27" i="56" s="1"/>
  <c r="Y29" i="56"/>
  <c r="Z31" i="56" s="1"/>
  <c r="AA38" i="56"/>
  <c r="AA42" i="56" s="1"/>
  <c r="AA29" i="56"/>
  <c r="Z38" i="56"/>
  <c r="Z42" i="56" s="1"/>
  <c r="Z29" i="56"/>
  <c r="X51" i="56"/>
  <c r="X50" i="56" s="1"/>
  <c r="X111" i="56" s="1"/>
  <c r="Y38" i="56"/>
  <c r="Y18" i="56"/>
  <c r="Y39" i="56"/>
  <c r="Y43" i="56" s="1"/>
  <c r="Y23" i="56"/>
  <c r="Y31" i="56"/>
  <c r="AA18" i="56"/>
  <c r="AA26" i="56"/>
  <c r="AA27" i="56" s="1"/>
  <c r="AA39" i="56"/>
  <c r="AA43" i="56" s="1"/>
  <c r="AA23" i="56"/>
  <c r="Z18" i="56"/>
  <c r="Z23" i="56"/>
  <c r="Z39" i="56"/>
  <c r="Z43" i="56" s="1"/>
  <c r="Z26" i="56"/>
  <c r="Z27" i="56" s="1"/>
  <c r="V2" i="56" l="1"/>
  <c r="V180" i="56" s="1"/>
  <c r="V101" i="56"/>
  <c r="V114" i="56"/>
  <c r="AA30" i="56"/>
  <c r="Y30" i="56"/>
  <c r="Y32" i="56" s="1"/>
  <c r="Z30" i="56"/>
  <c r="Z32" i="56" s="1"/>
  <c r="Z130" i="56" s="1"/>
  <c r="Y42" i="56"/>
  <c r="Y51" i="56"/>
  <c r="Y50" i="56" s="1"/>
  <c r="Y111" i="56" s="1"/>
  <c r="Y112" i="56" s="1"/>
  <c r="Z51" i="56"/>
  <c r="Z50" i="56" s="1"/>
  <c r="Z111" i="56" s="1"/>
  <c r="Z112" i="56" s="1"/>
  <c r="AA51" i="56"/>
  <c r="AA50" i="56" s="1"/>
  <c r="AA111" i="56" s="1"/>
  <c r="EG93" i="68"/>
  <c r="X152" i="56"/>
  <c r="X157" i="56" s="1"/>
  <c r="X112" i="56"/>
  <c r="AA31" i="56"/>
  <c r="V163" i="56" l="1"/>
  <c r="V181" i="56"/>
  <c r="AA32" i="56"/>
  <c r="AA130" i="56" s="1"/>
  <c r="Y33" i="56"/>
  <c r="Y130" i="56"/>
  <c r="Y152" i="56"/>
  <c r="Y157" i="56" s="1"/>
  <c r="Y158" i="56" s="1"/>
  <c r="Z152" i="56"/>
  <c r="Z157" i="56" s="1"/>
  <c r="X158" i="56"/>
  <c r="X159" i="56"/>
  <c r="EG109" i="68"/>
  <c r="EC93" i="68"/>
  <c r="EG101" i="68"/>
  <c r="DZ109" i="68"/>
  <c r="Z114" i="56"/>
  <c r="Z3" i="56"/>
  <c r="Z17" i="9" s="1"/>
  <c r="Z101" i="56"/>
  <c r="AA152" i="56"/>
  <c r="AA157" i="56" s="1"/>
  <c r="AA112" i="56"/>
  <c r="X101" i="56"/>
  <c r="Y3" i="56"/>
  <c r="Y17" i="9" s="1"/>
  <c r="Y114" i="56"/>
  <c r="Y101" i="56"/>
  <c r="Z33" i="56"/>
  <c r="Z158" i="56" l="1"/>
  <c r="Z119" i="56"/>
  <c r="AA33" i="56"/>
  <c r="Y159" i="56"/>
  <c r="Y119" i="56"/>
  <c r="Z159" i="56"/>
  <c r="EC101" i="68"/>
  <c r="EC109" i="68"/>
  <c r="EA101" i="68"/>
  <c r="EB93" i="68"/>
  <c r="EA109" i="68"/>
  <c r="AA101" i="56"/>
  <c r="AA3" i="56"/>
  <c r="AA17" i="9" s="1"/>
  <c r="AA114" i="56"/>
  <c r="AA158" i="56"/>
  <c r="AA119" i="56"/>
  <c r="AA159" i="56"/>
  <c r="U84" i="9"/>
  <c r="U85" i="9"/>
  <c r="U67" i="111"/>
  <c r="U90" i="9"/>
  <c r="U96" i="9" s="1"/>
  <c r="EB109" i="68" l="1"/>
  <c r="ED93" i="68"/>
  <c r="EB101" i="68"/>
  <c r="U93" i="9"/>
  <c r="U97" i="9" s="1"/>
  <c r="V97" i="9" s="1"/>
  <c r="U63" i="9"/>
  <c r="U91" i="9"/>
  <c r="ED101" i="68" l="1"/>
  <c r="ED109" i="68"/>
  <c r="EE93" i="68"/>
  <c r="W97" i="9"/>
  <c r="X97" i="9" s="1"/>
  <c r="Y97" i="9" s="1"/>
  <c r="Z97" i="9" s="1"/>
  <c r="AA97" i="9" s="1"/>
  <c r="B11" i="113"/>
  <c r="U72" i="111"/>
  <c r="U98" i="9"/>
  <c r="U10" i="112"/>
  <c r="DY164" i="68" s="1"/>
  <c r="DW164" i="68" s="1"/>
  <c r="DX164" i="68" s="1"/>
  <c r="U61" i="9"/>
  <c r="EF93" i="68" l="1"/>
  <c r="EE101" i="68"/>
  <c r="EE109" i="68"/>
  <c r="C9" i="117"/>
  <c r="D32" i="117" s="1"/>
  <c r="C11" i="113"/>
  <c r="D9" i="117" s="1"/>
  <c r="U144" i="111"/>
  <c r="U151" i="111" s="1"/>
  <c r="U153" i="111" s="1"/>
  <c r="U47" i="111"/>
  <c r="U101" i="9"/>
  <c r="U68" i="112"/>
  <c r="U99" i="9"/>
  <c r="DY148" i="68"/>
  <c r="U73" i="111"/>
  <c r="U74" i="111" s="1"/>
  <c r="U142" i="111"/>
  <c r="U146" i="111" s="1"/>
  <c r="U149" i="111" s="1"/>
  <c r="U89" i="113"/>
  <c r="EF101" i="68" l="1"/>
  <c r="EF109" i="68"/>
  <c r="D11" i="113"/>
  <c r="E9" i="117" s="1"/>
  <c r="D33" i="117"/>
  <c r="D38" i="117" s="1"/>
  <c r="D48" i="117"/>
  <c r="U23" i="112"/>
  <c r="U36" i="111"/>
  <c r="U102" i="9"/>
  <c r="U31" i="113"/>
  <c r="U85" i="113" s="1"/>
  <c r="U83" i="113" s="1"/>
  <c r="U55" i="111"/>
  <c r="DX148" i="68"/>
  <c r="U155" i="111"/>
  <c r="U97" i="112" s="1"/>
  <c r="U79" i="111"/>
  <c r="U106" i="9"/>
  <c r="U4" i="112"/>
  <c r="DY159" i="68" s="1"/>
  <c r="U107" i="9"/>
  <c r="U92" i="113"/>
  <c r="U90" i="113"/>
  <c r="U93" i="113"/>
  <c r="U91" i="113"/>
  <c r="M16" i="117" l="1"/>
  <c r="H17" i="117"/>
  <c r="E16" i="117"/>
  <c r="H16" i="117"/>
  <c r="M17" i="117"/>
  <c r="L17" i="117"/>
  <c r="D17" i="117"/>
  <c r="K16" i="117"/>
  <c r="I17" i="117"/>
  <c r="G16" i="117"/>
  <c r="I16" i="117"/>
  <c r="E17" i="117"/>
  <c r="J17" i="117"/>
  <c r="K17" i="117"/>
  <c r="L16" i="117"/>
  <c r="J16" i="117"/>
  <c r="G17" i="117"/>
  <c r="F17" i="117"/>
  <c r="F16" i="117"/>
  <c r="D16" i="117"/>
  <c r="DY171" i="68"/>
  <c r="DW159" i="68"/>
  <c r="E11" i="113"/>
  <c r="F9" i="117" s="1"/>
  <c r="U27" i="112"/>
  <c r="U80" i="112" s="1"/>
  <c r="U108" i="9"/>
  <c r="U118" i="9" s="1"/>
  <c r="U109" i="9"/>
  <c r="DW148" i="68"/>
  <c r="U87" i="113"/>
  <c r="F11" i="113" l="1"/>
  <c r="G9" i="117" s="1"/>
  <c r="DW171" i="68"/>
  <c r="DX159" i="68"/>
  <c r="V45" i="112"/>
  <c r="U35" i="113"/>
  <c r="U86" i="112"/>
  <c r="U65" i="112"/>
  <c r="U75" i="112" s="1"/>
  <c r="U52" i="112"/>
  <c r="DX171" i="68" l="1"/>
  <c r="G11" i="113"/>
  <c r="H9" i="117" s="1"/>
  <c r="I9" i="117" s="1"/>
  <c r="J9" i="117" s="1"/>
  <c r="K9" i="117" s="1"/>
  <c r="L9" i="117" s="1"/>
  <c r="M9" i="117" s="1"/>
  <c r="U89" i="112"/>
  <c r="U87" i="112"/>
  <c r="DY154" i="68"/>
  <c r="U122" i="9"/>
  <c r="V46" i="112"/>
  <c r="U121" i="9"/>
  <c r="U57" i="112"/>
  <c r="U105" i="112"/>
  <c r="U34" i="113"/>
  <c r="V100" i="112"/>
  <c r="V51" i="112"/>
  <c r="U61" i="112" l="1"/>
  <c r="U92" i="112"/>
  <c r="U93" i="112" s="1"/>
  <c r="DW154" i="68"/>
  <c r="V50" i="112"/>
  <c r="V56" i="112"/>
  <c r="U60" i="111" l="1"/>
  <c r="U65" i="111" s="1"/>
  <c r="U125" i="9"/>
  <c r="U128" i="9" s="1"/>
  <c r="U131" i="9" s="1"/>
  <c r="U27" i="111"/>
  <c r="U62" i="112"/>
  <c r="DX154" i="68"/>
  <c r="U78" i="111" l="1"/>
  <c r="U75" i="111" s="1"/>
  <c r="U81" i="111" s="1"/>
  <c r="U56" i="111"/>
  <c r="U57" i="111" s="1"/>
  <c r="V128" i="9"/>
  <c r="V134" i="9"/>
  <c r="V87" i="9" s="1"/>
  <c r="V86" i="9" l="1"/>
  <c r="V8" i="112"/>
  <c r="V6" i="112"/>
  <c r="DY156" i="68"/>
  <c r="U90" i="111"/>
  <c r="U69" i="111"/>
  <c r="U32" i="113"/>
  <c r="U42" i="113" s="1"/>
  <c r="V70" i="112" l="1"/>
  <c r="U44" i="113"/>
  <c r="DW156" i="68"/>
  <c r="DX156" i="68"/>
  <c r="V92" i="9"/>
  <c r="EG145" i="68" s="1"/>
  <c r="ED145" i="68" l="1"/>
  <c r="EF145" i="68" l="1"/>
  <c r="EC145" i="68"/>
  <c r="EE145" i="68" l="1"/>
  <c r="U67" i="9" l="1"/>
  <c r="W67" i="9" l="1"/>
  <c r="X67" i="9" l="1"/>
  <c r="Y67" i="9" l="1"/>
  <c r="Z67" i="9" l="1"/>
  <c r="AA67" i="9" l="1"/>
  <c r="U69" i="9" l="1"/>
  <c r="U140" i="9"/>
  <c r="U96" i="112" s="1"/>
  <c r="U145" i="9" l="1"/>
  <c r="U110" i="112"/>
  <c r="U109" i="112"/>
  <c r="U107" i="112"/>
  <c r="U111" i="112"/>
  <c r="U71" i="9"/>
  <c r="V71" i="9" s="1"/>
  <c r="W71" i="9" l="1"/>
  <c r="X71" i="9" l="1"/>
  <c r="Y71" i="9" l="1"/>
  <c r="Z71" i="9" l="1"/>
  <c r="AA71" i="9" l="1"/>
  <c r="U7" i="56" l="1"/>
  <c r="U27" i="9" s="1"/>
  <c r="V118" i="56"/>
  <c r="U4" i="56"/>
  <c r="U6" i="56" s="1"/>
  <c r="DY116" i="68" l="1"/>
  <c r="U8" i="56"/>
  <c r="U35" i="9"/>
  <c r="U31" i="9"/>
  <c r="U45" i="9"/>
  <c r="U5" i="56"/>
  <c r="U9" i="56"/>
  <c r="DY222" i="68" l="1"/>
  <c r="DU222" i="68"/>
  <c r="DV222" i="68"/>
  <c r="DS222" i="68"/>
  <c r="DY130" i="68"/>
  <c r="DR222" i="68"/>
  <c r="DY123" i="68"/>
  <c r="DY120" i="68"/>
  <c r="DW116" i="68"/>
  <c r="U151" i="9"/>
  <c r="U43" i="113" s="1"/>
  <c r="U42" i="9"/>
  <c r="U51" i="9"/>
  <c r="U76" i="112"/>
  <c r="U77" i="112" s="1"/>
  <c r="DW222" i="68" l="1"/>
  <c r="DV249" i="68"/>
  <c r="DS226" i="68"/>
  <c r="DU226" i="68"/>
  <c r="DV226" i="68"/>
  <c r="DY140" i="68"/>
  <c r="DR226" i="68"/>
  <c r="DW123" i="68"/>
  <c r="DY134" i="68"/>
  <c r="DY226" i="68"/>
  <c r="DY127" i="68"/>
  <c r="DW120" i="68"/>
  <c r="DW130" i="68"/>
  <c r="DX116" i="68"/>
  <c r="DX222" i="68" s="1"/>
  <c r="U154" i="9"/>
  <c r="U155" i="9" s="1"/>
  <c r="U152" i="9"/>
  <c r="DY143" i="68" l="1"/>
  <c r="DU249" i="68" s="1"/>
  <c r="DY146" i="68"/>
  <c r="DY150" i="68" s="1"/>
  <c r="DY151" i="68" s="1"/>
  <c r="DW226" i="68"/>
  <c r="DY155" i="68"/>
  <c r="DY138" i="68"/>
  <c r="DX138" i="68" s="1"/>
  <c r="DX120" i="68"/>
  <c r="DX140" i="68" s="1"/>
  <c r="DX143" i="68" s="1"/>
  <c r="DW140" i="68"/>
  <c r="DW146" i="68" s="1"/>
  <c r="DW150" i="68" s="1"/>
  <c r="DW127" i="68"/>
  <c r="DW134" i="68"/>
  <c r="DX130" i="68"/>
  <c r="DX123" i="68"/>
  <c r="DS249" i="68" l="1"/>
  <c r="DR249" i="68"/>
  <c r="DW138" i="68"/>
  <c r="DW139" i="68" s="1"/>
  <c r="DX155" i="68"/>
  <c r="DX139" i="68"/>
  <c r="DX127" i="68"/>
  <c r="DX146" i="68"/>
  <c r="DX226" i="68"/>
  <c r="DW151" i="68"/>
  <c r="DW155" i="68"/>
  <c r="DW143" i="68"/>
  <c r="DW249" i="68" s="1"/>
  <c r="DX134" i="68"/>
  <c r="DX150" i="68" l="1"/>
  <c r="DX151" i="68" s="1"/>
  <c r="U39" i="56"/>
  <c r="U43" i="56" s="1"/>
  <c r="U18" i="56"/>
  <c r="U23" i="56"/>
  <c r="U31" i="56"/>
  <c r="U38" i="56"/>
  <c r="U42" i="56" s="1"/>
  <c r="U20" i="56"/>
  <c r="U26" i="56"/>
  <c r="U27" i="56" s="1"/>
  <c r="U29" i="56" s="1"/>
  <c r="U30" i="56" l="1"/>
  <c r="U32" i="56" s="1"/>
  <c r="U130" i="56" s="1"/>
  <c r="V31" i="56"/>
  <c r="V32" i="56" s="1"/>
  <c r="V33" i="56" l="1"/>
  <c r="V130" i="56"/>
  <c r="U33" i="56"/>
  <c r="U135" i="56"/>
  <c r="V136" i="56" l="1"/>
  <c r="V4" i="56" l="1"/>
  <c r="W118" i="56"/>
  <c r="V7" i="56"/>
  <c r="V5" i="56" l="1"/>
  <c r="V35" i="9" s="1"/>
  <c r="V27" i="9" s="1"/>
  <c r="V6" i="56"/>
  <c r="V9" i="56"/>
  <c r="V8" i="56"/>
  <c r="V45" i="9" l="1"/>
  <c r="EG116" i="68"/>
  <c r="EG130" i="68" l="1"/>
  <c r="EG123" i="68"/>
  <c r="EC116" i="68"/>
  <c r="EC123" i="68" l="1"/>
  <c r="EC130" i="68"/>
  <c r="DZ130" i="68"/>
  <c r="DZ123" i="68"/>
  <c r="EB116" i="68"/>
  <c r="EA130" i="68"/>
  <c r="EA123" i="68"/>
  <c r="ED116" i="68" l="1"/>
  <c r="EB123" i="68"/>
  <c r="EB130" i="68"/>
  <c r="ED130" i="68" l="1"/>
  <c r="ED123" i="68"/>
  <c r="EE116" i="68"/>
  <c r="EE123" i="68" l="1"/>
  <c r="EE130" i="68"/>
  <c r="EF116" i="68"/>
  <c r="EF123" i="68" l="1"/>
  <c r="EF130" i="68"/>
  <c r="EG149" i="68" l="1"/>
  <c r="V5" i="112"/>
  <c r="ED149" i="68" l="1"/>
  <c r="W5" i="112"/>
  <c r="EF149" i="68" l="1"/>
  <c r="EC149" i="68" l="1"/>
  <c r="EE149" i="68" s="1"/>
  <c r="U102" i="112" l="1"/>
  <c r="U112" i="112" s="1"/>
  <c r="V147" i="9"/>
  <c r="W147" i="9" s="1"/>
  <c r="X147" i="9" l="1"/>
  <c r="U143" i="9"/>
  <c r="U98" i="112" l="1"/>
  <c r="U148" i="9"/>
  <c r="Y147" i="9"/>
  <c r="Z147" i="9" l="1"/>
  <c r="U104" i="112"/>
  <c r="U108" i="112"/>
  <c r="AA147" i="9" l="1"/>
  <c r="U20" i="58" l="1"/>
  <c r="U3" i="58"/>
  <c r="U66" i="58" s="1"/>
  <c r="U67" i="58" s="1"/>
  <c r="U70" i="58" l="1"/>
  <c r="V50" i="58"/>
  <c r="V20" i="58"/>
  <c r="V22" i="58"/>
  <c r="U23" i="58"/>
  <c r="U68" i="58"/>
  <c r="U69" i="58"/>
  <c r="U54" i="58" l="1"/>
  <c r="W22" i="58"/>
  <c r="V23" i="58"/>
  <c r="V53" i="58"/>
  <c r="V54" i="58" s="1"/>
  <c r="W50" i="58"/>
  <c r="W20" i="58"/>
  <c r="U71" i="58"/>
  <c r="U59" i="58" s="1"/>
  <c r="U61" i="58" s="1"/>
  <c r="V61" i="58" s="1"/>
  <c r="V3" i="58"/>
  <c r="W3" i="58" l="1"/>
  <c r="W19" i="9" s="1"/>
  <c r="W61" i="58"/>
  <c r="X61" i="58" s="1"/>
  <c r="Y61" i="58" s="1"/>
  <c r="Z61" i="58" s="1"/>
  <c r="AA61" i="58" s="1"/>
  <c r="V58" i="58"/>
  <c r="V2" i="58"/>
  <c r="V19" i="9"/>
  <c r="V9" i="9" s="1"/>
  <c r="V66" i="58"/>
  <c r="X22" i="58"/>
  <c r="W53" i="58"/>
  <c r="W23" i="58"/>
  <c r="X20" i="58"/>
  <c r="X50" i="58"/>
  <c r="X3" i="58" l="1"/>
  <c r="X19" i="9" s="1"/>
  <c r="W54" i="58"/>
  <c r="W58" i="58"/>
  <c r="Y22" i="58"/>
  <c r="X53" i="58"/>
  <c r="X23" i="58"/>
  <c r="V67" i="58"/>
  <c r="V70" i="58"/>
  <c r="W66" i="58"/>
  <c r="V68" i="58"/>
  <c r="V69" i="58"/>
  <c r="EG94" i="68"/>
  <c r="W9" i="9"/>
  <c r="V13" i="9"/>
  <c r="Y50" i="58"/>
  <c r="Y20" i="58"/>
  <c r="V14" i="58"/>
  <c r="V60" i="58" s="1"/>
  <c r="W2" i="58"/>
  <c r="Y3" i="58" l="1"/>
  <c r="Y19" i="9" s="1"/>
  <c r="W68" i="58"/>
  <c r="Z20" i="58"/>
  <c r="Z50" i="58"/>
  <c r="X9" i="9"/>
  <c r="X54" i="58"/>
  <c r="X58" i="58"/>
  <c r="W69" i="58"/>
  <c r="X66" i="58"/>
  <c r="Y23" i="58"/>
  <c r="Z22" i="58"/>
  <c r="Y53" i="58"/>
  <c r="V14" i="9"/>
  <c r="V41" i="9"/>
  <c r="EG96" i="68"/>
  <c r="EG102" i="68"/>
  <c r="EC94" i="68"/>
  <c r="EG110" i="68"/>
  <c r="W70" i="58"/>
  <c r="X2" i="58"/>
  <c r="W14" i="58"/>
  <c r="W60" i="58" s="1"/>
  <c r="W67" i="58"/>
  <c r="V71" i="58"/>
  <c r="V59" i="58" s="1"/>
  <c r="V62" i="58" s="1"/>
  <c r="V4" i="58" s="1"/>
  <c r="Y66" i="58" l="1"/>
  <c r="EA110" i="68"/>
  <c r="EA102" i="68"/>
  <c r="Y9" i="9"/>
  <c r="V5" i="58"/>
  <c r="V37" i="9" s="1"/>
  <c r="V28" i="9" s="1"/>
  <c r="W57" i="58"/>
  <c r="V6" i="58"/>
  <c r="V58" i="9"/>
  <c r="V30" i="112"/>
  <c r="V92" i="111"/>
  <c r="V84" i="111"/>
  <c r="V94" i="111"/>
  <c r="V86" i="111"/>
  <c r="B2" i="113"/>
  <c r="V24" i="9"/>
  <c r="V43" i="111" s="1"/>
  <c r="X67" i="58"/>
  <c r="W71" i="58"/>
  <c r="W59" i="58" s="1"/>
  <c r="DZ110" i="68"/>
  <c r="EB94" i="68"/>
  <c r="DZ102" i="68"/>
  <c r="EG97" i="68"/>
  <c r="EG126" i="68"/>
  <c r="EC96" i="68"/>
  <c r="EG104" i="68"/>
  <c r="X69" i="58"/>
  <c r="X68" i="58"/>
  <c r="Y2" i="58"/>
  <c r="X14" i="58"/>
  <c r="EC110" i="68"/>
  <c r="EC102" i="68"/>
  <c r="Y58" i="58"/>
  <c r="Y54" i="58"/>
  <c r="AA50" i="58"/>
  <c r="AA20" i="58"/>
  <c r="X70" i="58"/>
  <c r="AA22" i="58"/>
  <c r="Z23" i="58"/>
  <c r="Z53" i="58"/>
  <c r="Z3" i="58"/>
  <c r="Z19" i="9" s="1"/>
  <c r="Y70" i="58" l="1"/>
  <c r="Y69" i="58"/>
  <c r="Y68" i="58"/>
  <c r="AA3" i="58"/>
  <c r="AA19" i="9" s="1"/>
  <c r="W62" i="58"/>
  <c r="W4" i="58" s="1"/>
  <c r="W5" i="58" s="1"/>
  <c r="W37" i="9" s="1"/>
  <c r="W28" i="9" s="1"/>
  <c r="Z66" i="58"/>
  <c r="EA97" i="68"/>
  <c r="EA126" i="68"/>
  <c r="EA104" i="68"/>
  <c r="V84" i="112"/>
  <c r="V46" i="9"/>
  <c r="EG117" i="68"/>
  <c r="V31" i="9"/>
  <c r="EG112" i="68"/>
  <c r="EG105" i="68"/>
  <c r="X71" i="58"/>
  <c r="X59" i="58" s="1"/>
  <c r="Y67" i="58"/>
  <c r="V28" i="112"/>
  <c r="V59" i="9"/>
  <c r="V70" i="9"/>
  <c r="V72" i="9"/>
  <c r="V18" i="111"/>
  <c r="V66" i="9"/>
  <c r="V68" i="9"/>
  <c r="V14" i="112"/>
  <c r="V64" i="9"/>
  <c r="V142" i="9"/>
  <c r="W12" i="112"/>
  <c r="V141" i="9"/>
  <c r="DZ126" i="68"/>
  <c r="DZ104" i="68"/>
  <c r="EB96" i="68"/>
  <c r="DZ97" i="68"/>
  <c r="Z58" i="58"/>
  <c r="Z54" i="58"/>
  <c r="X60" i="58"/>
  <c r="V152" i="111"/>
  <c r="V24" i="112"/>
  <c r="Z9" i="9"/>
  <c r="AA53" i="58"/>
  <c r="AA23" i="58"/>
  <c r="EC97" i="68"/>
  <c r="EC126" i="68"/>
  <c r="EC104" i="68"/>
  <c r="EB102" i="68"/>
  <c r="EB110" i="68"/>
  <c r="ED94" i="68"/>
  <c r="V88" i="111"/>
  <c r="Y14" i="58"/>
  <c r="Y60" i="58" s="1"/>
  <c r="Z2" i="58"/>
  <c r="AA66" i="58" l="1"/>
  <c r="X57" i="58"/>
  <c r="X62" i="58" s="1"/>
  <c r="X4" i="58" s="1"/>
  <c r="W6" i="58"/>
  <c r="Z69" i="58"/>
  <c r="Z68" i="58"/>
  <c r="Z70" i="58"/>
  <c r="DZ105" i="68"/>
  <c r="DZ112" i="68"/>
  <c r="W138" i="111"/>
  <c r="V140" i="9"/>
  <c r="W46" i="9"/>
  <c r="AA58" i="58"/>
  <c r="AA54" i="58"/>
  <c r="EB97" i="68"/>
  <c r="EB104" i="68"/>
  <c r="EB126" i="68"/>
  <c r="ED96" i="68"/>
  <c r="V137" i="111"/>
  <c r="V134" i="111"/>
  <c r="V5" i="111"/>
  <c r="V73" i="112"/>
  <c r="C13" i="117" s="1"/>
  <c r="V40" i="112"/>
  <c r="V102" i="112"/>
  <c r="V143" i="111"/>
  <c r="V147" i="111" s="1"/>
  <c r="V21" i="112"/>
  <c r="Z67" i="58"/>
  <c r="Y71" i="58"/>
  <c r="Y59" i="58" s="1"/>
  <c r="AA2" i="58"/>
  <c r="Z14" i="58"/>
  <c r="Z60" i="58" s="1"/>
  <c r="ED102" i="68"/>
  <c r="ED110" i="68"/>
  <c r="EE94" i="68"/>
  <c r="AA9" i="9"/>
  <c r="V76" i="9"/>
  <c r="V51" i="9"/>
  <c r="V42" i="9"/>
  <c r="V151" i="9"/>
  <c r="V76" i="112"/>
  <c r="EC105" i="68"/>
  <c r="EC112" i="68"/>
  <c r="EG120" i="68"/>
  <c r="EC117" i="68"/>
  <c r="EG131" i="68"/>
  <c r="EG124" i="68"/>
  <c r="EA105" i="68"/>
  <c r="EA112" i="68"/>
  <c r="V4" i="111"/>
  <c r="V153" i="9"/>
  <c r="V135" i="111"/>
  <c r="AA70" i="58" l="1"/>
  <c r="AA68" i="58"/>
  <c r="AA69" i="58"/>
  <c r="EC131" i="68"/>
  <c r="EC124" i="68"/>
  <c r="EC120" i="68"/>
  <c r="ED97" i="68"/>
  <c r="EB105" i="68"/>
  <c r="EB112" i="68"/>
  <c r="V81" i="112"/>
  <c r="EG134" i="68"/>
  <c r="EG140" i="68"/>
  <c r="EG127" i="68"/>
  <c r="Y57" i="58"/>
  <c r="Y62" i="58" s="1"/>
  <c r="Y4" i="58" s="1"/>
  <c r="X5" i="58"/>
  <c r="X37" i="9" s="1"/>
  <c r="X28" i="9" s="1"/>
  <c r="X6" i="58"/>
  <c r="EA120" i="68"/>
  <c r="EA131" i="68"/>
  <c r="EA124" i="68"/>
  <c r="DZ131" i="68"/>
  <c r="DZ120" i="68"/>
  <c r="DZ124" i="68"/>
  <c r="EB117" i="68"/>
  <c r="V62" i="9"/>
  <c r="V84" i="9"/>
  <c r="V90" i="9"/>
  <c r="V85" i="9"/>
  <c r="V67" i="111"/>
  <c r="EE102" i="68"/>
  <c r="EF94" i="68"/>
  <c r="EE110" i="68"/>
  <c r="AA67" i="58"/>
  <c r="Z71" i="58"/>
  <c r="Z59" i="58" s="1"/>
  <c r="EE96" i="68"/>
  <c r="ED126" i="68"/>
  <c r="ED104" i="68"/>
  <c r="V145" i="9"/>
  <c r="V143" i="9"/>
  <c r="EG142" i="68"/>
  <c r="C11" i="117"/>
  <c r="V152" i="9"/>
  <c r="V154" i="9"/>
  <c r="AA14" i="58"/>
  <c r="AA60" i="58" s="1"/>
  <c r="V139" i="111"/>
  <c r="V77" i="111"/>
  <c r="V76" i="111"/>
  <c r="V14" i="111"/>
  <c r="V132" i="111"/>
  <c r="AA71" i="58" l="1"/>
  <c r="AA59" i="58" s="1"/>
  <c r="ED142" i="68"/>
  <c r="V98" i="112"/>
  <c r="V148" i="9"/>
  <c r="EF102" i="68"/>
  <c r="EF110" i="68"/>
  <c r="V91" i="9"/>
  <c r="V94" i="9"/>
  <c r="DZ140" i="68"/>
  <c r="DZ127" i="68"/>
  <c r="DZ134" i="68"/>
  <c r="EA140" i="68"/>
  <c r="EA127" i="68"/>
  <c r="EA134" i="68"/>
  <c r="Z57" i="58"/>
  <c r="Z62" i="58" s="1"/>
  <c r="Z4" i="58" s="1"/>
  <c r="Y5" i="58"/>
  <c r="Y37" i="9" s="1"/>
  <c r="Y28" i="9" s="1"/>
  <c r="Y6" i="58"/>
  <c r="ED105" i="68"/>
  <c r="ED112" i="68"/>
  <c r="EE97" i="68"/>
  <c r="V93" i="9"/>
  <c r="B4" i="113"/>
  <c r="V155" i="9"/>
  <c r="EE104" i="68"/>
  <c r="EE126" i="68"/>
  <c r="EF96" i="68"/>
  <c r="V136" i="111"/>
  <c r="EC140" i="68"/>
  <c r="EC146" i="68" s="1"/>
  <c r="EC134" i="68"/>
  <c r="EC127" i="68"/>
  <c r="V60" i="9"/>
  <c r="V63" i="9"/>
  <c r="EB120" i="68"/>
  <c r="EB124" i="68"/>
  <c r="EB131" i="68"/>
  <c r="ED117" i="68"/>
  <c r="EG146" i="68"/>
  <c r="EG138" i="68"/>
  <c r="EG143" i="68"/>
  <c r="X46" i="9"/>
  <c r="EA143" i="68" l="1"/>
  <c r="EA146" i="68"/>
  <c r="EB140" i="68"/>
  <c r="EB127" i="68"/>
  <c r="EB134" i="68"/>
  <c r="EF104" i="68"/>
  <c r="EF126" i="68"/>
  <c r="EF142" i="68"/>
  <c r="ED138" i="68"/>
  <c r="DZ139" i="68"/>
  <c r="V72" i="111"/>
  <c r="V95" i="9"/>
  <c r="Y46" i="9"/>
  <c r="Z6" i="58"/>
  <c r="AA57" i="58"/>
  <c r="AA62" i="58" s="1"/>
  <c r="AA4" i="58" s="1"/>
  <c r="Z5" i="58"/>
  <c r="Z37" i="9" s="1"/>
  <c r="Z28" i="9" s="1"/>
  <c r="DZ146" i="68"/>
  <c r="DZ148" i="68" s="1"/>
  <c r="DZ143" i="68"/>
  <c r="ED120" i="68"/>
  <c r="ED131" i="68"/>
  <c r="ED124" i="68"/>
  <c r="EE117" i="68"/>
  <c r="V40" i="111"/>
  <c r="V61" i="9"/>
  <c r="V16" i="111"/>
  <c r="EE105" i="68"/>
  <c r="EE112" i="68"/>
  <c r="EF97" i="68"/>
  <c r="C7" i="117"/>
  <c r="C10" i="117" s="1"/>
  <c r="V10" i="112"/>
  <c r="V98" i="9"/>
  <c r="V11" i="112"/>
  <c r="V15" i="111" l="1"/>
  <c r="EC142" i="68"/>
  <c r="EC143" i="68" s="1"/>
  <c r="V101" i="9"/>
  <c r="V51" i="111"/>
  <c r="V68" i="112"/>
  <c r="EG148" i="68"/>
  <c r="EG150" i="68" s="1"/>
  <c r="V73" i="111"/>
  <c r="V74" i="111" s="1"/>
  <c r="ED127" i="68"/>
  <c r="ED140" i="68"/>
  <c r="ED134" i="68"/>
  <c r="EB146" i="68"/>
  <c r="EB148" i="68" s="1"/>
  <c r="EB143" i="68"/>
  <c r="EF105" i="68"/>
  <c r="EF112" i="68"/>
  <c r="V22" i="112"/>
  <c r="V47" i="111"/>
  <c r="V144" i="111"/>
  <c r="V151" i="111" s="1"/>
  <c r="V153" i="111" s="1"/>
  <c r="EA139" i="68"/>
  <c r="EB138" i="68"/>
  <c r="EF138" i="68" s="1"/>
  <c r="EE124" i="68"/>
  <c r="EE120" i="68"/>
  <c r="EF117" i="68"/>
  <c r="EE131" i="68"/>
  <c r="Z46" i="9"/>
  <c r="V99" i="9"/>
  <c r="EE138" i="68"/>
  <c r="V33" i="111"/>
  <c r="V89" i="113"/>
  <c r="V142" i="111"/>
  <c r="V146" i="111" s="1"/>
  <c r="V149" i="111" s="1"/>
  <c r="V20" i="112"/>
  <c r="AA6" i="58"/>
  <c r="AA5" i="58"/>
  <c r="AA37" i="9" s="1"/>
  <c r="AA28" i="9" s="1"/>
  <c r="EE142" i="68" l="1"/>
  <c r="EC138" i="68"/>
  <c r="EC139" i="68" s="1"/>
  <c r="AA46" i="9"/>
  <c r="V23" i="112"/>
  <c r="V36" i="111"/>
  <c r="EB139" i="68"/>
  <c r="V55" i="111"/>
  <c r="V31" i="113"/>
  <c r="V85" i="113" s="1"/>
  <c r="V83" i="113" s="1"/>
  <c r="V106" i="9"/>
  <c r="V107" i="9"/>
  <c r="V4" i="112"/>
  <c r="V102" i="9"/>
  <c r="EF120" i="68"/>
  <c r="EF131" i="68"/>
  <c r="EF124" i="68"/>
  <c r="V155" i="111"/>
  <c r="V97" i="112" s="1"/>
  <c r="V92" i="113"/>
  <c r="V93" i="113"/>
  <c r="V91" i="113"/>
  <c r="V90" i="113"/>
  <c r="EE127" i="68"/>
  <c r="EE134" i="68"/>
  <c r="EE140" i="68"/>
  <c r="V79" i="111"/>
  <c r="ED148" i="68"/>
  <c r="EA148" i="68"/>
  <c r="ED143" i="68"/>
  <c r="ED139" i="68"/>
  <c r="ED146" i="68"/>
  <c r="ED150" i="68" l="1"/>
  <c r="ED151" i="68" s="1"/>
  <c r="EG151" i="68"/>
  <c r="V116" i="9"/>
  <c r="V108" i="9"/>
  <c r="V109" i="9"/>
  <c r="EE146" i="68"/>
  <c r="EE139" i="68"/>
  <c r="EE143" i="68"/>
  <c r="V87" i="113"/>
  <c r="EF134" i="68"/>
  <c r="EF140" i="68"/>
  <c r="EF127" i="68"/>
  <c r="C12" i="117"/>
  <c r="C14" i="117" s="1"/>
  <c r="C15" i="117" s="1"/>
  <c r="V27" i="112"/>
  <c r="EA151" i="68" l="1"/>
  <c r="DZ151" i="68"/>
  <c r="V52" i="112"/>
  <c r="V80" i="112"/>
  <c r="V86" i="112" s="1"/>
  <c r="V65" i="112"/>
  <c r="V75" i="112" s="1"/>
  <c r="V96" i="112"/>
  <c r="V35" i="113"/>
  <c r="EB151" i="68"/>
  <c r="EF148" i="68"/>
  <c r="EC148" i="68"/>
  <c r="EC150" i="68" s="1"/>
  <c r="V117" i="9"/>
  <c r="W45" i="112"/>
  <c r="EF143" i="68"/>
  <c r="EF146" i="68"/>
  <c r="EF139" i="68"/>
  <c r="EF150" i="68" l="1"/>
  <c r="EF151" i="68" s="1"/>
  <c r="EC151" i="68"/>
  <c r="EE148" i="68"/>
  <c r="EE150" i="68" s="1"/>
  <c r="W51" i="112"/>
  <c r="W100" i="112"/>
  <c r="V119" i="9"/>
  <c r="V122" i="9"/>
  <c r="V121" i="9"/>
  <c r="W46" i="112"/>
  <c r="V112" i="112"/>
  <c r="V109" i="112"/>
  <c r="V108" i="112"/>
  <c r="V110" i="112"/>
  <c r="V111" i="112"/>
  <c r="V107" i="112"/>
  <c r="B6" i="113"/>
  <c r="V77" i="112"/>
  <c r="V34" i="113"/>
  <c r="V89" i="112"/>
  <c r="EG154" i="68"/>
  <c r="V87" i="112"/>
  <c r="V105" i="112"/>
  <c r="V104" i="112" s="1"/>
  <c r="V57" i="112"/>
  <c r="EE151" i="68" l="1"/>
  <c r="V92" i="112"/>
  <c r="V93" i="112" s="1"/>
  <c r="V61" i="112"/>
  <c r="W50" i="112"/>
  <c r="W56" i="112"/>
  <c r="V25" i="111"/>
  <c r="EG155" i="68"/>
  <c r="EC154" i="68"/>
  <c r="EA155" i="68" l="1"/>
  <c r="DZ155" i="68"/>
  <c r="EC155" i="68"/>
  <c r="V60" i="111"/>
  <c r="V27" i="111"/>
  <c r="V125" i="9"/>
  <c r="V62" i="112"/>
  <c r="EB155" i="68" l="1"/>
  <c r="ED154" i="68"/>
  <c r="EE154" i="68" s="1"/>
  <c r="V65" i="111"/>
  <c r="W134" i="9"/>
  <c r="W87" i="9" s="1"/>
  <c r="W128" i="9"/>
  <c r="V56" i="111"/>
  <c r="V57" i="111" s="1"/>
  <c r="V78" i="111"/>
  <c r="V75" i="111" s="1"/>
  <c r="V81" i="111" s="1"/>
  <c r="ED155" i="68" l="1"/>
  <c r="EE155" i="68"/>
  <c r="EF154" i="68"/>
  <c r="W86" i="9"/>
  <c r="W8" i="112"/>
  <c r="W6" i="112"/>
  <c r="EG156" i="68"/>
  <c r="V69" i="111"/>
  <c r="V90" i="111"/>
  <c r="V32" i="113"/>
  <c r="V42" i="113" s="1"/>
  <c r="B8" i="113"/>
  <c r="EF155" i="68" l="1"/>
  <c r="W70" i="112"/>
  <c r="W92" i="9"/>
  <c r="V44" i="113"/>
  <c r="V43" i="113"/>
  <c r="X5" i="112" l="1"/>
  <c r="Y5" i="112" l="1"/>
  <c r="Z5" i="112" l="1"/>
  <c r="AA5" i="112" l="1"/>
  <c r="W21" i="56" l="1"/>
  <c r="W31" i="56" l="1"/>
  <c r="W29" i="56"/>
  <c r="W39" i="56"/>
  <c r="W43" i="56" s="1"/>
  <c r="W38" i="56"/>
  <c r="W18" i="56"/>
  <c r="W23" i="56"/>
  <c r="W26" i="56"/>
  <c r="W27" i="56" s="1"/>
  <c r="X31" i="56" l="1"/>
  <c r="X32" i="56" s="1"/>
  <c r="X130" i="56" s="1"/>
  <c r="W51" i="56"/>
  <c r="W50" i="56" s="1"/>
  <c r="W111" i="56" s="1"/>
  <c r="W30" i="56"/>
  <c r="W32" i="56" s="1"/>
  <c r="W33" i="56" s="1"/>
  <c r="W42" i="56"/>
  <c r="X33" i="56" l="1"/>
  <c r="W130" i="56"/>
  <c r="W112" i="56"/>
  <c r="W152" i="56"/>
  <c r="W157" i="56" s="1"/>
  <c r="W119" i="56" l="1"/>
  <c r="X119" i="56"/>
  <c r="W159" i="56"/>
  <c r="W158" i="56"/>
  <c r="X114" i="56"/>
  <c r="W101" i="56"/>
  <c r="W114" i="56"/>
  <c r="X3" i="56"/>
  <c r="X17" i="9" s="1"/>
  <c r="W3" i="56"/>
  <c r="W17" i="9" l="1"/>
  <c r="W7" i="9" s="1"/>
  <c r="W2" i="56"/>
  <c r="W136" i="56"/>
  <c r="W4" i="56" l="1"/>
  <c r="X118" i="56"/>
  <c r="X136" i="56" s="1"/>
  <c r="W7" i="56"/>
  <c r="W163" i="56"/>
  <c r="W181" i="56"/>
  <c r="W180" i="56"/>
  <c r="X2" i="56"/>
  <c r="W13" i="9"/>
  <c r="W14" i="9" s="1"/>
  <c r="X7" i="9"/>
  <c r="Y7" i="9" l="1"/>
  <c r="W24" i="9"/>
  <c r="W43" i="111" s="1"/>
  <c r="C2" i="113"/>
  <c r="C3" i="113" s="1"/>
  <c r="W94" i="111"/>
  <c r="W30" i="112"/>
  <c r="W58" i="9"/>
  <c r="W92" i="111"/>
  <c r="W86" i="111"/>
  <c r="W84" i="111"/>
  <c r="W41" i="9"/>
  <c r="X13" i="9"/>
  <c r="X14" i="9" s="1"/>
  <c r="W9" i="56"/>
  <c r="W8" i="56"/>
  <c r="X181" i="56"/>
  <c r="Y2" i="56"/>
  <c r="X180" i="56"/>
  <c r="X163" i="56"/>
  <c r="Y118" i="56"/>
  <c r="Y136" i="56" s="1"/>
  <c r="X4" i="56"/>
  <c r="X7" i="56"/>
  <c r="W5" i="56"/>
  <c r="W35" i="9" s="1"/>
  <c r="W27" i="9" s="1"/>
  <c r="W6" i="56"/>
  <c r="W84" i="112" l="1"/>
  <c r="W31" i="9"/>
  <c r="W45" i="9"/>
  <c r="Y163" i="56"/>
  <c r="Y181" i="56"/>
  <c r="Z2" i="56"/>
  <c r="Y180" i="56"/>
  <c r="W88" i="111"/>
  <c r="X8" i="56"/>
  <c r="X9" i="56"/>
  <c r="X86" i="111"/>
  <c r="X84" i="111"/>
  <c r="X24" i="9"/>
  <c r="X43" i="111" s="1"/>
  <c r="X94" i="111"/>
  <c r="X92" i="111"/>
  <c r="X58" i="9"/>
  <c r="D2" i="113"/>
  <c r="D3" i="113" s="1"/>
  <c r="X30" i="112"/>
  <c r="X5" i="56"/>
  <c r="X35" i="9" s="1"/>
  <c r="X27" i="9" s="1"/>
  <c r="X6" i="56"/>
  <c r="W24" i="112"/>
  <c r="W152" i="111"/>
  <c r="Y7" i="56"/>
  <c r="Z118" i="56"/>
  <c r="Z136" i="56" s="1"/>
  <c r="Y4" i="56"/>
  <c r="X41" i="9"/>
  <c r="Y13" i="9"/>
  <c r="Y14" i="9" s="1"/>
  <c r="Z7" i="9"/>
  <c r="W70" i="9"/>
  <c r="X12" i="112"/>
  <c r="W64" i="9"/>
  <c r="W18" i="111"/>
  <c r="W142" i="9"/>
  <c r="W59" i="9"/>
  <c r="W141" i="9"/>
  <c r="W72" i="9"/>
  <c r="W28" i="112"/>
  <c r="W66" i="9"/>
  <c r="W14" i="112"/>
  <c r="W68" i="9"/>
  <c r="X152" i="111" l="1"/>
  <c r="X24" i="112"/>
  <c r="X84" i="112"/>
  <c r="W51" i="9"/>
  <c r="W76" i="112"/>
  <c r="W151" i="9"/>
  <c r="W76" i="9"/>
  <c r="W42" i="9"/>
  <c r="W140" i="9"/>
  <c r="AA7" i="9"/>
  <c r="Y5" i="56"/>
  <c r="Y35" i="9" s="1"/>
  <c r="Y27" i="9" s="1"/>
  <c r="Y6" i="56"/>
  <c r="X88" i="111"/>
  <c r="AA2" i="56"/>
  <c r="Z180" i="56"/>
  <c r="Z181" i="56"/>
  <c r="Z163" i="56"/>
  <c r="W135" i="111"/>
  <c r="W4" i="111"/>
  <c r="W153" i="9"/>
  <c r="D11" i="117" s="1"/>
  <c r="X138" i="111"/>
  <c r="Z13" i="9"/>
  <c r="Y41" i="9"/>
  <c r="Z7" i="56"/>
  <c r="Z4" i="56"/>
  <c r="AA118" i="56"/>
  <c r="AA136" i="56" s="1"/>
  <c r="X18" i="111"/>
  <c r="X14" i="112"/>
  <c r="X64" i="9"/>
  <c r="X28" i="112"/>
  <c r="X141" i="9"/>
  <c r="X142" i="9"/>
  <c r="X72" i="9"/>
  <c r="X66" i="9"/>
  <c r="X59" i="9"/>
  <c r="X68" i="9"/>
  <c r="Y12" i="112"/>
  <c r="X70" i="9"/>
  <c r="Y8" i="56"/>
  <c r="Y9" i="56"/>
  <c r="W143" i="111"/>
  <c r="W147" i="111" s="1"/>
  <c r="W21" i="112"/>
  <c r="W102" i="112"/>
  <c r="W73" i="112"/>
  <c r="D13" i="117" s="1"/>
  <c r="W137" i="111"/>
  <c r="W5" i="111"/>
  <c r="W134" i="111"/>
  <c r="W40" i="112"/>
  <c r="Y92" i="111"/>
  <c r="E2" i="113"/>
  <c r="E3" i="113" s="1"/>
  <c r="Y94" i="111"/>
  <c r="Y84" i="111"/>
  <c r="Y58" i="9"/>
  <c r="Y86" i="111"/>
  <c r="Y30" i="112"/>
  <c r="Y24" i="9"/>
  <c r="Y43" i="111" s="1"/>
  <c r="X31" i="9"/>
  <c r="X45" i="9"/>
  <c r="X40" i="112" l="1"/>
  <c r="X73" i="112"/>
  <c r="E13" i="117" s="1"/>
  <c r="X102" i="112"/>
  <c r="Z9" i="56"/>
  <c r="Z8" i="56"/>
  <c r="W62" i="9"/>
  <c r="W85" i="9"/>
  <c r="W67" i="111"/>
  <c r="W84" i="9"/>
  <c r="W90" i="9"/>
  <c r="X51" i="9"/>
  <c r="X76" i="9"/>
  <c r="X151" i="9"/>
  <c r="X76" i="112"/>
  <c r="X42" i="9"/>
  <c r="Y24" i="112"/>
  <c r="Y152" i="111"/>
  <c r="X137" i="111"/>
  <c r="W76" i="111"/>
  <c r="X4" i="111"/>
  <c r="W14" i="111"/>
  <c r="W154" i="9"/>
  <c r="W152" i="9"/>
  <c r="X5" i="111"/>
  <c r="W77" i="111"/>
  <c r="W139" i="111"/>
  <c r="Y84" i="112"/>
  <c r="Y138" i="111"/>
  <c r="Y31" i="9"/>
  <c r="Y45" i="9"/>
  <c r="W143" i="9"/>
  <c r="W145" i="9"/>
  <c r="X140" i="9"/>
  <c r="X143" i="111"/>
  <c r="X147" i="111" s="1"/>
  <c r="X21" i="112"/>
  <c r="Z14" i="9"/>
  <c r="Z41" i="9"/>
  <c r="AA13" i="9"/>
  <c r="X153" i="9"/>
  <c r="E11" i="117" s="1"/>
  <c r="Z12" i="112"/>
  <c r="Y142" i="9"/>
  <c r="Y28" i="112"/>
  <c r="Y141" i="9"/>
  <c r="Y70" i="9"/>
  <c r="Y72" i="9"/>
  <c r="Y59" i="9"/>
  <c r="Y68" i="9"/>
  <c r="Y64" i="9"/>
  <c r="Y66" i="9"/>
  <c r="Y18" i="111"/>
  <c r="Y14" i="112"/>
  <c r="W81" i="112"/>
  <c r="AA4" i="56"/>
  <c r="AA7" i="56"/>
  <c r="X135" i="111"/>
  <c r="AA163" i="56"/>
  <c r="AA180" i="56"/>
  <c r="AA181" i="56"/>
  <c r="Y88" i="111"/>
  <c r="W132" i="111"/>
  <c r="X134" i="111"/>
  <c r="Z6" i="56"/>
  <c r="Z5" i="56"/>
  <c r="Z35" i="9" s="1"/>
  <c r="Z27" i="9" s="1"/>
  <c r="Y135" i="111" l="1"/>
  <c r="Y153" i="9"/>
  <c r="F11" i="117" s="1"/>
  <c r="Y73" i="112"/>
  <c r="F13" i="117" s="1"/>
  <c r="Y102" i="112"/>
  <c r="Y40" i="112"/>
  <c r="Y51" i="9"/>
  <c r="Y42" i="9"/>
  <c r="Y76" i="112"/>
  <c r="Y76" i="9"/>
  <c r="Y151" i="9"/>
  <c r="W155" i="9"/>
  <c r="X81" i="112"/>
  <c r="Z45" i="9"/>
  <c r="Z31" i="9"/>
  <c r="AA8" i="56"/>
  <c r="AA9" i="56"/>
  <c r="Y143" i="111"/>
  <c r="Y147" i="111" s="1"/>
  <c r="Y21" i="112"/>
  <c r="AA14" i="9"/>
  <c r="AA41" i="9"/>
  <c r="Z138" i="111"/>
  <c r="W94" i="9"/>
  <c r="W91" i="9"/>
  <c r="W63" i="9"/>
  <c r="W60" i="9"/>
  <c r="AA5" i="56"/>
  <c r="AA35" i="9" s="1"/>
  <c r="AA27" i="9" s="1"/>
  <c r="AA6" i="56"/>
  <c r="W148" i="9"/>
  <c r="W98" i="112"/>
  <c r="X154" i="9"/>
  <c r="X152" i="9"/>
  <c r="W93" i="9"/>
  <c r="C4" i="113"/>
  <c r="X132" i="111"/>
  <c r="Y134" i="111"/>
  <c r="X139" i="111"/>
  <c r="Y5" i="111"/>
  <c r="X77" i="111"/>
  <c r="Y4" i="111"/>
  <c r="X76" i="111"/>
  <c r="X14" i="111"/>
  <c r="Z30" i="112"/>
  <c r="Z84" i="111"/>
  <c r="Z58" i="9"/>
  <c r="Z92" i="111"/>
  <c r="F2" i="113"/>
  <c r="F3" i="113" s="1"/>
  <c r="Z24" i="9"/>
  <c r="Z43" i="111" s="1"/>
  <c r="Z86" i="111"/>
  <c r="Z94" i="111"/>
  <c r="W136" i="111"/>
  <c r="Y140" i="9"/>
  <c r="X143" i="9"/>
  <c r="X145" i="9"/>
  <c r="Y137" i="111"/>
  <c r="X84" i="9"/>
  <c r="X62" i="9"/>
  <c r="X67" i="111"/>
  <c r="X85" i="9"/>
  <c r="X60" i="9" l="1"/>
  <c r="X63" i="9"/>
  <c r="Y132" i="111"/>
  <c r="W98" i="9"/>
  <c r="W10" i="112"/>
  <c r="W11" i="112"/>
  <c r="Y154" i="9"/>
  <c r="Y152" i="9"/>
  <c r="AA12" i="112"/>
  <c r="Z28" i="112"/>
  <c r="Z5" i="111" s="1"/>
  <c r="Z68" i="9"/>
  <c r="Z142" i="9"/>
  <c r="Z59" i="9"/>
  <c r="Z72" i="9"/>
  <c r="Z70" i="9"/>
  <c r="Z64" i="9"/>
  <c r="Z66" i="9"/>
  <c r="Z141" i="9"/>
  <c r="Z14" i="112"/>
  <c r="Z135" i="111" s="1"/>
  <c r="Z18" i="111"/>
  <c r="X136" i="111"/>
  <c r="Z76" i="9"/>
  <c r="Z42" i="9"/>
  <c r="Z151" i="9"/>
  <c r="Z51" i="9"/>
  <c r="Z76" i="112"/>
  <c r="Y85" i="9"/>
  <c r="Y62" i="9"/>
  <c r="Y67" i="111"/>
  <c r="Y84" i="9"/>
  <c r="Y81" i="112"/>
  <c r="Z24" i="112"/>
  <c r="Z152" i="111"/>
  <c r="Z88" i="111"/>
  <c r="Y139" i="111"/>
  <c r="Y77" i="111"/>
  <c r="C5" i="113"/>
  <c r="D7" i="117"/>
  <c r="X155" i="9"/>
  <c r="W61" i="9"/>
  <c r="W16" i="111"/>
  <c r="W15" i="111" s="1"/>
  <c r="W40" i="111"/>
  <c r="AA58" i="9"/>
  <c r="AA94" i="111"/>
  <c r="AA24" i="9"/>
  <c r="AA43" i="111" s="1"/>
  <c r="AA92" i="111"/>
  <c r="AA86" i="111"/>
  <c r="AA84" i="111"/>
  <c r="AA30" i="112"/>
  <c r="AA84" i="112" s="1"/>
  <c r="G2" i="113"/>
  <c r="D4" i="113"/>
  <c r="Z84" i="112"/>
  <c r="Y76" i="111"/>
  <c r="Y14" i="111"/>
  <c r="AA138" i="111"/>
  <c r="X98" i="112"/>
  <c r="X148" i="9"/>
  <c r="W95" i="9"/>
  <c r="W72" i="111"/>
  <c r="AA31" i="9"/>
  <c r="AA45" i="9"/>
  <c r="Y143" i="9"/>
  <c r="Y145" i="9"/>
  <c r="Z4" i="111" l="1"/>
  <c r="Z76" i="111" s="1"/>
  <c r="Z134" i="111"/>
  <c r="AA134" i="111" s="1"/>
  <c r="AA132" i="111" s="1"/>
  <c r="Z137" i="111"/>
  <c r="AA152" i="111"/>
  <c r="AA24" i="112"/>
  <c r="Y148" i="9"/>
  <c r="Y98" i="112"/>
  <c r="W99" i="9"/>
  <c r="W73" i="111"/>
  <c r="W74" i="111" s="1"/>
  <c r="D10" i="117"/>
  <c r="D8" i="117"/>
  <c r="E4" i="113"/>
  <c r="H2" i="113"/>
  <c r="G3" i="113"/>
  <c r="W68" i="112"/>
  <c r="AA135" i="111"/>
  <c r="AA42" i="9"/>
  <c r="AA51" i="9"/>
  <c r="AA151" i="9"/>
  <c r="AA76" i="112"/>
  <c r="AA76" i="9"/>
  <c r="Y63" i="9"/>
  <c r="Y60" i="9"/>
  <c r="D5" i="113"/>
  <c r="E7" i="117"/>
  <c r="AA70" i="9"/>
  <c r="AA14" i="112"/>
  <c r="AA64" i="9"/>
  <c r="AA72" i="9"/>
  <c r="AA66" i="9"/>
  <c r="AA142" i="9"/>
  <c r="AA18" i="111"/>
  <c r="AA59" i="9"/>
  <c r="AA141" i="9"/>
  <c r="AA28" i="112"/>
  <c r="AA68" i="9"/>
  <c r="Z77" i="111"/>
  <c r="Z139" i="111"/>
  <c r="Z152" i="9"/>
  <c r="Z143" i="111"/>
  <c r="Z147" i="111" s="1"/>
  <c r="Z21" i="112"/>
  <c r="Z140" i="9"/>
  <c r="W33" i="111"/>
  <c r="AA88" i="111"/>
  <c r="W144" i="111"/>
  <c r="W151" i="111" s="1"/>
  <c r="W153" i="111" s="1"/>
  <c r="W47" i="111"/>
  <c r="W22" i="112"/>
  <c r="Z153" i="9"/>
  <c r="G11" i="117" s="1"/>
  <c r="Z73" i="112"/>
  <c r="G13" i="117" s="1"/>
  <c r="Z102" i="112"/>
  <c r="Z40" i="112"/>
  <c r="Y155" i="9"/>
  <c r="W101" i="9"/>
  <c r="W51" i="111"/>
  <c r="X61" i="9"/>
  <c r="X16" i="111"/>
  <c r="X40" i="111"/>
  <c r="W89" i="113"/>
  <c r="W142" i="111"/>
  <c r="W146" i="111" s="1"/>
  <c r="W149" i="111" s="1"/>
  <c r="W20" i="112"/>
  <c r="Z62" i="9"/>
  <c r="Z85" i="9"/>
  <c r="Z84" i="9"/>
  <c r="Z67" i="111"/>
  <c r="Y136" i="111"/>
  <c r="Z14" i="111" l="1"/>
  <c r="X15" i="111"/>
  <c r="AA137" i="111"/>
  <c r="Z132" i="111"/>
  <c r="Z136" i="111" s="1"/>
  <c r="Z154" i="9"/>
  <c r="Z155" i="9" s="1"/>
  <c r="AA153" i="9"/>
  <c r="H11" i="117" s="1"/>
  <c r="Z60" i="9"/>
  <c r="Z63" i="9"/>
  <c r="X22" i="112"/>
  <c r="X47" i="111"/>
  <c r="X144" i="111"/>
  <c r="X151" i="111" s="1"/>
  <c r="X153" i="111" s="1"/>
  <c r="AA67" i="111"/>
  <c r="AA85" i="9"/>
  <c r="AA62" i="9"/>
  <c r="AA84" i="9"/>
  <c r="W102" i="9"/>
  <c r="W91" i="113"/>
  <c r="W93" i="113"/>
  <c r="W92" i="113"/>
  <c r="W90" i="113"/>
  <c r="X20" i="112"/>
  <c r="X89" i="113"/>
  <c r="X142" i="111"/>
  <c r="X146" i="111" s="1"/>
  <c r="X149" i="111" s="1"/>
  <c r="W4" i="112"/>
  <c r="W107" i="9"/>
  <c r="W106" i="9"/>
  <c r="W79" i="111"/>
  <c r="AA140" i="9"/>
  <c r="Y61" i="9"/>
  <c r="Y40" i="111"/>
  <c r="Y16" i="111"/>
  <c r="Y15" i="111" s="1"/>
  <c r="Z145" i="9"/>
  <c r="Z143" i="9"/>
  <c r="AA73" i="112"/>
  <c r="H13" i="117" s="1"/>
  <c r="AA40" i="112"/>
  <c r="AA102" i="112"/>
  <c r="F4" i="113"/>
  <c r="W36" i="111"/>
  <c r="E8" i="117"/>
  <c r="E10" i="117"/>
  <c r="AA152" i="9"/>
  <c r="AA21" i="112"/>
  <c r="AA143" i="111"/>
  <c r="AA147" i="111" s="1"/>
  <c r="AA5" i="111"/>
  <c r="W155" i="111"/>
  <c r="W97" i="112" s="1"/>
  <c r="E5" i="113"/>
  <c r="F7" i="117"/>
  <c r="W23" i="112"/>
  <c r="W31" i="113"/>
  <c r="W85" i="113" s="1"/>
  <c r="W83" i="113" s="1"/>
  <c r="W55" i="111"/>
  <c r="Z81" i="112"/>
  <c r="AA4" i="111"/>
  <c r="AA136" i="111"/>
  <c r="AA154" i="9" l="1"/>
  <c r="W87" i="113"/>
  <c r="W35" i="113" s="1"/>
  <c r="X155" i="111"/>
  <c r="X97" i="112" s="1"/>
  <c r="AA14" i="111"/>
  <c r="AA76" i="111"/>
  <c r="D12" i="117"/>
  <c r="D14" i="117" s="1"/>
  <c r="AA60" i="9"/>
  <c r="AA63" i="9"/>
  <c r="X79" i="111"/>
  <c r="AA81" i="112"/>
  <c r="G7" i="117"/>
  <c r="F5" i="113"/>
  <c r="W27" i="112"/>
  <c r="X93" i="113"/>
  <c r="X91" i="113"/>
  <c r="X90" i="113"/>
  <c r="X92" i="113"/>
  <c r="F10" i="117"/>
  <c r="F8" i="117"/>
  <c r="AA77" i="111"/>
  <c r="AA139" i="111"/>
  <c r="Y142" i="111"/>
  <c r="Y146" i="111" s="1"/>
  <c r="Y149" i="111" s="1"/>
  <c r="Y89" i="113"/>
  <c r="Y20" i="112"/>
  <c r="AA143" i="9"/>
  <c r="AA145" i="9"/>
  <c r="X23" i="112"/>
  <c r="E12" i="117" s="1"/>
  <c r="E14" i="117" s="1"/>
  <c r="W116" i="9"/>
  <c r="W108" i="9"/>
  <c r="W109" i="9"/>
  <c r="G4" i="113"/>
  <c r="Z98" i="112"/>
  <c r="Z148" i="9"/>
  <c r="Y22" i="112"/>
  <c r="Y47" i="111"/>
  <c r="Y144" i="111"/>
  <c r="Y151" i="111" s="1"/>
  <c r="Y153" i="111" s="1"/>
  <c r="Z40" i="111"/>
  <c r="Z61" i="9"/>
  <c r="Z16" i="111"/>
  <c r="Z15" i="111" s="1"/>
  <c r="AA155" i="9" l="1"/>
  <c r="W34" i="113"/>
  <c r="Y155" i="111"/>
  <c r="Y97" i="112" s="1"/>
  <c r="Z22" i="112"/>
  <c r="Z144" i="111"/>
  <c r="Z151" i="111" s="1"/>
  <c r="Z153" i="111" s="1"/>
  <c r="Z47" i="111"/>
  <c r="W80" i="112"/>
  <c r="W86" i="112" s="1"/>
  <c r="W52" i="112"/>
  <c r="W96" i="112"/>
  <c r="W65" i="112"/>
  <c r="W75" i="112" s="1"/>
  <c r="D18" i="117"/>
  <c r="D15" i="117"/>
  <c r="E15" i="117"/>
  <c r="E18" i="117"/>
  <c r="Y92" i="113"/>
  <c r="Y91" i="113"/>
  <c r="Y90" i="113"/>
  <c r="Y93" i="113"/>
  <c r="Z89" i="113"/>
  <c r="Z142" i="111"/>
  <c r="Z146" i="111" s="1"/>
  <c r="Z149" i="111" s="1"/>
  <c r="Z20" i="112"/>
  <c r="G8" i="117"/>
  <c r="G10" i="117"/>
  <c r="Y23" i="112"/>
  <c r="F12" i="117" s="1"/>
  <c r="F14" i="117" s="1"/>
  <c r="W117" i="9"/>
  <c r="Y79" i="111"/>
  <c r="X45" i="112"/>
  <c r="AA148" i="9"/>
  <c r="AA98" i="112"/>
  <c r="X87" i="113"/>
  <c r="X35" i="113" s="1"/>
  <c r="AA16" i="111"/>
  <c r="AA15" i="111" s="1"/>
  <c r="AA61" i="9"/>
  <c r="AA40" i="111"/>
  <c r="H7" i="117"/>
  <c r="G5" i="113"/>
  <c r="H4" i="113"/>
  <c r="Y87" i="113" l="1"/>
  <c r="Y35" i="113" s="1"/>
  <c r="Z155" i="111"/>
  <c r="Z97" i="112" s="1"/>
  <c r="Z92" i="113"/>
  <c r="Z90" i="113"/>
  <c r="Z93" i="113"/>
  <c r="Z91" i="113"/>
  <c r="I7" i="117"/>
  <c r="H8" i="117"/>
  <c r="H10" i="117"/>
  <c r="F18" i="117"/>
  <c r="F15" i="117"/>
  <c r="W77" i="112"/>
  <c r="C6" i="113"/>
  <c r="C7" i="113" s="1"/>
  <c r="Z79" i="111"/>
  <c r="X34" i="113"/>
  <c r="W112" i="112"/>
  <c r="W108" i="112"/>
  <c r="W107" i="112"/>
  <c r="W109" i="112"/>
  <c r="W110" i="112"/>
  <c r="W111" i="112"/>
  <c r="Z23" i="112"/>
  <c r="G12" i="117" s="1"/>
  <c r="G14" i="117" s="1"/>
  <c r="AA22" i="112"/>
  <c r="AA47" i="111"/>
  <c r="AA144" i="111"/>
  <c r="AA151" i="111" s="1"/>
  <c r="AA153" i="111" s="1"/>
  <c r="W105" i="112"/>
  <c r="W104" i="112" s="1"/>
  <c r="W57" i="112"/>
  <c r="AA142" i="111"/>
  <c r="AA146" i="111" s="1"/>
  <c r="AA149" i="111" s="1"/>
  <c r="AA20" i="112"/>
  <c r="X51" i="112"/>
  <c r="X100" i="112"/>
  <c r="W121" i="9"/>
  <c r="W122" i="9"/>
  <c r="X46" i="112"/>
  <c r="W119" i="9"/>
  <c r="W89" i="112"/>
  <c r="W87" i="112"/>
  <c r="Z87" i="113" l="1"/>
  <c r="Z35" i="113" s="1"/>
  <c r="Y34" i="113"/>
  <c r="AA155" i="111"/>
  <c r="AA97" i="112" s="1"/>
  <c r="I10" i="117"/>
  <c r="J7" i="117"/>
  <c r="AA23" i="112"/>
  <c r="H12" i="117" s="1"/>
  <c r="H14" i="117" s="1"/>
  <c r="W25" i="111"/>
  <c r="X56" i="112"/>
  <c r="G18" i="117"/>
  <c r="G15" i="117"/>
  <c r="X50" i="112"/>
  <c r="W92" i="112"/>
  <c r="W93" i="112" s="1"/>
  <c r="W61" i="112"/>
  <c r="AA79" i="111"/>
  <c r="Z34" i="113" l="1"/>
  <c r="W27" i="111"/>
  <c r="W125" i="9"/>
  <c r="W60" i="111"/>
  <c r="K7" i="117"/>
  <c r="J10" i="117"/>
  <c r="H18" i="117"/>
  <c r="H15" i="117"/>
  <c r="I15" i="117" s="1"/>
  <c r="J15" i="117" s="1"/>
  <c r="K15" i="117" s="1"/>
  <c r="L15" i="117" s="1"/>
  <c r="W62" i="112"/>
  <c r="W65" i="111" l="1"/>
  <c r="I14" i="117"/>
  <c r="I18" i="117" s="1"/>
  <c r="L7" i="117"/>
  <c r="K10" i="117"/>
  <c r="K14" i="117" s="1"/>
  <c r="K18" i="117" s="1"/>
  <c r="X134" i="9"/>
  <c r="X87" i="9" s="1"/>
  <c r="X128" i="9"/>
  <c r="W56" i="111"/>
  <c r="W57" i="111" s="1"/>
  <c r="W78" i="111"/>
  <c r="W75" i="111" s="1"/>
  <c r="W81" i="111" s="1"/>
  <c r="J14" i="117"/>
  <c r="J18" i="117" s="1"/>
  <c r="L10" i="117" l="1"/>
  <c r="L14" i="117" s="1"/>
  <c r="M7" i="117"/>
  <c r="M10" i="117" s="1"/>
  <c r="M14" i="117" s="1"/>
  <c r="X6" i="112"/>
  <c r="X8" i="112"/>
  <c r="X86" i="9"/>
  <c r="W32" i="113"/>
  <c r="W42" i="113" s="1"/>
  <c r="C8" i="113"/>
  <c r="W90" i="111"/>
  <c r="W69" i="111"/>
  <c r="M18" i="117" l="1"/>
  <c r="D43" i="117"/>
  <c r="D44" i="117" s="1"/>
  <c r="W44" i="113"/>
  <c r="W43" i="113"/>
  <c r="X90" i="9"/>
  <c r="X92" i="9"/>
  <c r="X70" i="112"/>
  <c r="D46" i="117"/>
  <c r="L18" i="117"/>
  <c r="N18" i="117" l="1"/>
  <c r="D42" i="117" s="1"/>
  <c r="D45" i="117" s="1"/>
  <c r="D49" i="117" s="1"/>
  <c r="D51" i="117" s="1"/>
  <c r="X93" i="9"/>
  <c r="X91" i="9"/>
  <c r="X94" i="9"/>
  <c r="X95" i="9" l="1"/>
  <c r="X99" i="9" s="1"/>
  <c r="X72" i="111"/>
  <c r="X11" i="112"/>
  <c r="X98" i="9"/>
  <c r="X10" i="112"/>
  <c r="A1" i="9" l="1"/>
  <c r="A1" i="112"/>
  <c r="A1" i="111"/>
  <c r="X68" i="112"/>
  <c r="X101" i="9"/>
  <c r="X51" i="111"/>
  <c r="X102" i="9"/>
  <c r="X33" i="111"/>
  <c r="X73" i="111"/>
  <c r="X74" i="111" s="1"/>
  <c r="X107" i="9" l="1"/>
  <c r="X106" i="9"/>
  <c r="X4" i="112"/>
  <c r="X108" i="9"/>
  <c r="X116" i="9"/>
  <c r="X109" i="9"/>
  <c r="X36" i="111"/>
  <c r="X55" i="111"/>
  <c r="X31" i="113"/>
  <c r="X85" i="113" s="1"/>
  <c r="X83" i="113" s="1"/>
  <c r="X27" i="112" l="1"/>
  <c r="X117" i="9"/>
  <c r="Y45" i="112"/>
  <c r="Y100" i="112" l="1"/>
  <c r="Y51" i="112"/>
  <c r="X121" i="9"/>
  <c r="Y46" i="112"/>
  <c r="X119" i="9"/>
  <c r="X122" i="9"/>
  <c r="X80" i="112"/>
  <c r="X86" i="112" s="1"/>
  <c r="X52" i="112"/>
  <c r="X65" i="112"/>
  <c r="X75" i="112" s="1"/>
  <c r="X96" i="112"/>
  <c r="X105" i="112" l="1"/>
  <c r="X104" i="112" s="1"/>
  <c r="X57" i="112"/>
  <c r="X87" i="112"/>
  <c r="X89" i="112"/>
  <c r="Y50" i="112"/>
  <c r="X111" i="112"/>
  <c r="X112" i="112"/>
  <c r="X108" i="112"/>
  <c r="X107" i="112"/>
  <c r="X109" i="112"/>
  <c r="X110" i="112"/>
  <c r="X77" i="112"/>
  <c r="D6" i="113"/>
  <c r="D7" i="113" s="1"/>
  <c r="X25" i="111" l="1"/>
  <c r="Y56" i="112"/>
  <c r="X61" i="112"/>
  <c r="X92" i="112"/>
  <c r="X93" i="112" s="1"/>
  <c r="X62" i="112" l="1"/>
  <c r="X27" i="111"/>
  <c r="X60" i="111"/>
  <c r="X125" i="9"/>
  <c r="X56" i="111" l="1"/>
  <c r="X57" i="111" s="1"/>
  <c r="X78" i="111"/>
  <c r="X75" i="111" s="1"/>
  <c r="X81" i="111" s="1"/>
  <c r="Y128" i="9"/>
  <c r="Y134" i="9"/>
  <c r="Y87" i="9" s="1"/>
  <c r="X65" i="111"/>
  <c r="X69" i="111" l="1"/>
  <c r="X90" i="111"/>
  <c r="D8" i="113"/>
  <c r="X32" i="113"/>
  <c r="X42" i="113" s="1"/>
  <c r="Y86" i="9"/>
  <c r="Y6" i="112"/>
  <c r="Y8" i="112"/>
  <c r="Y70" i="112" l="1"/>
  <c r="Y92" i="9"/>
  <c r="Y90" i="9"/>
  <c r="X44" i="113"/>
  <c r="X43" i="113"/>
  <c r="Y94" i="9" l="1"/>
  <c r="Y91" i="9"/>
  <c r="Y93" i="9"/>
  <c r="Y72" i="111" l="1"/>
  <c r="Y95" i="9"/>
  <c r="Y99" i="9" s="1"/>
  <c r="Y98" i="9"/>
  <c r="Y11" i="112"/>
  <c r="Y10" i="112"/>
  <c r="Y33" i="111" l="1"/>
  <c r="Y68" i="112"/>
  <c r="Y102" i="9"/>
  <c r="Y51" i="111"/>
  <c r="Y101" i="9"/>
  <c r="Y73" i="111"/>
  <c r="Y74" i="111" s="1"/>
  <c r="Y55" i="111" l="1"/>
  <c r="Y31" i="113"/>
  <c r="Y85" i="113" s="1"/>
  <c r="Y83" i="113" s="1"/>
  <c r="Y36" i="111"/>
  <c r="Y106" i="9"/>
  <c r="Y4" i="112"/>
  <c r="Y107" i="9"/>
  <c r="Y109" i="9"/>
  <c r="Y108" i="9"/>
  <c r="Y116" i="9"/>
  <c r="Z45" i="112" l="1"/>
  <c r="Y27" i="112"/>
  <c r="Y117" i="9"/>
  <c r="Z100" i="112" l="1"/>
  <c r="Z51" i="112"/>
  <c r="Z46" i="112"/>
  <c r="Y119" i="9"/>
  <c r="Y122" i="9"/>
  <c r="Y121" i="9"/>
  <c r="Y80" i="112"/>
  <c r="Y86" i="112" s="1"/>
  <c r="Y96" i="112"/>
  <c r="Y52" i="112"/>
  <c r="Y65" i="112"/>
  <c r="Y75" i="112" s="1"/>
  <c r="Y111" i="112" l="1"/>
  <c r="Y109" i="112"/>
  <c r="Y108" i="112"/>
  <c r="Y107" i="112"/>
  <c r="Y110" i="112"/>
  <c r="Y112" i="112"/>
  <c r="Y87" i="112"/>
  <c r="Y89" i="112"/>
  <c r="Z50" i="112"/>
  <c r="Y57" i="112"/>
  <c r="Y105" i="112"/>
  <c r="Y104" i="112" s="1"/>
  <c r="E6" i="113"/>
  <c r="E7" i="113" s="1"/>
  <c r="Y77" i="112"/>
  <c r="Y25" i="111" l="1"/>
  <c r="Z56" i="112"/>
  <c r="Y61" i="112"/>
  <c r="Y92" i="112"/>
  <c r="Y93" i="112" s="1"/>
  <c r="Y62" i="112" l="1"/>
  <c r="Y125" i="9"/>
  <c r="Y60" i="111"/>
  <c r="Y27" i="111"/>
  <c r="Z128" i="9" l="1"/>
  <c r="Z134" i="9"/>
  <c r="Z87" i="9" s="1"/>
  <c r="Y65" i="111"/>
  <c r="Y56" i="111"/>
  <c r="Y57" i="111" s="1"/>
  <c r="Y78" i="111"/>
  <c r="Y75" i="111" s="1"/>
  <c r="Y81" i="111" s="1"/>
  <c r="Z8" i="112" l="1"/>
  <c r="Z6" i="112"/>
  <c r="Z86" i="9"/>
  <c r="Y32" i="113"/>
  <c r="Y42" i="113" s="1"/>
  <c r="E8" i="113"/>
  <c r="Y69" i="111"/>
  <c r="Y90" i="111"/>
  <c r="Y43" i="113" l="1"/>
  <c r="Y44" i="113"/>
  <c r="Z90" i="9"/>
  <c r="Z92" i="9"/>
  <c r="Z70" i="112"/>
  <c r="Z93" i="9" l="1"/>
  <c r="Z91" i="9"/>
  <c r="Z94" i="9"/>
  <c r="Z10" i="112" l="1"/>
  <c r="Z11" i="112"/>
  <c r="Z98" i="9"/>
  <c r="Z72" i="111"/>
  <c r="Z95" i="9"/>
  <c r="Z99" i="9" s="1"/>
  <c r="Z102" i="9" l="1"/>
  <c r="Z68" i="112"/>
  <c r="Z33" i="111"/>
  <c r="Z51" i="111"/>
  <c r="Z101" i="9"/>
  <c r="Z73" i="111"/>
  <c r="Z74" i="111" s="1"/>
  <c r="Z36" i="111" l="1"/>
  <c r="Z4" i="112"/>
  <c r="Z107" i="9"/>
  <c r="Z106" i="9"/>
  <c r="Z55" i="111"/>
  <c r="Z31" i="113"/>
  <c r="Z85" i="113" s="1"/>
  <c r="Z83" i="113" s="1"/>
  <c r="Z109" i="9"/>
  <c r="Z116" i="9"/>
  <c r="Z108" i="9"/>
  <c r="Z27" i="112" l="1"/>
  <c r="AA45" i="112"/>
  <c r="Z117" i="9"/>
  <c r="Z52" i="112" l="1"/>
  <c r="Z96" i="112"/>
  <c r="Z80" i="112"/>
  <c r="Z86" i="112" s="1"/>
  <c r="Z65" i="112"/>
  <c r="Z75" i="112" s="1"/>
  <c r="AA46" i="112"/>
  <c r="Z119" i="9"/>
  <c r="Z121" i="9"/>
  <c r="Z122" i="9"/>
  <c r="AA51" i="112"/>
  <c r="AA100" i="112"/>
  <c r="Z77" i="112" l="1"/>
  <c r="F6" i="113"/>
  <c r="F7" i="113" s="1"/>
  <c r="Z89" i="112"/>
  <c r="Z87" i="112"/>
  <c r="Z57" i="112"/>
  <c r="Z105" i="112"/>
  <c r="Z104" i="112" s="1"/>
  <c r="Z110" i="112"/>
  <c r="Z108" i="112"/>
  <c r="Z109" i="112"/>
  <c r="Z107" i="112"/>
  <c r="Z112" i="112"/>
  <c r="Z111" i="112"/>
  <c r="AA50" i="112"/>
  <c r="Z61" i="112" l="1"/>
  <c r="Z92" i="112"/>
  <c r="Z93" i="112" s="1"/>
  <c r="AA56" i="112"/>
  <c r="Z25" i="111"/>
  <c r="Z60" i="111" l="1"/>
  <c r="Z125" i="9"/>
  <c r="Z27" i="111"/>
  <c r="Z62" i="112"/>
  <c r="Z56" i="111" l="1"/>
  <c r="Z57" i="111" s="1"/>
  <c r="Z78" i="111"/>
  <c r="Z75" i="111" s="1"/>
  <c r="Z81" i="111" s="1"/>
  <c r="AA134" i="9"/>
  <c r="AA87" i="9" s="1"/>
  <c r="AA128" i="9"/>
  <c r="Z65" i="111"/>
  <c r="Z90" i="111" l="1"/>
  <c r="Z32" i="113"/>
  <c r="Z42" i="113" s="1"/>
  <c r="Z69" i="111"/>
  <c r="F8" i="113"/>
  <c r="AA6" i="112"/>
  <c r="AA86" i="9"/>
  <c r="AA8" i="112"/>
  <c r="AA70" i="112" s="1"/>
  <c r="AA90" i="9" l="1"/>
  <c r="AA92" i="9"/>
  <c r="Z44" i="113"/>
  <c r="Z43" i="113"/>
  <c r="AA93" i="9" l="1"/>
  <c r="AA91" i="9"/>
  <c r="AA94" i="9"/>
  <c r="AA98" i="9" l="1"/>
  <c r="AA11" i="112"/>
  <c r="AA68" i="112" s="1"/>
  <c r="AA10" i="112"/>
  <c r="AA72" i="111"/>
  <c r="AA95" i="9"/>
  <c r="AA33" i="111" l="1"/>
  <c r="AA51" i="111"/>
  <c r="AA101" i="9"/>
  <c r="AA99" i="9"/>
  <c r="AA102" i="9" s="1"/>
  <c r="AA73" i="111"/>
  <c r="AA74" i="111" s="1"/>
  <c r="AA116" i="9" l="1"/>
  <c r="AA109" i="9"/>
  <c r="AA108" i="9"/>
  <c r="AA107" i="9"/>
  <c r="AA4" i="112"/>
  <c r="AA106" i="9"/>
  <c r="AA55" i="111"/>
  <c r="AA36" i="111"/>
  <c r="AA117" i="9" l="1"/>
  <c r="AA27" i="112"/>
  <c r="AA96" i="112" l="1"/>
  <c r="AA80" i="112"/>
  <c r="AA86" i="112" s="1"/>
  <c r="AA65" i="112"/>
  <c r="AA75" i="112" s="1"/>
  <c r="AA52" i="112"/>
  <c r="AA119" i="9"/>
  <c r="AA121" i="9"/>
  <c r="AA122" i="9"/>
  <c r="AA105" i="112" l="1"/>
  <c r="AA104" i="112" s="1"/>
  <c r="AA57" i="112"/>
  <c r="AA25" i="111" s="1"/>
  <c r="AA87" i="112"/>
  <c r="AA89" i="112"/>
  <c r="G6" i="113"/>
  <c r="AA77" i="112"/>
  <c r="AA107" i="112"/>
  <c r="AA108" i="112"/>
  <c r="AA111" i="112"/>
  <c r="AA110" i="112"/>
  <c r="AA109" i="112"/>
  <c r="AA112" i="112"/>
  <c r="AA92" i="112" l="1"/>
  <c r="AA93" i="112" s="1"/>
  <c r="AA61" i="112"/>
  <c r="H6" i="113"/>
  <c r="G7" i="113"/>
  <c r="AA27" i="111"/>
  <c r="AA125" i="9"/>
  <c r="AA60" i="111"/>
  <c r="AA65" i="111" s="1"/>
  <c r="AA62" i="112" l="1"/>
  <c r="AA78" i="111"/>
  <c r="AA75" i="111" s="1"/>
  <c r="AA81" i="111" s="1"/>
  <c r="AA56" i="111"/>
  <c r="AA57" i="111" s="1"/>
  <c r="H7" i="113"/>
  <c r="AA90" i="111"/>
  <c r="AA69" i="111"/>
  <c r="G8" i="1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Allard, Victor [GIR]</author>
  </authors>
  <commentList>
    <comment ref="A1" authorId="0" shapeId="0" xr:uid="{00000000-0006-0000-0000-000001000000}">
      <text>
        <r>
          <rPr>
            <b/>
            <sz val="9"/>
            <color indexed="81"/>
            <rFont val="Tahoma"/>
            <family val="2"/>
          </rPr>
          <t>&lt;?xml version="1.0" encoding="utf-8"?&gt;&lt;Schema xmlns:xsd="http://www.w3.org/2001/XMLSchema" xmlns:xsi="http://www.w3.org/2001/XMLSchema-instance" Version="2" Timestamp="1646080575"&gt;&lt;FQL&gt;&lt;Q&gt;CNHI-US^FF_SEGMENT_RPT_DATA(ANN_R,0,,,,"ASSETS",,GEO,"SEG")&lt;/Q&gt;&lt;R&gt;2&lt;/R&gt;&lt;C&gt;1&lt;/C&gt;&lt;D xsi:type="xsd:double"&gt;20211231&lt;/D&gt;&lt;D xsi:type="xsd:string"&gt;@NA&lt;/D&gt;&lt;/FQL&gt;&lt;FQL&gt;&lt;Q&gt;CNHI-US^JULIAN(FF_SEGMENT_RPT_DATA(ANN_R,0,,,,"ASSETS",,GEO,"SEG").DATES)&lt;/Q&gt;&lt;R&gt;0&lt;/R&gt;&lt;C&gt;0&lt;/C&gt;&lt;/FQL&gt;&lt;FQL&gt;&lt;Q&gt;CNHI-US^FG_COMPANY_NAME()&lt;/Q&gt;&lt;R&gt;1&lt;/R&gt;&lt;C&gt;1&lt;/C&gt;&lt;D xsi:type="xsd:string"&gt;CNH Industrial NV&lt;/D&gt;&lt;/FQL&gt;&lt;FQL&gt;&lt;Q&gt;CNHI-US^FORMULA_DESCRIPTION("FF_SEGMENT_RPT_DATA")&lt;/Q&gt;&lt;R&gt;1&lt;/R&gt;&lt;C&gt;1&lt;/C&gt;&lt;D xsi:type="xsd:string"&gt;Segment Report Data - A&lt;/D&gt;&lt;/FQL&gt;&lt;FQL&gt;&lt;Q&gt;AIR-FR^FR_RBICS_REV_DETAIL_CURR("NUM","SUBIND")&lt;/Q&gt;&lt;R&gt;1&lt;/R&gt;&lt;C&gt;1&lt;/C&gt;&lt;D xsi:type="xsd:string"&gt;401010101025|401010151010&lt;/D&gt;&lt;/FQL&gt;&lt;FQL&gt;&lt;Q&gt;AIR-FR^JULIAN(FR_RBICS_REV_DETAIL_CURR("NUM","SUBIND").DATES)&lt;/Q&gt;&lt;R&gt;1&lt;/R&gt;&lt;C&gt;1&lt;/C&gt;&lt;D xsi:type="xsd:string"&gt;#NUM&lt;/D&gt;&lt;/FQL&gt;&lt;FQL&gt;&lt;Q&gt;AIR-FR^FG_COMPANY_NAME()&lt;/Q&gt;&lt;R&gt;1&lt;/R&gt;&lt;C&gt;1&lt;/C&gt;&lt;D xsi:type="xsd:string"&gt;Airbus SE&lt;/D&gt;&lt;/FQL&gt;&lt;FQL&gt;&lt;Q&gt;AIR-FR^FORMULA_DESCRIPTION("FR_RBICS_REV_DETAIL_CURR")&lt;/Q&gt;&lt;R&gt;1&lt;/R&gt;&lt;C&gt;1&lt;/C&gt;&lt;D xsi:type="xsd:string"&gt;FactSet RBICS Revenue Classification Label - Current&lt;/D&gt;&lt;/FQL&gt;&lt;/Schema&gt;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NK</author>
    <author>Charley, Olivia [GIR]</author>
    <author>Huang, Edward [GIR]</author>
    <author>Allard, Victor [GIR]</author>
    <author>Chris Hallam</author>
    <author>aggamu</author>
  </authors>
  <commentList>
    <comment ref="B31" authorId="0" shapeId="0" xr:uid="{00000000-0006-0000-0B00-00009F000000}">
      <text>
        <r>
          <rPr>
            <b/>
            <sz val="9"/>
            <color indexed="81"/>
            <rFont val="Tahoma"/>
            <family val="2"/>
          </rPr>
          <t>NK:</t>
        </r>
        <r>
          <rPr>
            <sz val="9"/>
            <color indexed="81"/>
            <rFont val="Tahoma"/>
            <family val="2"/>
          </rPr>
          <t xml:space="preserve">
2750 addaed based on David's nos. Need to chk.</t>
        </r>
      </text>
    </comment>
    <comment ref="N61" authorId="1" shapeId="0" xr:uid="{00000000-0006-0000-0B00-0000A5000000}">
      <text>
        <r>
          <rPr>
            <b/>
            <sz val="9"/>
            <color indexed="81"/>
            <rFont val="Tahoma"/>
            <family val="2"/>
          </rPr>
          <t>Charley, Olivia [GIR]:</t>
        </r>
        <r>
          <rPr>
            <sz val="9"/>
            <color indexed="81"/>
            <rFont val="Tahoma"/>
            <family val="2"/>
          </rPr>
          <t xml:space="preserve">
p52 2018 long notes</t>
        </r>
      </text>
    </comment>
    <comment ref="O61" authorId="2" shapeId="0" xr:uid="{00000000-0006-0000-0B00-0000A6000000}">
      <text>
        <r>
          <rPr>
            <b/>
            <sz val="9"/>
            <color indexed="81"/>
            <rFont val="Tahoma"/>
            <family val="2"/>
          </rPr>
          <t>Huang, Edward [GIR]:</t>
        </r>
        <r>
          <rPr>
            <sz val="9"/>
            <color indexed="81"/>
            <rFont val="Tahoma"/>
            <family val="2"/>
          </rPr>
          <t xml:space="preserve">
p40 long notes</t>
        </r>
      </text>
    </comment>
    <comment ref="P61" authorId="3" shapeId="0" xr:uid="{00000000-0006-0000-0B00-0000A7000000}">
      <text>
        <r>
          <rPr>
            <b/>
            <sz val="9"/>
            <color indexed="81"/>
            <rFont val="Tahoma"/>
            <family val="2"/>
          </rPr>
          <t>Allard, Victor [GIR]:</t>
        </r>
        <r>
          <rPr>
            <sz val="9"/>
            <color indexed="81"/>
            <rFont val="Tahoma"/>
            <family val="2"/>
          </rPr>
          <t xml:space="preserve">
p46 long notes</t>
        </r>
      </text>
    </comment>
    <comment ref="Q61" authorId="3" shapeId="0" xr:uid="{00000000-0006-0000-0B00-0000A8000000}">
      <text>
        <r>
          <rPr>
            <b/>
            <sz val="9"/>
            <color indexed="81"/>
            <rFont val="Tahoma"/>
            <family val="2"/>
          </rPr>
          <t>Allard, Victor [GIR]:</t>
        </r>
        <r>
          <rPr>
            <sz val="9"/>
            <color indexed="81"/>
            <rFont val="Tahoma"/>
            <family val="2"/>
          </rPr>
          <t xml:space="preserve">
p38 long notes</t>
        </r>
      </text>
    </comment>
    <comment ref="R61" authorId="3" shapeId="0" xr:uid="{37FE442B-B5E9-4834-9EB8-65B65B19871C}">
      <text>
        <r>
          <rPr>
            <b/>
            <sz val="9"/>
            <color indexed="81"/>
            <rFont val="Tahoma"/>
            <family val="2"/>
          </rPr>
          <t>Allard, Victor [GIR]:</t>
        </r>
        <r>
          <rPr>
            <sz val="9"/>
            <color indexed="81"/>
            <rFont val="Tahoma"/>
            <family val="2"/>
          </rPr>
          <t xml:space="preserve">
p38 long notes</t>
        </r>
      </text>
    </comment>
    <comment ref="S61" authorId="3" shapeId="0" xr:uid="{350F439A-1B97-42FA-932C-F161A2EE1CE9}">
      <text>
        <r>
          <rPr>
            <b/>
            <sz val="9"/>
            <color indexed="81"/>
            <rFont val="Tahoma"/>
            <family val="2"/>
          </rPr>
          <t>Allard, Victor [GIR]:</t>
        </r>
        <r>
          <rPr>
            <sz val="9"/>
            <color indexed="81"/>
            <rFont val="Tahoma"/>
            <family val="2"/>
          </rPr>
          <t xml:space="preserve">
p37 long notes</t>
        </r>
      </text>
    </comment>
    <comment ref="T61" authorId="3" shapeId="0" xr:uid="{CFAA09D5-4922-4C33-A3BD-0121AAD6DFD0}">
      <text>
        <r>
          <rPr>
            <sz val="9"/>
            <color indexed="81"/>
            <rFont val="Tahoma"/>
            <family val="2"/>
          </rPr>
          <t>p38 long notes</t>
        </r>
      </text>
    </comment>
    <comment ref="H66" authorId="4" shapeId="0" xr:uid="{00000000-0006-0000-0B00-0000A9000000}">
      <text>
        <r>
          <rPr>
            <b/>
            <sz val="9"/>
            <color indexed="81"/>
            <rFont val="Tahoma"/>
            <family val="2"/>
          </rPr>
          <t>Chris Hallam:</t>
        </r>
        <r>
          <rPr>
            <sz val="9"/>
            <color indexed="81"/>
            <rFont val="Tahoma"/>
            <family val="2"/>
          </rPr>
          <t xml:space="preserve">
Price on the 31st December
</t>
        </r>
      </text>
    </comment>
    <comment ref="I66" authorId="4" shapeId="0" xr:uid="{00000000-0006-0000-0B00-0000AA000000}">
      <text>
        <r>
          <rPr>
            <b/>
            <sz val="9"/>
            <color indexed="81"/>
            <rFont val="Tahoma"/>
            <family val="2"/>
          </rPr>
          <t>Chris Hallam:</t>
        </r>
        <r>
          <rPr>
            <sz val="9"/>
            <color indexed="81"/>
            <rFont val="Tahoma"/>
            <family val="2"/>
          </rPr>
          <t xml:space="preserve">
closing price on 22nd Nov</t>
        </r>
      </text>
    </comment>
    <comment ref="J66" authorId="5" shapeId="0" xr:uid="{00000000-0006-0000-0B00-0000AB000000}">
      <text>
        <r>
          <rPr>
            <b/>
            <sz val="9"/>
            <color indexed="81"/>
            <rFont val="Tahoma"/>
            <family val="2"/>
          </rPr>
          <t>aggamu:</t>
        </r>
        <r>
          <rPr>
            <sz val="9"/>
            <color indexed="81"/>
            <rFont val="Tahoma"/>
            <family val="2"/>
          </rPr>
          <t xml:space="preserve">
Current share price</t>
        </r>
      </text>
    </comment>
    <comment ref="N71" authorId="1" shapeId="0" xr:uid="{00000000-0006-0000-0B00-0000AC000000}">
      <text>
        <r>
          <rPr>
            <b/>
            <sz val="9"/>
            <color indexed="81"/>
            <rFont val="Tahoma"/>
            <family val="2"/>
          </rPr>
          <t>Charley, Olivia [GIR]:</t>
        </r>
        <r>
          <rPr>
            <sz val="9"/>
            <color indexed="81"/>
            <rFont val="Tahoma"/>
            <family val="2"/>
          </rPr>
          <t xml:space="preserve">
Long notes 2018 p 51</t>
        </r>
      </text>
    </comment>
    <comment ref="O71" authorId="2" shapeId="0" xr:uid="{00000000-0006-0000-0B00-0000AD000000}">
      <text>
        <r>
          <rPr>
            <b/>
            <sz val="9"/>
            <color indexed="81"/>
            <rFont val="Tahoma"/>
            <family val="2"/>
          </rPr>
          <t>Huang, Edward [GIR]:</t>
        </r>
        <r>
          <rPr>
            <sz val="9"/>
            <color indexed="81"/>
            <rFont val="Tahoma"/>
            <family val="2"/>
          </rPr>
          <t xml:space="preserve">
p39 long notes</t>
        </r>
      </text>
    </comment>
    <comment ref="P71" authorId="3" shapeId="0" xr:uid="{00000000-0006-0000-0B00-0000AE000000}">
      <text>
        <r>
          <rPr>
            <b/>
            <sz val="9"/>
            <color indexed="81"/>
            <rFont val="Tahoma"/>
            <family val="2"/>
          </rPr>
          <t>Allard, Victor [GIR]:</t>
        </r>
        <r>
          <rPr>
            <sz val="9"/>
            <color indexed="81"/>
            <rFont val="Tahoma"/>
            <family val="2"/>
          </rPr>
          <t xml:space="preserve">
p45 long notes</t>
        </r>
      </text>
    </comment>
    <comment ref="Q71" authorId="3" shapeId="0" xr:uid="{00000000-0006-0000-0B00-0000AF000000}">
      <text>
        <r>
          <rPr>
            <b/>
            <sz val="9"/>
            <color indexed="81"/>
            <rFont val="Tahoma"/>
            <family val="2"/>
          </rPr>
          <t>Allard, Victor [GIR]:</t>
        </r>
        <r>
          <rPr>
            <sz val="9"/>
            <color indexed="81"/>
            <rFont val="Tahoma"/>
            <family val="2"/>
          </rPr>
          <t xml:space="preserve">
p37 long notes</t>
        </r>
      </text>
    </comment>
    <comment ref="R71" authorId="3" shapeId="0" xr:uid="{5FE25944-7671-4DF1-864F-10CB237F469F}">
      <text>
        <r>
          <rPr>
            <b/>
            <sz val="9"/>
            <color indexed="81"/>
            <rFont val="Tahoma"/>
            <family val="2"/>
          </rPr>
          <t>Allard, Victor [GIR]:</t>
        </r>
        <r>
          <rPr>
            <sz val="9"/>
            <color indexed="81"/>
            <rFont val="Tahoma"/>
            <family val="2"/>
          </rPr>
          <t xml:space="preserve">
p37 long notes</t>
        </r>
      </text>
    </comment>
    <comment ref="S71" authorId="3" shapeId="0" xr:uid="{87E8B605-FACE-4B24-9B9D-158D73DB9499}">
      <text>
        <r>
          <rPr>
            <sz val="9"/>
            <color indexed="81"/>
            <rFont val="Tahoma"/>
            <family val="2"/>
          </rPr>
          <t>p37 long notes, in-text</t>
        </r>
      </text>
    </comment>
    <comment ref="T71" authorId="3" shapeId="0" xr:uid="{BFE0A841-CD44-4ED1-A058-97338B3CE88F}">
      <text>
        <r>
          <rPr>
            <sz val="9"/>
            <color indexed="81"/>
            <rFont val="Tahoma"/>
            <family val="2"/>
          </rPr>
          <t>p37 long notes, in-text</t>
        </r>
      </text>
    </comment>
    <comment ref="G74" authorId="0" shapeId="0" xr:uid="{00000000-0006-0000-0B00-0000B0000000}">
      <text>
        <r>
          <rPr>
            <b/>
            <sz val="9"/>
            <color indexed="81"/>
            <rFont val="Tahoma"/>
            <family val="2"/>
          </rPr>
          <t>Chris Hallam:</t>
        </r>
        <r>
          <rPr>
            <sz val="9"/>
            <color indexed="81"/>
            <rFont val="Tahoma"/>
            <family val="2"/>
          </rPr>
          <t xml:space="preserve">
The company said 4bn in the 2011 Investor Presentation by Hans-Peter at the GIF</t>
        </r>
      </text>
    </comment>
    <comment ref="H74" authorId="4" shapeId="0" xr:uid="{00000000-0006-0000-0B00-0000B1000000}">
      <text>
        <r>
          <rPr>
            <b/>
            <sz val="9"/>
            <color indexed="81"/>
            <rFont val="Tahoma"/>
            <family val="2"/>
          </rPr>
          <t>Chris Hallam:</t>
        </r>
        <r>
          <rPr>
            <sz val="9"/>
            <color indexed="81"/>
            <rFont val="Tahoma"/>
            <family val="2"/>
          </rPr>
          <t xml:space="preserve">
Page 32 FY 12 results presentation
</t>
        </r>
      </text>
    </comment>
    <comment ref="J74" authorId="5" shapeId="0" xr:uid="{00000000-0006-0000-0B00-0000B2000000}">
      <text>
        <r>
          <rPr>
            <b/>
            <sz val="9"/>
            <color indexed="81"/>
            <rFont val="Tahoma"/>
            <family val="2"/>
          </rPr>
          <t>aggamu:</t>
        </r>
        <r>
          <rPr>
            <sz val="9"/>
            <color indexed="81"/>
            <rFont val="Tahoma"/>
            <family val="2"/>
          </rPr>
          <t xml:space="preserve">
P27 FY14 Presentation</t>
        </r>
      </text>
    </comment>
    <comment ref="O87" authorId="2" shapeId="0" xr:uid="{00000000-0006-0000-0B00-0000B3000000}">
      <text>
        <r>
          <rPr>
            <b/>
            <sz val="9"/>
            <color indexed="81"/>
            <rFont val="Tahoma"/>
            <family val="2"/>
          </rPr>
          <t>Huang, Edward [GIR]:</t>
        </r>
        <r>
          <rPr>
            <sz val="9"/>
            <color indexed="81"/>
            <rFont val="Tahoma"/>
            <family val="2"/>
          </rPr>
          <t xml:space="preserve">
Limiting the ability for this to be a net positive impact on EBIT</t>
        </r>
      </text>
    </comment>
    <comment ref="O90" authorId="1" shapeId="0" xr:uid="{00000000-0006-0000-0B00-0000B4000000}">
      <text>
        <r>
          <rPr>
            <b/>
            <sz val="9"/>
            <color indexed="81"/>
            <rFont val="Tahoma"/>
            <family val="2"/>
          </rPr>
          <t>Charley, Olivia [GIR]:</t>
        </r>
        <r>
          <rPr>
            <sz val="9"/>
            <color indexed="81"/>
            <rFont val="Tahoma"/>
            <family val="2"/>
          </rPr>
          <t xml:space="preserve">
p41 long notes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<sst xmlns="http://schemas.openxmlformats.org/spreadsheetml/2006/main" count="2184" uniqueCount="687">
  <si>
    <t>DPS</t>
  </si>
  <si>
    <t>EBIT</t>
  </si>
  <si>
    <t>Beta</t>
  </si>
  <si>
    <t>Acquisitions</t>
  </si>
  <si>
    <t>Cash Flow Statement</t>
  </si>
  <si>
    <t>Other current liabilities</t>
  </si>
  <si>
    <t>Net PP&amp;E</t>
  </si>
  <si>
    <t>Inventory</t>
  </si>
  <si>
    <t>Balance Sheet</t>
  </si>
  <si>
    <t>Interest expense</t>
  </si>
  <si>
    <t>Interest income</t>
  </si>
  <si>
    <t>Depreciation</t>
  </si>
  <si>
    <t>EBITDA</t>
  </si>
  <si>
    <t>Income Statement</t>
  </si>
  <si>
    <t>Airbus</t>
  </si>
  <si>
    <t>Other</t>
  </si>
  <si>
    <t>Sales</t>
  </si>
  <si>
    <t>EV - average</t>
  </si>
  <si>
    <t>Cash provisions to be utilised</t>
  </si>
  <si>
    <t>Less: book value of other investments</t>
  </si>
  <si>
    <t>Less: Market value of Dassault Aviation</t>
  </si>
  <si>
    <t>Less: customer financing collateral value</t>
  </si>
  <si>
    <t>Off-balance sheet aircraft financing commitments</t>
  </si>
  <si>
    <t>Market value of minorities - average</t>
  </si>
  <si>
    <t>Market value - average</t>
  </si>
  <si>
    <t>Enterprise value calculation</t>
  </si>
  <si>
    <t>Share price - average</t>
  </si>
  <si>
    <t>Avg. no. of shares (m)</t>
  </si>
  <si>
    <t>Investment - as a % of Cash flow from Operations</t>
  </si>
  <si>
    <t>Buybacks - as a % of Cash flow from Operations</t>
  </si>
  <si>
    <t>Dividends - as a % of Cash flow from Operations</t>
  </si>
  <si>
    <t>M&amp;A - as a % of Cash flow from Operations</t>
  </si>
  <si>
    <t>R&amp;D - as a % of Cash flow from Operations</t>
  </si>
  <si>
    <t>Working Capital - as a % of Cash flow from Operations</t>
  </si>
  <si>
    <t>Net Change in Cash</t>
  </si>
  <si>
    <t>Net Change in Debt (lower = debt paydown)</t>
  </si>
  <si>
    <t>Investment</t>
  </si>
  <si>
    <t>Buybacks</t>
  </si>
  <si>
    <t>Dividends</t>
  </si>
  <si>
    <t>R&amp;D</t>
  </si>
  <si>
    <t>Working Capital</t>
  </si>
  <si>
    <t>Cash Flow from Operations</t>
  </si>
  <si>
    <t>Long Term Debt</t>
  </si>
  <si>
    <t>Short Term Debt</t>
  </si>
  <si>
    <t>Non-current Securities</t>
  </si>
  <si>
    <t>Current Securities</t>
  </si>
  <si>
    <t>Cash</t>
  </si>
  <si>
    <t>as a % of sales</t>
  </si>
  <si>
    <t>Minorities</t>
  </si>
  <si>
    <t>D&amp;A</t>
  </si>
  <si>
    <t>of which mark-to-mkt on provisions for LMCs</t>
  </si>
  <si>
    <t>of which A350 provisions</t>
  </si>
  <si>
    <t>of which A380 provisions</t>
  </si>
  <si>
    <t>of which A400M charges</t>
  </si>
  <si>
    <t>add back one-offs (negatives = deductions, positives = addbacks)</t>
  </si>
  <si>
    <t>Company defined EBIT</t>
  </si>
  <si>
    <t>exceptionals on disposals or investments</t>
  </si>
  <si>
    <t>Cash Conversion</t>
  </si>
  <si>
    <t>Accumulated Depreciation</t>
  </si>
  <si>
    <t>Gross PP&amp;E</t>
  </si>
  <si>
    <t>Accumulated Amortisation</t>
  </si>
  <si>
    <t>of which Intangibles</t>
  </si>
  <si>
    <t>of which Goodwill</t>
  </si>
  <si>
    <t>Gross Intangibles</t>
  </si>
  <si>
    <t>Gross Assets</t>
  </si>
  <si>
    <t>Total Cash R&amp;D  - as a % of sales</t>
  </si>
  <si>
    <t>Capitalised R&amp;D  - as a % of sales</t>
  </si>
  <si>
    <t>of which amortised R&amp;D  - as a % of sales</t>
  </si>
  <si>
    <t>P&amp;L expensed R&amp;D - as a % of sales</t>
  </si>
  <si>
    <t>Total Cash R&amp;D</t>
  </si>
  <si>
    <t>Capitalised R&amp;D</t>
  </si>
  <si>
    <t>of which amortised R&amp;D</t>
  </si>
  <si>
    <t>P&amp;L expensed R&amp;D</t>
  </si>
  <si>
    <t>Research and Development Expenditure</t>
  </si>
  <si>
    <t>Y/E Net Debt/EBITDA</t>
  </si>
  <si>
    <t>Receivables</t>
  </si>
  <si>
    <t>Interest Expense for the P&amp;L</t>
  </si>
  <si>
    <t>Refundable government advances</t>
  </si>
  <si>
    <t>Interest Income</t>
  </si>
  <si>
    <t>Rate on Cash</t>
  </si>
  <si>
    <t>Rate on Debt</t>
  </si>
  <si>
    <t>Average Cash</t>
  </si>
  <si>
    <t>Average Debt</t>
  </si>
  <si>
    <t>Debt</t>
  </si>
  <si>
    <t>Financing Cost Analysis</t>
  </si>
  <si>
    <t>balance sheet check</t>
  </si>
  <si>
    <t>Total Equity</t>
  </si>
  <si>
    <t>Non-controlling interests</t>
  </si>
  <si>
    <t>Treasury shares</t>
  </si>
  <si>
    <t>Retained Earnings</t>
  </si>
  <si>
    <t>Share Premium</t>
  </si>
  <si>
    <t>Capital Stock</t>
  </si>
  <si>
    <t>Current Liabilities</t>
  </si>
  <si>
    <t>Current deferred income</t>
  </si>
  <si>
    <t>Current tax liabilties</t>
  </si>
  <si>
    <t>Current other liabilities</t>
  </si>
  <si>
    <t>Current other financial liabilities</t>
  </si>
  <si>
    <t>Trade liabilities</t>
  </si>
  <si>
    <t>Short-term financing liabilities</t>
  </si>
  <si>
    <t>Current provisions</t>
  </si>
  <si>
    <t>Non-Current Liabilities</t>
  </si>
  <si>
    <t>Non-current deferred income</t>
  </si>
  <si>
    <t>Deferred tax liabilities</t>
  </si>
  <si>
    <t>Non-current other liabilities</t>
  </si>
  <si>
    <t>Non-current other financial liabilities</t>
  </si>
  <si>
    <t>Long-term financing liabilities</t>
  </si>
  <si>
    <t>Non-current Provisions</t>
  </si>
  <si>
    <t>Current assets</t>
  </si>
  <si>
    <t>Cash &amp; Cash equivalents</t>
  </si>
  <si>
    <t>Current securities</t>
  </si>
  <si>
    <t>Current tax assets</t>
  </si>
  <si>
    <t>Current other assets</t>
  </si>
  <si>
    <t>Current other financial assets</t>
  </si>
  <si>
    <t>Current portion of other long-term financial assets</t>
  </si>
  <si>
    <t>Inventories</t>
  </si>
  <si>
    <t>Non-Current assets</t>
  </si>
  <si>
    <t>Non-current securities</t>
  </si>
  <si>
    <t>Deferred tax assets</t>
  </si>
  <si>
    <t>Non-current other assets</t>
  </si>
  <si>
    <t>Non-current other financial assets</t>
  </si>
  <si>
    <t>Other investments and other long-term financial assets</t>
  </si>
  <si>
    <t>Investments in associates accounted for under the equity method</t>
  </si>
  <si>
    <t>Investment property</t>
  </si>
  <si>
    <t>PP&amp;E</t>
  </si>
  <si>
    <t>Intangible assets</t>
  </si>
  <si>
    <t>check</t>
  </si>
  <si>
    <t>Overdraft</t>
  </si>
  <si>
    <t>Cash at the end of the year</t>
  </si>
  <si>
    <t>Cash at the beginning of the year</t>
  </si>
  <si>
    <t>Change in Overdraft</t>
  </si>
  <si>
    <t>FX</t>
  </si>
  <si>
    <t>Change in Cash</t>
  </si>
  <si>
    <t>Cashflow from Financing activities</t>
  </si>
  <si>
    <t>Change in treasury shares</t>
  </si>
  <si>
    <t>Changes in capital and non-controlling interests</t>
  </si>
  <si>
    <t>Dividends paid to non-controlling interests</t>
  </si>
  <si>
    <t>Year end dividend from prior year</t>
  </si>
  <si>
    <t>Repayment of financing liabilities</t>
  </si>
  <si>
    <t>Increase in financing liabilities</t>
  </si>
  <si>
    <t>Cashflow from Investing activities</t>
  </si>
  <si>
    <t>Proceeds from disposals of securities</t>
  </si>
  <si>
    <t>Payments for investments in securities</t>
  </si>
  <si>
    <t>Dividends paid by companies valued at equity</t>
  </si>
  <si>
    <t>Proceeds from disposals of associates, other investments and other long-term financial assets</t>
  </si>
  <si>
    <t>Payments for investments in associates, other investments and other long-term financial assets</t>
  </si>
  <si>
    <t>Proceeds from disposals of subsidiaries (net of cash)</t>
  </si>
  <si>
    <t>Acquisitions of subsidiaries, JVs, businesses and non-controlling interests (net of cash)</t>
  </si>
  <si>
    <t>Cashflow from Operating activities</t>
  </si>
  <si>
    <t xml:space="preserve">Other </t>
  </si>
  <si>
    <t>Other assets and liabilities</t>
  </si>
  <si>
    <t>Change in trade liabilities</t>
  </si>
  <si>
    <t>Change in receivables</t>
  </si>
  <si>
    <t>Change in inventory</t>
  </si>
  <si>
    <t>Change in current and non-current provisions</t>
  </si>
  <si>
    <t>Results of companies accounted for by the equity method</t>
  </si>
  <si>
    <t>Results on disposals on non-current assets</t>
  </si>
  <si>
    <t>Valuation adjustments</t>
  </si>
  <si>
    <t>Amortisation</t>
  </si>
  <si>
    <t>Income taxes paid</t>
  </si>
  <si>
    <t>Income tax expense</t>
  </si>
  <si>
    <t>Interest paid</t>
  </si>
  <si>
    <t>Interest received</t>
  </si>
  <si>
    <t>Profit to Non-controlling interests</t>
  </si>
  <si>
    <t>Net Income</t>
  </si>
  <si>
    <t>Dividend yield</t>
  </si>
  <si>
    <t>Current share price</t>
  </si>
  <si>
    <t>dividend growth</t>
  </si>
  <si>
    <t>Payout Ratio</t>
  </si>
  <si>
    <t>Diluted share count</t>
  </si>
  <si>
    <t>Attributable to Non-controlling interests</t>
  </si>
  <si>
    <t>Reported tax</t>
  </si>
  <si>
    <t>other financing costs</t>
  </si>
  <si>
    <t>interest expense</t>
  </si>
  <si>
    <t>interest income</t>
  </si>
  <si>
    <t>Other income from investments</t>
  </si>
  <si>
    <t>Share of profit from associates accounted for under the equity method</t>
  </si>
  <si>
    <t>Other expenses</t>
  </si>
  <si>
    <t>Other Income</t>
  </si>
  <si>
    <t>R&amp;D expenses</t>
  </si>
  <si>
    <t>Administrative expenses</t>
  </si>
  <si>
    <t>Selling expenses</t>
  </si>
  <si>
    <t>Gross Profit</t>
  </si>
  <si>
    <t>Cost of sales</t>
  </si>
  <si>
    <t>sales growth</t>
  </si>
  <si>
    <t>FX rate</t>
  </si>
  <si>
    <t>UK</t>
  </si>
  <si>
    <t>Germany</t>
  </si>
  <si>
    <t>France</t>
  </si>
  <si>
    <t>Accumulated other comprehensive income</t>
  </si>
  <si>
    <t>of which, pension provisions</t>
  </si>
  <si>
    <t>Total provisions</t>
  </si>
  <si>
    <t>of which, Launch Aid (European govt refundable advances)</t>
  </si>
  <si>
    <t>Other non-current liabilities</t>
  </si>
  <si>
    <t>of which, finance lease receivables from aircraft financing</t>
  </si>
  <si>
    <t>Other investments and long-term financial assets</t>
  </si>
  <si>
    <t>of which, Dassault Aviation</t>
  </si>
  <si>
    <t>Associates</t>
  </si>
  <si>
    <t>Contribution to pension scheme</t>
  </si>
  <si>
    <t>Change in provisions and current tax assets / liabilities</t>
  </si>
  <si>
    <t>Expensed R&amp;D</t>
  </si>
  <si>
    <t>Airbus Military</t>
  </si>
  <si>
    <t>Airbus Commercial</t>
  </si>
  <si>
    <t>H2</t>
  </si>
  <si>
    <t>Q4</t>
  </si>
  <si>
    <t>9M</t>
  </si>
  <si>
    <t>Q3</t>
  </si>
  <si>
    <t>Q2</t>
  </si>
  <si>
    <t>Q1</t>
  </si>
  <si>
    <t>H1</t>
  </si>
  <si>
    <t>Total</t>
  </si>
  <si>
    <t>A350</t>
  </si>
  <si>
    <t>A380</t>
  </si>
  <si>
    <t>A320</t>
  </si>
  <si>
    <t>Impact on EBITA</t>
  </si>
  <si>
    <t>Aircraft Deliveries</t>
  </si>
  <si>
    <t>Total Growth</t>
  </si>
  <si>
    <t>Tiger</t>
  </si>
  <si>
    <t>Heavy</t>
  </si>
  <si>
    <t>Medium</t>
  </si>
  <si>
    <t>Eliminations</t>
  </si>
  <si>
    <t>Services</t>
  </si>
  <si>
    <t>Aircraft deliveries</t>
  </si>
  <si>
    <t>Divisional Summary</t>
  </si>
  <si>
    <t xml:space="preserve">Astrium </t>
  </si>
  <si>
    <t>Cassidian</t>
  </si>
  <si>
    <t>Group</t>
  </si>
  <si>
    <t>other</t>
  </si>
  <si>
    <t>Sales Growth</t>
  </si>
  <si>
    <t>Profit margin</t>
  </si>
  <si>
    <t xml:space="preserve">Sales </t>
  </si>
  <si>
    <t>profit growth</t>
  </si>
  <si>
    <t>margin</t>
  </si>
  <si>
    <t>Book to bill</t>
  </si>
  <si>
    <t>Self Financed R&amp;D</t>
  </si>
  <si>
    <t>Company defined underlying EBIT (pre one-offs)</t>
  </si>
  <si>
    <t>A350-900</t>
  </si>
  <si>
    <t>A350-1000</t>
  </si>
  <si>
    <t>Narrow body</t>
  </si>
  <si>
    <t>Widebody</t>
  </si>
  <si>
    <t>EBITA Bridge</t>
  </si>
  <si>
    <t>One Offs</t>
  </si>
  <si>
    <t>Helicopters</t>
  </si>
  <si>
    <t>Total underlying EBITA</t>
  </si>
  <si>
    <t>Helicopters - underlying EBITA</t>
  </si>
  <si>
    <t>Services - underlying EBITA</t>
  </si>
  <si>
    <t>Helicopters - underlying EBITA margin</t>
  </si>
  <si>
    <t>Services - underlying EBITA margin</t>
  </si>
  <si>
    <t>Airbus Division</t>
  </si>
  <si>
    <t>Proceeds from the issue of share capital</t>
  </si>
  <si>
    <t>Purchase of own shares</t>
  </si>
  <si>
    <t>A330</t>
  </si>
  <si>
    <t>A319-NEO</t>
  </si>
  <si>
    <t>A320-NEO</t>
  </si>
  <si>
    <t>A321-NEO</t>
  </si>
  <si>
    <t>(Increase)/Decrease in Provisions for Customer financing</t>
  </si>
  <si>
    <t>Operating Leverage for A319 (EUR mn per unit)</t>
  </si>
  <si>
    <t>Operating Leverage for A321 (EUR mn per unit)</t>
  </si>
  <si>
    <t>Operating Leverage for A320 (EUR mn per unit)</t>
  </si>
  <si>
    <t>A319 deliveries (CEO + NEO)</t>
  </si>
  <si>
    <t>A320 deliveries (CEO + NEO)</t>
  </si>
  <si>
    <t>A321 deliveries (CEO + NEO)</t>
  </si>
  <si>
    <t>Estimated Net Exposure (€mn)</t>
  </si>
  <si>
    <t>Amount still to cover (€mn)</t>
  </si>
  <si>
    <t>Amount hedged (€mn)</t>
  </si>
  <si>
    <t>Forward Rate</t>
  </si>
  <si>
    <t>FX analysis</t>
  </si>
  <si>
    <t>Estimated Net Exposure ($mn)</t>
  </si>
  <si>
    <t>Total Hedged exposure ($mn)</t>
  </si>
  <si>
    <t>Blended $ exposure (at prior year) €mn</t>
  </si>
  <si>
    <t>OE analysis</t>
  </si>
  <si>
    <t>Cost Savings analysis</t>
  </si>
  <si>
    <t>Total division Costs</t>
  </si>
  <si>
    <t>Of which inputs</t>
  </si>
  <si>
    <t>Of which Staff</t>
  </si>
  <si>
    <t>Of which FAL</t>
  </si>
  <si>
    <t>Of which other</t>
  </si>
  <si>
    <t>Savings</t>
  </si>
  <si>
    <t>Services Analysis</t>
  </si>
  <si>
    <t>Total EBIT</t>
  </si>
  <si>
    <t>Impact from Services</t>
  </si>
  <si>
    <t>FY</t>
  </si>
  <si>
    <t>Helicopter Deliveries</t>
  </si>
  <si>
    <t>Light</t>
  </si>
  <si>
    <t>of which NH90</t>
  </si>
  <si>
    <t>Helicopter Delivery Growth</t>
  </si>
  <si>
    <t>excl NH90</t>
  </si>
  <si>
    <t>synthetic</t>
  </si>
  <si>
    <t>Implied Pricing</t>
  </si>
  <si>
    <t>Cost Savings/Efficiency</t>
  </si>
  <si>
    <t>Program &amp; Services Contribution</t>
  </si>
  <si>
    <t>$ Costs</t>
  </si>
  <si>
    <t>Euro Hedges ($)</t>
  </si>
  <si>
    <t>Euro Hedges ($) - %</t>
  </si>
  <si>
    <t>$ Costs - %</t>
  </si>
  <si>
    <t>Unhedged Net Exposure ($)</t>
  </si>
  <si>
    <t>Unhedged Net Exposure ($) - %</t>
  </si>
  <si>
    <t>€/$ hedge rate</t>
  </si>
  <si>
    <t>$/€ Forward</t>
  </si>
  <si>
    <t>$/€ Spot (average for the year)</t>
  </si>
  <si>
    <t>FX Analysis for EBIT</t>
  </si>
  <si>
    <t>FX Analysis for Sales</t>
  </si>
  <si>
    <t>previous Year EBIT pre one-offs</t>
  </si>
  <si>
    <t>Year End Reported EBITA</t>
  </si>
  <si>
    <t>Company Defined FCF</t>
  </si>
  <si>
    <t>Cash Provided by Operating Activities</t>
  </si>
  <si>
    <t>Cash used for Investing activites</t>
  </si>
  <si>
    <t>Less changes in Securities</t>
  </si>
  <si>
    <t>Less Contribution to Plan Assets (Pension)</t>
  </si>
  <si>
    <t>Less Acquisitions</t>
  </si>
  <si>
    <t>Pricing Net of Escalation (includes cost savings)</t>
  </si>
  <si>
    <t>Cost Savings - these are included in 'Price Net of Escalation'</t>
  </si>
  <si>
    <t>Company Defined Net Debt (Cash)</t>
  </si>
  <si>
    <t>Other Adjustments</t>
  </si>
  <si>
    <t>Excess customer advances</t>
  </si>
  <si>
    <t>Less Investments</t>
  </si>
  <si>
    <t>Non-recourse debt (Cash)</t>
  </si>
  <si>
    <t>Market Value adjustment for minorities</t>
  </si>
  <si>
    <t>Balance sheet minorities</t>
  </si>
  <si>
    <t>Market Value of minorities minorities</t>
  </si>
  <si>
    <t>Goodwill Impairment and Fair Value Depreciation</t>
  </si>
  <si>
    <t>Statutory EBIT</t>
  </si>
  <si>
    <t>Underlying Finance Charge</t>
  </si>
  <si>
    <t>Company Defined Underlying Net Income</t>
  </si>
  <si>
    <t>Company Defined Underlying EPS</t>
  </si>
  <si>
    <t>Company Defined Net Debt</t>
  </si>
  <si>
    <t>share count</t>
  </si>
  <si>
    <t>of which,  Aircraft financing risks</t>
  </si>
  <si>
    <t>Other provisions in Provisions</t>
  </si>
  <si>
    <t>Aircraft financing risks within Note to Other Provisions</t>
  </si>
  <si>
    <t>Goldman Sachs adjusted EV</t>
  </si>
  <si>
    <t>Raw mat and supplies</t>
  </si>
  <si>
    <t>WIP</t>
  </si>
  <si>
    <t>Finished goods for resale</t>
  </si>
  <si>
    <t>Advance to suppliers</t>
  </si>
  <si>
    <t>Customer Advances</t>
  </si>
  <si>
    <t>Assumed Margin retianed on advances (Underlying EBITDA margin)</t>
  </si>
  <si>
    <t>Est. Excess customer advances</t>
  </si>
  <si>
    <t>Dassault Share price</t>
  </si>
  <si>
    <t>Investments in associates accounted for under the equity method, within Consolidated Statements of Financial Position. Page 55 2012 FS</t>
  </si>
  <si>
    <t>Carrying amount of the investment at 31 December within Investments in Associates, Page 55 2012 FS</t>
  </si>
  <si>
    <t>Total non-current other investments and other long-term financial assets within Investments in Associates, Page 55 2012 FS</t>
  </si>
  <si>
    <t>of which, aircraft financing loans (loans to customers)</t>
  </si>
  <si>
    <t>Net Pension Deficit</t>
  </si>
  <si>
    <t>Customer Financing Exposure slide on FY results PPT. We use the Off-balance sheet number as the rest is already captured within Net Debt</t>
  </si>
  <si>
    <t>as a multiple of Company defined EBIT</t>
  </si>
  <si>
    <t>GS target Price</t>
  </si>
  <si>
    <t>on GS target Price</t>
  </si>
  <si>
    <t>Implied P/E</t>
  </si>
  <si>
    <t>of which, other provisions (excludes Pension related provisions already dealt with above)</t>
  </si>
  <si>
    <t>Net vendor financing (assets)/liablities</t>
  </si>
  <si>
    <t>Total net book value of loans. Page 57 2012 FS. We exclude these as it is already accounted for in the net exposure calculation in Net Vendor Financing</t>
  </si>
  <si>
    <t>Non-recourse Debt (adjustment)</t>
  </si>
  <si>
    <t>We assume 10% here, for Narrow bodies the operating leverage contribution is higher (18-19%), but for wide bodies it is just below 10%.</t>
  </si>
  <si>
    <t>Launch aid</t>
  </si>
  <si>
    <t>Net customer financing exposure</t>
  </si>
  <si>
    <t>Company Defined Underlying EBIT</t>
  </si>
  <si>
    <t>Company Defined Underlying EBITDA</t>
  </si>
  <si>
    <t>Company Defined Underlying PBT</t>
  </si>
  <si>
    <t>Underlying tax</t>
  </si>
  <si>
    <t>Provisions/obligations for aircraft leassing</t>
  </si>
  <si>
    <t>Cash flow from operations</t>
  </si>
  <si>
    <t>Adjustments to reconcile profit for the period to cash (used for) operating activities</t>
  </si>
  <si>
    <t>Profit (loss) for the period attributable to non-controlling interests</t>
  </si>
  <si>
    <t>Depreciation and amortization</t>
  </si>
  <si>
    <t>Deferred tax expense</t>
  </si>
  <si>
    <t>Change in income tax assets, income tax liabilities and provisions for income tax</t>
  </si>
  <si>
    <t>Results on disposals of non-current assets</t>
  </si>
  <si>
    <t>Reimbursement from / contribution to plan assets</t>
  </si>
  <si>
    <t>Change in other operating assets and liabilities</t>
  </si>
  <si>
    <t>Cash (used for) operating activities</t>
  </si>
  <si>
    <t>Airbus Commercial sales excl A350</t>
  </si>
  <si>
    <t>Operating Leverage - A330</t>
  </si>
  <si>
    <t>Company defined EBIT before one offs</t>
  </si>
  <si>
    <t>Reported EBITA pre one-offs</t>
  </si>
  <si>
    <t>Reported EBITA pre one-offs from previous year</t>
  </si>
  <si>
    <t>Overall assumed margin</t>
  </si>
  <si>
    <t>Company defined Underlying EBIT pre one offs</t>
  </si>
  <si>
    <t>Some people would argue that the collateral should be added back into EV as it's a liquid asset. We don't think so as otherwise other types of debt could be removed, depending on what they had been used to purchase</t>
  </si>
  <si>
    <t>Airbus Commercial EBIT pre one-offs excl A350</t>
  </si>
  <si>
    <t>AIR.PA</t>
  </si>
  <si>
    <t>Change in R&amp;D</t>
  </si>
  <si>
    <t>growth</t>
  </si>
  <si>
    <t>Airbus Defence and Space (ADS)</t>
  </si>
  <si>
    <t>EBIT before one offs</t>
  </si>
  <si>
    <t>Airbus Defence &amp; Space</t>
  </si>
  <si>
    <t>Airbus Helicopters</t>
  </si>
  <si>
    <t>% hedged</t>
  </si>
  <si>
    <t>Tax</t>
  </si>
  <si>
    <t>HQ/Eliminations &amp; Other</t>
  </si>
  <si>
    <t>Profit growth</t>
  </si>
  <si>
    <t>Airbus R&amp;D</t>
  </si>
  <si>
    <t>A330 baseline R&amp;D</t>
  </si>
  <si>
    <t>A330neo R&amp;D</t>
  </si>
  <si>
    <t>implied sensitivity per cent</t>
  </si>
  <si>
    <t>Debt Maturity</t>
  </si>
  <si>
    <t>EMTN 15 years, €500 mn, Coupon or Interest rate 5.5%</t>
  </si>
  <si>
    <t>EMTN 7 years, € 1 bn, 4.625%</t>
  </si>
  <si>
    <t>EMTN 10 years, €1 bn, 2.375%</t>
  </si>
  <si>
    <t>EMTN 15 years,€500 mn, 2.125%</t>
  </si>
  <si>
    <t>USD Bond 10 years, $1bn, 2.7%</t>
  </si>
  <si>
    <t>Convertible bond 7 years, €500 mn,0.00%</t>
  </si>
  <si>
    <t>DBJ 10 years, $300mn, 3M US-Libor +1.15%</t>
  </si>
  <si>
    <t>EIB 10 years, $720.75mn, 3M US-Libor +0.85%</t>
  </si>
  <si>
    <t>EIB 7 years, $406.11mn, 3M US-Libor +0.93%</t>
  </si>
  <si>
    <t>EIB 10 years, $626.85mn, 2.52%</t>
  </si>
  <si>
    <t>EIB 10 years, $320.13mn, 6M US-Libor +0.559%</t>
  </si>
  <si>
    <t>2025E</t>
  </si>
  <si>
    <t>Spain</t>
  </si>
  <si>
    <t>Airbus MiliMary</t>
  </si>
  <si>
    <t>EurocopMer</t>
  </si>
  <si>
    <t xml:space="preserve">AsMrium </t>
  </si>
  <si>
    <t>oMher</t>
  </si>
  <si>
    <t>InMernal revenues</t>
  </si>
  <si>
    <t>HQ/ConsolidaMion</t>
  </si>
  <si>
    <t>Sales GrowMh</t>
  </si>
  <si>
    <t>Company defined EBIM before one offs</t>
  </si>
  <si>
    <t>ProfiM margin</t>
  </si>
  <si>
    <t>ProfiM GrowMh</t>
  </si>
  <si>
    <t>cash conversion (vs. Net Income)</t>
  </si>
  <si>
    <t>A320neo</t>
  </si>
  <si>
    <t>A330-800neo</t>
  </si>
  <si>
    <t>A330-900neo</t>
  </si>
  <si>
    <t>FCF excluding the impact of customer financing</t>
  </si>
  <si>
    <t>Cash distribution to Airbus group NV shareholders</t>
  </si>
  <si>
    <t>A220-100</t>
  </si>
  <si>
    <t>A220-300</t>
  </si>
  <si>
    <t>IFRS 15</t>
  </si>
  <si>
    <t>Total net book value of finance lease receivables. Page 256 of 2017 AR. We exclude these as it is already accounted for in the net exposure calculation in Net Vendor Financing</t>
  </si>
  <si>
    <t>Non recourse Airbus financing liabilities, page 256 AR 17. This needs to be removed from Net Debt as it's a financial liability for which EADS doesn't bear the risk (but is included in Net Debt)</t>
  </si>
  <si>
    <t>Airbus Commercial Revenues in $ mn</t>
  </si>
  <si>
    <t>A220</t>
  </si>
  <si>
    <t>Operating Leverage - A320</t>
  </si>
  <si>
    <t>A320neo Support Costs</t>
  </si>
  <si>
    <t>A320neo mix benefit</t>
  </si>
  <si>
    <t>EBIT (Reported)</t>
  </si>
  <si>
    <t>EBIT Adjusted (Company defined)</t>
  </si>
  <si>
    <t>Company defined EBIT Adjusted</t>
  </si>
  <si>
    <t>EBIT margin</t>
  </si>
  <si>
    <t>FCF per share</t>
  </si>
  <si>
    <t>As a % sales</t>
  </si>
  <si>
    <t>EMTN 10 years, €600 mn, 0.875%</t>
  </si>
  <si>
    <t>EMTN 15 years, €900 mn, 1.375%</t>
  </si>
  <si>
    <t>Exchangeable bonds 5 years, €1.078 bn, 0%</t>
  </si>
  <si>
    <t>USD Bond 30 years, $750 mn, 3.95%</t>
  </si>
  <si>
    <t>USD Bond 10 years, $750 mn, 3.15%</t>
  </si>
  <si>
    <t>DPS as a % of Underlying EPS</t>
  </si>
  <si>
    <t>Year-end share count</t>
  </si>
  <si>
    <t>Advance payments received/ Contract Assets and Liabilities</t>
  </si>
  <si>
    <t>A400M Cash drag</t>
  </si>
  <si>
    <t>A220 Cash Drag</t>
  </si>
  <si>
    <t>Adjusted FCF</t>
  </si>
  <si>
    <t>Adjusted Cash conversion</t>
  </si>
  <si>
    <t>Number of shares</t>
  </si>
  <si>
    <t xml:space="preserve">IFRS 16 </t>
  </si>
  <si>
    <t>Long Term Leases</t>
  </si>
  <si>
    <t>% of sales</t>
  </si>
  <si>
    <t>Short Term Leases</t>
  </si>
  <si>
    <t>Net Debt Ex Leases</t>
  </si>
  <si>
    <t>Depreciation on RoU Asset</t>
  </si>
  <si>
    <t xml:space="preserve">% sales </t>
  </si>
  <si>
    <t>Lease Principal</t>
  </si>
  <si>
    <t>Lease Interest</t>
  </si>
  <si>
    <t>RoU Asset</t>
  </si>
  <si>
    <t>Fixed Cost Absorption</t>
  </si>
  <si>
    <t>Est  prices (USD mn)</t>
  </si>
  <si>
    <t>A320 Family</t>
  </si>
  <si>
    <t>A330 Family</t>
  </si>
  <si>
    <t>A220 Family</t>
  </si>
  <si>
    <t>A350 Family</t>
  </si>
  <si>
    <t>Price inflation</t>
  </si>
  <si>
    <t>Sales by Program (USD mn)</t>
  </si>
  <si>
    <t>Total (USD mn)</t>
  </si>
  <si>
    <t xml:space="preserve">OE sales (€mn) </t>
  </si>
  <si>
    <t>Headline OE growth</t>
  </si>
  <si>
    <t>Headline Services Growth</t>
  </si>
  <si>
    <t>OE Growth in USD</t>
  </si>
  <si>
    <t xml:space="preserve">Services (€mn) </t>
  </si>
  <si>
    <t>Total Sales post discounts (USD)</t>
  </si>
  <si>
    <t>Total Sales post discounts (EUR)</t>
  </si>
  <si>
    <t>A220 profitability and cash burn</t>
  </si>
  <si>
    <t>A319neo</t>
  </si>
  <si>
    <t>A321neo</t>
  </si>
  <si>
    <t>Costs</t>
  </si>
  <si>
    <t>Fixed</t>
  </si>
  <si>
    <t>Variable</t>
  </si>
  <si>
    <t>per unit</t>
  </si>
  <si>
    <t>A320 operating leverage</t>
  </si>
  <si>
    <t>A220 revenues $</t>
  </si>
  <si>
    <t>A220 revenues €</t>
  </si>
  <si>
    <t>Net Intangibles</t>
  </si>
  <si>
    <t>Eliminations as % divisions</t>
  </si>
  <si>
    <t>-</t>
  </si>
  <si>
    <t>Number of Employees</t>
  </si>
  <si>
    <t>%</t>
  </si>
  <si>
    <t>Seasonality Analysis</t>
  </si>
  <si>
    <t xml:space="preserve">Sales as a % of FY </t>
  </si>
  <si>
    <t>This sheet contains FactSet XML data for use with this workbook's =FDS codes.  Modifying the worksheet's contents may damage the workbook's =FDS functionality.</t>
  </si>
  <si>
    <t>Select an interim &gt;&gt;</t>
  </si>
  <si>
    <t>For Chart</t>
  </si>
  <si>
    <t>Pre-crisis average (2013-19)</t>
  </si>
  <si>
    <t>Equidistributed scenario</t>
  </si>
  <si>
    <t xml:space="preserve">EBIT adj. as a % of FY </t>
  </si>
  <si>
    <t xml:space="preserve">FCF as a % of FY </t>
  </si>
  <si>
    <t>Select a division &gt;&gt;</t>
  </si>
  <si>
    <t>Growth</t>
  </si>
  <si>
    <t>WACC</t>
  </si>
  <si>
    <t>GOLDMAN SACHS</t>
  </si>
  <si>
    <t>GLOBAL INVESTMENT RESEARCH</t>
  </si>
  <si>
    <t>Multi-Industry</t>
  </si>
  <si>
    <t xml:space="preserve">Published as of </t>
  </si>
  <si>
    <t>Rating Suspended</t>
  </si>
  <si>
    <t xml:space="preserve">Team Contacts: </t>
  </si>
  <si>
    <t>Estimated Net Exposure (%)</t>
  </si>
  <si>
    <t>Order Book (€)</t>
  </si>
  <si>
    <t>Order intake (€)</t>
  </si>
  <si>
    <t>Order Book (units)</t>
  </si>
  <si>
    <t>Order intake (units)</t>
  </si>
  <si>
    <t>Orders (units)</t>
  </si>
  <si>
    <t>Backlog (units)</t>
  </si>
  <si>
    <t>Orders (€ mn)</t>
  </si>
  <si>
    <t>Backlog (€ mn)</t>
  </si>
  <si>
    <t>Book-to-bill (€ mn)</t>
  </si>
  <si>
    <t>Book-to-bill (units)</t>
  </si>
  <si>
    <t>Deliveries (units)</t>
  </si>
  <si>
    <t>Operating Leverage for A320 family (EUR mn per unit)</t>
  </si>
  <si>
    <t>Of which M&amp;A</t>
  </si>
  <si>
    <t>DIO</t>
  </si>
  <si>
    <t>DSO</t>
  </si>
  <si>
    <t>Adj. EBIT</t>
  </si>
  <si>
    <t>US</t>
  </si>
  <si>
    <t>Canada</t>
  </si>
  <si>
    <t>China</t>
  </si>
  <si>
    <t>others</t>
  </si>
  <si>
    <t>Number of Employees (Total)</t>
  </si>
  <si>
    <t>Total Assets</t>
  </si>
  <si>
    <t>United Kingdom</t>
  </si>
  <si>
    <t>Other Countries</t>
  </si>
  <si>
    <t>United States</t>
  </si>
  <si>
    <t xml:space="preserve">Airbus </t>
  </si>
  <si>
    <t>EURm</t>
  </si>
  <si>
    <t>Pension underfunding</t>
  </si>
  <si>
    <t>Cash conversion</t>
  </si>
  <si>
    <t>Calendar year</t>
  </si>
  <si>
    <t>Pension tax shield</t>
  </si>
  <si>
    <t>add back:</t>
  </si>
  <si>
    <t>Cash provided by operating activities</t>
  </si>
  <si>
    <t>Tax paid</t>
  </si>
  <si>
    <t>Deduct:</t>
  </si>
  <si>
    <t>Purchase of PP&amp;E</t>
  </si>
  <si>
    <t>Purchase of intangible assets</t>
  </si>
  <si>
    <t>Operating cash flow</t>
  </si>
  <si>
    <t>Results of equity investments</t>
  </si>
  <si>
    <t>Movement in provisions</t>
  </si>
  <si>
    <t>Underlying EBIT</t>
  </si>
  <si>
    <t>Tax rate (adjusted)</t>
  </si>
  <si>
    <t>EBIT Growth</t>
  </si>
  <si>
    <t>x</t>
  </si>
  <si>
    <t>Operating Leverage - A350 (ex. R&amp;D, including release of provisions)</t>
  </si>
  <si>
    <t>Number of shares (mn)</t>
  </si>
  <si>
    <t>Launch Aid</t>
  </si>
  <si>
    <t>Space Systems</t>
  </si>
  <si>
    <t xml:space="preserve">Airpower </t>
  </si>
  <si>
    <t>Connected Inteligence &amp; Others</t>
  </si>
  <si>
    <t>Sales Split</t>
  </si>
  <si>
    <t>Connected Intelligence &amp; Others</t>
  </si>
  <si>
    <t>Purchases of intangible assets, PP&amp;E &amp; Investment property</t>
  </si>
  <si>
    <t>Proceeds from disposals of intangible assets, PP&amp;E &amp; Investment Property</t>
  </si>
  <si>
    <t>A320 family</t>
  </si>
  <si>
    <t>A330neo family</t>
  </si>
  <si>
    <t>A350 family</t>
  </si>
  <si>
    <t>Family Monthly Delivery Rate</t>
  </si>
  <si>
    <t>Aircraft Mix (Mix as per Family)</t>
  </si>
  <si>
    <t>Employees</t>
  </si>
  <si>
    <t>EBIT growth</t>
  </si>
  <si>
    <t>Net Cash (debt)</t>
  </si>
  <si>
    <t>Free Cash Flow analysis</t>
  </si>
  <si>
    <t>GS Op Cash (EBIT Equivalent)</t>
  </si>
  <si>
    <t>Net Debt Analysis</t>
  </si>
  <si>
    <t>Reported tax rate</t>
  </si>
  <si>
    <t>As % of commercial revenue</t>
  </si>
  <si>
    <t>Total sales USD</t>
  </si>
  <si>
    <t>Reported profit/(loss) before tax</t>
  </si>
  <si>
    <t>Adj. total interest income/(expense)</t>
  </si>
  <si>
    <t xml:space="preserve">Adjusted profit/(loss) before tax </t>
  </si>
  <si>
    <t>Underlying Tax</t>
  </si>
  <si>
    <t xml:space="preserve">Adjusted (Loss)/profit after tax for the year from continuing operations </t>
  </si>
  <si>
    <t>Earning per shares (EPS)</t>
  </si>
  <si>
    <t>Reported EPS - Basic</t>
  </si>
  <si>
    <t>Reported EPS - Diluted</t>
  </si>
  <si>
    <t>Underlying EPS - Basic</t>
  </si>
  <si>
    <t>Underlying EPS - Diluted</t>
  </si>
  <si>
    <t>Adjusted tax rate</t>
  </si>
  <si>
    <t>Reported net income (attributable to shareholders)</t>
  </si>
  <si>
    <t xml:space="preserve">Reported (Loss)/profit after tax for the year from continuing operations </t>
  </si>
  <si>
    <t>Adjusted net income (attributable to shareholders)</t>
  </si>
  <si>
    <t>Assets and disposal group of assets classified as held for sale</t>
  </si>
  <si>
    <t>YoY growth (%)</t>
  </si>
  <si>
    <t xml:space="preserve">as a % of sales </t>
  </si>
  <si>
    <t>Gross margin (%)</t>
  </si>
  <si>
    <t>Adj. EBIT margin (%)</t>
  </si>
  <si>
    <t>A330 family</t>
  </si>
  <si>
    <t>ROIC Analysis</t>
  </si>
  <si>
    <t xml:space="preserve">Adj. EBIT </t>
  </si>
  <si>
    <t xml:space="preserve">Underlying Tax </t>
  </si>
  <si>
    <t>NOPAT</t>
  </si>
  <si>
    <t>Average Invested Capital</t>
  </si>
  <si>
    <t>Other Assets</t>
  </si>
  <si>
    <t>ROIC (%)</t>
  </si>
  <si>
    <t xml:space="preserve">Non-current contract assets </t>
  </si>
  <si>
    <t>Disposals</t>
  </si>
  <si>
    <t>Cash at the end of year prior to held for sale</t>
  </si>
  <si>
    <t>work</t>
  </si>
  <si>
    <t>(Net Debt)/Net cash</t>
  </si>
  <si>
    <t>Surplus</t>
  </si>
  <si>
    <t>Pension deficit pre tax shield</t>
  </si>
  <si>
    <t>Pension calculation (pre tax shield)</t>
  </si>
  <si>
    <t>Launch aid and other</t>
  </si>
  <si>
    <t>Total launch aid (Govt refundable advances)</t>
  </si>
  <si>
    <t>GS Defined Op Cash Flow</t>
  </si>
  <si>
    <t>Financing (expense)/gain</t>
  </si>
  <si>
    <t>Less: Interest received</t>
  </si>
  <si>
    <t>Current assets (excluding Cash &amp; Equivalents)</t>
  </si>
  <si>
    <t>Current Liabilities (excluding Financial Liabilities)</t>
  </si>
  <si>
    <t>Tax Rate</t>
  </si>
  <si>
    <t>Change in working capital</t>
  </si>
  <si>
    <t>Capex &amp; Intangibles</t>
  </si>
  <si>
    <t>Discount Factor</t>
  </si>
  <si>
    <t>Discounted FCF</t>
  </si>
  <si>
    <t>DCF Valuation</t>
  </si>
  <si>
    <t>Risk free rate</t>
  </si>
  <si>
    <t>Equity Risk premium</t>
  </si>
  <si>
    <t>Cost of equity</t>
  </si>
  <si>
    <t>Cost of debt</t>
  </si>
  <si>
    <t>Post tax cost of debt</t>
  </si>
  <si>
    <t>MV Equity / (MV Equity + Net Debt)</t>
  </si>
  <si>
    <t>Net Debt / (MV Equity + Net Debt)</t>
  </si>
  <si>
    <t>Terminal growth rate</t>
  </si>
  <si>
    <t xml:space="preserve">Sum of discounted cash flows </t>
  </si>
  <si>
    <t>Undiscounted value of TV</t>
  </si>
  <si>
    <t>Discounted value of TV</t>
  </si>
  <si>
    <t>Enterprise value</t>
  </si>
  <si>
    <t>Equity value</t>
  </si>
  <si>
    <t>Equity value per share</t>
  </si>
  <si>
    <t>EUR (mn)</t>
  </si>
  <si>
    <t xml:space="preserve">EUR </t>
  </si>
  <si>
    <t>Sustainable FCF</t>
  </si>
  <si>
    <t>Net cash (debt) and lease</t>
  </si>
  <si>
    <t>Million</t>
  </si>
  <si>
    <r>
      <t>Sam Burgess,</t>
    </r>
    <r>
      <rPr>
        <sz val="10.5"/>
        <rFont val="Calibri"/>
        <family val="2"/>
      </rPr>
      <t xml:space="preserve"> sam.burgess@gs.com</t>
    </r>
    <r>
      <rPr>
        <b/>
        <sz val="10.5"/>
        <rFont val="Calibri"/>
        <family val="2"/>
      </rPr>
      <t xml:space="preserve">, </t>
    </r>
    <r>
      <rPr>
        <sz val="10.5"/>
        <rFont val="Calibri"/>
        <family val="2"/>
      </rPr>
      <t>+44 20 7774-9651</t>
    </r>
    <r>
      <rPr>
        <b/>
        <sz val="10.5"/>
        <rFont val="Calibri"/>
        <family val="2"/>
      </rPr>
      <t xml:space="preserve"> </t>
    </r>
    <r>
      <rPr>
        <sz val="10.5"/>
        <rFont val="Calibri"/>
        <family val="2"/>
      </rPr>
      <t>Goldman Sachs International</t>
    </r>
  </si>
  <si>
    <r>
      <rPr>
        <b/>
        <sz val="10.5"/>
        <rFont val="Calibri"/>
        <family val="2"/>
      </rPr>
      <t>Jubril Moronfolu</t>
    </r>
    <r>
      <rPr>
        <sz val="10.5"/>
        <rFont val="Calibri"/>
        <family val="2"/>
      </rPr>
      <t>, jubril.x.moronfolu@gs.com, +44 20 7051-0985 Goldman Sachs International</t>
    </r>
  </si>
  <si>
    <r>
      <t xml:space="preserve">Milind Sikchi, </t>
    </r>
    <r>
      <rPr>
        <sz val="10.5"/>
        <rFont val="Calibri"/>
        <family val="2"/>
      </rPr>
      <t>milind.sikchi@gs.com, +1 332 245-7985</t>
    </r>
    <r>
      <rPr>
        <b/>
        <sz val="10.5"/>
        <rFont val="Calibri"/>
        <family val="2"/>
      </rPr>
      <t xml:space="preserve">, </t>
    </r>
    <r>
      <rPr>
        <sz val="10.5"/>
        <rFont val="Calibri"/>
        <family val="2"/>
      </rPr>
      <t>Goldman Sachs International</t>
    </r>
  </si>
  <si>
    <t>Reported Net Income for the period attributable to equity owners of the parent</t>
  </si>
  <si>
    <t>Seasonality Sales</t>
  </si>
  <si>
    <t>Primary Analyst</t>
  </si>
  <si>
    <t>Supporting Analysts</t>
  </si>
  <si>
    <t>Adj. EBITDA Analysis</t>
  </si>
  <si>
    <t>Adj. EBITDA</t>
  </si>
  <si>
    <t>Company defined Adj. EBIT before one-offs</t>
  </si>
  <si>
    <t xml:space="preserve">Working Capital Analysis </t>
  </si>
  <si>
    <t xml:space="preserve">Inventory </t>
  </si>
  <si>
    <t>Payables</t>
  </si>
  <si>
    <t>Operating Current Assets</t>
  </si>
  <si>
    <t>Operating Current Liabilities</t>
  </si>
  <si>
    <t>change</t>
  </si>
  <si>
    <t>Operating Leverage for A330 (EUR mn per unit)</t>
  </si>
  <si>
    <t>Operating Leverage for A350 (EUR mn per unit)</t>
  </si>
  <si>
    <t>A330-200neo</t>
  </si>
  <si>
    <t>Assumption</t>
  </si>
  <si>
    <t>Spirit Aerosystems Impact</t>
  </si>
  <si>
    <t>LEAD Savings</t>
  </si>
  <si>
    <t>12m forward date:</t>
  </si>
  <si>
    <t>YoY growth</t>
  </si>
  <si>
    <t xml:space="preserve">Mid-term Adj. EBIT growth rate </t>
  </si>
  <si>
    <t>Cash Conversion LT</t>
  </si>
  <si>
    <t>Cash Conversion (Sustainable FCF/NOPAT)</t>
  </si>
  <si>
    <t>of which other EADS defined one-offs/other</t>
  </si>
  <si>
    <t xml:space="preserve">operational impact adjustments from all divisions </t>
  </si>
  <si>
    <t>CAGR 26-31</t>
  </si>
  <si>
    <t>,</t>
  </si>
  <si>
    <t>Use of Cash Analysis</t>
  </si>
  <si>
    <t>DPO</t>
  </si>
  <si>
    <t xml:space="preserve">A220 Analysis </t>
  </si>
  <si>
    <t>Effective FX rate</t>
  </si>
  <si>
    <t>Portfolio hedge rate incl. euro conversion ($/€)</t>
  </si>
  <si>
    <t>Effective net-exposure rate ($/€)</t>
  </si>
  <si>
    <t>Net exposure at current effective rate (€mn)</t>
  </si>
  <si>
    <t>Average Share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</si>
</sst>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7">
    <numFmt numFmtId="7" formatCode="&quot;£&quot;#,##0.00;\-&quot;£&quot;#,##0.00"/>
    <numFmt numFmtId="41" formatCode="_-* #,##0_-;\-* #,##0_-;_-* &quot;-&quot;_-;_-@_-"/>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 #,##0.00_);_(* \(#,##0.00\);_(* &quot;-&quot;??_);_(@_)"/>
    <numFmt numFmtId="169" formatCode="_(&quot;€&quot;* #,##0.00_);_(&quot;€&quot;* \(#,##0.00\);_(&quot;€&quot;* &quot;-&quot;??_);_(@_)"/>
    <numFmt numFmtId="170" formatCode="#,##0;&quot;£&quot;#,##0"/>
    <numFmt numFmtId="171" formatCode="0.0"/>
    <numFmt numFmtId="172" formatCode="0.0%"/>
    <numFmt numFmtId="173" formatCode="#,##0.0##;[Red]\-#,##0.0##"/>
    <numFmt numFmtId="174" formatCode="0.00_);\(0.00\);0.00"/>
    <numFmt numFmtId="175" formatCode="&quot;$&quot;#,##0;\-&quot;$&quot;#,##0"/>
    <numFmt numFmtId="176" formatCode="#,##0;\(#,##0\)"/>
    <numFmt numFmtId="177" formatCode="0.00_);\(0.00\);0.00_)"/>
    <numFmt numFmtId="178" formatCode="0.0%;\(0.0%\)"/>
    <numFmt numFmtId="179" formatCode="0.00\%;\-0.00\%;0.00\%"/>
    <numFmt numFmtId="180" formatCode="#,##0.0"/>
    <numFmt numFmtId="181" formatCode="0.00\x;\-0.00\x;0.00\x"/>
    <numFmt numFmtId="182" formatCode="&quot;2Q&quot;00"/>
    <numFmt numFmtId="183" formatCode="##0.00000"/>
    <numFmt numFmtId="184" formatCode="0.0&quot;x&quot;"/>
    <numFmt numFmtId="186" formatCode="0.0_)\%;\(0.0\)\%;0.0_)\%;@_)_%"/>
    <numFmt numFmtId="187" formatCode="#,##0.0_)_%;\(#,##0.0\)_%;0.0_)_%;@_)_%"/>
    <numFmt numFmtId="188" formatCode="#,##0.0_);\(#,##0.0\);#,##0.0_);@_)"/>
    <numFmt numFmtId="189" formatCode="#,##0.0_);\(#,##0.0\)"/>
    <numFmt numFmtId="190" formatCode="&quot;$&quot;_(#,##0.00_);&quot;$&quot;\(#,##0.00\)"/>
    <numFmt numFmtId="191" formatCode="&quot;$&quot;_(#,##0.00_);&quot;$&quot;\(#,##0.00\);&quot;$&quot;_(0.00_);@_)"/>
    <numFmt numFmtId="192" formatCode="#,##0.00_);\(#,##0.00\);0.00_);@_)"/>
    <numFmt numFmtId="193" formatCode="\€_(#,##0.00_);\€\(#,##0.00\);\€_(0.00_);@_)"/>
    <numFmt numFmtId="194" formatCode="#,##0.0_)\x;\(#,##0.0\)\x"/>
    <numFmt numFmtId="195" formatCode="#,##0_)\x;\(#,##0\)\x;0_)\x;@_)_x"/>
    <numFmt numFmtId="196" formatCode="#,##0.0_)\x;\(#,##0.0\)\x;0.0_)\x;@_)_x"/>
    <numFmt numFmtId="197" formatCode="#,##0.0_)_x;\(#,##0.0\)_x"/>
    <numFmt numFmtId="198" formatCode="#,##0_)_x;\(#,##0\)_x;0_)_x;@_)_x"/>
    <numFmt numFmtId="199" formatCode="#,##0.0_)_x;\(#,##0.0\)_x;0.0_)_x;@_)_x"/>
    <numFmt numFmtId="200" formatCode="0.0_)\%;\(0.0\)\%"/>
    <numFmt numFmtId="201" formatCode="#,##0.0_)_%;\(#,##0.0\)_%"/>
    <numFmt numFmtId="202" formatCode="0\A"/>
    <numFmt numFmtId="203" formatCode="0.00_)"/>
    <numFmt numFmtId="204" formatCode="\$0.00;\(\$0.00\)"/>
    <numFmt numFmtId="205" formatCode="0.0&quot;  &quot;"/>
    <numFmt numFmtId="206" formatCode="_-* #,##0_-;\(#,##0\);_-* &quot;–&quot;_-;_-@_-"/>
    <numFmt numFmtId="207" formatCode="#,##0.00;;;[White]General"/>
    <numFmt numFmtId="208" formatCode="_(* #,##0.00000_);_(* \(#,##0.00000\);_(* &quot;-&quot;??_);_(@_)"/>
    <numFmt numFmtId="209" formatCode="#,##0.000_);[Red]\(#,##0.000\)"/>
    <numFmt numFmtId="210" formatCode="&quot;$&quot;0.0"/>
    <numFmt numFmtId="211" formatCode="#,##0;\(#,##0\);\–;@"/>
    <numFmt numFmtId="212" formatCode="_(&quot;CHF&quot;* #,##0.0_);_(&quot;CHF&quot;* \(#,##0.0\);_(&quot;CHF&quot;* &quot;-&quot;??_);_(@_)"/>
    <numFmt numFmtId="215" formatCode="0&quot;E&quot;"/>
    <numFmt numFmtId="220" formatCode="_(* #,##0_);_(* \(#,##0\);_(* &quot;-&quot;??_);_(@_)"/>
    <numFmt numFmtId="226" formatCode="#,##0.0;\(#,##0.0\)"/>
    <numFmt numFmtId="227" formatCode="#,##0.00000;\(#,##0.00000\)"/>
    <numFmt numFmtId="228" formatCode="0.000"/>
    <numFmt numFmtId="229" formatCode="0\p"/>
    <numFmt numFmtId="230" formatCode="#,##0.0\ ;\(#,##0.0\)"/>
    <numFmt numFmtId="231" formatCode="&quot;$&quot;#,##0.00&quot;*&quot;\ \ ;\(&quot;$&quot;#,##0.00\)&quot;*&quot;\ \ "/>
    <numFmt numFmtId="232" formatCode="&quot;$&quot;#,##0.00\A_)\ ;\(&quot;$&quot;#,##0.00\A\)\ \ "/>
    <numFmt numFmtId="233" formatCode="0.0_)"/>
    <numFmt numFmtId="234" formatCode="&quot;$&quot;#,##0.00_)\ \ \ ;\(&quot;$&quot;#,##0.00\)\ \ \ "/>
    <numFmt numFmtId="235" formatCode="0.0%_);\(0.0%\)"/>
    <numFmt numFmtId="236" formatCode="&quot;$&quot;#,##0.0_);[Red]\(&quot;$&quot;#,##0.0\)"/>
    <numFmt numFmtId="237" formatCode="0.0000"/>
    <numFmt numFmtId="238" formatCode="_-* #,##0.0_-;\-* #,##0.0_-;_-* &quot;-&quot;??_-;_-@_-"/>
    <numFmt numFmtId="239" formatCode="&quot;$&quot;#,##0.00;\-&quot;$&quot;#,##0.00"/>
    <numFmt numFmtId="240" formatCode="&quot;$&quot;#,##0.00;[Red]\-&quot;$&quot;#,##0.00"/>
    <numFmt numFmtId="241" formatCode="&quot;£&quot;_(#,##0.00_);&quot;£&quot;\(#,##0.00\);&quot;£&quot;_(0.00_);@_)"/>
    <numFmt numFmtId="242" formatCode="_(* #,##0.0_);_(* \(#,##0.0\);_(* &quot;-&quot;??_);_(@_)"/>
    <numFmt numFmtId="243" formatCode="&quot;£&quot;_(#,##0.00_);&quot;£&quot;\(#,##0.00\)"/>
    <numFmt numFmtId="244" formatCode="_-&quot;$&quot;* #,##0_-;\-&quot;$&quot;* #,##0_-;_-&quot;$&quot;* &quot;-&quot;_-;_-@_-"/>
    <numFmt numFmtId="245" formatCode="&quot;$&quot;#,##0;[Red]\-&quot;$&quot;#,##0"/>
    <numFmt numFmtId="246" formatCode="#,##0.0\ \ \ ;\(#,##0.0\)\ \ "/>
    <numFmt numFmtId="247" formatCode="&quot;SFr.&quot;_(#,##0.00_);&quot;SFr.&quot;\(#,##0.00\)"/>
    <numFmt numFmtId="248" formatCode="#,##0.0;[Red]\(#,##0.0\)"/>
    <numFmt numFmtId="249" formatCode="yy/mm"/>
    <numFmt numFmtId="250" formatCode="\C&quot;$&quot;\ #,##0.00_);\C&quot;$&quot;\ \(#,##0.00\);\C&quot;$&quot;\ 0.00_)"/>
    <numFmt numFmtId="251" formatCode="#,##0.0_);[Red]\(#,##0.0\)"/>
    <numFmt numFmtId="252" formatCode="#,##0.0\x"/>
    <numFmt numFmtId="253" formatCode="0.0%_);[Red]\(0.0%\)"/>
    <numFmt numFmtId="254" formatCode="#,##0.0\A"/>
    <numFmt numFmtId="255" formatCode="_(* #,##0_);_(* \(#,##0\);_(* &quot;----&quot;_);_(@_)"/>
    <numFmt numFmtId="256" formatCode="&quot;$&quot;#,##0.000\ ;\(&quot;$&quot;#,##0.000\)"/>
    <numFmt numFmtId="257" formatCode="_(&quot;$&quot;#,##0_)&quot;millions&quot;;\(&quot;$&quot;#,##0\)&quot; millions&quot;"/>
    <numFmt numFmtId="258" formatCode="@\ \ \ \ \ "/>
    <numFmt numFmtId="259" formatCode="[$-809]dd\ mmmm\ yyyy"/>
    <numFmt numFmtId="260" formatCode="0_)"/>
    <numFmt numFmtId="261" formatCode="_(* #,##0.00_);_(* \(#,##0.00\);_(* &quot;-----&quot;_);_(@_)"/>
    <numFmt numFmtId="262" formatCode="0&quot;A&quot;"/>
    <numFmt numFmtId="263" formatCode="0.0;\(0.0\)"/>
    <numFmt numFmtId="264" formatCode="#,##0_);\(#,##0\);\-_);"/>
    <numFmt numFmtId="265" formatCode="#,##0.0_x\);\(#,##0.0\)_x;#,##0.0_x\);@_x\)"/>
    <numFmt numFmtId="266" formatCode="#,##0_);\(#,##0\);\-_)"/>
    <numFmt numFmtId="267" formatCode="###0.0;\(###0.0\)"/>
    <numFmt numFmtId="268" formatCode="_(* #,##0.00_);_(* \(#,##0.00\);_(* &quot;---&quot;_);_(@_)"/>
    <numFmt numFmtId="269" formatCode="#,##0_%_);\(#,##0\)_%;**;@_%_)"/>
    <numFmt numFmtId="270" formatCode="&quot;$&quot;#,##0_%_);\(&quot;$&quot;#,##0\)_%;&quot;$&quot;#,##0_%_);@_%_)"/>
    <numFmt numFmtId="271" formatCode="&quot;$&quot;#,##0.00_%_);\(&quot;$&quot;#,##0.00\)_%;&quot;$&quot;#,##0.00_%_);@_%_)"/>
    <numFmt numFmtId="272" formatCode="#,##0.00\A\ \ \ \ ;\(#,##0.00\A\)\ \ \ \ "/>
    <numFmt numFmtId="273" formatCode="m/d/yy_%_)"/>
    <numFmt numFmtId="274" formatCode="yyyy"/>
    <numFmt numFmtId="275" formatCode="&quot;£&quot;_(#,##0_);&quot;£&quot;\(#,##0\)"/>
    <numFmt numFmtId="276" formatCode="&quot;£&quot;_(#,##0.0_);&quot;£&quot;\(#,##0.0\)"/>
    <numFmt numFmtId="277" formatCode="&quot;$&quot;#,##0.00_)\ \ \ \ \ ;\(&quot;$&quot;#,##0.00\)\ \ \ \ \ "/>
    <numFmt numFmtId="278" formatCode="0%\ \ \ \ \ \ \ "/>
    <numFmt numFmtId="279" formatCode="0.00%;\(0.00%\)"/>
    <numFmt numFmtId="280" formatCode="&quot;$&quot;#,##0.00&quot;A&quot;;[Red]\(&quot;$&quot;#,##0.00\)&quot;A&quot;"/>
    <numFmt numFmtId="281" formatCode="_(* #,##0.0_);_(* \(#,##0.0\);_(* &quot;----&quot;_);_(@_)"/>
    <numFmt numFmtId="282" formatCode="&quot;$&quot;#,##0.00&quot;E&quot;;[Red]\(&quot;$&quot;#,##0.00\)&quot;E&quot;"/>
    <numFmt numFmtId="283" formatCode="0.000_)"/>
    <numFmt numFmtId="284" formatCode="&quot;£&quot;0.00\b\n"/>
    <numFmt numFmtId="285" formatCode="d\-mmmm\-yyyy"/>
    <numFmt numFmtId="286" formatCode="#,##0_);\(#,##0\);0_)"/>
    <numFmt numFmtId="287" formatCode="_ &quot;£&quot;* #,##0_ ;_ &quot;£&quot;* \-#,##0_ ;_ &quot;£&quot;* &quot;-&quot;_ ;_ @_ "/>
    <numFmt numFmtId="288" formatCode="\£\ #,##0"/>
    <numFmt numFmtId="289" formatCode="#,##0.0000\ ;\(#,##0.0000\)"/>
    <numFmt numFmtId="290" formatCode="#,##0;[Red]\(#,##0\)"/>
    <numFmt numFmtId="291" formatCode="&quot;$&quot;#,##0\ &quot;MM&quot;;\(&quot;$&quot;#,##0.00\ &quot;MM&quot;\)"/>
    <numFmt numFmtId="292" formatCode="0.0\%_);\(0.0\%\);0.0\%_);@_%_)"/>
    <numFmt numFmtId="293" formatCode="0.0\x_);[Red]\(0.0\x\)"/>
    <numFmt numFmtId="294" formatCode="#,##0\ ;\(#,##0\);\ \-\ "/>
    <numFmt numFmtId="295" formatCode="_-* #,##0.00_-;_-* #,##0.00\-;_-* &quot;-&quot;??_-;_-@_-"/>
    <numFmt numFmtId="296" formatCode="_(&quot;$&quot;* #,##0_)\ &quot;millions&quot;;_(&quot;$&quot;* \(#,##0\)&quot; millions&quot;"/>
    <numFmt numFmtId="297" formatCode="#,##0_)&quot;m&quot;;\(#,##0\)&quot;m&quot;;\-_)&quot;m&quot;"/>
    <numFmt numFmtId="298" formatCode="#,##0\ &quot;DM&quot;;[Red]\-#,##0\ &quot;DM&quot;"/>
    <numFmt numFmtId="299" formatCode="0.0%;0.0%;\-\ "/>
    <numFmt numFmtId="300" formatCode="0.0\ "/>
    <numFmt numFmtId="301" formatCode="0.0%\ \ \ \ \ "/>
    <numFmt numFmtId="302" formatCode="_-* #,##0\ _F_-;\-* #,##0\ _F_-;_-* &quot;-&quot;\ _F_-;_-@_-"/>
    <numFmt numFmtId="303" formatCode="_-* #,##0.00\ _F_-;\-* #,##0.00\ _F_-;_-* &quot;-&quot;??\ _F_-;_-@_-"/>
    <numFmt numFmtId="304" formatCode="_-* #,##0\ &quot;F&quot;_-;\-* #,##0\ &quot;F&quot;_-;_-* &quot;-&quot;\ &quot;F&quot;_-;_-@_-"/>
    <numFmt numFmtId="305" formatCode="_-* #,##0.00\ &quot;F&quot;_-;\-* #,##0.00\ &quot;F&quot;_-;_-* &quot;-&quot;??\ &quot;F&quot;_-;_-@_-"/>
    <numFmt numFmtId="306" formatCode="\$#,##0.00_);\(\$#,##0.00\)"/>
    <numFmt numFmtId="307" formatCode="\$#,##0_);\(\$#,##0\)"/>
    <numFmt numFmtId="308" formatCode="0.0\x;\(0.0\)\x"/>
    <numFmt numFmtId="309" formatCode="0.0_x"/>
    <numFmt numFmtId="310" formatCode="###0.0_x;\(###0.0\)_x"/>
    <numFmt numFmtId="311" formatCode="#,##0.0&quot;x&quot;;\-#,##0.0&quot;x&quot;;0.0&quot;x&quot;"/>
    <numFmt numFmtId="312" formatCode="#,##0_)&quot;p&quot;;\(#,##0\)&quot;p&quot;;\-_)&quot;p&quot;"/>
    <numFmt numFmtId="313" formatCode="\£#,##0.00_);\(\£#,##0.00\)"/>
    <numFmt numFmtId="314" formatCode="0.00\ \ \ \ "/>
    <numFmt numFmtId="315" formatCode="0.0_)\p;\(0.0\)\p"/>
    <numFmt numFmtId="316" formatCode="&quot;$&quot;@"/>
    <numFmt numFmtId="317" formatCode="&quot;$&quot;#\ ??/??"/>
    <numFmt numFmtId="318" formatCode="#,##0.000;[Red]\(#,##0.000\)"/>
    <numFmt numFmtId="319" formatCode="&quot;SEK&quot;_(#,##0.0_);&quot;SEK&quot;\(#,##0.0\)"/>
    <numFmt numFmtId="320" formatCode="\ \ #,##0.00"/>
    <numFmt numFmtId="321" formatCode="0.00;\(0.00\)"/>
    <numFmt numFmtId="322" formatCode="\$\ #,##0;&quot;£&quot;\ \-#,##0"/>
    <numFmt numFmtId="323" formatCode="#,##0.000\ ;\(#,##0.000\)"/>
    <numFmt numFmtId="324" formatCode="#,##0.00_)\ \x;\(#,##0.00\)\ \x"/>
    <numFmt numFmtId="325" formatCode="#,##0.00_)\x;\(#,##0.00\)\x"/>
    <numFmt numFmtId="326" formatCode="0.0_)\x;\(0.0\)\x"/>
    <numFmt numFmtId="327" formatCode="#,##0.00\x;\(#,##0.00\)\x"/>
    <numFmt numFmtId="328" formatCode="0.0000000000"/>
    <numFmt numFmtId="329" formatCode="#,##0\ \ \ \ \ \ \ \ ;\(#,##0\)\ \ \ \ \ \ \ "/>
    <numFmt numFmtId="330" formatCode="#,##0.00\ ;\(#,##0.00\)"/>
    <numFmt numFmtId="331" formatCode="_-* #,##0.000_-;\-* #,##0.000_-;_-* &quot;-&quot;??_-;_-@_-"/>
    <numFmt numFmtId="332" formatCode="0.0%;[Red]\-0.0%"/>
    <numFmt numFmtId="333" formatCode="\¥#,##0.00_);\(\¥#,##0.00\)"/>
    <numFmt numFmtId="334" formatCode="[$-F800]dddd\,\ mmmm\ dd\,\ yyyy"/>
    <numFmt numFmtId="337" formatCode="&quot;Target Price:&quot;\ 0"/>
    <numFmt numFmtId="338" formatCode="#,##0.0;\(#,##0.0\);0.0"/>
    <numFmt numFmtId="339" formatCode="#,##0;\(#,###\);0"/>
    <numFmt numFmtId="343" formatCode="[$€-1809]#,##0"/>
    <numFmt numFmtId="344" formatCode="&quot;FY&quot;0"/>
  </numFmts>
  <fonts count="189">
    <font>
      <sz val="11"/>
      <color theme="1"/>
      <name val="Univers LT Std 55"/>
      <family val="2"/>
      <scheme val="minor"/>
    </font>
    <font>
      <sz val="10"/>
      <color theme="1"/>
      <name val="Calibri"/>
      <family val="2"/>
    </font>
    <font>
      <sz val="10"/>
      <color theme="1"/>
      <name val="Calibri"/>
      <family val="2"/>
    </font>
    <font>
      <sz val="10"/>
      <color theme="1"/>
      <name val="Calibri"/>
      <family val="2"/>
    </font>
    <font>
      <sz val="10"/>
      <color theme="1"/>
      <name val="Calibri"/>
      <family val="2"/>
    </font>
    <font>
      <sz val="10"/>
      <name val="Arial"/>
      <family val="2"/>
    </font>
    <font>
      <b/>
      <sz val="12"/>
      <name val="Arial"/>
      <family val="2"/>
    </font>
    <font>
      <sz val="12"/>
      <name val="‚l‚r ‚oƒSƒVƒbƒN"/>
      <charset val="128"/>
    </font>
    <font>
      <sz val="10"/>
      <name val="MS Sans Serif"/>
      <family val="2"/>
    </font>
    <font>
      <sz val="9"/>
      <name val="Times New Roman"/>
      <family val="1"/>
    </font>
    <font>
      <sz val="12"/>
      <name val="Arial"/>
      <family val="2"/>
    </font>
    <font>
      <sz val="24"/>
      <name val="MS Sans Serif"/>
      <family val="2"/>
    </font>
    <font>
      <sz val="8"/>
      <color indexed="12"/>
      <name val="Tms Rmn"/>
    </font>
    <font>
      <sz val="10"/>
      <name val="Tms Rmn"/>
    </font>
    <font>
      <b/>
      <sz val="8"/>
      <color indexed="8"/>
      <name val="Times New Roman"/>
      <family val="1"/>
    </font>
    <font>
      <b/>
      <sz val="8"/>
      <color indexed="12"/>
      <name val="Times New Roman"/>
      <family val="1"/>
    </font>
    <font>
      <b/>
      <sz val="10"/>
      <name val="MS Sans Serif"/>
      <family val="2"/>
    </font>
    <font>
      <sz val="8"/>
      <color indexed="17"/>
      <name val="Tms Rmn"/>
    </font>
    <font>
      <sz val="8"/>
      <color indexed="14"/>
      <name val="Tms Rmn"/>
    </font>
    <font>
      <b/>
      <sz val="8"/>
      <color indexed="55"/>
      <name val="Times New Roman"/>
      <family val="1"/>
    </font>
    <font>
      <sz val="10"/>
      <color indexed="23"/>
      <name val="MS Sans Serif"/>
      <family val="2"/>
    </font>
    <font>
      <b/>
      <sz val="12"/>
      <name val="MS Sans Serif"/>
      <family val="2"/>
    </font>
    <font>
      <b/>
      <sz val="10"/>
      <name val="Times New Roman"/>
      <family val="1"/>
    </font>
    <font>
      <b/>
      <sz val="10"/>
      <color indexed="18"/>
      <name val="CG Times (WN)"/>
    </font>
    <font>
      <b/>
      <u/>
      <sz val="10"/>
      <name val="Tms Rmn"/>
    </font>
    <font>
      <b/>
      <sz val="10"/>
      <color indexed="9"/>
      <name val="Arial"/>
      <family val="2"/>
    </font>
    <font>
      <sz val="8"/>
      <name val="Arial"/>
      <family val="2"/>
    </font>
    <font>
      <sz val="10"/>
      <name val="Calibri"/>
      <family val="2"/>
    </font>
    <font>
      <b/>
      <sz val="8"/>
      <name val="Arial"/>
      <family val="2"/>
    </font>
    <font>
      <b/>
      <i/>
      <sz val="8"/>
      <name val="Arial"/>
      <family val="2"/>
    </font>
    <font>
      <b/>
      <sz val="10"/>
      <name val="Arial"/>
      <family val="2"/>
    </font>
    <font>
      <sz val="9"/>
      <name val="Arial"/>
      <family val="2"/>
    </font>
    <font>
      <b/>
      <sz val="9"/>
      <name val="Arial"/>
      <family val="2"/>
    </font>
    <font>
      <sz val="7"/>
      <name val="Arial"/>
      <family val="2"/>
    </font>
    <font>
      <sz val="11"/>
      <color theme="1"/>
      <name val="Univers LT Std 55"/>
      <family val="2"/>
      <scheme val="minor"/>
    </font>
    <font>
      <sz val="10"/>
      <name val="GS TheSans"/>
      <family val="2"/>
    </font>
    <font>
      <sz val="8"/>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sz val="8"/>
      <name val="Helvetica"/>
      <family val="2"/>
    </font>
    <font>
      <b/>
      <sz val="12"/>
      <name val="Tms Rmn"/>
    </font>
    <font>
      <sz val="9"/>
      <color indexed="9"/>
      <name val="Times New Roman"/>
      <family val="1"/>
    </font>
    <font>
      <b/>
      <sz val="10"/>
      <name val="Bookman"/>
      <family val="1"/>
    </font>
    <font>
      <b/>
      <sz val="24"/>
      <name val="Times New Roman"/>
      <family val="1"/>
    </font>
    <font>
      <b/>
      <sz val="14"/>
      <name val="Book Antiqua"/>
      <family val="1"/>
    </font>
    <font>
      <sz val="11"/>
      <color indexed="12"/>
      <name val="Book Antiqua"/>
      <family val="1"/>
    </font>
    <font>
      <sz val="10"/>
      <name val="Book Antiqua"/>
      <family val="1"/>
    </font>
    <font>
      <b/>
      <sz val="8.5"/>
      <color indexed="17"/>
      <name val="Arial"/>
      <family val="2"/>
    </font>
    <font>
      <b/>
      <sz val="7"/>
      <color indexed="17"/>
      <name val="Arial"/>
      <family val="2"/>
    </font>
    <font>
      <sz val="8.5"/>
      <color indexed="8"/>
      <name val="Arial"/>
      <family val="2"/>
    </font>
    <font>
      <b/>
      <sz val="8"/>
      <name val="Book Antiqua"/>
      <family val="1"/>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9"/>
      <name val="Arial"/>
      <family val="2"/>
    </font>
    <font>
      <b/>
      <u/>
      <sz val="14"/>
      <name val="Book Antiqua"/>
      <family val="1"/>
    </font>
    <font>
      <b/>
      <sz val="10"/>
      <name val="Book Antiqua"/>
      <family val="1"/>
    </font>
    <font>
      <b/>
      <sz val="7"/>
      <name val="Arial"/>
      <family val="2"/>
    </font>
    <font>
      <sz val="11"/>
      <color rgb="FF000000"/>
      <name val="Univers LT Std 55"/>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color theme="0"/>
      <name val="Calibri"/>
      <family val="2"/>
    </font>
    <font>
      <b/>
      <sz val="10"/>
      <name val="Calibri"/>
      <family val="2"/>
    </font>
    <font>
      <b/>
      <sz val="10"/>
      <color theme="0"/>
      <name val="Calibri"/>
      <family val="2"/>
    </font>
    <font>
      <sz val="10"/>
      <color theme="1"/>
      <name val="Calibri"/>
      <family val="2"/>
    </font>
    <font>
      <sz val="9"/>
      <color indexed="81"/>
      <name val="Tahoma"/>
      <family val="2"/>
    </font>
    <font>
      <b/>
      <sz val="9"/>
      <color indexed="81"/>
      <name val="Tahoma"/>
      <family val="2"/>
    </font>
    <font>
      <sz val="10"/>
      <color theme="2"/>
      <name val="Calibri"/>
      <family val="2"/>
    </font>
    <font>
      <b/>
      <sz val="10"/>
      <color theme="1"/>
      <name val="Calibri"/>
      <family val="2"/>
    </font>
    <font>
      <i/>
      <sz val="10"/>
      <color theme="1"/>
      <name val="Calibri"/>
      <family val="2"/>
    </font>
    <font>
      <i/>
      <sz val="10"/>
      <name val="Calibri"/>
      <family val="2"/>
    </font>
    <font>
      <sz val="10"/>
      <color rgb="FFFF0000"/>
      <name val="Calibri"/>
      <family val="2"/>
    </font>
    <font>
      <b/>
      <i/>
      <sz val="10"/>
      <name val="Calibri"/>
      <family val="2"/>
    </font>
    <font>
      <sz val="10"/>
      <color theme="1"/>
      <name val="Univers LT Std 55"/>
      <family val="2"/>
      <scheme val="minor"/>
    </font>
    <font>
      <sz val="8"/>
      <color theme="1"/>
      <name val="Arial"/>
      <family val="2"/>
    </font>
    <font>
      <sz val="10"/>
      <color rgb="FF0000FF"/>
      <name val="Calibri"/>
      <family val="2"/>
    </font>
    <font>
      <b/>
      <sz val="10"/>
      <color rgb="FF0000FF"/>
      <name val="Calibri"/>
      <family val="2"/>
    </font>
    <font>
      <sz val="8"/>
      <name val="Univers LT Std 55"/>
      <family val="2"/>
      <scheme val="minor"/>
    </font>
    <font>
      <sz val="9"/>
      <color theme="1"/>
      <name val="Arial"/>
      <family val="2"/>
    </font>
    <font>
      <b/>
      <sz val="9"/>
      <color theme="1"/>
      <name val="Arial"/>
      <family val="2"/>
    </font>
    <font>
      <sz val="10"/>
      <color theme="1"/>
      <name val="Arial"/>
      <family val="2"/>
    </font>
    <font>
      <sz val="11"/>
      <name val="Calibri"/>
      <family val="2"/>
    </font>
    <font>
      <b/>
      <sz val="16"/>
      <name val="Calibri"/>
      <family val="2"/>
    </font>
    <font>
      <b/>
      <sz val="10.5"/>
      <color theme="0"/>
      <name val="Calibri"/>
      <family val="2"/>
    </font>
    <font>
      <b/>
      <sz val="11.5"/>
      <color theme="0"/>
      <name val="Calibri"/>
      <family val="2"/>
    </font>
    <font>
      <sz val="10.5"/>
      <color theme="0"/>
      <name val="Calibri"/>
      <family val="2"/>
    </font>
    <font>
      <b/>
      <sz val="10.5"/>
      <name val="Calibri"/>
      <family val="2"/>
    </font>
    <font>
      <b/>
      <i/>
      <sz val="9"/>
      <name val="Calibri"/>
      <family val="2"/>
    </font>
    <font>
      <sz val="10.5"/>
      <color theme="1"/>
      <name val="Calibri"/>
      <family val="2"/>
    </font>
    <font>
      <sz val="10.5"/>
      <name val="Calibri"/>
      <family val="2"/>
    </font>
    <font>
      <sz val="10"/>
      <color theme="3"/>
      <name val="Calibri"/>
      <family val="2"/>
    </font>
    <font>
      <sz val="10"/>
      <color theme="8"/>
      <name val="Calibri"/>
      <family val="2"/>
    </font>
    <font>
      <sz val="10"/>
      <color rgb="FF1A3FF6"/>
      <name val="Calibri"/>
      <family val="2"/>
    </font>
    <font>
      <i/>
      <sz val="8"/>
      <name val="Arial"/>
      <family val="2"/>
    </font>
    <font>
      <b/>
      <sz val="8"/>
      <color indexed="9"/>
      <name val="Arial"/>
      <family val="2"/>
    </font>
    <font>
      <b/>
      <sz val="8"/>
      <color indexed="8"/>
      <name val="Arial"/>
      <family val="2"/>
    </font>
    <font>
      <sz val="11"/>
      <name val="Arial"/>
      <family val="2"/>
    </font>
    <font>
      <b/>
      <u/>
      <sz val="7"/>
      <name val="Helvetica"/>
      <family val="2"/>
    </font>
    <font>
      <sz val="10"/>
      <name val="GillSans"/>
      <family val="2"/>
    </font>
    <font>
      <sz val="8"/>
      <name val="Times New Roman"/>
      <family val="1"/>
    </font>
    <font>
      <sz val="8"/>
      <color indexed="49"/>
      <name val="Times New Roman"/>
      <family val="1"/>
    </font>
    <font>
      <sz val="10"/>
      <color indexed="8"/>
      <name val="MS Sans Serif"/>
      <family val="2"/>
    </font>
    <font>
      <sz val="10"/>
      <name val="Helv"/>
    </font>
    <font>
      <b/>
      <sz val="6"/>
      <name val="Arial"/>
      <family val="2"/>
    </font>
    <font>
      <sz val="8"/>
      <name val="Palatino"/>
      <family val="1"/>
    </font>
    <font>
      <b/>
      <sz val="18"/>
      <name val="Arial"/>
      <family val="2"/>
    </font>
    <font>
      <sz val="10"/>
      <color indexed="18"/>
      <name val="Times New Roman"/>
      <family val="1"/>
    </font>
    <font>
      <sz val="7"/>
      <color indexed="10"/>
      <name val="Helvetica"/>
      <family val="2"/>
    </font>
    <font>
      <sz val="8"/>
      <color indexed="12"/>
      <name val="Helv"/>
    </font>
    <font>
      <b/>
      <sz val="8"/>
      <name val="Times New Roman"/>
      <family val="1"/>
    </font>
    <font>
      <sz val="7"/>
      <name val="Palatino"/>
      <family val="1"/>
    </font>
    <font>
      <i/>
      <sz val="8"/>
      <color indexed="17"/>
      <name val="Times New Roman"/>
      <family val="1"/>
    </font>
    <font>
      <sz val="8"/>
      <color indexed="21"/>
      <name val="Arial"/>
      <family val="2"/>
    </font>
    <font>
      <sz val="6"/>
      <color indexed="16"/>
      <name val="Palatino"/>
      <family val="1"/>
    </font>
    <font>
      <sz val="10"/>
      <name val="Arial Narrow"/>
      <family val="2"/>
    </font>
    <font>
      <sz val="10"/>
      <color indexed="25"/>
      <name val="Helvetica"/>
      <family val="2"/>
    </font>
    <font>
      <sz val="8"/>
      <color indexed="10"/>
      <name val="Times New Roman"/>
      <family val="1"/>
    </font>
    <font>
      <sz val="8"/>
      <color indexed="18"/>
      <name val="Times New Roman"/>
      <family val="1"/>
    </font>
    <font>
      <b/>
      <sz val="10"/>
      <name val="Helvetica"/>
      <family val="2"/>
    </font>
    <font>
      <u/>
      <sz val="10"/>
      <name val="Helvetica"/>
      <family val="2"/>
    </font>
    <font>
      <sz val="10"/>
      <name val="Helvetica"/>
      <family val="2"/>
    </font>
    <font>
      <sz val="10"/>
      <name val="Arial CE"/>
      <charset val="238"/>
    </font>
    <font>
      <i/>
      <sz val="10"/>
      <name val="Helv"/>
    </font>
    <font>
      <sz val="8.5"/>
      <name val="Arial Narrow"/>
      <family val="2"/>
    </font>
    <font>
      <sz val="10"/>
      <color indexed="16"/>
      <name val="Helvetica-Black"/>
    </font>
    <font>
      <i/>
      <sz val="8"/>
      <name val="Times New Roman"/>
      <family val="1"/>
    </font>
    <font>
      <i/>
      <sz val="10"/>
      <name val="Times New Roman"/>
      <family val="1"/>
    </font>
    <font>
      <sz val="10"/>
      <name val="KPN Arial"/>
    </font>
    <font>
      <b/>
      <sz val="10"/>
      <color indexed="18"/>
      <name val="Symbol"/>
      <family val="1"/>
      <charset val="2"/>
    </font>
    <font>
      <b/>
      <sz val="9"/>
      <name val="Palatino"/>
      <family val="1"/>
    </font>
    <font>
      <sz val="9"/>
      <color indexed="21"/>
      <name val="Helvetica-Black"/>
    </font>
    <font>
      <sz val="8"/>
      <name val="Helvetica-Narrow"/>
      <family val="2"/>
    </font>
    <font>
      <b/>
      <sz val="7"/>
      <name val="Helvetica-Narrow"/>
      <family val="2"/>
    </font>
    <font>
      <sz val="8.5"/>
      <name val="Franklin Gothic Book"/>
      <family val="2"/>
    </font>
    <font>
      <b/>
      <sz val="8"/>
      <color indexed="18"/>
      <name val="Times New Roman"/>
      <family val="1"/>
    </font>
    <font>
      <sz val="10"/>
      <name val="Courier"/>
      <family val="3"/>
    </font>
    <font>
      <i/>
      <sz val="10"/>
      <name val="Arial"/>
      <family val="2"/>
    </font>
    <font>
      <sz val="8"/>
      <color indexed="12"/>
      <name val="Times New Roman"/>
      <family val="1"/>
    </font>
    <font>
      <b/>
      <sz val="8"/>
      <color indexed="8"/>
      <name val="Wingdings"/>
      <charset val="2"/>
    </font>
    <font>
      <b/>
      <sz val="8"/>
      <color indexed="10"/>
      <name val="Wingdings"/>
      <charset val="2"/>
    </font>
    <font>
      <b/>
      <sz val="8"/>
      <color indexed="9"/>
      <name val="Wingdings"/>
      <charset val="2"/>
    </font>
    <font>
      <b/>
      <sz val="8.5"/>
      <name val="Franklin Gothic Book"/>
      <family val="2"/>
    </font>
    <font>
      <sz val="11"/>
      <name val="ＭＳ Ｐゴシック"/>
      <family val="3"/>
      <charset val="128"/>
    </font>
    <font>
      <sz val="10"/>
      <color rgb="FFC00000"/>
      <name val="Calibri"/>
      <family val="2"/>
    </font>
    <font>
      <i/>
      <sz val="10"/>
      <color rgb="FF0000FF"/>
      <name val="Calibri"/>
      <family val="2"/>
    </font>
    <font>
      <b/>
      <u/>
      <sz val="9"/>
      <color theme="1"/>
      <name val="Arial"/>
      <family val="2"/>
    </font>
    <font>
      <u/>
      <sz val="9"/>
      <color theme="1"/>
      <name val="Arial"/>
      <family val="2"/>
    </font>
    <font>
      <b/>
      <sz val="12"/>
      <color theme="0"/>
      <name val="Calibri"/>
      <family val="2"/>
    </font>
    <font>
      <b/>
      <sz val="11"/>
      <color theme="0"/>
      <name val="Calibri"/>
      <family val="2"/>
    </font>
  </fonts>
  <fills count="55">
    <fill>
      <patternFill patternType="none"/>
    </fill>
    <fill>
      <patternFill patternType="gray125"/>
    </fill>
    <fill>
      <patternFill patternType="solid">
        <fgColor indexed="26"/>
        <bgColor indexed="64"/>
      </patternFill>
    </fill>
    <fill>
      <patternFill patternType="lightGray">
        <fgColor indexed="12"/>
      </patternFill>
    </fill>
    <fill>
      <patternFill patternType="lightGray">
        <fgColor indexed="13"/>
      </patternFill>
    </fill>
    <fill>
      <patternFill patternType="solid">
        <fgColor indexed="13"/>
      </patternFill>
    </fill>
    <fill>
      <patternFill patternType="lightGray">
        <fgColor indexed="10"/>
      </patternFill>
    </fill>
    <fill>
      <patternFill patternType="mediumGray">
        <fgColor indexed="11"/>
      </patternFill>
    </fill>
    <fill>
      <patternFill patternType="lightGray">
        <fgColor indexed="11"/>
      </patternFill>
    </fill>
    <fill>
      <patternFill patternType="solid">
        <fgColor theme="0"/>
        <bgColor indexed="64"/>
      </patternFill>
    </fill>
    <fill>
      <patternFill patternType="solid">
        <fgColor indexed="42"/>
        <bgColor indexed="64"/>
      </patternFill>
    </fill>
    <fill>
      <patternFill patternType="solid">
        <fgColor indexed="47"/>
        <bgColor indexed="64"/>
      </patternFill>
    </fill>
    <fill>
      <patternFill patternType="solid">
        <fgColor indexed="13"/>
        <bgColor indexed="64"/>
      </patternFill>
    </fill>
    <fill>
      <patternFill patternType="solid">
        <fgColor rgb="FFFFFF00"/>
        <bgColor indexed="64"/>
      </patternFill>
    </fill>
    <fill>
      <patternFill patternType="solid">
        <fgColor indexed="8"/>
        <bgColor indexed="64"/>
      </patternFill>
    </fill>
    <fill>
      <patternFill patternType="solid">
        <fgColor theme="4"/>
        <bgColor indexed="64"/>
      </patternFill>
    </fill>
    <fill>
      <patternFill patternType="solid">
        <fgColor theme="0" tint="-0.14996795556505021"/>
        <bgColor indexed="64"/>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10"/>
      </patternFill>
    </fill>
    <fill>
      <patternFill patternType="lightGray">
        <fgColor indexed="22"/>
        <bgColor indexed="9"/>
      </patternFill>
    </fill>
    <fill>
      <patternFill patternType="solid">
        <fgColor rgb="FFFFFFFF"/>
        <bgColor indexed="64"/>
      </patternFill>
    </fill>
    <fill>
      <patternFill patternType="solid">
        <fgColor indexed="29"/>
      </patternFill>
    </fill>
    <fill>
      <patternFill patternType="solid">
        <fgColor indexed="47"/>
      </patternFill>
    </fill>
    <fill>
      <patternFill patternType="solid">
        <fgColor indexed="41"/>
      </patternFill>
    </fill>
    <fill>
      <patternFill patternType="solid">
        <fgColor indexed="44"/>
      </patternFill>
    </fill>
    <fill>
      <patternFill patternType="solid">
        <fgColor indexed="49"/>
      </patternFill>
    </fill>
    <fill>
      <patternFill patternType="solid">
        <fgColor indexed="22"/>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theme="0" tint="-4.9989318521683403E-2"/>
        <bgColor indexed="64"/>
      </patternFill>
    </fill>
    <fill>
      <patternFill patternType="solid">
        <fgColor rgb="FF00355F"/>
        <bgColor indexed="64"/>
      </patternFill>
    </fill>
    <fill>
      <patternFill patternType="solid">
        <fgColor rgb="FFD5ECFF"/>
        <bgColor indexed="64"/>
      </patternFill>
    </fill>
    <fill>
      <patternFill patternType="solid">
        <fgColor theme="6" tint="0.59996337778862885"/>
        <bgColor indexed="64"/>
      </patternFill>
    </fill>
    <fill>
      <patternFill patternType="solid">
        <fgColor rgb="FFFFFFCC"/>
        <bgColor indexed="64"/>
      </patternFill>
    </fill>
    <fill>
      <patternFill patternType="solid">
        <fgColor theme="6" tint="0.79998168889431442"/>
        <bgColor indexed="64"/>
      </patternFill>
    </fill>
    <fill>
      <patternFill patternType="solid">
        <fgColor theme="4" tint="0.89999084444715716"/>
        <bgColor indexed="64"/>
      </patternFill>
    </fill>
    <fill>
      <patternFill patternType="solid">
        <fgColor indexed="11"/>
        <bgColor indexed="64"/>
      </patternFill>
    </fill>
    <fill>
      <patternFill patternType="solid">
        <fgColor indexed="22"/>
        <bgColor indexed="64"/>
      </patternFill>
    </fill>
    <fill>
      <patternFill patternType="solid">
        <fgColor indexed="15"/>
        <bgColor indexed="64"/>
      </patternFill>
    </fill>
    <fill>
      <patternFill patternType="gray0625">
        <fgColor indexed="13"/>
        <bgColor indexed="9"/>
      </patternFill>
    </fill>
    <fill>
      <patternFill patternType="gray0625">
        <fgColor indexed="22"/>
      </patternFill>
    </fill>
    <fill>
      <patternFill patternType="solid">
        <fgColor indexed="16"/>
        <bgColor indexed="64"/>
      </patternFill>
    </fill>
    <fill>
      <patternFill patternType="solid">
        <fgColor indexed="27"/>
        <bgColor indexed="64"/>
      </patternFill>
    </fill>
    <fill>
      <patternFill patternType="solid">
        <fgColor rgb="FF002060"/>
        <bgColor indexed="64"/>
      </patternFill>
    </fill>
  </fills>
  <borders count="143">
    <border>
      <left/>
      <right/>
      <top/>
      <bottom/>
      <diagonal/>
    </border>
    <border>
      <left/>
      <right/>
      <top/>
      <bottom style="thick">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indexed="64"/>
      </top>
      <bottom/>
      <diagonal/>
    </border>
    <border>
      <left/>
      <right/>
      <top style="thin">
        <color indexed="64"/>
      </top>
      <bottom style="thin">
        <color indexed="64"/>
      </bottom>
      <diagonal/>
    </border>
    <border>
      <left/>
      <right/>
      <top style="thin">
        <color indexed="8"/>
      </top>
      <bottom style="thin">
        <color indexed="8"/>
      </bottom>
      <diagonal/>
    </border>
    <border>
      <left/>
      <right style="thin">
        <color indexed="8"/>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theme="1"/>
      </top>
      <bottom style="thin">
        <color theme="1"/>
      </bottom>
      <diagonal/>
    </border>
    <border>
      <left/>
      <right/>
      <top/>
      <bottom style="medium">
        <color indexed="64"/>
      </bottom>
      <diagonal/>
    </border>
    <border>
      <left/>
      <right/>
      <top style="medium">
        <color indexed="64"/>
      </top>
      <bottom style="medium">
        <color indexed="64"/>
      </bottom>
      <diagonal/>
    </border>
    <border>
      <left/>
      <right/>
      <top/>
      <bottom style="thin">
        <color indexed="8"/>
      </bottom>
      <diagonal/>
    </border>
    <border>
      <left style="thin">
        <color indexed="9"/>
      </left>
      <right style="thin">
        <color indexed="9"/>
      </right>
      <top style="thin">
        <color indexed="9"/>
      </top>
      <bottom style="thin">
        <color indexed="9"/>
      </bottom>
      <diagonal/>
    </border>
    <border>
      <left style="medium">
        <color indexed="9"/>
      </left>
      <right style="medium">
        <color indexed="9"/>
      </right>
      <top style="medium">
        <color indexed="9"/>
      </top>
      <bottom style="medium">
        <color indexed="9"/>
      </bottom>
      <diagonal/>
    </border>
    <border>
      <left/>
      <right style="medium">
        <color indexed="9"/>
      </right>
      <top/>
      <bottom style="medium">
        <color indexed="9"/>
      </bottom>
      <diagonal/>
    </border>
    <border>
      <left/>
      <right/>
      <top/>
      <bottom style="thin">
        <color indexed="44"/>
      </bottom>
      <diagonal/>
    </border>
    <border>
      <left style="hair">
        <color indexed="64"/>
      </left>
      <right style="hair">
        <color indexed="64"/>
      </right>
      <top style="hair">
        <color indexed="64"/>
      </top>
      <bottom style="hair">
        <color indexed="64"/>
      </bottom>
      <diagonal/>
    </border>
    <border>
      <left/>
      <right/>
      <top/>
      <bottom style="dotted">
        <color indexed="64"/>
      </bottom>
      <diagonal/>
    </border>
    <border>
      <left style="thin">
        <color indexed="9"/>
      </left>
      <right style="thin">
        <color indexed="9"/>
      </right>
      <top/>
      <bottom/>
      <diagonal/>
    </border>
    <border>
      <left style="medium">
        <color indexed="64"/>
      </left>
      <right style="thin">
        <color indexed="64"/>
      </right>
      <top style="thin">
        <color indexed="64"/>
      </top>
      <bottom/>
      <diagonal/>
    </border>
    <border>
      <left/>
      <right/>
      <top style="medium">
        <color indexed="23"/>
      </top>
      <bottom style="medium">
        <color indexed="23"/>
      </bottom>
      <diagonal/>
    </border>
    <border>
      <left style="medium">
        <color indexed="9"/>
      </left>
      <right style="medium">
        <color indexed="49"/>
      </right>
      <top/>
      <bottom/>
      <diagonal/>
    </border>
    <border>
      <left/>
      <right/>
      <top style="thin">
        <color indexed="8"/>
      </top>
      <bottom style="thin">
        <color indexed="8"/>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diagonal/>
    </border>
    <border>
      <left/>
      <right/>
      <top/>
      <bottom style="thin">
        <color auto="1"/>
      </bottom>
      <diagonal/>
    </border>
    <border>
      <left/>
      <right/>
      <top style="thin">
        <color indexed="64"/>
      </top>
      <bottom style="thin">
        <color indexed="64"/>
      </bottom>
      <diagonal/>
    </border>
    <border>
      <left/>
      <right style="thin">
        <color indexed="8"/>
      </right>
      <top style="thin">
        <color indexed="8"/>
      </top>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top style="thin">
        <color auto="1"/>
      </top>
      <bottom style="thin">
        <color indexed="64"/>
      </bottom>
      <diagonal/>
    </border>
    <border>
      <left/>
      <right/>
      <top style="thin">
        <color indexed="8"/>
      </top>
      <bottom style="thin">
        <color indexed="8"/>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thin">
        <color indexed="8"/>
      </right>
      <top style="thin">
        <color indexed="8"/>
      </top>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top style="thin">
        <color auto="1"/>
      </top>
      <bottom style="thin">
        <color indexed="64"/>
      </bottom>
      <diagonal/>
    </border>
    <border>
      <left/>
      <right/>
      <top style="thin">
        <color theme="1"/>
      </top>
      <bottom style="thin">
        <color indexed="64"/>
      </bottom>
      <diagonal/>
    </border>
    <border>
      <left style="thin">
        <color indexed="64"/>
      </left>
      <right/>
      <top/>
      <bottom/>
      <diagonal/>
    </border>
    <border>
      <left style="thin">
        <color indexed="64"/>
      </left>
      <right/>
      <top style="thin">
        <color theme="1"/>
      </top>
      <bottom style="thin">
        <color theme="1"/>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theme="1"/>
      </top>
      <bottom style="thin">
        <color theme="1"/>
      </bottom>
      <diagonal/>
    </border>
    <border>
      <left/>
      <right style="thin">
        <color indexed="64"/>
      </right>
      <top style="thin">
        <color theme="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auto="1"/>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4"/>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9"/>
      </left>
      <right style="thin">
        <color indexed="9"/>
      </right>
      <top style="thin">
        <color indexed="9"/>
      </top>
      <bottom style="thin">
        <color indexed="9"/>
      </bottom>
      <diagonal/>
    </border>
    <border>
      <left/>
      <right/>
      <top style="thin">
        <color indexed="64"/>
      </top>
      <bottom style="thin">
        <color indexed="64"/>
      </bottom>
      <diagonal/>
    </border>
    <border>
      <left/>
      <right/>
      <top style="thin">
        <color indexed="8"/>
      </top>
      <bottom style="thin">
        <color indexed="8"/>
      </bottom>
      <diagonal/>
    </border>
    <border>
      <left/>
      <right style="thin">
        <color indexed="8"/>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9"/>
      </left>
      <right style="thin">
        <color indexed="9"/>
      </right>
      <top style="thin">
        <color indexed="9"/>
      </top>
      <bottom style="thin">
        <color indexed="9"/>
      </bottom>
      <diagonal/>
    </border>
    <border>
      <left style="medium">
        <color indexed="64"/>
      </left>
      <right style="thin">
        <color indexed="64"/>
      </right>
      <top style="thin">
        <color indexed="64"/>
      </top>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indexed="64"/>
      </top>
      <bottom/>
      <diagonal/>
    </border>
    <border>
      <left/>
      <right/>
      <top style="thin">
        <color indexed="8"/>
      </top>
      <bottom style="thin">
        <color indexed="8"/>
      </bottom>
      <diagonal/>
    </border>
    <border>
      <left/>
      <right style="thin">
        <color indexed="8"/>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9"/>
      </left>
      <right style="thin">
        <color indexed="9"/>
      </right>
      <top style="thin">
        <color indexed="9"/>
      </top>
      <bottom style="thin">
        <color indexed="9"/>
      </bottom>
      <diagonal/>
    </border>
  </borders>
  <cellStyleXfs count="5202">
    <xf numFmtId="0" fontId="0" fillId="0" borderId="0"/>
    <xf numFmtId="0" fontId="5" fillId="0" borderId="0"/>
    <xf numFmtId="170" fontId="7" fillId="2" borderId="0" applyNumberFormat="0" applyFont="0" applyBorder="0" applyAlignment="0">
      <protection locked="0"/>
    </xf>
    <xf numFmtId="1" fontId="8" fillId="0" borderId="0"/>
    <xf numFmtId="171" fontId="8" fillId="0" borderId="0"/>
    <xf numFmtId="172" fontId="8" fillId="0" borderId="0"/>
    <xf numFmtId="171" fontId="8" fillId="0" borderId="0"/>
    <xf numFmtId="2" fontId="8" fillId="0" borderId="0"/>
    <xf numFmtId="10" fontId="8" fillId="0" borderId="0"/>
    <xf numFmtId="2" fontId="8" fillId="0" borderId="0"/>
    <xf numFmtId="1" fontId="8" fillId="0" borderId="0"/>
    <xf numFmtId="1" fontId="8" fillId="0" borderId="0"/>
    <xf numFmtId="1" fontId="8" fillId="0" borderId="0"/>
    <xf numFmtId="1" fontId="8" fillId="0" borderId="0"/>
    <xf numFmtId="1" fontId="8" fillId="0" borderId="0"/>
    <xf numFmtId="0" fontId="5" fillId="0" borderId="1" applyNumberFormat="0" applyFont="0" applyFill="0" applyBorder="0" applyAlignment="0">
      <alignment horizontal="left"/>
    </xf>
    <xf numFmtId="0" fontId="5" fillId="0" borderId="1" applyNumberFormat="0" applyFont="0" applyFill="0" applyBorder="0" applyAlignment="0">
      <alignment horizontal="left"/>
    </xf>
    <xf numFmtId="173" fontId="9" fillId="0" borderId="1" applyNumberFormat="0" applyFont="0" applyFill="0" applyBorder="0" applyAlignment="0"/>
    <xf numFmtId="0" fontId="10" fillId="0" borderId="0" applyNumberFormat="0" applyFill="0" applyBorder="0" applyAlignment="0" applyProtection="0"/>
    <xf numFmtId="0" fontId="8" fillId="0" borderId="0">
      <alignment horizontal="center" wrapText="1"/>
      <protection hidden="1"/>
    </xf>
    <xf numFmtId="168" fontId="5" fillId="0" borderId="0" applyFont="0" applyFill="0" applyBorder="0" applyAlignment="0" applyProtection="0"/>
    <xf numFmtId="3" fontId="5" fillId="0" borderId="0" applyFont="0" applyFill="0" applyBorder="0" applyAlignment="0" applyProtection="0"/>
    <xf numFmtId="3" fontId="5" fillId="0" borderId="0" applyFont="0" applyFill="0" applyBorder="0" applyAlignment="0" applyProtection="0"/>
    <xf numFmtId="0" fontId="11" fillId="3" borderId="0">
      <alignment horizontal="center" vertical="center" wrapText="1"/>
    </xf>
    <xf numFmtId="174" fontId="8" fillId="0" borderId="0" applyFill="0" applyBorder="0">
      <alignment horizontal="right"/>
      <protection locked="0"/>
    </xf>
    <xf numFmtId="165" fontId="12" fillId="0" borderId="2" applyBorder="0"/>
    <xf numFmtId="175" fontId="5" fillId="0" borderId="0" applyFont="0" applyFill="0" applyBorder="0" applyAlignment="0" applyProtection="0"/>
    <xf numFmtId="17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13" fillId="0" borderId="0"/>
    <xf numFmtId="2" fontId="5" fillId="0" borderId="0" applyFont="0" applyFill="0" applyBorder="0" applyAlignment="0" applyProtection="0"/>
    <xf numFmtId="2" fontId="5" fillId="0" borderId="0" applyFont="0" applyFill="0" applyBorder="0" applyAlignment="0" applyProtection="0"/>
    <xf numFmtId="0" fontId="5" fillId="0" borderId="0" applyNumberFormat="0" applyFill="0" applyBorder="0" applyAlignment="0" applyProtection="0">
      <alignment horizontal="left"/>
    </xf>
    <xf numFmtId="0" fontId="5" fillId="0" borderId="0" applyNumberFormat="0" applyFill="0" applyBorder="0" applyAlignment="0" applyProtection="0">
      <alignment horizontal="left"/>
    </xf>
    <xf numFmtId="0" fontId="5" fillId="0" borderId="1" applyNumberFormat="0" applyFill="0" applyBorder="0" applyAlignment="0" applyProtection="0">
      <alignment horizontal="left"/>
    </xf>
    <xf numFmtId="0" fontId="5" fillId="0" borderId="1" applyNumberFormat="0" applyFill="0" applyBorder="0" applyAlignment="0" applyProtection="0">
      <alignment horizontal="left"/>
    </xf>
    <xf numFmtId="0" fontId="8" fillId="0" borderId="0" applyFill="0" applyBorder="0">
      <alignment horizontal="right"/>
      <protection locked="0"/>
    </xf>
    <xf numFmtId="173" fontId="14" fillId="4" borderId="3" applyNumberFormat="0" applyAlignment="0">
      <alignment horizontal="right"/>
    </xf>
    <xf numFmtId="173" fontId="15" fillId="4" borderId="3" applyNumberFormat="0" applyAlignment="0">
      <alignment horizontal="right"/>
    </xf>
    <xf numFmtId="177" fontId="8" fillId="0" borderId="0" applyFill="0" applyBorder="0">
      <alignment horizontal="right"/>
      <protection locked="0"/>
    </xf>
    <xf numFmtId="0" fontId="16" fillId="5" borderId="4">
      <alignment horizontal="left" vertical="center" wrapText="1"/>
    </xf>
    <xf numFmtId="37" fontId="12" fillId="0" borderId="0"/>
    <xf numFmtId="38" fontId="17" fillId="0" borderId="0"/>
    <xf numFmtId="178" fontId="18" fillId="0" borderId="0"/>
    <xf numFmtId="9" fontId="5" fillId="0" borderId="0" applyFont="0" applyFill="0" applyBorder="0" applyAlignment="0" applyProtection="0"/>
    <xf numFmtId="179" fontId="8" fillId="0" borderId="0" applyFill="0" applyBorder="0">
      <alignment horizontal="right"/>
      <protection locked="0"/>
    </xf>
    <xf numFmtId="180" fontId="15" fillId="6" borderId="3">
      <alignment horizontal="right"/>
    </xf>
    <xf numFmtId="181" fontId="8" fillId="0" borderId="0">
      <alignment horizontal="right"/>
      <protection locked="0"/>
    </xf>
    <xf numFmtId="182" fontId="19" fillId="0" borderId="5" applyNumberFormat="0" applyFont="0" applyFill="0" applyBorder="0" applyAlignment="0" applyProtection="0">
      <alignment horizontal="right" vertical="center"/>
      <protection locked="0"/>
    </xf>
    <xf numFmtId="183" fontId="20" fillId="0" borderId="0" applyFill="0" applyBorder="0">
      <alignment horizontal="right"/>
      <protection hidden="1"/>
    </xf>
    <xf numFmtId="0" fontId="21" fillId="3" borderId="3">
      <alignment horizontal="center" vertical="center" wrapText="1"/>
      <protection hidden="1"/>
    </xf>
    <xf numFmtId="0" fontId="22" fillId="0" borderId="0" applyNumberFormat="0" applyFill="0" applyBorder="0" applyAlignment="0" applyProtection="0">
      <alignment horizontal="left"/>
    </xf>
    <xf numFmtId="0" fontId="8" fillId="0" borderId="0" applyBorder="0"/>
    <xf numFmtId="0" fontId="23" fillId="7" borderId="0" applyNumberFormat="0" applyProtection="0">
      <alignment horizontal="left"/>
    </xf>
    <xf numFmtId="173" fontId="14" fillId="8" borderId="3" applyNumberFormat="0" applyAlignment="0">
      <alignment horizontal="right"/>
    </xf>
    <xf numFmtId="173" fontId="15" fillId="8" borderId="3" applyNumberFormat="0" applyAlignment="0">
      <alignment horizontal="right"/>
    </xf>
    <xf numFmtId="0" fontId="24" fillId="0" borderId="0"/>
    <xf numFmtId="186" fontId="35" fillId="0" borderId="0" applyFont="0" applyFill="0" applyBorder="0" applyAlignment="0" applyProtection="0"/>
    <xf numFmtId="187" fontId="35" fillId="0" borderId="0" applyFont="0" applyFill="0" applyBorder="0" applyAlignment="0" applyProtection="0"/>
    <xf numFmtId="188" fontId="3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35" fillId="0" borderId="0" applyFont="0" applyFill="0" applyBorder="0" applyAlignment="0" applyProtection="0"/>
    <xf numFmtId="188" fontId="35" fillId="0" borderId="0" applyFont="0" applyFill="0" applyBorder="0" applyAlignment="0" applyProtection="0"/>
    <xf numFmtId="188" fontId="35" fillId="0" borderId="0" applyFont="0" applyFill="0" applyBorder="0" applyAlignment="0" applyProtection="0"/>
    <xf numFmtId="188" fontId="36"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16"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3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3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3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3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36"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16"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3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35" fillId="0" borderId="0" applyFont="0" applyFill="0" applyBorder="0" applyAlignment="0" applyProtection="0"/>
    <xf numFmtId="191" fontId="35" fillId="0" borderId="0" applyFont="0" applyFill="0" applyBorder="0" applyAlignment="0" applyProtection="0"/>
    <xf numFmtId="191" fontId="35" fillId="0" borderId="0" applyFont="0" applyFill="0" applyBorder="0" applyAlignment="0" applyProtection="0"/>
    <xf numFmtId="190" fontId="5" fillId="0" borderId="0" applyFont="0" applyFill="0" applyBorder="0" applyAlignment="0" applyProtection="0"/>
    <xf numFmtId="191" fontId="35" fillId="0" borderId="0" applyFont="0" applyFill="0" applyBorder="0" applyAlignment="0" applyProtection="0"/>
    <xf numFmtId="190" fontId="5" fillId="0" borderId="0" applyFont="0" applyFill="0" applyBorder="0" applyAlignment="0" applyProtection="0"/>
    <xf numFmtId="191" fontId="3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36"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16"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3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35" fillId="0" borderId="0" applyFont="0" applyFill="0" applyBorder="0" applyAlignment="0" applyProtection="0"/>
    <xf numFmtId="192" fontId="35" fillId="0" borderId="0" applyFont="0" applyFill="0" applyBorder="0" applyAlignment="0" applyProtection="0"/>
    <xf numFmtId="192" fontId="35" fillId="0" borderId="0" applyFont="0" applyFill="0" applyBorder="0" applyAlignment="0" applyProtection="0"/>
    <xf numFmtId="39" fontId="5" fillId="0" borderId="0" applyFont="0" applyFill="0" applyBorder="0" applyAlignment="0" applyProtection="0"/>
    <xf numFmtId="192" fontId="35" fillId="0" borderId="0" applyFont="0" applyFill="0" applyBorder="0" applyAlignment="0" applyProtection="0"/>
    <xf numFmtId="39" fontId="5" fillId="0" borderId="0" applyFont="0" applyFill="0" applyBorder="0" applyAlignment="0" applyProtection="0"/>
    <xf numFmtId="192" fontId="3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0" fontId="5" fillId="0" borderId="0" applyFont="0" applyFill="0" applyBorder="0" applyAlignment="0" applyProtection="0"/>
    <xf numFmtId="193" fontId="35"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5" fillId="17" borderId="0" applyNumberFormat="0" applyFont="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36"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16"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3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35" fillId="0" borderId="0" applyFont="0" applyFill="0" applyBorder="0" applyAlignment="0" applyProtection="0"/>
    <xf numFmtId="195" fontId="35" fillId="0" borderId="0" applyFont="0" applyFill="0" applyBorder="0" applyAlignment="0" applyProtection="0"/>
    <xf numFmtId="195" fontId="35" fillId="0" borderId="0" applyFont="0" applyFill="0" applyBorder="0" applyAlignment="0" applyProtection="0"/>
    <xf numFmtId="194" fontId="5" fillId="0" borderId="0" applyFont="0" applyFill="0" applyBorder="0" applyAlignment="0" applyProtection="0"/>
    <xf numFmtId="195" fontId="35" fillId="0" borderId="0" applyFont="0" applyFill="0" applyBorder="0" applyAlignment="0" applyProtection="0"/>
    <xf numFmtId="194" fontId="5" fillId="0" borderId="0" applyFont="0" applyFill="0" applyBorder="0" applyAlignment="0" applyProtection="0"/>
    <xf numFmtId="195" fontId="3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8" fontId="36" fillId="0" borderId="0" applyFont="0" applyFill="0" applyBorder="0" applyProtection="0">
      <alignment horizontal="right"/>
    </xf>
    <xf numFmtId="197" fontId="5" fillId="0" borderId="0" applyFont="0" applyFill="0" applyBorder="0" applyAlignment="0" applyProtection="0"/>
    <xf numFmtId="198" fontId="5" fillId="0" borderId="0" applyFont="0" applyFill="0" applyBorder="0" applyProtection="0">
      <alignment horizontal="right"/>
    </xf>
    <xf numFmtId="197" fontId="5" fillId="0" borderId="0" applyFont="0" applyFill="0" applyBorder="0" applyAlignment="0" applyProtection="0"/>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16" fillId="0" borderId="0" applyFont="0" applyFill="0" applyBorder="0" applyProtection="0">
      <alignment horizontal="right"/>
    </xf>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35" fillId="0" borderId="0" applyFont="0" applyFill="0" applyBorder="0" applyProtection="0">
      <alignment horizontal="right"/>
    </xf>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35" fillId="0" borderId="0" applyFont="0" applyFill="0" applyBorder="0" applyProtection="0">
      <alignment horizontal="right"/>
    </xf>
    <xf numFmtId="198" fontId="35" fillId="0" borderId="0" applyFont="0" applyFill="0" applyBorder="0" applyProtection="0">
      <alignment horizontal="right"/>
    </xf>
    <xf numFmtId="198" fontId="35" fillId="0" borderId="0" applyFont="0" applyFill="0" applyBorder="0" applyProtection="0">
      <alignment horizontal="right"/>
    </xf>
    <xf numFmtId="197" fontId="5" fillId="0" borderId="0" applyFont="0" applyFill="0" applyBorder="0" applyAlignment="0" applyProtection="0"/>
    <xf numFmtId="198" fontId="35" fillId="0" borderId="0" applyFont="0" applyFill="0" applyBorder="0" applyProtection="0">
      <alignment horizontal="right"/>
    </xf>
    <xf numFmtId="197" fontId="5" fillId="0" borderId="0" applyFont="0" applyFill="0" applyBorder="0" applyAlignment="0" applyProtection="0"/>
    <xf numFmtId="198" fontId="35" fillId="0" borderId="0" applyFont="0" applyFill="0" applyBorder="0" applyProtection="0">
      <alignment horizontal="right"/>
    </xf>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200" fontId="5" fillId="0" borderId="0" applyFont="0" applyFill="0" applyBorder="0" applyAlignment="0" applyProtection="0"/>
    <xf numFmtId="186" fontId="5" fillId="0" borderId="0" applyFont="0" applyFill="0" applyBorder="0" applyProtection="0">
      <alignment horizontal="right"/>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01" fontId="5" fillId="0" borderId="0" applyFont="0" applyFill="0" applyBorder="0" applyAlignment="0" applyProtection="0"/>
    <xf numFmtId="187" fontId="5" fillId="0" borderId="0" applyFont="0" applyFill="0" applyBorder="0" applyProtection="0">
      <alignment horizontal="right"/>
    </xf>
    <xf numFmtId="187" fontId="5" fillId="0" borderId="0" applyFont="0" applyFill="0" applyBorder="0" applyProtection="0">
      <alignment horizontal="right"/>
    </xf>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Alignment="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9" fillId="0" borderId="14" applyNumberFormat="0" applyFill="0" applyAlignment="0" applyProtection="0"/>
    <xf numFmtId="0" fontId="39" fillId="0" borderId="14" applyNumberFormat="0" applyFill="0" applyAlignment="0" applyProtection="0"/>
    <xf numFmtId="0" fontId="39" fillId="0" borderId="15"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40" fillId="0" borderId="16" applyNumberFormat="0" applyFill="0" applyProtection="0">
      <alignment horizontal="center"/>
    </xf>
    <xf numFmtId="0" fontId="40" fillId="0" borderId="0" applyNumberFormat="0" applyFill="0" applyBorder="0" applyProtection="0">
      <alignment horizontal="left"/>
    </xf>
    <xf numFmtId="0" fontId="41" fillId="0" borderId="0" applyNumberFormat="0" applyFill="0" applyBorder="0" applyProtection="0">
      <alignment horizontal="centerContinuous"/>
    </xf>
    <xf numFmtId="0" fontId="41" fillId="0" borderId="0" applyNumberFormat="0" applyFill="0" applyBorder="0" applyProtection="0">
      <alignment horizontal="centerContinuous"/>
    </xf>
    <xf numFmtId="0" fontId="41" fillId="0" borderId="0" applyNumberFormat="0" applyFill="0" applyProtection="0">
      <alignment horizontal="centerContinuous"/>
    </xf>
    <xf numFmtId="0" fontId="41" fillId="0" borderId="0" applyNumberFormat="0" applyFill="0" applyBorder="0" applyProtection="0">
      <alignment horizontal="centerContinuous"/>
    </xf>
    <xf numFmtId="0" fontId="41" fillId="0" borderId="0" applyNumberFormat="0" applyFill="0" applyBorder="0" applyProtection="0">
      <alignment horizontal="centerContinuous"/>
    </xf>
    <xf numFmtId="176" fontId="42" fillId="18" borderId="0" applyNumberFormat="0" applyFont="0" applyBorder="0" applyAlignment="0">
      <alignment horizontal="right"/>
    </xf>
    <xf numFmtId="202" fontId="43" fillId="18" borderId="8" applyFont="0">
      <alignment horizontal="right"/>
    </xf>
    <xf numFmtId="0" fontId="26" fillId="0" borderId="0" applyNumberFormat="0" applyFill="0" applyBorder="0" applyAlignment="0" applyProtection="0"/>
    <xf numFmtId="0" fontId="44" fillId="0" borderId="0"/>
    <xf numFmtId="2" fontId="45" fillId="0" borderId="0" applyNumberFormat="0" applyBorder="0" applyAlignment="0"/>
    <xf numFmtId="180" fontId="46" fillId="0" borderId="0"/>
    <xf numFmtId="0" fontId="47" fillId="0" borderId="0" applyNumberFormat="0" applyFill="0" applyBorder="0" applyAlignment="0"/>
    <xf numFmtId="0" fontId="12" fillId="0" borderId="0" applyNumberFormat="0" applyFill="0" applyBorder="0" applyAlignment="0" applyProtection="0"/>
    <xf numFmtId="0" fontId="25" fillId="19" borderId="17">
      <alignment horizontal="center"/>
    </xf>
    <xf numFmtId="2" fontId="26" fillId="20" borderId="0" applyNumberFormat="0" applyFont="0" applyBorder="0" applyAlignment="0" applyProtection="0"/>
    <xf numFmtId="203" fontId="26" fillId="21" borderId="0" applyNumberFormat="0" applyFont="0" applyBorder="0" applyAlignment="0">
      <protection locked="0"/>
    </xf>
    <xf numFmtId="0" fontId="26" fillId="0" borderId="0" applyNumberFormat="0" applyFill="0" applyBorder="0" applyAlignment="0" applyProtection="0"/>
    <xf numFmtId="0" fontId="29" fillId="0" borderId="0" applyNumberFormat="0" applyFill="0" applyBorder="0" applyAlignment="0" applyProtection="0"/>
    <xf numFmtId="0" fontId="26" fillId="0" borderId="0" applyNumberFormat="0" applyFill="0" applyBorder="0" applyAlignment="0" applyProtection="0"/>
    <xf numFmtId="203" fontId="48" fillId="0" borderId="0" applyNumberFormat="0" applyFill="0" applyBorder="0" applyProtection="0">
      <alignment horizontal="right"/>
    </xf>
    <xf numFmtId="0" fontId="49" fillId="0" borderId="0" applyNumberFormat="0" applyFill="0" applyBorder="0">
      <alignment horizontal="right"/>
    </xf>
    <xf numFmtId="38" fontId="50" fillId="0" borderId="0" applyNumberFormat="0" applyFill="0" applyBorder="0">
      <alignment vertical="center"/>
    </xf>
    <xf numFmtId="167" fontId="51" fillId="0" borderId="18">
      <protection locked="0"/>
    </xf>
    <xf numFmtId="0" fontId="31" fillId="0" borderId="0"/>
    <xf numFmtId="204" fontId="9" fillId="0" borderId="0" applyFont="0" applyFill="0" applyBorder="0" applyAlignment="0" applyProtection="0">
      <alignment horizontal="right"/>
    </xf>
    <xf numFmtId="0" fontId="45" fillId="0" borderId="0" applyNumberFormat="0" applyAlignment="0"/>
    <xf numFmtId="205" fontId="26" fillId="22" borderId="7" applyNumberFormat="0" applyFont="0" applyBorder="0" applyAlignment="0" applyProtection="0">
      <alignment horizontal="right"/>
    </xf>
    <xf numFmtId="172" fontId="52" fillId="0" borderId="0" applyNumberFormat="0" applyFont="0" applyAlignment="0">
      <alignment vertical="center"/>
    </xf>
    <xf numFmtId="0" fontId="33" fillId="0" borderId="0" applyNumberFormat="0" applyFill="0" applyBorder="0" applyAlignment="0" applyProtection="0"/>
    <xf numFmtId="1" fontId="26" fillId="0" borderId="0" applyNumberFormat="0" applyBorder="0" applyAlignment="0" applyProtection="0"/>
    <xf numFmtId="206" fontId="53" fillId="0" borderId="0">
      <alignment vertical="center"/>
    </xf>
    <xf numFmtId="49" fontId="33" fillId="0" borderId="0">
      <alignment horizontal="right"/>
    </xf>
    <xf numFmtId="49" fontId="54" fillId="0" borderId="0">
      <alignment horizontal="right"/>
    </xf>
    <xf numFmtId="206" fontId="55" fillId="0" borderId="0">
      <alignment vertical="center"/>
    </xf>
    <xf numFmtId="172" fontId="56" fillId="0" borderId="0" applyNumberFormat="0" applyFill="0" applyBorder="0">
      <alignment horizontal="left" vertical="center"/>
    </xf>
    <xf numFmtId="0" fontId="8" fillId="23" borderId="0" applyNumberFormat="0" applyFont="0" applyBorder="0" applyAlignment="0" applyProtection="0"/>
    <xf numFmtId="207" fontId="5" fillId="0" borderId="0" applyNumberFormat="0" applyFill="0" applyBorder="0" applyAlignment="0" applyProtection="0"/>
    <xf numFmtId="0" fontId="57" fillId="0" borderId="0"/>
    <xf numFmtId="0" fontId="58" fillId="0" borderId="0"/>
    <xf numFmtId="38" fontId="59" fillId="0" borderId="0" applyNumberFormat="0" applyFill="0" applyBorder="0">
      <alignment horizontal="left" vertical="center"/>
    </xf>
    <xf numFmtId="172" fontId="60" fillId="0" borderId="0" applyFill="0" applyBorder="0">
      <alignment vertical="center"/>
    </xf>
    <xf numFmtId="0" fontId="61" fillId="14" borderId="0"/>
    <xf numFmtId="208" fontId="5" fillId="0" borderId="0" applyFont="0" applyFill="0" applyBorder="0" applyAlignment="0" applyProtection="0"/>
    <xf numFmtId="203" fontId="62" fillId="0" borderId="0"/>
    <xf numFmtId="0" fontId="34" fillId="0" borderId="0"/>
    <xf numFmtId="2" fontId="8" fillId="0" borderId="0" applyBorder="0" applyProtection="0"/>
    <xf numFmtId="0" fontId="5" fillId="0" borderId="0"/>
    <xf numFmtId="0" fontId="26" fillId="0" borderId="0" applyNumberFormat="0" applyFill="0" applyBorder="0" applyAlignment="0" applyProtection="0"/>
    <xf numFmtId="0" fontId="28" fillId="0" borderId="0" applyNumberFormat="0" applyFill="0" applyBorder="0" applyAlignment="0" applyProtection="0"/>
    <xf numFmtId="207" fontId="5" fillId="0" borderId="0" applyNumberFormat="0" applyFill="0" applyBorder="0" applyAlignment="0" applyProtection="0"/>
    <xf numFmtId="0" fontId="28" fillId="0" borderId="0" applyNumberFormat="0" applyFill="0" applyBorder="0" applyAlignment="0" applyProtection="0"/>
    <xf numFmtId="0" fontId="59" fillId="0" borderId="0" applyNumberFormat="0" applyFill="0" applyBorder="0" applyAlignment="0" applyProtection="0"/>
    <xf numFmtId="0" fontId="26" fillId="0" borderId="0" applyNumberFormat="0" applyFill="0" applyBorder="0" applyAlignment="0" applyProtection="0"/>
    <xf numFmtId="0" fontId="63" fillId="0" borderId="0">
      <alignment horizontal="left" vertical="top"/>
      <protection locked="0"/>
    </xf>
    <xf numFmtId="209" fontId="5" fillId="0" borderId="0" applyFill="0">
      <alignment horizontal="center" vertical="center"/>
    </xf>
    <xf numFmtId="0" fontId="64" fillId="0" borderId="0" applyNumberFormat="0" applyFill="0" applyBorder="0">
      <alignment horizontal="left"/>
    </xf>
    <xf numFmtId="210" fontId="5" fillId="0" borderId="0"/>
    <xf numFmtId="166" fontId="65" fillId="0" borderId="0" applyFont="0" applyFill="0" applyBorder="0" applyAlignment="0" applyProtection="0"/>
    <xf numFmtId="0" fontId="66" fillId="0" borderId="0" applyNumberFormat="0" applyAlignment="0"/>
    <xf numFmtId="180" fontId="5" fillId="0" borderId="0" applyFill="0" applyBorder="0" applyAlignment="0" applyProtection="0"/>
    <xf numFmtId="189" fontId="67" fillId="0" borderId="0">
      <alignment vertical="top"/>
    </xf>
    <xf numFmtId="171" fontId="8" fillId="24" borderId="13" applyNumberFormat="0" applyFont="0" applyBorder="0" applyAlignment="0" applyProtection="0">
      <alignment horizontal="center"/>
    </xf>
    <xf numFmtId="37" fontId="68" fillId="1" borderId="0">
      <alignment horizontal="right"/>
    </xf>
    <xf numFmtId="1" fontId="69" fillId="25" borderId="0" applyNumberFormat="0" applyFont="0" applyBorder="0" applyAlignment="0">
      <alignment horizontal="left"/>
    </xf>
    <xf numFmtId="2" fontId="70" fillId="0" borderId="0"/>
    <xf numFmtId="1" fontId="5" fillId="0" borderId="0"/>
    <xf numFmtId="0" fontId="5" fillId="0" borderId="0" applyFont="0" applyFill="0" applyBorder="0" applyAlignment="0" applyProtection="0"/>
    <xf numFmtId="0" fontId="5" fillId="0" borderId="0">
      <alignment vertical="top"/>
    </xf>
    <xf numFmtId="0" fontId="5" fillId="0" borderId="0">
      <alignment vertical="top"/>
    </xf>
    <xf numFmtId="211" fontId="71" fillId="0" borderId="0" applyNumberFormat="0" applyFill="0" applyBorder="0" applyAlignment="0" applyProtection="0">
      <alignment horizontal="right" vertical="center" wrapText="1"/>
    </xf>
    <xf numFmtId="0" fontId="72" fillId="0" borderId="0" applyNumberFormat="0" applyFill="0" applyBorder="0" applyAlignment="0" applyProtection="0"/>
    <xf numFmtId="0" fontId="73" fillId="0" borderId="0" applyNumberFormat="0" applyFill="0" applyBorder="0" applyAlignment="0" applyProtection="0">
      <protection locked="0"/>
    </xf>
    <xf numFmtId="0" fontId="74" fillId="0" borderId="7" applyNumberFormat="0" applyFill="0" applyProtection="0">
      <alignment horizontal="right"/>
    </xf>
    <xf numFmtId="165" fontId="59" fillId="0" borderId="19" applyFill="0">
      <alignment vertical="center"/>
    </xf>
    <xf numFmtId="212" fontId="26" fillId="0" borderId="0"/>
    <xf numFmtId="39" fontId="30" fillId="0" borderId="8" applyNumberFormat="0" applyBorder="0">
      <alignment horizontal="right"/>
    </xf>
    <xf numFmtId="0" fontId="74" fillId="0" borderId="5" applyNumberFormat="0" applyProtection="0">
      <alignment horizontal="right"/>
    </xf>
    <xf numFmtId="0" fontId="75" fillId="0" borderId="6" applyNumberFormat="0" applyFill="0" applyProtection="0"/>
    <xf numFmtId="0" fontId="76" fillId="0" borderId="0">
      <alignment vertical="center"/>
    </xf>
    <xf numFmtId="0" fontId="53" fillId="0" borderId="0">
      <alignment vertical="center"/>
    </xf>
    <xf numFmtId="0" fontId="55" fillId="0" borderId="0">
      <alignment vertical="center"/>
    </xf>
    <xf numFmtId="0" fontId="77" fillId="0" borderId="0" applyNumberFormat="0">
      <alignment horizontal="left"/>
    </xf>
    <xf numFmtId="0" fontId="78" fillId="0" borderId="0" applyFill="0" applyBorder="0" applyProtection="0">
      <alignment horizontal="left" vertical="top"/>
    </xf>
    <xf numFmtId="14" fontId="5" fillId="0" borderId="0" applyFill="0" applyBorder="0">
      <alignment vertical="center"/>
    </xf>
    <xf numFmtId="0" fontId="6" fillId="0" borderId="0" applyNumberFormat="0" applyFill="0" applyBorder="0" applyAlignment="0" applyProtection="0"/>
    <xf numFmtId="0" fontId="79" fillId="0" borderId="0" applyNumberFormat="0" applyFill="0" applyBorder="0" applyAlignment="0" applyProtection="0"/>
    <xf numFmtId="38" fontId="80" fillId="0" borderId="0" applyNumberFormat="0" applyFill="0" applyBorder="0">
      <alignment horizontal="left" vertical="center"/>
    </xf>
    <xf numFmtId="38" fontId="81" fillId="0" borderId="0" applyNumberFormat="0" applyFill="0" applyBorder="0">
      <alignment horizontal="centerContinuous" vertical="center"/>
    </xf>
    <xf numFmtId="0" fontId="82" fillId="0" borderId="0" applyNumberFormat="0" applyFill="0" applyBorder="0" applyAlignment="0" applyProtection="0"/>
    <xf numFmtId="0" fontId="32" fillId="0" borderId="0" applyNumberFormat="0" applyFill="0" applyBorder="0" applyAlignment="0" applyProtection="0"/>
    <xf numFmtId="171" fontId="45" fillId="0" borderId="0" applyNumberFormat="0" applyBorder="0" applyAlignment="0"/>
    <xf numFmtId="1" fontId="22" fillId="0" borderId="8" applyFill="0" applyProtection="0">
      <alignment horizontal="right"/>
    </xf>
    <xf numFmtId="0" fontId="5" fillId="0" borderId="0"/>
    <xf numFmtId="0" fontId="84" fillId="27" borderId="0" applyNumberFormat="0" applyBorder="0" applyAlignment="0" applyProtection="0"/>
    <xf numFmtId="0" fontId="84" fillId="28" borderId="0" applyNumberFormat="0" applyBorder="0" applyAlignment="0" applyProtection="0"/>
    <xf numFmtId="0" fontId="84" fillId="17" borderId="0" applyNumberFormat="0" applyBorder="0" applyAlignment="0" applyProtection="0"/>
    <xf numFmtId="0" fontId="84" fillId="27" borderId="0" applyNumberFormat="0" applyBorder="0" applyAlignment="0" applyProtection="0"/>
    <xf numFmtId="0" fontId="84" fillId="29" borderId="0" applyNumberFormat="0" applyBorder="0" applyAlignment="0" applyProtection="0"/>
    <xf numFmtId="0" fontId="84" fillId="28" borderId="0" applyNumberFormat="0" applyBorder="0" applyAlignment="0" applyProtection="0"/>
    <xf numFmtId="0" fontId="84" fillId="27" borderId="0" applyNumberFormat="0" applyBorder="0" applyAlignment="0" applyProtection="0"/>
    <xf numFmtId="0" fontId="84" fillId="28" borderId="0" applyNumberFormat="0" applyBorder="0" applyAlignment="0" applyProtection="0"/>
    <xf numFmtId="0" fontId="84" fillId="17" borderId="0" applyNumberFormat="0" applyBorder="0" applyAlignment="0" applyProtection="0"/>
    <xf numFmtId="0" fontId="84" fillId="27" borderId="0" applyNumberFormat="0" applyBorder="0" applyAlignment="0" applyProtection="0"/>
    <xf numFmtId="0" fontId="84" fillId="30" borderId="0" applyNumberFormat="0" applyBorder="0" applyAlignment="0" applyProtection="0"/>
    <xf numFmtId="0" fontId="84" fillId="28" borderId="0" applyNumberFormat="0" applyBorder="0" applyAlignment="0" applyProtection="0"/>
    <xf numFmtId="0" fontId="85" fillId="31" borderId="0" applyNumberFormat="0" applyBorder="0" applyAlignment="0" applyProtection="0"/>
    <xf numFmtId="0" fontId="85" fillId="28" borderId="0" applyNumberFormat="0" applyBorder="0" applyAlignment="0" applyProtection="0"/>
    <xf numFmtId="0" fontId="85" fillId="17" borderId="0" applyNumberFormat="0" applyBorder="0" applyAlignment="0" applyProtection="0"/>
    <xf numFmtId="0" fontId="85" fillId="32" borderId="0" applyNumberFormat="0" applyBorder="0" applyAlignment="0" applyProtection="0"/>
    <xf numFmtId="0" fontId="85" fillId="31" borderId="0" applyNumberFormat="0" applyBorder="0" applyAlignment="0" applyProtection="0"/>
    <xf numFmtId="0" fontId="85" fillId="28" borderId="0" applyNumberFormat="0" applyBorder="0" applyAlignment="0" applyProtection="0"/>
    <xf numFmtId="0" fontId="85" fillId="31" borderId="0" applyNumberFormat="0" applyBorder="0" applyAlignment="0" applyProtection="0"/>
    <xf numFmtId="0" fontId="85" fillId="24" borderId="0" applyNumberFormat="0" applyBorder="0" applyAlignment="0" applyProtection="0"/>
    <xf numFmtId="0" fontId="85" fillId="33" borderId="0" applyNumberFormat="0" applyBorder="0" applyAlignment="0" applyProtection="0"/>
    <xf numFmtId="0" fontId="85" fillId="34" borderId="0" applyNumberFormat="0" applyBorder="0" applyAlignment="0" applyProtection="0"/>
    <xf numFmtId="0" fontId="85" fillId="31" borderId="0" applyNumberFormat="0" applyBorder="0" applyAlignment="0" applyProtection="0"/>
    <xf numFmtId="0" fontId="85" fillId="35" borderId="0" applyNumberFormat="0" applyBorder="0" applyAlignment="0" applyProtection="0"/>
    <xf numFmtId="0" fontId="86" fillId="36" borderId="0" applyNumberFormat="0" applyBorder="0" applyAlignment="0" applyProtection="0"/>
    <xf numFmtId="0" fontId="87" fillId="37" borderId="20" applyNumberFormat="0" applyAlignment="0" applyProtection="0"/>
    <xf numFmtId="0" fontId="88" fillId="38" borderId="21" applyNumberFormat="0" applyAlignment="0" applyProtection="0"/>
    <xf numFmtId="0" fontId="89" fillId="0" borderId="0" applyNumberFormat="0" applyFill="0" applyBorder="0" applyAlignment="0" applyProtection="0"/>
    <xf numFmtId="0" fontId="90" fillId="39" borderId="0" applyNumberFormat="0" applyBorder="0" applyAlignment="0" applyProtection="0"/>
    <xf numFmtId="0" fontId="91" fillId="0" borderId="22" applyNumberFormat="0" applyFill="0" applyAlignment="0" applyProtection="0"/>
    <xf numFmtId="0" fontId="92" fillId="0" borderId="23" applyNumberFormat="0" applyFill="0" applyAlignment="0" applyProtection="0"/>
    <xf numFmtId="0" fontId="93" fillId="0" borderId="24" applyNumberFormat="0" applyFill="0" applyAlignment="0" applyProtection="0"/>
    <xf numFmtId="0" fontId="93" fillId="0" borderId="0" applyNumberFormat="0" applyFill="0" applyBorder="0" applyAlignment="0" applyProtection="0"/>
    <xf numFmtId="0" fontId="94" fillId="28" borderId="20" applyNumberFormat="0" applyAlignment="0" applyProtection="0"/>
    <xf numFmtId="0" fontId="95" fillId="0" borderId="25" applyNumberFormat="0" applyFill="0" applyAlignment="0" applyProtection="0"/>
    <xf numFmtId="0" fontId="96" fillId="17" borderId="0" applyNumberFormat="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17" borderId="26" applyNumberFormat="0" applyFont="0" applyAlignment="0" applyProtection="0"/>
    <xf numFmtId="0" fontId="97" fillId="37" borderId="27" applyNumberFormat="0" applyAlignment="0" applyProtection="0"/>
    <xf numFmtId="9" fontId="5" fillId="0" borderId="0" applyFont="0" applyFill="0" applyBorder="0" applyAlignment="0" applyProtection="0"/>
    <xf numFmtId="9" fontId="5" fillId="0" borderId="0" applyFon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9" fillId="0" borderId="28" applyNumberFormat="0" applyFill="0" applyAlignment="0" applyProtection="0"/>
    <xf numFmtId="0" fontId="100" fillId="0" borderId="0" applyNumberForma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 fillId="0" borderId="0"/>
    <xf numFmtId="0" fontId="98" fillId="0" borderId="0" applyNumberFormat="0" applyFill="0" applyBorder="0" applyAlignment="0" applyProtection="0"/>
    <xf numFmtId="0" fontId="5" fillId="0" borderId="0"/>
    <xf numFmtId="0" fontId="5" fillId="0" borderId="0"/>
    <xf numFmtId="0" fontId="5" fillId="0" borderId="0"/>
    <xf numFmtId="0" fontId="5" fillId="0" borderId="0"/>
    <xf numFmtId="9" fontId="34" fillId="0" borderId="0" applyFont="0" applyFill="0" applyBorder="0" applyAlignment="0" applyProtection="0"/>
    <xf numFmtId="168" fontId="34" fillId="0" borderId="0" applyFont="0" applyFill="0" applyBorder="0" applyAlignment="0" applyProtection="0"/>
    <xf numFmtId="165" fontId="12" fillId="0" borderId="30" applyBorder="0"/>
    <xf numFmtId="0" fontId="16" fillId="5" borderId="35">
      <alignment horizontal="left" vertical="center" wrapText="1"/>
    </xf>
    <xf numFmtId="0" fontId="39" fillId="0" borderId="38" applyNumberFormat="0" applyFill="0" applyAlignment="0" applyProtection="0"/>
    <xf numFmtId="202" fontId="43" fillId="18" borderId="37" applyFont="0">
      <alignment horizontal="right"/>
    </xf>
    <xf numFmtId="167" fontId="51" fillId="0" borderId="39">
      <protection locked="0"/>
    </xf>
    <xf numFmtId="205" fontId="26" fillId="22" borderId="36" applyNumberFormat="0" applyFont="0" applyBorder="0" applyAlignment="0" applyProtection="0">
      <alignment horizontal="right"/>
    </xf>
    <xf numFmtId="0" fontId="74" fillId="0" borderId="36" applyNumberFormat="0" applyFill="0" applyProtection="0">
      <alignment horizontal="right"/>
    </xf>
    <xf numFmtId="39" fontId="30" fillId="0" borderId="37" applyNumberFormat="0" applyBorder="0">
      <alignment horizontal="right"/>
    </xf>
    <xf numFmtId="1" fontId="22" fillId="0" borderId="37" applyFill="0" applyProtection="0">
      <alignment horizontal="right"/>
    </xf>
    <xf numFmtId="0" fontId="87" fillId="37" borderId="40" applyNumberFormat="0" applyAlignment="0" applyProtection="0"/>
    <xf numFmtId="0" fontId="94" fillId="28" borderId="40" applyNumberFormat="0" applyAlignment="0" applyProtection="0"/>
    <xf numFmtId="0" fontId="5" fillId="17" borderId="41" applyNumberFormat="0" applyFont="0" applyAlignment="0" applyProtection="0"/>
    <xf numFmtId="0" fontId="97" fillId="37" borderId="42" applyNumberFormat="0" applyAlignment="0" applyProtection="0"/>
    <xf numFmtId="0" fontId="99" fillId="0" borderId="43" applyNumberFormat="0" applyFill="0" applyAlignment="0" applyProtection="0"/>
    <xf numFmtId="0" fontId="4" fillId="0" borderId="0"/>
    <xf numFmtId="0" fontId="4" fillId="0" borderId="0"/>
    <xf numFmtId="0" fontId="114" fillId="0" borderId="0"/>
    <xf numFmtId="168" fontId="5" fillId="0" borderId="0" applyFont="0" applyFill="0" applyBorder="0" applyAlignment="0" applyProtection="0"/>
    <xf numFmtId="168" fontId="114" fillId="0" borderId="0" applyFont="0" applyFill="0" applyBorder="0" applyAlignment="0" applyProtection="0"/>
    <xf numFmtId="0" fontId="26" fillId="0" borderId="0"/>
    <xf numFmtId="0" fontId="120" fillId="0" borderId="0"/>
    <xf numFmtId="0" fontId="5" fillId="0" borderId="0" applyFont="0" applyFill="0" applyBorder="0" applyAlignment="0" applyProtection="0"/>
    <xf numFmtId="0" fontId="121" fillId="0" borderId="0"/>
    <xf numFmtId="0" fontId="5" fillId="0" borderId="0"/>
    <xf numFmtId="0" fontId="1" fillId="0" borderId="0"/>
    <xf numFmtId="0" fontId="5" fillId="0" borderId="0"/>
    <xf numFmtId="1" fontId="8" fillId="0" borderId="0"/>
    <xf numFmtId="1" fontId="8" fillId="0" borderId="0"/>
    <xf numFmtId="165" fontId="12" fillId="0" borderId="45" applyBorder="0"/>
    <xf numFmtId="173" fontId="14" fillId="4" borderId="46" applyNumberFormat="0" applyAlignment="0">
      <alignment horizontal="right"/>
    </xf>
    <xf numFmtId="173" fontId="15" fillId="4" borderId="46" applyNumberFormat="0" applyAlignment="0">
      <alignment horizontal="right"/>
    </xf>
    <xf numFmtId="180" fontId="15" fillId="6" borderId="46">
      <alignment horizontal="right"/>
    </xf>
    <xf numFmtId="0" fontId="21" fillId="3" borderId="46">
      <alignment horizontal="center" vertical="center" wrapText="1"/>
      <protection hidden="1"/>
    </xf>
    <xf numFmtId="173" fontId="14" fillId="8" borderId="46" applyNumberFormat="0" applyAlignment="0">
      <alignment horizontal="right"/>
    </xf>
    <xf numFmtId="173" fontId="15" fillId="8" borderId="46" applyNumberFormat="0" applyAlignment="0">
      <alignment horizontal="right"/>
    </xf>
    <xf numFmtId="43" fontId="5" fillId="0" borderId="0" applyFont="0" applyFill="0" applyBorder="0" applyAlignment="0" applyProtection="0"/>
    <xf numFmtId="202" fontId="43" fillId="18" borderId="34" applyFont="0">
      <alignment horizontal="right"/>
    </xf>
    <xf numFmtId="229" fontId="5" fillId="0" borderId="0">
      <protection locked="0"/>
    </xf>
    <xf numFmtId="229" fontId="5" fillId="0" borderId="0">
      <protection locked="0"/>
    </xf>
    <xf numFmtId="14" fontId="137" fillId="0" borderId="0">
      <alignment horizontal="right"/>
    </xf>
    <xf numFmtId="205" fontId="26" fillId="22" borderId="29" applyNumberFormat="0" applyFont="0" applyBorder="0" applyAlignment="0" applyProtection="0">
      <alignment horizontal="right"/>
    </xf>
    <xf numFmtId="229" fontId="5" fillId="0" borderId="0">
      <protection locked="0"/>
    </xf>
    <xf numFmtId="0" fontId="74" fillId="0" borderId="29" applyNumberFormat="0" applyFill="0" applyProtection="0">
      <alignment horizontal="right"/>
    </xf>
    <xf numFmtId="39" fontId="30" fillId="0" borderId="34" applyNumberFormat="0" applyBorder="0">
      <alignment horizontal="right"/>
    </xf>
    <xf numFmtId="1" fontId="22" fillId="0" borderId="34" applyFill="0" applyProtection="0">
      <alignment horizontal="right"/>
    </xf>
    <xf numFmtId="43" fontId="34" fillId="0" borderId="0" applyFont="0" applyFill="0" applyBorder="0" applyAlignment="0" applyProtection="0"/>
    <xf numFmtId="230" fontId="31" fillId="0" borderId="0"/>
    <xf numFmtId="230" fontId="31" fillId="0" borderId="0"/>
    <xf numFmtId="231" fontId="31" fillId="0" borderId="0"/>
    <xf numFmtId="0" fontId="138" fillId="0" borderId="0"/>
    <xf numFmtId="232" fontId="139" fillId="0" borderId="0"/>
    <xf numFmtId="167" fontId="44" fillId="0" borderId="0"/>
    <xf numFmtId="188" fontId="31" fillId="0" borderId="0"/>
    <xf numFmtId="233" fontId="68" fillId="0" borderId="0"/>
    <xf numFmtId="191" fontId="138" fillId="0" borderId="0">
      <alignment horizontal="right"/>
    </xf>
    <xf numFmtId="192" fontId="138" fillId="48" borderId="0"/>
    <xf numFmtId="195" fontId="138" fillId="48" borderId="0"/>
    <xf numFmtId="234" fontId="138" fillId="48" borderId="0"/>
    <xf numFmtId="198" fontId="138" fillId="48" borderId="0"/>
    <xf numFmtId="0" fontId="138" fillId="48" borderId="0">
      <alignment horizontal="right"/>
    </xf>
    <xf numFmtId="235" fontId="140" fillId="0" borderId="0" applyFont="0" applyFill="0" applyBorder="0" applyAlignment="0" applyProtection="0"/>
    <xf numFmtId="0" fontId="140" fillId="0" borderId="0" applyFont="0" applyFill="0" applyBorder="0" applyAlignment="0" applyProtection="0"/>
    <xf numFmtId="236" fontId="140" fillId="0" borderId="0" applyFont="0" applyFill="0" applyBorder="0" applyAlignment="0" applyProtection="0"/>
    <xf numFmtId="0" fontId="141" fillId="0" borderId="0" applyNumberFormat="0" applyFont="0" applyFill="0" applyBorder="0" applyAlignment="0" applyProtection="0"/>
    <xf numFmtId="0" fontId="141" fillId="0" borderId="0" applyNumberFormat="0" applyFont="0" applyFill="0" applyBorder="0" applyAlignment="0" applyProtection="0"/>
    <xf numFmtId="14" fontId="8" fillId="0" borderId="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37" fontId="5" fillId="0" borderId="0" applyFont="0" applyFill="0" applyBorder="0" applyAlignment="0" applyProtection="0"/>
    <xf numFmtId="23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38" fontId="5" fillId="0" borderId="0" applyFont="0" applyFill="0" applyBorder="0" applyAlignment="0" applyProtection="0"/>
    <xf numFmtId="238"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220"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220" fontId="5" fillId="0" borderId="0" applyFont="0" applyFill="0" applyBorder="0" applyAlignment="0" applyProtection="0"/>
    <xf numFmtId="188" fontId="5" fillId="0" borderId="0" applyFont="0" applyFill="0" applyBorder="0" applyAlignment="0" applyProtection="0"/>
    <xf numFmtId="37" fontId="5" fillId="0" borderId="0" applyFont="0" applyFill="0" applyBorder="0" applyAlignment="0" applyProtection="0"/>
    <xf numFmtId="37" fontId="5" fillId="0" borderId="0" applyFont="0" applyFill="0" applyBorder="0" applyAlignment="0" applyProtection="0"/>
    <xf numFmtId="37"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31"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139" fillId="0" borderId="0" applyFont="0" applyFill="0" applyBorder="0" applyAlignment="0" applyProtection="0"/>
    <xf numFmtId="188" fontId="139" fillId="0" borderId="0" applyFont="0" applyFill="0" applyBorder="0" applyAlignment="0" applyProtection="0"/>
    <xf numFmtId="239" fontId="5" fillId="0" borderId="0" applyFont="0" applyFill="0" applyBorder="0" applyAlignment="0" applyProtection="0"/>
    <xf numFmtId="239" fontId="5" fillId="0" borderId="0" applyFont="0" applyFill="0" applyBorder="0" applyAlignment="0" applyProtection="0"/>
    <xf numFmtId="240" fontId="5" fillId="0" borderId="0" applyFont="0" applyFill="0" applyBorder="0" applyAlignment="0" applyProtection="0"/>
    <xf numFmtId="24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220" fontId="5" fillId="0" borderId="0" applyFont="0" applyFill="0" applyBorder="0" applyAlignment="0" applyProtection="0"/>
    <xf numFmtId="188" fontId="5" fillId="0" borderId="0" applyFont="0" applyFill="0" applyBorder="0" applyAlignment="0" applyProtection="0"/>
    <xf numFmtId="188" fontId="13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13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139"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13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13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139" fillId="0" borderId="0" applyFont="0" applyFill="0" applyBorder="0" applyAlignment="0" applyProtection="0"/>
    <xf numFmtId="188" fontId="139" fillId="0" borderId="0" applyFont="0" applyFill="0" applyBorder="0" applyAlignment="0" applyProtection="0"/>
    <xf numFmtId="220"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67"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3" fontId="31" fillId="0" borderId="0"/>
    <xf numFmtId="3" fontId="31" fillId="0" borderId="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2" fontId="5" fillId="0" borderId="0" applyFont="0" applyFill="0" applyBorder="0" applyAlignment="0" applyProtection="0"/>
    <xf numFmtId="23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2" fontId="5" fillId="0" borderId="0" applyFont="0" applyFill="0" applyBorder="0" applyAlignment="0" applyProtection="0"/>
    <xf numFmtId="23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2" fontId="5" fillId="0" borderId="0" applyFont="0" applyFill="0" applyBorder="0" applyAlignment="0" applyProtection="0"/>
    <xf numFmtId="233" fontId="5" fillId="0" borderId="0" applyFont="0" applyFill="0" applyBorder="0" applyAlignment="0" applyProtection="0"/>
    <xf numFmtId="242"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3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31" fillId="0" borderId="0" applyFont="0" applyFill="0" applyBorder="0" applyAlignment="0" applyProtection="0"/>
    <xf numFmtId="244" fontId="5" fillId="0" borderId="0" applyFont="0" applyFill="0" applyBorder="0" applyAlignment="0" applyProtection="0"/>
    <xf numFmtId="244" fontId="5" fillId="0" borderId="0" applyFont="0" applyFill="0" applyBorder="0" applyAlignment="0" applyProtection="0"/>
    <xf numFmtId="245" fontId="5" fillId="0" borderId="0" applyFont="0" applyFill="0" applyBorder="0" applyAlignment="0" applyProtection="0"/>
    <xf numFmtId="245"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136"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1" fontId="139" fillId="0" borderId="0" applyFont="0" applyFill="0" applyBorder="0" applyAlignment="0" applyProtection="0"/>
    <xf numFmtId="241" fontId="13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2" fontId="5" fillId="0" borderId="0" applyFont="0" applyFill="0" applyBorder="0" applyAlignment="0" applyProtection="0"/>
    <xf numFmtId="233" fontId="5" fillId="0" borderId="0" applyFont="0" applyFill="0" applyBorder="0" applyAlignment="0" applyProtection="0"/>
    <xf numFmtId="246" fontId="5" fillId="0" borderId="0" applyFont="0" applyFill="0" applyBorder="0" applyAlignment="0" applyProtection="0"/>
    <xf numFmtId="246" fontId="5" fillId="0" borderId="0" applyFont="0" applyFill="0" applyBorder="0" applyAlignment="0" applyProtection="0"/>
    <xf numFmtId="211" fontId="5" fillId="0" borderId="0" applyFont="0" applyFill="0" applyBorder="0" applyAlignment="0" applyProtection="0"/>
    <xf numFmtId="211" fontId="5" fillId="0" borderId="0" applyFont="0" applyFill="0" applyBorder="0" applyAlignment="0" applyProtection="0"/>
    <xf numFmtId="241" fontId="67" fillId="0" borderId="0" applyFont="0" applyFill="0" applyBorder="0" applyAlignment="0" applyProtection="0"/>
    <xf numFmtId="191" fontId="67"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7" fontId="5" fillId="0" borderId="0" applyFont="0" applyFill="0" applyBorder="0" applyAlignment="0" applyProtection="0"/>
    <xf numFmtId="247" fontId="5" fillId="0" borderId="0" applyFont="0" applyFill="0" applyBorder="0" applyAlignment="0" applyProtection="0"/>
    <xf numFmtId="247"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41" fontId="67"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13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13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139"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13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241" fontId="13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241" fontId="139" fillId="0" borderId="0" applyFont="0" applyFill="0" applyBorder="0" applyAlignment="0" applyProtection="0"/>
    <xf numFmtId="241" fontId="139"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3"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67" fillId="0" borderId="0" applyFont="0" applyFill="0" applyBorder="0" applyAlignment="0" applyProtection="0"/>
    <xf numFmtId="242" fontId="5" fillId="0" borderId="0" applyFont="0" applyFill="0" applyBorder="0" applyAlignment="0" applyProtection="0"/>
    <xf numFmtId="233" fontId="5" fillId="0" borderId="0" applyFont="0" applyFill="0" applyBorder="0" applyAlignment="0" applyProtection="0"/>
    <xf numFmtId="209" fontId="5" fillId="0" borderId="0" applyFont="0" applyFill="0" applyBorder="0" applyAlignment="0" applyProtection="0"/>
    <xf numFmtId="19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241"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7" fontId="5" fillId="0" borderId="0" applyFont="0" applyFill="0" applyBorder="0" applyAlignment="0" applyProtection="0"/>
    <xf numFmtId="189" fontId="5" fillId="0" borderId="0" applyFont="0" applyFill="0" applyBorder="0" applyAlignment="0" applyProtection="0"/>
    <xf numFmtId="248"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248"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0" fontId="31"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139" fillId="0" borderId="0" applyFont="0" applyFill="0" applyBorder="0" applyAlignment="0" applyProtection="0"/>
    <xf numFmtId="192" fontId="139"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248" fontId="5" fillId="0" borderId="0" applyFont="0" applyFill="0" applyBorder="0" applyAlignment="0" applyProtection="0"/>
    <xf numFmtId="192" fontId="5" fillId="0" borderId="0" applyFont="0" applyFill="0" applyBorder="0" applyAlignment="0" applyProtection="0"/>
    <xf numFmtId="192" fontId="139"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139"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139"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139"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139"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2" fontId="139" fillId="0" borderId="0" applyFont="0" applyFill="0" applyBorder="0" applyAlignment="0" applyProtection="0"/>
    <xf numFmtId="192" fontId="13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248" fontId="5" fillId="0" borderId="0" applyFont="0" applyFill="0" applyBorder="0" applyAlignment="0" applyProtection="0"/>
    <xf numFmtId="192"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92" fontId="67"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 fontId="31" fillId="0" borderId="0"/>
    <xf numFmtId="243" fontId="5" fillId="0" borderId="0" applyFont="0" applyFill="0" applyBorder="0" applyAlignment="0" applyProtection="0"/>
    <xf numFmtId="24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249" fontId="5" fillId="0" borderId="0" applyFont="0" applyFill="0" applyBorder="0" applyAlignment="0" applyProtection="0"/>
    <xf numFmtId="249"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 fillId="17" borderId="0" applyNumberFormat="0" applyFont="0" applyAlignment="0" applyProtection="0"/>
    <xf numFmtId="0" fontId="5" fillId="17" borderId="0" applyNumberFormat="0" applyFont="0" applyAlignment="0" applyProtection="0"/>
    <xf numFmtId="38" fontId="8" fillId="0" borderId="0" applyFont="0" applyFill="0" applyBorder="0" applyAlignment="0" applyProtection="0"/>
    <xf numFmtId="3" fontId="31"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250" fontId="5" fillId="0" borderId="0" applyFont="0" applyFill="0" applyBorder="0" applyAlignment="0" applyProtection="0"/>
    <xf numFmtId="251" fontId="5" fillId="0" borderId="0" applyFont="0" applyFill="0" applyBorder="0" applyAlignment="0" applyProtection="0"/>
    <xf numFmtId="252"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252"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0" fontId="31" fillId="0" borderId="0" applyFont="0" applyFill="0" applyBorder="0" applyAlignment="0" applyProtection="0"/>
    <xf numFmtId="178" fontId="5" fillId="0" borderId="0" applyFont="0" applyFill="0" applyBorder="0" applyAlignment="0" applyProtection="0"/>
    <xf numFmtId="178" fontId="5" fillId="0" borderId="0" applyFont="0" applyFill="0" applyBorder="0" applyAlignment="0" applyProtection="0"/>
    <xf numFmtId="239" fontId="5" fillId="0" borderId="0" applyFont="0" applyFill="0" applyBorder="0" applyAlignment="0" applyProtection="0"/>
    <xf numFmtId="239"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139" fillId="0" borderId="0" applyFont="0" applyFill="0" applyBorder="0" applyAlignment="0" applyProtection="0"/>
    <xf numFmtId="195" fontId="139" fillId="0" borderId="0" applyFont="0" applyFill="0" applyBorder="0" applyAlignment="0" applyProtection="0"/>
    <xf numFmtId="230" fontId="5" fillId="0" borderId="0" applyFont="0" applyFill="0" applyBorder="0" applyAlignment="0" applyProtection="0"/>
    <xf numFmtId="23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252" fontId="5" fillId="0" borderId="0" applyFont="0" applyFill="0" applyBorder="0" applyAlignment="0" applyProtection="0"/>
    <xf numFmtId="195" fontId="5" fillId="0" borderId="0" applyFont="0" applyFill="0" applyBorder="0" applyAlignment="0" applyProtection="0"/>
    <xf numFmtId="195" fontId="139"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139"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139"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139"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139"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139" fillId="0" borderId="0" applyFont="0" applyFill="0" applyBorder="0" applyAlignment="0" applyProtection="0"/>
    <xf numFmtId="195" fontId="139" fillId="0" borderId="0" applyFont="0" applyFill="0" applyBorder="0" applyAlignment="0" applyProtection="0"/>
    <xf numFmtId="252" fontId="5" fillId="0" borderId="0" applyFont="0" applyFill="0" applyBorder="0" applyAlignment="0" applyProtection="0"/>
    <xf numFmtId="195"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5" fontId="67"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9" fontId="5" fillId="0" borderId="0" applyFont="0" applyFill="0" applyBorder="0" applyProtection="0">
      <alignment horizontal="right"/>
    </xf>
    <xf numFmtId="199" fontId="5" fillId="0" borderId="0" applyFont="0" applyFill="0" applyBorder="0" applyProtection="0">
      <alignment horizontal="right"/>
    </xf>
    <xf numFmtId="199"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88" fontId="5" fillId="0" borderId="0" applyFont="0" applyFill="0" applyBorder="0" applyAlignment="0" applyProtection="0"/>
    <xf numFmtId="253" fontId="5" fillId="0" borderId="0" applyFont="0" applyFill="0" applyBorder="0" applyAlignment="0" applyProtection="0"/>
    <xf numFmtId="254"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254" fontId="5" fillId="0" borderId="0" applyFont="0" applyFill="0" applyBorder="0" applyProtection="0">
      <alignment horizontal="right"/>
    </xf>
    <xf numFmtId="198" fontId="5" fillId="0" borderId="0" applyFont="0" applyFill="0" applyBorder="0" applyProtection="0">
      <alignment horizontal="right"/>
    </xf>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31" fillId="0" borderId="0" applyFont="0" applyFill="0" applyBorder="0" applyAlignment="0" applyProtection="0"/>
    <xf numFmtId="239" fontId="5" fillId="0" borderId="0" applyFont="0" applyFill="0" applyBorder="0" applyAlignment="0" applyProtection="0"/>
    <xf numFmtId="239" fontId="5" fillId="0" borderId="0" applyFont="0" applyFill="0" applyBorder="0" applyAlignment="0" applyProtection="0"/>
    <xf numFmtId="240" fontId="5" fillId="0" borderId="0" applyFont="0" applyFill="0" applyBorder="0" applyAlignment="0" applyProtection="0"/>
    <xf numFmtId="240"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243" fontId="5" fillId="0" borderId="0" applyFont="0" applyFill="0" applyBorder="0" applyAlignment="0" applyProtection="0"/>
    <xf numFmtId="243" fontId="5" fillId="0" borderId="0" applyFont="0" applyFill="0" applyBorder="0" applyAlignment="0" applyProtection="0"/>
    <xf numFmtId="199" fontId="5" fillId="0" borderId="0" applyFont="0" applyFill="0" applyBorder="0" applyProtection="0">
      <alignment horizontal="right"/>
    </xf>
    <xf numFmtId="199" fontId="5" fillId="0" borderId="0" applyFont="0" applyFill="0" applyBorder="0" applyProtection="0">
      <alignment horizontal="right"/>
    </xf>
    <xf numFmtId="199"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139" fillId="0" borderId="0" applyFont="0" applyFill="0" applyBorder="0" applyProtection="0">
      <alignment horizontal="right"/>
    </xf>
    <xf numFmtId="198" fontId="139" fillId="0" borderId="0" applyFont="0" applyFill="0" applyBorder="0" applyProtection="0">
      <alignment horizontal="right"/>
    </xf>
    <xf numFmtId="250" fontId="5" fillId="0" borderId="0" applyFont="0" applyFill="0" applyBorder="0" applyAlignment="0" applyProtection="0"/>
    <xf numFmtId="250" fontId="5" fillId="0" borderId="0" applyFont="0" applyFill="0" applyBorder="0" applyAlignment="0" applyProtection="0"/>
    <xf numFmtId="251" fontId="5" fillId="0" borderId="0" applyFont="0" applyFill="0" applyBorder="0" applyAlignment="0" applyProtection="0"/>
    <xf numFmtId="251"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243" fontId="5" fillId="0" borderId="0" applyFont="0" applyFill="0" applyBorder="0" applyAlignment="0" applyProtection="0"/>
    <xf numFmtId="243"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254" fontId="5" fillId="0" borderId="0" applyFont="0" applyFill="0" applyBorder="0" applyProtection="0">
      <alignment horizontal="right"/>
    </xf>
    <xf numFmtId="198" fontId="5" fillId="0" borderId="0" applyFont="0" applyFill="0" applyBorder="0" applyProtection="0">
      <alignment horizontal="right"/>
    </xf>
    <xf numFmtId="198" fontId="139"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139"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139"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139"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5" fillId="0" borderId="0" applyFont="0" applyFill="0" applyBorder="0" applyProtection="0">
      <alignment horizontal="right"/>
    </xf>
    <xf numFmtId="198" fontId="5" fillId="0" borderId="0" applyFont="0" applyFill="0" applyBorder="0" applyProtection="0">
      <alignment horizontal="right"/>
    </xf>
    <xf numFmtId="198" fontId="5" fillId="0" borderId="0" applyFont="0" applyFill="0" applyBorder="0" applyProtection="0">
      <alignment horizontal="right"/>
    </xf>
    <xf numFmtId="198" fontId="139"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139" fillId="0" borderId="0" applyFont="0" applyFill="0" applyBorder="0" applyProtection="0">
      <alignment horizontal="right"/>
    </xf>
    <xf numFmtId="198" fontId="139" fillId="0" borderId="0" applyFont="0" applyFill="0" applyBorder="0" applyProtection="0">
      <alignment horizontal="right"/>
    </xf>
    <xf numFmtId="254" fontId="5" fillId="0" borderId="0" applyFont="0" applyFill="0" applyBorder="0" applyProtection="0">
      <alignment horizontal="right"/>
    </xf>
    <xf numFmtId="198" fontId="5"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8" fontId="67" fillId="0" borderId="0" applyFont="0" applyFill="0" applyBorder="0" applyProtection="0">
      <alignment horizontal="right"/>
    </xf>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3" fontId="31" fillId="0" borderId="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55" fontId="5" fillId="0" borderId="0" applyFont="0" applyFill="0" applyBorder="0" applyAlignment="0" applyProtection="0"/>
    <xf numFmtId="236"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0" fontId="31" fillId="0" borderId="0" applyFont="0" applyFill="0" applyBorder="0" applyAlignment="0" applyProtection="0"/>
    <xf numFmtId="256" fontId="5" fillId="0" borderId="0" applyFont="0" applyFill="0" applyBorder="0" applyAlignment="0" applyProtection="0"/>
    <xf numFmtId="256" fontId="5" fillId="0" borderId="0" applyFont="0" applyFill="0" applyBorder="0" applyAlignment="0" applyProtection="0"/>
    <xf numFmtId="244" fontId="5" fillId="0" borderId="0" applyFont="0" applyFill="0" applyBorder="0" applyAlignment="0" applyProtection="0"/>
    <xf numFmtId="24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46" fontId="5" fillId="0" borderId="0" applyFont="0" applyFill="0" applyBorder="0" applyAlignment="0" applyProtection="0"/>
    <xf numFmtId="246"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186" fontId="5" fillId="0" borderId="0" applyFont="0" applyFill="0" applyBorder="0" applyProtection="0">
      <alignment horizontal="right"/>
    </xf>
    <xf numFmtId="186" fontId="5" fillId="0" borderId="0" applyFont="0" applyFill="0" applyBorder="0" applyProtection="0">
      <alignment horizontal="right"/>
    </xf>
    <xf numFmtId="186" fontId="5" fillId="0" borderId="0" applyFont="0" applyFill="0" applyBorder="0" applyProtection="0">
      <alignment horizontal="right"/>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58" fontId="5" fillId="0" borderId="0" applyFont="0" applyFill="0" applyBorder="0" applyAlignment="0" applyProtection="0"/>
    <xf numFmtId="0"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0" fontId="31" fillId="0" borderId="0" applyFont="0" applyFill="0" applyBorder="0" applyAlignment="0" applyProtection="0"/>
    <xf numFmtId="259" fontId="5" fillId="0" borderId="0" applyFont="0" applyFill="0" applyBorder="0" applyAlignment="0" applyProtection="0"/>
    <xf numFmtId="259" fontId="5" fillId="0" borderId="0" applyFont="0" applyFill="0" applyBorder="0" applyAlignment="0" applyProtection="0"/>
    <xf numFmtId="237" fontId="5" fillId="0" borderId="0" applyFont="0" applyFill="0" applyBorder="0" applyAlignment="0" applyProtection="0"/>
    <xf numFmtId="23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 fontId="31" fillId="0" borderId="0"/>
    <xf numFmtId="3" fontId="31"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 fontId="31" fillId="0" borderId="0"/>
    <xf numFmtId="3" fontId="31" fillId="0" borderId="0"/>
    <xf numFmtId="3" fontId="31"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5" fillId="0" borderId="0" applyNumberForma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5" fillId="0" borderId="0" applyNumberForma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Alignment="0" applyProtection="0">
      <alignment vertical="top"/>
    </xf>
    <xf numFmtId="0" fontId="38" fillId="0" borderId="0" applyNumberFormat="0" applyFill="0" applyBorder="0" applyAlignment="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38"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39" fillId="0" borderId="14"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9" fillId="0" borderId="14" applyNumberFormat="0" applyFill="0" applyAlignment="0" applyProtection="0"/>
    <xf numFmtId="0" fontId="5" fillId="0" borderId="0" applyNumberFormat="0" applyFill="0" applyBorder="0" applyAlignment="0" applyProtection="0"/>
    <xf numFmtId="0" fontId="39" fillId="0" borderId="0" applyNumberFormat="0" applyFill="0" applyBorder="0" applyAlignment="0" applyProtection="0"/>
    <xf numFmtId="0" fontId="5" fillId="0" borderId="0" applyNumberFormat="0" applyFill="0" applyBorder="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38"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9" fillId="0" borderId="14" applyNumberFormat="0" applyFill="0" applyAlignment="0" applyProtection="0"/>
    <xf numFmtId="0" fontId="39" fillId="0" borderId="14" applyNumberFormat="0" applyFill="0" applyAlignment="0" applyProtection="0"/>
    <xf numFmtId="260" fontId="39" fillId="0" borderId="14" applyNumberFormat="0" applyFill="0" applyAlignment="0" applyProtection="0"/>
    <xf numFmtId="0" fontId="5" fillId="0" borderId="0" applyNumberFormat="0" applyFill="0" applyBorder="0" applyAlignment="0" applyProtection="0"/>
    <xf numFmtId="0" fontId="39" fillId="0" borderId="38" applyNumberFormat="0" applyFill="0" applyAlignment="0" applyProtection="0"/>
    <xf numFmtId="0" fontId="5" fillId="0" borderId="16" applyNumberFormat="0" applyFill="0" applyProtection="0">
      <alignment horizontal="center"/>
    </xf>
    <xf numFmtId="0" fontId="40" fillId="0" borderId="16" applyNumberFormat="0" applyFill="0" applyProtection="0">
      <alignment horizontal="center"/>
    </xf>
    <xf numFmtId="0" fontId="5" fillId="0" borderId="16" applyNumberFormat="0" applyFill="0" applyProtection="0">
      <alignment horizontal="center"/>
    </xf>
    <xf numFmtId="0" fontId="5" fillId="0" borderId="16" applyNumberFormat="0" applyFill="0" applyProtection="0">
      <alignment horizontal="center"/>
    </xf>
    <xf numFmtId="0" fontId="40" fillId="0" borderId="16" applyNumberFormat="0" applyFill="0" applyProtection="0">
      <alignment horizontal="center"/>
    </xf>
    <xf numFmtId="0" fontId="5" fillId="0" borderId="16" applyNumberFormat="0" applyFill="0" applyProtection="0">
      <alignment horizontal="center"/>
    </xf>
    <xf numFmtId="0" fontId="5" fillId="0" borderId="16" applyNumberFormat="0" applyFill="0" applyProtection="0">
      <alignment horizontal="center"/>
    </xf>
    <xf numFmtId="0" fontId="40" fillId="0" borderId="16" applyNumberFormat="0" applyFill="0" applyProtection="0">
      <alignment horizontal="center"/>
    </xf>
    <xf numFmtId="0" fontId="40" fillId="0" borderId="16" applyNumberFormat="0" applyFill="0" applyProtection="0">
      <alignment horizontal="center"/>
    </xf>
    <xf numFmtId="0" fontId="40" fillId="0" borderId="16" applyNumberFormat="0" applyFill="0" applyProtection="0">
      <alignment horizontal="center"/>
    </xf>
    <xf numFmtId="0" fontId="5" fillId="0" borderId="16" applyNumberFormat="0" applyFill="0" applyProtection="0">
      <alignment horizontal="center"/>
    </xf>
    <xf numFmtId="0" fontId="5" fillId="0" borderId="16" applyNumberFormat="0" applyFill="0" applyProtection="0">
      <alignment horizontal="center"/>
    </xf>
    <xf numFmtId="0" fontId="5" fillId="0" borderId="16" applyNumberFormat="0" applyFill="0" applyProtection="0">
      <alignment horizontal="center"/>
    </xf>
    <xf numFmtId="0" fontId="5" fillId="0" borderId="16" applyNumberFormat="0" applyFill="0" applyProtection="0">
      <alignment horizontal="center"/>
    </xf>
    <xf numFmtId="0" fontId="5" fillId="0" borderId="16" applyNumberFormat="0" applyFill="0" applyProtection="0">
      <alignment horizontal="center"/>
    </xf>
    <xf numFmtId="0" fontId="40" fillId="0" borderId="16" applyNumberFormat="0" applyFill="0" applyProtection="0">
      <alignment horizontal="center"/>
    </xf>
    <xf numFmtId="0" fontId="5" fillId="0" borderId="16" applyNumberFormat="0" applyFill="0" applyProtection="0">
      <alignment horizontal="center"/>
    </xf>
    <xf numFmtId="0" fontId="40" fillId="0" borderId="16" applyNumberFormat="0" applyFill="0" applyProtection="0">
      <alignment horizontal="center"/>
    </xf>
    <xf numFmtId="0" fontId="40" fillId="0" borderId="16" applyNumberFormat="0" applyFill="0" applyProtection="0">
      <alignment horizontal="center"/>
    </xf>
    <xf numFmtId="0" fontId="5" fillId="0" borderId="16" applyNumberFormat="0" applyFill="0" applyProtection="0">
      <alignment horizontal="center"/>
    </xf>
    <xf numFmtId="0" fontId="40" fillId="0" borderId="16" applyNumberFormat="0" applyFill="0" applyProtection="0">
      <alignment horizontal="center"/>
    </xf>
    <xf numFmtId="0" fontId="5" fillId="0" borderId="50" applyNumberFormat="0" applyFon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5" fillId="0" borderId="0" applyNumberFormat="0" applyFill="0" applyBorder="0" applyProtection="0">
      <alignment horizontal="left"/>
    </xf>
    <xf numFmtId="0" fontId="40"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40"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40" fillId="0" borderId="0" applyNumberFormat="0" applyFill="0" applyBorder="0" applyProtection="0">
      <alignment horizontal="left"/>
    </xf>
    <xf numFmtId="0" fontId="40" fillId="0" borderId="0" applyNumberFormat="0" applyFill="0" applyBorder="0" applyProtection="0">
      <alignment horizontal="left"/>
    </xf>
    <xf numFmtId="0" fontId="40"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40" fillId="0" borderId="0" applyNumberFormat="0" applyFill="0" applyBorder="0" applyProtection="0">
      <alignment horizontal="left"/>
    </xf>
    <xf numFmtId="0" fontId="5" fillId="0" borderId="0" applyNumberFormat="0" applyFill="0" applyBorder="0" applyProtection="0">
      <alignment horizontal="left"/>
    </xf>
    <xf numFmtId="0" fontId="40" fillId="0" borderId="0" applyNumberFormat="0" applyFill="0" applyBorder="0" applyProtection="0">
      <alignment horizontal="left"/>
    </xf>
    <xf numFmtId="0" fontId="40" fillId="0" borderId="0" applyNumberFormat="0" applyFill="0" applyBorder="0" applyProtection="0">
      <alignment horizontal="left"/>
    </xf>
    <xf numFmtId="0" fontId="5" fillId="0" borderId="0" applyNumberFormat="0" applyFill="0" applyBorder="0" applyProtection="0">
      <alignment horizontal="left"/>
    </xf>
    <xf numFmtId="0" fontId="40" fillId="0" borderId="0" applyNumberFormat="0" applyFill="0" applyBorder="0" applyProtection="0">
      <alignment horizontal="left"/>
    </xf>
    <xf numFmtId="0" fontId="5" fillId="0" borderId="0" applyNumberFormat="0" applyFill="0" applyBorder="0" applyProtection="0">
      <alignment horizontal="centerContinuous"/>
    </xf>
    <xf numFmtId="0" fontId="41"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41"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41" fillId="0" borderId="0" applyNumberFormat="0" applyFill="0" applyBorder="0" applyProtection="0">
      <alignment horizontal="centerContinuous"/>
    </xf>
    <xf numFmtId="0" fontId="41" fillId="0" borderId="0" applyNumberFormat="0" applyFill="0" applyBorder="0" applyProtection="0">
      <alignment horizontal="centerContinuous"/>
    </xf>
    <xf numFmtId="0" fontId="41" fillId="0" borderId="0" applyNumberFormat="0" applyFill="0" applyBorder="0" applyProtection="0">
      <alignment horizontal="centerContinuous"/>
    </xf>
    <xf numFmtId="0" fontId="41" fillId="0" borderId="0" applyNumberFormat="0" applyFill="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41" fillId="0" borderId="0" applyNumberFormat="0" applyFill="0" applyBorder="0" applyProtection="0">
      <alignment horizontal="centerContinuous"/>
    </xf>
    <xf numFmtId="0" fontId="41" fillId="0" borderId="0" applyNumberFormat="0" applyFill="0" applyBorder="0" applyProtection="0">
      <alignment horizontal="centerContinuous"/>
    </xf>
    <xf numFmtId="260" fontId="41" fillId="0" borderId="0" applyNumberFormat="0" applyFill="0" applyBorder="0" applyProtection="0">
      <alignment horizontal="centerContinuous"/>
    </xf>
    <xf numFmtId="0" fontId="5" fillId="0" borderId="0" applyNumberFormat="0" applyFill="0" applyBorder="0" applyProtection="0">
      <alignment horizontal="centerContinuous"/>
    </xf>
    <xf numFmtId="0" fontId="41" fillId="0" borderId="0" applyNumberFormat="0" applyFill="0" applyProtection="0">
      <alignment horizontal="centerContinuous"/>
    </xf>
    <xf numFmtId="0" fontId="41" fillId="0" borderId="0" applyNumberFormat="0" applyFill="0" applyBorder="0" applyProtection="0">
      <alignment horizontal="centerContinuous"/>
    </xf>
    <xf numFmtId="0" fontId="39" fillId="0" borderId="0" applyNumberFormat="0" applyFill="0" applyBorder="0" applyAlignment="0" applyProtection="0"/>
    <xf numFmtId="261" fontId="139" fillId="0" borderId="0"/>
    <xf numFmtId="232" fontId="139" fillId="0" borderId="0"/>
    <xf numFmtId="1" fontId="8" fillId="0" borderId="0"/>
    <xf numFmtId="1" fontId="8" fillId="0" borderId="0"/>
    <xf numFmtId="1" fontId="8" fillId="0" borderId="0"/>
    <xf numFmtId="0" fontId="5" fillId="0" borderId="1" applyNumberFormat="0" applyFont="0" applyFill="0" applyBorder="0" applyAlignment="0">
      <alignment horizontal="left"/>
    </xf>
    <xf numFmtId="0" fontId="139" fillId="0" borderId="0"/>
    <xf numFmtId="261" fontId="139" fillId="0" borderId="0"/>
    <xf numFmtId="262" fontId="31" fillId="0" borderId="0" applyFont="0" applyFill="0" applyBorder="0" applyAlignment="0">
      <alignment vertical="center"/>
    </xf>
    <xf numFmtId="262" fontId="31" fillId="0" borderId="0" applyFont="0" applyFill="0" applyBorder="0" applyAlignment="0">
      <alignment vertical="center"/>
    </xf>
    <xf numFmtId="262" fontId="31" fillId="0" borderId="0" applyFont="0" applyFill="0" applyBorder="0" applyAlignment="0">
      <alignment vertical="center"/>
    </xf>
    <xf numFmtId="263" fontId="5" fillId="18" borderId="34" applyFont="0">
      <alignment horizontal="right"/>
    </xf>
    <xf numFmtId="263" fontId="5" fillId="18" borderId="34" applyFont="0">
      <alignment horizontal="right"/>
    </xf>
    <xf numFmtId="0" fontId="139" fillId="0" borderId="0" applyNumberFormat="0" applyAlignment="0"/>
    <xf numFmtId="0" fontId="139" fillId="0" borderId="0" applyNumberFormat="0" applyAlignment="0"/>
    <xf numFmtId="0" fontId="139" fillId="0" borderId="0" applyNumberFormat="0" applyAlignment="0"/>
    <xf numFmtId="0" fontId="139" fillId="0" borderId="0" applyNumberFormat="0" applyAlignment="0"/>
    <xf numFmtId="228" fontId="31" fillId="0" borderId="0"/>
    <xf numFmtId="0" fontId="142" fillId="0" borderId="0"/>
    <xf numFmtId="164" fontId="10" fillId="0" borderId="48">
      <alignment horizontal="right"/>
    </xf>
    <xf numFmtId="0" fontId="143" fillId="0" borderId="51" applyNumberFormat="0" applyFill="0" applyBorder="0" applyAlignment="0" applyProtection="0"/>
    <xf numFmtId="0" fontId="28" fillId="0" borderId="51" applyNumberFormat="0" applyFill="0" applyBorder="0" applyAlignment="0" applyProtection="0"/>
    <xf numFmtId="0" fontId="28" fillId="0" borderId="51" applyNumberFormat="0" applyFill="0" applyBorder="0" applyAlignment="0" applyProtection="0"/>
    <xf numFmtId="0" fontId="133" fillId="0" borderId="51" applyNumberFormat="0" applyFill="0" applyBorder="0" applyAlignment="0" applyProtection="0"/>
    <xf numFmtId="0" fontId="133" fillId="0" borderId="51" applyNumberFormat="0" applyFill="0" applyBorder="0" applyAlignment="0" applyProtection="0"/>
    <xf numFmtId="0" fontId="26" fillId="0" borderId="51" applyNumberFormat="0" applyFill="0" applyAlignment="0" applyProtection="0"/>
    <xf numFmtId="0" fontId="26" fillId="0" borderId="51" applyNumberFormat="0" applyFill="0" applyAlignment="0" applyProtection="0"/>
    <xf numFmtId="0" fontId="26" fillId="0" borderId="51" applyNumberFormat="0" applyFill="0" applyAlignment="0" applyProtection="0"/>
    <xf numFmtId="209" fontId="139" fillId="0" borderId="0" applyFill="0" applyBorder="0" applyAlignment="0" applyProtection="0">
      <protection locked="0"/>
    </xf>
    <xf numFmtId="0" fontId="25" fillId="19" borderId="52" applyNumberFormat="0" applyAlignment="0" applyProtection="0"/>
    <xf numFmtId="264" fontId="134" fillId="19" borderId="0" applyNumberFormat="0" applyBorder="0">
      <alignment horizontal="center" vertical="center"/>
    </xf>
    <xf numFmtId="0" fontId="25" fillId="19" borderId="53">
      <alignment horizontal="center" vertical="center"/>
    </xf>
    <xf numFmtId="0" fontId="139" fillId="0" borderId="0" applyNumberFormat="0" applyFill="0" applyBorder="0" applyAlignment="0" applyProtection="0"/>
    <xf numFmtId="265" fontId="144" fillId="0" borderId="0"/>
    <xf numFmtId="266" fontId="31" fillId="0" borderId="52" applyNumberFormat="0" applyFont="0" applyFill="0" applyAlignment="0">
      <alignment vertical="center"/>
    </xf>
    <xf numFmtId="266" fontId="31" fillId="0" borderId="52" applyNumberFormat="0" applyFont="0" applyFill="0" applyAlignment="0">
      <alignment vertical="center"/>
    </xf>
    <xf numFmtId="266" fontId="31" fillId="0" borderId="52" applyNumberFormat="0" applyFont="0" applyFill="0" applyAlignment="0">
      <alignment vertical="center"/>
    </xf>
    <xf numFmtId="0" fontId="139" fillId="0" borderId="48" applyNumberFormat="0" applyFont="0" applyFill="0" applyAlignment="0" applyProtection="0"/>
    <xf numFmtId="0" fontId="139" fillId="0" borderId="48" applyNumberFormat="0" applyFont="0" applyFill="0" applyAlignment="0" applyProtection="0"/>
    <xf numFmtId="0" fontId="139" fillId="0" borderId="48"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0"/>
    <xf numFmtId="0" fontId="139" fillId="0" borderId="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0" fontId="14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Fill="0" applyBorder="0" applyAlignment="0"/>
    <xf numFmtId="0" fontId="5" fillId="0" borderId="0" applyFill="0" applyBorder="0" applyAlignment="0"/>
    <xf numFmtId="209" fontId="139" fillId="0" borderId="0" applyFont="0" applyFill="0" applyBorder="0" applyAlignment="0" applyProtection="0">
      <protection locked="0"/>
    </xf>
    <xf numFmtId="0" fontId="5" fillId="0" borderId="0" applyNumberFormat="0" applyFont="0" applyFill="0" applyBorder="0" applyProtection="0">
      <alignment horizontal="centerContinuous"/>
    </xf>
    <xf numFmtId="0" fontId="5" fillId="0" borderId="0" applyNumberFormat="0" applyFont="0" applyFill="0" applyBorder="0" applyProtection="0">
      <alignment horizontal="centerContinuous"/>
    </xf>
    <xf numFmtId="0" fontId="5" fillId="0" borderId="0" applyNumberFormat="0" applyFont="0" applyFill="0" applyBorder="0" applyProtection="0">
      <alignment horizontal="centerContinuous"/>
    </xf>
    <xf numFmtId="1" fontId="146" fillId="0" borderId="0"/>
    <xf numFmtId="171" fontId="147" fillId="0" borderId="0"/>
    <xf numFmtId="267" fontId="5" fillId="0" borderId="0"/>
    <xf numFmtId="267" fontId="5" fillId="0" borderId="0"/>
    <xf numFmtId="267" fontId="5" fillId="0" borderId="0"/>
    <xf numFmtId="268" fontId="139" fillId="0" borderId="0"/>
    <xf numFmtId="38" fontId="148" fillId="0" borderId="0">
      <alignment horizontal="center"/>
      <protection locked="0"/>
    </xf>
    <xf numFmtId="0" fontId="144" fillId="0" borderId="0" applyFont="0" applyFill="0" applyBorder="0" applyAlignment="0" applyProtection="0">
      <alignment horizontal="right"/>
    </xf>
    <xf numFmtId="269" fontId="144" fillId="0" borderId="0" applyFont="0" applyFill="0" applyBorder="0" applyAlignment="0" applyProtection="0"/>
    <xf numFmtId="0" fontId="139" fillId="0" borderId="0" applyFill="0" applyBorder="0" applyProtection="0"/>
    <xf numFmtId="197" fontId="8" fillId="0" borderId="0" applyFont="0" applyFill="0" applyBorder="0" applyAlignment="0" applyProtection="0"/>
    <xf numFmtId="43" fontId="5" fillId="0" borderId="0" applyFont="0" applyFill="0" applyBorder="0" applyAlignment="0" applyProtection="0"/>
    <xf numFmtId="43" fontId="34" fillId="0" borderId="0" applyFont="0" applyFill="0" applyBorder="0" applyAlignment="0" applyProtection="0"/>
    <xf numFmtId="0" fontId="13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39" fillId="0" borderId="0" applyFont="0" applyFill="0" applyBorder="0">
      <alignment horizontal="right"/>
    </xf>
    <xf numFmtId="0" fontId="139" fillId="0" borderId="0" applyFont="0" applyFill="0" applyBorder="0" applyAlignment="0"/>
    <xf numFmtId="0" fontId="139" fillId="0" borderId="0" applyFont="0" applyFill="0" applyBorder="0" applyAlignment="0"/>
    <xf numFmtId="0" fontId="139" fillId="11" borderId="36" applyFont="0" applyFill="0" applyBorder="0" applyAlignment="0"/>
    <xf numFmtId="37" fontId="45" fillId="0" borderId="0" applyFont="0" applyFill="0" applyBorder="0" applyAlignment="0" applyProtection="0"/>
    <xf numFmtId="0" fontId="11" fillId="3" borderId="0">
      <alignment horizontal="center" vertical="center" wrapText="1"/>
    </xf>
    <xf numFmtId="0" fontId="5" fillId="0" borderId="0" applyNumberFormat="0" applyAlignment="0">
      <alignment horizontal="left"/>
    </xf>
    <xf numFmtId="0" fontId="5" fillId="0" borderId="0" applyNumberFormat="0" applyAlignment="0">
      <alignment horizontal="left"/>
    </xf>
    <xf numFmtId="0" fontId="139" fillId="0" borderId="0">
      <alignment horizontal="left"/>
    </xf>
    <xf numFmtId="0" fontId="139" fillId="0" borderId="0"/>
    <xf numFmtId="0" fontId="139" fillId="0" borderId="0">
      <alignment horizontal="left"/>
    </xf>
    <xf numFmtId="0" fontId="31" fillId="0" borderId="0"/>
    <xf numFmtId="270" fontId="144" fillId="0" borderId="0" applyFont="0" applyFill="0" applyBorder="0" applyAlignment="0" applyProtection="0">
      <alignment horizontal="right"/>
    </xf>
    <xf numFmtId="0" fontId="139" fillId="0" borderId="0" applyFont="0" applyFill="0" applyBorder="0" applyAlignment="0" applyProtection="0"/>
    <xf numFmtId="271" fontId="144" fillId="0" borderId="0" applyFont="0" applyFill="0" applyBorder="0" applyAlignment="0" applyProtection="0">
      <alignment horizontal="right"/>
    </xf>
    <xf numFmtId="0" fontId="139" fillId="0" borderId="0" applyFont="0" applyFill="0" applyBorder="0" applyAlignment="0" applyProtection="0"/>
    <xf numFmtId="239" fontId="31" fillId="0" borderId="0" applyFont="0" applyFill="0" applyBorder="0" applyAlignment="0" applyProtection="0"/>
    <xf numFmtId="0" fontId="139" fillId="0" borderId="0" applyFont="0" applyFill="0" applyBorder="0"/>
    <xf numFmtId="0" fontId="139" fillId="0" borderId="0" applyFont="0" applyFill="0" applyBorder="0" applyAlignment="0"/>
    <xf numFmtId="0" fontId="139" fillId="0" borderId="6" applyFont="0" applyFill="0" applyBorder="0" applyAlignment="0"/>
    <xf numFmtId="0" fontId="139" fillId="0" borderId="0" applyFill="0" applyBorder="0" applyProtection="0">
      <alignment vertical="center"/>
    </xf>
    <xf numFmtId="0" fontId="31" fillId="0" borderId="0" applyFont="0" applyFill="0" applyBorder="0" applyAlignment="0" applyProtection="0"/>
    <xf numFmtId="0" fontId="5" fillId="48" borderId="0" applyFont="0" applyBorder="0"/>
    <xf numFmtId="0" fontId="5" fillId="48" borderId="0" applyFont="0" applyBorder="0"/>
    <xf numFmtId="272" fontId="138" fillId="48" borderId="11">
      <alignment horizontal="right"/>
    </xf>
    <xf numFmtId="258" fontId="138" fillId="48" borderId="11">
      <alignment horizontal="right"/>
    </xf>
    <xf numFmtId="38" fontId="139" fillId="10" borderId="55">
      <protection locked="0"/>
    </xf>
    <xf numFmtId="17" fontId="28" fillId="0" borderId="0" applyFill="0" applyBorder="0">
      <alignment horizontal="right"/>
    </xf>
    <xf numFmtId="273" fontId="144" fillId="0" borderId="0" applyFont="0" applyFill="0" applyBorder="0" applyAlignment="0" applyProtection="0"/>
    <xf numFmtId="14" fontId="139" fillId="0" borderId="0"/>
    <xf numFmtId="14" fontId="149" fillId="0" borderId="0" applyFont="0" applyFill="0" applyBorder="0" applyAlignment="0" applyProtection="0">
      <alignment horizontal="center"/>
    </xf>
    <xf numFmtId="274" fontId="149" fillId="0" borderId="0" applyFont="0" applyFill="0" applyBorder="0" applyAlignment="0" applyProtection="0">
      <alignment horizontal="center"/>
    </xf>
    <xf numFmtId="0" fontId="139" fillId="11" borderId="0" applyFont="0" applyFill="0">
      <alignment horizontal="right"/>
    </xf>
    <xf numFmtId="1" fontId="67" fillId="0" borderId="0" applyFont="0" applyFill="0" applyBorder="0" applyAlignment="0" applyProtection="0">
      <alignment horizontal="right"/>
    </xf>
    <xf numFmtId="2" fontId="135" fillId="47" borderId="0">
      <alignment horizontal="left"/>
      <protection hidden="1"/>
    </xf>
    <xf numFmtId="275" fontId="45" fillId="0" borderId="0" applyFont="0" applyFill="0" applyBorder="0" applyAlignment="0" applyProtection="0"/>
    <xf numFmtId="276" fontId="45" fillId="0" borderId="0" applyFont="0" applyFill="0" applyBorder="0" applyAlignment="0" applyProtection="0"/>
    <xf numFmtId="227" fontId="5" fillId="0" borderId="0" applyFont="0" applyFill="0" applyBorder="0" applyAlignment="0" applyProtection="0">
      <alignment horizontal="right"/>
    </xf>
    <xf numFmtId="227" fontId="5" fillId="0" borderId="0" applyFont="0" applyFill="0" applyBorder="0" applyAlignment="0" applyProtection="0">
      <alignment horizontal="right"/>
    </xf>
    <xf numFmtId="204" fontId="9" fillId="0" borderId="0" applyFont="0" applyFill="0" applyBorder="0" applyAlignment="0" applyProtection="0">
      <alignment horizontal="right"/>
    </xf>
    <xf numFmtId="165" fontId="139" fillId="0" borderId="0" applyFont="0" applyFill="0" applyBorder="0" applyAlignment="0" applyProtection="0">
      <alignment horizontal="right"/>
    </xf>
    <xf numFmtId="165" fontId="139" fillId="0" borderId="0" applyFont="0" applyFill="0" applyBorder="0" applyAlignment="0" applyProtection="0"/>
    <xf numFmtId="0" fontId="144" fillId="0" borderId="56" applyNumberFormat="0" applyFont="0" applyFill="0" applyAlignment="0" applyProtection="0"/>
    <xf numFmtId="1" fontId="139" fillId="0" borderId="0"/>
    <xf numFmtId="0" fontId="139" fillId="0" borderId="6" applyFont="0" applyFill="0" applyBorder="0">
      <alignment horizontal="center"/>
    </xf>
    <xf numFmtId="0" fontId="5" fillId="0" borderId="0" applyNumberFormat="0" applyAlignment="0">
      <alignment horizontal="left"/>
    </xf>
    <xf numFmtId="0" fontId="5" fillId="0" borderId="0" applyNumberFormat="0" applyAlignment="0">
      <alignment horizontal="left"/>
    </xf>
    <xf numFmtId="9" fontId="139" fillId="0" borderId="46" applyNumberFormat="0" applyBorder="0" applyAlignment="0">
      <protection locked="0"/>
    </xf>
    <xf numFmtId="0" fontId="139" fillId="50" borderId="55" applyNumberFormat="0" applyFont="0" applyAlignment="0">
      <protection locked="0"/>
    </xf>
    <xf numFmtId="0" fontId="139" fillId="50" borderId="55" applyNumberFormat="0" applyFont="0" applyAlignment="0">
      <protection locked="0"/>
    </xf>
    <xf numFmtId="0" fontId="139" fillId="50" borderId="55" applyNumberFormat="0" applyFont="0" applyAlignment="0">
      <protection locked="0"/>
    </xf>
    <xf numFmtId="167" fontId="139" fillId="0" borderId="0" applyFont="0" applyFill="0" applyBorder="0" applyAlignment="0" applyProtection="0">
      <alignment horizontal="right"/>
    </xf>
    <xf numFmtId="166" fontId="138" fillId="49" borderId="0" applyBorder="0"/>
    <xf numFmtId="277" fontId="138" fillId="0" borderId="0"/>
    <xf numFmtId="278" fontId="138" fillId="0" borderId="0"/>
    <xf numFmtId="39" fontId="138" fillId="49" borderId="0"/>
    <xf numFmtId="279" fontId="138" fillId="0" borderId="0"/>
    <xf numFmtId="280" fontId="67" fillId="0" borderId="0" applyFont="0" applyFill="0" applyBorder="0" applyProtection="0">
      <alignment horizontal="left"/>
      <protection locked="0"/>
    </xf>
    <xf numFmtId="280" fontId="67" fillId="0" borderId="0" applyFont="0" applyFill="0" applyBorder="0" applyProtection="0">
      <alignment horizontal="left"/>
      <protection locked="0"/>
    </xf>
    <xf numFmtId="280" fontId="67" fillId="0" borderId="0" applyFont="0" applyFill="0" applyBorder="0" applyProtection="0">
      <alignment horizontal="left"/>
      <protection locked="0"/>
    </xf>
    <xf numFmtId="281" fontId="138" fillId="0" borderId="0"/>
    <xf numFmtId="282" fontId="67" fillId="0" borderId="0" applyFont="0" applyFill="0" applyBorder="0" applyProtection="0">
      <alignment horizontal="left"/>
      <protection locked="0"/>
    </xf>
    <xf numFmtId="282" fontId="67" fillId="0" borderId="0" applyFont="0" applyFill="0" applyBorder="0" applyProtection="0">
      <alignment horizontal="left"/>
      <protection locked="0"/>
    </xf>
    <xf numFmtId="282" fontId="67" fillId="0" borderId="0" applyFont="0" applyFill="0" applyBorder="0" applyProtection="0">
      <alignment horizontal="left"/>
      <protection locked="0"/>
    </xf>
    <xf numFmtId="283" fontId="5" fillId="0" borderId="0" applyFont="0" applyFill="0" applyBorder="0" applyAlignment="0" applyProtection="0"/>
    <xf numFmtId="283" fontId="5" fillId="0" borderId="0" applyFont="0" applyFill="0" applyBorder="0" applyAlignment="0" applyProtection="0"/>
    <xf numFmtId="0" fontId="5" fillId="0" borderId="0"/>
    <xf numFmtId="228" fontId="67" fillId="0" borderId="0" applyFont="0" applyFill="0" applyBorder="0" applyAlignment="0" applyProtection="0"/>
    <xf numFmtId="215" fontId="31" fillId="0" borderId="0" applyFont="0" applyFill="0" applyBorder="0" applyAlignment="0">
      <alignment vertical="center"/>
    </xf>
    <xf numFmtId="215" fontId="31" fillId="0" borderId="0" applyFont="0" applyFill="0" applyBorder="0" applyAlignment="0">
      <alignment vertical="center"/>
    </xf>
    <xf numFmtId="215" fontId="31" fillId="0" borderId="0" applyFont="0" applyFill="0" applyBorder="0" applyAlignment="0">
      <alignment vertical="center"/>
    </xf>
    <xf numFmtId="284" fontId="5" fillId="22" borderId="36" applyNumberFormat="0" applyFont="0" applyBorder="0" applyAlignment="0" applyProtection="0">
      <alignment horizontal="right"/>
    </xf>
    <xf numFmtId="284" fontId="5" fillId="22" borderId="36" applyNumberFormat="0" applyFont="0" applyBorder="0" applyAlignment="0" applyProtection="0">
      <alignment horizontal="right"/>
    </xf>
    <xf numFmtId="285" fontId="5" fillId="0" borderId="0" applyFill="0" applyBorder="0" applyAlignment="0" applyProtection="0"/>
    <xf numFmtId="285" fontId="5" fillId="0" borderId="0" applyFill="0" applyBorder="0" applyAlignment="0" applyProtection="0"/>
    <xf numFmtId="285" fontId="5" fillId="0" borderId="0" applyFill="0" applyBorder="0" applyAlignment="0" applyProtection="0"/>
    <xf numFmtId="0" fontId="139" fillId="0" borderId="0">
      <alignment horizontal="right"/>
    </xf>
    <xf numFmtId="2" fontId="5" fillId="0" borderId="0" applyFill="0" applyBorder="0" applyAlignment="0" applyProtection="0"/>
    <xf numFmtId="2" fontId="5" fillId="0" borderId="0" applyFill="0" applyBorder="0" applyAlignment="0" applyProtection="0"/>
    <xf numFmtId="2" fontId="5" fillId="0" borderId="0" applyFill="0" applyBorder="0" applyAlignment="0" applyProtection="0"/>
    <xf numFmtId="286" fontId="67" fillId="0" borderId="0" applyFont="0" applyFill="0" applyBorder="0" applyAlignment="0" applyProtection="0">
      <alignment horizontal="right"/>
    </xf>
    <xf numFmtId="287" fontId="31" fillId="0" borderId="0" applyFont="0" applyFill="0" applyBorder="0" applyAlignment="0" applyProtection="0"/>
    <xf numFmtId="0" fontId="139" fillId="0" borderId="0">
      <alignment horizontal="left"/>
    </xf>
    <xf numFmtId="0" fontId="139" fillId="0" borderId="0">
      <alignment horizontal="left"/>
    </xf>
    <xf numFmtId="0" fontId="150" fillId="0" borderId="0" applyFill="0" applyBorder="0" applyProtection="0">
      <alignment horizontal="left"/>
    </xf>
    <xf numFmtId="0" fontId="139" fillId="0" borderId="0" applyNumberFormat="0" applyFill="0" applyBorder="0" applyProtection="0">
      <alignment horizontal="left"/>
    </xf>
    <xf numFmtId="0" fontId="139" fillId="0" borderId="0" applyFill="0" applyBorder="0" applyProtection="0">
      <alignment vertical="center"/>
    </xf>
    <xf numFmtId="288" fontId="31" fillId="0" borderId="0"/>
    <xf numFmtId="289" fontId="28" fillId="0" borderId="0" applyBorder="0" applyProtection="0"/>
    <xf numFmtId="289" fontId="28" fillId="0" borderId="0" applyBorder="0" applyProtection="0"/>
    <xf numFmtId="290" fontId="138" fillId="0" borderId="57"/>
    <xf numFmtId="0" fontId="138" fillId="48" borderId="11">
      <alignment horizontal="right"/>
    </xf>
    <xf numFmtId="291" fontId="138" fillId="48" borderId="11">
      <alignment horizontal="right"/>
    </xf>
    <xf numFmtId="278" fontId="138" fillId="48" borderId="11">
      <alignment horizontal="right"/>
    </xf>
    <xf numFmtId="264" fontId="28" fillId="48" borderId="0" applyNumberFormat="0" applyBorder="0">
      <alignment horizontal="center" vertical="center"/>
    </xf>
    <xf numFmtId="264" fontId="28" fillId="48" borderId="0" applyNumberFormat="0" applyBorder="0">
      <alignment horizontal="center" vertical="center"/>
    </xf>
    <xf numFmtId="251" fontId="139" fillId="0" borderId="0" applyFill="0" applyBorder="0" applyAlignment="0" applyProtection="0">
      <protection locked="0"/>
    </xf>
    <xf numFmtId="38" fontId="26" fillId="48" borderId="0" applyNumberFormat="0" applyBorder="0" applyAlignment="0" applyProtection="0"/>
    <xf numFmtId="38" fontId="26" fillId="48" borderId="0" applyNumberFormat="0" applyBorder="0" applyAlignment="0" applyProtection="0"/>
    <xf numFmtId="253" fontId="151" fillId="0" borderId="0" applyFill="0" applyBorder="0" applyAlignment="0" applyProtection="0"/>
    <xf numFmtId="253" fontId="152" fillId="0" borderId="0" applyAlignment="0">
      <alignment horizontal="left"/>
      <protection locked="0"/>
    </xf>
    <xf numFmtId="49" fontId="33" fillId="0" borderId="0">
      <alignment horizontal="right"/>
    </xf>
    <xf numFmtId="49" fontId="139" fillId="0" borderId="0">
      <alignment horizontal="right"/>
    </xf>
    <xf numFmtId="49" fontId="139" fillId="0" borderId="0">
      <alignment horizontal="right"/>
    </xf>
    <xf numFmtId="49" fontId="33" fillId="0" borderId="0">
      <alignment horizontal="right"/>
    </xf>
    <xf numFmtId="49" fontId="139" fillId="0" borderId="0">
      <alignment horizontal="right"/>
    </xf>
    <xf numFmtId="49" fontId="139" fillId="0" borderId="0">
      <alignment horizontal="right"/>
    </xf>
    <xf numFmtId="49" fontId="33" fillId="0" borderId="0">
      <alignment horizontal="right"/>
    </xf>
    <xf numFmtId="49" fontId="33" fillId="0" borderId="0">
      <alignment horizontal="right"/>
    </xf>
    <xf numFmtId="49" fontId="139" fillId="0" borderId="0">
      <alignment horizontal="right"/>
    </xf>
    <xf numFmtId="49" fontId="139" fillId="0" borderId="0">
      <alignment horizontal="right"/>
    </xf>
    <xf numFmtId="49" fontId="139" fillId="0" borderId="0">
      <alignment horizontal="right"/>
    </xf>
    <xf numFmtId="49" fontId="139" fillId="0" borderId="0">
      <alignment horizontal="right"/>
    </xf>
    <xf numFmtId="49" fontId="33" fillId="0" borderId="0">
      <alignment horizontal="right"/>
    </xf>
    <xf numFmtId="49" fontId="139" fillId="0" borderId="0">
      <alignment horizontal="right"/>
    </xf>
    <xf numFmtId="49" fontId="33" fillId="0" borderId="0">
      <alignment horizontal="right"/>
    </xf>
    <xf numFmtId="49" fontId="139" fillId="0" borderId="0">
      <alignment horizontal="right"/>
    </xf>
    <xf numFmtId="49" fontId="139" fillId="0" borderId="0">
      <alignment horizontal="right"/>
    </xf>
    <xf numFmtId="49" fontId="139" fillId="0" borderId="0">
      <alignment horizontal="right"/>
    </xf>
    <xf numFmtId="49" fontId="33" fillId="0" borderId="0">
      <alignment horizontal="right"/>
    </xf>
    <xf numFmtId="49" fontId="33" fillId="0" borderId="0">
      <alignment horizontal="right"/>
    </xf>
    <xf numFmtId="49" fontId="33" fillId="0" borderId="0">
      <alignment horizontal="right"/>
    </xf>
    <xf numFmtId="49" fontId="33" fillId="0" borderId="0">
      <alignment horizontal="right"/>
    </xf>
    <xf numFmtId="49" fontId="139" fillId="0" borderId="0">
      <alignment horizontal="right"/>
    </xf>
    <xf numFmtId="49" fontId="139" fillId="0" borderId="0">
      <alignment horizontal="right"/>
    </xf>
    <xf numFmtId="49" fontId="33" fillId="0" borderId="0">
      <alignment horizontal="right"/>
    </xf>
    <xf numFmtId="279" fontId="28" fillId="2" borderId="46" applyNumberFormat="0" applyFont="0" applyAlignment="0"/>
    <xf numFmtId="279" fontId="28" fillId="2" borderId="46" applyNumberFormat="0" applyFont="0" applyAlignment="0"/>
    <xf numFmtId="292" fontId="144" fillId="0" borderId="0" applyFont="0" applyFill="0" applyBorder="0" applyAlignment="0" applyProtection="0">
      <alignment horizontal="right"/>
    </xf>
    <xf numFmtId="0" fontId="153" fillId="0" borderId="0" applyProtection="0">
      <alignment horizontal="right"/>
    </xf>
    <xf numFmtId="0" fontId="139" fillId="0" borderId="0">
      <alignment horizontal="left"/>
    </xf>
    <xf numFmtId="0" fontId="139" fillId="0" borderId="0">
      <alignment horizontal="right"/>
    </xf>
    <xf numFmtId="0" fontId="6" fillId="0" borderId="49" applyNumberFormat="0" applyAlignment="0" applyProtection="0">
      <alignment horizontal="left" vertical="center"/>
    </xf>
    <xf numFmtId="0" fontId="6" fillId="0" borderId="34">
      <alignment horizontal="left" vertical="center"/>
    </xf>
    <xf numFmtId="0" fontId="139" fillId="0" borderId="0">
      <alignment horizontal="left"/>
    </xf>
    <xf numFmtId="0" fontId="139" fillId="0" borderId="10">
      <alignment horizontal="left" vertical="top"/>
    </xf>
    <xf numFmtId="0" fontId="139" fillId="0" borderId="0">
      <alignment horizontal="left"/>
    </xf>
    <xf numFmtId="0" fontId="139" fillId="0" borderId="10">
      <alignment horizontal="left" vertical="top"/>
    </xf>
    <xf numFmtId="0" fontId="139" fillId="0" borderId="0">
      <alignment horizontal="left"/>
    </xf>
    <xf numFmtId="0" fontId="5" fillId="0" borderId="0" applyNumberFormat="0" applyFill="0" applyBorder="0" applyAlignment="0" applyProtection="0">
      <alignment horizontal="left"/>
    </xf>
    <xf numFmtId="0" fontId="5" fillId="0" borderId="1" applyNumberFormat="0" applyFill="0" applyBorder="0" applyAlignment="0" applyProtection="0">
      <alignment horizontal="left"/>
    </xf>
    <xf numFmtId="38" fontId="5" fillId="0" borderId="0"/>
    <xf numFmtId="38" fontId="5" fillId="0" borderId="0"/>
    <xf numFmtId="38" fontId="5" fillId="0" borderId="0"/>
    <xf numFmtId="172" fontId="5" fillId="0" borderId="0"/>
    <xf numFmtId="172" fontId="5" fillId="0" borderId="0"/>
    <xf numFmtId="172" fontId="5" fillId="0" borderId="0"/>
    <xf numFmtId="251" fontId="139" fillId="0" borderId="0" applyFill="0" applyBorder="0" applyAlignment="0" applyProtection="0">
      <alignment horizontal="right"/>
      <protection locked="0"/>
    </xf>
    <xf numFmtId="293" fontId="33" fillId="0" borderId="0" applyBorder="0" applyAlignment="0"/>
    <xf numFmtId="10" fontId="26" fillId="2" borderId="46" applyNumberFormat="0" applyBorder="0" applyAlignment="0" applyProtection="0"/>
    <xf numFmtId="10" fontId="26" fillId="2" borderId="46" applyNumberFormat="0" applyBorder="0" applyAlignment="0" applyProtection="0"/>
    <xf numFmtId="0" fontId="94" fillId="28" borderId="40" applyNumberFormat="0" applyAlignment="0" applyProtection="0"/>
    <xf numFmtId="0" fontId="139" fillId="0" borderId="0" applyFill="0" applyBorder="0" applyProtection="0"/>
    <xf numFmtId="0" fontId="139" fillId="0" borderId="0" applyFill="0" applyBorder="0" applyProtection="0"/>
    <xf numFmtId="0" fontId="139" fillId="0" borderId="0" applyFill="0" applyBorder="0" applyProtection="0"/>
    <xf numFmtId="0" fontId="139" fillId="0" borderId="0" applyFill="0" applyBorder="0" applyProtection="0"/>
    <xf numFmtId="0" fontId="139" fillId="0" borderId="0" applyFill="0" applyBorder="0" applyProtection="0"/>
    <xf numFmtId="0" fontId="139" fillId="0" borderId="0" applyFill="0" applyBorder="0" applyProtection="0">
      <alignment vertical="center"/>
    </xf>
    <xf numFmtId="0" fontId="139" fillId="0" borderId="0" applyFill="0" applyBorder="0" applyProtection="0">
      <alignment vertical="center"/>
    </xf>
    <xf numFmtId="0" fontId="139" fillId="0" borderId="0" applyFont="0" applyFill="0" applyBorder="0" applyAlignment="0">
      <protection locked="0"/>
    </xf>
    <xf numFmtId="0" fontId="139" fillId="0" borderId="0" applyFont="0" applyFill="0" applyBorder="0" applyAlignment="0">
      <protection locked="0"/>
    </xf>
    <xf numFmtId="0" fontId="139" fillId="0" borderId="0" applyFill="0" applyBorder="0" applyProtection="0">
      <alignment vertical="center"/>
    </xf>
    <xf numFmtId="0" fontId="139" fillId="0" borderId="0" applyFill="0" applyBorder="0" applyProtection="0">
      <alignment vertical="center"/>
    </xf>
    <xf numFmtId="0" fontId="139" fillId="0" borderId="6" applyFill="0"/>
    <xf numFmtId="0" fontId="139" fillId="0" borderId="0"/>
    <xf numFmtId="294" fontId="154" fillId="51" borderId="0" applyBorder="0"/>
    <xf numFmtId="190" fontId="5" fillId="0" borderId="0" applyFont="0" applyFill="0" applyBorder="0" applyAlignment="0" applyProtection="0"/>
    <xf numFmtId="190" fontId="5" fillId="0" borderId="0" applyFont="0" applyFill="0" applyBorder="0" applyAlignment="0" applyProtection="0"/>
    <xf numFmtId="295" fontId="5" fillId="0" borderId="0" applyFont="0" applyFill="0" applyBorder="0" applyAlignment="0" applyProtection="0"/>
    <xf numFmtId="296" fontId="28" fillId="0" borderId="0" applyNumberFormat="0" applyFill="0" applyBorder="0" applyAlignment="0" applyProtection="0"/>
    <xf numFmtId="296" fontId="28" fillId="0" borderId="0" applyNumberFormat="0" applyFill="0" applyBorder="0" applyAlignment="0" applyProtection="0"/>
    <xf numFmtId="3" fontId="155" fillId="0" borderId="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2" fontId="139" fillId="0" borderId="0" applyFont="0" applyFill="0" applyBorder="0" applyAlignment="0" applyProtection="0">
      <alignment horizontal="right"/>
    </xf>
    <xf numFmtId="297" fontId="31" fillId="0" borderId="0" applyFont="0" applyFill="0" applyBorder="0" applyAlignment="0">
      <alignment vertical="center"/>
    </xf>
    <xf numFmtId="297" fontId="31" fillId="0" borderId="0" applyFont="0" applyFill="0" applyBorder="0" applyAlignment="0">
      <alignment vertical="center"/>
    </xf>
    <xf numFmtId="297" fontId="31" fillId="0" borderId="0" applyFont="0" applyFill="0" applyBorder="0" applyAlignment="0">
      <alignment vertical="center"/>
    </xf>
    <xf numFmtId="298" fontId="138" fillId="0" borderId="0">
      <alignment horizontal="right"/>
    </xf>
    <xf numFmtId="293" fontId="138" fillId="0" borderId="0">
      <alignment horizontal="right"/>
    </xf>
    <xf numFmtId="296" fontId="138" fillId="0" borderId="0">
      <alignment horizontal="right"/>
    </xf>
    <xf numFmtId="0" fontId="138" fillId="0" borderId="0">
      <alignment horizontal="right"/>
    </xf>
    <xf numFmtId="1" fontId="156" fillId="0" borderId="0"/>
    <xf numFmtId="299" fontId="5" fillId="51" borderId="0" applyBorder="0" applyAlignment="0">
      <alignment horizontal="right"/>
    </xf>
    <xf numFmtId="299" fontId="5" fillId="51" borderId="0" applyBorder="0" applyAlignment="0">
      <alignment horizontal="right"/>
    </xf>
    <xf numFmtId="299" fontId="5" fillId="51" borderId="0" applyBorder="0" applyAlignment="0">
      <alignment horizontal="right"/>
    </xf>
    <xf numFmtId="235" fontId="157" fillId="0" borderId="0" applyFill="0" applyBorder="0" applyAlignment="0" applyProtection="0"/>
    <xf numFmtId="300" fontId="5" fillId="0" borderId="0" applyFont="0" applyFill="0" applyBorder="0" applyAlignment="0" applyProtection="0"/>
    <xf numFmtId="301" fontId="5" fillId="0" borderId="0" applyFont="0" applyFill="0" applyBorder="0" applyAlignment="0" applyProtection="0"/>
    <xf numFmtId="302" fontId="5" fillId="0" borderId="0" applyFont="0" applyFill="0" applyBorder="0" applyAlignment="0" applyProtection="0"/>
    <xf numFmtId="303" fontId="5" fillId="0" borderId="0" applyFont="0" applyFill="0" applyBorder="0" applyAlignment="0" applyProtection="0"/>
    <xf numFmtId="0" fontId="138" fillId="48" borderId="11">
      <alignment horizontal="right"/>
    </xf>
    <xf numFmtId="304" fontId="5" fillId="0" borderId="0" applyFont="0" applyFill="0" applyBorder="0" applyAlignment="0" applyProtection="0"/>
    <xf numFmtId="305" fontId="5" fillId="0" borderId="0" applyFont="0" applyFill="0" applyBorder="0" applyAlignment="0" applyProtection="0"/>
    <xf numFmtId="306" fontId="5" fillId="0" borderId="0" applyFill="0" applyBorder="0" applyAlignment="0" applyProtection="0"/>
    <xf numFmtId="306" fontId="5" fillId="0" borderId="0" applyFill="0" applyBorder="0" applyAlignment="0" applyProtection="0"/>
    <xf numFmtId="306" fontId="5" fillId="0" borderId="0" applyFill="0" applyBorder="0" applyAlignment="0" applyProtection="0"/>
    <xf numFmtId="307" fontId="5" fillId="0" borderId="0" applyFill="0" applyBorder="0" applyAlignment="0" applyProtection="0"/>
    <xf numFmtId="307" fontId="5" fillId="0" borderId="0" applyFill="0" applyBorder="0" applyAlignment="0" applyProtection="0"/>
    <xf numFmtId="307" fontId="5" fillId="0" borderId="0" applyFill="0" applyBorder="0" applyAlignment="0" applyProtection="0"/>
    <xf numFmtId="0" fontId="139" fillId="12" borderId="58" applyFont="0" applyFill="0" applyBorder="0" applyAlignment="0">
      <alignment horizontal="center"/>
    </xf>
    <xf numFmtId="308" fontId="5" fillId="0" borderId="0" applyFont="0" applyFill="0" applyBorder="0" applyAlignment="0" applyProtection="0"/>
    <xf numFmtId="308" fontId="5" fillId="0" borderId="0" applyFont="0" applyFill="0" applyBorder="0" applyAlignment="0" applyProtection="0"/>
    <xf numFmtId="0" fontId="139" fillId="0" borderId="0" applyFill="0" applyBorder="0" applyProtection="0">
      <alignment vertical="center"/>
    </xf>
    <xf numFmtId="0" fontId="139" fillId="0" borderId="0" applyFont="0" applyFill="0" applyBorder="0" applyAlignment="0" applyProtection="0">
      <alignment horizontal="right"/>
    </xf>
    <xf numFmtId="309" fontId="45" fillId="0" borderId="0"/>
    <xf numFmtId="0" fontId="25" fillId="19" borderId="53">
      <alignment horizontal="center" wrapText="1"/>
    </xf>
    <xf numFmtId="37" fontId="5" fillId="0" borderId="0"/>
    <xf numFmtId="37" fontId="5" fillId="0" borderId="0"/>
    <xf numFmtId="310" fontId="5" fillId="0" borderId="0"/>
    <xf numFmtId="310" fontId="5" fillId="0" borderId="0"/>
    <xf numFmtId="310" fontId="5" fillId="0" borderId="0"/>
    <xf numFmtId="37" fontId="67" fillId="0" borderId="0" applyAlignment="0"/>
    <xf numFmtId="37" fontId="67" fillId="0" borderId="0" applyAlignment="0"/>
    <xf numFmtId="37" fontId="67" fillId="0" borderId="0" applyAlignment="0"/>
    <xf numFmtId="0" fontId="34" fillId="0" borderId="0"/>
    <xf numFmtId="37" fontId="139" fillId="0" borderId="0" applyNumberFormat="0" applyFill="0" applyAlignment="0"/>
    <xf numFmtId="37" fontId="139" fillId="0" borderId="0" applyNumberFormat="0" applyFill="0" applyAlignment="0"/>
    <xf numFmtId="37" fontId="139" fillId="0" borderId="0" applyNumberFormat="0" applyFill="0" applyAlignment="0"/>
    <xf numFmtId="0" fontId="139" fillId="0" borderId="0" applyFill="0" applyBorder="0" applyProtection="0">
      <alignment vertical="center"/>
    </xf>
    <xf numFmtId="0" fontId="5" fillId="0" borderId="0"/>
    <xf numFmtId="0" fontId="139" fillId="0" borderId="0"/>
    <xf numFmtId="0" fontId="158" fillId="0" borderId="0" applyNumberFormat="0" applyFill="0" applyBorder="0" applyAlignment="0" applyProtection="0"/>
    <xf numFmtId="0" fontId="159" fillId="0" borderId="0" applyNumberFormat="0" applyFill="0" applyBorder="0" applyAlignment="0" applyProtection="0"/>
    <xf numFmtId="0" fontId="160" fillId="0" borderId="0" applyNumberFormat="0" applyFill="0" applyBorder="0" applyAlignment="0" applyProtection="0"/>
    <xf numFmtId="0" fontId="161" fillId="0" borderId="0"/>
    <xf numFmtId="0" fontId="162" fillId="0" borderId="44"/>
    <xf numFmtId="39" fontId="139" fillId="0" borderId="0"/>
    <xf numFmtId="311" fontId="163"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0" fontId="139" fillId="0" borderId="0" applyNumberFormat="0" applyAlignment="0"/>
    <xf numFmtId="0" fontId="139" fillId="0" borderId="0" applyNumberFormat="0" applyAlignment="0"/>
    <xf numFmtId="0" fontId="139" fillId="0" borderId="0" applyNumberFormat="0" applyAlignment="0"/>
    <xf numFmtId="0" fontId="139" fillId="0" borderId="0"/>
    <xf numFmtId="312" fontId="31" fillId="0" borderId="0" applyFont="0" applyFill="0" applyBorder="0" applyAlignment="0">
      <alignment vertical="center"/>
    </xf>
    <xf numFmtId="312" fontId="31" fillId="0" borderId="0" applyFont="0" applyFill="0" applyBorder="0" applyAlignment="0">
      <alignment vertical="center"/>
    </xf>
    <xf numFmtId="312" fontId="31" fillId="0" borderId="0" applyFont="0" applyFill="0" applyBorder="0" applyAlignment="0">
      <alignment vertical="center"/>
    </xf>
    <xf numFmtId="301" fontId="139" fillId="0" borderId="0" applyFont="0" applyFill="0" applyBorder="0" applyAlignment="0" applyProtection="0">
      <alignment horizontal="right"/>
    </xf>
    <xf numFmtId="1" fontId="164" fillId="0" borderId="0" applyProtection="0">
      <alignment horizontal="right" vertical="center"/>
    </xf>
    <xf numFmtId="0" fontId="139" fillId="0" borderId="0" applyNumberFormat="0" applyFill="0" applyBorder="0" applyAlignment="0" applyProtection="0"/>
    <xf numFmtId="313" fontId="138" fillId="49" borderId="0"/>
    <xf numFmtId="0" fontId="139" fillId="0" borderId="0" applyFont="0" applyFill="0" applyBorder="0" applyAlignment="0" applyProtection="0">
      <alignment horizontal="right"/>
    </xf>
    <xf numFmtId="9" fontId="139" fillId="0" borderId="0" applyFont="0" applyFill="0" applyBorder="0" applyAlignment="0" applyProtection="0">
      <alignment horizontal="right"/>
    </xf>
    <xf numFmtId="300" fontId="138" fillId="49" borderId="0"/>
    <xf numFmtId="314" fontId="138" fillId="0" borderId="0"/>
    <xf numFmtId="315" fontId="45" fillId="0" borderId="0" applyFont="0" applyFill="0" applyBorder="0" applyAlignment="0" applyProtection="0"/>
    <xf numFmtId="2" fontId="139" fillId="0" borderId="0"/>
    <xf numFmtId="0" fontId="5" fillId="0" borderId="0" applyFont="0" applyFill="0" applyBorder="0" applyAlignment="0" applyProtection="0"/>
    <xf numFmtId="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9" fontId="34" fillId="0" borderId="0" applyFont="0" applyFill="0" applyBorder="0" applyAlignment="0" applyProtection="0"/>
    <xf numFmtId="0" fontId="139" fillId="0" borderId="6" applyFont="0" applyFill="0" applyBorder="0" applyAlignment="0">
      <alignment horizontal="right"/>
    </xf>
    <xf numFmtId="0" fontId="139" fillId="0" borderId="0" applyFont="0" applyFill="0" applyBorder="0"/>
    <xf numFmtId="250" fontId="26" fillId="0" borderId="0" applyFont="0" applyFill="0" applyBorder="0" applyAlignment="0" applyProtection="0"/>
    <xf numFmtId="0" fontId="139" fillId="0" borderId="0" applyFont="0" applyFill="0"/>
    <xf numFmtId="253" fontId="139" fillId="0" borderId="0" applyFont="0" applyFill="0" applyBorder="0" applyAlignment="0" applyProtection="0"/>
    <xf numFmtId="167" fontId="139" fillId="0" borderId="0" applyFont="0" applyFill="0" applyBorder="0" applyAlignment="0" applyProtection="0"/>
    <xf numFmtId="251" fontId="139" fillId="0" borderId="0" applyFont="0" applyFill="0" applyBorder="0" applyAlignment="0" applyProtection="0">
      <protection locked="0"/>
    </xf>
    <xf numFmtId="10" fontId="5" fillId="0" borderId="0" applyFill="0" applyBorder="0" applyAlignment="0" applyProtection="0"/>
    <xf numFmtId="10" fontId="5" fillId="0" borderId="0" applyFill="0" applyBorder="0" applyAlignment="0" applyProtection="0"/>
    <xf numFmtId="10" fontId="5" fillId="0" borderId="0" applyFill="0" applyBorder="0" applyAlignment="0" applyProtection="0"/>
    <xf numFmtId="7" fontId="5" fillId="0" borderId="0"/>
    <xf numFmtId="7" fontId="5" fillId="0" borderId="0"/>
    <xf numFmtId="7" fontId="5" fillId="0" borderId="0"/>
    <xf numFmtId="251" fontId="139" fillId="0" borderId="0" applyFill="0" applyBorder="0" applyAlignment="0" applyProtection="0"/>
    <xf numFmtId="38" fontId="139" fillId="0" borderId="0" applyFont="0" applyFill="0" applyBorder="0" applyAlignment="0" applyProtection="0"/>
    <xf numFmtId="10" fontId="139" fillId="0" borderId="0"/>
    <xf numFmtId="10" fontId="139" fillId="5" borderId="0"/>
    <xf numFmtId="9" fontId="139" fillId="0" borderId="0" applyFont="0" applyFill="0" applyBorder="0" applyAlignment="0" applyProtection="0"/>
    <xf numFmtId="39" fontId="5" fillId="0" borderId="0" applyFill="0" applyBorder="0" applyAlignment="0" applyProtection="0"/>
    <xf numFmtId="39" fontId="5" fillId="0" borderId="0" applyFill="0" applyBorder="0" applyAlignment="0" applyProtection="0"/>
    <xf numFmtId="37" fontId="5" fillId="0" borderId="0" applyFill="0" applyBorder="0" applyAlignment="0" applyProtection="0"/>
    <xf numFmtId="37" fontId="5" fillId="0" borderId="0" applyFill="0" applyBorder="0" applyAlignment="0" applyProtection="0"/>
    <xf numFmtId="37" fontId="5" fillId="0" borderId="0" applyFill="0" applyBorder="0" applyAlignment="0" applyProtection="0"/>
    <xf numFmtId="316" fontId="138" fillId="48" borderId="0"/>
    <xf numFmtId="314" fontId="138" fillId="48" borderId="0"/>
    <xf numFmtId="0" fontId="139" fillId="0" borderId="0">
      <alignment horizontal="center"/>
    </xf>
    <xf numFmtId="0" fontId="138" fillId="0" borderId="6">
      <alignment horizontal="centerContinuous"/>
    </xf>
    <xf numFmtId="317" fontId="138" fillId="48" borderId="0">
      <alignment horizontal="right"/>
    </xf>
    <xf numFmtId="0" fontId="165" fillId="0" borderId="0"/>
    <xf numFmtId="0" fontId="5" fillId="0" borderId="0"/>
    <xf numFmtId="0" fontId="5" fillId="0" borderId="0"/>
    <xf numFmtId="0" fontId="5" fillId="0" borderId="0"/>
    <xf numFmtId="0" fontId="165" fillId="0" borderId="0"/>
    <xf numFmtId="0" fontId="5" fillId="0" borderId="0"/>
    <xf numFmtId="0" fontId="5" fillId="0" borderId="0"/>
    <xf numFmtId="0" fontId="5" fillId="0" borderId="0"/>
    <xf numFmtId="0" fontId="5" fillId="0" borderId="0"/>
    <xf numFmtId="0" fontId="5" fillId="0" borderId="0"/>
    <xf numFmtId="0" fontId="5" fillId="0" borderId="0"/>
    <xf numFmtId="0" fontId="165" fillId="0" borderId="0"/>
    <xf numFmtId="0" fontId="9"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249" fontId="26" fillId="48" borderId="0" applyNumberFormat="0" applyAlignment="0">
      <alignment horizontal="center"/>
    </xf>
    <xf numFmtId="318" fontId="138" fillId="48" borderId="11">
      <alignment horizontal="right"/>
    </xf>
    <xf numFmtId="251" fontId="149" fillId="0" borderId="0" applyFont="0" applyFill="0" applyBorder="0" applyAlignment="0" applyProtection="0"/>
    <xf numFmtId="0" fontId="141" fillId="0" borderId="11" applyNumberFormat="0" applyBorder="0" applyAlignment="0"/>
    <xf numFmtId="0" fontId="141" fillId="0" borderId="11" applyNumberFormat="0" applyBorder="0" applyAlignment="0"/>
    <xf numFmtId="14" fontId="68" fillId="0" borderId="0" applyNumberFormat="0" applyFill="0" applyBorder="0" applyAlignment="0" applyProtection="0">
      <alignment horizontal="left"/>
    </xf>
    <xf numFmtId="0" fontId="139" fillId="0" borderId="59">
      <alignment vertical="center"/>
    </xf>
    <xf numFmtId="319" fontId="45" fillId="0" borderId="0" applyFont="0" applyFill="0" applyBorder="0" applyAlignment="0" applyProtection="0"/>
    <xf numFmtId="0" fontId="5" fillId="14" borderId="0">
      <alignment horizontal="right"/>
    </xf>
    <xf numFmtId="0" fontId="5" fillId="14" borderId="0">
      <alignment horizontal="right"/>
    </xf>
    <xf numFmtId="180" fontId="67" fillId="0" borderId="6" applyFont="0" applyFill="0" applyBorder="0" applyAlignment="0" applyProtection="0">
      <alignment horizontal="right"/>
    </xf>
    <xf numFmtId="209" fontId="139" fillId="0" borderId="0" applyFill="0" applyBorder="0" applyAlignment="0" applyProtection="0">
      <protection locked="0"/>
    </xf>
    <xf numFmtId="1" fontId="5" fillId="0" borderId="0"/>
    <xf numFmtId="1" fontId="5" fillId="0" borderId="0"/>
    <xf numFmtId="320" fontId="31" fillId="0" borderId="0" applyFill="0" applyBorder="0"/>
    <xf numFmtId="226" fontId="5" fillId="0" borderId="0" applyFont="0" applyFill="0" applyBorder="0" applyAlignment="0" applyProtection="0"/>
    <xf numFmtId="226" fontId="5" fillId="0" borderId="0" applyFont="0" applyFill="0" applyBorder="0" applyAlignment="0" applyProtection="0"/>
    <xf numFmtId="226" fontId="5" fillId="0" borderId="0" applyFont="0" applyFill="0" applyBorder="0" applyAlignment="0" applyProtection="0"/>
    <xf numFmtId="0" fontId="166" fillId="0" borderId="6"/>
    <xf numFmtId="0" fontId="139" fillId="0" borderId="0" applyNumberFormat="0" applyAlignment="0"/>
    <xf numFmtId="0" fontId="139" fillId="0" borderId="0" applyFill="0" applyBorder="0" applyProtection="0">
      <alignment horizontal="right"/>
    </xf>
    <xf numFmtId="0" fontId="167" fillId="0" borderId="0"/>
    <xf numFmtId="0" fontId="67" fillId="0" borderId="0"/>
    <xf numFmtId="189" fontId="67" fillId="37" borderId="0"/>
    <xf numFmtId="275" fontId="45" fillId="0" borderId="0" applyFont="0" applyFill="0" applyBorder="0" applyAlignment="0" applyProtection="0"/>
    <xf numFmtId="276" fontId="45" fillId="0" borderId="0" applyFont="0" applyFill="0" applyBorder="0" applyAlignment="0" applyProtection="0"/>
    <xf numFmtId="318" fontId="26" fillId="0" borderId="0" applyFill="0" applyBorder="0" applyAlignment="0" applyProtection="0"/>
    <xf numFmtId="318" fontId="26" fillId="0" borderId="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321" fontId="5" fillId="0" borderId="0" applyNumberFormat="0" applyFill="0" applyBorder="0" applyAlignment="0" applyProtection="0">
      <alignment horizontal="right" vertical="center" wrapText="1"/>
    </xf>
    <xf numFmtId="321" fontId="5" fillId="0" borderId="0" applyNumberFormat="0" applyFill="0" applyBorder="0" applyAlignment="0" applyProtection="0">
      <alignment horizontal="right" vertical="center" wrapText="1"/>
    </xf>
    <xf numFmtId="40" fontId="5" fillId="0" borderId="0" applyBorder="0">
      <alignment horizontal="right"/>
    </xf>
    <xf numFmtId="40" fontId="5" fillId="0" borderId="0" applyBorder="0">
      <alignment horizontal="right"/>
    </xf>
    <xf numFmtId="322" fontId="5" fillId="0" borderId="0"/>
    <xf numFmtId="322" fontId="5" fillId="0" borderId="0"/>
    <xf numFmtId="322" fontId="5" fillId="0" borderId="0"/>
    <xf numFmtId="0" fontId="168" fillId="0" borderId="51" applyNumberFormat="0" applyFill="0" applyBorder="0" applyAlignment="0" applyProtection="0"/>
    <xf numFmtId="0" fontId="5" fillId="0" borderId="10" applyBorder="0">
      <alignment horizontal="center"/>
    </xf>
    <xf numFmtId="0" fontId="5" fillId="0" borderId="10" applyBorder="0">
      <alignment horizontal="center"/>
    </xf>
    <xf numFmtId="0" fontId="169" fillId="0" borderId="6" applyBorder="0" applyProtection="0">
      <alignment horizontal="right" vertical="center"/>
    </xf>
    <xf numFmtId="0" fontId="170" fillId="52" borderId="0" applyBorder="0" applyProtection="0">
      <alignment horizontal="centerContinuous" vertical="center"/>
    </xf>
    <xf numFmtId="0" fontId="170" fillId="14" borderId="6" applyBorder="0" applyProtection="0">
      <alignment horizontal="centerContinuous" vertical="center"/>
    </xf>
    <xf numFmtId="0" fontId="139" fillId="0" borderId="0" applyBorder="0" applyProtection="0">
      <alignment vertical="center"/>
    </xf>
    <xf numFmtId="0" fontId="139" fillId="0" borderId="0" applyNumberFormat="0" applyFill="0" applyBorder="0" applyProtection="0">
      <alignment horizontal="left"/>
    </xf>
    <xf numFmtId="0" fontId="82" fillId="0" borderId="0" applyFill="0" applyBorder="0" applyProtection="0"/>
    <xf numFmtId="0" fontId="139" fillId="0" borderId="0" applyFill="0" applyBorder="0" applyProtection="0">
      <alignment vertical="center"/>
    </xf>
    <xf numFmtId="0" fontId="139" fillId="0" borderId="0">
      <alignment vertical="center"/>
    </xf>
    <xf numFmtId="0" fontId="139" fillId="0" borderId="0" applyFill="0" applyBorder="0" applyProtection="0">
      <alignment vertical="center"/>
    </xf>
    <xf numFmtId="0" fontId="139" fillId="0" borderId="0"/>
    <xf numFmtId="203" fontId="171" fillId="0" borderId="0" applyNumberFormat="0" applyFill="0" applyBorder="0">
      <alignment horizontal="left"/>
    </xf>
    <xf numFmtId="0" fontId="139" fillId="0" borderId="0" applyNumberFormat="0" applyFill="0" applyBorder="0">
      <alignment horizontal="right"/>
    </xf>
    <xf numFmtId="203" fontId="172" fillId="0" borderId="0" applyNumberFormat="0" applyFill="0" applyBorder="0">
      <alignment horizontal="right"/>
    </xf>
    <xf numFmtId="49" fontId="139" fillId="0" borderId="0"/>
    <xf numFmtId="0" fontId="173" fillId="0" borderId="0">
      <alignment horizontal="left"/>
    </xf>
    <xf numFmtId="0" fontId="139" fillId="0" borderId="10" applyFill="0" applyBorder="0" applyProtection="0"/>
    <xf numFmtId="0" fontId="139" fillId="0" borderId="0"/>
    <xf numFmtId="0" fontId="139" fillId="0" borderId="0" applyNumberFormat="0" applyFill="0" applyBorder="0" applyProtection="0"/>
    <xf numFmtId="0" fontId="139" fillId="0" borderId="0" applyFill="0" applyBorder="0" applyProtection="0"/>
    <xf numFmtId="0" fontId="139" fillId="0" borderId="0"/>
    <xf numFmtId="0" fontId="139" fillId="0" borderId="0" applyNumberFormat="0" applyFill="0" applyBorder="0" applyProtection="0"/>
    <xf numFmtId="0" fontId="139" fillId="0" borderId="0" applyFill="0" applyBorder="0" applyProtection="0"/>
    <xf numFmtId="0" fontId="139" fillId="0" borderId="0" applyNumberFormat="0" applyFill="0" applyBorder="0" applyProtection="0"/>
    <xf numFmtId="0" fontId="139" fillId="0" borderId="0"/>
    <xf numFmtId="0" fontId="139" fillId="0" borderId="10" applyFill="0" applyBorder="0" applyProtection="0"/>
    <xf numFmtId="323" fontId="28" fillId="0" borderId="0" applyBorder="0" applyProtection="0">
      <alignment horizontal="right"/>
    </xf>
    <xf numFmtId="323" fontId="28" fillId="0" borderId="0" applyBorder="0" applyProtection="0">
      <alignment horizontal="right"/>
    </xf>
    <xf numFmtId="324" fontId="5" fillId="0" borderId="0"/>
    <xf numFmtId="325" fontId="45" fillId="0" borderId="0" applyFont="0" applyFill="0" applyBorder="0" applyAlignment="0" applyProtection="0"/>
    <xf numFmtId="324" fontId="5" fillId="0" borderId="0"/>
    <xf numFmtId="324" fontId="5" fillId="0" borderId="0"/>
    <xf numFmtId="326" fontId="45" fillId="0" borderId="0" applyFont="0" applyFill="0" applyBorder="0" applyAlignment="0" applyProtection="0"/>
    <xf numFmtId="327" fontId="45" fillId="0" borderId="0"/>
    <xf numFmtId="327" fontId="45" fillId="0" borderId="0"/>
    <xf numFmtId="327" fontId="45" fillId="0" borderId="0"/>
    <xf numFmtId="328" fontId="31" fillId="0" borderId="0"/>
    <xf numFmtId="251" fontId="174" fillId="0" borderId="0" applyNumberFormat="0" applyFill="0" applyBorder="0" applyAlignment="0" applyProtection="0"/>
    <xf numFmtId="0" fontId="139" fillId="0" borderId="0"/>
    <xf numFmtId="0" fontId="139" fillId="0" borderId="0"/>
    <xf numFmtId="0" fontId="139" fillId="0" borderId="0"/>
    <xf numFmtId="189" fontId="5" fillId="0" borderId="36" applyNumberFormat="0" applyFont="0" applyFill="0" applyAlignment="0"/>
    <xf numFmtId="0" fontId="139" fillId="0" borderId="0" applyFill="0" applyBorder="0" applyProtection="0"/>
    <xf numFmtId="0" fontId="139" fillId="0" borderId="0" applyFill="0" applyBorder="0" applyProtection="0"/>
    <xf numFmtId="0" fontId="139" fillId="0" borderId="56" applyFill="0" applyBorder="0" applyProtection="0">
      <alignment vertical="center"/>
    </xf>
    <xf numFmtId="0" fontId="5" fillId="0" borderId="46">
      <protection locked="0"/>
    </xf>
    <xf numFmtId="0" fontId="5" fillId="0" borderId="46">
      <protection locked="0"/>
    </xf>
    <xf numFmtId="171" fontId="5" fillId="0" borderId="46">
      <alignment horizontal="right"/>
      <protection locked="0"/>
    </xf>
    <xf numFmtId="171" fontId="5" fillId="0" borderId="46">
      <alignment horizontal="right"/>
      <protection locked="0"/>
    </xf>
    <xf numFmtId="329" fontId="31" fillId="0" borderId="0" applyFont="0" applyFill="0" applyBorder="0" applyAlignment="0" applyProtection="0"/>
    <xf numFmtId="38" fontId="8" fillId="0" borderId="0" applyFont="0" applyFill="0" applyBorder="0" applyAlignment="0" applyProtection="0"/>
    <xf numFmtId="40" fontId="8" fillId="0" borderId="0" applyFont="0" applyFill="0" applyBorder="0" applyAlignment="0" applyProtection="0"/>
    <xf numFmtId="330" fontId="26" fillId="0" borderId="0" applyBorder="0" applyProtection="0">
      <alignment horizontal="right"/>
    </xf>
    <xf numFmtId="330" fontId="26" fillId="0" borderId="0" applyBorder="0" applyProtection="0">
      <alignment horizontal="right"/>
    </xf>
    <xf numFmtId="330" fontId="26" fillId="0" borderId="0" applyBorder="0" applyProtection="0">
      <alignment horizontal="right"/>
    </xf>
    <xf numFmtId="40" fontId="142" fillId="0" borderId="0"/>
    <xf numFmtId="331" fontId="175" fillId="0" borderId="0"/>
    <xf numFmtId="37" fontId="139" fillId="0" borderId="0"/>
    <xf numFmtId="0" fontId="5" fillId="0" borderId="36" applyNumberFormat="0" applyFont="0" applyFill="0" applyAlignment="0" applyProtection="0"/>
    <xf numFmtId="0" fontId="5" fillId="0" borderId="36" applyNumberFormat="0" applyFont="0" applyFill="0" applyAlignment="0" applyProtection="0"/>
    <xf numFmtId="0" fontId="5" fillId="0" borderId="36" applyNumberFormat="0" applyFont="0" applyFill="0" applyAlignment="0" applyProtection="0"/>
    <xf numFmtId="203" fontId="26" fillId="2" borderId="55">
      <alignment horizontal="right"/>
    </xf>
    <xf numFmtId="203" fontId="28" fillId="2" borderId="55"/>
    <xf numFmtId="0" fontId="176" fillId="53" borderId="60">
      <alignment horizontal="left"/>
    </xf>
    <xf numFmtId="0" fontId="176" fillId="53" borderId="60">
      <alignment horizontal="left"/>
    </xf>
    <xf numFmtId="0" fontId="176" fillId="53" borderId="60">
      <alignment horizontal="left"/>
    </xf>
    <xf numFmtId="318" fontId="5" fillId="0" borderId="0" applyFont="0" applyFill="0" applyBorder="0" applyAlignment="0" applyProtection="0"/>
    <xf numFmtId="298" fontId="5" fillId="0" borderId="0" applyFont="0" applyFill="0" applyBorder="0" applyAlignment="0" applyProtection="0"/>
    <xf numFmtId="0" fontId="139" fillId="0" borderId="0"/>
    <xf numFmtId="0" fontId="139" fillId="0" borderId="0"/>
    <xf numFmtId="1" fontId="139" fillId="0" borderId="0" applyFont="0" applyFill="0" applyBorder="0" applyAlignment="0" applyProtection="0"/>
    <xf numFmtId="0" fontId="177" fillId="0" borderId="0"/>
    <xf numFmtId="1" fontId="177" fillId="0" borderId="0"/>
    <xf numFmtId="0" fontId="178" fillId="0" borderId="51" applyNumberFormat="0" applyFill="0" applyBorder="0" applyAlignment="0" applyProtection="0"/>
    <xf numFmtId="0" fontId="179" fillId="0" borderId="51" applyNumberFormat="0" applyFill="0" applyBorder="0" applyAlignment="0" applyProtection="0"/>
    <xf numFmtId="0" fontId="180" fillId="0" borderId="51" applyNumberFormat="0" applyFill="0" applyBorder="0" applyAlignment="0" applyProtection="0"/>
    <xf numFmtId="203" fontId="31" fillId="0" borderId="0"/>
    <xf numFmtId="0" fontId="31" fillId="0" borderId="0"/>
    <xf numFmtId="332" fontId="5" fillId="0" borderId="0"/>
    <xf numFmtId="332" fontId="5" fillId="0" borderId="0"/>
    <xf numFmtId="0" fontId="5" fillId="0" borderId="6" applyBorder="0" applyProtection="0">
      <alignment horizontal="right"/>
    </xf>
    <xf numFmtId="333" fontId="26" fillId="0" borderId="0" applyFill="0" applyBorder="0" applyAlignment="0" applyProtection="0"/>
    <xf numFmtId="333" fontId="26" fillId="0" borderId="0" applyFill="0" applyBorder="0" applyAlignment="0" applyProtection="0"/>
    <xf numFmtId="0" fontId="181" fillId="0" borderId="0">
      <alignment horizontal="left"/>
    </xf>
    <xf numFmtId="0" fontId="139" fillId="0" borderId="0"/>
    <xf numFmtId="0" fontId="139" fillId="0" borderId="0"/>
    <xf numFmtId="0" fontId="182" fillId="0" borderId="0"/>
    <xf numFmtId="0" fontId="39" fillId="0" borderId="61" applyNumberFormat="0" applyFill="0" applyAlignment="0" applyProtection="0"/>
    <xf numFmtId="0" fontId="39" fillId="0" borderId="61" applyNumberFormat="0" applyFill="0" applyAlignment="0" applyProtection="0"/>
    <xf numFmtId="0" fontId="39" fillId="0" borderId="61" applyNumberForma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263" fontId="5" fillId="18" borderId="34" applyFont="0">
      <alignment horizontal="right"/>
    </xf>
    <xf numFmtId="263" fontId="5" fillId="18" borderId="34" applyFont="0">
      <alignment horizontal="right"/>
    </xf>
    <xf numFmtId="202" fontId="43" fillId="18" borderId="34" applyFont="0">
      <alignment horizontal="right"/>
    </xf>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87" fillId="37" borderId="63" applyNumberFormat="0" applyAlignment="0" applyProtection="0"/>
    <xf numFmtId="0" fontId="139" fillId="11" borderId="64" applyFont="0" applyFill="0" applyBorder="0" applyAlignment="0"/>
    <xf numFmtId="165" fontId="12" fillId="0" borderId="45" applyBorder="0"/>
    <xf numFmtId="0" fontId="139" fillId="0" borderId="6" applyFont="0" applyFill="0" applyBorder="0" applyAlignment="0"/>
    <xf numFmtId="0" fontId="139" fillId="0" borderId="6" applyFont="0" applyFill="0" applyBorder="0">
      <alignment horizontal="center"/>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6" fillId="0" borderId="34">
      <alignment horizontal="left" vertical="center"/>
    </xf>
    <xf numFmtId="0" fontId="94" fillId="28" borderId="40" applyNumberFormat="0" applyAlignment="0" applyProtection="0"/>
    <xf numFmtId="0" fontId="139" fillId="0" borderId="6" applyFill="0"/>
    <xf numFmtId="0" fontId="16" fillId="5" borderId="65">
      <alignment horizontal="left" vertical="center" wrapText="1"/>
    </xf>
    <xf numFmtId="0" fontId="16" fillId="5" borderId="65">
      <alignment horizontal="left" vertical="center" wrapText="1"/>
    </xf>
    <xf numFmtId="0" fontId="139" fillId="12" borderId="58" applyFont="0" applyFill="0" applyBorder="0" applyAlignment="0">
      <alignment horizontal="center"/>
    </xf>
    <xf numFmtId="0" fontId="5" fillId="17" borderId="66" applyNumberFormat="0" applyFont="0" applyAlignment="0" applyProtection="0"/>
    <xf numFmtId="0" fontId="139" fillId="0" borderId="6" applyFont="0" applyFill="0" applyBorder="0" applyAlignment="0">
      <alignment horizontal="right"/>
    </xf>
    <xf numFmtId="0" fontId="138" fillId="0" borderId="6">
      <alignment horizontal="centerContinuous"/>
    </xf>
    <xf numFmtId="180" fontId="67" fillId="0" borderId="6" applyFont="0" applyFill="0" applyBorder="0" applyAlignment="0" applyProtection="0">
      <alignment horizontal="right"/>
    </xf>
    <xf numFmtId="0" fontId="166" fillId="0" borderId="6"/>
    <xf numFmtId="0" fontId="74" fillId="0" borderId="29" applyNumberFormat="0" applyFill="0" applyProtection="0">
      <alignment horizontal="right"/>
    </xf>
    <xf numFmtId="0" fontId="74" fillId="0" borderId="29" applyNumberFormat="0" applyFill="0" applyProtection="0">
      <alignment horizontal="right"/>
    </xf>
    <xf numFmtId="0" fontId="168" fillId="0" borderId="62" applyNumberFormat="0" applyFill="0" applyBorder="0" applyAlignment="0" applyProtection="0"/>
    <xf numFmtId="39" fontId="30" fillId="0" borderId="34" applyNumberFormat="0" applyBorder="0">
      <alignment horizontal="right"/>
    </xf>
    <xf numFmtId="0" fontId="75" fillId="0" borderId="6" applyNumberFormat="0" applyFill="0" applyProtection="0"/>
    <xf numFmtId="0" fontId="169" fillId="0" borderId="6" applyBorder="0" applyProtection="0">
      <alignment horizontal="right" vertical="center"/>
    </xf>
    <xf numFmtId="0" fontId="170" fillId="14" borderId="6" applyBorder="0" applyProtection="0">
      <alignment horizontal="centerContinuous" vertical="center"/>
    </xf>
    <xf numFmtId="189" fontId="5" fillId="0" borderId="29" applyNumberFormat="0" applyFont="0" applyFill="0" applyAlignment="0"/>
    <xf numFmtId="0" fontId="5" fillId="0" borderId="36" applyNumberFormat="0" applyFont="0" applyFill="0" applyAlignment="0" applyProtection="0"/>
    <xf numFmtId="0" fontId="5" fillId="0" borderId="36" applyNumberFormat="0" applyFont="0" applyFill="0" applyAlignment="0" applyProtection="0"/>
    <xf numFmtId="0" fontId="5" fillId="0" borderId="36"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1" fontId="22" fillId="0" borderId="34" applyFill="0" applyProtection="0">
      <alignment horizontal="right"/>
    </xf>
    <xf numFmtId="0" fontId="1" fillId="0" borderId="0"/>
    <xf numFmtId="0" fontId="1" fillId="0" borderId="0"/>
    <xf numFmtId="0" fontId="28" fillId="0" borderId="62" applyNumberFormat="0" applyFill="0" applyBorder="0" applyAlignment="0" applyProtection="0"/>
    <xf numFmtId="0" fontId="39" fillId="0" borderId="61" applyNumberFormat="0" applyFill="0" applyAlignment="0" applyProtection="0"/>
    <xf numFmtId="0" fontId="16" fillId="5" borderId="65">
      <alignment horizontal="left" vertical="center" wrapText="1"/>
    </xf>
    <xf numFmtId="0" fontId="5" fillId="0" borderId="64" applyNumberFormat="0" applyFont="0" applyFill="0" applyAlignment="0" applyProtection="0"/>
    <xf numFmtId="0" fontId="74" fillId="0" borderId="64" applyNumberFormat="0" applyFill="0" applyProtection="0">
      <alignment horizontal="right"/>
    </xf>
    <xf numFmtId="202" fontId="43" fillId="18" borderId="69" applyFont="0">
      <alignment horizontal="right"/>
    </xf>
    <xf numFmtId="0" fontId="139" fillId="0" borderId="54" applyNumberFormat="0" applyFont="0" applyFill="0" applyAlignment="0" applyProtection="0"/>
    <xf numFmtId="0" fontId="5" fillId="0" borderId="64" applyNumberFormat="0" applyFont="0" applyFill="0" applyAlignment="0" applyProtection="0"/>
    <xf numFmtId="0" fontId="94" fillId="28" borderId="63" applyNumberFormat="0" applyAlignment="0" applyProtection="0"/>
    <xf numFmtId="0" fontId="94" fillId="28" borderId="63" applyNumberFormat="0" applyAlignment="0" applyProtection="0"/>
    <xf numFmtId="167" fontId="51" fillId="0" borderId="82">
      <protection locked="0"/>
    </xf>
    <xf numFmtId="0" fontId="139" fillId="12" borderId="80" applyFont="0" applyFill="0" applyBorder="0" applyAlignment="0">
      <alignment horizontal="center"/>
    </xf>
    <xf numFmtId="0" fontId="94" fillId="28" borderId="63" applyNumberFormat="0" applyAlignment="0" applyProtection="0"/>
    <xf numFmtId="0" fontId="94" fillId="28" borderId="63" applyNumberFormat="0" applyAlignment="0" applyProtection="0"/>
    <xf numFmtId="0" fontId="5" fillId="0" borderId="64" applyNumberFormat="0" applyFont="0" applyFill="0" applyAlignment="0" applyProtection="0"/>
    <xf numFmtId="0" fontId="39" fillId="0" borderId="61" applyNumberFormat="0" applyFill="0" applyAlignment="0" applyProtection="0"/>
    <xf numFmtId="202" fontId="43" fillId="18" borderId="69" applyFont="0">
      <alignment horizontal="right"/>
    </xf>
    <xf numFmtId="0" fontId="5" fillId="0" borderId="50" applyNumberFormat="0" applyFont="0" applyFill="0" applyAlignment="0" applyProtection="0"/>
    <xf numFmtId="0" fontId="143" fillId="0" borderId="62" applyNumberFormat="0" applyFill="0" applyBorder="0" applyAlignment="0" applyProtection="0"/>
    <xf numFmtId="167" fontId="51" fillId="0" borderId="70">
      <protection locked="0"/>
    </xf>
    <xf numFmtId="0" fontId="28" fillId="0" borderId="62" applyNumberFormat="0" applyFill="0" applyBorder="0" applyAlignment="0" applyProtection="0"/>
    <xf numFmtId="167" fontId="51" fillId="0" borderId="70">
      <protection locked="0"/>
    </xf>
    <xf numFmtId="202" fontId="43" fillId="18" borderId="69" applyFont="0">
      <alignment horizontal="right"/>
    </xf>
    <xf numFmtId="205" fontId="26" fillId="22" borderId="64" applyNumberFormat="0" applyFont="0" applyBorder="0" applyAlignment="0" applyProtection="0">
      <alignment horizontal="right"/>
    </xf>
    <xf numFmtId="189" fontId="5" fillId="0" borderId="64" applyNumberFormat="0" applyFont="0" applyFill="0" applyAlignment="0"/>
    <xf numFmtId="0" fontId="5" fillId="0" borderId="50" applyNumberFormat="0" applyFont="0" applyFill="0" applyAlignment="0" applyProtection="0"/>
    <xf numFmtId="0" fontId="39" fillId="0" borderId="61" applyNumberFormat="0" applyFill="0" applyAlignment="0" applyProtection="0"/>
    <xf numFmtId="0" fontId="39" fillId="0" borderId="61" applyNumberFormat="0" applyFill="0" applyAlignment="0" applyProtection="0"/>
    <xf numFmtId="0" fontId="143" fillId="0" borderId="75" applyNumberFormat="0" applyFill="0" applyBorder="0" applyAlignment="0" applyProtection="0"/>
    <xf numFmtId="0" fontId="39" fillId="0" borderId="61" applyNumberFormat="0" applyFill="0" applyAlignment="0" applyProtection="0"/>
    <xf numFmtId="167" fontId="51" fillId="0" borderId="70">
      <protection locked="0"/>
    </xf>
    <xf numFmtId="0" fontId="74" fillId="0" borderId="64" applyNumberFormat="0" applyFill="0" applyProtection="0">
      <alignment horizontal="right"/>
    </xf>
    <xf numFmtId="39" fontId="30" fillId="0" borderId="69" applyNumberFormat="0" applyBorder="0">
      <alignment horizontal="right"/>
    </xf>
    <xf numFmtId="0" fontId="75" fillId="0" borderId="68" applyNumberFormat="0" applyFill="0" applyProtection="0"/>
    <xf numFmtId="0" fontId="5" fillId="0" borderId="50" applyNumberFormat="0" applyFont="0" applyFill="0" applyAlignment="0" applyProtection="0"/>
    <xf numFmtId="1" fontId="22" fillId="0" borderId="69" applyFill="0" applyProtection="0">
      <alignment horizontal="right"/>
    </xf>
    <xf numFmtId="0" fontId="28" fillId="0" borderId="62" applyNumberFormat="0" applyFill="0" applyBorder="0" applyAlignment="0" applyProtection="0"/>
    <xf numFmtId="0" fontId="99" fillId="0" borderId="72" applyNumberFormat="0" applyFill="0" applyAlignment="0" applyProtection="0"/>
    <xf numFmtId="202" fontId="43" fillId="18" borderId="69" applyFont="0">
      <alignment horizontal="right"/>
    </xf>
    <xf numFmtId="202" fontId="43" fillId="18" borderId="81" applyFont="0">
      <alignment horizontal="right"/>
    </xf>
    <xf numFmtId="0" fontId="94" fillId="28" borderId="63" applyNumberFormat="0" applyAlignment="0" applyProtection="0"/>
    <xf numFmtId="0" fontId="74" fillId="0" borderId="64" applyNumberFormat="0" applyFill="0" applyProtection="0">
      <alignment horizontal="right"/>
    </xf>
    <xf numFmtId="0" fontId="97" fillId="37" borderId="71" applyNumberFormat="0" applyAlignment="0" applyProtection="0"/>
    <xf numFmtId="0" fontId="5" fillId="0" borderId="50" applyNumberFormat="0" applyFont="0" applyFill="0" applyAlignment="0" applyProtection="0"/>
    <xf numFmtId="0" fontId="39" fillId="0" borderId="74" applyNumberFormat="0" applyFill="0" applyAlignment="0" applyProtection="0"/>
    <xf numFmtId="0" fontId="26" fillId="0" borderId="75" applyNumberFormat="0" applyFill="0" applyAlignment="0" applyProtection="0"/>
    <xf numFmtId="202" fontId="43" fillId="18" borderId="69" applyFont="0">
      <alignment horizontal="right"/>
    </xf>
    <xf numFmtId="189" fontId="5" fillId="0" borderId="64" applyNumberFormat="0" applyFont="0" applyFill="0" applyAlignment="0"/>
    <xf numFmtId="0" fontId="99" fillId="0" borderId="72" applyNumberFormat="0" applyFill="0" applyAlignment="0" applyProtection="0"/>
    <xf numFmtId="0" fontId="39" fillId="0" borderId="61" applyNumberFormat="0" applyFill="0" applyAlignment="0" applyProtection="0"/>
    <xf numFmtId="0" fontId="94" fillId="28" borderId="63" applyNumberFormat="0" applyAlignment="0" applyProtection="0"/>
    <xf numFmtId="0" fontId="139" fillId="12" borderId="67" applyFont="0" applyFill="0" applyBorder="0" applyAlignment="0">
      <alignment horizontal="center"/>
    </xf>
    <xf numFmtId="0" fontId="39" fillId="0" borderId="61" applyNumberFormat="0" applyFill="0" applyAlignment="0" applyProtection="0"/>
    <xf numFmtId="167" fontId="51" fillId="0" borderId="70">
      <protection locked="0"/>
    </xf>
    <xf numFmtId="0" fontId="74" fillId="0" borderId="64" applyNumberFormat="0" applyFill="0" applyProtection="0">
      <alignment horizontal="right"/>
    </xf>
    <xf numFmtId="39" fontId="30" fillId="0" borderId="69" applyNumberFormat="0" applyBorder="0">
      <alignment horizontal="right"/>
    </xf>
    <xf numFmtId="0" fontId="143" fillId="0" borderId="62" applyNumberFormat="0" applyFill="0" applyBorder="0" applyAlignment="0" applyProtection="0"/>
    <xf numFmtId="0" fontId="97" fillId="37" borderId="71" applyNumberFormat="0" applyAlignment="0" applyProtection="0"/>
    <xf numFmtId="0" fontId="39" fillId="0" borderId="74" applyNumberFormat="0" applyFill="0" applyAlignment="0" applyProtection="0"/>
    <xf numFmtId="1" fontId="22" fillId="0" borderId="69" applyFill="0" applyProtection="0">
      <alignment horizontal="right"/>
    </xf>
    <xf numFmtId="0" fontId="39" fillId="0" borderId="61" applyNumberFormat="0" applyFill="0" applyAlignment="0" applyProtection="0"/>
    <xf numFmtId="0" fontId="39" fillId="0" borderId="61" applyNumberFormat="0" applyFill="0" applyAlignment="0" applyProtection="0"/>
    <xf numFmtId="0" fontId="5" fillId="0" borderId="50" applyNumberFormat="0" applyFont="0" applyFill="0" applyAlignment="0" applyProtection="0"/>
    <xf numFmtId="0" fontId="5" fillId="0" borderId="64" applyNumberFormat="0" applyFont="0" applyFill="0" applyAlignment="0" applyProtection="0"/>
    <xf numFmtId="167" fontId="51" fillId="0" borderId="70">
      <protection locked="0"/>
    </xf>
    <xf numFmtId="165" fontId="12" fillId="0" borderId="73" applyBorder="0"/>
    <xf numFmtId="0" fontId="99" fillId="0" borderId="72" applyNumberFormat="0" applyFill="0" applyAlignment="0" applyProtection="0"/>
    <xf numFmtId="0" fontId="139" fillId="0" borderId="54" applyNumberFormat="0" applyFont="0" applyFill="0" applyAlignment="0" applyProtection="0"/>
    <xf numFmtId="0" fontId="28" fillId="0" borderId="62" applyNumberFormat="0" applyFill="0" applyBorder="0" applyAlignment="0" applyProtection="0"/>
    <xf numFmtId="0" fontId="143" fillId="0" borderId="62" applyNumberFormat="0" applyFill="0" applyBorder="0" applyAlignment="0" applyProtection="0"/>
    <xf numFmtId="39" fontId="30" fillId="0" borderId="69" applyNumberFormat="0" applyBorder="0">
      <alignment horizontal="right"/>
    </xf>
    <xf numFmtId="0" fontId="94" fillId="28" borderId="63" applyNumberFormat="0" applyAlignment="0" applyProtection="0"/>
    <xf numFmtId="0" fontId="94" fillId="28" borderId="63" applyNumberFormat="0" applyAlignment="0" applyProtection="0"/>
    <xf numFmtId="1" fontId="22" fillId="0" borderId="81" applyFill="0" applyProtection="0">
      <alignment horizontal="right"/>
    </xf>
    <xf numFmtId="0" fontId="97" fillId="37" borderId="71" applyNumberFormat="0" applyAlignment="0" applyProtection="0"/>
    <xf numFmtId="0" fontId="39" fillId="0" borderId="61" applyNumberFormat="0" applyFill="0" applyAlignment="0" applyProtection="0"/>
    <xf numFmtId="0" fontId="39" fillId="0" borderId="61" applyNumberFormat="0" applyFill="0" applyAlignment="0" applyProtection="0"/>
    <xf numFmtId="0" fontId="26" fillId="0" borderId="62" applyNumberFormat="0" applyFill="0" applyAlignment="0" applyProtection="0"/>
    <xf numFmtId="0" fontId="5" fillId="0" borderId="64" applyNumberFormat="0" applyFont="0" applyFill="0" applyAlignment="0" applyProtection="0"/>
    <xf numFmtId="1" fontId="22" fillId="0" borderId="69" applyFill="0" applyProtection="0">
      <alignment horizontal="right"/>
    </xf>
    <xf numFmtId="0" fontId="39" fillId="0" borderId="61" applyNumberFormat="0" applyFill="0" applyAlignment="0" applyProtection="0"/>
    <xf numFmtId="0" fontId="39" fillId="0" borderId="61" applyNumberFormat="0" applyFill="0" applyAlignment="0" applyProtection="0"/>
    <xf numFmtId="0" fontId="5" fillId="0" borderId="64" applyNumberFormat="0" applyFont="0" applyFill="0" applyAlignment="0" applyProtection="0"/>
    <xf numFmtId="0" fontId="139" fillId="12" borderId="67" applyFont="0" applyFill="0" applyBorder="0" applyAlignment="0">
      <alignment horizontal="center"/>
    </xf>
    <xf numFmtId="0" fontId="99" fillId="0" borderId="72" applyNumberFormat="0" applyFill="0" applyAlignment="0" applyProtection="0"/>
    <xf numFmtId="189" fontId="5" fillId="0" borderId="64" applyNumberFormat="0" applyFont="0" applyFill="0" applyAlignment="0"/>
    <xf numFmtId="0" fontId="139" fillId="0" borderId="54" applyNumberFormat="0" applyFont="0" applyFill="0" applyAlignment="0" applyProtection="0"/>
    <xf numFmtId="0" fontId="139" fillId="0" borderId="54" applyNumberFormat="0" applyFont="0" applyFill="0" applyAlignment="0" applyProtection="0"/>
    <xf numFmtId="0" fontId="74" fillId="0" borderId="77" applyNumberFormat="0" applyFill="0" applyProtection="0">
      <alignment horizontal="right"/>
    </xf>
    <xf numFmtId="0" fontId="39" fillId="0" borderId="74" applyNumberFormat="0" applyFill="0" applyAlignment="0" applyProtection="0"/>
    <xf numFmtId="0" fontId="28" fillId="0" borderId="75" applyNumberFormat="0" applyFill="0" applyBorder="0" applyAlignment="0" applyProtection="0"/>
    <xf numFmtId="167" fontId="51" fillId="0" borderId="70">
      <protection locked="0"/>
    </xf>
    <xf numFmtId="39" fontId="30" fillId="0" borderId="69" applyNumberFormat="0" applyBorder="0">
      <alignment horizontal="right"/>
    </xf>
    <xf numFmtId="0" fontId="94" fillId="28" borderId="63" applyNumberFormat="0" applyAlignment="0" applyProtection="0"/>
    <xf numFmtId="1" fontId="22" fillId="0" borderId="69" applyFill="0" applyProtection="0">
      <alignment horizontal="right"/>
    </xf>
    <xf numFmtId="0" fontId="28" fillId="0" borderId="62" applyNumberFormat="0" applyFill="0" applyBorder="0" applyAlignment="0" applyProtection="0"/>
    <xf numFmtId="0" fontId="94" fillId="28" borderId="76" applyNumberFormat="0" applyAlignment="0" applyProtection="0"/>
    <xf numFmtId="0" fontId="39" fillId="0" borderId="61" applyNumberFormat="0" applyFill="0" applyAlignment="0" applyProtection="0"/>
    <xf numFmtId="0" fontId="133" fillId="0" borderId="75" applyNumberFormat="0" applyFill="0" applyBorder="0" applyAlignment="0" applyProtection="0"/>
    <xf numFmtId="0" fontId="5" fillId="0" borderId="50" applyNumberFormat="0" applyFont="0" applyFill="0" applyAlignment="0" applyProtection="0"/>
    <xf numFmtId="0" fontId="99" fillId="0" borderId="72" applyNumberForma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202" fontId="43" fillId="18" borderId="69" applyFont="0">
      <alignment horizontal="right"/>
    </xf>
    <xf numFmtId="0" fontId="26" fillId="0" borderId="75" applyNumberFormat="0" applyFill="0" applyAlignment="0" applyProtection="0"/>
    <xf numFmtId="1" fontId="22" fillId="0" borderId="69" applyFill="0" applyProtection="0">
      <alignment horizontal="right"/>
    </xf>
    <xf numFmtId="0" fontId="5" fillId="0" borderId="50" applyNumberFormat="0" applyFont="0" applyFill="0" applyAlignment="0" applyProtection="0"/>
    <xf numFmtId="0" fontId="5" fillId="0" borderId="50" applyNumberFormat="0" applyFont="0" applyFill="0" applyAlignment="0" applyProtection="0"/>
    <xf numFmtId="0" fontId="139" fillId="12" borderId="67" applyFont="0" applyFill="0" applyBorder="0" applyAlignment="0">
      <alignment horizontal="center"/>
    </xf>
    <xf numFmtId="0" fontId="39" fillId="0" borderId="74" applyNumberFormat="0" applyFill="0" applyAlignment="0" applyProtection="0"/>
    <xf numFmtId="0" fontId="94" fillId="28" borderId="63" applyNumberFormat="0" applyAlignment="0" applyProtection="0"/>
    <xf numFmtId="0" fontId="94" fillId="28" borderId="63" applyNumberFormat="0" applyAlignment="0" applyProtection="0"/>
    <xf numFmtId="189" fontId="5" fillId="0" borderId="64" applyNumberFormat="0" applyFont="0" applyFill="0" applyAlignment="0"/>
    <xf numFmtId="0" fontId="5" fillId="0" borderId="64" applyNumberFormat="0" applyFont="0" applyFill="0" applyAlignment="0" applyProtection="0"/>
    <xf numFmtId="0" fontId="139" fillId="12" borderId="67" applyFont="0" applyFill="0" applyBorder="0" applyAlignment="0">
      <alignment horizontal="center"/>
    </xf>
    <xf numFmtId="284" fontId="5" fillId="22" borderId="77" applyNumberFormat="0" applyFont="0" applyBorder="0" applyAlignment="0" applyProtection="0">
      <alignment horizontal="right"/>
    </xf>
    <xf numFmtId="284" fontId="5" fillId="22" borderId="77" applyNumberFormat="0" applyFont="0" applyBorder="0" applyAlignment="0" applyProtection="0">
      <alignment horizontal="right"/>
    </xf>
    <xf numFmtId="0" fontId="39" fillId="0" borderId="74" applyNumberFormat="0" applyFill="0" applyAlignment="0" applyProtection="0"/>
    <xf numFmtId="189" fontId="5" fillId="0" borderId="64" applyNumberFormat="0" applyFont="0" applyFill="0" applyAlignment="0"/>
    <xf numFmtId="0" fontId="99" fillId="0" borderId="72" applyNumberFormat="0" applyFill="0" applyAlignment="0" applyProtection="0"/>
    <xf numFmtId="0" fontId="139" fillId="12" borderId="67" applyFont="0" applyFill="0" applyBorder="0" applyAlignment="0">
      <alignment horizontal="center"/>
    </xf>
    <xf numFmtId="0" fontId="143"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167" fontId="51" fillId="0" borderId="70">
      <protection locked="0"/>
    </xf>
    <xf numFmtId="39" fontId="30" fillId="0" borderId="81" applyNumberFormat="0" applyBorder="0">
      <alignment horizontal="right"/>
    </xf>
    <xf numFmtId="0" fontId="94" fillId="28" borderId="63" applyNumberFormat="0" applyAlignment="0" applyProtection="0"/>
    <xf numFmtId="0" fontId="5" fillId="0" borderId="64" applyNumberFormat="0" applyFont="0" applyFill="0" applyAlignment="0" applyProtection="0"/>
    <xf numFmtId="0" fontId="139" fillId="12" borderId="67" applyFont="0" applyFill="0" applyBorder="0" applyAlignment="0">
      <alignment horizontal="center"/>
    </xf>
    <xf numFmtId="0" fontId="39" fillId="0" borderId="61" applyNumberFormat="0" applyFill="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39" fillId="0" borderId="61" applyNumberFormat="0" applyFill="0" applyAlignment="0" applyProtection="0"/>
    <xf numFmtId="0" fontId="97" fillId="37" borderId="71" applyNumberFormat="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94" fillId="28" borderId="63" applyNumberFormat="0" applyAlignment="0" applyProtection="0"/>
    <xf numFmtId="0" fontId="39" fillId="0" borderId="74" applyNumberFormat="0" applyFill="0" applyAlignment="0" applyProtection="0"/>
    <xf numFmtId="263" fontId="5" fillId="18" borderId="34" applyFont="0">
      <alignment horizontal="right"/>
    </xf>
    <xf numFmtId="263" fontId="5" fillId="18" borderId="34" applyFont="0">
      <alignment horizontal="right"/>
    </xf>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189" fontId="5" fillId="0" borderId="64" applyNumberFormat="0" applyFont="0" applyFill="0" applyAlignment="0"/>
    <xf numFmtId="0" fontId="99" fillId="0" borderId="72" applyNumberFormat="0" applyFill="0" applyAlignment="0" applyProtection="0"/>
    <xf numFmtId="167" fontId="51" fillId="0" borderId="70">
      <protection locked="0"/>
    </xf>
    <xf numFmtId="0" fontId="5" fillId="0" borderId="64" applyNumberFormat="0" applyFont="0" applyFill="0" applyAlignment="0" applyProtection="0"/>
    <xf numFmtId="0" fontId="5" fillId="0" borderId="64" applyNumberFormat="0" applyFont="0" applyFill="0" applyAlignment="0" applyProtection="0"/>
    <xf numFmtId="0" fontId="139" fillId="12" borderId="67" applyFont="0" applyFill="0" applyBorder="0" applyAlignment="0">
      <alignment horizontal="center"/>
    </xf>
    <xf numFmtId="0" fontId="87" fillId="37" borderId="63" applyNumberFormat="0" applyAlignment="0" applyProtection="0"/>
    <xf numFmtId="0" fontId="39" fillId="0" borderId="61" applyNumberFormat="0" applyFill="0" applyAlignment="0" applyProtection="0"/>
    <xf numFmtId="0" fontId="39" fillId="0" borderId="61" applyNumberFormat="0" applyFill="0" applyAlignment="0" applyProtection="0"/>
    <xf numFmtId="0" fontId="39" fillId="0" borderId="61" applyNumberFormat="0" applyFill="0" applyAlignment="0" applyProtection="0"/>
    <xf numFmtId="0" fontId="5" fillId="0" borderId="50" applyNumberFormat="0" applyFont="0" applyFill="0" applyAlignment="0" applyProtection="0"/>
    <xf numFmtId="0" fontId="133" fillId="0" borderId="62" applyNumberFormat="0" applyFill="0" applyBorder="0" applyAlignment="0" applyProtection="0"/>
    <xf numFmtId="1" fontId="22" fillId="0" borderId="69" applyFill="0" applyProtection="0">
      <alignment horizontal="right"/>
    </xf>
    <xf numFmtId="0" fontId="94" fillId="28" borderId="63" applyNumberFormat="0" applyAlignment="0" applyProtection="0"/>
    <xf numFmtId="0" fontId="6" fillId="0" borderId="69">
      <alignment horizontal="left" vertical="center"/>
    </xf>
    <xf numFmtId="39" fontId="30" fillId="0" borderId="69" applyNumberFormat="0" applyBorder="0">
      <alignment horizontal="right"/>
    </xf>
    <xf numFmtId="0" fontId="97" fillId="37" borderId="71" applyNumberFormat="0" applyAlignment="0" applyProtection="0"/>
    <xf numFmtId="0" fontId="74" fillId="0" borderId="64" applyNumberFormat="0" applyFill="0" applyProtection="0">
      <alignment horizontal="right"/>
    </xf>
    <xf numFmtId="0" fontId="139" fillId="11" borderId="64" applyFont="0" applyFill="0" applyBorder="0" applyAlignment="0"/>
    <xf numFmtId="0" fontId="139" fillId="0" borderId="68" applyFont="0" applyFill="0" applyBorder="0" applyAlignment="0"/>
    <xf numFmtId="0" fontId="139" fillId="0" borderId="68" applyFont="0" applyFill="0" applyBorder="0">
      <alignment horizontal="center"/>
    </xf>
    <xf numFmtId="0" fontId="97" fillId="37" borderId="83" applyNumberFormat="0" applyAlignment="0" applyProtection="0"/>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0" fontId="99" fillId="0" borderId="72" applyNumberFormat="0" applyFill="0" applyAlignment="0" applyProtection="0"/>
    <xf numFmtId="0" fontId="26" fillId="0" borderId="75" applyNumberFormat="0" applyFill="0" applyAlignment="0" applyProtection="0"/>
    <xf numFmtId="0" fontId="139" fillId="0" borderId="54" applyNumberFormat="0" applyFont="0" applyFill="0" applyAlignment="0" applyProtection="0"/>
    <xf numFmtId="0" fontId="5" fillId="0" borderId="50" applyNumberFormat="0" applyFont="0" applyFill="0" applyAlignment="0" applyProtection="0"/>
    <xf numFmtId="0" fontId="6" fillId="0" borderId="34">
      <alignment horizontal="left" vertical="center"/>
    </xf>
    <xf numFmtId="0" fontId="94" fillId="28" borderId="76" applyNumberFormat="0" applyAlignment="0" applyProtection="0"/>
    <xf numFmtId="0" fontId="94" fillId="28" borderId="63" applyNumberFormat="0" applyAlignment="0" applyProtection="0"/>
    <xf numFmtId="0" fontId="94" fillId="28" borderId="63" applyNumberFormat="0" applyAlignment="0" applyProtection="0"/>
    <xf numFmtId="0" fontId="139" fillId="0" borderId="68" applyFill="0"/>
    <xf numFmtId="0" fontId="99" fillId="0" borderId="72" applyNumberFormat="0" applyFill="0" applyAlignment="0" applyProtection="0"/>
    <xf numFmtId="189" fontId="5" fillId="0" borderId="64" applyNumberFormat="0" applyFont="0" applyFill="0" applyAlignment="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39" fillId="11" borderId="77" applyFont="0" applyFill="0" applyBorder="0" applyAlignment="0"/>
    <xf numFmtId="0" fontId="74" fillId="0" borderId="64" applyNumberFormat="0" applyFill="0" applyProtection="0">
      <alignment horizontal="right"/>
    </xf>
    <xf numFmtId="0" fontId="5" fillId="0" borderId="77" applyNumberFormat="0" applyFont="0" applyFill="0" applyAlignment="0" applyProtection="0"/>
    <xf numFmtId="0" fontId="5" fillId="0" borderId="50" applyNumberFormat="0" applyFont="0" applyFill="0" applyAlignment="0" applyProtection="0"/>
    <xf numFmtId="0" fontId="139" fillId="12" borderId="67" applyFont="0" applyFill="0" applyBorder="0" applyAlignment="0">
      <alignment horizontal="center"/>
    </xf>
    <xf numFmtId="0" fontId="39" fillId="0" borderId="61" applyNumberFormat="0" applyFill="0" applyAlignment="0" applyProtection="0"/>
    <xf numFmtId="0" fontId="39" fillId="0" borderId="61" applyNumberForma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5" fillId="0" borderId="77" applyNumberFormat="0" applyFont="0" applyFill="0" applyAlignment="0" applyProtection="0"/>
    <xf numFmtId="0" fontId="39" fillId="0" borderId="61" applyNumberFormat="0" applyFill="0" applyAlignment="0" applyProtection="0"/>
    <xf numFmtId="0" fontId="5" fillId="17" borderId="66" applyNumberFormat="0" applyFont="0" applyAlignment="0" applyProtection="0"/>
    <xf numFmtId="0" fontId="94" fillId="28" borderId="63" applyNumberFormat="0" applyAlignment="0" applyProtection="0"/>
    <xf numFmtId="0" fontId="97" fillId="37" borderId="71" applyNumberFormat="0" applyAlignment="0" applyProtection="0"/>
    <xf numFmtId="205" fontId="26" fillId="22" borderId="29" applyNumberFormat="0" applyFont="0" applyBorder="0" applyAlignment="0" applyProtection="0">
      <alignment horizontal="right"/>
    </xf>
    <xf numFmtId="1" fontId="22" fillId="0" borderId="69" applyFill="0" applyProtection="0">
      <alignment horizontal="right"/>
    </xf>
    <xf numFmtId="0" fontId="5" fillId="0" borderId="64" applyNumberFormat="0" applyFont="0" applyFill="0" applyAlignment="0" applyProtection="0"/>
    <xf numFmtId="189" fontId="5" fillId="0" borderId="64" applyNumberFormat="0" applyFont="0" applyFill="0" applyAlignment="0"/>
    <xf numFmtId="0" fontId="5" fillId="0" borderId="50" applyNumberFormat="0" applyFont="0" applyFill="0" applyAlignment="0" applyProtection="0"/>
    <xf numFmtId="0" fontId="97" fillId="37" borderId="71" applyNumberFormat="0" applyAlignment="0" applyProtection="0"/>
    <xf numFmtId="0" fontId="139" fillId="0" borderId="68" applyFont="0" applyFill="0" applyBorder="0" applyAlignment="0">
      <alignment horizontal="right"/>
    </xf>
    <xf numFmtId="0" fontId="94" fillId="28" borderId="63" applyNumberFormat="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6" fillId="0" borderId="69">
      <alignment horizontal="left" vertical="center"/>
    </xf>
    <xf numFmtId="0" fontId="138" fillId="0" borderId="68">
      <alignment horizontal="centerContinuous"/>
    </xf>
    <xf numFmtId="180" fontId="67" fillId="0" borderId="68" applyFont="0" applyFill="0" applyBorder="0" applyAlignment="0" applyProtection="0">
      <alignment horizontal="right"/>
    </xf>
    <xf numFmtId="0" fontId="166" fillId="0" borderId="68"/>
    <xf numFmtId="0" fontId="5" fillId="0" borderId="64" applyNumberFormat="0" applyFont="0" applyFill="0" applyAlignment="0" applyProtection="0"/>
    <xf numFmtId="0" fontId="5" fillId="0" borderId="64" applyNumberFormat="0" applyFont="0" applyFill="0" applyAlignment="0" applyProtection="0"/>
    <xf numFmtId="0" fontId="39" fillId="0" borderId="61" applyNumberFormat="0" applyFill="0" applyAlignment="0" applyProtection="0"/>
    <xf numFmtId="0" fontId="39" fillId="0" borderId="61" applyNumberFormat="0" applyFill="0" applyAlignment="0" applyProtection="0"/>
    <xf numFmtId="0" fontId="94" fillId="28" borderId="63" applyNumberFormat="0" applyAlignment="0" applyProtection="0"/>
    <xf numFmtId="0" fontId="168" fillId="0" borderId="62" applyNumberFormat="0" applyFill="0" applyBorder="0" applyAlignment="0" applyProtection="0"/>
    <xf numFmtId="0" fontId="169" fillId="0" borderId="68" applyBorder="0" applyProtection="0">
      <alignment horizontal="right" vertical="center"/>
    </xf>
    <xf numFmtId="0" fontId="94" fillId="28" borderId="63" applyNumberFormat="0" applyAlignment="0" applyProtection="0"/>
    <xf numFmtId="0" fontId="170" fillId="14" borderId="68" applyBorder="0" applyProtection="0">
      <alignment horizontal="centerContinuous" vertical="center"/>
    </xf>
    <xf numFmtId="0" fontId="97" fillId="37" borderId="71" applyNumberFormat="0" applyAlignment="0" applyProtection="0"/>
    <xf numFmtId="189" fontId="5" fillId="0" borderId="64" applyNumberFormat="0" applyFont="0" applyFill="0" applyAlignment="0"/>
    <xf numFmtId="0" fontId="99" fillId="0" borderId="72" applyNumberFormat="0" applyFill="0" applyAlignment="0" applyProtection="0"/>
    <xf numFmtId="202" fontId="43" fillId="18" borderId="69" applyFont="0">
      <alignment horizontal="right"/>
    </xf>
    <xf numFmtId="0" fontId="87" fillId="37" borderId="76" applyNumberFormat="0" applyAlignment="0" applyProtection="0"/>
    <xf numFmtId="0" fontId="39" fillId="0" borderId="61"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39" fontId="30" fillId="0" borderId="69" applyNumberFormat="0" applyBorder="0">
      <alignment horizontal="right"/>
    </xf>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5" fillId="0" borderId="77" applyNumberFormat="0" applyFont="0" applyFill="0" applyAlignment="0" applyProtection="0"/>
    <xf numFmtId="0" fontId="5" fillId="0" borderId="64" applyNumberFormat="0" applyFont="0" applyFill="0" applyAlignment="0" applyProtection="0"/>
    <xf numFmtId="0" fontId="39" fillId="0" borderId="61" applyNumberFormat="0" applyFill="0" applyAlignment="0" applyProtection="0"/>
    <xf numFmtId="0" fontId="39" fillId="0" borderId="61" applyNumberFormat="0" applyFill="0" applyAlignment="0" applyProtection="0"/>
    <xf numFmtId="0" fontId="39" fillId="0" borderId="61" applyNumberFormat="0" applyFill="0" applyAlignment="0" applyProtection="0"/>
    <xf numFmtId="263" fontId="5" fillId="18" borderId="34" applyFont="0">
      <alignment horizontal="right"/>
    </xf>
    <xf numFmtId="263" fontId="5" fillId="18" borderId="34" applyFont="0">
      <alignment horizontal="right"/>
    </xf>
    <xf numFmtId="202" fontId="43" fillId="18" borderId="34" applyFont="0">
      <alignment horizontal="right"/>
    </xf>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0" fontId="139" fillId="0" borderId="68" applyFont="0" applyFill="0" applyBorder="0" applyAlignment="0"/>
    <xf numFmtId="0" fontId="139" fillId="0" borderId="68" applyFont="0" applyFill="0" applyBorder="0">
      <alignment horizontal="center"/>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6" fillId="0" borderId="34">
      <alignment horizontal="left" vertical="center"/>
    </xf>
    <xf numFmtId="0" fontId="94" fillId="28" borderId="63" applyNumberFormat="0" applyAlignment="0" applyProtection="0"/>
    <xf numFmtId="0" fontId="94" fillId="28" borderId="63" applyNumberFormat="0" applyAlignment="0" applyProtection="0"/>
    <xf numFmtId="0" fontId="139" fillId="0" borderId="68" applyFill="0"/>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139" fillId="0" borderId="68" applyFont="0" applyFill="0" applyBorder="0" applyAlignment="0">
      <alignment horizontal="right"/>
    </xf>
    <xf numFmtId="0" fontId="138" fillId="0" borderId="68">
      <alignment horizontal="centerContinuous"/>
    </xf>
    <xf numFmtId="180" fontId="67" fillId="0" borderId="68" applyFont="0" applyFill="0" applyBorder="0" applyAlignment="0" applyProtection="0">
      <alignment horizontal="right"/>
    </xf>
    <xf numFmtId="0" fontId="166" fillId="0" borderId="68"/>
    <xf numFmtId="0" fontId="168" fillId="0" borderId="62" applyNumberFormat="0" applyFill="0" applyBorder="0" applyAlignment="0" applyProtection="0"/>
    <xf numFmtId="39" fontId="30" fillId="0" borderId="34" applyNumberFormat="0" applyBorder="0">
      <alignment horizontal="right"/>
    </xf>
    <xf numFmtId="0" fontId="75" fillId="0" borderId="68" applyNumberFormat="0" applyFill="0" applyProtection="0"/>
    <xf numFmtId="0" fontId="169" fillId="0" borderId="68" applyBorder="0" applyProtection="0">
      <alignment horizontal="right" vertical="center"/>
    </xf>
    <xf numFmtId="0" fontId="170" fillId="14" borderId="68" applyBorder="0" applyProtection="0">
      <alignment horizontal="centerContinuous" vertical="center"/>
    </xf>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1" fontId="22" fillId="0" borderId="34" applyFill="0" applyProtection="0">
      <alignment horizontal="right"/>
    </xf>
    <xf numFmtId="0" fontId="1" fillId="0" borderId="0"/>
    <xf numFmtId="0" fontId="1" fillId="0" borderId="0"/>
    <xf numFmtId="0" fontId="39" fillId="0" borderId="61" applyNumberFormat="0" applyFill="0" applyAlignment="0" applyProtection="0"/>
    <xf numFmtId="0" fontId="97" fillId="37" borderId="71" applyNumberFormat="0" applyAlignment="0" applyProtection="0"/>
    <xf numFmtId="0" fontId="97" fillId="37" borderId="71" applyNumberFormat="0" applyAlignment="0" applyProtection="0"/>
    <xf numFmtId="0" fontId="5" fillId="0" borderId="64" applyNumberFormat="0" applyFont="0" applyFill="0" applyAlignment="0" applyProtection="0"/>
    <xf numFmtId="0" fontId="26" fillId="0" borderId="62" applyNumberFormat="0" applyFill="0" applyAlignment="0" applyProtection="0"/>
    <xf numFmtId="0" fontId="133" fillId="0" borderId="62" applyNumberFormat="0" applyFill="0" applyBorder="0" applyAlignment="0" applyProtection="0"/>
    <xf numFmtId="0" fontId="39" fillId="0" borderId="61" applyNumberFormat="0" applyFill="0" applyAlignment="0" applyProtection="0"/>
    <xf numFmtId="0" fontId="39" fillId="0" borderId="61" applyNumberFormat="0" applyFill="0" applyAlignment="0" applyProtection="0"/>
    <xf numFmtId="0" fontId="39" fillId="0" borderId="61" applyNumberForma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5" fillId="0" borderId="50" applyNumberFormat="0" applyFont="0" applyFill="0" applyAlignment="0" applyProtection="0"/>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5" fillId="17" borderId="66" applyNumberFormat="0" applyFont="0" applyAlignment="0" applyProtection="0"/>
    <xf numFmtId="0" fontId="97" fillId="37" borderId="71" applyNumberFormat="0" applyAlignment="0" applyProtection="0"/>
    <xf numFmtId="167" fontId="51" fillId="0" borderId="70">
      <protection locked="0"/>
    </xf>
    <xf numFmtId="0" fontId="168" fillId="0" borderId="62" applyNumberFormat="0" applyFill="0" applyBorder="0" applyAlignment="0" applyProtection="0"/>
    <xf numFmtId="0" fontId="99" fillId="0" borderId="72" applyNumberForma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39" fontId="30" fillId="0" borderId="69" applyNumberFormat="0" applyBorder="0">
      <alignment horizontal="right"/>
    </xf>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0" fontId="133" fillId="0" borderId="62" applyNumberFormat="0" applyFill="0" applyBorder="0" applyAlignment="0" applyProtection="0"/>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139" fillId="0" borderId="54" applyNumberFormat="0" applyFont="0" applyFill="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39" fillId="0" borderId="61" applyNumberFormat="0" applyFill="0" applyAlignment="0" applyProtection="0"/>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5" fillId="17" borderId="66" applyNumberFormat="0" applyFont="0" applyAlignment="0" applyProtection="0"/>
    <xf numFmtId="0" fontId="97" fillId="37" borderId="71" applyNumberFormat="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65">
      <alignment horizontal="left" vertical="center" wrapText="1"/>
    </xf>
    <xf numFmtId="0" fontId="16" fillId="5" borderId="65">
      <alignment horizontal="left" vertical="center" wrapText="1"/>
    </xf>
    <xf numFmtId="0" fontId="139" fillId="12" borderId="67" applyFont="0" applyFill="0" applyBorder="0" applyAlignment="0">
      <alignment horizontal="center"/>
    </xf>
    <xf numFmtId="0" fontId="5" fillId="17" borderId="66" applyNumberFormat="0" applyFont="0" applyAlignment="0" applyProtection="0"/>
    <xf numFmtId="0" fontId="97" fillId="37" borderId="71" applyNumberFormat="0" applyAlignment="0" applyProtection="0"/>
    <xf numFmtId="0" fontId="99" fillId="0" borderId="84" applyNumberFormat="0" applyFill="0" applyAlignment="0" applyProtection="0"/>
    <xf numFmtId="0" fontId="168" fillId="0" borderId="62" applyNumberFormat="0" applyFill="0" applyBorder="0" applyAlignment="0" applyProtection="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0" fontId="28" fillId="0" borderId="75" applyNumberFormat="0" applyFill="0" applyBorder="0" applyAlignment="0" applyProtection="0"/>
    <xf numFmtId="0" fontId="133" fillId="0" borderId="75" applyNumberFormat="0" applyFill="0" applyBorder="0" applyAlignment="0" applyProtection="0"/>
    <xf numFmtId="0" fontId="143" fillId="0" borderId="62" applyNumberFormat="0" applyFill="0" applyBorder="0" applyAlignment="0" applyProtection="0"/>
    <xf numFmtId="0" fontId="28" fillId="0" borderId="62" applyNumberFormat="0" applyFill="0" applyBorder="0" applyAlignment="0" applyProtection="0"/>
    <xf numFmtId="0" fontId="28" fillId="0" borderId="62" applyNumberFormat="0" applyFill="0" applyBorder="0" applyAlignment="0" applyProtection="0"/>
    <xf numFmtId="0" fontId="133" fillId="0" borderId="62" applyNumberFormat="0" applyFill="0" applyBorder="0" applyAlignment="0" applyProtection="0"/>
    <xf numFmtId="0" fontId="133" fillId="0" borderId="62" applyNumberFormat="0" applyFill="0" applyBorder="0" applyAlignment="0" applyProtection="0"/>
    <xf numFmtId="0" fontId="26" fillId="0" borderId="62" applyNumberFormat="0" applyFill="0" applyAlignment="0" applyProtection="0"/>
    <xf numFmtId="0" fontId="26" fillId="0" borderId="62" applyNumberFormat="0" applyFill="0" applyAlignment="0" applyProtection="0"/>
    <xf numFmtId="0" fontId="26" fillId="0" borderId="62" applyNumberForma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139" fillId="0" borderId="54" applyNumberFormat="0" applyFont="0" applyFill="0" applyAlignment="0" applyProtection="0"/>
    <xf numFmtId="0" fontId="87" fillId="37" borderId="63" applyNumberFormat="0" applyAlignment="0" applyProtection="0"/>
    <xf numFmtId="0" fontId="139" fillId="11" borderId="64" applyFont="0" applyFill="0" applyBorder="0" applyAlignment="0"/>
    <xf numFmtId="165" fontId="12" fillId="0" borderId="73" applyBorder="0"/>
    <xf numFmtId="167" fontId="51" fillId="0" borderId="70">
      <protection locked="0"/>
    </xf>
    <xf numFmtId="284" fontId="5" fillId="22" borderId="64" applyNumberFormat="0" applyFont="0" applyBorder="0" applyAlignment="0" applyProtection="0">
      <alignment horizontal="right"/>
    </xf>
    <xf numFmtId="284" fontId="5"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205" fontId="26" fillId="22" borderId="64" applyNumberFormat="0" applyFont="0" applyBorder="0" applyAlignment="0" applyProtection="0">
      <alignment horizontal="right"/>
    </xf>
    <xf numFmtId="0" fontId="16" fillId="5" borderId="65">
      <alignment horizontal="left" vertical="center" wrapText="1"/>
    </xf>
    <xf numFmtId="0" fontId="16" fillId="5" borderId="65">
      <alignment horizontal="left" vertical="center" wrapText="1"/>
    </xf>
    <xf numFmtId="0" fontId="5" fillId="17" borderId="66" applyNumberFormat="0" applyFont="0" applyAlignment="0" applyProtection="0"/>
    <xf numFmtId="0" fontId="168" fillId="0" borderId="62" applyNumberFormat="0" applyFill="0" applyBorder="0" applyAlignment="0" applyProtection="0"/>
    <xf numFmtId="189" fontId="5" fillId="0" borderId="77" applyNumberFormat="0" applyFont="0" applyFill="0" applyAlignment="0"/>
    <xf numFmtId="0" fontId="178" fillId="0" borderId="62" applyNumberFormat="0" applyFill="0" applyBorder="0" applyAlignment="0" applyProtection="0"/>
    <xf numFmtId="0" fontId="179" fillId="0" borderId="62" applyNumberFormat="0" applyFill="0" applyBorder="0" applyAlignment="0" applyProtection="0"/>
    <xf numFmtId="0" fontId="180" fillId="0" borderId="62" applyNumberFormat="0" applyFill="0" applyBorder="0" applyAlignment="0" applyProtection="0"/>
    <xf numFmtId="205" fontId="26" fillId="22" borderId="77" applyNumberFormat="0" applyFont="0" applyBorder="0" applyAlignment="0" applyProtection="0">
      <alignment horizontal="right"/>
    </xf>
    <xf numFmtId="205" fontId="26" fillId="22" borderId="77" applyNumberFormat="0" applyFont="0" applyBorder="0" applyAlignment="0" applyProtection="0">
      <alignment horizontal="right"/>
    </xf>
    <xf numFmtId="0" fontId="94" fillId="28" borderId="63" applyNumberFormat="0" applyAlignment="0" applyProtection="0"/>
    <xf numFmtId="0" fontId="94" fillId="28" borderId="63" applyNumberFormat="0" applyAlignment="0" applyProtection="0"/>
    <xf numFmtId="0" fontId="16" fillId="5" borderId="78">
      <alignment horizontal="left" vertical="center" wrapText="1"/>
    </xf>
    <xf numFmtId="0" fontId="16" fillId="5" borderId="78">
      <alignment horizontal="left" vertical="center" wrapText="1"/>
    </xf>
    <xf numFmtId="0" fontId="139" fillId="12" borderId="67" applyFont="0" applyFill="0" applyBorder="0" applyAlignment="0">
      <alignment horizontal="center"/>
    </xf>
    <xf numFmtId="0" fontId="5" fillId="17" borderId="79" applyNumberFormat="0" applyFont="0" applyAlignment="0" applyProtection="0"/>
    <xf numFmtId="0" fontId="97" fillId="37" borderId="71" applyNumberFormat="0" applyAlignment="0" applyProtection="0"/>
    <xf numFmtId="0" fontId="74" fillId="0" borderId="64" applyNumberFormat="0" applyFill="0" applyProtection="0">
      <alignment horizontal="right"/>
    </xf>
    <xf numFmtId="0" fontId="74" fillId="0" borderId="64" applyNumberFormat="0" applyFill="0" applyProtection="0">
      <alignment horizontal="right"/>
    </xf>
    <xf numFmtId="0" fontId="168" fillId="0" borderId="75" applyNumberFormat="0" applyFill="0" applyBorder="0" applyAlignment="0" applyProtection="0"/>
    <xf numFmtId="189" fontId="5" fillId="0" borderId="64" applyNumberFormat="0" applyFont="0" applyFill="0" applyAlignment="0"/>
    <xf numFmtId="0" fontId="99" fillId="0" borderId="72" applyNumberForma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5" fillId="0" borderId="64" applyNumberFormat="0" applyFont="0" applyFill="0" applyAlignment="0" applyProtection="0"/>
    <xf numFmtId="0" fontId="178" fillId="0" borderId="75" applyNumberFormat="0" applyFill="0" applyBorder="0" applyAlignment="0" applyProtection="0"/>
    <xf numFmtId="0" fontId="179" fillId="0" borderId="75" applyNumberFormat="0" applyFill="0" applyBorder="0" applyAlignment="0" applyProtection="0"/>
    <xf numFmtId="0" fontId="180" fillId="0" borderId="75" applyNumberFormat="0" applyFill="0" applyBorder="0" applyAlignment="0" applyProtection="0"/>
    <xf numFmtId="0" fontId="143" fillId="0" borderId="75" applyNumberFormat="0" applyFill="0" applyBorder="0" applyAlignment="0" applyProtection="0"/>
    <xf numFmtId="0" fontId="28" fillId="0" borderId="75" applyNumberFormat="0" applyFill="0" applyBorder="0" applyAlignment="0" applyProtection="0"/>
    <xf numFmtId="0" fontId="28" fillId="0" borderId="75" applyNumberFormat="0" applyFill="0" applyBorder="0" applyAlignment="0" applyProtection="0"/>
    <xf numFmtId="0" fontId="133" fillId="0" borderId="75" applyNumberFormat="0" applyFill="0" applyBorder="0" applyAlignment="0" applyProtection="0"/>
    <xf numFmtId="0" fontId="133" fillId="0" borderId="75" applyNumberFormat="0" applyFill="0" applyBorder="0" applyAlignment="0" applyProtection="0"/>
    <xf numFmtId="0" fontId="26" fillId="0" borderId="75" applyNumberFormat="0" applyFill="0" applyAlignment="0" applyProtection="0"/>
    <xf numFmtId="0" fontId="26" fillId="0" borderId="75" applyNumberFormat="0" applyFill="0" applyAlignment="0" applyProtection="0"/>
    <xf numFmtId="0" fontId="26" fillId="0" borderId="75" applyNumberFormat="0" applyFill="0" applyAlignment="0" applyProtection="0"/>
    <xf numFmtId="0" fontId="87" fillId="37" borderId="76" applyNumberFormat="0" applyAlignment="0" applyProtection="0"/>
    <xf numFmtId="0" fontId="139" fillId="11" borderId="77" applyFont="0" applyFill="0" applyBorder="0" applyAlignment="0"/>
    <xf numFmtId="165" fontId="12" fillId="0" borderId="85" applyBorder="0"/>
    <xf numFmtId="167" fontId="51" fillId="0" borderId="82">
      <protection locked="0"/>
    </xf>
    <xf numFmtId="284" fontId="5" fillId="22" borderId="77" applyNumberFormat="0" applyFont="0" applyBorder="0" applyAlignment="0" applyProtection="0">
      <alignment horizontal="right"/>
    </xf>
    <xf numFmtId="284" fontId="5" fillId="22" borderId="77" applyNumberFormat="0" applyFont="0" applyBorder="0" applyAlignment="0" applyProtection="0">
      <alignment horizontal="right"/>
    </xf>
    <xf numFmtId="205" fontId="26" fillId="22" borderId="77" applyNumberFormat="0" applyFont="0" applyBorder="0" applyAlignment="0" applyProtection="0">
      <alignment horizontal="right"/>
    </xf>
    <xf numFmtId="205" fontId="26" fillId="22" borderId="77" applyNumberFormat="0" applyFont="0" applyBorder="0" applyAlignment="0" applyProtection="0">
      <alignment horizontal="right"/>
    </xf>
    <xf numFmtId="0" fontId="94" fillId="28" borderId="76" applyNumberFormat="0" applyAlignment="0" applyProtection="0"/>
    <xf numFmtId="0" fontId="94" fillId="28" borderId="76" applyNumberFormat="0" applyAlignment="0" applyProtection="0"/>
    <xf numFmtId="0" fontId="16" fillId="5" borderId="78">
      <alignment horizontal="left" vertical="center" wrapText="1"/>
    </xf>
    <xf numFmtId="0" fontId="16" fillId="5" borderId="78">
      <alignment horizontal="left" vertical="center" wrapText="1"/>
    </xf>
    <xf numFmtId="0" fontId="139" fillId="12" borderId="80" applyFont="0" applyFill="0" applyBorder="0" applyAlignment="0">
      <alignment horizontal="center"/>
    </xf>
    <xf numFmtId="0" fontId="5" fillId="17" borderId="79" applyNumberFormat="0" applyFont="0" applyAlignment="0" applyProtection="0"/>
    <xf numFmtId="0" fontId="97" fillId="37" borderId="83" applyNumberFormat="0" applyAlignment="0" applyProtection="0"/>
    <xf numFmtId="0" fontId="168" fillId="0" borderId="75" applyNumberFormat="0" applyFill="0" applyBorder="0" applyAlignment="0" applyProtection="0"/>
    <xf numFmtId="0" fontId="99" fillId="0" borderId="84" applyNumberFormat="0" applyFill="0" applyAlignment="0" applyProtection="0"/>
    <xf numFmtId="0" fontId="5" fillId="0" borderId="77" applyNumberFormat="0" applyFont="0" applyFill="0" applyAlignment="0" applyProtection="0"/>
    <xf numFmtId="0" fontId="5" fillId="0" borderId="77" applyNumberFormat="0" applyFont="0" applyFill="0" applyAlignment="0" applyProtection="0"/>
    <xf numFmtId="0" fontId="5" fillId="0" borderId="77" applyNumberFormat="0" applyFont="0" applyFill="0" applyAlignment="0" applyProtection="0"/>
    <xf numFmtId="0" fontId="178" fillId="0" borderId="75" applyNumberFormat="0" applyFill="0" applyBorder="0" applyAlignment="0" applyProtection="0"/>
    <xf numFmtId="0" fontId="179" fillId="0" borderId="75" applyNumberFormat="0" applyFill="0" applyBorder="0" applyAlignment="0" applyProtection="0"/>
    <xf numFmtId="0" fontId="180" fillId="0" borderId="75" applyNumberFormat="0" applyFill="0" applyBorder="0" applyAlignment="0" applyProtection="0"/>
    <xf numFmtId="0" fontId="1" fillId="0" borderId="0"/>
    <xf numFmtId="43" fontId="5" fillId="0" borderId="0" applyFont="0" applyFill="0" applyBorder="0" applyAlignment="0" applyProtection="0"/>
    <xf numFmtId="43" fontId="114" fillId="0" borderId="0" applyFont="0" applyFill="0" applyBorder="0" applyAlignment="0" applyProtection="0"/>
    <xf numFmtId="334" fontId="5" fillId="0" borderId="0"/>
    <xf numFmtId="0" fontId="5" fillId="0" borderId="0"/>
    <xf numFmtId="0" fontId="83" fillId="0" borderId="0"/>
    <xf numFmtId="9" fontId="5"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168" fontId="34" fillId="0" borderId="0" applyFont="0" applyFill="0" applyBorder="0" applyAlignment="0" applyProtection="0"/>
    <xf numFmtId="0" fontId="6" fillId="0" borderId="130">
      <alignment horizontal="left" vertical="center"/>
    </xf>
    <xf numFmtId="167" fontId="51" fillId="0" borderId="134">
      <protection locked="0"/>
    </xf>
    <xf numFmtId="0" fontId="178" fillId="0" borderId="142" applyNumberFormat="0" applyFill="0" applyBorder="0" applyAlignment="0" applyProtection="0"/>
    <xf numFmtId="0" fontId="94" fillId="28" borderId="135" applyNumberFormat="0" applyAlignment="0" applyProtection="0"/>
    <xf numFmtId="0" fontId="74" fillId="0" borderId="132" applyNumberFormat="0" applyFill="0" applyProtection="0">
      <alignment horizontal="right"/>
    </xf>
    <xf numFmtId="0" fontId="5" fillId="0" borderId="132" applyNumberFormat="0" applyFont="0" applyFill="0" applyAlignment="0" applyProtection="0"/>
    <xf numFmtId="1" fontId="22" fillId="0" borderId="117" applyFill="0" applyProtection="0">
      <alignment horizontal="right"/>
    </xf>
    <xf numFmtId="39" fontId="30" fillId="0" borderId="117" applyNumberFormat="0" applyBorder="0">
      <alignment horizontal="right"/>
    </xf>
    <xf numFmtId="0" fontId="16" fillId="5" borderId="106">
      <alignment horizontal="left" vertical="center" wrapText="1"/>
    </xf>
    <xf numFmtId="0" fontId="97" fillId="37" borderId="122" applyNumberFormat="0" applyAlignment="0" applyProtection="0"/>
    <xf numFmtId="167" fontId="51" fillId="0" borderId="119">
      <protection locked="0"/>
    </xf>
    <xf numFmtId="0" fontId="16" fillId="5" borderId="131">
      <alignment horizontal="left" vertical="center" wrapText="1"/>
    </xf>
    <xf numFmtId="0" fontId="5" fillId="0" borderId="132" applyNumberFormat="0" applyFont="0" applyFill="0" applyAlignment="0" applyProtection="0"/>
    <xf numFmtId="0" fontId="6" fillId="0" borderId="139">
      <alignment horizontal="left" vertical="center"/>
    </xf>
    <xf numFmtId="189" fontId="5" fillId="0" borderId="132" applyNumberFormat="0" applyFont="0" applyFill="0" applyAlignment="0"/>
    <xf numFmtId="0" fontId="5" fillId="0" borderId="132" applyNumberFormat="0" applyFont="0" applyFill="0" applyAlignment="0" applyProtection="0"/>
    <xf numFmtId="0" fontId="5" fillId="17" borderId="136" applyNumberFormat="0" applyFont="0" applyAlignment="0" applyProtection="0"/>
    <xf numFmtId="0" fontId="5" fillId="0" borderId="132" applyNumberFormat="0" applyFont="0" applyFill="0" applyAlignment="0" applyProtection="0"/>
    <xf numFmtId="0" fontId="87" fillId="37" borderId="135" applyNumberFormat="0" applyAlignment="0" applyProtection="0"/>
    <xf numFmtId="0" fontId="87" fillId="37" borderId="135" applyNumberFormat="0" applyAlignment="0" applyProtection="0"/>
    <xf numFmtId="0" fontId="39" fillId="0" borderId="133" applyNumberFormat="0" applyFill="0" applyAlignment="0" applyProtection="0"/>
    <xf numFmtId="189" fontId="5" fillId="0" borderId="132" applyNumberFormat="0" applyFont="0" applyFill="0" applyAlignment="0"/>
    <xf numFmtId="0" fontId="180" fillId="0" borderId="142" applyNumberFormat="0" applyFill="0" applyBorder="0" applyAlignment="0" applyProtection="0"/>
    <xf numFmtId="205" fontId="26" fillId="22" borderId="132" applyNumberFormat="0" applyFont="0" applyBorder="0" applyAlignment="0" applyProtection="0">
      <alignment horizontal="right"/>
    </xf>
    <xf numFmtId="279" fontId="28" fillId="2" borderId="127" applyNumberFormat="0" applyFont="0" applyAlignment="0"/>
    <xf numFmtId="279" fontId="28" fillId="2" borderId="127" applyNumberFormat="0" applyFont="0" applyAlignment="0"/>
    <xf numFmtId="0" fontId="99" fillId="0" borderId="138" applyNumberFormat="0" applyFill="0" applyAlignment="0" applyProtection="0"/>
    <xf numFmtId="205" fontId="26" fillId="22" borderId="132" applyNumberFormat="0" applyFont="0" applyBorder="0" applyAlignment="0" applyProtection="0">
      <alignment horizontal="right"/>
    </xf>
    <xf numFmtId="0" fontId="87" fillId="37" borderId="135" applyNumberFormat="0" applyAlignment="0" applyProtection="0"/>
    <xf numFmtId="0" fontId="28" fillId="0" borderId="142" applyNumberFormat="0" applyFill="0" applyBorder="0" applyAlignment="0" applyProtection="0"/>
    <xf numFmtId="0" fontId="178" fillId="0" borderId="142" applyNumberFormat="0" applyFill="0" applyBorder="0" applyAlignment="0" applyProtection="0"/>
    <xf numFmtId="0" fontId="180" fillId="0" borderId="142" applyNumberFormat="0" applyFill="0" applyBorder="0" applyAlignment="0" applyProtection="0"/>
    <xf numFmtId="284" fontId="5" fillId="22" borderId="132" applyNumberFormat="0" applyFont="0" applyBorder="0" applyAlignment="0" applyProtection="0">
      <alignment horizontal="right"/>
    </xf>
    <xf numFmtId="0" fontId="143" fillId="0" borderId="142" applyNumberFormat="0" applyFill="0" applyBorder="0" applyAlignment="0" applyProtection="0"/>
    <xf numFmtId="0" fontId="28" fillId="0" borderId="142" applyNumberFormat="0" applyFill="0" applyBorder="0" applyAlignment="0" applyProtection="0"/>
    <xf numFmtId="167" fontId="51" fillId="0" borderId="134">
      <protection locked="0"/>
    </xf>
    <xf numFmtId="205" fontId="26" fillId="22" borderId="132" applyNumberFormat="0" applyFont="0" applyBorder="0" applyAlignment="0" applyProtection="0">
      <alignment horizontal="right"/>
    </xf>
    <xf numFmtId="189" fontId="5" fillId="0" borderId="132" applyNumberFormat="0" applyFont="0" applyFill="0" applyAlignment="0"/>
    <xf numFmtId="0" fontId="39" fillId="0" borderId="133" applyNumberFormat="0" applyFill="0" applyAlignment="0" applyProtection="0"/>
    <xf numFmtId="0" fontId="97" fillId="37" borderId="137" applyNumberFormat="0" applyAlignment="0" applyProtection="0"/>
    <xf numFmtId="0" fontId="39" fillId="0" borderId="107" applyNumberFormat="0" applyFill="0" applyAlignment="0" applyProtection="0"/>
    <xf numFmtId="0" fontId="5" fillId="17" borderId="136" applyNumberFormat="0" applyFont="0" applyAlignment="0" applyProtection="0"/>
    <xf numFmtId="0" fontId="26" fillId="0" borderId="142" applyNumberFormat="0" applyFill="0" applyAlignment="0" applyProtection="0"/>
    <xf numFmtId="0" fontId="168" fillId="0" borderId="142" applyNumberFormat="0" applyFill="0" applyBorder="0" applyAlignment="0" applyProtection="0"/>
    <xf numFmtId="0" fontId="87" fillId="37" borderId="135" applyNumberFormat="0" applyAlignment="0" applyProtection="0"/>
    <xf numFmtId="0" fontId="180" fillId="0" borderId="142" applyNumberFormat="0" applyFill="0" applyBorder="0" applyAlignment="0" applyProtection="0"/>
    <xf numFmtId="0" fontId="139" fillId="11" borderId="132" applyFont="0" applyFill="0" applyBorder="0" applyAlignment="0"/>
    <xf numFmtId="167" fontId="51" fillId="0" borderId="108">
      <protection locked="0"/>
    </xf>
    <xf numFmtId="0" fontId="28" fillId="0" borderId="142" applyNumberFormat="0" applyFill="0" applyBorder="0" applyAlignment="0" applyProtection="0"/>
    <xf numFmtId="0" fontId="133" fillId="0" borderId="142" applyNumberFormat="0" applyFill="0" applyBorder="0" applyAlignment="0" applyProtection="0"/>
    <xf numFmtId="284" fontId="5" fillId="22" borderId="132" applyNumberFormat="0" applyFont="0" applyBorder="0" applyAlignment="0" applyProtection="0">
      <alignment horizontal="right"/>
    </xf>
    <xf numFmtId="0" fontId="21" fillId="3" borderId="127">
      <alignment horizontal="center" vertical="center" wrapText="1"/>
      <protection hidden="1"/>
    </xf>
    <xf numFmtId="0" fontId="133" fillId="0" borderId="142" applyNumberFormat="0" applyFill="0" applyBorder="0" applyAlignment="0" applyProtection="0"/>
    <xf numFmtId="0" fontId="99" fillId="0" borderId="123" applyNumberFormat="0" applyFill="0" applyAlignment="0" applyProtection="0"/>
    <xf numFmtId="1" fontId="22" fillId="0" borderId="117" applyFill="0" applyProtection="0">
      <alignment horizontal="right"/>
    </xf>
    <xf numFmtId="284" fontId="5" fillId="22" borderId="132" applyNumberFormat="0" applyFont="0" applyBorder="0" applyAlignment="0" applyProtection="0">
      <alignment horizontal="right"/>
    </xf>
    <xf numFmtId="0" fontId="94" fillId="28" borderId="135" applyNumberFormat="0" applyAlignment="0" applyProtection="0"/>
    <xf numFmtId="167" fontId="51" fillId="0" borderId="134">
      <protection locked="0"/>
    </xf>
    <xf numFmtId="202" fontId="43" fillId="18" borderId="117" applyFont="0">
      <alignment horizontal="right"/>
    </xf>
    <xf numFmtId="0" fontId="6" fillId="0" borderId="139">
      <alignment horizontal="left" vertical="center"/>
    </xf>
    <xf numFmtId="0" fontId="99" fillId="0" borderId="138" applyNumberFormat="0" applyFill="0" applyAlignment="0" applyProtection="0"/>
    <xf numFmtId="0" fontId="180" fillId="0" borderId="142" applyNumberFormat="0" applyFill="0" applyBorder="0" applyAlignment="0" applyProtection="0"/>
    <xf numFmtId="0" fontId="5" fillId="0" borderId="132" applyNumberFormat="0" applyFont="0" applyFill="0" applyAlignment="0" applyProtection="0"/>
    <xf numFmtId="0" fontId="28" fillId="0" borderId="142" applyNumberFormat="0" applyFill="0" applyBorder="0" applyAlignment="0" applyProtection="0"/>
    <xf numFmtId="43" fontId="34" fillId="0" borderId="0" applyFont="0" applyFill="0" applyBorder="0" applyAlignment="0" applyProtection="0"/>
    <xf numFmtId="167" fontId="51" fillId="0" borderId="134">
      <protection locked="0"/>
    </xf>
    <xf numFmtId="0" fontId="180" fillId="0" borderId="142" applyNumberFormat="0" applyFill="0" applyBorder="0" applyAlignment="0" applyProtection="0"/>
    <xf numFmtId="189" fontId="5" fillId="0" borderId="132" applyNumberFormat="0" applyFont="0" applyFill="0" applyAlignment="0"/>
    <xf numFmtId="0" fontId="5" fillId="0" borderId="132" applyNumberFormat="0" applyFont="0" applyFill="0" applyAlignment="0" applyProtection="0"/>
    <xf numFmtId="0" fontId="99" fillId="0" borderId="138" applyNumberFormat="0" applyFill="0" applyAlignment="0" applyProtection="0"/>
    <xf numFmtId="0" fontId="39" fillId="0" borderId="133" applyNumberFormat="0" applyFill="0" applyAlignment="0" applyProtection="0"/>
    <xf numFmtId="0" fontId="39" fillId="0" borderId="133" applyNumberFormat="0" applyFill="0" applyAlignment="0" applyProtection="0"/>
    <xf numFmtId="189" fontId="5" fillId="0" borderId="132" applyNumberFormat="0" applyFont="0" applyFill="0" applyAlignment="0"/>
    <xf numFmtId="0" fontId="26" fillId="0" borderId="142" applyNumberFormat="0" applyFill="0" applyAlignment="0" applyProtection="0"/>
    <xf numFmtId="284" fontId="5" fillId="22" borderId="132" applyNumberFormat="0" applyFont="0" applyBorder="0" applyAlignment="0" applyProtection="0">
      <alignment horizontal="right"/>
    </xf>
    <xf numFmtId="0" fontId="99" fillId="0" borderId="138" applyNumberFormat="0" applyFill="0" applyAlignment="0" applyProtection="0"/>
    <xf numFmtId="284" fontId="5" fillId="22" borderId="132" applyNumberFormat="0" applyFont="0" applyBorder="0" applyAlignment="0" applyProtection="0">
      <alignment horizontal="right"/>
    </xf>
    <xf numFmtId="165" fontId="12" fillId="0" borderId="140" applyBorder="0"/>
    <xf numFmtId="0" fontId="87" fillId="37" borderId="109" applyNumberFormat="0" applyAlignment="0" applyProtection="0"/>
    <xf numFmtId="0" fontId="94" fillId="28" borderId="109" applyNumberFormat="0" applyAlignment="0" applyProtection="0"/>
    <xf numFmtId="173" fontId="15" fillId="4" borderId="127" applyNumberFormat="0" applyAlignment="0">
      <alignment horizontal="right"/>
    </xf>
    <xf numFmtId="0" fontId="5" fillId="0" borderId="132" applyNumberFormat="0" applyFont="0" applyFill="0" applyAlignment="0" applyProtection="0"/>
    <xf numFmtId="205" fontId="26" fillId="22" borderId="132" applyNumberFormat="0" applyFont="0" applyBorder="0" applyAlignment="0" applyProtection="0">
      <alignment horizontal="right"/>
    </xf>
    <xf numFmtId="0" fontId="5" fillId="17" borderId="110" applyNumberFormat="0" applyFont="0" applyAlignment="0" applyProtection="0"/>
    <xf numFmtId="0" fontId="97" fillId="37" borderId="111" applyNumberFormat="0" applyAlignment="0" applyProtection="0"/>
    <xf numFmtId="0" fontId="143" fillId="0" borderId="142" applyNumberFormat="0" applyFill="0" applyBorder="0" applyAlignment="0" applyProtection="0"/>
    <xf numFmtId="263" fontId="5" fillId="18" borderId="130" applyFont="0">
      <alignment horizontal="right"/>
    </xf>
    <xf numFmtId="0" fontId="94" fillId="28" borderId="135" applyNumberFormat="0" applyAlignment="0" applyProtection="0"/>
    <xf numFmtId="0" fontId="99" fillId="0" borderId="112" applyNumberFormat="0" applyFill="0" applyAlignment="0" applyProtection="0"/>
    <xf numFmtId="0" fontId="74" fillId="0" borderId="132" applyNumberFormat="0" applyFill="0" applyProtection="0">
      <alignment horizontal="right"/>
    </xf>
    <xf numFmtId="263" fontId="5" fillId="18" borderId="139" applyFont="0">
      <alignment horizontal="right"/>
    </xf>
    <xf numFmtId="0" fontId="26" fillId="0" borderId="142" applyNumberFormat="0" applyFill="0" applyAlignment="0" applyProtection="0"/>
    <xf numFmtId="0" fontId="5" fillId="17" borderId="121" applyNumberFormat="0" applyFont="0" applyAlignment="0" applyProtection="0"/>
    <xf numFmtId="43" fontId="34" fillId="0" borderId="0" applyFont="0" applyFill="0" applyBorder="0" applyAlignment="0" applyProtection="0"/>
    <xf numFmtId="0" fontId="16" fillId="5" borderId="106">
      <alignment horizontal="left" vertical="center" wrapText="1"/>
    </xf>
    <xf numFmtId="0" fontId="39" fillId="0" borderId="107" applyNumberFormat="0" applyFill="0" applyAlignment="0" applyProtection="0"/>
    <xf numFmtId="202" fontId="43" fillId="18" borderId="81" applyFont="0">
      <alignment horizontal="right"/>
    </xf>
    <xf numFmtId="167" fontId="51" fillId="0" borderId="108">
      <protection locked="0"/>
    </xf>
    <xf numFmtId="205" fontId="26" fillId="22" borderId="113" applyNumberFormat="0" applyFont="0" applyBorder="0" applyAlignment="0" applyProtection="0">
      <alignment horizontal="right"/>
    </xf>
    <xf numFmtId="0" fontId="74" fillId="0" borderId="113" applyNumberFormat="0" applyFill="0" applyProtection="0">
      <alignment horizontal="right"/>
    </xf>
    <xf numFmtId="39" fontId="30" fillId="0" borderId="81" applyNumberFormat="0" applyBorder="0">
      <alignment horizontal="right"/>
    </xf>
    <xf numFmtId="1" fontId="22" fillId="0" borderId="81" applyFill="0" applyProtection="0">
      <alignment horizontal="right"/>
    </xf>
    <xf numFmtId="0" fontId="87" fillId="37" borderId="109" applyNumberFormat="0" applyAlignment="0" applyProtection="0"/>
    <xf numFmtId="0" fontId="94" fillId="28" borderId="109" applyNumberFormat="0" applyAlignment="0" applyProtection="0"/>
    <xf numFmtId="0" fontId="5" fillId="17" borderId="110" applyNumberFormat="0" applyFont="0" applyAlignment="0" applyProtection="0"/>
    <xf numFmtId="0" fontId="97" fillId="37" borderId="111" applyNumberFormat="0" applyAlignment="0" applyProtection="0"/>
    <xf numFmtId="0" fontId="99" fillId="0" borderId="112" applyNumberFormat="0" applyFill="0" applyAlignment="0" applyProtection="0"/>
    <xf numFmtId="0" fontId="94" fillId="28" borderId="120" applyNumberFormat="0" applyAlignment="0" applyProtection="0"/>
    <xf numFmtId="0" fontId="74" fillId="0" borderId="132" applyNumberFormat="0" applyFill="0" applyProtection="0">
      <alignment horizontal="right"/>
    </xf>
    <xf numFmtId="0" fontId="168" fillId="0" borderId="142" applyNumberFormat="0" applyFill="0" applyBorder="0" applyAlignment="0" applyProtection="0"/>
    <xf numFmtId="165" fontId="12" fillId="0" borderId="114" applyBorder="0"/>
    <xf numFmtId="173" fontId="14" fillId="4" borderId="115" applyNumberFormat="0" applyAlignment="0">
      <alignment horizontal="right"/>
    </xf>
    <xf numFmtId="173" fontId="15" fillId="4" borderId="115" applyNumberFormat="0" applyAlignment="0">
      <alignment horizontal="right"/>
    </xf>
    <xf numFmtId="180" fontId="15" fillId="6" borderId="115">
      <alignment horizontal="right"/>
    </xf>
    <xf numFmtId="0" fontId="21" fillId="3" borderId="115">
      <alignment horizontal="center" vertical="center" wrapText="1"/>
      <protection hidden="1"/>
    </xf>
    <xf numFmtId="173" fontId="14" fillId="8" borderId="115" applyNumberFormat="0" applyAlignment="0">
      <alignment horizontal="right"/>
    </xf>
    <xf numFmtId="173" fontId="15" fillId="8" borderId="115" applyNumberFormat="0" applyAlignment="0">
      <alignment horizontal="right"/>
    </xf>
    <xf numFmtId="43" fontId="5" fillId="0" borderId="0" applyFont="0" applyFill="0" applyBorder="0" applyAlignment="0" applyProtection="0"/>
    <xf numFmtId="202" fontId="43" fillId="18" borderId="81" applyFont="0">
      <alignment horizontal="right"/>
    </xf>
    <xf numFmtId="39" fontId="30" fillId="0" borderId="81" applyNumberFormat="0" applyBorder="0">
      <alignment horizontal="right"/>
    </xf>
    <xf numFmtId="1" fontId="22" fillId="0" borderId="81" applyFill="0" applyProtection="0">
      <alignment horizontal="right"/>
    </xf>
    <xf numFmtId="43" fontId="34" fillId="0" borderId="0" applyFont="0" applyFill="0" applyBorder="0" applyAlignment="0" applyProtection="0"/>
    <xf numFmtId="0" fontId="39" fillId="0" borderId="118" applyNumberFormat="0" applyFill="0" applyAlignment="0" applyProtection="0"/>
    <xf numFmtId="0" fontId="39" fillId="0" borderId="118" applyNumberFormat="0" applyFill="0" applyAlignment="0" applyProtection="0"/>
    <xf numFmtId="0" fontId="39" fillId="0" borderId="118" applyNumberFormat="0" applyFill="0" applyAlignment="0" applyProtection="0"/>
    <xf numFmtId="0" fontId="99" fillId="0" borderId="138" applyNumberFormat="0" applyFill="0" applyAlignment="0" applyProtection="0"/>
    <xf numFmtId="0" fontId="143" fillId="0" borderId="142" applyNumberFormat="0" applyFill="0" applyBorder="0" applyAlignment="0" applyProtection="0"/>
    <xf numFmtId="0" fontId="5" fillId="0" borderId="132" applyNumberFormat="0" applyFont="0" applyFill="0" applyAlignment="0" applyProtection="0"/>
    <xf numFmtId="0" fontId="28" fillId="0" borderId="142" applyNumberFormat="0" applyFill="0" applyBorder="0" applyAlignment="0" applyProtection="0"/>
    <xf numFmtId="0" fontId="180" fillId="0" borderId="128" applyNumberFormat="0" applyFill="0" applyBorder="0" applyAlignment="0" applyProtection="0"/>
    <xf numFmtId="0" fontId="179" fillId="0" borderId="128" applyNumberFormat="0" applyFill="0" applyBorder="0" applyAlignment="0" applyProtection="0"/>
    <xf numFmtId="0" fontId="178" fillId="0" borderId="128" applyNumberFormat="0" applyFill="0" applyBorder="0" applyAlignment="0" applyProtection="0"/>
    <xf numFmtId="0" fontId="5" fillId="0" borderId="132" applyNumberFormat="0" applyFont="0" applyFill="0" applyAlignment="0" applyProtection="0"/>
    <xf numFmtId="0" fontId="26" fillId="0" borderId="142"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6" fillId="0" borderId="139">
      <alignment horizontal="left" vertical="center"/>
    </xf>
    <xf numFmtId="0" fontId="5" fillId="0" borderId="132" applyNumberFormat="0" applyFont="0" applyFill="0" applyAlignment="0" applyProtection="0"/>
    <xf numFmtId="0" fontId="99" fillId="0" borderId="138" applyNumberFormat="0" applyFill="0" applyAlignment="0" applyProtection="0"/>
    <xf numFmtId="0" fontId="16" fillId="5" borderId="131">
      <alignment horizontal="left" vertical="center" wrapText="1"/>
    </xf>
    <xf numFmtId="0" fontId="5" fillId="0" borderId="132" applyNumberFormat="0" applyFont="0" applyFill="0" applyAlignment="0" applyProtection="0"/>
    <xf numFmtId="171" fontId="5" fillId="0" borderId="127">
      <alignment horizontal="right"/>
      <protection locked="0"/>
    </xf>
    <xf numFmtId="171" fontId="5" fillId="0" borderId="127">
      <alignment horizontal="right"/>
      <protection locked="0"/>
    </xf>
    <xf numFmtId="0" fontId="5" fillId="0" borderId="127">
      <protection locked="0"/>
    </xf>
    <xf numFmtId="0" fontId="5" fillId="0" borderId="127">
      <protection locked="0"/>
    </xf>
    <xf numFmtId="0" fontId="28" fillId="0" borderId="142" applyNumberFormat="0" applyFill="0" applyBorder="0" applyAlignment="0" applyProtection="0"/>
    <xf numFmtId="0" fontId="99" fillId="0" borderId="138" applyNumberFormat="0" applyFill="0" applyAlignment="0" applyProtection="0"/>
    <xf numFmtId="189" fontId="5" fillId="0" borderId="125" applyNumberFormat="0" applyFont="0" applyFill="0" applyAlignment="0"/>
    <xf numFmtId="0" fontId="39" fillId="0" borderId="133" applyNumberFormat="0" applyFill="0" applyAlignment="0" applyProtection="0"/>
    <xf numFmtId="0" fontId="39" fillId="0" borderId="133" applyNumberFormat="0" applyFill="0" applyAlignment="0" applyProtection="0"/>
    <xf numFmtId="0" fontId="39" fillId="0" borderId="133" applyNumberFormat="0" applyFill="0" applyAlignment="0" applyProtection="0"/>
    <xf numFmtId="205" fontId="26" fillId="22" borderId="132" applyNumberFormat="0" applyFont="0" applyBorder="0" applyAlignment="0" applyProtection="0">
      <alignment horizontal="right"/>
    </xf>
    <xf numFmtId="0" fontId="168" fillId="0" borderId="128" applyNumberFormat="0" applyFill="0" applyBorder="0" applyAlignment="0" applyProtection="0"/>
    <xf numFmtId="0" fontId="5" fillId="17" borderId="136" applyNumberFormat="0" applyFont="0" applyAlignment="0" applyProtection="0"/>
    <xf numFmtId="0" fontId="97" fillId="37" borderId="137" applyNumberFormat="0" applyAlignment="0" applyProtection="0"/>
    <xf numFmtId="0" fontId="143" fillId="0" borderId="142" applyNumberFormat="0" applyFill="0" applyBorder="0" applyAlignment="0" applyProtection="0"/>
    <xf numFmtId="0" fontId="26" fillId="0" borderId="142" applyNumberFormat="0" applyFill="0" applyAlignment="0" applyProtection="0"/>
    <xf numFmtId="0" fontId="26" fillId="0" borderId="142" applyNumberFormat="0" applyFill="0" applyAlignment="0" applyProtection="0"/>
    <xf numFmtId="0" fontId="94" fillId="28" borderId="135" applyNumberFormat="0" applyAlignment="0" applyProtection="0"/>
    <xf numFmtId="0" fontId="39" fillId="0" borderId="133" applyNumberFormat="0" applyFill="0" applyAlignment="0" applyProtection="0"/>
    <xf numFmtId="263" fontId="5" fillId="18" borderId="139" applyFont="0">
      <alignment horizontal="right"/>
    </xf>
    <xf numFmtId="0" fontId="168" fillId="0" borderId="142" applyNumberFormat="0" applyFill="0" applyBorder="0" applyAlignment="0" applyProtection="0"/>
    <xf numFmtId="284" fontId="5" fillId="22" borderId="132" applyNumberFormat="0" applyFont="0" applyBorder="0" applyAlignment="0" applyProtection="0">
      <alignment horizontal="right"/>
    </xf>
    <xf numFmtId="0" fontId="26" fillId="0" borderId="142" applyNumberFormat="0" applyFill="0" applyAlignment="0" applyProtection="0"/>
    <xf numFmtId="189" fontId="5" fillId="0" borderId="132" applyNumberFormat="0" applyFont="0" applyFill="0" applyAlignment="0"/>
    <xf numFmtId="0" fontId="5" fillId="0" borderId="132" applyNumberFormat="0" applyFont="0" applyFill="0" applyAlignment="0" applyProtection="0"/>
    <xf numFmtId="0" fontId="74" fillId="0" borderId="132" applyNumberFormat="0" applyFill="0" applyProtection="0">
      <alignment horizontal="right"/>
    </xf>
    <xf numFmtId="0" fontId="168" fillId="0" borderId="142" applyNumberFormat="0" applyFill="0" applyBorder="0" applyAlignment="0" applyProtection="0"/>
    <xf numFmtId="0" fontId="28" fillId="0" borderId="142" applyNumberFormat="0" applyFill="0" applyBorder="0" applyAlignment="0" applyProtection="0"/>
    <xf numFmtId="0" fontId="28" fillId="0" borderId="142" applyNumberFormat="0" applyFill="0" applyBorder="0" applyAlignment="0" applyProtection="0"/>
    <xf numFmtId="0" fontId="94" fillId="28" borderId="135" applyNumberFormat="0" applyAlignment="0" applyProtection="0"/>
    <xf numFmtId="263" fontId="5" fillId="18" borderId="139" applyFont="0">
      <alignment horizontal="right"/>
    </xf>
    <xf numFmtId="0" fontId="28" fillId="0" borderId="142" applyNumberFormat="0" applyFill="0" applyBorder="0" applyAlignment="0" applyProtection="0"/>
    <xf numFmtId="0" fontId="133" fillId="0" borderId="142" applyNumberFormat="0" applyFill="0" applyBorder="0" applyAlignment="0" applyProtection="0"/>
    <xf numFmtId="0" fontId="133" fillId="0" borderId="142" applyNumberFormat="0" applyFill="0" applyBorder="0" applyAlignment="0" applyProtection="0"/>
    <xf numFmtId="0" fontId="26" fillId="0" borderId="142" applyNumberFormat="0" applyFill="0" applyAlignment="0" applyProtection="0"/>
    <xf numFmtId="0" fontId="26" fillId="0" borderId="142" applyNumberFormat="0" applyFill="0" applyAlignment="0" applyProtection="0"/>
    <xf numFmtId="189" fontId="5" fillId="0" borderId="132" applyNumberFormat="0" applyFont="0" applyFill="0" applyAlignment="0"/>
    <xf numFmtId="0" fontId="99" fillId="0" borderId="138" applyNumberFormat="0" applyFill="0" applyAlignment="0" applyProtection="0"/>
    <xf numFmtId="0" fontId="97" fillId="37" borderId="137" applyNumberFormat="0" applyAlignment="0" applyProtection="0"/>
    <xf numFmtId="0" fontId="139" fillId="11" borderId="132" applyFont="0" applyFill="0" applyBorder="0" applyAlignment="0"/>
    <xf numFmtId="0" fontId="94" fillId="28" borderId="135" applyNumberFormat="0" applyAlignment="0" applyProtection="0"/>
    <xf numFmtId="0" fontId="26" fillId="0" borderId="142" applyNumberFormat="0" applyFill="0" applyAlignment="0" applyProtection="0"/>
    <xf numFmtId="0" fontId="26" fillId="0" borderId="142" applyNumberFormat="0" applyFill="0" applyAlignment="0" applyProtection="0"/>
    <xf numFmtId="0" fontId="16" fillId="5" borderId="131">
      <alignment horizontal="left" vertical="center" wrapText="1"/>
    </xf>
    <xf numFmtId="0" fontId="74" fillId="0" borderId="132" applyNumberFormat="0" applyFill="0" applyProtection="0">
      <alignment horizontal="right"/>
    </xf>
    <xf numFmtId="0" fontId="26" fillId="0" borderId="142" applyNumberFormat="0" applyFill="0" applyAlignment="0" applyProtection="0"/>
    <xf numFmtId="189" fontId="5" fillId="0" borderId="132" applyNumberFormat="0" applyFont="0" applyFill="0" applyAlignment="0"/>
    <xf numFmtId="0" fontId="143" fillId="0" borderId="142" applyNumberFormat="0" applyFill="0" applyBorder="0" applyAlignment="0" applyProtection="0"/>
    <xf numFmtId="43" fontId="34" fillId="0" borderId="0" applyFont="0" applyFill="0" applyBorder="0" applyAlignment="0" applyProtection="0"/>
    <xf numFmtId="0" fontId="139" fillId="12" borderId="129" applyFont="0" applyFill="0" applyBorder="0" applyAlignment="0">
      <alignment horizontal="center"/>
    </xf>
    <xf numFmtId="0" fontId="5" fillId="0" borderId="132" applyNumberFormat="0" applyFont="0" applyFill="0" applyAlignment="0" applyProtection="0"/>
    <xf numFmtId="0" fontId="16" fillId="5" borderId="131">
      <alignment horizontal="left" vertical="center" wrapText="1"/>
    </xf>
    <xf numFmtId="0" fontId="5" fillId="0" borderId="141">
      <protection locked="0"/>
    </xf>
    <xf numFmtId="0" fontId="39" fillId="0" borderId="133" applyNumberFormat="0" applyFill="0" applyAlignment="0" applyProtection="0"/>
    <xf numFmtId="0" fontId="28" fillId="0" borderId="142" applyNumberFormat="0" applyFill="0" applyBorder="0" applyAlignment="0" applyProtection="0"/>
    <xf numFmtId="0" fontId="28" fillId="0" borderId="142" applyNumberFormat="0" applyFill="0" applyBorder="0" applyAlignment="0" applyProtection="0"/>
    <xf numFmtId="0" fontId="5" fillId="0" borderId="132" applyNumberFormat="0" applyFont="0" applyFill="0" applyAlignment="0" applyProtection="0"/>
    <xf numFmtId="0" fontId="5" fillId="0" borderId="132" applyNumberFormat="0" applyFont="0" applyFill="0" applyAlignment="0" applyProtection="0"/>
    <xf numFmtId="0" fontId="39" fillId="0" borderId="133" applyNumberFormat="0" applyFill="0" applyAlignment="0" applyProtection="0"/>
    <xf numFmtId="202" fontId="43" fillId="18" borderId="130" applyFont="0">
      <alignment horizontal="right"/>
    </xf>
    <xf numFmtId="0" fontId="39" fillId="0" borderId="133" applyNumberFormat="0" applyFill="0" applyAlignment="0" applyProtection="0"/>
    <xf numFmtId="0" fontId="5" fillId="0" borderId="132" applyNumberFormat="0" applyFont="0" applyFill="0" applyAlignment="0" applyProtection="0"/>
    <xf numFmtId="0" fontId="94" fillId="28" borderId="120" applyNumberFormat="0" applyAlignment="0" applyProtection="0"/>
    <xf numFmtId="10" fontId="26" fillId="2" borderId="127" applyNumberFormat="0" applyBorder="0" applyAlignment="0" applyProtection="0"/>
    <xf numFmtId="10" fontId="26" fillId="2" borderId="127" applyNumberFormat="0" applyBorder="0" applyAlignment="0" applyProtection="0"/>
    <xf numFmtId="0" fontId="39" fillId="0" borderId="133" applyNumberFormat="0" applyFill="0" applyAlignment="0" applyProtection="0"/>
    <xf numFmtId="0" fontId="94" fillId="28" borderId="135" applyNumberFormat="0" applyAlignment="0" applyProtection="0"/>
    <xf numFmtId="0" fontId="97" fillId="37" borderId="137" applyNumberFormat="0" applyAlignment="0" applyProtection="0"/>
    <xf numFmtId="0" fontId="6" fillId="0" borderId="117">
      <alignment horizontal="left" vertical="center"/>
    </xf>
    <xf numFmtId="0" fontId="97" fillId="37" borderId="137" applyNumberFormat="0" applyAlignment="0" applyProtection="0"/>
    <xf numFmtId="0" fontId="39" fillId="0" borderId="133" applyNumberFormat="0" applyFill="0" applyAlignment="0" applyProtection="0"/>
    <xf numFmtId="189" fontId="5" fillId="0" borderId="132" applyNumberFormat="0" applyFont="0" applyFill="0" applyAlignment="0"/>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171" fontId="5" fillId="0" borderId="141">
      <alignment horizontal="right"/>
      <protection locked="0"/>
    </xf>
    <xf numFmtId="9" fontId="139" fillId="0" borderId="127" applyNumberFormat="0" applyBorder="0" applyAlignment="0">
      <protection locked="0"/>
    </xf>
    <xf numFmtId="39" fontId="30" fillId="0" borderId="139" applyNumberFormat="0" applyBorder="0">
      <alignment horizontal="right"/>
    </xf>
    <xf numFmtId="0" fontId="16" fillId="5" borderId="131">
      <alignment horizontal="left" vertical="center" wrapText="1"/>
    </xf>
    <xf numFmtId="0" fontId="94" fillId="28" borderId="135" applyNumberFormat="0" applyAlignment="0" applyProtection="0"/>
    <xf numFmtId="0" fontId="5" fillId="0" borderId="132" applyNumberFormat="0" applyFont="0" applyFill="0" applyAlignment="0" applyProtection="0"/>
    <xf numFmtId="0" fontId="139" fillId="11" borderId="125" applyFont="0" applyFill="0" applyBorder="0" applyAlignment="0"/>
    <xf numFmtId="0" fontId="143" fillId="0" borderId="142" applyNumberFormat="0" applyFill="0" applyBorder="0" applyAlignment="0" applyProtection="0"/>
    <xf numFmtId="167" fontId="51" fillId="0" borderId="134">
      <protection locked="0"/>
    </xf>
    <xf numFmtId="0" fontId="5" fillId="0" borderId="132" applyNumberFormat="0" applyFont="0" applyFill="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43" fillId="0" borderId="128" applyNumberFormat="0" applyFill="0" applyBorder="0" applyAlignment="0" applyProtection="0"/>
    <xf numFmtId="263" fontId="5" fillId="18" borderId="117" applyFont="0">
      <alignment horizontal="right"/>
    </xf>
    <xf numFmtId="263" fontId="5" fillId="18" borderId="117" applyFont="0">
      <alignment horizontal="right"/>
    </xf>
    <xf numFmtId="284" fontId="5" fillId="22" borderId="132" applyNumberFormat="0" applyFont="0" applyBorder="0" applyAlignment="0" applyProtection="0">
      <alignment horizontal="right"/>
    </xf>
    <xf numFmtId="0" fontId="133" fillId="0" borderId="142" applyNumberFormat="0" applyFill="0" applyBorder="0" applyAlignment="0" applyProtection="0"/>
    <xf numFmtId="0" fontId="16" fillId="5" borderId="131">
      <alignment horizontal="left" vertical="center" wrapText="1"/>
    </xf>
    <xf numFmtId="0" fontId="39" fillId="0" borderId="133" applyNumberFormat="0" applyFill="0" applyAlignment="0" applyProtection="0"/>
    <xf numFmtId="0" fontId="39" fillId="0" borderId="118" applyNumberFormat="0" applyFill="0" applyAlignment="0" applyProtection="0"/>
    <xf numFmtId="0" fontId="39" fillId="0" borderId="118" applyNumberFormat="0" applyFill="0" applyAlignment="0" applyProtection="0"/>
    <xf numFmtId="0" fontId="26" fillId="0" borderId="142" applyNumberFormat="0" applyFill="0" applyAlignment="0" applyProtection="0"/>
    <xf numFmtId="0" fontId="94" fillId="28" borderId="135" applyNumberFormat="0" applyAlignment="0" applyProtection="0"/>
    <xf numFmtId="0" fontId="97" fillId="37" borderId="137" applyNumberFormat="0" applyAlignment="0" applyProtection="0"/>
    <xf numFmtId="0" fontId="16" fillId="5" borderId="131">
      <alignment horizontal="left" vertical="center" wrapText="1"/>
    </xf>
    <xf numFmtId="0" fontId="74" fillId="0" borderId="132" applyNumberFormat="0" applyFill="0" applyProtection="0">
      <alignment horizontal="right"/>
    </xf>
    <xf numFmtId="0" fontId="94" fillId="28" borderId="135" applyNumberFormat="0" applyAlignment="0" applyProtection="0"/>
    <xf numFmtId="0" fontId="39" fillId="0" borderId="133" applyNumberFormat="0" applyFill="0" applyAlignment="0" applyProtection="0"/>
    <xf numFmtId="9" fontId="139" fillId="0" borderId="141" applyNumberFormat="0" applyBorder="0" applyAlignment="0">
      <protection locked="0"/>
    </xf>
    <xf numFmtId="0" fontId="133" fillId="0" borderId="142" applyNumberFormat="0" applyFill="0" applyBorder="0" applyAlignment="0" applyProtection="0"/>
    <xf numFmtId="0" fontId="26" fillId="0" borderId="142" applyNumberFormat="0" applyFill="0" applyAlignment="0" applyProtection="0"/>
    <xf numFmtId="0" fontId="178" fillId="0" borderId="142" applyNumberFormat="0" applyFill="0" applyBorder="0" applyAlignment="0" applyProtection="0"/>
    <xf numFmtId="0" fontId="99" fillId="0" borderId="138" applyNumberFormat="0" applyFill="0" applyAlignment="0" applyProtection="0"/>
    <xf numFmtId="0" fontId="26" fillId="0" borderId="142" applyNumberFormat="0" applyFill="0" applyAlignment="0" applyProtection="0"/>
    <xf numFmtId="205" fontId="26" fillId="22" borderId="132" applyNumberFormat="0" applyFont="0" applyBorder="0" applyAlignment="0" applyProtection="0">
      <alignment horizontal="right"/>
    </xf>
    <xf numFmtId="0" fontId="179" fillId="0" borderId="142" applyNumberFormat="0" applyFill="0" applyBorder="0" applyAlignment="0" applyProtection="0"/>
    <xf numFmtId="284" fontId="5" fillId="22" borderId="132" applyNumberFormat="0" applyFont="0" applyBorder="0" applyAlignment="0" applyProtection="0">
      <alignment horizontal="right"/>
    </xf>
    <xf numFmtId="0" fontId="39" fillId="0" borderId="133" applyNumberFormat="0" applyFill="0" applyAlignment="0" applyProtection="0"/>
    <xf numFmtId="0" fontId="94" fillId="28" borderId="135" applyNumberFormat="0" applyAlignment="0" applyProtection="0"/>
    <xf numFmtId="0" fontId="143" fillId="0" borderId="142" applyNumberFormat="0" applyFill="0" applyBorder="0" applyAlignment="0" applyProtection="0"/>
    <xf numFmtId="0" fontId="133" fillId="0" borderId="142" applyNumberFormat="0" applyFill="0" applyBorder="0" applyAlignment="0" applyProtection="0"/>
    <xf numFmtId="0" fontId="26" fillId="0" borderId="142" applyNumberFormat="0" applyFill="0" applyAlignment="0" applyProtection="0"/>
    <xf numFmtId="0" fontId="94" fillId="28" borderId="135" applyNumberFormat="0" applyAlignment="0" applyProtection="0"/>
    <xf numFmtId="0" fontId="180" fillId="0" borderId="142" applyNumberFormat="0" applyFill="0" applyBorder="0" applyAlignment="0" applyProtection="0"/>
    <xf numFmtId="284" fontId="5" fillId="22" borderId="132" applyNumberFormat="0" applyFont="0" applyBorder="0" applyAlignment="0" applyProtection="0">
      <alignment horizontal="right"/>
    </xf>
    <xf numFmtId="205" fontId="26" fillId="22" borderId="132" applyNumberFormat="0" applyFont="0" applyBorder="0" applyAlignment="0" applyProtection="0">
      <alignment horizontal="right"/>
    </xf>
    <xf numFmtId="0" fontId="168" fillId="0" borderId="142" applyNumberFormat="0" applyFill="0" applyBorder="0" applyAlignment="0" applyProtection="0"/>
    <xf numFmtId="165" fontId="12" fillId="0" borderId="140" applyBorder="0"/>
    <xf numFmtId="205" fontId="26" fillId="22" borderId="132" applyNumberFormat="0" applyFont="0" applyBorder="0" applyAlignment="0" applyProtection="0">
      <alignment horizontal="right"/>
    </xf>
    <xf numFmtId="0" fontId="180" fillId="0" borderId="142" applyNumberFormat="0" applyFill="0" applyBorder="0" applyAlignment="0" applyProtection="0"/>
    <xf numFmtId="284" fontId="5" fillId="22" borderId="132" applyNumberFormat="0" applyFont="0" applyBorder="0" applyAlignment="0" applyProtection="0">
      <alignment horizontal="right"/>
    </xf>
    <xf numFmtId="284" fontId="5" fillId="22" borderId="132" applyNumberFormat="0" applyFont="0" applyBorder="0" applyAlignment="0" applyProtection="0">
      <alignment horizontal="right"/>
    </xf>
    <xf numFmtId="284" fontId="5" fillId="22" borderId="132" applyNumberFormat="0" applyFont="0" applyBorder="0" applyAlignment="0" applyProtection="0">
      <alignment horizontal="right"/>
    </xf>
    <xf numFmtId="205" fontId="26" fillId="22" borderId="132" applyNumberFormat="0" applyFont="0" applyBorder="0" applyAlignment="0" applyProtection="0">
      <alignment horizontal="right"/>
    </xf>
    <xf numFmtId="0" fontId="16" fillId="5" borderId="131">
      <alignment horizontal="left" vertical="center" wrapText="1"/>
    </xf>
    <xf numFmtId="0" fontId="39" fillId="0" borderId="133" applyNumberFormat="0" applyFill="0" applyAlignment="0" applyProtection="0"/>
    <xf numFmtId="0" fontId="133" fillId="0" borderId="142" applyNumberFormat="0" applyFill="0" applyBorder="0" applyAlignment="0" applyProtection="0"/>
    <xf numFmtId="0" fontId="179" fillId="0" borderId="142" applyNumberFormat="0" applyFill="0" applyBorder="0" applyAlignment="0" applyProtection="0"/>
    <xf numFmtId="0" fontId="178" fillId="0" borderId="142" applyNumberFormat="0" applyFill="0" applyBorder="0" applyAlignment="0" applyProtection="0"/>
    <xf numFmtId="0" fontId="26" fillId="0" borderId="142" applyNumberFormat="0" applyFill="0" applyAlignment="0" applyProtection="0"/>
    <xf numFmtId="205" fontId="26" fillId="22" borderId="132" applyNumberFormat="0" applyFont="0" applyBorder="0" applyAlignment="0" applyProtection="0">
      <alignment horizontal="right"/>
    </xf>
    <xf numFmtId="43" fontId="34" fillId="0" borderId="0" applyFont="0" applyFill="0" applyBorder="0" applyAlignment="0" applyProtection="0"/>
    <xf numFmtId="0" fontId="97" fillId="37" borderId="137" applyNumberFormat="0" applyAlignment="0" applyProtection="0"/>
    <xf numFmtId="0" fontId="87" fillId="37" borderId="135" applyNumberFormat="0" applyAlignment="0" applyProtection="0"/>
    <xf numFmtId="0" fontId="87" fillId="37" borderId="135" applyNumberFormat="0" applyAlignment="0" applyProtection="0"/>
    <xf numFmtId="202" fontId="43" fillId="18" borderId="139" applyFont="0">
      <alignment horizontal="right"/>
    </xf>
    <xf numFmtId="0" fontId="39" fillId="0" borderId="133" applyNumberFormat="0" applyFill="0" applyAlignment="0" applyProtection="0"/>
    <xf numFmtId="263" fontId="5" fillId="18" borderId="139" applyFont="0">
      <alignment horizontal="right"/>
    </xf>
    <xf numFmtId="263" fontId="5" fillId="18" borderId="139" applyFont="0">
      <alignment horizontal="right"/>
    </xf>
    <xf numFmtId="0" fontId="143" fillId="0" borderId="142" applyNumberFormat="0" applyFill="0" applyBorder="0" applyAlignment="0" applyProtection="0"/>
    <xf numFmtId="0" fontId="133" fillId="0" borderId="142" applyNumberFormat="0" applyFill="0" applyBorder="0" applyAlignment="0" applyProtection="0"/>
    <xf numFmtId="0" fontId="133" fillId="0" borderId="142" applyNumberFormat="0" applyFill="0" applyBorder="0" applyAlignment="0" applyProtection="0"/>
    <xf numFmtId="0" fontId="139" fillId="11" borderId="132" applyFont="0" applyFill="0" applyBorder="0" applyAlignment="0"/>
    <xf numFmtId="263" fontId="5" fillId="18" borderId="139" applyFont="0">
      <alignment horizontal="right"/>
    </xf>
    <xf numFmtId="0" fontId="87" fillId="37" borderId="135" applyNumberFormat="0" applyAlignment="0" applyProtection="0"/>
    <xf numFmtId="205" fontId="26" fillId="22" borderId="132" applyNumberFormat="0" applyFont="0" applyBorder="0" applyAlignment="0" applyProtection="0">
      <alignment horizontal="right"/>
    </xf>
    <xf numFmtId="0" fontId="94" fillId="28" borderId="135" applyNumberFormat="0" applyAlignment="0" applyProtection="0"/>
    <xf numFmtId="0" fontId="16" fillId="5" borderId="131">
      <alignment horizontal="left" vertical="center" wrapText="1"/>
    </xf>
    <xf numFmtId="0" fontId="178" fillId="0" borderId="142" applyNumberFormat="0" applyFill="0" applyBorder="0" applyAlignment="0" applyProtection="0"/>
    <xf numFmtId="0" fontId="39" fillId="0" borderId="133" applyNumberFormat="0" applyFill="0" applyAlignment="0" applyProtection="0"/>
    <xf numFmtId="0" fontId="16" fillId="5" borderId="131">
      <alignment horizontal="left" vertical="center" wrapText="1"/>
    </xf>
    <xf numFmtId="0" fontId="5" fillId="0" borderId="132" applyNumberFormat="0" applyFont="0" applyFill="0" applyAlignment="0" applyProtection="0"/>
    <xf numFmtId="0" fontId="5" fillId="0" borderId="132" applyNumberFormat="0" applyFont="0" applyFill="0" applyAlignment="0" applyProtection="0"/>
    <xf numFmtId="0" fontId="94" fillId="28" borderId="135" applyNumberFormat="0" applyAlignment="0" applyProtection="0"/>
    <xf numFmtId="167" fontId="51" fillId="0" borderId="134">
      <protection locked="0"/>
    </xf>
    <xf numFmtId="0" fontId="94" fillId="28" borderId="135" applyNumberFormat="0" applyAlignment="0" applyProtection="0"/>
    <xf numFmtId="0" fontId="94" fillId="28" borderId="135" applyNumberFormat="0" applyAlignment="0" applyProtection="0"/>
    <xf numFmtId="0" fontId="5" fillId="0" borderId="132" applyNumberFormat="0" applyFont="0" applyFill="0" applyAlignment="0" applyProtection="0"/>
    <xf numFmtId="0" fontId="39" fillId="0" borderId="133" applyNumberFormat="0" applyFill="0" applyAlignment="0" applyProtection="0"/>
    <xf numFmtId="0" fontId="39" fillId="0" borderId="133" applyNumberFormat="0" applyFill="0" applyAlignment="0" applyProtection="0"/>
    <xf numFmtId="0" fontId="39" fillId="0" borderId="133" applyNumberFormat="0" applyFill="0" applyAlignment="0" applyProtection="0"/>
    <xf numFmtId="0" fontId="39" fillId="0" borderId="133" applyNumberFormat="0" applyFill="0" applyAlignment="0" applyProtection="0"/>
    <xf numFmtId="0" fontId="94" fillId="28" borderId="135" applyNumberFormat="0" applyAlignment="0" applyProtection="0"/>
    <xf numFmtId="0" fontId="99" fillId="0" borderId="138" applyNumberFormat="0" applyFill="0" applyAlignment="0" applyProtection="0"/>
    <xf numFmtId="263" fontId="5" fillId="18" borderId="130" applyFont="0">
      <alignment horizontal="right"/>
    </xf>
    <xf numFmtId="263" fontId="5" fillId="18" borderId="130" applyFont="0">
      <alignment horizontal="right"/>
    </xf>
    <xf numFmtId="0" fontId="5" fillId="0" borderId="132" applyNumberFormat="0" applyFont="0" applyFill="0" applyAlignment="0" applyProtection="0"/>
    <xf numFmtId="0" fontId="16" fillId="5" borderId="131">
      <alignment horizontal="left" vertical="center" wrapText="1"/>
    </xf>
    <xf numFmtId="0" fontId="16" fillId="5" borderId="131">
      <alignment horizontal="left" vertical="center" wrapText="1"/>
    </xf>
    <xf numFmtId="1" fontId="22" fillId="0" borderId="139" applyFill="0" applyProtection="0">
      <alignment horizontal="right"/>
    </xf>
    <xf numFmtId="284" fontId="5" fillId="22" borderId="132" applyNumberFormat="0" applyFont="0" applyBorder="0" applyAlignment="0" applyProtection="0">
      <alignment horizontal="right"/>
    </xf>
    <xf numFmtId="0" fontId="74" fillId="0" borderId="132" applyNumberFormat="0" applyFill="0" applyProtection="0">
      <alignment horizontal="right"/>
    </xf>
    <xf numFmtId="0" fontId="99" fillId="0" borderId="138" applyNumberFormat="0" applyFill="0" applyAlignment="0" applyProtection="0"/>
    <xf numFmtId="0" fontId="94" fillId="28" borderId="135" applyNumberFormat="0" applyAlignment="0" applyProtection="0"/>
    <xf numFmtId="0" fontId="39" fillId="0" borderId="107" applyNumberFormat="0" applyFill="0" applyAlignment="0" applyProtection="0"/>
    <xf numFmtId="0" fontId="39" fillId="0" borderId="107" applyNumberFormat="0" applyFill="0" applyAlignment="0" applyProtection="0"/>
    <xf numFmtId="0" fontId="94" fillId="28" borderId="135" applyNumberFormat="0" applyAlignment="0" applyProtection="0"/>
    <xf numFmtId="0" fontId="99" fillId="0" borderId="138" applyNumberFormat="0" applyFill="0" applyAlignment="0" applyProtection="0"/>
    <xf numFmtId="0" fontId="28" fillId="0" borderId="142" applyNumberFormat="0" applyFill="0" applyBorder="0" applyAlignment="0" applyProtection="0"/>
    <xf numFmtId="0" fontId="26" fillId="0" borderId="142" applyNumberFormat="0" applyFill="0" applyAlignment="0" applyProtection="0"/>
    <xf numFmtId="0" fontId="139" fillId="11" borderId="132" applyFont="0" applyFill="0" applyBorder="0" applyAlignment="0"/>
    <xf numFmtId="0" fontId="99" fillId="0" borderId="138" applyNumberFormat="0" applyFill="0" applyAlignment="0" applyProtection="0"/>
    <xf numFmtId="0" fontId="94" fillId="28" borderId="135" applyNumberFormat="0" applyAlignment="0" applyProtection="0"/>
    <xf numFmtId="0" fontId="26" fillId="0" borderId="142" applyNumberFormat="0" applyFill="0" applyAlignment="0" applyProtection="0"/>
    <xf numFmtId="0" fontId="97" fillId="37" borderId="137" applyNumberFormat="0" applyAlignment="0" applyProtection="0"/>
    <xf numFmtId="0" fontId="179" fillId="0" borderId="142" applyNumberFormat="0" applyFill="0" applyBorder="0" applyAlignment="0" applyProtection="0"/>
    <xf numFmtId="0" fontId="16" fillId="5" borderId="131">
      <alignment horizontal="left" vertical="center" wrapText="1"/>
    </xf>
    <xf numFmtId="0" fontId="39" fillId="0" borderId="133" applyNumberFormat="0" applyFill="0" applyAlignment="0" applyProtection="0"/>
    <xf numFmtId="0" fontId="99" fillId="0" borderId="138" applyNumberFormat="0" applyFill="0" applyAlignment="0" applyProtection="0"/>
    <xf numFmtId="0" fontId="6" fillId="0" borderId="139">
      <alignment horizontal="left" vertical="center"/>
    </xf>
    <xf numFmtId="0" fontId="5" fillId="0" borderId="132" applyNumberFormat="0" applyFont="0" applyFill="0" applyAlignment="0" applyProtection="0"/>
    <xf numFmtId="0" fontId="94" fillId="28" borderId="135" applyNumberFormat="0" applyAlignment="0" applyProtection="0"/>
    <xf numFmtId="0" fontId="5" fillId="0" borderId="132" applyNumberFormat="0" applyFont="0" applyFill="0" applyAlignment="0" applyProtection="0"/>
    <xf numFmtId="0" fontId="97" fillId="37" borderId="137" applyNumberFormat="0" applyAlignment="0" applyProtection="0"/>
    <xf numFmtId="0" fontId="39" fillId="0" borderId="133" applyNumberFormat="0" applyFill="0" applyAlignment="0" applyProtection="0"/>
    <xf numFmtId="0" fontId="5" fillId="0" borderId="132" applyNumberFormat="0" applyFont="0" applyFill="0" applyAlignment="0" applyProtection="0"/>
    <xf numFmtId="0" fontId="28" fillId="0" borderId="142" applyNumberFormat="0" applyFill="0" applyBorder="0" applyAlignment="0" applyProtection="0"/>
    <xf numFmtId="0" fontId="5" fillId="0" borderId="132" applyNumberFormat="0" applyFont="0" applyFill="0" applyAlignment="0" applyProtection="0"/>
    <xf numFmtId="284" fontId="5" fillId="22" borderId="132" applyNumberFormat="0" applyFont="0" applyBorder="0" applyAlignment="0" applyProtection="0">
      <alignment horizontal="right"/>
    </xf>
    <xf numFmtId="0" fontId="5" fillId="0" borderId="132" applyNumberFormat="0" applyFont="0" applyFill="0" applyAlignment="0" applyProtection="0"/>
    <xf numFmtId="0" fontId="133" fillId="0" borderId="142" applyNumberFormat="0" applyFill="0" applyBorder="0" applyAlignment="0" applyProtection="0"/>
    <xf numFmtId="0" fontId="5" fillId="0" borderId="132" applyNumberFormat="0" applyFont="0" applyFill="0" applyAlignment="0" applyProtection="0"/>
    <xf numFmtId="284" fontId="5" fillId="22" borderId="132" applyNumberFormat="0" applyFont="0" applyBorder="0" applyAlignment="0" applyProtection="0">
      <alignment horizontal="right"/>
    </xf>
    <xf numFmtId="284" fontId="5" fillId="22" borderId="132" applyNumberFormat="0" applyFont="0" applyBorder="0" applyAlignment="0" applyProtection="0">
      <alignment horizontal="right"/>
    </xf>
    <xf numFmtId="205" fontId="26" fillId="22" borderId="132" applyNumberFormat="0" applyFont="0" applyBorder="0" applyAlignment="0" applyProtection="0">
      <alignment horizontal="right"/>
    </xf>
    <xf numFmtId="263" fontId="5" fillId="18" borderId="81" applyFont="0">
      <alignment horizontal="right"/>
    </xf>
    <xf numFmtId="263" fontId="5" fillId="18" borderId="81" applyFont="0">
      <alignment horizontal="right"/>
    </xf>
    <xf numFmtId="0" fontId="39" fillId="0" borderId="133" applyNumberFormat="0" applyFill="0" applyAlignment="0" applyProtection="0"/>
    <xf numFmtId="0" fontId="39" fillId="0" borderId="133" applyNumberFormat="0" applyFill="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205" fontId="26" fillId="22" borderId="132" applyNumberFormat="0" applyFont="0" applyBorder="0" applyAlignment="0" applyProtection="0">
      <alignment horizontal="right"/>
    </xf>
    <xf numFmtId="0" fontId="26" fillId="0" borderId="142" applyNumberFormat="0" applyFill="0" applyAlignment="0" applyProtection="0"/>
    <xf numFmtId="205" fontId="26" fillId="22" borderId="132" applyNumberFormat="0" applyFont="0" applyBorder="0" applyAlignment="0" applyProtection="0">
      <alignment horizontal="right"/>
    </xf>
    <xf numFmtId="165" fontId="12" fillId="0" borderId="140" applyBorder="0"/>
    <xf numFmtId="0" fontId="97" fillId="37" borderId="137" applyNumberFormat="0" applyAlignment="0" applyProtection="0"/>
    <xf numFmtId="0" fontId="39" fillId="0" borderId="133" applyNumberFormat="0" applyFill="0" applyAlignment="0" applyProtection="0"/>
    <xf numFmtId="0" fontId="133" fillId="0" borderId="142" applyNumberFormat="0" applyFill="0" applyBorder="0" applyAlignment="0" applyProtection="0"/>
    <xf numFmtId="0" fontId="94" fillId="28" borderId="135" applyNumberFormat="0" applyAlignment="0" applyProtection="0"/>
    <xf numFmtId="205" fontId="26" fillId="22" borderId="132" applyNumberFormat="0" applyFont="0" applyBorder="0" applyAlignment="0" applyProtection="0">
      <alignment horizontal="right"/>
    </xf>
    <xf numFmtId="165" fontId="12" fillId="0" borderId="140" applyBorder="0"/>
    <xf numFmtId="0" fontId="5" fillId="17" borderId="136" applyNumberFormat="0" applyFont="0" applyAlignment="0" applyProtection="0"/>
    <xf numFmtId="0" fontId="143" fillId="0" borderId="142" applyNumberForma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0" fontId="94" fillId="28" borderId="135" applyNumberFormat="0" applyAlignment="0" applyProtection="0"/>
    <xf numFmtId="0" fontId="87" fillId="37" borderId="135" applyNumberFormat="0" applyAlignment="0" applyProtection="0"/>
    <xf numFmtId="0" fontId="28" fillId="0" borderId="142" applyNumberFormat="0" applyFill="0" applyBorder="0" applyAlignment="0" applyProtection="0"/>
    <xf numFmtId="165" fontId="12" fillId="0" borderId="140" applyBorder="0"/>
    <xf numFmtId="167" fontId="51" fillId="0" borderId="134">
      <protection locked="0"/>
    </xf>
    <xf numFmtId="0" fontId="28" fillId="0" borderId="142" applyNumberFormat="0" applyFill="0" applyBorder="0" applyAlignment="0" applyProtection="0"/>
    <xf numFmtId="43" fontId="5" fillId="0" borderId="0" applyFont="0" applyFill="0" applyBorder="0" applyAlignment="0" applyProtection="0"/>
    <xf numFmtId="43" fontId="3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39" fillId="11" borderId="113" applyFont="0" applyFill="0" applyBorder="0" applyAlignment="0"/>
    <xf numFmtId="43" fontId="34" fillId="0" borderId="0" applyFont="0" applyFill="0" applyBorder="0" applyAlignment="0" applyProtection="0"/>
    <xf numFmtId="0" fontId="16" fillId="5" borderId="131">
      <alignment horizontal="left" vertical="center" wrapText="1"/>
    </xf>
    <xf numFmtId="0" fontId="94" fillId="28" borderId="135" applyNumberFormat="0" applyAlignment="0" applyProtection="0"/>
    <xf numFmtId="9" fontId="139" fillId="0" borderId="115" applyNumberFormat="0" applyBorder="0" applyAlignment="0">
      <protection locked="0"/>
    </xf>
    <xf numFmtId="205" fontId="26" fillId="22" borderId="132" applyNumberFormat="0" applyFont="0" applyBorder="0" applyAlignment="0" applyProtection="0">
      <alignment horizontal="right"/>
    </xf>
    <xf numFmtId="0" fontId="16" fillId="5" borderId="131">
      <alignment horizontal="left" vertical="center" wrapText="1"/>
    </xf>
    <xf numFmtId="0" fontId="168" fillId="0" borderId="142" applyNumberFormat="0" applyFill="0" applyBorder="0" applyAlignment="0" applyProtection="0"/>
    <xf numFmtId="0" fontId="26" fillId="0" borderId="142" applyNumberFormat="0" applyFill="0" applyAlignment="0" applyProtection="0"/>
    <xf numFmtId="284" fontId="5" fillId="22" borderId="132" applyNumberFormat="0" applyFont="0" applyBorder="0" applyAlignment="0" applyProtection="0">
      <alignment horizontal="right"/>
    </xf>
    <xf numFmtId="0" fontId="178" fillId="0" borderId="142" applyNumberFormat="0" applyFill="0" applyBorder="0" applyAlignment="0" applyProtection="0"/>
    <xf numFmtId="0" fontId="5" fillId="0" borderId="132" applyNumberFormat="0" applyFont="0" applyFill="0" applyAlignment="0" applyProtection="0"/>
    <xf numFmtId="0" fontId="5" fillId="0" borderId="132" applyNumberFormat="0" applyFont="0" applyFill="0" applyAlignment="0" applyProtection="0"/>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0" fontId="21" fillId="3" borderId="141">
      <alignment horizontal="center" vertical="center" wrapText="1"/>
      <protection hidden="1"/>
    </xf>
    <xf numFmtId="173" fontId="15" fillId="8" borderId="141" applyNumberFormat="0" applyAlignment="0">
      <alignment horizontal="right"/>
    </xf>
    <xf numFmtId="0" fontId="143" fillId="0" borderId="142" applyNumberFormat="0" applyFill="0" applyBorder="0" applyAlignment="0" applyProtection="0"/>
    <xf numFmtId="0" fontId="39" fillId="0" borderId="133" applyNumberFormat="0" applyFill="0" applyAlignment="0" applyProtection="0"/>
    <xf numFmtId="0" fontId="5" fillId="0" borderId="132" applyNumberFormat="0" applyFont="0" applyFill="0" applyAlignment="0" applyProtection="0"/>
    <xf numFmtId="0" fontId="39" fillId="0" borderId="133" applyNumberFormat="0" applyFill="0" applyAlignment="0" applyProtection="0"/>
    <xf numFmtId="0" fontId="5" fillId="17" borderId="136" applyNumberFormat="0" applyFont="0" applyAlignment="0" applyProtection="0"/>
    <xf numFmtId="0" fontId="28" fillId="0" borderId="142" applyNumberFormat="0" applyFill="0" applyBorder="0" applyAlignment="0" applyProtection="0"/>
    <xf numFmtId="284" fontId="5" fillId="22" borderId="132" applyNumberFormat="0" applyFont="0" applyBorder="0" applyAlignment="0" applyProtection="0">
      <alignment horizontal="right"/>
    </xf>
    <xf numFmtId="205" fontId="26" fillId="22" borderId="132" applyNumberFormat="0" applyFont="0" applyBorder="0" applyAlignment="0" applyProtection="0">
      <alignment horizontal="right"/>
    </xf>
    <xf numFmtId="0" fontId="87" fillId="37" borderId="135" applyNumberFormat="0" applyAlignment="0" applyProtection="0"/>
    <xf numFmtId="167" fontId="51" fillId="0" borderId="134">
      <protection locked="0"/>
    </xf>
    <xf numFmtId="279" fontId="28" fillId="2" borderId="115" applyNumberFormat="0" applyFont="0" applyAlignment="0"/>
    <xf numFmtId="279" fontId="28" fillId="2" borderId="115" applyNumberFormat="0" applyFont="0" applyAlignment="0"/>
    <xf numFmtId="0" fontId="94" fillId="28" borderId="135" applyNumberFormat="0" applyAlignment="0" applyProtection="0"/>
    <xf numFmtId="0" fontId="94" fillId="28" borderId="135" applyNumberFormat="0" applyAlignment="0" applyProtection="0"/>
    <xf numFmtId="0" fontId="6" fillId="0" borderId="81">
      <alignment horizontal="left" vertical="center"/>
    </xf>
    <xf numFmtId="0" fontId="139" fillId="0" borderId="87">
      <alignment horizontal="left" vertical="top"/>
    </xf>
    <xf numFmtId="0" fontId="139" fillId="0" borderId="87">
      <alignment horizontal="left" vertical="top"/>
    </xf>
    <xf numFmtId="263" fontId="5" fillId="18" borderId="130" applyFont="0">
      <alignment horizontal="right"/>
    </xf>
    <xf numFmtId="202" fontId="43" fillId="18" borderId="130" applyFont="0">
      <alignment horizontal="right"/>
    </xf>
    <xf numFmtId="0" fontId="39" fillId="0" borderId="133" applyNumberFormat="0" applyFill="0" applyAlignment="0" applyProtection="0"/>
    <xf numFmtId="284" fontId="5" fillId="22" borderId="132" applyNumberFormat="0" applyFont="0" applyBorder="0" applyAlignment="0" applyProtection="0">
      <alignment horizontal="right"/>
    </xf>
    <xf numFmtId="0" fontId="133" fillId="0" borderId="142" applyNumberFormat="0" applyFill="0" applyBorder="0" applyAlignment="0" applyProtection="0"/>
    <xf numFmtId="10" fontId="26" fillId="2" borderId="115" applyNumberFormat="0" applyBorder="0" applyAlignment="0" applyProtection="0"/>
    <xf numFmtId="10" fontId="26" fillId="2" borderId="115" applyNumberFormat="0" applyBorder="0" applyAlignment="0" applyProtection="0"/>
    <xf numFmtId="0" fontId="94" fillId="28" borderId="109" applyNumberFormat="0" applyAlignment="0" applyProtection="0"/>
    <xf numFmtId="0" fontId="28" fillId="0" borderId="142" applyNumberFormat="0" applyFill="0" applyBorder="0" applyAlignment="0" applyProtection="0"/>
    <xf numFmtId="0" fontId="5" fillId="0" borderId="132" applyNumberFormat="0" applyFont="0" applyFill="0" applyAlignment="0" applyProtection="0"/>
    <xf numFmtId="0" fontId="16" fillId="5" borderId="131">
      <alignment horizontal="left" vertical="center" wrapText="1"/>
    </xf>
    <xf numFmtId="202" fontId="43" fillId="18" borderId="117" applyFont="0">
      <alignment horizontal="right"/>
    </xf>
    <xf numFmtId="173" fontId="15" fillId="8" borderId="127" applyNumberFormat="0" applyAlignment="0">
      <alignment horizontal="right"/>
    </xf>
    <xf numFmtId="173" fontId="14" fillId="8" borderId="127" applyNumberFormat="0" applyAlignment="0">
      <alignment horizontal="right"/>
    </xf>
    <xf numFmtId="180" fontId="15" fillId="6" borderId="127">
      <alignment horizontal="right"/>
    </xf>
    <xf numFmtId="173" fontId="14" fillId="4" borderId="127" applyNumberFormat="0" applyAlignment="0">
      <alignment horizontal="right"/>
    </xf>
    <xf numFmtId="165" fontId="12" fillId="0" borderId="126" applyBorder="0"/>
    <xf numFmtId="0" fontId="39" fillId="0" borderId="133" applyNumberFormat="0" applyFill="0" applyAlignment="0" applyProtection="0"/>
    <xf numFmtId="0" fontId="97" fillId="37" borderId="122" applyNumberFormat="0" applyAlignment="0" applyProtection="0"/>
    <xf numFmtId="0" fontId="5" fillId="17" borderId="121" applyNumberFormat="0" applyFont="0" applyAlignment="0" applyProtection="0"/>
    <xf numFmtId="0" fontId="94" fillId="28" borderId="120" applyNumberFormat="0" applyAlignment="0" applyProtection="0"/>
    <xf numFmtId="0" fontId="87" fillId="37" borderId="120" applyNumberFormat="0" applyAlignment="0" applyProtection="0"/>
    <xf numFmtId="39" fontId="30" fillId="0" borderId="117" applyNumberFormat="0" applyBorder="0">
      <alignment horizontal="right"/>
    </xf>
    <xf numFmtId="0" fontId="74" fillId="0" borderId="125" applyNumberFormat="0" applyFill="0" applyProtection="0">
      <alignment horizontal="right"/>
    </xf>
    <xf numFmtId="205" fontId="26" fillId="22" borderId="125" applyNumberFormat="0" applyFont="0" applyBorder="0" applyAlignment="0" applyProtection="0">
      <alignment horizontal="right"/>
    </xf>
    <xf numFmtId="167" fontId="51" fillId="0" borderId="119">
      <protection locked="0"/>
    </xf>
    <xf numFmtId="202" fontId="43" fillId="18" borderId="117" applyFont="0">
      <alignment horizontal="right"/>
    </xf>
    <xf numFmtId="0" fontId="39" fillId="0" borderId="118" applyNumberFormat="0" applyFill="0" applyAlignment="0" applyProtection="0"/>
    <xf numFmtId="0" fontId="16" fillId="5" borderId="124">
      <alignment horizontal="left" vertical="center" wrapText="1"/>
    </xf>
    <xf numFmtId="43" fontId="34" fillId="0" borderId="0" applyFont="0" applyFill="0" applyBorder="0" applyAlignment="0" applyProtection="0"/>
    <xf numFmtId="284" fontId="5" fillId="22" borderId="132" applyNumberFormat="0" applyFont="0" applyBorder="0" applyAlignment="0" applyProtection="0">
      <alignment horizontal="right"/>
    </xf>
    <xf numFmtId="0" fontId="94" fillId="28" borderId="135" applyNumberFormat="0" applyAlignment="0" applyProtection="0"/>
    <xf numFmtId="0" fontId="133" fillId="0" borderId="142" applyNumberFormat="0" applyFill="0" applyBorder="0" applyAlignment="0" applyProtection="0"/>
    <xf numFmtId="165" fontId="12" fillId="0" borderId="140" applyBorder="0"/>
    <xf numFmtId="0" fontId="99" fillId="0" borderId="123" applyNumberFormat="0" applyFill="0" applyAlignment="0" applyProtection="0"/>
    <xf numFmtId="189" fontId="5" fillId="0" borderId="132" applyNumberFormat="0" applyFont="0" applyFill="0" applyAlignment="0"/>
    <xf numFmtId="165" fontId="12" fillId="0" borderId="140" applyBorder="0"/>
    <xf numFmtId="1" fontId="22" fillId="0" borderId="117" applyFill="0" applyProtection="0">
      <alignment horizontal="right"/>
    </xf>
    <xf numFmtId="0" fontId="162" fillId="0" borderId="89"/>
    <xf numFmtId="0" fontId="97" fillId="37" borderId="137" applyNumberFormat="0" applyAlignment="0" applyProtection="0"/>
    <xf numFmtId="39" fontId="30" fillId="0" borderId="117" applyNumberFormat="0" applyBorder="0">
      <alignment horizontal="right"/>
    </xf>
    <xf numFmtId="0" fontId="99" fillId="0" borderId="138" applyNumberFormat="0" applyFill="0" applyAlignment="0" applyProtection="0"/>
    <xf numFmtId="167" fontId="51" fillId="0" borderId="134">
      <protection locked="0"/>
    </xf>
    <xf numFmtId="0" fontId="94" fillId="28" borderId="135" applyNumberFormat="0" applyAlignment="0" applyProtection="0"/>
    <xf numFmtId="0" fontId="74" fillId="0" borderId="132" applyNumberFormat="0" applyFill="0" applyProtection="0">
      <alignment horizontal="right"/>
    </xf>
    <xf numFmtId="39" fontId="30" fillId="0" borderId="130" applyNumberFormat="0" applyBorder="0">
      <alignment horizontal="right"/>
    </xf>
    <xf numFmtId="7" fontId="5" fillId="0" borderId="0"/>
    <xf numFmtId="7" fontId="5" fillId="0" borderId="0"/>
    <xf numFmtId="7" fontId="5" fillId="0" borderId="0"/>
    <xf numFmtId="0" fontId="39" fillId="0" borderId="133" applyNumberFormat="0" applyFill="0" applyAlignment="0" applyProtection="0"/>
    <xf numFmtId="205" fontId="26" fillId="22" borderId="132" applyNumberFormat="0" applyFont="0" applyBorder="0" applyAlignment="0" applyProtection="0">
      <alignment horizontal="right"/>
    </xf>
    <xf numFmtId="0" fontId="39" fillId="0" borderId="118" applyNumberFormat="0" applyFill="0" applyAlignment="0" applyProtection="0"/>
    <xf numFmtId="0" fontId="5" fillId="0" borderId="132" applyNumberFormat="0" applyFont="0" applyFill="0" applyAlignment="0" applyProtection="0"/>
    <xf numFmtId="43" fontId="34" fillId="0" borderId="0" applyFont="0" applyFill="0" applyBorder="0" applyAlignment="0" applyProtection="0"/>
    <xf numFmtId="0" fontId="179" fillId="0" borderId="142" applyNumberFormat="0" applyFill="0" applyBorder="0" applyAlignment="0" applyProtection="0"/>
    <xf numFmtId="173" fontId="14" fillId="4" borderId="141" applyNumberFormat="0" applyAlignment="0">
      <alignment horizontal="right"/>
    </xf>
    <xf numFmtId="180" fontId="15" fillId="6" borderId="141">
      <alignment horizontal="right"/>
    </xf>
    <xf numFmtId="173" fontId="14" fillId="8" borderId="141" applyNumberFormat="0" applyAlignment="0">
      <alignment horizontal="right"/>
    </xf>
    <xf numFmtId="263" fontId="5" fillId="18" borderId="139" applyFont="0">
      <alignment horizontal="right"/>
    </xf>
    <xf numFmtId="202" fontId="43" fillId="18" borderId="139" applyFont="0">
      <alignment horizontal="right"/>
    </xf>
    <xf numFmtId="284" fontId="5" fillId="22" borderId="132" applyNumberFormat="0" applyFont="0" applyBorder="0" applyAlignment="0" applyProtection="0">
      <alignment horizontal="right"/>
    </xf>
    <xf numFmtId="0" fontId="5" fillId="17" borderId="136" applyNumberFormat="0" applyFont="0" applyAlignment="0" applyProtection="0"/>
    <xf numFmtId="167" fontId="51" fillId="0" borderId="134">
      <protection locked="0"/>
    </xf>
    <xf numFmtId="39" fontId="30" fillId="0" borderId="139" applyNumberFormat="0" applyBorder="0">
      <alignment horizontal="right"/>
    </xf>
    <xf numFmtId="167" fontId="51" fillId="0" borderId="134">
      <protection locked="0"/>
    </xf>
    <xf numFmtId="284" fontId="5" fillId="22" borderId="132" applyNumberFormat="0" applyFont="0" applyBorder="0" applyAlignment="0" applyProtection="0">
      <alignment horizontal="right"/>
    </xf>
    <xf numFmtId="167" fontId="51" fillId="0" borderId="134">
      <protection locked="0"/>
    </xf>
    <xf numFmtId="0" fontId="39" fillId="0" borderId="133" applyNumberFormat="0" applyFill="0" applyAlignment="0" applyProtection="0"/>
    <xf numFmtId="0" fontId="178" fillId="0" borderId="142" applyNumberFormat="0" applyFill="0" applyBorder="0" applyAlignment="0" applyProtection="0"/>
    <xf numFmtId="0" fontId="5" fillId="0" borderId="132" applyNumberFormat="0" applyFont="0" applyFill="0" applyAlignment="0" applyProtection="0"/>
    <xf numFmtId="0" fontId="168" fillId="0" borderId="116" applyNumberFormat="0" applyFill="0" applyBorder="0" applyAlignment="0" applyProtection="0"/>
    <xf numFmtId="0" fontId="5" fillId="0" borderId="87" applyBorder="0">
      <alignment horizontal="center"/>
    </xf>
    <xf numFmtId="0" fontId="5" fillId="0" borderId="87" applyBorder="0">
      <alignment horizontal="center"/>
    </xf>
    <xf numFmtId="0" fontId="39" fillId="0" borderId="133" applyNumberFormat="0" applyFill="0" applyAlignment="0" applyProtection="0"/>
    <xf numFmtId="0" fontId="94" fillId="28" borderId="135" applyNumberFormat="0" applyAlignment="0" applyProtection="0"/>
    <xf numFmtId="284" fontId="5" fillId="22" borderId="132" applyNumberFormat="0" applyFont="0" applyBorder="0" applyAlignment="0" applyProtection="0">
      <alignment horizontal="right"/>
    </xf>
    <xf numFmtId="0" fontId="5" fillId="0" borderId="132" applyNumberFormat="0" applyFont="0" applyFill="0" applyAlignment="0" applyProtection="0"/>
    <xf numFmtId="0" fontId="139" fillId="0" borderId="87" applyFill="0" applyBorder="0" applyProtection="0"/>
    <xf numFmtId="0" fontId="94" fillId="28" borderId="135" applyNumberFormat="0" applyAlignment="0" applyProtection="0"/>
    <xf numFmtId="0" fontId="99" fillId="0" borderId="138" applyNumberFormat="0" applyFill="0" applyAlignment="0" applyProtection="0"/>
    <xf numFmtId="167" fontId="51" fillId="0" borderId="134">
      <protection locked="0"/>
    </xf>
    <xf numFmtId="0" fontId="94" fillId="28" borderId="135" applyNumberFormat="0" applyAlignment="0" applyProtection="0"/>
    <xf numFmtId="167" fontId="51" fillId="0" borderId="134">
      <protection locked="0"/>
    </xf>
    <xf numFmtId="0" fontId="139" fillId="11" borderId="132" applyFont="0" applyFill="0" applyBorder="0" applyAlignment="0"/>
    <xf numFmtId="189" fontId="5" fillId="0" borderId="113" applyNumberFormat="0" applyFont="0" applyFill="0" applyAlignment="0"/>
    <xf numFmtId="0" fontId="39" fillId="0" borderId="133" applyNumberFormat="0" applyFill="0" applyAlignment="0" applyProtection="0"/>
    <xf numFmtId="1" fontId="22" fillId="0" borderId="130" applyFill="0" applyProtection="0">
      <alignment horizontal="right"/>
    </xf>
    <xf numFmtId="0" fontId="5" fillId="0" borderId="115">
      <protection locked="0"/>
    </xf>
    <xf numFmtId="0" fontId="5" fillId="0" borderId="115">
      <protection locked="0"/>
    </xf>
    <xf numFmtId="171" fontId="5" fillId="0" borderId="115">
      <alignment horizontal="right"/>
      <protection locked="0"/>
    </xf>
    <xf numFmtId="171" fontId="5" fillId="0" borderId="115">
      <alignment horizontal="right"/>
      <protection locked="0"/>
    </xf>
    <xf numFmtId="0" fontId="5" fillId="17" borderId="136" applyNumberFormat="0" applyFont="0" applyAlignment="0" applyProtection="0"/>
    <xf numFmtId="0" fontId="39" fillId="0" borderId="133"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97" fillId="37" borderId="137" applyNumberFormat="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94" fillId="28" borderId="135" applyNumberFormat="0" applyAlignment="0" applyProtection="0"/>
    <xf numFmtId="167" fontId="51" fillId="0" borderId="134">
      <protection locked="0"/>
    </xf>
    <xf numFmtId="0" fontId="133" fillId="0" borderId="142" applyNumberFormat="0" applyFill="0" applyBorder="0" applyAlignment="0" applyProtection="0"/>
    <xf numFmtId="0" fontId="39" fillId="0" borderId="107" applyNumberFormat="0" applyFill="0" applyAlignment="0" applyProtection="0"/>
    <xf numFmtId="0" fontId="39" fillId="0" borderId="107" applyNumberFormat="0" applyFill="0" applyAlignment="0" applyProtection="0"/>
    <xf numFmtId="0" fontId="39" fillId="0" borderId="107" applyNumberFormat="0" applyFill="0" applyAlignment="0" applyProtection="0"/>
    <xf numFmtId="0" fontId="87" fillId="37" borderId="135" applyNumberFormat="0" applyAlignment="0" applyProtection="0"/>
    <xf numFmtId="263" fontId="5" fillId="18" borderId="81" applyFont="0">
      <alignment horizontal="right"/>
    </xf>
    <xf numFmtId="263" fontId="5" fillId="18" borderId="81" applyFont="0">
      <alignment horizontal="right"/>
    </xf>
    <xf numFmtId="202" fontId="43" fillId="18" borderId="81" applyFont="0">
      <alignment horizontal="right"/>
    </xf>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28" fillId="0" borderId="142" applyNumberFormat="0" applyFill="0" applyBorder="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6" fillId="0" borderId="81">
      <alignment horizontal="left" vertical="center"/>
    </xf>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5" fillId="17" borderId="110" applyNumberFormat="0" applyFont="0" applyAlignment="0" applyProtection="0"/>
    <xf numFmtId="0" fontId="5" fillId="17" borderId="136" applyNumberFormat="0" applyFont="0" applyAlignment="0" applyProtection="0"/>
    <xf numFmtId="279" fontId="28" fillId="2" borderId="141" applyNumberFormat="0" applyFont="0" applyAlignment="0"/>
    <xf numFmtId="0" fontId="5" fillId="0" borderId="132" applyNumberFormat="0" applyFont="0" applyFill="0" applyAlignment="0" applyProtection="0"/>
    <xf numFmtId="0" fontId="168" fillId="0" borderId="116" applyNumberFormat="0" applyFill="0" applyBorder="0" applyAlignment="0" applyProtection="0"/>
    <xf numFmtId="39" fontId="30" fillId="0" borderId="81" applyNumberFormat="0" applyBorder="0">
      <alignment horizontal="right"/>
    </xf>
    <xf numFmtId="0" fontId="16" fillId="5" borderId="131">
      <alignment horizontal="left" vertical="center" wrapText="1"/>
    </xf>
    <xf numFmtId="202" fontId="43" fillId="18" borderId="139" applyFont="0">
      <alignment horizontal="right"/>
    </xf>
    <xf numFmtId="0" fontId="94" fillId="28" borderId="135" applyNumberFormat="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1" fontId="22" fillId="0" borderId="81" applyFill="0" applyProtection="0">
      <alignment horizontal="right"/>
    </xf>
    <xf numFmtId="0" fontId="28" fillId="0" borderId="116" applyNumberFormat="0" applyFill="0" applyBorder="0" applyAlignment="0" applyProtection="0"/>
    <xf numFmtId="0" fontId="39" fillId="0" borderId="107" applyNumberFormat="0" applyFill="0" applyAlignment="0" applyProtection="0"/>
    <xf numFmtId="0" fontId="16" fillId="5" borderId="106">
      <alignment horizontal="left" vertical="center" wrapText="1"/>
    </xf>
    <xf numFmtId="0" fontId="5" fillId="0" borderId="113" applyNumberFormat="0" applyFont="0" applyFill="0" applyAlignment="0" applyProtection="0"/>
    <xf numFmtId="0" fontId="74" fillId="0" borderId="113" applyNumberFormat="0" applyFill="0" applyProtection="0">
      <alignment horizontal="right"/>
    </xf>
    <xf numFmtId="202" fontId="43" fillId="18" borderId="81" applyFont="0">
      <alignment horizontal="right"/>
    </xf>
    <xf numFmtId="0" fontId="39" fillId="0" borderId="133" applyNumberFormat="0" applyFill="0" applyAlignment="0" applyProtection="0"/>
    <xf numFmtId="0" fontId="5" fillId="0" borderId="113" applyNumberFormat="0" applyFont="0" applyFill="0" applyAlignment="0" applyProtection="0"/>
    <xf numFmtId="0" fontId="94" fillId="28" borderId="109" applyNumberFormat="0" applyAlignment="0" applyProtection="0"/>
    <xf numFmtId="0" fontId="94" fillId="28" borderId="109" applyNumberFormat="0" applyAlignment="0" applyProtection="0"/>
    <xf numFmtId="167" fontId="51" fillId="0" borderId="108">
      <protection locked="0"/>
    </xf>
    <xf numFmtId="0" fontId="94" fillId="28" borderId="109" applyNumberFormat="0" applyAlignment="0" applyProtection="0"/>
    <xf numFmtId="0" fontId="94" fillId="28" borderId="109" applyNumberFormat="0" applyAlignment="0" applyProtection="0"/>
    <xf numFmtId="0" fontId="5" fillId="0" borderId="113" applyNumberFormat="0" applyFont="0" applyFill="0" applyAlignment="0" applyProtection="0"/>
    <xf numFmtId="0" fontId="39" fillId="0" borderId="107" applyNumberFormat="0" applyFill="0" applyAlignment="0" applyProtection="0"/>
    <xf numFmtId="202" fontId="43" fillId="18" borderId="81" applyFont="0">
      <alignment horizontal="right"/>
    </xf>
    <xf numFmtId="0" fontId="143" fillId="0" borderId="116" applyNumberFormat="0" applyFill="0" applyBorder="0" applyAlignment="0" applyProtection="0"/>
    <xf numFmtId="167" fontId="51" fillId="0" borderId="108">
      <protection locked="0"/>
    </xf>
    <xf numFmtId="0" fontId="28" fillId="0" borderId="116" applyNumberFormat="0" applyFill="0" applyBorder="0" applyAlignment="0" applyProtection="0"/>
    <xf numFmtId="167" fontId="51" fillId="0" borderId="108">
      <protection locked="0"/>
    </xf>
    <xf numFmtId="202" fontId="43" fillId="18" borderId="81" applyFont="0">
      <alignment horizontal="right"/>
    </xf>
    <xf numFmtId="205" fontId="26" fillId="22" borderId="113" applyNumberFormat="0" applyFont="0" applyBorder="0" applyAlignment="0" applyProtection="0">
      <alignment horizontal="right"/>
    </xf>
    <xf numFmtId="189" fontId="5" fillId="0" borderId="113" applyNumberFormat="0" applyFont="0" applyFill="0" applyAlignment="0"/>
    <xf numFmtId="0" fontId="39" fillId="0" borderId="107" applyNumberFormat="0" applyFill="0" applyAlignment="0" applyProtection="0"/>
    <xf numFmtId="0" fontId="39" fillId="0" borderId="107" applyNumberFormat="0" applyFill="0" applyAlignment="0" applyProtection="0"/>
    <xf numFmtId="0" fontId="143" fillId="0" borderId="116" applyNumberFormat="0" applyFill="0" applyBorder="0" applyAlignment="0" applyProtection="0"/>
    <xf numFmtId="0" fontId="39" fillId="0" borderId="107" applyNumberFormat="0" applyFill="0" applyAlignment="0" applyProtection="0"/>
    <xf numFmtId="167" fontId="51" fillId="0" borderId="108">
      <protection locked="0"/>
    </xf>
    <xf numFmtId="0" fontId="74" fillId="0" borderId="113" applyNumberFormat="0" applyFill="0" applyProtection="0">
      <alignment horizontal="right"/>
    </xf>
    <xf numFmtId="39" fontId="30" fillId="0" borderId="81" applyNumberFormat="0" applyBorder="0">
      <alignment horizontal="right"/>
    </xf>
    <xf numFmtId="0" fontId="179" fillId="0" borderId="142" applyNumberFormat="0" applyFill="0" applyBorder="0" applyAlignment="0" applyProtection="0"/>
    <xf numFmtId="1" fontId="22" fillId="0" borderId="81" applyFill="0" applyProtection="0">
      <alignment horizontal="right"/>
    </xf>
    <xf numFmtId="0" fontId="28" fillId="0" borderId="116" applyNumberFormat="0" applyFill="0" applyBorder="0" applyAlignment="0" applyProtection="0"/>
    <xf numFmtId="0" fontId="99" fillId="0" borderId="112" applyNumberFormat="0" applyFill="0" applyAlignment="0" applyProtection="0"/>
    <xf numFmtId="202" fontId="43" fillId="18" borderId="81" applyFont="0">
      <alignment horizontal="right"/>
    </xf>
    <xf numFmtId="0" fontId="94" fillId="28" borderId="109" applyNumberFormat="0" applyAlignment="0" applyProtection="0"/>
    <xf numFmtId="0" fontId="74" fillId="0" borderId="113" applyNumberFormat="0" applyFill="0" applyProtection="0">
      <alignment horizontal="right"/>
    </xf>
    <xf numFmtId="0" fontId="97" fillId="37" borderId="111" applyNumberFormat="0" applyAlignment="0" applyProtection="0"/>
    <xf numFmtId="0" fontId="39" fillId="0" borderId="107" applyNumberFormat="0" applyFill="0" applyAlignment="0" applyProtection="0"/>
    <xf numFmtId="0" fontId="26" fillId="0" borderId="116" applyNumberFormat="0" applyFill="0" applyAlignment="0" applyProtection="0"/>
    <xf numFmtId="202" fontId="43" fillId="18" borderId="81" applyFont="0">
      <alignment horizontal="right"/>
    </xf>
    <xf numFmtId="189" fontId="5" fillId="0" borderId="113" applyNumberFormat="0" applyFont="0" applyFill="0" applyAlignment="0"/>
    <xf numFmtId="0" fontId="99" fillId="0" borderId="112" applyNumberFormat="0" applyFill="0" applyAlignment="0" applyProtection="0"/>
    <xf numFmtId="0" fontId="39" fillId="0" borderId="107" applyNumberFormat="0" applyFill="0" applyAlignment="0" applyProtection="0"/>
    <xf numFmtId="0" fontId="94" fillId="28" borderId="109" applyNumberFormat="0" applyAlignment="0" applyProtection="0"/>
    <xf numFmtId="0" fontId="139" fillId="12" borderId="80" applyFont="0" applyFill="0" applyBorder="0" applyAlignment="0">
      <alignment horizontal="center"/>
    </xf>
    <xf numFmtId="0" fontId="39" fillId="0" borderId="107" applyNumberFormat="0" applyFill="0" applyAlignment="0" applyProtection="0"/>
    <xf numFmtId="167" fontId="51" fillId="0" borderId="108">
      <protection locked="0"/>
    </xf>
    <xf numFmtId="0" fontId="74" fillId="0" borderId="113" applyNumberFormat="0" applyFill="0" applyProtection="0">
      <alignment horizontal="right"/>
    </xf>
    <xf numFmtId="39" fontId="30" fillId="0" borderId="81" applyNumberFormat="0" applyBorder="0">
      <alignment horizontal="right"/>
    </xf>
    <xf numFmtId="0" fontId="143" fillId="0" borderId="116" applyNumberFormat="0" applyFill="0" applyBorder="0" applyAlignment="0" applyProtection="0"/>
    <xf numFmtId="0" fontId="97" fillId="37" borderId="111" applyNumberFormat="0" applyAlignment="0" applyProtection="0"/>
    <xf numFmtId="0" fontId="39" fillId="0" borderId="107" applyNumberFormat="0" applyFill="0" applyAlignment="0" applyProtection="0"/>
    <xf numFmtId="1" fontId="22" fillId="0" borderId="81" applyFill="0" applyProtection="0">
      <alignment horizontal="right"/>
    </xf>
    <xf numFmtId="0" fontId="39" fillId="0" borderId="107" applyNumberFormat="0" applyFill="0" applyAlignment="0" applyProtection="0"/>
    <xf numFmtId="0" fontId="39" fillId="0" borderId="107" applyNumberFormat="0" applyFill="0" applyAlignment="0" applyProtection="0"/>
    <xf numFmtId="0" fontId="5" fillId="0" borderId="113" applyNumberFormat="0" applyFont="0" applyFill="0" applyAlignment="0" applyProtection="0"/>
    <xf numFmtId="167" fontId="51" fillId="0" borderId="108">
      <protection locked="0"/>
    </xf>
    <xf numFmtId="165" fontId="12" fillId="0" borderId="114" applyBorder="0"/>
    <xf numFmtId="0" fontId="99" fillId="0" borderId="112" applyNumberFormat="0" applyFill="0" applyAlignment="0" applyProtection="0"/>
    <xf numFmtId="0" fontId="28" fillId="0" borderId="116" applyNumberFormat="0" applyFill="0" applyBorder="0" applyAlignment="0" applyProtection="0"/>
    <xf numFmtId="0" fontId="143" fillId="0" borderId="116" applyNumberFormat="0" applyFill="0" applyBorder="0" applyAlignment="0" applyProtection="0"/>
    <xf numFmtId="39" fontId="30" fillId="0" borderId="81" applyNumberFormat="0" applyBorder="0">
      <alignment horizontal="right"/>
    </xf>
    <xf numFmtId="0" fontId="94" fillId="28" borderId="109" applyNumberFormat="0" applyAlignment="0" applyProtection="0"/>
    <xf numFmtId="0" fontId="94" fillId="28" borderId="109" applyNumberFormat="0" applyAlignment="0" applyProtection="0"/>
    <xf numFmtId="0" fontId="97" fillId="37" borderId="111" applyNumberFormat="0" applyAlignment="0" applyProtection="0"/>
    <xf numFmtId="0" fontId="39" fillId="0" borderId="107" applyNumberFormat="0" applyFill="0" applyAlignment="0" applyProtection="0"/>
    <xf numFmtId="0" fontId="39" fillId="0" borderId="107" applyNumberFormat="0" applyFill="0" applyAlignment="0" applyProtection="0"/>
    <xf numFmtId="0" fontId="26" fillId="0" borderId="116" applyNumberFormat="0" applyFill="0" applyAlignment="0" applyProtection="0"/>
    <xf numFmtId="0" fontId="5" fillId="0" borderId="113" applyNumberFormat="0" applyFont="0" applyFill="0" applyAlignment="0" applyProtection="0"/>
    <xf numFmtId="1" fontId="22" fillId="0" borderId="81" applyFill="0" applyProtection="0">
      <alignment horizontal="right"/>
    </xf>
    <xf numFmtId="0" fontId="39" fillId="0" borderId="107" applyNumberFormat="0" applyFill="0" applyAlignment="0" applyProtection="0"/>
    <xf numFmtId="0" fontId="39" fillId="0" borderId="107" applyNumberFormat="0" applyFill="0" applyAlignment="0" applyProtection="0"/>
    <xf numFmtId="0" fontId="5" fillId="0" borderId="113" applyNumberFormat="0" applyFont="0" applyFill="0" applyAlignment="0" applyProtection="0"/>
    <xf numFmtId="0" fontId="139" fillId="12" borderId="80" applyFont="0" applyFill="0" applyBorder="0" applyAlignment="0">
      <alignment horizontal="center"/>
    </xf>
    <xf numFmtId="0" fontId="99" fillId="0" borderId="112" applyNumberFormat="0" applyFill="0" applyAlignment="0" applyProtection="0"/>
    <xf numFmtId="189" fontId="5" fillId="0" borderId="113" applyNumberFormat="0" applyFont="0" applyFill="0" applyAlignment="0"/>
    <xf numFmtId="0" fontId="74" fillId="0" borderId="113" applyNumberFormat="0" applyFill="0" applyProtection="0">
      <alignment horizontal="right"/>
    </xf>
    <xf numFmtId="0" fontId="39" fillId="0" borderId="107" applyNumberFormat="0" applyFill="0" applyAlignment="0" applyProtection="0"/>
    <xf numFmtId="0" fontId="28" fillId="0" borderId="116" applyNumberFormat="0" applyFill="0" applyBorder="0" applyAlignment="0" applyProtection="0"/>
    <xf numFmtId="167" fontId="51" fillId="0" borderId="108">
      <protection locked="0"/>
    </xf>
    <xf numFmtId="39" fontId="30" fillId="0" borderId="81" applyNumberFormat="0" applyBorder="0">
      <alignment horizontal="right"/>
    </xf>
    <xf numFmtId="0" fontId="94" fillId="28" borderId="109" applyNumberFormat="0" applyAlignment="0" applyProtection="0"/>
    <xf numFmtId="1" fontId="22" fillId="0" borderId="81" applyFill="0" applyProtection="0">
      <alignment horizontal="right"/>
    </xf>
    <xf numFmtId="0" fontId="28" fillId="0" borderId="116" applyNumberFormat="0" applyFill="0" applyBorder="0" applyAlignment="0" applyProtection="0"/>
    <xf numFmtId="0" fontId="94" fillId="28" borderId="109" applyNumberFormat="0" applyAlignment="0" applyProtection="0"/>
    <xf numFmtId="0" fontId="39" fillId="0" borderId="107" applyNumberFormat="0" applyFill="0" applyAlignment="0" applyProtection="0"/>
    <xf numFmtId="0" fontId="133" fillId="0" borderId="116" applyNumberFormat="0" applyFill="0" applyBorder="0" applyAlignment="0" applyProtection="0"/>
    <xf numFmtId="0" fontId="99" fillId="0" borderId="112" applyNumberFormat="0" applyFill="0" applyAlignment="0" applyProtection="0"/>
    <xf numFmtId="0" fontId="178" fillId="0" borderId="142" applyNumberFormat="0" applyFill="0" applyBorder="0" applyAlignment="0" applyProtection="0"/>
    <xf numFmtId="202" fontId="43" fillId="18" borderId="81" applyFont="0">
      <alignment horizontal="right"/>
    </xf>
    <xf numFmtId="0" fontId="26" fillId="0" borderId="116" applyNumberFormat="0" applyFill="0" applyAlignment="0" applyProtection="0"/>
    <xf numFmtId="1" fontId="22" fillId="0" borderId="81" applyFill="0" applyProtection="0">
      <alignment horizontal="right"/>
    </xf>
    <xf numFmtId="0" fontId="139" fillId="12" borderId="80" applyFont="0" applyFill="0" applyBorder="0" applyAlignment="0">
      <alignment horizontal="center"/>
    </xf>
    <xf numFmtId="0" fontId="39" fillId="0" borderId="107" applyNumberFormat="0" applyFill="0" applyAlignment="0" applyProtection="0"/>
    <xf numFmtId="0" fontId="94" fillId="28" borderId="109" applyNumberFormat="0" applyAlignment="0" applyProtection="0"/>
    <xf numFmtId="0" fontId="94" fillId="28" borderId="109" applyNumberFormat="0" applyAlignment="0" applyProtection="0"/>
    <xf numFmtId="189" fontId="5" fillId="0" borderId="113" applyNumberFormat="0" applyFont="0" applyFill="0" applyAlignment="0"/>
    <xf numFmtId="0" fontId="5" fillId="0" borderId="113" applyNumberFormat="0" applyFont="0" applyFill="0" applyAlignment="0" applyProtection="0"/>
    <xf numFmtId="0" fontId="139" fillId="12" borderId="80" applyFont="0" applyFill="0" applyBorder="0" applyAlignment="0">
      <alignment horizontal="center"/>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0" fontId="39" fillId="0" borderId="107" applyNumberFormat="0" applyFill="0" applyAlignment="0" applyProtection="0"/>
    <xf numFmtId="189" fontId="5" fillId="0" borderId="113" applyNumberFormat="0" applyFont="0" applyFill="0" applyAlignment="0"/>
    <xf numFmtId="0" fontId="99" fillId="0" borderId="112" applyNumberFormat="0" applyFill="0" applyAlignment="0" applyProtection="0"/>
    <xf numFmtId="0" fontId="139" fillId="12" borderId="80" applyFont="0" applyFill="0" applyBorder="0" applyAlignment="0">
      <alignment horizontal="center"/>
    </xf>
    <xf numFmtId="0" fontId="143"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167" fontId="51" fillId="0" borderId="108">
      <protection locked="0"/>
    </xf>
    <xf numFmtId="0" fontId="94" fillId="28" borderId="135" applyNumberFormat="0" applyAlignment="0" applyProtection="0"/>
    <xf numFmtId="0" fontId="94" fillId="28" borderId="109" applyNumberFormat="0" applyAlignment="0" applyProtection="0"/>
    <xf numFmtId="0" fontId="5" fillId="0" borderId="113" applyNumberFormat="0" applyFont="0" applyFill="0" applyAlignment="0" applyProtection="0"/>
    <xf numFmtId="0" fontId="139" fillId="12" borderId="80" applyFont="0" applyFill="0" applyBorder="0" applyAlignment="0">
      <alignment horizontal="center"/>
    </xf>
    <xf numFmtId="0" fontId="39" fillId="0" borderId="107" applyNumberFormat="0" applyFill="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39" fillId="0" borderId="107" applyNumberFormat="0" applyFill="0" applyAlignment="0" applyProtection="0"/>
    <xf numFmtId="0" fontId="97" fillId="37" borderId="111" applyNumberFormat="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94" fillId="28" borderId="109" applyNumberFormat="0" applyAlignment="0" applyProtection="0"/>
    <xf numFmtId="0" fontId="39" fillId="0" borderId="107" applyNumberFormat="0" applyFill="0" applyAlignment="0" applyProtection="0"/>
    <xf numFmtId="263" fontId="5" fillId="18" borderId="81" applyFont="0">
      <alignment horizontal="right"/>
    </xf>
    <xf numFmtId="263" fontId="5" fillId="18" borderId="81" applyFont="0">
      <alignment horizontal="right"/>
    </xf>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189" fontId="5" fillId="0" borderId="113" applyNumberFormat="0" applyFont="0" applyFill="0" applyAlignment="0"/>
    <xf numFmtId="0" fontId="99" fillId="0" borderId="112" applyNumberFormat="0" applyFill="0" applyAlignment="0" applyProtection="0"/>
    <xf numFmtId="167" fontId="51" fillId="0" borderId="108">
      <protection locked="0"/>
    </xf>
    <xf numFmtId="0" fontId="5" fillId="0" borderId="113" applyNumberFormat="0" applyFont="0" applyFill="0" applyAlignment="0" applyProtection="0"/>
    <xf numFmtId="0" fontId="5" fillId="0" borderId="113" applyNumberFormat="0" applyFont="0" applyFill="0" applyAlignment="0" applyProtection="0"/>
    <xf numFmtId="0" fontId="139" fillId="12" borderId="80" applyFont="0" applyFill="0" applyBorder="0" applyAlignment="0">
      <alignment horizontal="center"/>
    </xf>
    <xf numFmtId="0" fontId="87" fillId="37" borderId="109" applyNumberFormat="0" applyAlignment="0" applyProtection="0"/>
    <xf numFmtId="0" fontId="39" fillId="0" borderId="107" applyNumberFormat="0" applyFill="0" applyAlignment="0" applyProtection="0"/>
    <xf numFmtId="0" fontId="39" fillId="0" borderId="107" applyNumberFormat="0" applyFill="0" applyAlignment="0" applyProtection="0"/>
    <xf numFmtId="0" fontId="39" fillId="0" borderId="107" applyNumberFormat="0" applyFill="0" applyAlignment="0" applyProtection="0"/>
    <xf numFmtId="0" fontId="99" fillId="0" borderId="138" applyNumberFormat="0" applyFill="0" applyAlignment="0" applyProtection="0"/>
    <xf numFmtId="0" fontId="133" fillId="0" borderId="116" applyNumberFormat="0" applyFill="0" applyBorder="0" applyAlignment="0" applyProtection="0"/>
    <xf numFmtId="1" fontId="22" fillId="0" borderId="81" applyFill="0" applyProtection="0">
      <alignment horizontal="right"/>
    </xf>
    <xf numFmtId="0" fontId="94" fillId="28" borderId="109" applyNumberFormat="0" applyAlignment="0" applyProtection="0"/>
    <xf numFmtId="0" fontId="6" fillId="0" borderId="81">
      <alignment horizontal="left" vertical="center"/>
    </xf>
    <xf numFmtId="39" fontId="30" fillId="0" borderId="81" applyNumberFormat="0" applyBorder="0">
      <alignment horizontal="right"/>
    </xf>
    <xf numFmtId="0" fontId="97" fillId="37" borderId="111" applyNumberFormat="0" applyAlignment="0" applyProtection="0"/>
    <xf numFmtId="0" fontId="74" fillId="0" borderId="113" applyNumberFormat="0" applyFill="0" applyProtection="0">
      <alignment horizontal="right"/>
    </xf>
    <xf numFmtId="0" fontId="139" fillId="11" borderId="113" applyFont="0" applyFill="0" applyBorder="0" applyAlignment="0"/>
    <xf numFmtId="0" fontId="97" fillId="37" borderId="111" applyNumberFormat="0" applyAlignment="0" applyProtection="0"/>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0" fontId="99" fillId="0" borderId="112" applyNumberFormat="0" applyFill="0" applyAlignment="0" applyProtection="0"/>
    <xf numFmtId="0" fontId="26" fillId="0" borderId="116" applyNumberFormat="0" applyFill="0" applyAlignment="0" applyProtection="0"/>
    <xf numFmtId="0" fontId="6" fillId="0" borderId="81">
      <alignment horizontal="left" vertical="center"/>
    </xf>
    <xf numFmtId="0" fontId="94" fillId="28" borderId="109" applyNumberFormat="0" applyAlignment="0" applyProtection="0"/>
    <xf numFmtId="0" fontId="94" fillId="28" borderId="109" applyNumberFormat="0" applyAlignment="0" applyProtection="0"/>
    <xf numFmtId="0" fontId="94" fillId="28" borderId="109" applyNumberFormat="0" applyAlignment="0" applyProtection="0"/>
    <xf numFmtId="0" fontId="99" fillId="0" borderId="112" applyNumberFormat="0" applyFill="0" applyAlignment="0" applyProtection="0"/>
    <xf numFmtId="189" fontId="5" fillId="0" borderId="113" applyNumberFormat="0" applyFont="0" applyFill="0" applyAlignment="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39" fillId="11" borderId="113" applyFont="0" applyFill="0" applyBorder="0" applyAlignment="0"/>
    <xf numFmtId="0" fontId="74" fillId="0" borderId="113" applyNumberFormat="0" applyFill="0" applyProtection="0">
      <alignment horizontal="right"/>
    </xf>
    <xf numFmtId="0" fontId="5" fillId="0" borderId="113" applyNumberFormat="0" applyFont="0" applyFill="0" applyAlignment="0" applyProtection="0"/>
    <xf numFmtId="0" fontId="139" fillId="12" borderId="80" applyFont="0" applyFill="0" applyBorder="0" applyAlignment="0">
      <alignment horizontal="center"/>
    </xf>
    <xf numFmtId="0" fontId="39" fillId="0" borderId="107" applyNumberFormat="0" applyFill="0" applyAlignment="0" applyProtection="0"/>
    <xf numFmtId="0" fontId="39" fillId="0" borderId="107" applyNumberFormat="0" applyFill="0" applyAlignment="0" applyProtection="0"/>
    <xf numFmtId="0" fontId="94" fillId="28" borderId="135" applyNumberFormat="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5" fillId="0" borderId="113" applyNumberFormat="0" applyFont="0" applyFill="0" applyAlignment="0" applyProtection="0"/>
    <xf numFmtId="0" fontId="39" fillId="0" borderId="107" applyNumberFormat="0" applyFill="0" applyAlignment="0" applyProtection="0"/>
    <xf numFmtId="0" fontId="5" fillId="17" borderId="110" applyNumberFormat="0" applyFont="0" applyAlignment="0" applyProtection="0"/>
    <xf numFmtId="0" fontId="94" fillId="28" borderId="109" applyNumberFormat="0" applyAlignment="0" applyProtection="0"/>
    <xf numFmtId="0" fontId="97" fillId="37" borderId="111" applyNumberFormat="0" applyAlignment="0" applyProtection="0"/>
    <xf numFmtId="1" fontId="22" fillId="0" borderId="81" applyFill="0" applyProtection="0">
      <alignment horizontal="right"/>
    </xf>
    <xf numFmtId="0" fontId="5" fillId="0" borderId="113" applyNumberFormat="0" applyFont="0" applyFill="0" applyAlignment="0" applyProtection="0"/>
    <xf numFmtId="189" fontId="5" fillId="0" borderId="113" applyNumberFormat="0" applyFont="0" applyFill="0" applyAlignment="0"/>
    <xf numFmtId="0" fontId="97" fillId="37" borderId="111" applyNumberFormat="0" applyAlignment="0" applyProtection="0"/>
    <xf numFmtId="0" fontId="94" fillId="28" borderId="109" applyNumberFormat="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6" fillId="0" borderId="81">
      <alignment horizontal="left" vertical="center"/>
    </xf>
    <xf numFmtId="0" fontId="5" fillId="0" borderId="113" applyNumberFormat="0" applyFont="0" applyFill="0" applyAlignment="0" applyProtection="0"/>
    <xf numFmtId="0" fontId="5" fillId="0" borderId="113" applyNumberFormat="0" applyFont="0" applyFill="0" applyAlignment="0" applyProtection="0"/>
    <xf numFmtId="0" fontId="39" fillId="0" borderId="107" applyNumberFormat="0" applyFill="0" applyAlignment="0" applyProtection="0"/>
    <xf numFmtId="0" fontId="39" fillId="0" borderId="107" applyNumberFormat="0" applyFill="0" applyAlignment="0" applyProtection="0"/>
    <xf numFmtId="0" fontId="94" fillId="28" borderId="109" applyNumberFormat="0" applyAlignment="0" applyProtection="0"/>
    <xf numFmtId="0" fontId="168" fillId="0" borderId="116" applyNumberFormat="0" applyFill="0" applyBorder="0" applyAlignment="0" applyProtection="0"/>
    <xf numFmtId="0" fontId="87" fillId="37" borderId="135" applyNumberFormat="0" applyAlignment="0" applyProtection="0"/>
    <xf numFmtId="0" fontId="94" fillId="28" borderId="109" applyNumberFormat="0" applyAlignment="0" applyProtection="0"/>
    <xf numFmtId="0" fontId="97" fillId="37" borderId="111" applyNumberFormat="0" applyAlignment="0" applyProtection="0"/>
    <xf numFmtId="189" fontId="5" fillId="0" borderId="113" applyNumberFormat="0" applyFont="0" applyFill="0" applyAlignment="0"/>
    <xf numFmtId="0" fontId="99" fillId="0" borderId="112" applyNumberFormat="0" applyFill="0" applyAlignment="0" applyProtection="0"/>
    <xf numFmtId="202" fontId="43" fillId="18" borderId="81" applyFont="0">
      <alignment horizontal="right"/>
    </xf>
    <xf numFmtId="0" fontId="87" fillId="37" borderId="109" applyNumberFormat="0" applyAlignment="0" applyProtection="0"/>
    <xf numFmtId="0" fontId="39" fillId="0" borderId="107"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39" fontId="30" fillId="0" borderId="81" applyNumberFormat="0" applyBorder="0">
      <alignment horizontal="right"/>
    </xf>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39" fillId="0" borderId="107" applyNumberFormat="0" applyFill="0" applyAlignment="0" applyProtection="0"/>
    <xf numFmtId="0" fontId="39" fillId="0" borderId="107" applyNumberFormat="0" applyFill="0" applyAlignment="0" applyProtection="0"/>
    <xf numFmtId="0" fontId="39" fillId="0" borderId="107" applyNumberFormat="0" applyFill="0" applyAlignment="0" applyProtection="0"/>
    <xf numFmtId="263" fontId="5" fillId="18" borderId="81" applyFont="0">
      <alignment horizontal="right"/>
    </xf>
    <xf numFmtId="263" fontId="5" fillId="18" borderId="81" applyFont="0">
      <alignment horizontal="right"/>
    </xf>
    <xf numFmtId="202" fontId="43" fillId="18" borderId="81" applyFont="0">
      <alignment horizontal="right"/>
    </xf>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6" fillId="0" borderId="81">
      <alignment horizontal="left" vertical="center"/>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143" fillId="0" borderId="142" applyNumberFormat="0" applyFill="0" applyBorder="0" applyAlignment="0" applyProtection="0"/>
    <xf numFmtId="0" fontId="168" fillId="0" borderId="116" applyNumberFormat="0" applyFill="0" applyBorder="0" applyAlignment="0" applyProtection="0"/>
    <xf numFmtId="39" fontId="30" fillId="0" borderId="81" applyNumberFormat="0" applyBorder="0">
      <alignment horizontal="right"/>
    </xf>
    <xf numFmtId="263" fontId="5" fillId="18" borderId="139" applyFont="0">
      <alignment horizontal="right"/>
    </xf>
    <xf numFmtId="0" fontId="133" fillId="0" borderId="142"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1" fontId="22" fillId="0" borderId="81" applyFill="0" applyProtection="0">
      <alignment horizontal="right"/>
    </xf>
    <xf numFmtId="0" fontId="87" fillId="37" borderId="120" applyNumberFormat="0" applyAlignment="0" applyProtection="0"/>
    <xf numFmtId="0" fontId="39" fillId="0" borderId="107" applyNumberFormat="0" applyFill="0" applyAlignment="0" applyProtection="0"/>
    <xf numFmtId="0" fontId="97" fillId="37" borderId="111" applyNumberFormat="0" applyAlignment="0" applyProtection="0"/>
    <xf numFmtId="0" fontId="97" fillId="37" borderId="111" applyNumberFormat="0" applyAlignment="0" applyProtection="0"/>
    <xf numFmtId="0" fontId="5" fillId="0" borderId="113" applyNumberFormat="0" applyFont="0" applyFill="0" applyAlignment="0" applyProtection="0"/>
    <xf numFmtId="0" fontId="26" fillId="0" borderId="116" applyNumberFormat="0" applyFill="0" applyAlignment="0" applyProtection="0"/>
    <xf numFmtId="0" fontId="133" fillId="0" borderId="116" applyNumberFormat="0" applyFill="0" applyBorder="0" applyAlignment="0" applyProtection="0"/>
    <xf numFmtId="0" fontId="39" fillId="0" borderId="107" applyNumberFormat="0" applyFill="0" applyAlignment="0" applyProtection="0"/>
    <xf numFmtId="0" fontId="39" fillId="0" borderId="107" applyNumberFormat="0" applyFill="0" applyAlignment="0" applyProtection="0"/>
    <xf numFmtId="0" fontId="39" fillId="0" borderId="107" applyNumberFormat="0" applyFill="0" applyAlignment="0" applyProtection="0"/>
    <xf numFmtId="0" fontId="5" fillId="0" borderId="132" applyNumberFormat="0" applyFont="0" applyFill="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42"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5" fillId="17" borderId="110" applyNumberFormat="0" applyFont="0" applyAlignment="0" applyProtection="0"/>
    <xf numFmtId="0" fontId="97" fillId="37" borderId="111" applyNumberFormat="0" applyAlignment="0" applyProtection="0"/>
    <xf numFmtId="167" fontId="51" fillId="0" borderId="108">
      <protection locked="0"/>
    </xf>
    <xf numFmtId="0" fontId="168" fillId="0" borderId="116" applyNumberFormat="0" applyFill="0" applyBorder="0" applyAlignment="0" applyProtection="0"/>
    <xf numFmtId="0" fontId="99" fillId="0" borderId="112" applyNumberForma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42"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39" fontId="30" fillId="0" borderId="81" applyNumberFormat="0" applyBorder="0">
      <alignment horizontal="right"/>
    </xf>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0" fontId="133" fillId="0" borderId="116" applyNumberFormat="0" applyFill="0" applyBorder="0" applyAlignment="0" applyProtection="0"/>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16" fillId="5" borderId="131">
      <alignment horizontal="left" vertical="center" wrapText="1"/>
    </xf>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39" fillId="0" borderId="107" applyNumberFormat="0" applyFill="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99" fillId="0" borderId="112" applyNumberFormat="0" applyFill="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16" fillId="5" borderId="106">
      <alignment horizontal="left" vertical="center" wrapText="1"/>
    </xf>
    <xf numFmtId="0" fontId="16" fillId="5" borderId="106">
      <alignment horizontal="left" vertical="center" wrapText="1"/>
    </xf>
    <xf numFmtId="0" fontId="5" fillId="17" borderId="110" applyNumberFormat="0" applyFont="0" applyAlignment="0" applyProtection="0"/>
    <xf numFmtId="0" fontId="168" fillId="0" borderId="116" applyNumberFormat="0" applyFill="0" applyBorder="0" applyAlignment="0" applyProtection="0"/>
    <xf numFmtId="189" fontId="5" fillId="0" borderId="113" applyNumberFormat="0" applyFont="0" applyFill="0" applyAlignment="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139" fillId="12" borderId="80" applyFont="0" applyFill="0" applyBorder="0" applyAlignment="0">
      <alignment horizontal="center"/>
    </xf>
    <xf numFmtId="0" fontId="5" fillId="17" borderId="110" applyNumberFormat="0" applyFont="0" applyAlignment="0" applyProtection="0"/>
    <xf numFmtId="0" fontId="97" fillId="37" borderId="111" applyNumberFormat="0" applyAlignment="0" applyProtection="0"/>
    <xf numFmtId="0" fontId="74" fillId="0" borderId="113" applyNumberFormat="0" applyFill="0" applyProtection="0">
      <alignment horizontal="right"/>
    </xf>
    <xf numFmtId="0" fontId="74" fillId="0" borderId="113" applyNumberFormat="0" applyFill="0" applyProtection="0">
      <alignment horizontal="right"/>
    </xf>
    <xf numFmtId="0" fontId="168" fillId="0" borderId="116" applyNumberFormat="0" applyFill="0" applyBorder="0" applyAlignment="0" applyProtection="0"/>
    <xf numFmtId="189" fontId="5" fillId="0" borderId="113" applyNumberFormat="0" applyFont="0" applyFill="0" applyAlignment="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143" fillId="0" borderId="116" applyNumberFormat="0" applyFill="0" applyBorder="0" applyAlignment="0" applyProtection="0"/>
    <xf numFmtId="0" fontId="28" fillId="0" borderId="116" applyNumberFormat="0" applyFill="0" applyBorder="0" applyAlignment="0" applyProtection="0"/>
    <xf numFmtId="0" fontId="28" fillId="0" borderId="116" applyNumberFormat="0" applyFill="0" applyBorder="0" applyAlignment="0" applyProtection="0"/>
    <xf numFmtId="0" fontId="133" fillId="0" borderId="116" applyNumberFormat="0" applyFill="0" applyBorder="0" applyAlignment="0" applyProtection="0"/>
    <xf numFmtId="0" fontId="133" fillId="0" borderId="116" applyNumberFormat="0" applyFill="0" applyBorder="0" applyAlignment="0" applyProtection="0"/>
    <xf numFmtId="0" fontId="26" fillId="0" borderId="116" applyNumberFormat="0" applyFill="0" applyAlignment="0" applyProtection="0"/>
    <xf numFmtId="0" fontId="26" fillId="0" borderId="116" applyNumberFormat="0" applyFill="0" applyAlignment="0" applyProtection="0"/>
    <xf numFmtId="0" fontId="26" fillId="0" borderId="116" applyNumberFormat="0" applyFill="0" applyAlignment="0" applyProtection="0"/>
    <xf numFmtId="0" fontId="87" fillId="37" borderId="109" applyNumberFormat="0" applyAlignment="0" applyProtection="0"/>
    <xf numFmtId="0" fontId="139" fillId="11" borderId="113" applyFont="0" applyFill="0" applyBorder="0" applyAlignment="0"/>
    <xf numFmtId="165" fontId="12" fillId="0" borderId="114" applyBorder="0"/>
    <xf numFmtId="167" fontId="51" fillId="0" borderId="108">
      <protection locked="0"/>
    </xf>
    <xf numFmtId="284" fontId="5" fillId="22" borderId="113" applyNumberFormat="0" applyFont="0" applyBorder="0" applyAlignment="0" applyProtection="0">
      <alignment horizontal="right"/>
    </xf>
    <xf numFmtId="284" fontId="5"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205" fontId="26" fillId="22" borderId="113" applyNumberFormat="0" applyFont="0" applyBorder="0" applyAlignment="0" applyProtection="0">
      <alignment horizontal="right"/>
    </xf>
    <xf numFmtId="0" fontId="94" fillId="28" borderId="109" applyNumberFormat="0" applyAlignment="0" applyProtection="0"/>
    <xf numFmtId="0" fontId="94" fillId="28" borderId="109" applyNumberFormat="0" applyAlignment="0" applyProtection="0"/>
    <xf numFmtId="0" fontId="16" fillId="5" borderId="106">
      <alignment horizontal="left" vertical="center" wrapText="1"/>
    </xf>
    <xf numFmtId="0" fontId="16" fillId="5" borderId="106">
      <alignment horizontal="left" vertical="center" wrapText="1"/>
    </xf>
    <xf numFmtId="0" fontId="5" fillId="17" borderId="110" applyNumberFormat="0" applyFont="0" applyAlignment="0" applyProtection="0"/>
    <xf numFmtId="0" fontId="97" fillId="37" borderId="111" applyNumberFormat="0" applyAlignment="0" applyProtection="0"/>
    <xf numFmtId="0" fontId="168" fillId="0" borderId="116" applyNumberFormat="0" applyFill="0" applyBorder="0" applyAlignment="0" applyProtection="0"/>
    <xf numFmtId="0" fontId="99" fillId="0" borderId="112" applyNumberForma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5" fillId="0" borderId="113" applyNumberFormat="0" applyFont="0" applyFill="0" applyAlignment="0" applyProtection="0"/>
    <xf numFmtId="0" fontId="178" fillId="0" borderId="116" applyNumberFormat="0" applyFill="0" applyBorder="0" applyAlignment="0" applyProtection="0"/>
    <xf numFmtId="0" fontId="179" fillId="0" borderId="116" applyNumberFormat="0" applyFill="0" applyBorder="0" applyAlignment="0" applyProtection="0"/>
    <xf numFmtId="0" fontId="180" fillId="0" borderId="116" applyNumberFormat="0" applyFill="0" applyBorder="0" applyAlignment="0" applyProtection="0"/>
    <xf numFmtId="0" fontId="28" fillId="0" borderId="142" applyNumberForma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263" fontId="5" fillId="18" borderId="117" applyFont="0">
      <alignment horizontal="right"/>
    </xf>
    <xf numFmtId="263" fontId="5" fillId="18" borderId="117" applyFont="0">
      <alignment horizontal="right"/>
    </xf>
    <xf numFmtId="202" fontId="43" fillId="18" borderId="117" applyFont="0">
      <alignment horizontal="right"/>
    </xf>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6" fillId="0" borderId="117">
      <alignment horizontal="left" vertical="center"/>
    </xf>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168" fillId="0" borderId="128" applyNumberFormat="0" applyFill="0" applyBorder="0" applyAlignment="0" applyProtection="0"/>
    <xf numFmtId="39" fontId="30" fillId="0" borderId="117" applyNumberFormat="0" applyBorder="0">
      <alignment horizontal="right"/>
    </xf>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1" fontId="22" fillId="0" borderId="117" applyFill="0" applyProtection="0">
      <alignment horizontal="right"/>
    </xf>
    <xf numFmtId="0" fontId="179" fillId="0" borderId="142" applyNumberFormat="0" applyFill="0" applyBorder="0" applyAlignment="0" applyProtection="0"/>
    <xf numFmtId="0" fontId="28" fillId="0" borderId="128" applyNumberFormat="0" applyFill="0" applyBorder="0" applyAlignment="0" applyProtection="0"/>
    <xf numFmtId="0" fontId="39" fillId="0" borderId="118" applyNumberFormat="0" applyFill="0" applyAlignment="0" applyProtection="0"/>
    <xf numFmtId="0" fontId="16" fillId="5" borderId="124">
      <alignment horizontal="left" vertical="center" wrapText="1"/>
    </xf>
    <xf numFmtId="0" fontId="5" fillId="0" borderId="125" applyNumberFormat="0" applyFont="0" applyFill="0" applyAlignment="0" applyProtection="0"/>
    <xf numFmtId="0" fontId="74" fillId="0" borderId="125" applyNumberFormat="0" applyFill="0" applyProtection="0">
      <alignment horizontal="right"/>
    </xf>
    <xf numFmtId="202" fontId="43" fillId="18" borderId="117" applyFont="0">
      <alignment horizontal="right"/>
    </xf>
    <xf numFmtId="0" fontId="5" fillId="0" borderId="125" applyNumberFormat="0" applyFont="0" applyFill="0" applyAlignment="0" applyProtection="0"/>
    <xf numFmtId="0" fontId="94" fillId="28" borderId="120" applyNumberFormat="0" applyAlignment="0" applyProtection="0"/>
    <xf numFmtId="0" fontId="94" fillId="28" borderId="120" applyNumberFormat="0" applyAlignment="0" applyProtection="0"/>
    <xf numFmtId="167" fontId="51" fillId="0" borderId="119">
      <protection locked="0"/>
    </xf>
    <xf numFmtId="0" fontId="139" fillId="12" borderId="129" applyFont="0" applyFill="0" applyBorder="0" applyAlignment="0">
      <alignment horizontal="center"/>
    </xf>
    <xf numFmtId="0" fontId="94" fillId="28" borderId="120" applyNumberFormat="0" applyAlignment="0" applyProtection="0"/>
    <xf numFmtId="0" fontId="94" fillId="28" borderId="120" applyNumberFormat="0" applyAlignment="0" applyProtection="0"/>
    <xf numFmtId="0" fontId="5" fillId="0" borderId="125" applyNumberFormat="0" applyFont="0" applyFill="0" applyAlignment="0" applyProtection="0"/>
    <xf numFmtId="0" fontId="39" fillId="0" borderId="118" applyNumberFormat="0" applyFill="0" applyAlignment="0" applyProtection="0"/>
    <xf numFmtId="202" fontId="43" fillId="18" borderId="117" applyFont="0">
      <alignment horizontal="right"/>
    </xf>
    <xf numFmtId="0" fontId="143" fillId="0" borderId="128" applyNumberFormat="0" applyFill="0" applyBorder="0" applyAlignment="0" applyProtection="0"/>
    <xf numFmtId="167" fontId="51" fillId="0" borderId="119">
      <protection locked="0"/>
    </xf>
    <xf numFmtId="0" fontId="28" fillId="0" borderId="128" applyNumberFormat="0" applyFill="0" applyBorder="0" applyAlignment="0" applyProtection="0"/>
    <xf numFmtId="167" fontId="51" fillId="0" borderId="119">
      <protection locked="0"/>
    </xf>
    <xf numFmtId="202" fontId="43" fillId="18" borderId="117" applyFont="0">
      <alignment horizontal="right"/>
    </xf>
    <xf numFmtId="205" fontId="26" fillId="22" borderId="125" applyNumberFormat="0" applyFont="0" applyBorder="0" applyAlignment="0" applyProtection="0">
      <alignment horizontal="right"/>
    </xf>
    <xf numFmtId="189" fontId="5" fillId="0" borderId="125" applyNumberFormat="0" applyFont="0" applyFill="0" applyAlignment="0"/>
    <xf numFmtId="0" fontId="39" fillId="0" borderId="118" applyNumberFormat="0" applyFill="0" applyAlignment="0" applyProtection="0"/>
    <xf numFmtId="0" fontId="39" fillId="0" borderId="118" applyNumberFormat="0" applyFill="0" applyAlignment="0" applyProtection="0"/>
    <xf numFmtId="0" fontId="143" fillId="0" borderId="128" applyNumberFormat="0" applyFill="0" applyBorder="0" applyAlignment="0" applyProtection="0"/>
    <xf numFmtId="0" fontId="39" fillId="0" borderId="118" applyNumberFormat="0" applyFill="0" applyAlignment="0" applyProtection="0"/>
    <xf numFmtId="167" fontId="51" fillId="0" borderId="119">
      <protection locked="0"/>
    </xf>
    <xf numFmtId="0" fontId="74" fillId="0" borderId="125" applyNumberFormat="0" applyFill="0" applyProtection="0">
      <alignment horizontal="right"/>
    </xf>
    <xf numFmtId="39" fontId="30" fillId="0" borderId="117" applyNumberFormat="0" applyBorder="0">
      <alignment horizontal="right"/>
    </xf>
    <xf numFmtId="0" fontId="94" fillId="28" borderId="135" applyNumberFormat="0" applyAlignment="0" applyProtection="0"/>
    <xf numFmtId="1" fontId="22" fillId="0" borderId="117" applyFill="0" applyProtection="0">
      <alignment horizontal="right"/>
    </xf>
    <xf numFmtId="0" fontId="28" fillId="0" borderId="128" applyNumberFormat="0" applyFill="0" applyBorder="0" applyAlignment="0" applyProtection="0"/>
    <xf numFmtId="0" fontId="99" fillId="0" borderId="123" applyNumberFormat="0" applyFill="0" applyAlignment="0" applyProtection="0"/>
    <xf numFmtId="202" fontId="43" fillId="18" borderId="117" applyFont="0">
      <alignment horizontal="right"/>
    </xf>
    <xf numFmtId="202" fontId="43" fillId="18" borderId="117" applyFont="0">
      <alignment horizontal="right"/>
    </xf>
    <xf numFmtId="0" fontId="94" fillId="28" borderId="120" applyNumberFormat="0" applyAlignment="0" applyProtection="0"/>
    <xf numFmtId="0" fontId="74" fillId="0" borderId="125" applyNumberFormat="0" applyFill="0" applyProtection="0">
      <alignment horizontal="right"/>
    </xf>
    <xf numFmtId="0" fontId="97" fillId="37" borderId="122" applyNumberFormat="0" applyAlignment="0" applyProtection="0"/>
    <xf numFmtId="0" fontId="39" fillId="0" borderId="118" applyNumberFormat="0" applyFill="0" applyAlignment="0" applyProtection="0"/>
    <xf numFmtId="0" fontId="26" fillId="0" borderId="128" applyNumberFormat="0" applyFill="0" applyAlignment="0" applyProtection="0"/>
    <xf numFmtId="202" fontId="43" fillId="18" borderId="117" applyFont="0">
      <alignment horizontal="right"/>
    </xf>
    <xf numFmtId="189" fontId="5" fillId="0" borderId="125" applyNumberFormat="0" applyFont="0" applyFill="0" applyAlignment="0"/>
    <xf numFmtId="0" fontId="99" fillId="0" borderId="123" applyNumberFormat="0" applyFill="0" applyAlignment="0" applyProtection="0"/>
    <xf numFmtId="0" fontId="39" fillId="0" borderId="118" applyNumberFormat="0" applyFill="0" applyAlignment="0" applyProtection="0"/>
    <xf numFmtId="0" fontId="94" fillId="28" borderId="120" applyNumberFormat="0" applyAlignment="0" applyProtection="0"/>
    <xf numFmtId="0" fontId="139" fillId="12" borderId="129" applyFont="0" applyFill="0" applyBorder="0" applyAlignment="0">
      <alignment horizontal="center"/>
    </xf>
    <xf numFmtId="0" fontId="39" fillId="0" borderId="118" applyNumberFormat="0" applyFill="0" applyAlignment="0" applyProtection="0"/>
    <xf numFmtId="167" fontId="51" fillId="0" borderId="119">
      <protection locked="0"/>
    </xf>
    <xf numFmtId="0" fontId="74" fillId="0" borderId="125" applyNumberFormat="0" applyFill="0" applyProtection="0">
      <alignment horizontal="right"/>
    </xf>
    <xf numFmtId="39" fontId="30" fillId="0" borderId="117" applyNumberFormat="0" applyBorder="0">
      <alignment horizontal="right"/>
    </xf>
    <xf numFmtId="0" fontId="143" fillId="0" borderId="128" applyNumberFormat="0" applyFill="0" applyBorder="0" applyAlignment="0" applyProtection="0"/>
    <xf numFmtId="0" fontId="97" fillId="37" borderId="122" applyNumberFormat="0" applyAlignment="0" applyProtection="0"/>
    <xf numFmtId="0" fontId="39" fillId="0" borderId="118" applyNumberFormat="0" applyFill="0" applyAlignment="0" applyProtection="0"/>
    <xf numFmtId="1" fontId="22" fillId="0" borderId="117" applyFill="0" applyProtection="0">
      <alignment horizontal="right"/>
    </xf>
    <xf numFmtId="0" fontId="39" fillId="0" borderId="118" applyNumberFormat="0" applyFill="0" applyAlignment="0" applyProtection="0"/>
    <xf numFmtId="0" fontId="39" fillId="0" borderId="118" applyNumberFormat="0" applyFill="0" applyAlignment="0" applyProtection="0"/>
    <xf numFmtId="0" fontId="5" fillId="0" borderId="125" applyNumberFormat="0" applyFont="0" applyFill="0" applyAlignment="0" applyProtection="0"/>
    <xf numFmtId="167" fontId="51" fillId="0" borderId="119">
      <protection locked="0"/>
    </xf>
    <xf numFmtId="165" fontId="12" fillId="0" borderId="126" applyBorder="0"/>
    <xf numFmtId="0" fontId="99" fillId="0" borderId="123" applyNumberFormat="0" applyFill="0" applyAlignment="0" applyProtection="0"/>
    <xf numFmtId="0" fontId="28" fillId="0" borderId="128" applyNumberFormat="0" applyFill="0" applyBorder="0" applyAlignment="0" applyProtection="0"/>
    <xf numFmtId="0" fontId="143" fillId="0" borderId="128" applyNumberFormat="0" applyFill="0" applyBorder="0" applyAlignment="0" applyProtection="0"/>
    <xf numFmtId="39" fontId="30" fillId="0" borderId="117" applyNumberFormat="0" applyBorder="0">
      <alignment horizontal="right"/>
    </xf>
    <xf numFmtId="0" fontId="94" fillId="28" borderId="120" applyNumberFormat="0" applyAlignment="0" applyProtection="0"/>
    <xf numFmtId="0" fontId="94" fillId="28" borderId="120" applyNumberFormat="0" applyAlignment="0" applyProtection="0"/>
    <xf numFmtId="1" fontId="22" fillId="0" borderId="117" applyFill="0" applyProtection="0">
      <alignment horizontal="right"/>
    </xf>
    <xf numFmtId="0" fontId="97" fillId="37" borderId="122" applyNumberFormat="0" applyAlignment="0" applyProtection="0"/>
    <xf numFmtId="0" fontId="39" fillId="0" borderId="118" applyNumberFormat="0" applyFill="0" applyAlignment="0" applyProtection="0"/>
    <xf numFmtId="0" fontId="39" fillId="0" borderId="118" applyNumberFormat="0" applyFill="0" applyAlignment="0" applyProtection="0"/>
    <xf numFmtId="0" fontId="26" fillId="0" borderId="128" applyNumberFormat="0" applyFill="0" applyAlignment="0" applyProtection="0"/>
    <xf numFmtId="0" fontId="5" fillId="0" borderId="125" applyNumberFormat="0" applyFont="0" applyFill="0" applyAlignment="0" applyProtection="0"/>
    <xf numFmtId="1" fontId="22" fillId="0" borderId="117" applyFill="0" applyProtection="0">
      <alignment horizontal="right"/>
    </xf>
    <xf numFmtId="0" fontId="39" fillId="0" borderId="118" applyNumberFormat="0" applyFill="0" applyAlignment="0" applyProtection="0"/>
    <xf numFmtId="0" fontId="39" fillId="0" borderId="118" applyNumberFormat="0" applyFill="0" applyAlignment="0" applyProtection="0"/>
    <xf numFmtId="0" fontId="5" fillId="0" borderId="125" applyNumberFormat="0" applyFont="0" applyFill="0" applyAlignment="0" applyProtection="0"/>
    <xf numFmtId="0" fontId="139" fillId="12" borderId="129" applyFont="0" applyFill="0" applyBorder="0" applyAlignment="0">
      <alignment horizontal="center"/>
    </xf>
    <xf numFmtId="0" fontId="99" fillId="0" borderId="123" applyNumberFormat="0" applyFill="0" applyAlignment="0" applyProtection="0"/>
    <xf numFmtId="189" fontId="5" fillId="0" borderId="125" applyNumberFormat="0" applyFont="0" applyFill="0" applyAlignment="0"/>
    <xf numFmtId="0" fontId="74" fillId="0" borderId="125" applyNumberFormat="0" applyFill="0" applyProtection="0">
      <alignment horizontal="right"/>
    </xf>
    <xf numFmtId="0" fontId="39" fillId="0" borderId="118" applyNumberFormat="0" applyFill="0" applyAlignment="0" applyProtection="0"/>
    <xf numFmtId="0" fontId="28" fillId="0" borderId="128" applyNumberFormat="0" applyFill="0" applyBorder="0" applyAlignment="0" applyProtection="0"/>
    <xf numFmtId="167" fontId="51" fillId="0" borderId="119">
      <protection locked="0"/>
    </xf>
    <xf numFmtId="39" fontId="30" fillId="0" borderId="117" applyNumberFormat="0" applyBorder="0">
      <alignment horizontal="right"/>
    </xf>
    <xf numFmtId="0" fontId="94" fillId="28" borderId="120" applyNumberFormat="0" applyAlignment="0" applyProtection="0"/>
    <xf numFmtId="1" fontId="22" fillId="0" borderId="117" applyFill="0" applyProtection="0">
      <alignment horizontal="right"/>
    </xf>
    <xf numFmtId="0" fontId="28" fillId="0" borderId="128" applyNumberFormat="0" applyFill="0" applyBorder="0" applyAlignment="0" applyProtection="0"/>
    <xf numFmtId="0" fontId="94" fillId="28" borderId="120" applyNumberFormat="0" applyAlignment="0" applyProtection="0"/>
    <xf numFmtId="0" fontId="39" fillId="0" borderId="118" applyNumberFormat="0" applyFill="0" applyAlignment="0" applyProtection="0"/>
    <xf numFmtId="0" fontId="133" fillId="0" borderId="128" applyNumberFormat="0" applyFill="0" applyBorder="0" applyAlignment="0" applyProtection="0"/>
    <xf numFmtId="0" fontId="99" fillId="0" borderId="123" applyNumberFormat="0" applyFill="0" applyAlignment="0" applyProtection="0"/>
    <xf numFmtId="202" fontId="43" fillId="18" borderId="117" applyFont="0">
      <alignment horizontal="right"/>
    </xf>
    <xf numFmtId="0" fontId="26" fillId="0" borderId="128" applyNumberFormat="0" applyFill="0" applyAlignment="0" applyProtection="0"/>
    <xf numFmtId="1" fontId="22" fillId="0" borderId="117" applyFill="0" applyProtection="0">
      <alignment horizontal="right"/>
    </xf>
    <xf numFmtId="0" fontId="139" fillId="12" borderId="129" applyFont="0" applyFill="0" applyBorder="0" applyAlignment="0">
      <alignment horizontal="center"/>
    </xf>
    <xf numFmtId="0" fontId="39" fillId="0" borderId="118" applyNumberFormat="0" applyFill="0" applyAlignment="0" applyProtection="0"/>
    <xf numFmtId="0" fontId="94" fillId="28" borderId="120" applyNumberFormat="0" applyAlignment="0" applyProtection="0"/>
    <xf numFmtId="0" fontId="94" fillId="28" borderId="120" applyNumberFormat="0" applyAlignment="0" applyProtection="0"/>
    <xf numFmtId="189" fontId="5" fillId="0" borderId="125" applyNumberFormat="0" applyFont="0" applyFill="0" applyAlignment="0"/>
    <xf numFmtId="0" fontId="5" fillId="0" borderId="125" applyNumberFormat="0" applyFont="0" applyFill="0" applyAlignment="0" applyProtection="0"/>
    <xf numFmtId="0" fontId="139" fillId="12" borderId="129" applyFont="0" applyFill="0" applyBorder="0" applyAlignment="0">
      <alignment horizontal="center"/>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0" fontId="39" fillId="0" borderId="118" applyNumberFormat="0" applyFill="0" applyAlignment="0" applyProtection="0"/>
    <xf numFmtId="189" fontId="5" fillId="0" borderId="125" applyNumberFormat="0" applyFont="0" applyFill="0" applyAlignment="0"/>
    <xf numFmtId="0" fontId="99" fillId="0" borderId="123" applyNumberFormat="0" applyFill="0" applyAlignment="0" applyProtection="0"/>
    <xf numFmtId="0" fontId="139" fillId="12" borderId="129" applyFont="0" applyFill="0" applyBorder="0" applyAlignment="0">
      <alignment horizontal="center"/>
    </xf>
    <xf numFmtId="0" fontId="143"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167" fontId="51" fillId="0" borderId="119">
      <protection locked="0"/>
    </xf>
    <xf numFmtId="39" fontId="30" fillId="0" borderId="117" applyNumberFormat="0" applyBorder="0">
      <alignment horizontal="right"/>
    </xf>
    <xf numFmtId="0" fontId="94" fillId="28" borderId="120" applyNumberFormat="0" applyAlignment="0" applyProtection="0"/>
    <xf numFmtId="0" fontId="5" fillId="0" borderId="125" applyNumberFormat="0" applyFont="0" applyFill="0" applyAlignment="0" applyProtection="0"/>
    <xf numFmtId="0" fontId="139" fillId="12" borderId="129" applyFont="0" applyFill="0" applyBorder="0" applyAlignment="0">
      <alignment horizontal="center"/>
    </xf>
    <xf numFmtId="0" fontId="39" fillId="0" borderId="118" applyNumberFormat="0" applyFill="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39" fillId="0" borderId="118" applyNumberFormat="0" applyFill="0" applyAlignment="0" applyProtection="0"/>
    <xf numFmtId="0" fontId="97" fillId="37" borderId="122" applyNumberFormat="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94" fillId="28" borderId="120" applyNumberFormat="0" applyAlignment="0" applyProtection="0"/>
    <xf numFmtId="0" fontId="39" fillId="0" borderId="118" applyNumberFormat="0" applyFill="0" applyAlignment="0" applyProtection="0"/>
    <xf numFmtId="263" fontId="5" fillId="18" borderId="117" applyFont="0">
      <alignment horizontal="right"/>
    </xf>
    <xf numFmtId="263" fontId="5" fillId="18" borderId="117" applyFont="0">
      <alignment horizontal="right"/>
    </xf>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189" fontId="5" fillId="0" borderId="125" applyNumberFormat="0" applyFont="0" applyFill="0" applyAlignment="0"/>
    <xf numFmtId="0" fontId="99" fillId="0" borderId="123" applyNumberFormat="0" applyFill="0" applyAlignment="0" applyProtection="0"/>
    <xf numFmtId="167" fontId="51" fillId="0" borderId="119">
      <protection locked="0"/>
    </xf>
    <xf numFmtId="0" fontId="5" fillId="0" borderId="125" applyNumberFormat="0" applyFont="0" applyFill="0" applyAlignment="0" applyProtection="0"/>
    <xf numFmtId="0" fontId="5" fillId="0" borderId="125" applyNumberFormat="0" applyFont="0" applyFill="0" applyAlignment="0" applyProtection="0"/>
    <xf numFmtId="0" fontId="139" fillId="12" borderId="129" applyFont="0" applyFill="0" applyBorder="0" applyAlignment="0">
      <alignment horizontal="center"/>
    </xf>
    <xf numFmtId="0" fontId="87" fillId="37" borderId="120" applyNumberFormat="0" applyAlignment="0" applyProtection="0"/>
    <xf numFmtId="0" fontId="39" fillId="0" borderId="118" applyNumberFormat="0" applyFill="0" applyAlignment="0" applyProtection="0"/>
    <xf numFmtId="0" fontId="39" fillId="0" borderId="118" applyNumberFormat="0" applyFill="0" applyAlignment="0" applyProtection="0"/>
    <xf numFmtId="0" fontId="39" fillId="0" borderId="118" applyNumberFormat="0" applyFill="0" applyAlignment="0" applyProtection="0"/>
    <xf numFmtId="0" fontId="133" fillId="0" borderId="128" applyNumberFormat="0" applyFill="0" applyBorder="0" applyAlignment="0" applyProtection="0"/>
    <xf numFmtId="1" fontId="22" fillId="0" borderId="117" applyFill="0" applyProtection="0">
      <alignment horizontal="right"/>
    </xf>
    <xf numFmtId="0" fontId="94" fillId="28" borderId="120" applyNumberFormat="0" applyAlignment="0" applyProtection="0"/>
    <xf numFmtId="0" fontId="6" fillId="0" borderId="117">
      <alignment horizontal="left" vertical="center"/>
    </xf>
    <xf numFmtId="39" fontId="30" fillId="0" borderId="117" applyNumberFormat="0" applyBorder="0">
      <alignment horizontal="right"/>
    </xf>
    <xf numFmtId="0" fontId="97" fillId="37" borderId="122" applyNumberFormat="0" applyAlignment="0" applyProtection="0"/>
    <xf numFmtId="0" fontId="74" fillId="0" borderId="125" applyNumberFormat="0" applyFill="0" applyProtection="0">
      <alignment horizontal="right"/>
    </xf>
    <xf numFmtId="0" fontId="139" fillId="11" borderId="125" applyFont="0" applyFill="0" applyBorder="0" applyAlignment="0"/>
    <xf numFmtId="1" fontId="22" fillId="0" borderId="139" applyFill="0" applyProtection="0">
      <alignment horizontal="right"/>
    </xf>
    <xf numFmtId="0" fontId="97" fillId="37" borderId="122" applyNumberFormat="0" applyAlignment="0" applyProtection="0"/>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0" fontId="99" fillId="0" borderId="123" applyNumberFormat="0" applyFill="0" applyAlignment="0" applyProtection="0"/>
    <xf numFmtId="0" fontId="26" fillId="0" borderId="128" applyNumberFormat="0" applyFill="0" applyAlignment="0" applyProtection="0"/>
    <xf numFmtId="0" fontId="6" fillId="0" borderId="117">
      <alignment horizontal="left" vertical="center"/>
    </xf>
    <xf numFmtId="0" fontId="94" fillId="28" borderId="120" applyNumberFormat="0" applyAlignment="0" applyProtection="0"/>
    <xf numFmtId="0" fontId="94" fillId="28" borderId="120" applyNumberFormat="0" applyAlignment="0" applyProtection="0"/>
    <xf numFmtId="0" fontId="94" fillId="28" borderId="120" applyNumberFormat="0" applyAlignment="0" applyProtection="0"/>
    <xf numFmtId="0" fontId="99" fillId="0" borderId="123" applyNumberFormat="0" applyFill="0" applyAlignment="0" applyProtection="0"/>
    <xf numFmtId="189" fontId="5" fillId="0" borderId="125" applyNumberFormat="0" applyFont="0" applyFill="0" applyAlignment="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39" fillId="11" borderId="125" applyFont="0" applyFill="0" applyBorder="0" applyAlignment="0"/>
    <xf numFmtId="0" fontId="74" fillId="0" borderId="125" applyNumberFormat="0" applyFill="0" applyProtection="0">
      <alignment horizontal="right"/>
    </xf>
    <xf numFmtId="0" fontId="5" fillId="0" borderId="125" applyNumberFormat="0" applyFont="0" applyFill="0" applyAlignment="0" applyProtection="0"/>
    <xf numFmtId="0" fontId="139" fillId="12" borderId="129" applyFont="0" applyFill="0" applyBorder="0" applyAlignment="0">
      <alignment horizontal="center"/>
    </xf>
    <xf numFmtId="0" fontId="39" fillId="0" borderId="118" applyNumberFormat="0" applyFill="0" applyAlignment="0" applyProtection="0"/>
    <xf numFmtId="0" fontId="39" fillId="0" borderId="118" applyNumberFormat="0" applyFill="0" applyAlignment="0" applyProtection="0"/>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5" fillId="0" borderId="125" applyNumberFormat="0" applyFont="0" applyFill="0" applyAlignment="0" applyProtection="0"/>
    <xf numFmtId="0" fontId="39" fillId="0" borderId="118" applyNumberFormat="0" applyFill="0" applyAlignment="0" applyProtection="0"/>
    <xf numFmtId="0" fontId="5" fillId="17" borderId="121" applyNumberFormat="0" applyFont="0" applyAlignment="0" applyProtection="0"/>
    <xf numFmtId="0" fontId="94" fillId="28" borderId="120" applyNumberFormat="0" applyAlignment="0" applyProtection="0"/>
    <xf numFmtId="0" fontId="97" fillId="37" borderId="122" applyNumberFormat="0" applyAlignment="0" applyProtection="0"/>
    <xf numFmtId="0" fontId="5" fillId="0" borderId="132" applyNumberFormat="0" applyFont="0" applyFill="0" applyAlignment="0" applyProtection="0"/>
    <xf numFmtId="1" fontId="22" fillId="0" borderId="117" applyFill="0" applyProtection="0">
      <alignment horizontal="right"/>
    </xf>
    <xf numFmtId="0" fontId="5" fillId="0" borderId="125" applyNumberFormat="0" applyFont="0" applyFill="0" applyAlignment="0" applyProtection="0"/>
    <xf numFmtId="189" fontId="5" fillId="0" borderId="125" applyNumberFormat="0" applyFont="0" applyFill="0" applyAlignment="0"/>
    <xf numFmtId="0" fontId="97" fillId="37" borderId="122" applyNumberFormat="0" applyAlignment="0" applyProtection="0"/>
    <xf numFmtId="0" fontId="94" fillId="28" borderId="135" applyNumberFormat="0" applyAlignment="0" applyProtection="0"/>
    <xf numFmtId="0" fontId="94" fillId="28" borderId="120" applyNumberFormat="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6" fillId="0" borderId="117">
      <alignment horizontal="left" vertical="center"/>
    </xf>
    <xf numFmtId="0" fontId="94" fillId="28" borderId="135" applyNumberFormat="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39" fillId="0" borderId="118" applyNumberFormat="0" applyFill="0" applyAlignment="0" applyProtection="0"/>
    <xf numFmtId="0" fontId="39" fillId="0" borderId="118" applyNumberFormat="0" applyFill="0" applyAlignment="0" applyProtection="0"/>
    <xf numFmtId="0" fontId="94" fillId="28" borderId="120" applyNumberFormat="0" applyAlignment="0" applyProtection="0"/>
    <xf numFmtId="0" fontId="168" fillId="0" borderId="128" applyNumberFormat="0" applyFill="0" applyBorder="0" applyAlignment="0" applyProtection="0"/>
    <xf numFmtId="0" fontId="94" fillId="28" borderId="120" applyNumberFormat="0" applyAlignment="0" applyProtection="0"/>
    <xf numFmtId="0" fontId="97" fillId="37" borderId="122" applyNumberFormat="0" applyAlignment="0" applyProtection="0"/>
    <xf numFmtId="189" fontId="5" fillId="0" borderId="125" applyNumberFormat="0" applyFont="0" applyFill="0" applyAlignment="0"/>
    <xf numFmtId="0" fontId="99" fillId="0" borderId="123" applyNumberFormat="0" applyFill="0" applyAlignment="0" applyProtection="0"/>
    <xf numFmtId="202" fontId="43" fillId="18" borderId="117" applyFont="0">
      <alignment horizontal="right"/>
    </xf>
    <xf numFmtId="0" fontId="87" fillId="37" borderId="120" applyNumberFormat="0" applyAlignment="0" applyProtection="0"/>
    <xf numFmtId="0" fontId="39" fillId="0" borderId="118"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39" fontId="30" fillId="0" borderId="117" applyNumberFormat="0" applyBorder="0">
      <alignment horizontal="right"/>
    </xf>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39" fillId="0" borderId="118" applyNumberFormat="0" applyFill="0" applyAlignment="0" applyProtection="0"/>
    <xf numFmtId="0" fontId="39" fillId="0" borderId="118" applyNumberFormat="0" applyFill="0" applyAlignment="0" applyProtection="0"/>
    <xf numFmtId="0" fontId="39" fillId="0" borderId="118" applyNumberFormat="0" applyFill="0" applyAlignment="0" applyProtection="0"/>
    <xf numFmtId="263" fontId="5" fillId="18" borderId="117" applyFont="0">
      <alignment horizontal="right"/>
    </xf>
    <xf numFmtId="263" fontId="5" fillId="18" borderId="117" applyFont="0">
      <alignment horizontal="right"/>
    </xf>
    <xf numFmtId="202" fontId="43" fillId="18" borderId="117" applyFont="0">
      <alignment horizontal="right"/>
    </xf>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6" fillId="0" borderId="117">
      <alignment horizontal="left" vertical="center"/>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 fillId="5" borderId="131">
      <alignment horizontal="left" vertical="center" wrapText="1"/>
    </xf>
    <xf numFmtId="0" fontId="168" fillId="0" borderId="142" applyNumberFormat="0" applyFill="0" applyBorder="0" applyAlignment="0" applyProtection="0"/>
    <xf numFmtId="173" fontId="15" fillId="4" borderId="141" applyNumberFormat="0" applyAlignment="0">
      <alignment horizontal="right"/>
    </xf>
    <xf numFmtId="0" fontId="168" fillId="0" borderId="128" applyNumberFormat="0" applyFill="0" applyBorder="0" applyAlignment="0" applyProtection="0"/>
    <xf numFmtId="39" fontId="30" fillId="0" borderId="117" applyNumberFormat="0" applyBorder="0">
      <alignment horizontal="right"/>
    </xf>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1" fontId="22" fillId="0" borderId="117" applyFill="0" applyProtection="0">
      <alignment horizontal="right"/>
    </xf>
    <xf numFmtId="0" fontId="39" fillId="0" borderId="118" applyNumberFormat="0" applyFill="0" applyAlignment="0" applyProtection="0"/>
    <xf numFmtId="0" fontId="97" fillId="37" borderId="122" applyNumberFormat="0" applyAlignment="0" applyProtection="0"/>
    <xf numFmtId="0" fontId="97" fillId="37" borderId="122" applyNumberFormat="0" applyAlignment="0" applyProtection="0"/>
    <xf numFmtId="0" fontId="5" fillId="0" borderId="125" applyNumberFormat="0" applyFont="0" applyFill="0" applyAlignment="0" applyProtection="0"/>
    <xf numFmtId="0" fontId="26" fillId="0" borderId="128" applyNumberFormat="0" applyFill="0" applyAlignment="0" applyProtection="0"/>
    <xf numFmtId="0" fontId="133" fillId="0" borderId="128" applyNumberFormat="0" applyFill="0" applyBorder="0" applyAlignment="0" applyProtection="0"/>
    <xf numFmtId="0" fontId="39" fillId="0" borderId="118" applyNumberFormat="0" applyFill="0" applyAlignment="0" applyProtection="0"/>
    <xf numFmtId="0" fontId="39" fillId="0" borderId="118" applyNumberFormat="0" applyFill="0" applyAlignment="0" applyProtection="0"/>
    <xf numFmtId="0" fontId="39" fillId="0" borderId="118" applyNumberFormat="0" applyFill="0" applyAlignment="0" applyProtection="0"/>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5" fillId="17" borderId="121" applyNumberFormat="0" applyFont="0" applyAlignment="0" applyProtection="0"/>
    <xf numFmtId="0" fontId="97" fillId="37" borderId="122" applyNumberFormat="0" applyAlignment="0" applyProtection="0"/>
    <xf numFmtId="167" fontId="51" fillId="0" borderId="119">
      <protection locked="0"/>
    </xf>
    <xf numFmtId="0" fontId="168" fillId="0" borderId="128" applyNumberFormat="0" applyFill="0" applyBorder="0" applyAlignment="0" applyProtection="0"/>
    <xf numFmtId="0" fontId="99" fillId="0" borderId="123" applyNumberForma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16" fillId="5" borderId="131">
      <alignment horizontal="left" vertical="center" wrapText="1"/>
    </xf>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39" fontId="30" fillId="0" borderId="117" applyNumberFormat="0" applyBorder="0">
      <alignment horizontal="right"/>
    </xf>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0" fontId="133" fillId="0" borderId="128" applyNumberFormat="0" applyFill="0" applyBorder="0" applyAlignment="0" applyProtection="0"/>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39" fillId="0" borderId="118" applyNumberFormat="0" applyFill="0" applyAlignment="0" applyProtection="0"/>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133" fillId="0" borderId="142" applyNumberFormat="0" applyFill="0" applyBorder="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99" fillId="0" borderId="123" applyNumberFormat="0" applyFill="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5" fillId="0" borderId="132" applyNumberFormat="0" applyFon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16" fillId="5" borderId="124">
      <alignment horizontal="left" vertical="center" wrapText="1"/>
    </xf>
    <xf numFmtId="0" fontId="16" fillId="5" borderId="124">
      <alignment horizontal="left" vertical="center" wrapText="1"/>
    </xf>
    <xf numFmtId="0" fontId="5" fillId="17" borderId="121" applyNumberFormat="0" applyFont="0" applyAlignment="0" applyProtection="0"/>
    <xf numFmtId="0" fontId="168" fillId="0" borderId="128" applyNumberFormat="0" applyFill="0" applyBorder="0" applyAlignment="0" applyProtection="0"/>
    <xf numFmtId="189" fontId="5" fillId="0" borderId="125" applyNumberFormat="0" applyFont="0" applyFill="0" applyAlignment="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74" fillId="0" borderId="125" applyNumberFormat="0" applyFill="0" applyProtection="0">
      <alignment horizontal="right"/>
    </xf>
    <xf numFmtId="0" fontId="74" fillId="0" borderId="125" applyNumberFormat="0" applyFill="0" applyProtection="0">
      <alignment horizontal="right"/>
    </xf>
    <xf numFmtId="0" fontId="168" fillId="0" borderId="128" applyNumberFormat="0" applyFill="0" applyBorder="0" applyAlignment="0" applyProtection="0"/>
    <xf numFmtId="189" fontId="5" fillId="0" borderId="125" applyNumberFormat="0" applyFont="0" applyFill="0" applyAlignment="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143" fillId="0" borderId="128" applyNumberFormat="0" applyFill="0" applyBorder="0" applyAlignment="0" applyProtection="0"/>
    <xf numFmtId="0" fontId="28" fillId="0" borderId="128" applyNumberFormat="0" applyFill="0" applyBorder="0" applyAlignment="0" applyProtection="0"/>
    <xf numFmtId="0" fontId="28" fillId="0" borderId="128" applyNumberFormat="0" applyFill="0" applyBorder="0" applyAlignment="0" applyProtection="0"/>
    <xf numFmtId="0" fontId="133" fillId="0" borderId="128" applyNumberFormat="0" applyFill="0" applyBorder="0" applyAlignment="0" applyProtection="0"/>
    <xf numFmtId="0" fontId="133" fillId="0" borderId="128" applyNumberFormat="0" applyFill="0" applyBorder="0" applyAlignment="0" applyProtection="0"/>
    <xf numFmtId="0" fontId="26" fillId="0" borderId="128" applyNumberFormat="0" applyFill="0" applyAlignment="0" applyProtection="0"/>
    <xf numFmtId="0" fontId="26" fillId="0" borderId="128" applyNumberFormat="0" applyFill="0" applyAlignment="0" applyProtection="0"/>
    <xf numFmtId="0" fontId="26" fillId="0" borderId="128" applyNumberFormat="0" applyFill="0" applyAlignment="0" applyProtection="0"/>
    <xf numFmtId="0" fontId="87" fillId="37" borderId="120" applyNumberFormat="0" applyAlignment="0" applyProtection="0"/>
    <xf numFmtId="0" fontId="139" fillId="11" borderId="125" applyFont="0" applyFill="0" applyBorder="0" applyAlignment="0"/>
    <xf numFmtId="165" fontId="12" fillId="0" borderId="126" applyBorder="0"/>
    <xf numFmtId="167" fontId="51" fillId="0" borderId="119">
      <protection locked="0"/>
    </xf>
    <xf numFmtId="284" fontId="5" fillId="22" borderId="125" applyNumberFormat="0" applyFont="0" applyBorder="0" applyAlignment="0" applyProtection="0">
      <alignment horizontal="right"/>
    </xf>
    <xf numFmtId="284" fontId="5"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205" fontId="26" fillId="22" borderId="125" applyNumberFormat="0" applyFont="0" applyBorder="0" applyAlignment="0" applyProtection="0">
      <alignment horizontal="right"/>
    </xf>
    <xf numFmtId="0" fontId="94" fillId="28" borderId="120" applyNumberFormat="0" applyAlignment="0" applyProtection="0"/>
    <xf numFmtId="0" fontId="94" fillId="28" borderId="120" applyNumberFormat="0" applyAlignment="0" applyProtection="0"/>
    <xf numFmtId="0" fontId="16" fillId="5" borderId="124">
      <alignment horizontal="left" vertical="center" wrapText="1"/>
    </xf>
    <xf numFmtId="0" fontId="16" fillId="5" borderId="124">
      <alignment horizontal="left" vertical="center" wrapText="1"/>
    </xf>
    <xf numFmtId="0" fontId="139" fillId="12" borderId="129" applyFont="0" applyFill="0" applyBorder="0" applyAlignment="0">
      <alignment horizontal="center"/>
    </xf>
    <xf numFmtId="0" fontId="5" fillId="17" borderId="121" applyNumberFormat="0" applyFont="0" applyAlignment="0" applyProtection="0"/>
    <xf numFmtId="0" fontId="97" fillId="37" borderId="122" applyNumberFormat="0" applyAlignment="0" applyProtection="0"/>
    <xf numFmtId="0" fontId="168" fillId="0" borderId="128" applyNumberFormat="0" applyFill="0" applyBorder="0" applyAlignment="0" applyProtection="0"/>
    <xf numFmtId="0" fontId="99" fillId="0" borderId="123" applyNumberForma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5" fillId="0" borderId="125" applyNumberFormat="0" applyFont="0" applyFill="0" applyAlignment="0" applyProtection="0"/>
    <xf numFmtId="0" fontId="178" fillId="0" borderId="128" applyNumberFormat="0" applyFill="0" applyBorder="0" applyAlignment="0" applyProtection="0"/>
    <xf numFmtId="0" fontId="179" fillId="0" borderId="128" applyNumberFormat="0" applyFill="0" applyBorder="0" applyAlignment="0" applyProtection="0"/>
    <xf numFmtId="0" fontId="180" fillId="0" borderId="128" applyNumberFormat="0" applyFill="0" applyBorder="0" applyAlignment="0" applyProtection="0"/>
    <xf numFmtId="0" fontId="5" fillId="0" borderId="132" applyNumberFormat="0" applyFont="0" applyFill="0" applyAlignment="0" applyProtection="0"/>
    <xf numFmtId="0" fontId="5" fillId="0" borderId="132" applyNumberFormat="0" applyFont="0" applyFill="0" applyAlignment="0" applyProtection="0"/>
    <xf numFmtId="167" fontId="51" fillId="0" borderId="134">
      <protection locked="0"/>
    </xf>
    <xf numFmtId="0" fontId="139" fillId="11" borderId="132" applyFont="0" applyFill="0" applyBorder="0" applyAlignment="0"/>
    <xf numFmtId="0" fontId="94" fillId="28" borderId="135" applyNumberFormat="0" applyAlignment="0" applyProtection="0"/>
    <xf numFmtId="0" fontId="5" fillId="0" borderId="132" applyNumberFormat="0" applyFont="0" applyFill="0" applyAlignment="0" applyProtection="0"/>
    <xf numFmtId="0" fontId="6" fillId="0" borderId="130">
      <alignment horizontal="left" vertical="center"/>
    </xf>
    <xf numFmtId="0" fontId="28" fillId="0" borderId="142" applyNumberFormat="0" applyFill="0" applyBorder="0" applyAlignment="0" applyProtection="0"/>
    <xf numFmtId="0" fontId="180" fillId="0" borderId="142" applyNumberFormat="0" applyFill="0" applyBorder="0" applyAlignment="0" applyProtection="0"/>
    <xf numFmtId="0" fontId="179" fillId="0" borderId="142" applyNumberFormat="0" applyFill="0" applyBorder="0" applyAlignment="0" applyProtection="0"/>
    <xf numFmtId="39" fontId="30" fillId="0" borderId="130" applyNumberFormat="0" applyBorder="0">
      <alignment horizontal="right"/>
    </xf>
    <xf numFmtId="0" fontId="5" fillId="17" borderId="136" applyNumberFormat="0" applyFont="0" applyAlignment="0" applyProtection="0"/>
    <xf numFmtId="165" fontId="12" fillId="0" borderId="140" applyBorder="0"/>
    <xf numFmtId="0" fontId="5" fillId="0" borderId="132" applyNumberFormat="0" applyFont="0" applyFill="0" applyAlignment="0" applyProtection="0"/>
    <xf numFmtId="1" fontId="22" fillId="0" borderId="130" applyFill="0" applyProtection="0">
      <alignment horizontal="right"/>
    </xf>
    <xf numFmtId="0" fontId="180" fillId="0" borderId="142" applyNumberFormat="0" applyFill="0" applyBorder="0" applyAlignment="0" applyProtection="0"/>
    <xf numFmtId="0" fontId="5" fillId="0" borderId="132" applyNumberFormat="0" applyFont="0" applyFill="0" applyAlignment="0" applyProtection="0"/>
    <xf numFmtId="0" fontId="16" fillId="5" borderId="131">
      <alignment horizontal="left" vertical="center" wrapText="1"/>
    </xf>
    <xf numFmtId="0" fontId="94" fillId="28" borderId="135" applyNumberFormat="0" applyAlignment="0" applyProtection="0"/>
    <xf numFmtId="0" fontId="97" fillId="37" borderId="137" applyNumberFormat="0" applyAlignment="0" applyProtection="0"/>
    <xf numFmtId="0" fontId="16" fillId="5" borderId="131">
      <alignment horizontal="left" vertical="center" wrapText="1"/>
    </xf>
    <xf numFmtId="167" fontId="51" fillId="0" borderId="134">
      <protection locked="0"/>
    </xf>
    <xf numFmtId="189" fontId="5" fillId="0" borderId="132" applyNumberFormat="0" applyFont="0" applyFill="0" applyAlignment="0"/>
    <xf numFmtId="0" fontId="26" fillId="0" borderId="142" applyNumberFormat="0" applyFill="0" applyAlignment="0" applyProtection="0"/>
    <xf numFmtId="0" fontId="94" fillId="28" borderId="135" applyNumberFormat="0" applyAlignment="0" applyProtection="0"/>
    <xf numFmtId="0" fontId="5" fillId="0" borderId="132" applyNumberFormat="0" applyFont="0" applyFill="0" applyAlignment="0" applyProtection="0"/>
    <xf numFmtId="0" fontId="5" fillId="17" borderId="136" applyNumberFormat="0" applyFont="0" applyAlignment="0" applyProtection="0"/>
    <xf numFmtId="167" fontId="51" fillId="0" borderId="134">
      <protection locked="0"/>
    </xf>
    <xf numFmtId="10" fontId="26" fillId="2" borderId="141" applyNumberFormat="0" applyBorder="0" applyAlignment="0" applyProtection="0"/>
    <xf numFmtId="0" fontId="5" fillId="0" borderId="132" applyNumberFormat="0" applyFont="0" applyFill="0" applyAlignment="0" applyProtection="0"/>
    <xf numFmtId="0" fontId="178" fillId="0" borderId="142" applyNumberFormat="0" applyFill="0" applyBorder="0" applyAlignment="0" applyProtection="0"/>
    <xf numFmtId="0" fontId="179" fillId="0" borderId="142" applyNumberFormat="0" applyFill="0" applyBorder="0" applyAlignment="0" applyProtection="0"/>
    <xf numFmtId="0" fontId="39" fillId="0" borderId="133" applyNumberFormat="0" applyFill="0" applyAlignment="0" applyProtection="0"/>
    <xf numFmtId="0" fontId="87" fillId="37" borderId="135" applyNumberFormat="0" applyAlignment="0" applyProtection="0"/>
    <xf numFmtId="0" fontId="16" fillId="5" borderId="131">
      <alignment horizontal="left" vertical="center" wrapText="1"/>
    </xf>
    <xf numFmtId="0" fontId="16" fillId="5" borderId="131">
      <alignment horizontal="left" vertical="center" wrapText="1"/>
    </xf>
    <xf numFmtId="0" fontId="133" fillId="0" borderId="142" applyNumberFormat="0" applyFill="0" applyBorder="0" applyAlignment="0" applyProtection="0"/>
    <xf numFmtId="0" fontId="139" fillId="11" borderId="132" applyFont="0" applyFill="0" applyBorder="0" applyAlignment="0"/>
    <xf numFmtId="0" fontId="99" fillId="0" borderId="138" applyNumberFormat="0" applyFill="0" applyAlignment="0" applyProtection="0"/>
    <xf numFmtId="0" fontId="87" fillId="37" borderId="135" applyNumberFormat="0" applyAlignment="0" applyProtection="0"/>
    <xf numFmtId="0" fontId="5" fillId="0" borderId="132" applyNumberFormat="0" applyFont="0" applyFill="0" applyAlignment="0" applyProtection="0"/>
    <xf numFmtId="0" fontId="94" fillId="28" borderId="135" applyNumberFormat="0" applyAlignment="0" applyProtection="0"/>
    <xf numFmtId="205" fontId="26" fillId="22" borderId="132" applyNumberFormat="0" applyFont="0" applyBorder="0" applyAlignment="0" applyProtection="0">
      <alignment horizontal="right"/>
    </xf>
    <xf numFmtId="0" fontId="5" fillId="17" borderId="136" applyNumberFormat="0" applyFont="0" applyAlignment="0" applyProtection="0"/>
    <xf numFmtId="0" fontId="26" fillId="0" borderId="142" applyNumberFormat="0" applyFill="0" applyAlignment="0" applyProtection="0"/>
    <xf numFmtId="0" fontId="99" fillId="0" borderId="138" applyNumberFormat="0" applyFill="0" applyAlignment="0" applyProtection="0"/>
    <xf numFmtId="205" fontId="26" fillId="22" borderId="132" applyNumberFormat="0" applyFont="0" applyBorder="0" applyAlignment="0" applyProtection="0">
      <alignment horizontal="right"/>
    </xf>
    <xf numFmtId="0" fontId="28" fillId="0" borderId="142" applyNumberFormat="0" applyFill="0" applyBorder="0" applyAlignment="0" applyProtection="0"/>
    <xf numFmtId="0" fontId="180" fillId="0" borderId="142" applyNumberFormat="0" applyFill="0" applyBorder="0" applyAlignment="0" applyProtection="0"/>
    <xf numFmtId="0" fontId="5" fillId="0" borderId="132" applyNumberFormat="0" applyFont="0" applyFill="0" applyAlignment="0" applyProtection="0"/>
    <xf numFmtId="0" fontId="97" fillId="37" borderId="137" applyNumberFormat="0" applyAlignment="0" applyProtection="0"/>
    <xf numFmtId="0" fontId="168" fillId="0" borderId="142" applyNumberFormat="0" applyFill="0" applyBorder="0" applyAlignment="0" applyProtection="0"/>
    <xf numFmtId="0" fontId="16" fillId="5" borderId="131">
      <alignment horizontal="left" vertical="center" wrapText="1"/>
    </xf>
    <xf numFmtId="205" fontId="26" fillId="22" borderId="132" applyNumberFormat="0" applyFont="0" applyBorder="0" applyAlignment="0" applyProtection="0">
      <alignment horizontal="right"/>
    </xf>
    <xf numFmtId="0" fontId="97" fillId="37" borderId="137" applyNumberFormat="0" applyAlignment="0" applyProtection="0"/>
    <xf numFmtId="0" fontId="16" fillId="5" borderId="131">
      <alignment horizontal="left" vertical="center" wrapText="1"/>
    </xf>
    <xf numFmtId="0" fontId="133" fillId="0" borderId="142" applyNumberFormat="0" applyFill="0" applyBorder="0" applyAlignment="0" applyProtection="0"/>
    <xf numFmtId="0" fontId="28" fillId="0" borderId="142" applyNumberFormat="0" applyFill="0" applyBorder="0" applyAlignment="0" applyProtection="0"/>
    <xf numFmtId="0" fontId="5" fillId="0" borderId="132" applyNumberFormat="0" applyFont="0" applyFill="0" applyAlignment="0" applyProtection="0"/>
    <xf numFmtId="205" fontId="26" fillId="22" borderId="132" applyNumberFormat="0" applyFont="0" applyBorder="0" applyAlignment="0" applyProtection="0">
      <alignment horizontal="right"/>
    </xf>
    <xf numFmtId="263" fontId="5" fillId="18" borderId="130" applyFont="0">
      <alignment horizontal="right"/>
    </xf>
    <xf numFmtId="263" fontId="5" fillId="18" borderId="130" applyFont="0">
      <alignment horizontal="right"/>
    </xf>
    <xf numFmtId="165" fontId="12" fillId="0" borderId="140" applyBorder="0"/>
    <xf numFmtId="165" fontId="12" fillId="0" borderId="140" applyBorder="0"/>
    <xf numFmtId="0" fontId="26" fillId="0" borderId="142" applyNumberFormat="0" applyFill="0" applyAlignment="0" applyProtection="0"/>
    <xf numFmtId="0" fontId="97" fillId="37" borderId="137" applyNumberFormat="0" applyAlignment="0" applyProtection="0"/>
    <xf numFmtId="0" fontId="28" fillId="0" borderId="142" applyNumberFormat="0" applyFill="0" applyBorder="0" applyAlignment="0" applyProtection="0"/>
    <xf numFmtId="205" fontId="26" fillId="22" borderId="132" applyNumberFormat="0" applyFont="0" applyBorder="0" applyAlignment="0" applyProtection="0">
      <alignment horizontal="right"/>
    </xf>
    <xf numFmtId="0" fontId="168" fillId="0" borderId="142" applyNumberFormat="0" applyFill="0" applyBorder="0" applyAlignment="0" applyProtection="0"/>
    <xf numFmtId="0" fontId="28" fillId="0" borderId="142" applyNumberFormat="0" applyFill="0" applyBorder="0" applyAlignment="0" applyProtection="0"/>
    <xf numFmtId="0" fontId="143" fillId="0" borderId="142" applyNumberFormat="0" applyFill="0" applyBorder="0" applyAlignment="0" applyProtection="0"/>
    <xf numFmtId="10" fontId="26" fillId="2" borderId="141" applyNumberFormat="0" applyBorder="0" applyAlignment="0" applyProtection="0"/>
    <xf numFmtId="0" fontId="178" fillId="0" borderId="142" applyNumberFormat="0" applyFill="0" applyBorder="0" applyAlignment="0" applyProtection="0"/>
    <xf numFmtId="0" fontId="5" fillId="0" borderId="132" applyNumberFormat="0" applyFont="0" applyFill="0" applyAlignment="0" applyProtection="0"/>
    <xf numFmtId="0" fontId="180" fillId="0" borderId="142" applyNumberFormat="0" applyFill="0" applyBorder="0" applyAlignment="0" applyProtection="0"/>
    <xf numFmtId="0" fontId="180" fillId="0" borderId="142" applyNumberFormat="0" applyFill="0" applyBorder="0" applyAlignment="0" applyProtection="0"/>
    <xf numFmtId="0" fontId="74" fillId="0" borderId="132" applyNumberFormat="0" applyFill="0" applyProtection="0">
      <alignment horizontal="right"/>
    </xf>
    <xf numFmtId="0" fontId="97" fillId="37" borderId="137" applyNumberFormat="0" applyAlignment="0" applyProtection="0"/>
    <xf numFmtId="0" fontId="6" fillId="0" borderId="130">
      <alignment horizontal="left" vertical="center"/>
    </xf>
    <xf numFmtId="1" fontId="22" fillId="0" borderId="139" applyFill="0" applyProtection="0">
      <alignment horizontal="right"/>
    </xf>
    <xf numFmtId="0" fontId="26" fillId="0" borderId="142" applyNumberFormat="0" applyFill="0" applyAlignment="0" applyProtection="0"/>
    <xf numFmtId="284" fontId="5" fillId="22" borderId="132" applyNumberFormat="0" applyFont="0" applyBorder="0" applyAlignment="0" applyProtection="0">
      <alignment horizontal="right"/>
    </xf>
    <xf numFmtId="189" fontId="5" fillId="0" borderId="132" applyNumberFormat="0" applyFont="0" applyFill="0" applyAlignment="0"/>
    <xf numFmtId="0" fontId="5" fillId="17" borderId="136" applyNumberFormat="0" applyFont="0" applyAlignment="0" applyProtection="0"/>
    <xf numFmtId="0" fontId="168" fillId="0" borderId="142" applyNumberFormat="0" applyFill="0" applyBorder="0" applyAlignment="0" applyProtection="0"/>
    <xf numFmtId="0" fontId="26" fillId="0" borderId="142" applyNumberFormat="0" applyFill="0" applyAlignment="0" applyProtection="0"/>
    <xf numFmtId="0" fontId="5" fillId="0" borderId="132" applyNumberFormat="0" applyFont="0" applyFill="0" applyAlignment="0" applyProtection="0"/>
    <xf numFmtId="205" fontId="26" fillId="22" borderId="132" applyNumberFormat="0" applyFont="0" applyBorder="0" applyAlignment="0" applyProtection="0">
      <alignment horizontal="right"/>
    </xf>
    <xf numFmtId="0" fontId="178" fillId="0" borderId="142" applyNumberFormat="0" applyFill="0" applyBorder="0" applyAlignment="0" applyProtection="0"/>
    <xf numFmtId="0" fontId="139" fillId="11" borderId="132" applyFont="0" applyFill="0" applyBorder="0" applyAlignment="0"/>
    <xf numFmtId="0" fontId="97" fillId="37" borderId="137" applyNumberFormat="0" applyAlignment="0" applyProtection="0"/>
    <xf numFmtId="279" fontId="28" fillId="2" borderId="141" applyNumberFormat="0" applyFont="0" applyAlignment="0"/>
    <xf numFmtId="0" fontId="178" fillId="0" borderId="142" applyNumberFormat="0" applyFill="0" applyBorder="0" applyAlignment="0" applyProtection="0"/>
    <xf numFmtId="0" fontId="39" fillId="0" borderId="133" applyNumberFormat="0" applyFill="0" applyAlignment="0" applyProtection="0"/>
    <xf numFmtId="0" fontId="39" fillId="0" borderId="133" applyNumberFormat="0" applyFill="0" applyAlignment="0" applyProtection="0"/>
    <xf numFmtId="0" fontId="139" fillId="11" borderId="132" applyFont="0" applyFill="0" applyBorder="0" applyAlignment="0"/>
    <xf numFmtId="205" fontId="26" fillId="22" borderId="132" applyNumberFormat="0" applyFont="0" applyBorder="0" applyAlignment="0" applyProtection="0">
      <alignment horizontal="right"/>
    </xf>
    <xf numFmtId="263" fontId="5" fillId="18" borderId="130" applyFont="0">
      <alignment horizontal="right"/>
    </xf>
    <xf numFmtId="263" fontId="5" fillId="18" borderId="130" applyFont="0">
      <alignment horizontal="right"/>
    </xf>
    <xf numFmtId="202" fontId="43" fillId="18" borderId="130" applyFont="0">
      <alignment horizontal="right"/>
    </xf>
    <xf numFmtId="0" fontId="99" fillId="0" borderId="138" applyNumberFormat="0" applyFill="0" applyAlignment="0" applyProtection="0"/>
    <xf numFmtId="0" fontId="16" fillId="5" borderId="131">
      <alignment horizontal="left" vertical="center" wrapText="1"/>
    </xf>
    <xf numFmtId="0" fontId="139" fillId="11" borderId="132" applyFont="0" applyFill="0" applyBorder="0" applyAlignment="0"/>
    <xf numFmtId="0" fontId="5" fillId="0" borderId="132" applyNumberFormat="0" applyFont="0" applyFill="0" applyAlignment="0" applyProtection="0"/>
    <xf numFmtId="0" fontId="28" fillId="0" borderId="142" applyNumberFormat="0" applyFill="0" applyBorder="0" applyAlignment="0" applyProtection="0"/>
    <xf numFmtId="0" fontId="5" fillId="0" borderId="132" applyNumberFormat="0" applyFont="0" applyFill="0" applyAlignment="0" applyProtection="0"/>
    <xf numFmtId="0" fontId="5" fillId="0" borderId="132" applyNumberFormat="0" applyFont="0" applyFill="0" applyAlignment="0" applyProtection="0"/>
    <xf numFmtId="39" fontId="30" fillId="0" borderId="139" applyNumberFormat="0" applyBorder="0">
      <alignment horizontal="right"/>
    </xf>
    <xf numFmtId="0" fontId="6" fillId="0" borderId="130">
      <alignment horizontal="left" vertical="center"/>
    </xf>
    <xf numFmtId="0" fontId="39" fillId="0" borderId="133" applyNumberFormat="0" applyFill="0" applyAlignment="0" applyProtection="0"/>
    <xf numFmtId="0" fontId="97" fillId="37" borderId="137" applyNumberFormat="0" applyAlignment="0" applyProtection="0"/>
    <xf numFmtId="0" fontId="139" fillId="11" borderId="132" applyFont="0" applyFill="0" applyBorder="0" applyAlignment="0"/>
    <xf numFmtId="0" fontId="133" fillId="0" borderId="142" applyNumberFormat="0" applyFill="0" applyBorder="0" applyAlignment="0" applyProtection="0"/>
    <xf numFmtId="39" fontId="30" fillId="0" borderId="130" applyNumberFormat="0" applyBorder="0">
      <alignment horizontal="right"/>
    </xf>
    <xf numFmtId="0" fontId="26" fillId="0" borderId="142" applyNumberFormat="0" applyFill="0" applyAlignment="0" applyProtection="0"/>
    <xf numFmtId="0" fontId="139" fillId="11" borderId="132" applyFont="0" applyFill="0" applyBorder="0" applyAlignment="0"/>
    <xf numFmtId="0" fontId="26" fillId="0" borderId="142" applyNumberFormat="0" applyFill="0" applyAlignment="0" applyProtection="0"/>
    <xf numFmtId="1" fontId="22" fillId="0" borderId="130" applyFill="0" applyProtection="0">
      <alignment horizontal="right"/>
    </xf>
    <xf numFmtId="0" fontId="133" fillId="0" borderId="142" applyNumberFormat="0" applyFill="0" applyBorder="0" applyAlignment="0" applyProtection="0"/>
    <xf numFmtId="0" fontId="180" fillId="0" borderId="142" applyNumberFormat="0" applyFill="0" applyBorder="0" applyAlignment="0" applyProtection="0"/>
    <xf numFmtId="0" fontId="179" fillId="0" borderId="142" applyNumberFormat="0" applyFill="0" applyBorder="0" applyAlignment="0" applyProtection="0"/>
    <xf numFmtId="0" fontId="5" fillId="0" borderId="132" applyNumberFormat="0" applyFont="0" applyFill="0" applyAlignment="0" applyProtection="0"/>
    <xf numFmtId="165" fontId="12" fillId="0" borderId="140" applyBorder="0"/>
    <xf numFmtId="0" fontId="5" fillId="0" borderId="132" applyNumberFormat="0" applyFont="0" applyFill="0" applyAlignment="0" applyProtection="0"/>
    <xf numFmtId="0" fontId="87" fillId="37" borderId="135" applyNumberFormat="0" applyAlignment="0" applyProtection="0"/>
    <xf numFmtId="0" fontId="28" fillId="0" borderId="142" applyNumberFormat="0" applyFill="0" applyBorder="0" applyAlignment="0" applyProtection="0"/>
    <xf numFmtId="0" fontId="5" fillId="0" borderId="132" applyNumberFormat="0" applyFont="0" applyFill="0" applyAlignment="0" applyProtection="0"/>
    <xf numFmtId="0" fontId="97" fillId="37" borderId="137" applyNumberFormat="0" applyAlignment="0" applyProtection="0"/>
    <xf numFmtId="0" fontId="168" fillId="0" borderId="142" applyNumberFormat="0" applyFill="0" applyBorder="0" applyAlignment="0" applyProtection="0"/>
    <xf numFmtId="0" fontId="26" fillId="0" borderId="142" applyNumberFormat="0" applyFill="0" applyAlignment="0" applyProtection="0"/>
    <xf numFmtId="0" fontId="5" fillId="0" borderId="141">
      <protection locked="0"/>
    </xf>
    <xf numFmtId="0" fontId="5" fillId="0" borderId="132" applyNumberFormat="0" applyFont="0" applyFill="0" applyAlignment="0" applyProtection="0"/>
    <xf numFmtId="0" fontId="94" fillId="28" borderId="135" applyNumberFormat="0" applyAlignment="0" applyProtection="0"/>
    <xf numFmtId="0" fontId="26" fillId="0" borderId="142" applyNumberFormat="0" applyFill="0" applyAlignment="0" applyProtection="0"/>
    <xf numFmtId="0" fontId="133" fillId="0" borderId="142" applyNumberFormat="0" applyFill="0" applyBorder="0" applyAlignment="0" applyProtection="0"/>
    <xf numFmtId="0" fontId="178" fillId="0" borderId="142" applyNumberFormat="0" applyFill="0" applyBorder="0" applyAlignment="0" applyProtection="0"/>
    <xf numFmtId="0" fontId="26" fillId="0" borderId="142" applyNumberFormat="0" applyFill="0" applyAlignment="0" applyProtection="0"/>
    <xf numFmtId="0" fontId="39" fillId="0" borderId="133" applyNumberFormat="0" applyFill="0" applyAlignment="0" applyProtection="0"/>
    <xf numFmtId="0" fontId="26" fillId="0" borderId="142" applyNumberFormat="0" applyFill="0" applyAlignment="0" applyProtection="0"/>
    <xf numFmtId="171" fontId="5" fillId="0" borderId="141">
      <alignment horizontal="right"/>
      <protection locked="0"/>
    </xf>
    <xf numFmtId="0" fontId="26" fillId="0" borderId="142" applyNumberFormat="0" applyFill="0" applyAlignment="0" applyProtection="0"/>
    <xf numFmtId="0" fontId="178" fillId="0" borderId="142" applyNumberFormat="0" applyFill="0" applyBorder="0" applyAlignment="0" applyProtection="0"/>
    <xf numFmtId="0" fontId="99" fillId="0" borderId="138" applyNumberFormat="0" applyFill="0" applyAlignment="0" applyProtection="0"/>
    <xf numFmtId="0" fontId="5" fillId="0" borderId="132" applyNumberFormat="0" applyFont="0" applyFill="0" applyAlignment="0" applyProtection="0"/>
    <xf numFmtId="165" fontId="12" fillId="0" borderId="140" applyBorder="0"/>
    <xf numFmtId="0" fontId="133" fillId="0" borderId="142" applyNumberFormat="0" applyFill="0" applyBorder="0" applyAlignment="0" applyProtection="0"/>
    <xf numFmtId="0" fontId="139" fillId="11" borderId="132" applyFont="0" applyFill="0" applyBorder="0" applyAlignment="0"/>
    <xf numFmtId="0" fontId="143" fillId="0" borderId="142" applyNumberFormat="0" applyFill="0" applyBorder="0" applyAlignment="0" applyProtection="0"/>
    <xf numFmtId="0" fontId="143" fillId="0" borderId="142" applyNumberFormat="0" applyFill="0" applyBorder="0" applyAlignment="0" applyProtection="0"/>
    <xf numFmtId="0" fontId="87" fillId="37" borderId="135" applyNumberFormat="0" applyAlignment="0" applyProtection="0"/>
    <xf numFmtId="284" fontId="5" fillId="22" borderId="132" applyNumberFormat="0" applyFont="0" applyBorder="0" applyAlignment="0" applyProtection="0">
      <alignment horizontal="right"/>
    </xf>
    <xf numFmtId="0" fontId="16" fillId="5" borderId="131">
      <alignment horizontal="left" vertical="center" wrapText="1"/>
    </xf>
    <xf numFmtId="0" fontId="5" fillId="17" borderId="136" applyNumberFormat="0" applyFont="0" applyAlignment="0" applyProtection="0"/>
    <xf numFmtId="0" fontId="133" fillId="0" borderId="142" applyNumberFormat="0" applyFill="0" applyBorder="0" applyAlignment="0" applyProtection="0"/>
    <xf numFmtId="167" fontId="51" fillId="0" borderId="134">
      <protection locked="0"/>
    </xf>
    <xf numFmtId="0" fontId="26" fillId="0" borderId="142" applyNumberFormat="0" applyFill="0" applyAlignment="0" applyProtection="0"/>
    <xf numFmtId="0" fontId="133" fillId="0" borderId="142" applyNumberFormat="0" applyFill="0" applyBorder="0" applyAlignment="0" applyProtection="0"/>
    <xf numFmtId="284" fontId="5" fillId="22" borderId="132" applyNumberFormat="0" applyFont="0" applyBorder="0" applyAlignment="0" applyProtection="0">
      <alignment horizontal="right"/>
    </xf>
    <xf numFmtId="0" fontId="87" fillId="37" borderId="135" applyNumberFormat="0" applyAlignment="0" applyProtection="0"/>
    <xf numFmtId="0" fontId="94" fillId="28" borderId="135" applyNumberFormat="0" applyAlignment="0" applyProtection="0"/>
    <xf numFmtId="284" fontId="5" fillId="22" borderId="132" applyNumberFormat="0" applyFont="0" applyBorder="0" applyAlignment="0" applyProtection="0">
      <alignment horizontal="right"/>
    </xf>
    <xf numFmtId="0" fontId="26" fillId="0" borderId="142" applyNumberFormat="0" applyFill="0" applyAlignment="0" applyProtection="0"/>
    <xf numFmtId="167" fontId="51" fillId="0" borderId="134">
      <protection locked="0"/>
    </xf>
    <xf numFmtId="0" fontId="97" fillId="37" borderId="137" applyNumberFormat="0" applyAlignment="0" applyProtection="0"/>
    <xf numFmtId="0" fontId="97" fillId="37" borderId="137" applyNumberFormat="0" applyAlignment="0" applyProtection="0"/>
    <xf numFmtId="0" fontId="28" fillId="0" borderId="142" applyNumberFormat="0" applyFill="0" applyBorder="0" applyAlignment="0" applyProtection="0"/>
    <xf numFmtId="0" fontId="139" fillId="11" borderId="132" applyFont="0" applyFill="0" applyBorder="0" applyAlignment="0"/>
    <xf numFmtId="0" fontId="179" fillId="0" borderId="142" applyNumberFormat="0" applyFill="0" applyBorder="0" applyAlignment="0" applyProtection="0"/>
    <xf numFmtId="0" fontId="16" fillId="5" borderId="131">
      <alignment horizontal="left" vertical="center" wrapText="1"/>
    </xf>
    <xf numFmtId="0" fontId="26" fillId="0" borderId="142" applyNumberFormat="0" applyFill="0" applyAlignment="0" applyProtection="0"/>
    <xf numFmtId="0" fontId="139" fillId="11" borderId="132" applyFont="0" applyFill="0" applyBorder="0" applyAlignment="0"/>
    <xf numFmtId="0" fontId="74" fillId="0" borderId="132" applyNumberFormat="0" applyFill="0" applyProtection="0">
      <alignment horizontal="right"/>
    </xf>
    <xf numFmtId="0" fontId="5" fillId="0" borderId="132" applyNumberFormat="0" applyFont="0" applyFill="0" applyAlignment="0" applyProtection="0"/>
    <xf numFmtId="0" fontId="133" fillId="0" borderId="142" applyNumberFormat="0" applyFill="0" applyBorder="0" applyAlignment="0" applyProtection="0"/>
    <xf numFmtId="284" fontId="5" fillId="22" borderId="132" applyNumberFormat="0" applyFont="0" applyBorder="0" applyAlignment="0" applyProtection="0">
      <alignment horizontal="right"/>
    </xf>
    <xf numFmtId="0" fontId="28" fillId="0" borderId="142" applyNumberFormat="0" applyFill="0" applyBorder="0" applyAlignment="0" applyProtection="0"/>
    <xf numFmtId="165" fontId="12" fillId="0" borderId="140" applyBorder="0"/>
    <xf numFmtId="0" fontId="5" fillId="0" borderId="132" applyNumberFormat="0" applyFont="0" applyFill="0" applyAlignment="0" applyProtection="0"/>
    <xf numFmtId="205" fontId="26" fillId="22" borderId="132" applyNumberFormat="0" applyFont="0" applyBorder="0" applyAlignment="0" applyProtection="0">
      <alignment horizontal="right"/>
    </xf>
    <xf numFmtId="0" fontId="28" fillId="0" borderId="142" applyNumberFormat="0" applyFill="0" applyBorder="0" applyAlignment="0" applyProtection="0"/>
    <xf numFmtId="165" fontId="12" fillId="0" borderId="140" applyBorder="0"/>
    <xf numFmtId="0" fontId="26" fillId="0" borderId="142" applyNumberFormat="0" applyFill="0" applyAlignment="0" applyProtection="0"/>
    <xf numFmtId="0" fontId="5" fillId="17" borderId="136" applyNumberFormat="0" applyFont="0" applyAlignment="0" applyProtection="0"/>
    <xf numFmtId="0" fontId="26" fillId="0" borderId="142" applyNumberFormat="0" applyFill="0" applyAlignment="0" applyProtection="0"/>
    <xf numFmtId="0" fontId="179" fillId="0" borderId="142" applyNumberFormat="0" applyFill="0" applyBorder="0" applyAlignment="0" applyProtection="0"/>
    <xf numFmtId="0" fontId="5" fillId="0" borderId="132" applyNumberFormat="0" applyFont="0" applyFill="0" applyAlignment="0" applyProtection="0"/>
    <xf numFmtId="0" fontId="99" fillId="0" borderId="138" applyNumberFormat="0" applyFill="0" applyAlignment="0" applyProtection="0"/>
    <xf numFmtId="0" fontId="26" fillId="0" borderId="142" applyNumberFormat="0" applyFill="0" applyAlignment="0" applyProtection="0"/>
    <xf numFmtId="0" fontId="133" fillId="0" borderId="142" applyNumberFormat="0" applyFill="0" applyBorder="0" applyAlignment="0" applyProtection="0"/>
    <xf numFmtId="0" fontId="178" fillId="0" borderId="142" applyNumberFormat="0" applyFill="0" applyBorder="0" applyAlignment="0" applyProtection="0"/>
    <xf numFmtId="0" fontId="168" fillId="0" borderId="142" applyNumberFormat="0" applyFill="0" applyBorder="0" applyAlignment="0" applyProtection="0"/>
    <xf numFmtId="0" fontId="133" fillId="0" borderId="142" applyNumberFormat="0" applyFill="0" applyBorder="0" applyAlignment="0" applyProtection="0"/>
    <xf numFmtId="0" fontId="179" fillId="0" borderId="142" applyNumberFormat="0" applyFill="0" applyBorder="0" applyAlignment="0" applyProtection="0"/>
    <xf numFmtId="0" fontId="179" fillId="0" borderId="142" applyNumberFormat="0" applyFill="0" applyBorder="0" applyAlignment="0" applyProtection="0"/>
    <xf numFmtId="205" fontId="26" fillId="22" borderId="132" applyNumberFormat="0" applyFont="0" applyBorder="0" applyAlignment="0" applyProtection="0">
      <alignment horizontal="right"/>
    </xf>
    <xf numFmtId="0" fontId="39" fillId="0" borderId="133" applyNumberFormat="0" applyFill="0" applyAlignment="0" applyProtection="0"/>
    <xf numFmtId="0" fontId="26" fillId="0" borderId="142" applyNumberFormat="0" applyFill="0" applyAlignment="0" applyProtection="0"/>
    <xf numFmtId="0" fontId="97" fillId="37" borderId="137" applyNumberFormat="0" applyAlignment="0" applyProtection="0"/>
    <xf numFmtId="0" fontId="94" fillId="28" borderId="135" applyNumberFormat="0" applyAlignment="0" applyProtection="0"/>
    <xf numFmtId="0" fontId="26" fillId="0" borderId="142" applyNumberFormat="0" applyFill="0" applyAlignment="0" applyProtection="0"/>
    <xf numFmtId="0" fontId="168" fillId="0" borderId="142" applyNumberFormat="0" applyFill="0" applyBorder="0" applyAlignment="0" applyProtection="0"/>
    <xf numFmtId="0" fontId="133" fillId="0" borderId="142" applyNumberFormat="0" applyFill="0" applyBorder="0" applyAlignment="0" applyProtection="0"/>
    <xf numFmtId="0" fontId="179" fillId="0" borderId="142" applyNumberFormat="0" applyFill="0" applyBorder="0" applyAlignment="0" applyProtection="0"/>
    <xf numFmtId="0" fontId="99" fillId="0" borderId="138" applyNumberFormat="0" applyFill="0" applyAlignment="0" applyProtection="0"/>
    <xf numFmtId="0" fontId="94" fillId="28" borderId="135" applyNumberFormat="0" applyAlignment="0" applyProtection="0"/>
    <xf numFmtId="284" fontId="5" fillId="22" borderId="132" applyNumberFormat="0" applyFont="0" applyBorder="0" applyAlignment="0" applyProtection="0">
      <alignment horizontal="right"/>
    </xf>
    <xf numFmtId="0" fontId="97" fillId="37" borderId="137" applyNumberFormat="0" applyAlignment="0" applyProtection="0"/>
    <xf numFmtId="0" fontId="94" fillId="28" borderId="135" applyNumberFormat="0" applyAlignment="0" applyProtection="0"/>
    <xf numFmtId="0" fontId="94" fillId="28" borderId="135" applyNumberFormat="0" applyAlignment="0" applyProtection="0"/>
    <xf numFmtId="0" fontId="5" fillId="17" borderId="136" applyNumberFormat="0" applyFont="0" applyAlignment="0" applyProtection="0"/>
    <xf numFmtId="0" fontId="39" fillId="0" borderId="133" applyNumberFormat="0" applyFill="0" applyAlignment="0" applyProtection="0"/>
    <xf numFmtId="284" fontId="5" fillId="22" borderId="132" applyNumberFormat="0" applyFont="0" applyBorder="0" applyAlignment="0" applyProtection="0">
      <alignment horizontal="right"/>
    </xf>
    <xf numFmtId="205" fontId="26" fillId="22" borderId="132" applyNumberFormat="0" applyFont="0" applyBorder="0" applyAlignment="0" applyProtection="0">
      <alignment horizontal="right"/>
    </xf>
    <xf numFmtId="0" fontId="28" fillId="0" borderId="142" applyNumberFormat="0" applyFill="0" applyBorder="0" applyAlignment="0" applyProtection="0"/>
    <xf numFmtId="0" fontId="39" fillId="0" borderId="133" applyNumberFormat="0" applyFill="0" applyAlignment="0" applyProtection="0"/>
    <xf numFmtId="0" fontId="180" fillId="0" borderId="142" applyNumberFormat="0" applyFill="0" applyBorder="0" applyAlignment="0" applyProtection="0"/>
    <xf numFmtId="0" fontId="168" fillId="0" borderId="142" applyNumberFormat="0" applyFill="0" applyBorder="0" applyAlignment="0" applyProtection="0"/>
    <xf numFmtId="0" fontId="5" fillId="0" borderId="132" applyNumberFormat="0" applyFont="0" applyFill="0" applyAlignment="0" applyProtection="0"/>
    <xf numFmtId="0" fontId="26" fillId="0" borderId="142" applyNumberFormat="0" applyFill="0" applyAlignment="0" applyProtection="0"/>
    <xf numFmtId="0" fontId="143" fillId="0" borderId="142" applyNumberFormat="0" applyFill="0" applyBorder="0" applyAlignment="0" applyProtection="0"/>
    <xf numFmtId="0" fontId="180" fillId="0" borderId="142" applyNumberFormat="0" applyFill="0" applyBorder="0" applyAlignment="0" applyProtection="0"/>
    <xf numFmtId="0" fontId="5" fillId="17" borderId="136" applyNumberFormat="0" applyFont="0" applyAlignment="0" applyProtection="0"/>
    <xf numFmtId="0" fontId="74" fillId="0" borderId="132" applyNumberFormat="0" applyFill="0" applyProtection="0">
      <alignment horizontal="right"/>
    </xf>
    <xf numFmtId="0" fontId="99" fillId="0" borderId="138" applyNumberFormat="0" applyFill="0" applyAlignment="0" applyProtection="0"/>
    <xf numFmtId="0" fontId="168" fillId="0" borderId="142" applyNumberFormat="0" applyFill="0" applyBorder="0" applyAlignment="0" applyProtection="0"/>
    <xf numFmtId="205" fontId="26" fillId="22" borderId="132" applyNumberFormat="0" applyFont="0" applyBorder="0" applyAlignment="0" applyProtection="0">
      <alignment horizontal="right"/>
    </xf>
    <xf numFmtId="0" fontId="133" fillId="0" borderId="142" applyNumberFormat="0" applyFill="0" applyBorder="0" applyAlignment="0" applyProtection="0"/>
    <xf numFmtId="0" fontId="5" fillId="0" borderId="132" applyNumberFormat="0" applyFont="0" applyFill="0" applyAlignment="0" applyProtection="0"/>
    <xf numFmtId="0" fontId="5" fillId="0" borderId="132" applyNumberFormat="0" applyFont="0" applyFill="0" applyAlignment="0" applyProtection="0"/>
    <xf numFmtId="0" fontId="5" fillId="0" borderId="132" applyNumberFormat="0" applyFont="0" applyFill="0" applyAlignment="0" applyProtection="0"/>
    <xf numFmtId="0" fontId="26" fillId="0" borderId="142" applyNumberFormat="0" applyFill="0" applyAlignment="0" applyProtection="0"/>
    <xf numFmtId="167" fontId="51" fillId="0" borderId="134">
      <protection locked="0"/>
    </xf>
    <xf numFmtId="167" fontId="51" fillId="0" borderId="134">
      <protection locked="0"/>
    </xf>
    <xf numFmtId="0" fontId="179" fillId="0" borderId="142" applyNumberFormat="0" applyFill="0" applyBorder="0" applyAlignment="0" applyProtection="0"/>
  </cellStyleXfs>
  <cellXfs count="918">
    <xf numFmtId="0" fontId="0" fillId="0" borderId="0" xfId="0"/>
    <xf numFmtId="0" fontId="27" fillId="9" borderId="0" xfId="1" applyFont="1" applyFill="1"/>
    <xf numFmtId="180" fontId="27" fillId="9" borderId="0" xfId="1" applyNumberFormat="1" applyFont="1" applyFill="1"/>
    <xf numFmtId="9" fontId="27" fillId="9" borderId="0" xfId="1" applyNumberFormat="1" applyFont="1" applyFill="1"/>
    <xf numFmtId="3" fontId="27" fillId="9" borderId="0" xfId="1" applyNumberFormat="1" applyFont="1" applyFill="1"/>
    <xf numFmtId="0" fontId="27" fillId="9" borderId="6" xfId="1" applyFont="1" applyFill="1" applyBorder="1"/>
    <xf numFmtId="172" fontId="27" fillId="9" borderId="0" xfId="1" applyNumberFormat="1" applyFont="1" applyFill="1"/>
    <xf numFmtId="0" fontId="27" fillId="9" borderId="0" xfId="1" applyFont="1" applyFill="1" applyAlignment="1">
      <alignment horizontal="left" indent="2"/>
    </xf>
    <xf numFmtId="0" fontId="27" fillId="9" borderId="0" xfId="1" applyFont="1" applyFill="1" applyAlignment="1">
      <alignment horizontal="left" indent="1"/>
    </xf>
    <xf numFmtId="0" fontId="0" fillId="9" borderId="0" xfId="0" applyFill="1"/>
    <xf numFmtId="0" fontId="102" fillId="9" borderId="6" xfId="1" applyFont="1" applyFill="1" applyBorder="1"/>
    <xf numFmtId="0" fontId="27" fillId="9" borderId="8" xfId="1" applyFont="1" applyFill="1" applyBorder="1"/>
    <xf numFmtId="0" fontId="102" fillId="9" borderId="0" xfId="1" applyFont="1" applyFill="1"/>
    <xf numFmtId="0" fontId="104" fillId="9" borderId="0" xfId="0" applyFont="1" applyFill="1"/>
    <xf numFmtId="0" fontId="104" fillId="9" borderId="6" xfId="0" applyFont="1" applyFill="1" applyBorder="1"/>
    <xf numFmtId="0" fontId="104" fillId="9" borderId="0" xfId="0" applyFont="1" applyFill="1" applyAlignment="1">
      <alignment horizontal="left" indent="1"/>
    </xf>
    <xf numFmtId="9" fontId="104" fillId="9" borderId="0" xfId="0" applyNumberFormat="1" applyFont="1" applyFill="1"/>
    <xf numFmtId="184" fontId="104" fillId="9" borderId="0" xfId="0" applyNumberFormat="1" applyFont="1" applyFill="1"/>
    <xf numFmtId="4" fontId="104" fillId="9" borderId="0" xfId="0" applyNumberFormat="1" applyFont="1" applyFill="1"/>
    <xf numFmtId="3" fontId="104" fillId="9" borderId="0" xfId="0" applyNumberFormat="1" applyFont="1" applyFill="1"/>
    <xf numFmtId="172" fontId="104" fillId="9" borderId="0" xfId="0" applyNumberFormat="1" applyFont="1" applyFill="1"/>
    <xf numFmtId="0" fontId="104" fillId="9" borderId="8" xfId="0" applyFont="1" applyFill="1" applyBorder="1"/>
    <xf numFmtId="1" fontId="104" fillId="9" borderId="0" xfId="0" applyNumberFormat="1" applyFont="1" applyFill="1"/>
    <xf numFmtId="1" fontId="104" fillId="9" borderId="8" xfId="0" applyNumberFormat="1" applyFont="1" applyFill="1" applyBorder="1"/>
    <xf numFmtId="3" fontId="104" fillId="9" borderId="8" xfId="0" applyNumberFormat="1" applyFont="1" applyFill="1" applyBorder="1"/>
    <xf numFmtId="0" fontId="104" fillId="0" borderId="0" xfId="0" applyFont="1"/>
    <xf numFmtId="3" fontId="104" fillId="0" borderId="0" xfId="0" applyNumberFormat="1" applyFont="1"/>
    <xf numFmtId="9" fontId="104" fillId="9" borderId="0" xfId="427" applyFont="1" applyFill="1"/>
    <xf numFmtId="172" fontId="104" fillId="9" borderId="0" xfId="427" applyNumberFormat="1" applyFont="1" applyFill="1"/>
    <xf numFmtId="171" fontId="104" fillId="9" borderId="0" xfId="0" applyNumberFormat="1" applyFont="1" applyFill="1"/>
    <xf numFmtId="3" fontId="104" fillId="9" borderId="0" xfId="0" applyNumberFormat="1" applyFont="1" applyFill="1" applyAlignment="1">
      <alignment horizontal="right"/>
    </xf>
    <xf numFmtId="0" fontId="104" fillId="9" borderId="31" xfId="0" applyFont="1" applyFill="1" applyBorder="1"/>
    <xf numFmtId="0" fontId="104" fillId="16" borderId="0" xfId="0" applyFont="1" applyFill="1"/>
    <xf numFmtId="3" fontId="104" fillId="9" borderId="31" xfId="0" applyNumberFormat="1" applyFont="1" applyFill="1" applyBorder="1"/>
    <xf numFmtId="10" fontId="104" fillId="9" borderId="0" xfId="0" applyNumberFormat="1" applyFont="1" applyFill="1"/>
    <xf numFmtId="2" fontId="104" fillId="9" borderId="0" xfId="0" applyNumberFormat="1" applyFont="1" applyFill="1"/>
    <xf numFmtId="0" fontId="108" fillId="9" borderId="0" xfId="0" applyFont="1" applyFill="1"/>
    <xf numFmtId="0" fontId="104" fillId="9" borderId="34" xfId="0" applyFont="1" applyFill="1" applyBorder="1"/>
    <xf numFmtId="3" fontId="104" fillId="9" borderId="34" xfId="0" applyNumberFormat="1" applyFont="1" applyFill="1" applyBorder="1"/>
    <xf numFmtId="0" fontId="109" fillId="9" borderId="0" xfId="0" applyFont="1" applyFill="1"/>
    <xf numFmtId="0" fontId="27" fillId="9" borderId="34" xfId="1" applyFont="1" applyFill="1" applyBorder="1"/>
    <xf numFmtId="0" fontId="27" fillId="9" borderId="0" xfId="1" applyFont="1" applyFill="1" applyAlignment="1">
      <alignment horizontal="left"/>
    </xf>
    <xf numFmtId="0" fontId="104" fillId="9" borderId="10" xfId="0" applyFont="1" applyFill="1" applyBorder="1" applyAlignment="1">
      <alignment horizontal="center" vertical="center"/>
    </xf>
    <xf numFmtId="0" fontId="104" fillId="9" borderId="0" xfId="0" applyFont="1" applyFill="1" applyAlignment="1">
      <alignment horizontal="center" vertical="center"/>
    </xf>
    <xf numFmtId="0" fontId="104" fillId="9" borderId="11" xfId="0" applyFont="1" applyFill="1" applyBorder="1" applyAlignment="1">
      <alignment horizontal="center" vertical="center"/>
    </xf>
    <xf numFmtId="0" fontId="27" fillId="9" borderId="10" xfId="1" applyFont="1" applyFill="1" applyBorder="1" applyAlignment="1">
      <alignment horizontal="center" vertical="center"/>
    </xf>
    <xf numFmtId="0" fontId="27" fillId="9" borderId="0" xfId="1" applyFont="1" applyFill="1" applyAlignment="1">
      <alignment horizontal="center" vertical="center"/>
    </xf>
    <xf numFmtId="0" fontId="27" fillId="9" borderId="11" xfId="1" applyFont="1" applyFill="1" applyBorder="1" applyAlignment="1">
      <alignment horizontal="center" vertical="center"/>
    </xf>
    <xf numFmtId="1" fontId="27" fillId="9" borderId="0" xfId="1" applyNumberFormat="1" applyFont="1" applyFill="1" applyAlignment="1">
      <alignment horizontal="center" vertical="center"/>
    </xf>
    <xf numFmtId="3" fontId="27" fillId="9" borderId="11" xfId="1" applyNumberFormat="1" applyFont="1" applyFill="1" applyBorder="1" applyAlignment="1">
      <alignment horizontal="center" vertical="center"/>
    </xf>
    <xf numFmtId="0" fontId="27" fillId="9" borderId="34" xfId="1" applyFont="1" applyFill="1" applyBorder="1" applyAlignment="1">
      <alignment horizontal="center" vertical="center"/>
    </xf>
    <xf numFmtId="3" fontId="27" fillId="9" borderId="34" xfId="1" applyNumberFormat="1" applyFont="1" applyFill="1" applyBorder="1" applyAlignment="1">
      <alignment horizontal="center" vertical="center"/>
    </xf>
    <xf numFmtId="3" fontId="27" fillId="9" borderId="32" xfId="1" applyNumberFormat="1" applyFont="1" applyFill="1" applyBorder="1" applyAlignment="1">
      <alignment horizontal="center" vertical="center"/>
    </xf>
    <xf numFmtId="1" fontId="27" fillId="9" borderId="34" xfId="1" applyNumberFormat="1" applyFont="1" applyFill="1" applyBorder="1" applyAlignment="1">
      <alignment horizontal="center" vertical="center"/>
    </xf>
    <xf numFmtId="10" fontId="27" fillId="9" borderId="0" xfId="1" applyNumberFormat="1" applyFont="1" applyFill="1" applyAlignment="1">
      <alignment horizontal="center" vertical="center"/>
    </xf>
    <xf numFmtId="172" fontId="27" fillId="9" borderId="0" xfId="1" applyNumberFormat="1" applyFont="1" applyFill="1" applyAlignment="1">
      <alignment horizontal="center" vertical="center"/>
    </xf>
    <xf numFmtId="172" fontId="27" fillId="9" borderId="10" xfId="1" applyNumberFormat="1" applyFont="1" applyFill="1" applyBorder="1" applyAlignment="1">
      <alignment horizontal="center" vertical="center"/>
    </xf>
    <xf numFmtId="172" fontId="27" fillId="9" borderId="11" xfId="1" applyNumberFormat="1" applyFont="1" applyFill="1" applyBorder="1" applyAlignment="1">
      <alignment horizontal="center" vertical="center"/>
    </xf>
    <xf numFmtId="172" fontId="27" fillId="9" borderId="30" xfId="1" applyNumberFormat="1" applyFont="1" applyFill="1" applyBorder="1" applyAlignment="1">
      <alignment horizontal="center" vertical="center"/>
    </xf>
    <xf numFmtId="172" fontId="27" fillId="9" borderId="34" xfId="1" applyNumberFormat="1" applyFont="1" applyFill="1" applyBorder="1" applyAlignment="1">
      <alignment horizontal="center" vertical="center"/>
    </xf>
    <xf numFmtId="172" fontId="27" fillId="9" borderId="32" xfId="1" applyNumberFormat="1" applyFont="1" applyFill="1" applyBorder="1" applyAlignment="1">
      <alignment horizontal="center" vertical="center"/>
    </xf>
    <xf numFmtId="0" fontId="27" fillId="9" borderId="30" xfId="1" applyFont="1" applyFill="1" applyBorder="1" applyAlignment="1">
      <alignment horizontal="center" vertical="center"/>
    </xf>
    <xf numFmtId="3" fontId="27" fillId="9" borderId="0" xfId="1" applyNumberFormat="1" applyFont="1" applyFill="1" applyAlignment="1">
      <alignment horizontal="center" vertical="center"/>
    </xf>
    <xf numFmtId="3" fontId="104" fillId="9" borderId="11" xfId="0" applyNumberFormat="1" applyFont="1" applyFill="1" applyBorder="1" applyAlignment="1">
      <alignment horizontal="center" vertical="center"/>
    </xf>
    <xf numFmtId="3" fontId="104" fillId="9" borderId="0" xfId="0" applyNumberFormat="1" applyFont="1" applyFill="1" applyAlignment="1">
      <alignment horizontal="center" vertical="center"/>
    </xf>
    <xf numFmtId="2" fontId="104" fillId="9" borderId="0" xfId="0" applyNumberFormat="1" applyFont="1" applyFill="1" applyAlignment="1">
      <alignment horizontal="center" vertical="center"/>
    </xf>
    <xf numFmtId="3" fontId="104" fillId="9" borderId="32" xfId="0" applyNumberFormat="1" applyFont="1" applyFill="1" applyBorder="1" applyAlignment="1">
      <alignment horizontal="center" vertical="center"/>
    </xf>
    <xf numFmtId="3" fontId="104" fillId="9" borderId="34" xfId="0" applyNumberFormat="1" applyFont="1" applyFill="1" applyBorder="1" applyAlignment="1">
      <alignment horizontal="center" vertical="center"/>
    </xf>
    <xf numFmtId="0" fontId="104" fillId="9" borderId="34" xfId="0" applyFont="1" applyFill="1" applyBorder="1" applyAlignment="1">
      <alignment horizontal="center" vertical="center"/>
    </xf>
    <xf numFmtId="0" fontId="27" fillId="0" borderId="0" xfId="1" applyFont="1"/>
    <xf numFmtId="9" fontId="27" fillId="0" borderId="0" xfId="1" applyNumberFormat="1" applyFont="1"/>
    <xf numFmtId="0" fontId="111" fillId="9" borderId="0" xfId="1" applyFont="1" applyFill="1"/>
    <xf numFmtId="0" fontId="110" fillId="9" borderId="0" xfId="1" applyFont="1" applyFill="1"/>
    <xf numFmtId="9" fontId="27" fillId="9" borderId="0" xfId="1" applyNumberFormat="1" applyFont="1" applyFill="1" applyAlignment="1">
      <alignment horizontal="right"/>
    </xf>
    <xf numFmtId="0" fontId="27" fillId="9" borderId="32" xfId="1" applyFont="1" applyFill="1" applyBorder="1"/>
    <xf numFmtId="0" fontId="112" fillId="9" borderId="0" xfId="1" applyFont="1" applyFill="1"/>
    <xf numFmtId="0" fontId="104" fillId="9" borderId="33" xfId="0" applyFont="1" applyFill="1" applyBorder="1" applyAlignment="1">
      <alignment horizontal="center" vertical="center"/>
    </xf>
    <xf numFmtId="9" fontId="104" fillId="9" borderId="0" xfId="0" applyNumberFormat="1" applyFont="1" applyFill="1" applyAlignment="1">
      <alignment horizontal="center" vertical="center"/>
    </xf>
    <xf numFmtId="0" fontId="104" fillId="9" borderId="0" xfId="0" applyFont="1" applyFill="1" applyAlignment="1">
      <alignment horizontal="right"/>
    </xf>
    <xf numFmtId="9" fontId="104" fillId="9" borderId="0" xfId="0" applyNumberFormat="1" applyFont="1" applyFill="1" applyAlignment="1">
      <alignment horizontal="right"/>
    </xf>
    <xf numFmtId="172" fontId="104" fillId="9" borderId="0" xfId="0" applyNumberFormat="1" applyFont="1" applyFill="1" applyAlignment="1">
      <alignment horizontal="right"/>
    </xf>
    <xf numFmtId="4" fontId="104" fillId="9" borderId="0" xfId="0" applyNumberFormat="1" applyFont="1" applyFill="1" applyAlignment="1">
      <alignment horizontal="right"/>
    </xf>
    <xf numFmtId="3" fontId="104" fillId="9" borderId="31" xfId="0" applyNumberFormat="1" applyFont="1" applyFill="1" applyBorder="1" applyAlignment="1">
      <alignment horizontal="right"/>
    </xf>
    <xf numFmtId="3" fontId="104" fillId="9" borderId="34" xfId="0" applyNumberFormat="1" applyFont="1" applyFill="1" applyBorder="1" applyAlignment="1">
      <alignment horizontal="right"/>
    </xf>
    <xf numFmtId="171" fontId="104" fillId="9" borderId="0" xfId="0" applyNumberFormat="1" applyFont="1" applyFill="1" applyAlignment="1">
      <alignment horizontal="right"/>
    </xf>
    <xf numFmtId="180" fontId="104" fillId="9" borderId="0" xfId="0" applyNumberFormat="1" applyFont="1" applyFill="1" applyAlignment="1">
      <alignment horizontal="right"/>
    </xf>
    <xf numFmtId="10" fontId="104" fillId="9" borderId="0" xfId="0" applyNumberFormat="1" applyFont="1" applyFill="1" applyAlignment="1">
      <alignment horizontal="right"/>
    </xf>
    <xf numFmtId="9" fontId="104" fillId="0" borderId="0" xfId="0" applyNumberFormat="1" applyFont="1"/>
    <xf numFmtId="0" fontId="113" fillId="9" borderId="0" xfId="0" applyFont="1" applyFill="1" applyAlignment="1">
      <alignment horizontal="right"/>
    </xf>
    <xf numFmtId="3" fontId="113" fillId="9" borderId="0" xfId="0" applyNumberFormat="1" applyFont="1" applyFill="1"/>
    <xf numFmtId="0" fontId="113" fillId="9" borderId="0" xfId="0" applyFont="1" applyFill="1"/>
    <xf numFmtId="0" fontId="104" fillId="9" borderId="30" xfId="0" applyFont="1" applyFill="1" applyBorder="1" applyAlignment="1">
      <alignment horizontal="center" vertical="center"/>
    </xf>
    <xf numFmtId="9" fontId="104" fillId="9" borderId="11" xfId="0" applyNumberFormat="1" applyFont="1" applyFill="1" applyBorder="1" applyAlignment="1">
      <alignment horizontal="center" vertical="center"/>
    </xf>
    <xf numFmtId="9" fontId="104" fillId="9" borderId="34" xfId="0" applyNumberFormat="1" applyFont="1" applyFill="1" applyBorder="1" applyAlignment="1">
      <alignment horizontal="center" vertical="center"/>
    </xf>
    <xf numFmtId="9" fontId="104" fillId="9" borderId="32" xfId="0" applyNumberFormat="1" applyFont="1" applyFill="1" applyBorder="1" applyAlignment="1">
      <alignment horizontal="center" vertical="center"/>
    </xf>
    <xf numFmtId="172" fontId="104" fillId="9" borderId="0" xfId="0" applyNumberFormat="1" applyFont="1" applyFill="1" applyAlignment="1">
      <alignment horizontal="center" vertical="center"/>
    </xf>
    <xf numFmtId="172" fontId="104" fillId="9" borderId="11" xfId="0" applyNumberFormat="1" applyFont="1" applyFill="1" applyBorder="1" applyAlignment="1">
      <alignment horizontal="center" vertical="center"/>
    </xf>
    <xf numFmtId="172" fontId="104" fillId="9" borderId="34" xfId="0" applyNumberFormat="1" applyFont="1" applyFill="1" applyBorder="1" applyAlignment="1">
      <alignment horizontal="center" vertical="center"/>
    </xf>
    <xf numFmtId="172" fontId="104" fillId="9" borderId="32" xfId="0" applyNumberFormat="1" applyFont="1" applyFill="1" applyBorder="1" applyAlignment="1">
      <alignment horizontal="center" vertical="center"/>
    </xf>
    <xf numFmtId="0" fontId="108" fillId="0" borderId="0" xfId="0" applyFont="1"/>
    <xf numFmtId="0" fontId="104" fillId="0" borderId="0" xfId="0" applyFont="1" applyAlignment="1">
      <alignment horizontal="center"/>
    </xf>
    <xf numFmtId="0" fontId="104" fillId="9" borderId="0" xfId="0" applyFont="1" applyFill="1" applyAlignment="1">
      <alignment horizontal="left" indent="2"/>
    </xf>
    <xf numFmtId="10" fontId="104" fillId="9" borderId="0" xfId="0" applyNumberFormat="1" applyFont="1" applyFill="1" applyAlignment="1">
      <alignment horizontal="center" vertical="center"/>
    </xf>
    <xf numFmtId="3" fontId="104" fillId="0" borderId="0" xfId="0" applyNumberFormat="1" applyFont="1" applyAlignment="1">
      <alignment horizontal="center" vertical="center"/>
    </xf>
    <xf numFmtId="3" fontId="104" fillId="0" borderId="34" xfId="0" applyNumberFormat="1" applyFont="1" applyBorder="1" applyAlignment="1">
      <alignment horizontal="center" vertical="center"/>
    </xf>
    <xf numFmtId="4" fontId="104" fillId="9" borderId="0" xfId="0" applyNumberFormat="1" applyFont="1" applyFill="1" applyAlignment="1">
      <alignment horizontal="center" vertical="center"/>
    </xf>
    <xf numFmtId="3" fontId="102" fillId="9" borderId="0" xfId="1" applyNumberFormat="1" applyFont="1" applyFill="1"/>
    <xf numFmtId="0" fontId="3" fillId="9" borderId="0" xfId="0" applyFont="1" applyFill="1"/>
    <xf numFmtId="3" fontId="27" fillId="0" borderId="11" xfId="1" applyNumberFormat="1" applyFont="1" applyBorder="1" applyAlignment="1">
      <alignment horizontal="center" vertical="center"/>
    </xf>
    <xf numFmtId="3" fontId="104" fillId="0" borderId="11" xfId="0" applyNumberFormat="1" applyFont="1" applyBorder="1" applyAlignment="1">
      <alignment horizontal="center" vertical="center"/>
    </xf>
    <xf numFmtId="3" fontId="104" fillId="9" borderId="6" xfId="0" applyNumberFormat="1" applyFont="1" applyFill="1" applyBorder="1" applyAlignment="1">
      <alignment horizontal="center" vertical="center"/>
    </xf>
    <xf numFmtId="0" fontId="2" fillId="9" borderId="0" xfId="0" applyFont="1" applyFill="1"/>
    <xf numFmtId="0" fontId="101" fillId="0" borderId="0" xfId="1" applyFont="1" applyAlignment="1">
      <alignment horizontal="center"/>
    </xf>
    <xf numFmtId="0" fontId="1" fillId="9" borderId="0" xfId="0" applyFont="1" applyFill="1"/>
    <xf numFmtId="0" fontId="1" fillId="0" borderId="0" xfId="0" applyFont="1"/>
    <xf numFmtId="0" fontId="1" fillId="0" borderId="0" xfId="0" applyFont="1" applyAlignment="1">
      <alignment horizontal="center"/>
    </xf>
    <xf numFmtId="0" fontId="1" fillId="9" borderId="0" xfId="0" applyFont="1" applyFill="1" applyAlignment="1">
      <alignment horizontal="right"/>
    </xf>
    <xf numFmtId="3" fontId="27" fillId="9" borderId="37" xfId="1" applyNumberFormat="1" applyFont="1" applyFill="1" applyBorder="1" applyAlignment="1">
      <alignment horizontal="center" vertical="center"/>
    </xf>
    <xf numFmtId="172" fontId="27" fillId="9" borderId="37" xfId="1" applyNumberFormat="1" applyFont="1" applyFill="1" applyBorder="1" applyAlignment="1">
      <alignment horizontal="center" vertical="center"/>
    </xf>
    <xf numFmtId="3" fontId="104" fillId="9" borderId="37" xfId="0" applyNumberFormat="1" applyFont="1" applyFill="1" applyBorder="1" applyAlignment="1">
      <alignment horizontal="center" vertical="center"/>
    </xf>
    <xf numFmtId="9" fontId="104" fillId="9" borderId="37" xfId="0" applyNumberFormat="1" applyFont="1" applyFill="1" applyBorder="1" applyAlignment="1">
      <alignment horizontal="center" vertical="center"/>
    </xf>
    <xf numFmtId="3" fontId="27" fillId="0" borderId="0" xfId="1" applyNumberFormat="1" applyFont="1" applyAlignment="1">
      <alignment horizontal="center" vertical="center"/>
    </xf>
    <xf numFmtId="0" fontId="1" fillId="9" borderId="0" xfId="0" applyFont="1" applyFill="1" applyAlignment="1">
      <alignment horizontal="center" vertical="center"/>
    </xf>
    <xf numFmtId="3" fontId="1" fillId="9" borderId="0" xfId="0" applyNumberFormat="1" applyFont="1" applyFill="1" applyAlignment="1">
      <alignment horizontal="center" vertical="center"/>
    </xf>
    <xf numFmtId="3" fontId="1" fillId="9" borderId="11" xfId="0" applyNumberFormat="1" applyFont="1" applyFill="1" applyBorder="1" applyAlignment="1">
      <alignment horizontal="center" vertical="center"/>
    </xf>
    <xf numFmtId="3" fontId="1" fillId="0" borderId="0" xfId="0" applyNumberFormat="1" applyFont="1" applyAlignment="1">
      <alignment horizontal="center" vertical="center"/>
    </xf>
    <xf numFmtId="3" fontId="1" fillId="9" borderId="6" xfId="0" applyNumberFormat="1" applyFont="1" applyFill="1" applyBorder="1" applyAlignment="1">
      <alignment horizontal="center" vertical="center"/>
    </xf>
    <xf numFmtId="3" fontId="1" fillId="9" borderId="34" xfId="0" applyNumberFormat="1" applyFont="1" applyFill="1" applyBorder="1" applyAlignment="1">
      <alignment horizontal="center" vertical="center"/>
    </xf>
    <xf numFmtId="9" fontId="1" fillId="9" borderId="0" xfId="0" applyNumberFormat="1" applyFont="1" applyFill="1" applyAlignment="1">
      <alignment horizontal="center" vertical="center"/>
    </xf>
    <xf numFmtId="9" fontId="1" fillId="9" borderId="34" xfId="0" applyNumberFormat="1" applyFont="1" applyFill="1" applyBorder="1" applyAlignment="1">
      <alignment horizontal="center" vertical="center"/>
    </xf>
    <xf numFmtId="172" fontId="1" fillId="9" borderId="0" xfId="0" applyNumberFormat="1" applyFont="1" applyFill="1" applyAlignment="1">
      <alignment horizontal="center" vertical="center"/>
    </xf>
    <xf numFmtId="172" fontId="1" fillId="9" borderId="34" xfId="0" applyNumberFormat="1" applyFont="1" applyFill="1" applyBorder="1" applyAlignment="1">
      <alignment horizontal="center" vertical="center"/>
    </xf>
    <xf numFmtId="10" fontId="1" fillId="9" borderId="0" xfId="0" applyNumberFormat="1" applyFont="1" applyFill="1" applyAlignment="1">
      <alignment horizontal="center" vertical="center"/>
    </xf>
    <xf numFmtId="4" fontId="1" fillId="9" borderId="0" xfId="0" applyNumberFormat="1" applyFont="1" applyFill="1" applyAlignment="1">
      <alignment horizontal="center" vertical="center"/>
    </xf>
    <xf numFmtId="0" fontId="1" fillId="9" borderId="34" xfId="0" applyFont="1" applyFill="1" applyBorder="1" applyAlignment="1">
      <alignment horizontal="center" vertical="center"/>
    </xf>
    <xf numFmtId="0" fontId="1" fillId="9" borderId="33" xfId="0" applyFont="1" applyFill="1" applyBorder="1" applyAlignment="1">
      <alignment horizontal="center" vertical="center"/>
    </xf>
    <xf numFmtId="0" fontId="1" fillId="9" borderId="0" xfId="0" applyFont="1" applyFill="1" applyAlignment="1">
      <alignment horizontal="left" indent="1"/>
    </xf>
    <xf numFmtId="3" fontId="1" fillId="9" borderId="0" xfId="0" applyNumberFormat="1" applyFont="1" applyFill="1" applyAlignment="1">
      <alignment horizontal="right"/>
    </xf>
    <xf numFmtId="3" fontId="1" fillId="0" borderId="0" xfId="0" applyNumberFormat="1" applyFont="1"/>
    <xf numFmtId="1" fontId="1" fillId="0" borderId="0" xfId="0" applyNumberFormat="1" applyFont="1"/>
    <xf numFmtId="9" fontId="1" fillId="0" borderId="0" xfId="427" applyFont="1"/>
    <xf numFmtId="9" fontId="1" fillId="0" borderId="0" xfId="0" applyNumberFormat="1" applyFont="1"/>
    <xf numFmtId="3" fontId="27" fillId="0" borderId="0" xfId="0" applyNumberFormat="1" applyFont="1"/>
    <xf numFmtId="0" fontId="1" fillId="9" borderId="8" xfId="0" applyFont="1" applyFill="1" applyBorder="1"/>
    <xf numFmtId="3" fontId="1" fillId="0" borderId="0" xfId="0" applyNumberFormat="1" applyFont="1" applyAlignment="1">
      <alignment horizontal="right"/>
    </xf>
    <xf numFmtId="1" fontId="104" fillId="9" borderId="34" xfId="0" applyNumberFormat="1" applyFont="1" applyFill="1" applyBorder="1" applyAlignment="1">
      <alignment horizontal="center" vertical="center"/>
    </xf>
    <xf numFmtId="0" fontId="1" fillId="9" borderId="34" xfId="0" applyFont="1" applyFill="1" applyBorder="1"/>
    <xf numFmtId="4" fontId="1" fillId="9" borderId="0" xfId="0" applyNumberFormat="1" applyFont="1" applyFill="1"/>
    <xf numFmtId="0" fontId="1" fillId="9" borderId="31" xfId="0" applyFont="1" applyFill="1" applyBorder="1"/>
    <xf numFmtId="3" fontId="115" fillId="9" borderId="0" xfId="0" applyNumberFormat="1" applyFont="1" applyFill="1" applyAlignment="1">
      <alignment horizontal="center" vertical="center"/>
    </xf>
    <xf numFmtId="3" fontId="115" fillId="0" borderId="0" xfId="0" applyNumberFormat="1" applyFont="1" applyAlignment="1">
      <alignment horizontal="center" vertical="center"/>
    </xf>
    <xf numFmtId="3" fontId="115" fillId="9" borderId="6" xfId="0" applyNumberFormat="1" applyFont="1" applyFill="1" applyBorder="1" applyAlignment="1">
      <alignment horizontal="center" vertical="center"/>
    </xf>
    <xf numFmtId="3" fontId="115" fillId="9" borderId="11" xfId="0" applyNumberFormat="1" applyFont="1" applyFill="1" applyBorder="1" applyAlignment="1">
      <alignment horizontal="center" vertical="center"/>
    </xf>
    <xf numFmtId="3" fontId="115" fillId="9" borderId="34" xfId="0" applyNumberFormat="1" applyFont="1" applyFill="1" applyBorder="1" applyAlignment="1">
      <alignment horizontal="center" vertical="center"/>
    </xf>
    <xf numFmtId="3" fontId="115" fillId="0" borderId="34" xfId="0" applyNumberFormat="1" applyFont="1" applyBorder="1" applyAlignment="1">
      <alignment horizontal="center" vertical="center"/>
    </xf>
    <xf numFmtId="0" fontId="115" fillId="9" borderId="0" xfId="1" applyFont="1" applyFill="1" applyAlignment="1">
      <alignment horizontal="center" vertical="center"/>
    </xf>
    <xf numFmtId="1" fontId="115" fillId="9" borderId="0" xfId="1" applyNumberFormat="1" applyFont="1" applyFill="1" applyAlignment="1">
      <alignment horizontal="center" vertical="center"/>
    </xf>
    <xf numFmtId="2" fontId="115" fillId="9" borderId="10" xfId="0" applyNumberFormat="1" applyFont="1" applyFill="1" applyBorder="1" applyAlignment="1">
      <alignment horizontal="center" vertical="center"/>
    </xf>
    <xf numFmtId="2" fontId="115" fillId="9" borderId="0" xfId="0" applyNumberFormat="1" applyFont="1" applyFill="1" applyAlignment="1">
      <alignment horizontal="center" vertical="center"/>
    </xf>
    <xf numFmtId="3" fontId="115" fillId="9" borderId="33" xfId="0" applyNumberFormat="1" applyFont="1" applyFill="1" applyBorder="1" applyAlignment="1">
      <alignment horizontal="center" vertical="center"/>
    </xf>
    <xf numFmtId="0" fontId="115" fillId="9" borderId="34" xfId="1" applyFont="1" applyFill="1" applyBorder="1" applyAlignment="1">
      <alignment horizontal="center" vertical="center"/>
    </xf>
    <xf numFmtId="1" fontId="115" fillId="9" borderId="34" xfId="1" applyNumberFormat="1" applyFont="1" applyFill="1" applyBorder="1" applyAlignment="1">
      <alignment horizontal="center" vertical="center"/>
    </xf>
    <xf numFmtId="3" fontId="115" fillId="9" borderId="34" xfId="1" applyNumberFormat="1" applyFont="1" applyFill="1" applyBorder="1" applyAlignment="1">
      <alignment horizontal="center" vertical="center"/>
    </xf>
    <xf numFmtId="0" fontId="115" fillId="9" borderId="34" xfId="0" applyFont="1" applyFill="1" applyBorder="1" applyAlignment="1">
      <alignment horizontal="center" vertical="center"/>
    </xf>
    <xf numFmtId="1" fontId="115" fillId="9" borderId="34" xfId="0" applyNumberFormat="1" applyFont="1" applyFill="1" applyBorder="1" applyAlignment="1">
      <alignment horizontal="center" vertical="center"/>
    </xf>
    <xf numFmtId="3" fontId="115" fillId="9" borderId="0" xfId="0" applyNumberFormat="1" applyFont="1" applyFill="1"/>
    <xf numFmtId="171" fontId="115" fillId="9" borderId="0" xfId="0" applyNumberFormat="1" applyFont="1" applyFill="1"/>
    <xf numFmtId="3" fontId="115" fillId="0" borderId="0" xfId="0" applyNumberFormat="1" applyFont="1"/>
    <xf numFmtId="0" fontId="115" fillId="9" borderId="0" xfId="0" applyFont="1" applyFill="1"/>
    <xf numFmtId="4" fontId="115" fillId="9" borderId="0" xfId="0" applyNumberFormat="1" applyFont="1" applyFill="1"/>
    <xf numFmtId="4" fontId="115" fillId="0" borderId="0" xfId="0" applyNumberFormat="1" applyFont="1"/>
    <xf numFmtId="3" fontId="115" fillId="9" borderId="0" xfId="0" applyNumberFormat="1" applyFont="1" applyFill="1" applyAlignment="1">
      <alignment horizontal="right"/>
    </xf>
    <xf numFmtId="0" fontId="115" fillId="9" borderId="8" xfId="0" applyFont="1" applyFill="1" applyBorder="1"/>
    <xf numFmtId="9" fontId="115" fillId="9" borderId="8" xfId="0" applyNumberFormat="1" applyFont="1" applyFill="1" applyBorder="1"/>
    <xf numFmtId="0" fontId="115" fillId="9" borderId="0" xfId="0" applyFont="1" applyFill="1" applyAlignment="1">
      <alignment horizontal="right"/>
    </xf>
    <xf numFmtId="172" fontId="115" fillId="9" borderId="0" xfId="0" applyNumberFormat="1" applyFont="1" applyFill="1" applyAlignment="1">
      <alignment horizontal="right"/>
    </xf>
    <xf numFmtId="1" fontId="115" fillId="9" borderId="0" xfId="0" applyNumberFormat="1" applyFont="1" applyFill="1" applyAlignment="1">
      <alignment horizontal="right"/>
    </xf>
    <xf numFmtId="0" fontId="109" fillId="9" borderId="0" xfId="0" applyFont="1" applyFill="1" applyAlignment="1">
      <alignment horizontal="left" indent="1"/>
    </xf>
    <xf numFmtId="0" fontId="109" fillId="9" borderId="10" xfId="0" applyFont="1" applyFill="1" applyBorder="1" applyAlignment="1">
      <alignment horizontal="left" vertical="center" indent="1"/>
    </xf>
    <xf numFmtId="0" fontId="109" fillId="9" borderId="0" xfId="0" applyFont="1" applyFill="1" applyAlignment="1">
      <alignment horizontal="left" vertical="center" indent="1"/>
    </xf>
    <xf numFmtId="172" fontId="109" fillId="9" borderId="0" xfId="0" applyNumberFormat="1" applyFont="1" applyFill="1" applyAlignment="1">
      <alignment horizontal="left" vertical="center" indent="1"/>
    </xf>
    <xf numFmtId="3" fontId="108" fillId="9" borderId="34" xfId="0" applyNumberFormat="1" applyFont="1" applyFill="1" applyBorder="1" applyAlignment="1">
      <alignment horizontal="left" vertical="center"/>
    </xf>
    <xf numFmtId="3" fontId="108" fillId="9" borderId="34" xfId="0" applyNumberFormat="1" applyFont="1" applyFill="1" applyBorder="1" applyAlignment="1">
      <alignment horizontal="center" vertical="center"/>
    </xf>
    <xf numFmtId="0" fontId="108" fillId="9" borderId="34" xfId="0" applyFont="1" applyFill="1" applyBorder="1" applyAlignment="1">
      <alignment horizontal="center" vertical="center"/>
    </xf>
    <xf numFmtId="3" fontId="108" fillId="9" borderId="32" xfId="0" applyNumberFormat="1" applyFont="1" applyFill="1" applyBorder="1" applyAlignment="1">
      <alignment horizontal="center" vertical="center"/>
    </xf>
    <xf numFmtId="3" fontId="116" fillId="9" borderId="34" xfId="0" applyNumberFormat="1" applyFont="1" applyFill="1" applyBorder="1" applyAlignment="1">
      <alignment horizontal="center" vertical="center"/>
    </xf>
    <xf numFmtId="3" fontId="108" fillId="9" borderId="37" xfId="0" applyNumberFormat="1" applyFont="1" applyFill="1" applyBorder="1" applyAlignment="1">
      <alignment horizontal="center" vertical="center"/>
    </xf>
    <xf numFmtId="0" fontId="101" fillId="41" borderId="0" xfId="0" applyFont="1" applyFill="1"/>
    <xf numFmtId="0" fontId="103" fillId="41" borderId="0" xfId="0" applyFont="1" applyFill="1"/>
    <xf numFmtId="0" fontId="103" fillId="41" borderId="0" xfId="0" applyFont="1" applyFill="1" applyAlignment="1">
      <alignment horizontal="right"/>
    </xf>
    <xf numFmtId="0" fontId="103" fillId="41" borderId="0" xfId="0" applyFont="1" applyFill="1" applyAlignment="1">
      <alignment horizontal="center"/>
    </xf>
    <xf numFmtId="0" fontId="103" fillId="41" borderId="6" xfId="1" applyFont="1" applyFill="1" applyBorder="1" applyAlignment="1">
      <alignment horizontal="left"/>
    </xf>
    <xf numFmtId="0" fontId="101" fillId="41" borderId="6" xfId="1" applyFont="1" applyFill="1" applyBorder="1" applyAlignment="1">
      <alignment horizontal="center"/>
    </xf>
    <xf numFmtId="0" fontId="101" fillId="41" borderId="34" xfId="0" applyFont="1" applyFill="1" applyBorder="1"/>
    <xf numFmtId="0" fontId="101" fillId="41" borderId="6" xfId="0" applyFont="1" applyFill="1" applyBorder="1"/>
    <xf numFmtId="3" fontId="101" fillId="41" borderId="0" xfId="0" applyNumberFormat="1" applyFont="1" applyFill="1"/>
    <xf numFmtId="0" fontId="103" fillId="41" borderId="8" xfId="1" applyFont="1" applyFill="1" applyBorder="1"/>
    <xf numFmtId="0" fontId="101" fillId="41" borderId="33" xfId="0" applyFont="1" applyFill="1" applyBorder="1" applyAlignment="1">
      <alignment horizontal="center" vertical="center"/>
    </xf>
    <xf numFmtId="0" fontId="101" fillId="41" borderId="29" xfId="0" applyFont="1" applyFill="1" applyBorder="1" applyAlignment="1">
      <alignment horizontal="center" vertical="center"/>
    </xf>
    <xf numFmtId="0" fontId="101" fillId="41" borderId="9" xfId="0" applyFont="1" applyFill="1" applyBorder="1" applyAlignment="1">
      <alignment horizontal="center" vertical="center"/>
    </xf>
    <xf numFmtId="0" fontId="101" fillId="41" borderId="6" xfId="0" applyFont="1" applyFill="1" applyBorder="1" applyAlignment="1">
      <alignment horizontal="center" vertical="center"/>
    </xf>
    <xf numFmtId="220" fontId="104" fillId="9" borderId="0" xfId="428" applyNumberFormat="1" applyFont="1" applyFill="1"/>
    <xf numFmtId="0" fontId="101" fillId="41" borderId="0" xfId="1" applyFont="1" applyFill="1" applyAlignment="1">
      <alignment horizontal="center"/>
    </xf>
    <xf numFmtId="0" fontId="104" fillId="43" borderId="34" xfId="0" applyFont="1" applyFill="1" applyBorder="1"/>
    <xf numFmtId="0" fontId="104" fillId="43" borderId="30" xfId="0" applyFont="1" applyFill="1" applyBorder="1" applyAlignment="1">
      <alignment horizontal="center" vertical="center"/>
    </xf>
    <xf numFmtId="0" fontId="104" fillId="43" borderId="34" xfId="0" applyFont="1" applyFill="1" applyBorder="1" applyAlignment="1">
      <alignment horizontal="center" vertical="center"/>
    </xf>
    <xf numFmtId="1" fontId="104" fillId="43" borderId="34" xfId="0" applyNumberFormat="1" applyFont="1" applyFill="1" applyBorder="1" applyAlignment="1">
      <alignment horizontal="center" vertical="center"/>
    </xf>
    <xf numFmtId="1" fontId="104" fillId="43" borderId="37" xfId="0" applyNumberFormat="1" applyFont="1" applyFill="1" applyBorder="1" applyAlignment="1">
      <alignment horizontal="center" vertical="center"/>
    </xf>
    <xf numFmtId="1" fontId="115" fillId="43" borderId="34" xfId="0" applyNumberFormat="1" applyFont="1" applyFill="1" applyBorder="1" applyAlignment="1">
      <alignment horizontal="center" vertical="center"/>
    </xf>
    <xf numFmtId="1" fontId="1" fillId="43" borderId="34" xfId="0" applyNumberFormat="1" applyFont="1" applyFill="1" applyBorder="1" applyAlignment="1">
      <alignment horizontal="center" vertical="center"/>
    </xf>
    <xf numFmtId="3" fontId="104" fillId="43" borderId="34" xfId="0" applyNumberFormat="1" applyFont="1" applyFill="1" applyBorder="1" applyAlignment="1">
      <alignment horizontal="center" vertical="center"/>
    </xf>
    <xf numFmtId="3" fontId="104" fillId="43" borderId="37" xfId="0" applyNumberFormat="1" applyFont="1" applyFill="1" applyBorder="1" applyAlignment="1">
      <alignment horizontal="center" vertical="center"/>
    </xf>
    <xf numFmtId="0" fontId="1" fillId="43" borderId="34" xfId="0" applyFont="1" applyFill="1" applyBorder="1" applyAlignment="1">
      <alignment horizontal="center" vertical="center"/>
    </xf>
    <xf numFmtId="0" fontId="104" fillId="43" borderId="37" xfId="0" applyFont="1" applyFill="1" applyBorder="1" applyAlignment="1">
      <alignment horizontal="center" vertical="center"/>
    </xf>
    <xf numFmtId="0" fontId="1" fillId="43" borderId="37" xfId="0" applyFont="1" applyFill="1" applyBorder="1" applyAlignment="1">
      <alignment horizontal="center" vertical="center"/>
    </xf>
    <xf numFmtId="0" fontId="104" fillId="43" borderId="32" xfId="0" applyFont="1" applyFill="1" applyBorder="1"/>
    <xf numFmtId="2" fontId="104" fillId="43" borderId="34" xfId="0" applyNumberFormat="1" applyFont="1" applyFill="1" applyBorder="1" applyAlignment="1">
      <alignment horizontal="center" vertical="center"/>
    </xf>
    <xf numFmtId="171" fontId="104" fillId="43" borderId="34" xfId="0" applyNumberFormat="1" applyFont="1" applyFill="1" applyBorder="1" applyAlignment="1">
      <alignment horizontal="center" vertical="center"/>
    </xf>
    <xf numFmtId="2" fontId="104" fillId="43" borderId="37" xfId="0" applyNumberFormat="1" applyFont="1" applyFill="1" applyBorder="1" applyAlignment="1">
      <alignment horizontal="center" vertical="center"/>
    </xf>
    <xf numFmtId="2" fontId="1" fillId="43" borderId="34" xfId="0" applyNumberFormat="1" applyFont="1" applyFill="1" applyBorder="1" applyAlignment="1">
      <alignment horizontal="center" vertical="center"/>
    </xf>
    <xf numFmtId="2" fontId="115" fillId="43" borderId="34" xfId="0" applyNumberFormat="1" applyFont="1" applyFill="1" applyBorder="1" applyAlignment="1">
      <alignment horizontal="center" vertical="center"/>
    </xf>
    <xf numFmtId="171" fontId="1" fillId="43" borderId="34" xfId="0" applyNumberFormat="1" applyFont="1" applyFill="1" applyBorder="1" applyAlignment="1">
      <alignment horizontal="center" vertical="center"/>
    </xf>
    <xf numFmtId="0" fontId="104" fillId="43" borderId="0" xfId="0" applyFont="1" applyFill="1"/>
    <xf numFmtId="3" fontId="115" fillId="43" borderId="0" xfId="0" applyNumberFormat="1" applyFont="1" applyFill="1"/>
    <xf numFmtId="3" fontId="104" fillId="43" borderId="0" xfId="0" applyNumberFormat="1" applyFont="1" applyFill="1"/>
    <xf numFmtId="0" fontId="115" fillId="43" borderId="0" xfId="0" applyFont="1" applyFill="1"/>
    <xf numFmtId="0" fontId="107" fillId="43" borderId="0" xfId="0" applyFont="1" applyFill="1"/>
    <xf numFmtId="0" fontId="1" fillId="43" borderId="0" xfId="0" applyFont="1" applyFill="1"/>
    <xf numFmtId="0" fontId="108" fillId="43" borderId="31" xfId="0" applyFont="1" applyFill="1" applyBorder="1"/>
    <xf numFmtId="3" fontId="108" fillId="43" borderId="31" xfId="0" applyNumberFormat="1" applyFont="1" applyFill="1" applyBorder="1"/>
    <xf numFmtId="180" fontId="115" fillId="43" borderId="0" xfId="0" applyNumberFormat="1" applyFont="1" applyFill="1"/>
    <xf numFmtId="0" fontId="108" fillId="43" borderId="0" xfId="0" applyFont="1" applyFill="1"/>
    <xf numFmtId="3" fontId="27" fillId="43" borderId="0" xfId="1" applyNumberFormat="1" applyFont="1" applyFill="1"/>
    <xf numFmtId="0" fontId="104" fillId="44" borderId="0" xfId="0" applyFont="1" applyFill="1"/>
    <xf numFmtId="0" fontId="104" fillId="44" borderId="30" xfId="0" applyFont="1" applyFill="1" applyBorder="1" applyAlignment="1">
      <alignment horizontal="center" vertical="center"/>
    </xf>
    <xf numFmtId="0" fontId="104" fillId="44" borderId="34" xfId="0" applyFont="1" applyFill="1" applyBorder="1" applyAlignment="1">
      <alignment horizontal="center" vertical="center"/>
    </xf>
    <xf numFmtId="1" fontId="104" fillId="44" borderId="34" xfId="0" applyNumberFormat="1" applyFont="1" applyFill="1" applyBorder="1" applyAlignment="1">
      <alignment horizontal="center" vertical="center"/>
    </xf>
    <xf numFmtId="1" fontId="115" fillId="44" borderId="34" xfId="0" applyNumberFormat="1" applyFont="1" applyFill="1" applyBorder="1" applyAlignment="1">
      <alignment horizontal="center" vertical="center"/>
    </xf>
    <xf numFmtId="0" fontId="27" fillId="44" borderId="10" xfId="1" applyFont="1" applyFill="1" applyBorder="1" applyAlignment="1">
      <alignment horizontal="center" vertical="center"/>
    </xf>
    <xf numFmtId="0" fontId="27" fillId="44" borderId="0" xfId="1" applyFont="1" applyFill="1" applyAlignment="1">
      <alignment horizontal="center" vertical="center"/>
    </xf>
    <xf numFmtId="3" fontId="27" fillId="44" borderId="0" xfId="1" applyNumberFormat="1" applyFont="1" applyFill="1" applyAlignment="1">
      <alignment horizontal="center" vertical="center"/>
    </xf>
    <xf numFmtId="0" fontId="115" fillId="44" borderId="10" xfId="1" applyFont="1" applyFill="1" applyBorder="1" applyAlignment="1">
      <alignment horizontal="center" vertical="center"/>
    </xf>
    <xf numFmtId="0" fontId="115" fillId="44" borderId="0" xfId="1" applyFont="1" applyFill="1" applyAlignment="1">
      <alignment horizontal="center" vertical="center"/>
    </xf>
    <xf numFmtId="1" fontId="27" fillId="44" borderId="0" xfId="1" applyNumberFormat="1" applyFont="1" applyFill="1" applyAlignment="1">
      <alignment horizontal="center" vertical="center"/>
    </xf>
    <xf numFmtId="1" fontId="115" fillId="44" borderId="0" xfId="1" applyNumberFormat="1" applyFont="1" applyFill="1" applyAlignment="1">
      <alignment horizontal="center" vertical="center"/>
    </xf>
    <xf numFmtId="0" fontId="115" fillId="44" borderId="30" xfId="1" applyFont="1" applyFill="1" applyBorder="1" applyAlignment="1">
      <alignment horizontal="center" vertical="center"/>
    </xf>
    <xf numFmtId="0" fontId="115" fillId="44" borderId="34" xfId="1" applyFont="1" applyFill="1" applyBorder="1" applyAlignment="1">
      <alignment horizontal="center" vertical="center"/>
    </xf>
    <xf numFmtId="0" fontId="27" fillId="44" borderId="34" xfId="1" applyFont="1" applyFill="1" applyBorder="1" applyAlignment="1">
      <alignment horizontal="center" vertical="center"/>
    </xf>
    <xf numFmtId="3" fontId="115" fillId="44" borderId="34" xfId="1" applyNumberFormat="1" applyFont="1" applyFill="1" applyBorder="1" applyAlignment="1">
      <alignment horizontal="center" vertical="center"/>
    </xf>
    <xf numFmtId="3" fontId="27" fillId="44" borderId="34" xfId="1" applyNumberFormat="1" applyFont="1" applyFill="1" applyBorder="1" applyAlignment="1">
      <alignment horizontal="center" vertical="center"/>
    </xf>
    <xf numFmtId="0" fontId="115" fillId="44" borderId="34" xfId="0" applyFont="1" applyFill="1" applyBorder="1" applyAlignment="1">
      <alignment horizontal="center" vertical="center"/>
    </xf>
    <xf numFmtId="0" fontId="108" fillId="44" borderId="34" xfId="0" applyFont="1" applyFill="1" applyBorder="1" applyAlignment="1">
      <alignment horizontal="center" vertical="center"/>
    </xf>
    <xf numFmtId="0" fontId="102" fillId="44" borderId="34" xfId="1" applyFont="1" applyFill="1" applyBorder="1" applyAlignment="1">
      <alignment horizontal="center" vertical="center"/>
    </xf>
    <xf numFmtId="0" fontId="116" fillId="44" borderId="34" xfId="0" applyFont="1" applyFill="1" applyBorder="1" applyAlignment="1">
      <alignment horizontal="center" vertical="center"/>
    </xf>
    <xf numFmtId="1" fontId="27" fillId="9" borderId="0" xfId="428" applyNumberFormat="1" applyFont="1" applyFill="1" applyBorder="1" applyAlignment="1">
      <alignment horizontal="center" vertical="center"/>
    </xf>
    <xf numFmtId="1" fontId="115" fillId="44" borderId="0" xfId="428" applyNumberFormat="1" applyFont="1" applyFill="1" applyBorder="1" applyAlignment="1">
      <alignment horizontal="center" vertical="center"/>
    </xf>
    <xf numFmtId="1" fontId="27" fillId="44" borderId="0" xfId="428" applyNumberFormat="1" applyFont="1" applyFill="1" applyBorder="1" applyAlignment="1">
      <alignment horizontal="center" vertical="center"/>
    </xf>
    <xf numFmtId="1" fontId="108" fillId="9" borderId="34" xfId="428" applyNumberFormat="1" applyFont="1" applyFill="1" applyBorder="1" applyAlignment="1">
      <alignment horizontal="center" vertical="center"/>
    </xf>
    <xf numFmtId="1" fontId="108" fillId="44" borderId="34" xfId="428" applyNumberFormat="1" applyFont="1" applyFill="1" applyBorder="1" applyAlignment="1">
      <alignment horizontal="center" vertical="center"/>
    </xf>
    <xf numFmtId="9" fontId="115" fillId="44" borderId="0" xfId="0" applyNumberFormat="1" applyFont="1" applyFill="1"/>
    <xf numFmtId="172" fontId="115" fillId="44" borderId="0" xfId="0" applyNumberFormat="1" applyFont="1" applyFill="1"/>
    <xf numFmtId="4" fontId="115" fillId="44" borderId="0" xfId="0" applyNumberFormat="1" applyFont="1" applyFill="1"/>
    <xf numFmtId="0" fontId="103" fillId="41" borderId="6" xfId="1" applyFont="1" applyFill="1" applyBorder="1" applyAlignment="1">
      <alignment horizontal="center"/>
    </xf>
    <xf numFmtId="0" fontId="104" fillId="16" borderId="6" xfId="0" applyFont="1" applyFill="1" applyBorder="1"/>
    <xf numFmtId="0" fontId="103" fillId="41" borderId="34" xfId="0" applyFont="1" applyFill="1" applyBorder="1" applyAlignment="1">
      <alignment horizontal="center"/>
    </xf>
    <xf numFmtId="0" fontId="27" fillId="43" borderId="0" xfId="1" applyFont="1" applyFill="1" applyAlignment="1">
      <alignment horizontal="left"/>
    </xf>
    <xf numFmtId="0" fontId="103" fillId="41" borderId="0" xfId="1" applyFont="1" applyFill="1"/>
    <xf numFmtId="0" fontId="27" fillId="43" borderId="0" xfId="1" applyFont="1" applyFill="1"/>
    <xf numFmtId="0" fontId="103" fillId="41" borderId="0" xfId="1" applyFont="1" applyFill="1" applyAlignment="1">
      <alignment horizontal="left"/>
    </xf>
    <xf numFmtId="0" fontId="101" fillId="41" borderId="0" xfId="1" applyFont="1" applyFill="1"/>
    <xf numFmtId="0" fontId="101" fillId="41" borderId="0" xfId="1" applyFont="1" applyFill="1" applyAlignment="1">
      <alignment horizontal="right"/>
    </xf>
    <xf numFmtId="0" fontId="27" fillId="9" borderId="0" xfId="1" applyFont="1" applyFill="1" applyAlignment="1">
      <alignment horizontal="right"/>
    </xf>
    <xf numFmtId="3" fontId="27" fillId="9" borderId="0" xfId="427" applyNumberFormat="1" applyFont="1" applyFill="1" applyBorder="1"/>
    <xf numFmtId="9" fontId="27" fillId="9" borderId="0" xfId="427" applyFont="1" applyFill="1" applyBorder="1"/>
    <xf numFmtId="180" fontId="27" fillId="9" borderId="0" xfId="1" applyNumberFormat="1" applyFont="1" applyFill="1" applyAlignment="1">
      <alignment horizontal="center"/>
    </xf>
    <xf numFmtId="0" fontId="101" fillId="41" borderId="0" xfId="1" applyFont="1" applyFill="1" applyAlignment="1">
      <alignment horizontal="centerContinuous" vertical="center"/>
    </xf>
    <xf numFmtId="0" fontId="101" fillId="41" borderId="0" xfId="1" applyFont="1" applyFill="1" applyAlignment="1">
      <alignment horizontal="center" vertical="center"/>
    </xf>
    <xf numFmtId="9" fontId="27" fillId="0" borderId="0" xfId="427" applyFont="1" applyFill="1" applyBorder="1" applyAlignment="1">
      <alignment horizontal="center" vertical="center"/>
    </xf>
    <xf numFmtId="0" fontId="104" fillId="9" borderId="47" xfId="0" applyFont="1" applyFill="1" applyBorder="1"/>
    <xf numFmtId="9" fontId="27" fillId="0" borderId="47" xfId="427" applyFont="1" applyFill="1" applyBorder="1" applyAlignment="1">
      <alignment horizontal="center" vertical="center"/>
    </xf>
    <xf numFmtId="0" fontId="115" fillId="45" borderId="0" xfId="0" applyFont="1" applyFill="1" applyAlignment="1">
      <alignment horizontal="center" vertical="center"/>
    </xf>
    <xf numFmtId="0" fontId="107" fillId="9" borderId="0" xfId="0" applyFont="1" applyFill="1"/>
    <xf numFmtId="0" fontId="1" fillId="46" borderId="0" xfId="0" applyFont="1" applyFill="1" applyAlignment="1">
      <alignment horizontal="center" vertical="center"/>
    </xf>
    <xf numFmtId="0" fontId="104" fillId="26" borderId="0" xfId="0" applyFont="1" applyFill="1" applyAlignment="1">
      <alignment horizontal="center" vertical="center"/>
    </xf>
    <xf numFmtId="9" fontId="104" fillId="9" borderId="0" xfId="427" applyFont="1" applyFill="1" applyAlignment="1">
      <alignment horizontal="center" vertical="center"/>
    </xf>
    <xf numFmtId="169" fontId="101" fillId="41" borderId="30" xfId="1" applyNumberFormat="1" applyFont="1" applyFill="1" applyBorder="1" applyAlignment="1">
      <alignment horizontal="center" vertical="center"/>
    </xf>
    <xf numFmtId="14" fontId="101" fillId="41" borderId="30" xfId="1" applyNumberFormat="1" applyFont="1" applyFill="1" applyBorder="1" applyAlignment="1">
      <alignment horizontal="center" vertical="center"/>
    </xf>
    <xf numFmtId="14" fontId="101" fillId="41" borderId="34" xfId="1" applyNumberFormat="1" applyFont="1" applyFill="1" applyBorder="1" applyAlignment="1">
      <alignment horizontal="center" vertical="center"/>
    </xf>
    <xf numFmtId="14" fontId="101" fillId="41" borderId="37" xfId="1" applyNumberFormat="1" applyFont="1" applyFill="1" applyBorder="1" applyAlignment="1">
      <alignment horizontal="center" vertical="center"/>
    </xf>
    <xf numFmtId="0" fontId="115" fillId="45" borderId="0" xfId="0" applyFont="1" applyFill="1" applyAlignment="1">
      <alignment horizontal="center"/>
    </xf>
    <xf numFmtId="0" fontId="108" fillId="46" borderId="0" xfId="0" applyFont="1" applyFill="1"/>
    <xf numFmtId="0" fontId="104" fillId="46" borderId="0" xfId="0" applyFont="1" applyFill="1" applyAlignment="1">
      <alignment horizontal="center" vertical="center"/>
    </xf>
    <xf numFmtId="3" fontId="104" fillId="46" borderId="0" xfId="0" applyNumberFormat="1" applyFont="1" applyFill="1" applyAlignment="1">
      <alignment horizontal="center" vertical="center"/>
    </xf>
    <xf numFmtId="9" fontId="104" fillId="46" borderId="0" xfId="0" applyNumberFormat="1" applyFont="1" applyFill="1" applyAlignment="1">
      <alignment horizontal="center" vertical="center"/>
    </xf>
    <xf numFmtId="0" fontId="104" fillId="46" borderId="0" xfId="0" applyFont="1" applyFill="1"/>
    <xf numFmtId="0" fontId="1" fillId="46" borderId="0" xfId="0" applyFont="1" applyFill="1"/>
    <xf numFmtId="9" fontId="104" fillId="46" borderId="0" xfId="0" applyNumberFormat="1" applyFont="1" applyFill="1"/>
    <xf numFmtId="3" fontId="1" fillId="9" borderId="0" xfId="0" quotePrefix="1" applyNumberFormat="1" applyFont="1" applyFill="1"/>
    <xf numFmtId="0" fontId="1" fillId="0" borderId="0" xfId="453"/>
    <xf numFmtId="0" fontId="125" fillId="15" borderId="0" xfId="453" applyFont="1" applyFill="1"/>
    <xf numFmtId="0" fontId="128" fillId="0" borderId="0" xfId="453" applyFont="1"/>
    <xf numFmtId="0" fontId="128" fillId="15" borderId="0" xfId="453" applyFont="1" applyFill="1"/>
    <xf numFmtId="9" fontId="104" fillId="9" borderId="0" xfId="427" applyFont="1" applyFill="1" applyBorder="1" applyAlignment="1">
      <alignment horizontal="center" vertical="center"/>
    </xf>
    <xf numFmtId="9" fontId="104" fillId="16" borderId="0" xfId="427" applyFont="1" applyFill="1" applyBorder="1"/>
    <xf numFmtId="9" fontId="1" fillId="0" borderId="0" xfId="427" applyFont="1" applyFill="1" applyBorder="1"/>
    <xf numFmtId="172" fontId="104" fillId="43" borderId="0" xfId="427" applyNumberFormat="1" applyFont="1" applyFill="1"/>
    <xf numFmtId="0" fontId="101" fillId="15" borderId="29" xfId="0" applyFont="1" applyFill="1" applyBorder="1" applyAlignment="1">
      <alignment horizontal="center" vertical="center"/>
    </xf>
    <xf numFmtId="0" fontId="101" fillId="15" borderId="6" xfId="0" applyFont="1" applyFill="1" applyBorder="1" applyAlignment="1">
      <alignment horizontal="center" vertical="center"/>
    </xf>
    <xf numFmtId="14" fontId="101" fillId="15" borderId="37" xfId="1" applyNumberFormat="1" applyFont="1" applyFill="1" applyBorder="1" applyAlignment="1">
      <alignment horizontal="center" vertical="center"/>
    </xf>
    <xf numFmtId="0" fontId="101" fillId="15" borderId="0" xfId="1" applyFont="1" applyFill="1" applyAlignment="1">
      <alignment horizontal="center" vertical="center"/>
    </xf>
    <xf numFmtId="0" fontId="104" fillId="15" borderId="0" xfId="0" applyFont="1" applyFill="1"/>
    <xf numFmtId="0" fontId="104" fillId="15" borderId="0" xfId="0" applyFont="1" applyFill="1" applyAlignment="1">
      <alignment horizontal="center" vertical="center"/>
    </xf>
    <xf numFmtId="0" fontId="1" fillId="15" borderId="0" xfId="0" applyFont="1" applyFill="1"/>
    <xf numFmtId="0" fontId="103" fillId="15" borderId="0" xfId="0" applyFont="1" applyFill="1"/>
    <xf numFmtId="172" fontId="115" fillId="9" borderId="34" xfId="0" applyNumberFormat="1" applyFont="1" applyFill="1" applyBorder="1"/>
    <xf numFmtId="3" fontId="1" fillId="9" borderId="37" xfId="0" applyNumberFormat="1" applyFont="1" applyFill="1" applyBorder="1" applyAlignment="1">
      <alignment horizontal="center" vertical="center"/>
    </xf>
    <xf numFmtId="0" fontId="1" fillId="9" borderId="0" xfId="1" applyFont="1" applyFill="1" applyAlignment="1">
      <alignment horizontal="center" vertical="center"/>
    </xf>
    <xf numFmtId="9" fontId="1" fillId="9" borderId="0" xfId="427" applyFont="1" applyFill="1" applyBorder="1" applyAlignment="1">
      <alignment horizontal="center" vertical="center"/>
    </xf>
    <xf numFmtId="0" fontId="108" fillId="9" borderId="34" xfId="0" applyFont="1" applyFill="1" applyBorder="1"/>
    <xf numFmtId="0" fontId="108" fillId="9" borderId="30" xfId="0" applyFont="1" applyFill="1" applyBorder="1" applyAlignment="1">
      <alignment horizontal="center" vertical="center"/>
    </xf>
    <xf numFmtId="3" fontId="116" fillId="0" borderId="34" xfId="0" applyNumberFormat="1" applyFont="1" applyBorder="1" applyAlignment="1">
      <alignment horizontal="center" vertical="center"/>
    </xf>
    <xf numFmtId="3" fontId="108" fillId="0" borderId="34" xfId="0" applyNumberFormat="1" applyFont="1" applyBorder="1" applyAlignment="1">
      <alignment horizontal="center" vertical="center"/>
    </xf>
    <xf numFmtId="0" fontId="108" fillId="9" borderId="47" xfId="0" applyFont="1" applyFill="1" applyBorder="1"/>
    <xf numFmtId="220" fontId="108" fillId="9" borderId="47" xfId="0" applyNumberFormat="1" applyFont="1" applyFill="1" applyBorder="1"/>
    <xf numFmtId="3" fontId="1" fillId="0" borderId="34" xfId="0" applyNumberFormat="1" applyFont="1" applyBorder="1" applyAlignment="1">
      <alignment horizontal="center" vertical="center"/>
    </xf>
    <xf numFmtId="14" fontId="101" fillId="15" borderId="34" xfId="1" applyNumberFormat="1" applyFont="1" applyFill="1" applyBorder="1" applyAlignment="1">
      <alignment horizontal="center" vertical="center"/>
    </xf>
    <xf numFmtId="3" fontId="1" fillId="0" borderId="45" xfId="0" applyNumberFormat="1" applyFont="1" applyBorder="1" applyAlignment="1">
      <alignment horizontal="center" vertical="center"/>
    </xf>
    <xf numFmtId="2" fontId="1" fillId="9" borderId="0" xfId="0" applyNumberFormat="1" applyFont="1" applyFill="1"/>
    <xf numFmtId="3" fontId="130" fillId="0" borderId="0" xfId="0" applyNumberFormat="1" applyFont="1" applyAlignment="1">
      <alignment horizontal="center" vertical="center"/>
    </xf>
    <xf numFmtId="3" fontId="131" fillId="0" borderId="11" xfId="0" applyNumberFormat="1" applyFont="1" applyBorder="1" applyAlignment="1">
      <alignment horizontal="center" vertical="center"/>
    </xf>
    <xf numFmtId="3" fontId="115" fillId="0" borderId="6" xfId="0" applyNumberFormat="1" applyFont="1" applyBorder="1" applyAlignment="1">
      <alignment horizontal="center" vertical="center"/>
    </xf>
    <xf numFmtId="3" fontId="104" fillId="0" borderId="6" xfId="0" applyNumberFormat="1" applyFont="1" applyBorder="1" applyAlignment="1">
      <alignment horizontal="center" vertical="center"/>
    </xf>
    <xf numFmtId="3" fontId="1" fillId="0" borderId="6" xfId="0" applyNumberFormat="1" applyFont="1" applyBorder="1" applyAlignment="1">
      <alignment horizontal="center" vertical="center"/>
    </xf>
    <xf numFmtId="3" fontId="109" fillId="0" borderId="0" xfId="0" applyNumberFormat="1" applyFont="1" applyAlignment="1">
      <alignment horizontal="center" vertical="center"/>
    </xf>
    <xf numFmtId="3" fontId="109" fillId="9" borderId="0" xfId="0" applyNumberFormat="1" applyFont="1" applyFill="1" applyAlignment="1">
      <alignment horizontal="left" vertical="center" indent="1"/>
    </xf>
    <xf numFmtId="3" fontId="109" fillId="9" borderId="11" xfId="0" applyNumberFormat="1" applyFont="1" applyFill="1" applyBorder="1" applyAlignment="1">
      <alignment horizontal="left" vertical="center" indent="1"/>
    </xf>
    <xf numFmtId="3" fontId="109" fillId="9" borderId="0" xfId="0" applyNumberFormat="1" applyFont="1" applyFill="1" applyAlignment="1">
      <alignment horizontal="center" vertical="center"/>
    </xf>
    <xf numFmtId="3" fontId="109" fillId="0" borderId="0" xfId="0" applyNumberFormat="1" applyFont="1" applyAlignment="1">
      <alignment horizontal="left" vertical="center" indent="1"/>
    </xf>
    <xf numFmtId="3" fontId="1" fillId="9" borderId="0" xfId="1" applyNumberFormat="1" applyFont="1" applyFill="1" applyAlignment="1">
      <alignment horizontal="center" vertical="center"/>
    </xf>
    <xf numFmtId="3" fontId="1" fillId="43" borderId="34" xfId="0" applyNumberFormat="1" applyFont="1" applyFill="1" applyBorder="1" applyAlignment="1">
      <alignment horizontal="center" vertical="center"/>
    </xf>
    <xf numFmtId="3" fontId="1" fillId="9" borderId="34" xfId="1" applyNumberFormat="1" applyFont="1" applyFill="1" applyBorder="1" applyAlignment="1">
      <alignment horizontal="center" vertical="center"/>
    </xf>
    <xf numFmtId="3" fontId="104" fillId="15" borderId="0" xfId="0" applyNumberFormat="1" applyFont="1" applyFill="1"/>
    <xf numFmtId="3" fontId="132" fillId="9" borderId="0" xfId="428" applyNumberFormat="1" applyFont="1" applyFill="1"/>
    <xf numFmtId="3" fontId="104" fillId="9" borderId="0" xfId="428" applyNumberFormat="1" applyFont="1" applyFill="1"/>
    <xf numFmtId="3" fontId="108" fillId="9" borderId="47" xfId="0" applyNumberFormat="1" applyFont="1" applyFill="1" applyBorder="1"/>
    <xf numFmtId="0" fontId="122" fillId="0" borderId="0" xfId="454" applyFont="1" applyAlignment="1">
      <alignment horizontal="left" vertical="center" indent="11"/>
    </xf>
    <xf numFmtId="0" fontId="102" fillId="9" borderId="0" xfId="454" applyFont="1" applyFill="1" applyAlignment="1">
      <alignment vertical="center"/>
    </xf>
    <xf numFmtId="0" fontId="123" fillId="41" borderId="0" xfId="454" applyFont="1" applyFill="1" applyAlignment="1">
      <alignment vertical="center"/>
    </xf>
    <xf numFmtId="0" fontId="124" fillId="41" borderId="0" xfId="454" quotePrefix="1" applyFont="1" applyFill="1" applyAlignment="1">
      <alignment horizontal="left" vertical="center" indent="4"/>
    </xf>
    <xf numFmtId="0" fontId="124" fillId="41" borderId="0" xfId="454" applyFont="1" applyFill="1" applyAlignment="1">
      <alignment horizontal="left" vertical="center" indent="2"/>
    </xf>
    <xf numFmtId="0" fontId="126" fillId="0" borderId="0" xfId="454" applyFont="1" applyAlignment="1">
      <alignment vertical="center"/>
    </xf>
    <xf numFmtId="0" fontId="127" fillId="0" borderId="0" xfId="454" quotePrefix="1" applyFont="1" applyAlignment="1">
      <alignment horizontal="left" vertical="center" indent="4"/>
    </xf>
    <xf numFmtId="14" fontId="127" fillId="0" borderId="0" xfId="454" applyNumberFormat="1" applyFont="1" applyAlignment="1">
      <alignment horizontal="left" vertical="center" indent="2"/>
    </xf>
    <xf numFmtId="0" fontId="123" fillId="41" borderId="0" xfId="454" applyFont="1" applyFill="1" applyAlignment="1">
      <alignment horizontal="left" vertical="center" indent="4"/>
    </xf>
    <xf numFmtId="0" fontId="126" fillId="0" borderId="0" xfId="454" applyFont="1" applyAlignment="1">
      <alignment horizontal="left" vertical="center" indent="4"/>
    </xf>
    <xf numFmtId="0" fontId="126" fillId="0" borderId="0" xfId="454" quotePrefix="1" applyFont="1" applyAlignment="1">
      <alignment horizontal="left" vertical="center" indent="5"/>
    </xf>
    <xf numFmtId="0" fontId="126" fillId="0" borderId="0" xfId="454" quotePrefix="1" applyFont="1" applyAlignment="1">
      <alignment vertical="center"/>
    </xf>
    <xf numFmtId="0" fontId="126" fillId="0" borderId="0" xfId="454" quotePrefix="1" applyFont="1" applyAlignment="1">
      <alignment horizontal="left" vertical="center" indent="2"/>
    </xf>
    <xf numFmtId="0" fontId="101" fillId="15" borderId="68" xfId="0" applyFont="1" applyFill="1" applyBorder="1" applyAlignment="1">
      <alignment horizontal="center" vertical="center"/>
    </xf>
    <xf numFmtId="0" fontId="104" fillId="9" borderId="29" xfId="0" applyFont="1" applyFill="1" applyBorder="1" applyAlignment="1">
      <alignment horizontal="center" vertical="center"/>
    </xf>
    <xf numFmtId="172" fontId="1" fillId="9" borderId="8" xfId="0" applyNumberFormat="1" applyFont="1" applyFill="1" applyBorder="1"/>
    <xf numFmtId="172" fontId="1" fillId="0" borderId="8" xfId="0" applyNumberFormat="1" applyFont="1" applyBorder="1"/>
    <xf numFmtId="3" fontId="131" fillId="0" borderId="0" xfId="0" applyNumberFormat="1" applyFont="1" applyAlignment="1">
      <alignment horizontal="center" vertical="center"/>
    </xf>
    <xf numFmtId="172" fontId="109" fillId="9" borderId="29" xfId="0" applyNumberFormat="1" applyFont="1" applyFill="1" applyBorder="1" applyAlignment="1">
      <alignment horizontal="left" vertical="center" indent="1"/>
    </xf>
    <xf numFmtId="3" fontId="104" fillId="9" borderId="29" xfId="0" applyNumberFormat="1" applyFont="1" applyFill="1" applyBorder="1" applyAlignment="1">
      <alignment horizontal="center" vertical="center"/>
    </xf>
    <xf numFmtId="3" fontId="104" fillId="9" borderId="0" xfId="428" applyNumberFormat="1" applyFont="1" applyFill="1" applyBorder="1"/>
    <xf numFmtId="9" fontId="27" fillId="0" borderId="86" xfId="427" applyFont="1" applyFill="1" applyBorder="1" applyAlignment="1">
      <alignment horizontal="center" vertical="center"/>
    </xf>
    <xf numFmtId="0" fontId="101" fillId="15" borderId="33" xfId="0" applyFont="1" applyFill="1" applyBorder="1" applyAlignment="1">
      <alignment horizontal="center" vertical="center"/>
    </xf>
    <xf numFmtId="0" fontId="101" fillId="15" borderId="9" xfId="0" applyFont="1" applyFill="1" applyBorder="1" applyAlignment="1">
      <alignment horizontal="center" vertical="center"/>
    </xf>
    <xf numFmtId="0" fontId="104" fillId="9" borderId="87" xfId="0" applyFont="1" applyFill="1" applyBorder="1" applyAlignment="1">
      <alignment horizontal="center" vertical="center"/>
    </xf>
    <xf numFmtId="14" fontId="101" fillId="15" borderId="45" xfId="1" applyNumberFormat="1" applyFont="1" applyFill="1" applyBorder="1" applyAlignment="1">
      <alignment horizontal="center" vertical="center"/>
    </xf>
    <xf numFmtId="0" fontId="27" fillId="9" borderId="87" xfId="1" applyFont="1" applyFill="1" applyBorder="1" applyAlignment="1">
      <alignment horizontal="center" vertical="center"/>
    </xf>
    <xf numFmtId="3" fontId="27" fillId="9" borderId="87" xfId="1" applyNumberFormat="1" applyFont="1" applyFill="1" applyBorder="1" applyAlignment="1">
      <alignment horizontal="center" vertical="center"/>
    </xf>
    <xf numFmtId="3" fontId="27" fillId="9" borderId="45" xfId="1" applyNumberFormat="1" applyFont="1" applyFill="1" applyBorder="1" applyAlignment="1">
      <alignment horizontal="center" vertical="center"/>
    </xf>
    <xf numFmtId="172" fontId="27" fillId="9" borderId="87" xfId="1" applyNumberFormat="1" applyFont="1" applyFill="1" applyBorder="1" applyAlignment="1">
      <alignment horizontal="center" vertical="center"/>
    </xf>
    <xf numFmtId="172" fontId="27" fillId="9" borderId="45" xfId="1" applyNumberFormat="1" applyFont="1" applyFill="1" applyBorder="1" applyAlignment="1">
      <alignment horizontal="center" vertical="center"/>
    </xf>
    <xf numFmtId="3" fontId="1" fillId="9" borderId="87" xfId="0" applyNumberFormat="1" applyFont="1" applyFill="1" applyBorder="1" applyAlignment="1">
      <alignment horizontal="center" vertical="center"/>
    </xf>
    <xf numFmtId="3" fontId="115" fillId="0" borderId="87" xfId="0" applyNumberFormat="1" applyFont="1" applyBorder="1" applyAlignment="1">
      <alignment horizontal="center" vertical="center"/>
    </xf>
    <xf numFmtId="3" fontId="109" fillId="0" borderId="87" xfId="0" applyNumberFormat="1" applyFont="1" applyBorder="1" applyAlignment="1">
      <alignment horizontal="left" vertical="center" indent="1"/>
    </xf>
    <xf numFmtId="3" fontId="1" fillId="0" borderId="87" xfId="0" applyNumberFormat="1" applyFont="1" applyBorder="1" applyAlignment="1">
      <alignment horizontal="center" vertical="center"/>
    </xf>
    <xf numFmtId="3" fontId="104" fillId="0" borderId="87" xfId="0" applyNumberFormat="1" applyFont="1" applyBorder="1" applyAlignment="1">
      <alignment horizontal="center" vertical="center"/>
    </xf>
    <xf numFmtId="3" fontId="130" fillId="0" borderId="87" xfId="0" applyNumberFormat="1" applyFont="1" applyBorder="1" applyAlignment="1">
      <alignment horizontal="center" vertical="center"/>
    </xf>
    <xf numFmtId="3" fontId="104" fillId="0" borderId="45" xfId="0" applyNumberFormat="1" applyFont="1" applyBorder="1" applyAlignment="1">
      <alignment horizontal="center" vertical="center"/>
    </xf>
    <xf numFmtId="3" fontId="109" fillId="0" borderId="87" xfId="0" applyNumberFormat="1" applyFont="1" applyBorder="1" applyAlignment="1">
      <alignment horizontal="center" vertical="center"/>
    </xf>
    <xf numFmtId="3" fontId="1" fillId="9" borderId="45" xfId="0" applyNumberFormat="1" applyFont="1" applyFill="1" applyBorder="1" applyAlignment="1">
      <alignment horizontal="center" vertical="center"/>
    </xf>
    <xf numFmtId="3" fontId="109" fillId="9" borderId="87" xfId="0" applyNumberFormat="1" applyFont="1" applyFill="1" applyBorder="1" applyAlignment="1">
      <alignment horizontal="left" vertical="center" indent="1"/>
    </xf>
    <xf numFmtId="3" fontId="104" fillId="9" borderId="87" xfId="427" applyNumberFormat="1" applyFont="1" applyFill="1" applyBorder="1" applyAlignment="1">
      <alignment horizontal="center" vertical="center"/>
    </xf>
    <xf numFmtId="3" fontId="115" fillId="9" borderId="87" xfId="0" applyNumberFormat="1" applyFont="1" applyFill="1" applyBorder="1" applyAlignment="1">
      <alignment horizontal="center" vertical="center"/>
    </xf>
    <xf numFmtId="3" fontId="104" fillId="9" borderId="45" xfId="0" applyNumberFormat="1" applyFont="1" applyFill="1" applyBorder="1" applyAlignment="1">
      <alignment horizontal="center" vertical="center"/>
    </xf>
    <xf numFmtId="172" fontId="109" fillId="9" borderId="87" xfId="0" applyNumberFormat="1" applyFont="1" applyFill="1" applyBorder="1" applyAlignment="1">
      <alignment horizontal="left" vertical="center" indent="1"/>
    </xf>
    <xf numFmtId="9" fontId="104" fillId="9" borderId="87" xfId="0" applyNumberFormat="1" applyFont="1" applyFill="1" applyBorder="1" applyAlignment="1">
      <alignment horizontal="center" vertical="center"/>
    </xf>
    <xf numFmtId="9" fontId="104" fillId="9" borderId="45" xfId="0" applyNumberFormat="1" applyFont="1" applyFill="1" applyBorder="1" applyAlignment="1">
      <alignment horizontal="center" vertical="center"/>
    </xf>
    <xf numFmtId="3" fontId="104" fillId="9" borderId="87" xfId="0" applyNumberFormat="1" applyFont="1" applyFill="1" applyBorder="1" applyAlignment="1">
      <alignment horizontal="center" vertical="center"/>
    </xf>
    <xf numFmtId="172" fontId="104" fillId="9" borderId="87" xfId="0" applyNumberFormat="1" applyFont="1" applyFill="1" applyBorder="1" applyAlignment="1">
      <alignment horizontal="center" vertical="center"/>
    </xf>
    <xf numFmtId="172" fontId="104" fillId="26" borderId="87" xfId="0" applyNumberFormat="1" applyFont="1" applyFill="1" applyBorder="1" applyAlignment="1">
      <alignment horizontal="center" vertical="center"/>
    </xf>
    <xf numFmtId="172" fontId="104" fillId="26" borderId="45" xfId="0" applyNumberFormat="1" applyFont="1" applyFill="1" applyBorder="1" applyAlignment="1">
      <alignment horizontal="center" vertical="center"/>
    </xf>
    <xf numFmtId="0" fontId="27" fillId="44" borderId="87" xfId="1" applyFont="1" applyFill="1" applyBorder="1" applyAlignment="1">
      <alignment horizontal="center" vertical="center"/>
    </xf>
    <xf numFmtId="3" fontId="27" fillId="44" borderId="87" xfId="1" applyNumberFormat="1" applyFont="1" applyFill="1" applyBorder="1" applyAlignment="1">
      <alignment horizontal="center" vertical="center"/>
    </xf>
    <xf numFmtId="3" fontId="104" fillId="43" borderId="45" xfId="0" applyNumberFormat="1" applyFont="1" applyFill="1" applyBorder="1" applyAlignment="1">
      <alignment horizontal="center" vertical="center"/>
    </xf>
    <xf numFmtId="3" fontId="115" fillId="44" borderId="45" xfId="1" applyNumberFormat="1" applyFont="1" applyFill="1" applyBorder="1" applyAlignment="1">
      <alignment horizontal="center" vertical="center"/>
    </xf>
    <xf numFmtId="9" fontId="104" fillId="9" borderId="87" xfId="427" applyFont="1" applyFill="1" applyBorder="1" applyAlignment="1">
      <alignment horizontal="center" vertical="center"/>
    </xf>
    <xf numFmtId="3" fontId="104" fillId="9" borderId="87" xfId="0" applyNumberFormat="1" applyFont="1" applyFill="1" applyBorder="1"/>
    <xf numFmtId="3" fontId="104" fillId="15" borderId="87" xfId="0" applyNumberFormat="1" applyFont="1" applyFill="1" applyBorder="1"/>
    <xf numFmtId="3" fontId="108" fillId="9" borderId="45" xfId="0" applyNumberFormat="1" applyFont="1" applyFill="1" applyBorder="1" applyAlignment="1">
      <alignment horizontal="center" vertical="center"/>
    </xf>
    <xf numFmtId="3" fontId="132" fillId="9" borderId="87" xfId="428" applyNumberFormat="1" applyFont="1" applyFill="1" applyBorder="1"/>
    <xf numFmtId="3" fontId="108" fillId="9" borderId="88" xfId="0" applyNumberFormat="1" applyFont="1" applyFill="1" applyBorder="1"/>
    <xf numFmtId="0" fontId="104" fillId="9" borderId="87" xfId="0" applyFont="1" applyFill="1" applyBorder="1"/>
    <xf numFmtId="0" fontId="101" fillId="15" borderId="87" xfId="1" applyFont="1" applyFill="1" applyBorder="1" applyAlignment="1">
      <alignment horizontal="center" vertical="center"/>
    </xf>
    <xf numFmtId="0" fontId="1" fillId="9" borderId="87" xfId="0" applyFont="1" applyFill="1" applyBorder="1" applyAlignment="1">
      <alignment horizontal="center" vertical="center"/>
    </xf>
    <xf numFmtId="0" fontId="104" fillId="46" borderId="87" xfId="0" applyFont="1" applyFill="1" applyBorder="1"/>
    <xf numFmtId="9" fontId="27" fillId="0" borderId="87" xfId="427" applyFont="1" applyFill="1" applyBorder="1" applyAlignment="1">
      <alignment horizontal="center" vertical="center"/>
    </xf>
    <xf numFmtId="9" fontId="27" fillId="0" borderId="88" xfId="427" applyFont="1" applyFill="1" applyBorder="1" applyAlignment="1">
      <alignment horizontal="center" vertical="center"/>
    </xf>
    <xf numFmtId="0" fontId="101" fillId="41" borderId="68" xfId="0" applyFont="1" applyFill="1" applyBorder="1" applyAlignment="1">
      <alignment horizontal="center" vertical="center"/>
    </xf>
    <xf numFmtId="220" fontId="104" fillId="9" borderId="0" xfId="428" applyNumberFormat="1" applyFont="1" applyFill="1" applyBorder="1"/>
    <xf numFmtId="3" fontId="109" fillId="9" borderId="87" xfId="0" applyNumberFormat="1" applyFont="1" applyFill="1" applyBorder="1" applyAlignment="1">
      <alignment horizontal="center" vertical="center"/>
    </xf>
    <xf numFmtId="10" fontId="104" fillId="9" borderId="87" xfId="427" applyNumberFormat="1" applyFont="1" applyFill="1" applyBorder="1" applyAlignment="1">
      <alignment horizontal="center" vertical="center"/>
    </xf>
    <xf numFmtId="172" fontId="104" fillId="9" borderId="45" xfId="0" applyNumberFormat="1" applyFont="1" applyFill="1" applyBorder="1" applyAlignment="1">
      <alignment horizontal="center" vertical="center"/>
    </xf>
    <xf numFmtId="1" fontId="27" fillId="0" borderId="0" xfId="428" applyNumberFormat="1" applyFont="1" applyFill="1" applyBorder="1" applyAlignment="1">
      <alignment horizontal="center" vertical="center"/>
    </xf>
    <xf numFmtId="14" fontId="101" fillId="41" borderId="45" xfId="1" applyNumberFormat="1" applyFont="1" applyFill="1" applyBorder="1" applyAlignment="1">
      <alignment horizontal="center" vertical="center"/>
    </xf>
    <xf numFmtId="0" fontId="115" fillId="44" borderId="87" xfId="1" applyFont="1" applyFill="1" applyBorder="1" applyAlignment="1">
      <alignment horizontal="center" vertical="center"/>
    </xf>
    <xf numFmtId="1" fontId="104" fillId="43" borderId="45" xfId="0" applyNumberFormat="1" applyFont="1" applyFill="1" applyBorder="1" applyAlignment="1">
      <alignment horizontal="center" vertical="center"/>
    </xf>
    <xf numFmtId="1" fontId="27" fillId="44" borderId="87" xfId="1" applyNumberFormat="1" applyFont="1" applyFill="1" applyBorder="1" applyAlignment="1">
      <alignment horizontal="center" vertical="center"/>
    </xf>
    <xf numFmtId="1" fontId="115" fillId="43" borderId="45" xfId="0" applyNumberFormat="1" applyFont="1" applyFill="1" applyBorder="1" applyAlignment="1">
      <alignment horizontal="center" vertical="center"/>
    </xf>
    <xf numFmtId="2" fontId="104" fillId="43" borderId="45" xfId="0" applyNumberFormat="1" applyFont="1" applyFill="1" applyBorder="1" applyAlignment="1">
      <alignment horizontal="center" vertical="center"/>
    </xf>
    <xf numFmtId="0" fontId="115" fillId="44" borderId="45" xfId="1" applyFont="1" applyFill="1" applyBorder="1" applyAlignment="1">
      <alignment horizontal="center" vertical="center"/>
    </xf>
    <xf numFmtId="4" fontId="104" fillId="9" borderId="87" xfId="0" applyNumberFormat="1" applyFont="1" applyFill="1" applyBorder="1" applyAlignment="1">
      <alignment horizontal="center" vertical="center"/>
    </xf>
    <xf numFmtId="0" fontId="115" fillId="44" borderId="45" xfId="0" applyFont="1" applyFill="1" applyBorder="1" applyAlignment="1">
      <alignment horizontal="center" vertical="center"/>
    </xf>
    <xf numFmtId="1" fontId="115" fillId="44" borderId="87" xfId="428" applyNumberFormat="1" applyFont="1" applyFill="1" applyBorder="1" applyAlignment="1">
      <alignment horizontal="center" vertical="center"/>
    </xf>
    <xf numFmtId="1" fontId="27" fillId="44" borderId="87" xfId="428" applyNumberFormat="1" applyFont="1" applyFill="1" applyBorder="1" applyAlignment="1">
      <alignment horizontal="center" vertical="center"/>
    </xf>
    <xf numFmtId="1" fontId="108" fillId="44" borderId="45" xfId="428" applyNumberFormat="1" applyFont="1" applyFill="1" applyBorder="1" applyAlignment="1">
      <alignment horizontal="center" vertical="center"/>
    </xf>
    <xf numFmtId="0" fontId="104" fillId="15" borderId="87" xfId="0" applyFont="1" applyFill="1" applyBorder="1"/>
    <xf numFmtId="220" fontId="104" fillId="9" borderId="87" xfId="428" applyNumberFormat="1" applyFont="1" applyFill="1" applyBorder="1"/>
    <xf numFmtId="220" fontId="108" fillId="9" borderId="88" xfId="0" applyNumberFormat="1" applyFont="1" applyFill="1" applyBorder="1"/>
    <xf numFmtId="0" fontId="101" fillId="41" borderId="87" xfId="1" applyFont="1" applyFill="1" applyBorder="1" applyAlignment="1">
      <alignment horizontal="center" vertical="center"/>
    </xf>
    <xf numFmtId="1" fontId="1" fillId="43" borderId="45" xfId="0" applyNumberFormat="1" applyFont="1" applyFill="1" applyBorder="1" applyAlignment="1">
      <alignment horizontal="center" vertical="center"/>
    </xf>
    <xf numFmtId="0" fontId="1" fillId="43" borderId="45" xfId="0" applyFont="1" applyFill="1" applyBorder="1" applyAlignment="1">
      <alignment horizontal="center" vertical="center"/>
    </xf>
    <xf numFmtId="2" fontId="1" fillId="43" borderId="45" xfId="0" applyNumberFormat="1" applyFont="1" applyFill="1" applyBorder="1" applyAlignment="1">
      <alignment horizontal="center" vertical="center"/>
    </xf>
    <xf numFmtId="1" fontId="115" fillId="44" borderId="45" xfId="0" applyNumberFormat="1" applyFont="1" applyFill="1" applyBorder="1" applyAlignment="1">
      <alignment horizontal="center" vertical="center"/>
    </xf>
    <xf numFmtId="3" fontId="1" fillId="0" borderId="68" xfId="0" applyNumberFormat="1" applyFont="1" applyBorder="1" applyAlignment="1">
      <alignment horizontal="center" vertical="center"/>
    </xf>
    <xf numFmtId="0" fontId="1" fillId="9" borderId="29" xfId="0" applyFont="1" applyFill="1" applyBorder="1" applyAlignment="1">
      <alignment horizontal="center" vertical="center"/>
    </xf>
    <xf numFmtId="0" fontId="108" fillId="44" borderId="45" xfId="0" applyFont="1" applyFill="1" applyBorder="1" applyAlignment="1">
      <alignment horizontal="center" vertical="center"/>
    </xf>
    <xf numFmtId="3" fontId="1" fillId="9" borderId="68" xfId="0" applyNumberFormat="1" applyFont="1" applyFill="1" applyBorder="1" applyAlignment="1">
      <alignment horizontal="center" vertical="center"/>
    </xf>
    <xf numFmtId="9" fontId="104" fillId="9" borderId="68" xfId="0" applyNumberFormat="1" applyFont="1" applyFill="1" applyBorder="1" applyAlignment="1">
      <alignment horizontal="center" vertical="center"/>
    </xf>
    <xf numFmtId="9" fontId="1" fillId="9" borderId="87" xfId="0" applyNumberFormat="1" applyFont="1" applyFill="1" applyBorder="1" applyAlignment="1">
      <alignment horizontal="center" vertical="center"/>
    </xf>
    <xf numFmtId="9" fontId="1" fillId="9" borderId="45" xfId="0" applyNumberFormat="1" applyFont="1" applyFill="1" applyBorder="1" applyAlignment="1">
      <alignment horizontal="center" vertical="center"/>
    </xf>
    <xf numFmtId="172" fontId="1" fillId="9" borderId="87" xfId="0" applyNumberFormat="1" applyFont="1" applyFill="1" applyBorder="1" applyAlignment="1">
      <alignment horizontal="center" vertical="center"/>
    </xf>
    <xf numFmtId="172" fontId="1" fillId="9" borderId="45" xfId="0" applyNumberFormat="1" applyFont="1" applyFill="1" applyBorder="1" applyAlignment="1">
      <alignment horizontal="center" vertical="center"/>
    </xf>
    <xf numFmtId="4" fontId="1" fillId="9" borderId="87" xfId="0" applyNumberFormat="1" applyFont="1" applyFill="1" applyBorder="1" applyAlignment="1">
      <alignment horizontal="center" vertical="center"/>
    </xf>
    <xf numFmtId="0" fontId="1" fillId="9" borderId="87" xfId="0" applyFont="1" applyFill="1" applyBorder="1"/>
    <xf numFmtId="0" fontId="1" fillId="15" borderId="87" xfId="0" applyFont="1" applyFill="1" applyBorder="1"/>
    <xf numFmtId="0" fontId="1" fillId="46" borderId="87" xfId="0" applyFont="1" applyFill="1" applyBorder="1"/>
    <xf numFmtId="3" fontId="115" fillId="9" borderId="0" xfId="1" applyNumberFormat="1" applyFont="1" applyFill="1" applyAlignment="1">
      <alignment horizontal="center" vertical="center"/>
    </xf>
    <xf numFmtId="3" fontId="115" fillId="0" borderId="0" xfId="1" applyNumberFormat="1" applyFont="1" applyAlignment="1">
      <alignment horizontal="center" vertical="center"/>
    </xf>
    <xf numFmtId="3" fontId="27" fillId="0" borderId="87" xfId="1" applyNumberFormat="1" applyFont="1" applyBorder="1" applyAlignment="1">
      <alignment horizontal="center" vertical="center"/>
    </xf>
    <xf numFmtId="0" fontId="104" fillId="9" borderId="88" xfId="0" applyFont="1" applyFill="1" applyBorder="1"/>
    <xf numFmtId="3" fontId="116" fillId="9" borderId="45" xfId="0" applyNumberFormat="1" applyFont="1" applyFill="1" applyBorder="1" applyAlignment="1">
      <alignment horizontal="center" vertical="center"/>
    </xf>
    <xf numFmtId="0" fontId="115" fillId="0" borderId="0" xfId="0" applyFont="1" applyAlignment="1">
      <alignment horizontal="center" vertical="center"/>
    </xf>
    <xf numFmtId="3" fontId="115" fillId="9" borderId="45" xfId="0" applyNumberFormat="1" applyFont="1" applyFill="1" applyBorder="1" applyAlignment="1">
      <alignment horizontal="center" vertical="center"/>
    </xf>
    <xf numFmtId="0" fontId="104" fillId="43" borderId="45" xfId="0" applyFont="1" applyFill="1" applyBorder="1" applyAlignment="1">
      <alignment horizontal="center" vertical="center"/>
    </xf>
    <xf numFmtId="0" fontId="104" fillId="44" borderId="45" xfId="0" applyFont="1" applyFill="1" applyBorder="1" applyAlignment="1">
      <alignment horizontal="center" vertical="center"/>
    </xf>
    <xf numFmtId="0" fontId="116" fillId="44" borderId="45" xfId="0" applyFont="1" applyFill="1" applyBorder="1" applyAlignment="1">
      <alignment horizontal="center" vertical="center"/>
    </xf>
    <xf numFmtId="1" fontId="104" fillId="9" borderId="0" xfId="0" applyNumberFormat="1" applyFont="1" applyFill="1" applyAlignment="1">
      <alignment horizontal="center" vertical="center"/>
    </xf>
    <xf numFmtId="3" fontId="27" fillId="13" borderId="0" xfId="1" applyNumberFormat="1" applyFont="1" applyFill="1" applyAlignment="1">
      <alignment horizontal="center" vertical="center"/>
    </xf>
    <xf numFmtId="9" fontId="109" fillId="9" borderId="87" xfId="0" applyNumberFormat="1" applyFont="1" applyFill="1" applyBorder="1" applyAlignment="1">
      <alignment horizontal="left" vertical="center" indent="1"/>
    </xf>
    <xf numFmtId="0" fontId="109" fillId="9" borderId="87" xfId="0" applyFont="1" applyFill="1" applyBorder="1" applyAlignment="1">
      <alignment horizontal="left" vertical="center" indent="1"/>
    </xf>
    <xf numFmtId="0" fontId="104" fillId="15" borderId="87" xfId="0" applyFont="1" applyFill="1" applyBorder="1" applyAlignment="1">
      <alignment horizontal="center" vertical="center"/>
    </xf>
    <xf numFmtId="0" fontId="104" fillId="46" borderId="87" xfId="0" applyFont="1" applyFill="1" applyBorder="1" applyAlignment="1">
      <alignment horizontal="center" vertical="center"/>
    </xf>
    <xf numFmtId="3" fontId="115" fillId="0" borderId="45" xfId="0" applyNumberFormat="1" applyFont="1" applyBorder="1" applyAlignment="1">
      <alignment horizontal="center" vertical="center"/>
    </xf>
    <xf numFmtId="0" fontId="104" fillId="9" borderId="45" xfId="0" applyFont="1" applyFill="1" applyBorder="1" applyAlignment="1">
      <alignment horizontal="center" vertical="center"/>
    </xf>
    <xf numFmtId="2" fontId="115" fillId="9" borderId="87" xfId="0" applyNumberFormat="1" applyFont="1" applyFill="1" applyBorder="1" applyAlignment="1">
      <alignment horizontal="center" vertical="center"/>
    </xf>
    <xf numFmtId="3" fontId="104" fillId="46" borderId="87" xfId="0" applyNumberFormat="1" applyFont="1" applyFill="1" applyBorder="1" applyAlignment="1">
      <alignment horizontal="center" vertical="center"/>
    </xf>
    <xf numFmtId="0" fontId="108" fillId="9" borderId="45" xfId="0" applyFont="1" applyFill="1" applyBorder="1" applyAlignment="1">
      <alignment horizontal="center" vertical="center"/>
    </xf>
    <xf numFmtId="3" fontId="27" fillId="0" borderId="0" xfId="0" applyNumberFormat="1" applyFont="1" applyAlignment="1">
      <alignment horizontal="center" vertical="center"/>
    </xf>
    <xf numFmtId="0" fontId="119" fillId="0" borderId="0" xfId="0" applyFont="1"/>
    <xf numFmtId="0" fontId="119" fillId="0" borderId="0" xfId="0" applyFont="1" applyAlignment="1">
      <alignment vertical="center"/>
    </xf>
    <xf numFmtId="3" fontId="1" fillId="0" borderId="81" xfId="0" applyNumberFormat="1" applyFont="1" applyBorder="1" applyAlignment="1">
      <alignment horizontal="center" vertical="center"/>
    </xf>
    <xf numFmtId="3" fontId="115" fillId="0" borderId="11" xfId="0" applyNumberFormat="1" applyFont="1" applyBorder="1" applyAlignment="1">
      <alignment horizontal="center" vertical="center"/>
    </xf>
    <xf numFmtId="3" fontId="1" fillId="0" borderId="37" xfId="0" applyNumberFormat="1" applyFont="1" applyBorder="1" applyAlignment="1">
      <alignment horizontal="center" vertical="center"/>
    </xf>
    <xf numFmtId="3" fontId="1" fillId="0" borderId="32" xfId="0" applyNumberFormat="1" applyFont="1" applyBorder="1" applyAlignment="1">
      <alignment horizontal="center" vertical="center"/>
    </xf>
    <xf numFmtId="3" fontId="109" fillId="0" borderId="11" xfId="0" applyNumberFormat="1" applyFont="1" applyBorder="1" applyAlignment="1">
      <alignment horizontal="center" vertical="center"/>
    </xf>
    <xf numFmtId="3" fontId="1" fillId="0" borderId="11" xfId="0" applyNumberFormat="1" applyFont="1" applyBorder="1" applyAlignment="1">
      <alignment horizontal="center" vertical="center"/>
    </xf>
    <xf numFmtId="3" fontId="109" fillId="9" borderId="11" xfId="0" applyNumberFormat="1" applyFont="1" applyFill="1" applyBorder="1" applyAlignment="1">
      <alignment horizontal="center" vertical="center"/>
    </xf>
    <xf numFmtId="172" fontId="104" fillId="9" borderId="37" xfId="0" applyNumberFormat="1" applyFont="1" applyFill="1" applyBorder="1" applyAlignment="1">
      <alignment horizontal="center" vertical="center"/>
    </xf>
    <xf numFmtId="3" fontId="104" fillId="9" borderId="91" xfId="0" applyNumberFormat="1" applyFont="1" applyFill="1" applyBorder="1" applyAlignment="1">
      <alignment horizontal="center" vertical="center"/>
    </xf>
    <xf numFmtId="3" fontId="104" fillId="9" borderId="11" xfId="0" applyNumberFormat="1" applyFont="1" applyFill="1" applyBorder="1"/>
    <xf numFmtId="3" fontId="108" fillId="9" borderId="93" xfId="0" applyNumberFormat="1" applyFont="1" applyFill="1" applyBorder="1"/>
    <xf numFmtId="0" fontId="104" fillId="9" borderId="11" xfId="0" applyFont="1" applyFill="1" applyBorder="1"/>
    <xf numFmtId="0" fontId="1" fillId="9" borderId="11" xfId="0" applyFont="1" applyFill="1" applyBorder="1" applyAlignment="1">
      <alignment horizontal="center" vertical="center"/>
    </xf>
    <xf numFmtId="0" fontId="104" fillId="46" borderId="11" xfId="0" applyFont="1" applyFill="1" applyBorder="1"/>
    <xf numFmtId="9" fontId="27" fillId="0" borderId="11" xfId="427" applyFont="1" applyFill="1" applyBorder="1" applyAlignment="1">
      <alignment horizontal="center" vertical="center"/>
    </xf>
    <xf numFmtId="9" fontId="27" fillId="0" borderId="93" xfId="427" applyFont="1" applyFill="1" applyBorder="1" applyAlignment="1">
      <alignment horizontal="center" vertical="center"/>
    </xf>
    <xf numFmtId="0" fontId="27" fillId="46" borderId="29" xfId="0" applyFont="1" applyFill="1" applyBorder="1" applyAlignment="1">
      <alignment horizontal="center" vertical="center"/>
    </xf>
    <xf numFmtId="0" fontId="27" fillId="46" borderId="6" xfId="0" applyFont="1" applyFill="1" applyBorder="1" applyAlignment="1">
      <alignment horizontal="center" vertical="center"/>
    </xf>
    <xf numFmtId="0" fontId="27" fillId="46" borderId="68" xfId="0" applyFont="1" applyFill="1" applyBorder="1" applyAlignment="1">
      <alignment horizontal="center" vertical="center"/>
    </xf>
    <xf numFmtId="14" fontId="27" fillId="46" borderId="37" xfId="1" applyNumberFormat="1" applyFont="1" applyFill="1" applyBorder="1" applyAlignment="1">
      <alignment horizontal="center" vertical="center"/>
    </xf>
    <xf numFmtId="3" fontId="27" fillId="9" borderId="0" xfId="0" applyNumberFormat="1" applyFont="1" applyFill="1" applyAlignment="1">
      <alignment horizontal="center" vertical="center"/>
    </xf>
    <xf numFmtId="3" fontId="104" fillId="43" borderId="0" xfId="0" applyNumberFormat="1" applyFont="1" applyFill="1" applyAlignment="1">
      <alignment horizontal="right"/>
    </xf>
    <xf numFmtId="3" fontId="115" fillId="43" borderId="0" xfId="0" applyNumberFormat="1" applyFont="1" applyFill="1" applyAlignment="1">
      <alignment horizontal="right"/>
    </xf>
    <xf numFmtId="172" fontId="104" fillId="0" borderId="0" xfId="0" applyNumberFormat="1" applyFont="1" applyAlignment="1">
      <alignment horizontal="right"/>
    </xf>
    <xf numFmtId="184" fontId="104" fillId="9" borderId="0" xfId="0" applyNumberFormat="1" applyFont="1" applyFill="1" applyAlignment="1">
      <alignment horizontal="right"/>
    </xf>
    <xf numFmtId="3" fontId="115" fillId="0" borderId="0" xfId="0" applyNumberFormat="1" applyFont="1" applyAlignment="1">
      <alignment horizontal="right"/>
    </xf>
    <xf numFmtId="0" fontId="101" fillId="41" borderId="0" xfId="0" applyFont="1" applyFill="1" applyAlignment="1">
      <alignment horizontal="right"/>
    </xf>
    <xf numFmtId="3" fontId="104" fillId="0" borderId="0" xfId="0" applyNumberFormat="1" applyFont="1" applyAlignment="1">
      <alignment horizontal="right"/>
    </xf>
    <xf numFmtId="3" fontId="115" fillId="44" borderId="0" xfId="0" applyNumberFormat="1" applyFont="1" applyFill="1" applyAlignment="1">
      <alignment horizontal="right"/>
    </xf>
    <xf numFmtId="2" fontId="115" fillId="44" borderId="0" xfId="0" applyNumberFormat="1" applyFont="1" applyFill="1" applyAlignment="1">
      <alignment horizontal="right"/>
    </xf>
    <xf numFmtId="4" fontId="104" fillId="0" borderId="0" xfId="0" applyNumberFormat="1" applyFont="1" applyAlignment="1">
      <alignment horizontal="right"/>
    </xf>
    <xf numFmtId="4" fontId="183" fillId="0" borderId="0" xfId="0" applyNumberFormat="1" applyFont="1" applyAlignment="1">
      <alignment horizontal="right"/>
    </xf>
    <xf numFmtId="4" fontId="130" fillId="44" borderId="0" xfId="0" applyNumberFormat="1" applyFont="1" applyFill="1" applyAlignment="1">
      <alignment horizontal="right"/>
    </xf>
    <xf numFmtId="3" fontId="104" fillId="9" borderId="37" xfId="0" applyNumberFormat="1" applyFont="1" applyFill="1" applyBorder="1" applyAlignment="1">
      <alignment horizontal="right"/>
    </xf>
    <xf numFmtId="3" fontId="104" fillId="44" borderId="0" xfId="0" applyNumberFormat="1" applyFont="1" applyFill="1" applyAlignment="1">
      <alignment horizontal="right"/>
    </xf>
    <xf numFmtId="3" fontId="104" fillId="16" borderId="6" xfId="0" applyNumberFormat="1" applyFont="1" applyFill="1" applyBorder="1" applyAlignment="1">
      <alignment horizontal="right"/>
    </xf>
    <xf numFmtId="3" fontId="104" fillId="9" borderId="8" xfId="0" applyNumberFormat="1" applyFont="1" applyFill="1" applyBorder="1" applyAlignment="1">
      <alignment horizontal="right"/>
    </xf>
    <xf numFmtId="3" fontId="104" fillId="13" borderId="0" xfId="0" applyNumberFormat="1" applyFont="1" applyFill="1" applyAlignment="1">
      <alignment horizontal="right"/>
    </xf>
    <xf numFmtId="172" fontId="104" fillId="43" borderId="0" xfId="427" applyNumberFormat="1" applyFont="1" applyFill="1" applyAlignment="1">
      <alignment horizontal="right"/>
    </xf>
    <xf numFmtId="0" fontId="104" fillId="43" borderId="0" xfId="0" applyFont="1" applyFill="1" applyAlignment="1">
      <alignment horizontal="right"/>
    </xf>
    <xf numFmtId="172" fontId="115" fillId="9" borderId="34" xfId="0" applyNumberFormat="1" applyFont="1" applyFill="1" applyBorder="1" applyAlignment="1">
      <alignment horizontal="right"/>
    </xf>
    <xf numFmtId="3" fontId="104" fillId="43" borderId="0" xfId="427" applyNumberFormat="1" applyFont="1" applyFill="1" applyAlignment="1">
      <alignment horizontal="right"/>
    </xf>
    <xf numFmtId="1" fontId="104" fillId="9" borderId="0" xfId="0" applyNumberFormat="1" applyFont="1" applyFill="1" applyAlignment="1">
      <alignment horizontal="right"/>
    </xf>
    <xf numFmtId="3" fontId="1" fillId="9" borderId="0" xfId="0" quotePrefix="1" applyNumberFormat="1" applyFont="1" applyFill="1" applyAlignment="1">
      <alignment horizontal="right"/>
    </xf>
    <xf numFmtId="9" fontId="104" fillId="9" borderId="0" xfId="427" applyFont="1" applyFill="1" applyBorder="1" applyAlignment="1">
      <alignment horizontal="right"/>
    </xf>
    <xf numFmtId="3" fontId="1" fillId="44" borderId="0" xfId="0" applyNumberFormat="1" applyFont="1" applyFill="1" applyAlignment="1">
      <alignment horizontal="right"/>
    </xf>
    <xf numFmtId="3" fontId="130" fillId="0" borderId="0" xfId="0" applyNumberFormat="1" applyFont="1" applyAlignment="1">
      <alignment horizontal="right"/>
    </xf>
    <xf numFmtId="3" fontId="130" fillId="44" borderId="0" xfId="0" applyNumberFormat="1" applyFont="1" applyFill="1" applyAlignment="1">
      <alignment horizontal="right"/>
    </xf>
    <xf numFmtId="3" fontId="115" fillId="13" borderId="0" xfId="0" applyNumberFormat="1" applyFont="1" applyFill="1" applyAlignment="1">
      <alignment horizontal="right"/>
    </xf>
    <xf numFmtId="3" fontId="2" fillId="9" borderId="0" xfId="0" applyNumberFormat="1" applyFont="1" applyFill="1" applyAlignment="1">
      <alignment horizontal="right"/>
    </xf>
    <xf numFmtId="0" fontId="1" fillId="43" borderId="0" xfId="0" applyFont="1" applyFill="1" applyAlignment="1">
      <alignment horizontal="right"/>
    </xf>
    <xf numFmtId="3" fontId="1" fillId="43" borderId="0" xfId="0" applyNumberFormat="1" applyFont="1" applyFill="1" applyAlignment="1">
      <alignment horizontal="right"/>
    </xf>
    <xf numFmtId="9" fontId="1" fillId="0" borderId="0" xfId="0" applyNumberFormat="1" applyFont="1" applyAlignment="1">
      <alignment horizontal="right"/>
    </xf>
    <xf numFmtId="0" fontId="1" fillId="0" borderId="0" xfId="0" applyFont="1" applyAlignment="1">
      <alignment horizontal="right"/>
    </xf>
    <xf numFmtId="9" fontId="115" fillId="44" borderId="0" xfId="0" applyNumberFormat="1" applyFont="1" applyFill="1" applyAlignment="1">
      <alignment horizontal="right"/>
    </xf>
    <xf numFmtId="0" fontId="103" fillId="41" borderId="34" xfId="0" applyFont="1" applyFill="1" applyBorder="1" applyAlignment="1">
      <alignment horizontal="right"/>
    </xf>
    <xf numFmtId="3" fontId="115" fillId="9" borderId="34" xfId="0" applyNumberFormat="1" applyFont="1" applyFill="1" applyBorder="1" applyAlignment="1">
      <alignment horizontal="right"/>
    </xf>
    <xf numFmtId="215" fontId="102" fillId="46" borderId="0" xfId="1" applyNumberFormat="1" applyFont="1" applyFill="1" applyAlignment="1">
      <alignment horizontal="right"/>
    </xf>
    <xf numFmtId="0" fontId="101" fillId="46" borderId="0" xfId="0" applyFont="1" applyFill="1" applyAlignment="1">
      <alignment horizontal="right"/>
    </xf>
    <xf numFmtId="3" fontId="27" fillId="0" borderId="0" xfId="0" applyNumberFormat="1" applyFont="1" applyAlignment="1">
      <alignment horizontal="right"/>
    </xf>
    <xf numFmtId="228" fontId="101" fillId="42" borderId="0" xfId="0" applyNumberFormat="1" applyFont="1" applyFill="1" applyAlignment="1">
      <alignment horizontal="right"/>
    </xf>
    <xf numFmtId="0" fontId="101" fillId="42" borderId="0" xfId="0" applyFont="1" applyFill="1" applyAlignment="1">
      <alignment horizontal="right"/>
    </xf>
    <xf numFmtId="0" fontId="1" fillId="0" borderId="0" xfId="0" applyFont="1" applyAlignment="1">
      <alignment horizontal="right" vertical="center"/>
    </xf>
    <xf numFmtId="0" fontId="103" fillId="41" borderId="6" xfId="1" applyFont="1" applyFill="1" applyBorder="1" applyAlignment="1">
      <alignment horizontal="right"/>
    </xf>
    <xf numFmtId="0" fontId="102" fillId="42" borderId="0" xfId="1" applyFont="1" applyFill="1" applyAlignment="1">
      <alignment horizontal="right"/>
    </xf>
    <xf numFmtId="9" fontId="104" fillId="0" borderId="0" xfId="0" applyNumberFormat="1" applyFont="1" applyAlignment="1">
      <alignment horizontal="right"/>
    </xf>
    <xf numFmtId="172" fontId="1" fillId="0" borderId="0" xfId="0" applyNumberFormat="1" applyFont="1" applyAlignment="1">
      <alignment horizontal="right"/>
    </xf>
    <xf numFmtId="172" fontId="27" fillId="44" borderId="0" xfId="1" applyNumberFormat="1" applyFont="1" applyFill="1" applyAlignment="1">
      <alignment horizontal="right"/>
    </xf>
    <xf numFmtId="4" fontId="104" fillId="44" borderId="0" xfId="0" applyNumberFormat="1" applyFont="1" applyFill="1" applyAlignment="1">
      <alignment horizontal="right"/>
    </xf>
    <xf numFmtId="3" fontId="27" fillId="9" borderId="0" xfId="1" applyNumberFormat="1" applyFont="1" applyFill="1" applyAlignment="1">
      <alignment horizontal="right"/>
    </xf>
    <xf numFmtId="0" fontId="115" fillId="9" borderId="0" xfId="1" applyFont="1" applyFill="1" applyAlignment="1">
      <alignment horizontal="right"/>
    </xf>
    <xf numFmtId="3" fontId="115" fillId="9" borderId="0" xfId="1" applyNumberFormat="1" applyFont="1" applyFill="1" applyAlignment="1">
      <alignment horizontal="right"/>
    </xf>
    <xf numFmtId="3" fontId="27" fillId="44" borderId="0" xfId="1" applyNumberFormat="1" applyFont="1" applyFill="1" applyAlignment="1">
      <alignment horizontal="right"/>
    </xf>
    <xf numFmtId="3" fontId="27" fillId="9" borderId="37" xfId="1" applyNumberFormat="1" applyFont="1" applyFill="1" applyBorder="1" applyAlignment="1">
      <alignment horizontal="right"/>
    </xf>
    <xf numFmtId="4" fontId="27" fillId="9" borderId="0" xfId="1" applyNumberFormat="1" applyFont="1" applyFill="1" applyAlignment="1">
      <alignment horizontal="right"/>
    </xf>
    <xf numFmtId="172" fontId="27" fillId="9" borderId="0" xfId="1" applyNumberFormat="1" applyFont="1" applyFill="1" applyAlignment="1">
      <alignment horizontal="right"/>
    </xf>
    <xf numFmtId="9" fontId="27" fillId="9" borderId="0" xfId="427" applyFont="1" applyFill="1" applyAlignment="1">
      <alignment horizontal="right"/>
    </xf>
    <xf numFmtId="1" fontId="27" fillId="9" borderId="0" xfId="1" applyNumberFormat="1" applyFont="1" applyFill="1" applyAlignment="1">
      <alignment horizontal="right"/>
    </xf>
    <xf numFmtId="180" fontId="27" fillId="9" borderId="0" xfId="1" applyNumberFormat="1" applyFont="1" applyFill="1" applyAlignment="1">
      <alignment horizontal="right"/>
    </xf>
    <xf numFmtId="10" fontId="27" fillId="9" borderId="0" xfId="1" applyNumberFormat="1" applyFont="1" applyFill="1" applyAlignment="1">
      <alignment horizontal="right"/>
    </xf>
    <xf numFmtId="180" fontId="115" fillId="9" borderId="0" xfId="1" applyNumberFormat="1" applyFont="1" applyFill="1" applyAlignment="1">
      <alignment horizontal="right"/>
    </xf>
    <xf numFmtId="180" fontId="115" fillId="0" borderId="0" xfId="1" applyNumberFormat="1" applyFont="1" applyAlignment="1">
      <alignment horizontal="right"/>
    </xf>
    <xf numFmtId="180" fontId="27" fillId="0" borderId="0" xfId="1" applyNumberFormat="1" applyFont="1" applyAlignment="1">
      <alignment horizontal="right"/>
    </xf>
    <xf numFmtId="172" fontId="27" fillId="0" borderId="0" xfId="1" applyNumberFormat="1" applyFont="1" applyAlignment="1">
      <alignment horizontal="right"/>
    </xf>
    <xf numFmtId="3" fontId="115" fillId="0" borderId="0" xfId="1" applyNumberFormat="1" applyFont="1" applyAlignment="1">
      <alignment horizontal="right"/>
    </xf>
    <xf numFmtId="172" fontId="27" fillId="9" borderId="0" xfId="427" applyNumberFormat="1" applyFont="1" applyFill="1" applyAlignment="1">
      <alignment horizontal="right"/>
    </xf>
    <xf numFmtId="4" fontId="27" fillId="0" borderId="0" xfId="1" applyNumberFormat="1" applyFont="1" applyAlignment="1">
      <alignment horizontal="right"/>
    </xf>
    <xf numFmtId="3" fontId="27" fillId="0" borderId="0" xfId="1" applyNumberFormat="1" applyFont="1" applyAlignment="1">
      <alignment horizontal="right"/>
    </xf>
    <xf numFmtId="4" fontId="115" fillId="9" borderId="0" xfId="1" applyNumberFormat="1" applyFont="1" applyFill="1" applyAlignment="1">
      <alignment horizontal="right"/>
    </xf>
    <xf numFmtId="4" fontId="115" fillId="0" borderId="0" xfId="1" applyNumberFormat="1" applyFont="1" applyAlignment="1">
      <alignment horizontal="right"/>
    </xf>
    <xf numFmtId="9" fontId="27" fillId="0" borderId="0" xfId="1" applyNumberFormat="1" applyFont="1" applyAlignment="1">
      <alignment horizontal="right"/>
    </xf>
    <xf numFmtId="9" fontId="115" fillId="9" borderId="0" xfId="1" applyNumberFormat="1" applyFont="1" applyFill="1" applyAlignment="1">
      <alignment horizontal="right"/>
    </xf>
    <xf numFmtId="0" fontId="115" fillId="0" borderId="0" xfId="1" applyFont="1" applyAlignment="1">
      <alignment horizontal="right"/>
    </xf>
    <xf numFmtId="0" fontId="27" fillId="0" borderId="0" xfId="1" applyFont="1" applyAlignment="1">
      <alignment horizontal="right"/>
    </xf>
    <xf numFmtId="180" fontId="27" fillId="43" borderId="0" xfId="1" applyNumberFormat="1" applyFont="1" applyFill="1" applyAlignment="1">
      <alignment horizontal="right"/>
    </xf>
    <xf numFmtId="3" fontId="27" fillId="43" borderId="0" xfId="1" applyNumberFormat="1" applyFont="1" applyFill="1" applyAlignment="1">
      <alignment horizontal="right"/>
    </xf>
    <xf numFmtId="0" fontId="115" fillId="44" borderId="0" xfId="1" applyFont="1" applyFill="1" applyAlignment="1">
      <alignment horizontal="right"/>
    </xf>
    <xf numFmtId="180" fontId="115" fillId="43" borderId="0" xfId="1" applyNumberFormat="1" applyFont="1" applyFill="1" applyAlignment="1">
      <alignment horizontal="right"/>
    </xf>
    <xf numFmtId="1" fontId="115" fillId="9" borderId="0" xfId="1" applyNumberFormat="1" applyFont="1" applyFill="1" applyAlignment="1">
      <alignment horizontal="right"/>
    </xf>
    <xf numFmtId="3" fontId="1" fillId="44" borderId="0" xfId="1" applyNumberFormat="1" applyFont="1" applyFill="1" applyAlignment="1">
      <alignment horizontal="right"/>
    </xf>
    <xf numFmtId="171" fontId="27" fillId="9" borderId="0" xfId="1" applyNumberFormat="1" applyFont="1" applyFill="1" applyAlignment="1">
      <alignment horizontal="right"/>
    </xf>
    <xf numFmtId="3" fontId="101" fillId="41" borderId="8" xfId="1" applyNumberFormat="1" applyFont="1" applyFill="1" applyBorder="1" applyAlignment="1">
      <alignment horizontal="right"/>
    </xf>
    <xf numFmtId="184" fontId="27" fillId="9" borderId="0" xfId="1" applyNumberFormat="1" applyFont="1" applyFill="1" applyAlignment="1">
      <alignment horizontal="right"/>
    </xf>
    <xf numFmtId="0" fontId="103" fillId="41" borderId="0" xfId="1" applyFont="1" applyFill="1" applyAlignment="1">
      <alignment horizontal="right"/>
    </xf>
    <xf numFmtId="0" fontId="27" fillId="43" borderId="0" xfId="1" applyFont="1" applyFill="1" applyAlignment="1">
      <alignment horizontal="right"/>
    </xf>
    <xf numFmtId="1" fontId="115" fillId="0" borderId="0" xfId="1" applyNumberFormat="1" applyFont="1" applyAlignment="1">
      <alignment horizontal="right"/>
    </xf>
    <xf numFmtId="1" fontId="27" fillId="0" borderId="0" xfId="1" applyNumberFormat="1" applyFont="1" applyAlignment="1">
      <alignment horizontal="right"/>
    </xf>
    <xf numFmtId="3" fontId="27" fillId="9" borderId="6" xfId="1" applyNumberFormat="1" applyFont="1" applyFill="1" applyBorder="1" applyAlignment="1">
      <alignment horizontal="right"/>
    </xf>
    <xf numFmtId="0" fontId="27" fillId="9" borderId="34" xfId="1" applyFont="1" applyFill="1" applyBorder="1" applyAlignment="1">
      <alignment horizontal="right"/>
    </xf>
    <xf numFmtId="3" fontId="27" fillId="9" borderId="34" xfId="1" applyNumberFormat="1" applyFont="1" applyFill="1" applyBorder="1" applyAlignment="1">
      <alignment horizontal="right"/>
    </xf>
    <xf numFmtId="0" fontId="101" fillId="41" borderId="8" xfId="1" applyFont="1" applyFill="1" applyBorder="1" applyAlignment="1">
      <alignment horizontal="right"/>
    </xf>
    <xf numFmtId="1" fontId="27" fillId="43" borderId="3" xfId="1" applyNumberFormat="1" applyFont="1" applyFill="1" applyBorder="1" applyAlignment="1">
      <alignment horizontal="right"/>
    </xf>
    <xf numFmtId="1" fontId="27" fillId="9" borderId="34" xfId="1" applyNumberFormat="1" applyFont="1" applyFill="1" applyBorder="1" applyAlignment="1">
      <alignment horizontal="right"/>
    </xf>
    <xf numFmtId="184" fontId="110" fillId="9" borderId="0" xfId="1" applyNumberFormat="1" applyFont="1" applyFill="1" applyAlignment="1">
      <alignment horizontal="right"/>
    </xf>
    <xf numFmtId="1" fontId="27" fillId="44" borderId="0" xfId="1" applyNumberFormat="1" applyFont="1" applyFill="1" applyAlignment="1">
      <alignment horizontal="right"/>
    </xf>
    <xf numFmtId="3" fontId="115" fillId="43" borderId="0" xfId="1" applyNumberFormat="1" applyFont="1" applyFill="1" applyAlignment="1">
      <alignment horizontal="right"/>
    </xf>
    <xf numFmtId="1" fontId="27" fillId="43" borderId="0" xfId="1" applyNumberFormat="1" applyFont="1" applyFill="1" applyAlignment="1">
      <alignment horizontal="right"/>
    </xf>
    <xf numFmtId="172" fontId="115" fillId="9" borderId="0" xfId="1" applyNumberFormat="1" applyFont="1" applyFill="1" applyAlignment="1">
      <alignment horizontal="right"/>
    </xf>
    <xf numFmtId="0" fontId="115" fillId="43" borderId="0" xfId="1" applyFont="1" applyFill="1" applyAlignment="1">
      <alignment horizontal="right"/>
    </xf>
    <xf numFmtId="0" fontId="27" fillId="9" borderId="6" xfId="1" applyFont="1" applyFill="1" applyBorder="1" applyAlignment="1">
      <alignment horizontal="right"/>
    </xf>
    <xf numFmtId="0" fontId="27" fillId="9" borderId="36" xfId="1" applyFont="1" applyFill="1" applyBorder="1" applyAlignment="1">
      <alignment horizontal="right"/>
    </xf>
    <xf numFmtId="3" fontId="27" fillId="9" borderId="36" xfId="1" applyNumberFormat="1" applyFont="1" applyFill="1" applyBorder="1" applyAlignment="1">
      <alignment horizontal="right"/>
    </xf>
    <xf numFmtId="3" fontId="27" fillId="0" borderId="36" xfId="1" applyNumberFormat="1" applyFont="1" applyBorder="1" applyAlignment="1">
      <alignment horizontal="right"/>
    </xf>
    <xf numFmtId="0" fontId="102" fillId="9" borderId="0" xfId="1" applyFont="1" applyFill="1" applyAlignment="1">
      <alignment horizontal="right"/>
    </xf>
    <xf numFmtId="3" fontId="102" fillId="9" borderId="0" xfId="1" applyNumberFormat="1" applyFont="1" applyFill="1" applyAlignment="1">
      <alignment horizontal="right"/>
    </xf>
    <xf numFmtId="220" fontId="27" fillId="9" borderId="0" xfId="428" applyNumberFormat="1" applyFont="1" applyFill="1" applyAlignment="1">
      <alignment horizontal="right"/>
    </xf>
    <xf numFmtId="220" fontId="115" fillId="9" borderId="0" xfId="428" applyNumberFormat="1" applyFont="1" applyFill="1" applyAlignment="1">
      <alignment horizontal="right"/>
    </xf>
    <xf numFmtId="3" fontId="115" fillId="9" borderId="0" xfId="428" applyNumberFormat="1" applyFont="1" applyFill="1" applyAlignment="1">
      <alignment horizontal="right"/>
    </xf>
    <xf numFmtId="0" fontId="27" fillId="46" borderId="91" xfId="0" applyFont="1" applyFill="1" applyBorder="1" applyAlignment="1">
      <alignment horizontal="center" vertical="center"/>
    </xf>
    <xf numFmtId="0" fontId="27" fillId="46" borderId="12" xfId="0" applyFont="1" applyFill="1" applyBorder="1" applyAlignment="1">
      <alignment horizontal="center" vertical="center"/>
    </xf>
    <xf numFmtId="14" fontId="27" fillId="46" borderId="32" xfId="1" applyNumberFormat="1" applyFont="1" applyFill="1" applyBorder="1" applyAlignment="1">
      <alignment horizontal="center" vertical="center"/>
    </xf>
    <xf numFmtId="3" fontId="104" fillId="15" borderId="11" xfId="0" applyNumberFormat="1" applyFont="1" applyFill="1" applyBorder="1"/>
    <xf numFmtId="3" fontId="104" fillId="9" borderId="11" xfId="428" applyNumberFormat="1" applyFont="1" applyFill="1" applyBorder="1"/>
    <xf numFmtId="0" fontId="101" fillId="15" borderId="11" xfId="1" applyFont="1" applyFill="1" applyBorder="1" applyAlignment="1">
      <alignment horizontal="center" vertical="center"/>
    </xf>
    <xf numFmtId="9" fontId="27" fillId="0" borderId="94" xfId="427" applyFont="1" applyFill="1" applyBorder="1" applyAlignment="1">
      <alignment horizontal="center" vertical="center"/>
    </xf>
    <xf numFmtId="0" fontId="109" fillId="9" borderId="87" xfId="0" applyFont="1" applyFill="1" applyBorder="1" applyAlignment="1">
      <alignment horizontal="left" indent="1"/>
    </xf>
    <xf numFmtId="9" fontId="104" fillId="9" borderId="87" xfId="0" applyNumberFormat="1" applyFont="1" applyFill="1" applyBorder="1"/>
    <xf numFmtId="0" fontId="108" fillId="9" borderId="87" xfId="0" applyFont="1" applyFill="1" applyBorder="1"/>
    <xf numFmtId="1" fontId="104" fillId="9" borderId="87" xfId="0" applyNumberFormat="1" applyFont="1" applyFill="1" applyBorder="1"/>
    <xf numFmtId="0" fontId="102" fillId="46" borderId="0" xfId="1" applyFont="1" applyFill="1" applyAlignment="1">
      <alignment horizontal="right"/>
    </xf>
    <xf numFmtId="1" fontId="101" fillId="41" borderId="0" xfId="1" applyNumberFormat="1" applyFont="1" applyFill="1" applyAlignment="1">
      <alignment horizontal="right"/>
    </xf>
    <xf numFmtId="172" fontId="27" fillId="13" borderId="0" xfId="1" applyNumberFormat="1" applyFont="1" applyFill="1" applyAlignment="1">
      <alignment horizontal="right"/>
    </xf>
    <xf numFmtId="215" fontId="102" fillId="46" borderId="6" xfId="1" applyNumberFormat="1" applyFont="1" applyFill="1" applyBorder="1" applyAlignment="1">
      <alignment horizontal="right"/>
    </xf>
    <xf numFmtId="262" fontId="103" fillId="41" borderId="0" xfId="1" applyNumberFormat="1" applyFont="1" applyFill="1" applyAlignment="1">
      <alignment horizontal="right"/>
    </xf>
    <xf numFmtId="215" fontId="108" fillId="46" borderId="6" xfId="1" applyNumberFormat="1" applyFont="1" applyFill="1" applyBorder="1" applyAlignment="1">
      <alignment horizontal="center"/>
    </xf>
    <xf numFmtId="172" fontId="115" fillId="13" borderId="0" xfId="0" applyNumberFormat="1" applyFont="1" applyFill="1"/>
    <xf numFmtId="172" fontId="115" fillId="13" borderId="0" xfId="0" applyNumberFormat="1" applyFont="1" applyFill="1" applyAlignment="1">
      <alignment horizontal="right"/>
    </xf>
    <xf numFmtId="9" fontId="115" fillId="13" borderId="0" xfId="427" applyFont="1" applyFill="1" applyBorder="1" applyAlignment="1">
      <alignment horizontal="right"/>
    </xf>
    <xf numFmtId="9" fontId="115" fillId="13" borderId="0" xfId="0" applyNumberFormat="1" applyFont="1" applyFill="1" applyAlignment="1">
      <alignment horizontal="right"/>
    </xf>
    <xf numFmtId="2" fontId="1" fillId="0" borderId="0" xfId="0" applyNumberFormat="1" applyFont="1" applyAlignment="1">
      <alignment horizontal="right" vertical="center"/>
    </xf>
    <xf numFmtId="2" fontId="1" fillId="0" borderId="0" xfId="0" applyNumberFormat="1" applyFont="1" applyAlignment="1">
      <alignment horizontal="right"/>
    </xf>
    <xf numFmtId="1" fontId="103" fillId="41" borderId="6" xfId="1" applyNumberFormat="1" applyFont="1" applyFill="1" applyBorder="1" applyAlignment="1">
      <alignment horizontal="right"/>
    </xf>
    <xf numFmtId="3" fontId="115" fillId="43" borderId="0" xfId="0" applyNumberFormat="1" applyFont="1" applyFill="1" applyAlignment="1">
      <alignment horizontal="center"/>
    </xf>
    <xf numFmtId="1" fontId="115" fillId="0" borderId="0" xfId="0" applyNumberFormat="1" applyFont="1" applyAlignment="1">
      <alignment horizontal="right"/>
    </xf>
    <xf numFmtId="2" fontId="115" fillId="44" borderId="0" xfId="0" applyNumberFormat="1" applyFont="1" applyFill="1"/>
    <xf numFmtId="0" fontId="3" fillId="0" borderId="0" xfId="0" applyFont="1"/>
    <xf numFmtId="9" fontId="115" fillId="0" borderId="0" xfId="0" applyNumberFormat="1" applyFont="1" applyAlignment="1">
      <alignment horizontal="center"/>
    </xf>
    <xf numFmtId="172" fontId="102" fillId="9" borderId="0" xfId="1" applyNumberFormat="1" applyFont="1" applyFill="1" applyAlignment="1">
      <alignment horizontal="right"/>
    </xf>
    <xf numFmtId="0" fontId="102" fillId="9" borderId="8" xfId="1" applyFont="1" applyFill="1" applyBorder="1"/>
    <xf numFmtId="0" fontId="102" fillId="9" borderId="8" xfId="1" applyFont="1" applyFill="1" applyBorder="1" applyAlignment="1">
      <alignment horizontal="right"/>
    </xf>
    <xf numFmtId="3" fontId="116" fillId="9" borderId="8" xfId="1" applyNumberFormat="1" applyFont="1" applyFill="1" applyBorder="1" applyAlignment="1">
      <alignment horizontal="right"/>
    </xf>
    <xf numFmtId="3" fontId="102" fillId="9" borderId="8" xfId="1" applyNumberFormat="1" applyFont="1" applyFill="1" applyBorder="1" applyAlignment="1">
      <alignment horizontal="right"/>
    </xf>
    <xf numFmtId="3" fontId="102" fillId="9" borderId="37" xfId="1" applyNumberFormat="1" applyFont="1" applyFill="1" applyBorder="1" applyAlignment="1">
      <alignment horizontal="right"/>
    </xf>
    <xf numFmtId="0" fontId="102" fillId="9" borderId="37" xfId="1" applyFont="1" applyFill="1" applyBorder="1"/>
    <xf numFmtId="172" fontId="102" fillId="9" borderId="37" xfId="1" applyNumberFormat="1" applyFont="1" applyFill="1" applyBorder="1" applyAlignment="1">
      <alignment horizontal="right"/>
    </xf>
    <xf numFmtId="180" fontId="102" fillId="9" borderId="8" xfId="1" applyNumberFormat="1" applyFont="1" applyFill="1" applyBorder="1" applyAlignment="1">
      <alignment horizontal="right"/>
    </xf>
    <xf numFmtId="1" fontId="102" fillId="9" borderId="0" xfId="1" applyNumberFormat="1" applyFont="1" applyFill="1"/>
    <xf numFmtId="9" fontId="102" fillId="9" borderId="0" xfId="1" applyNumberFormat="1" applyFont="1" applyFill="1"/>
    <xf numFmtId="172" fontId="102" fillId="9" borderId="8" xfId="1" applyNumberFormat="1" applyFont="1" applyFill="1" applyBorder="1" applyAlignment="1">
      <alignment horizontal="right"/>
    </xf>
    <xf numFmtId="9" fontId="102" fillId="9" borderId="8" xfId="1" applyNumberFormat="1" applyFont="1" applyFill="1" applyBorder="1" applyAlignment="1">
      <alignment horizontal="right"/>
    </xf>
    <xf numFmtId="9" fontId="102" fillId="9" borderId="37" xfId="1" applyNumberFormat="1" applyFont="1" applyFill="1" applyBorder="1" applyAlignment="1">
      <alignment horizontal="right"/>
    </xf>
    <xf numFmtId="1" fontId="102" fillId="9" borderId="0" xfId="1" applyNumberFormat="1" applyFont="1" applyFill="1" applyAlignment="1">
      <alignment horizontal="right"/>
    </xf>
    <xf numFmtId="0" fontId="102" fillId="43" borderId="0" xfId="1" applyFont="1" applyFill="1" applyAlignment="1">
      <alignment horizontal="left"/>
    </xf>
    <xf numFmtId="180" fontId="116" fillId="43" borderId="0" xfId="1" applyNumberFormat="1" applyFont="1" applyFill="1" applyAlignment="1">
      <alignment horizontal="right"/>
    </xf>
    <xf numFmtId="180" fontId="102" fillId="43" borderId="0" xfId="1" applyNumberFormat="1" applyFont="1" applyFill="1" applyAlignment="1">
      <alignment horizontal="right"/>
    </xf>
    <xf numFmtId="3" fontId="102" fillId="43" borderId="0" xfId="1" applyNumberFormat="1" applyFont="1" applyFill="1" applyAlignment="1">
      <alignment horizontal="right"/>
    </xf>
    <xf numFmtId="9" fontId="102" fillId="9" borderId="0" xfId="427" applyFont="1" applyFill="1" applyBorder="1"/>
    <xf numFmtId="9" fontId="102" fillId="9" borderId="0" xfId="1" applyNumberFormat="1" applyFont="1" applyFill="1" applyAlignment="1">
      <alignment horizontal="right"/>
    </xf>
    <xf numFmtId="3" fontId="102" fillId="0" borderId="0" xfId="1" applyNumberFormat="1" applyFont="1" applyAlignment="1">
      <alignment horizontal="right"/>
    </xf>
    <xf numFmtId="172" fontId="104" fillId="13" borderId="0" xfId="0" applyNumberFormat="1" applyFont="1" applyFill="1" applyAlignment="1">
      <alignment horizontal="right"/>
    </xf>
    <xf numFmtId="0" fontId="108" fillId="9" borderId="68" xfId="0" applyFont="1" applyFill="1" applyBorder="1"/>
    <xf numFmtId="9" fontId="108" fillId="9" borderId="68" xfId="0" applyNumberFormat="1" applyFont="1" applyFill="1" applyBorder="1"/>
    <xf numFmtId="172" fontId="108" fillId="9" borderId="68" xfId="0" applyNumberFormat="1" applyFont="1" applyFill="1" applyBorder="1"/>
    <xf numFmtId="172" fontId="108" fillId="9" borderId="68" xfId="0" applyNumberFormat="1" applyFont="1" applyFill="1" applyBorder="1" applyAlignment="1">
      <alignment horizontal="right"/>
    </xf>
    <xf numFmtId="3" fontId="1" fillId="0" borderId="0" xfId="1" applyNumberFormat="1" applyFont="1" applyAlignment="1">
      <alignment horizontal="right"/>
    </xf>
    <xf numFmtId="0" fontId="102" fillId="40" borderId="0" xfId="1" applyFont="1" applyFill="1"/>
    <xf numFmtId="180" fontId="27" fillId="40" borderId="0" xfId="1" applyNumberFormat="1" applyFont="1" applyFill="1" applyAlignment="1">
      <alignment horizontal="right"/>
    </xf>
    <xf numFmtId="3" fontId="27" fillId="40" borderId="0" xfId="1" applyNumberFormat="1" applyFont="1" applyFill="1" applyAlignment="1">
      <alignment horizontal="right"/>
    </xf>
    <xf numFmtId="3" fontId="102" fillId="40" borderId="0" xfId="1" applyNumberFormat="1" applyFont="1" applyFill="1" applyAlignment="1">
      <alignment horizontal="right"/>
    </xf>
    <xf numFmtId="172" fontId="110" fillId="9" borderId="0" xfId="1" applyNumberFormat="1" applyFont="1" applyFill="1" applyAlignment="1">
      <alignment horizontal="right"/>
    </xf>
    <xf numFmtId="0" fontId="102" fillId="0" borderId="0" xfId="1" applyFont="1"/>
    <xf numFmtId="3" fontId="115" fillId="40" borderId="0" xfId="1" applyNumberFormat="1" applyFont="1" applyFill="1" applyAlignment="1">
      <alignment horizontal="right"/>
    </xf>
    <xf numFmtId="0" fontId="115" fillId="40" borderId="0" xfId="1" applyFont="1" applyFill="1" applyAlignment="1">
      <alignment horizontal="right"/>
    </xf>
    <xf numFmtId="180" fontId="115" fillId="40" borderId="0" xfId="1" applyNumberFormat="1" applyFont="1" applyFill="1" applyAlignment="1">
      <alignment horizontal="right"/>
    </xf>
    <xf numFmtId="3" fontId="116" fillId="40" borderId="0" xfId="1" applyNumberFormat="1" applyFont="1" applyFill="1" applyAlignment="1">
      <alignment horizontal="right"/>
    </xf>
    <xf numFmtId="9" fontId="109" fillId="9" borderId="0" xfId="427" applyFont="1" applyFill="1" applyAlignment="1">
      <alignment horizontal="right"/>
    </xf>
    <xf numFmtId="0" fontId="110" fillId="9" borderId="0" xfId="1" applyFont="1" applyFill="1" applyAlignment="1">
      <alignment horizontal="left" indent="1"/>
    </xf>
    <xf numFmtId="180" fontId="102" fillId="40" borderId="0" xfId="1" applyNumberFormat="1" applyFont="1" applyFill="1" applyAlignment="1">
      <alignment horizontal="right"/>
    </xf>
    <xf numFmtId="172" fontId="110" fillId="0" borderId="0" xfId="1" applyNumberFormat="1" applyFont="1" applyAlignment="1">
      <alignment horizontal="right"/>
    </xf>
    <xf numFmtId="3" fontId="27" fillId="0" borderId="0" xfId="428" applyNumberFormat="1" applyFont="1" applyFill="1" applyBorder="1" applyAlignment="1">
      <alignment horizontal="right"/>
    </xf>
    <xf numFmtId="4" fontId="27" fillId="0" borderId="0" xfId="1" applyNumberFormat="1" applyFont="1"/>
    <xf numFmtId="215" fontId="108" fillId="46" borderId="0" xfId="1" applyNumberFormat="1" applyFont="1" applyFill="1" applyAlignment="1">
      <alignment horizontal="right"/>
    </xf>
    <xf numFmtId="0" fontId="27" fillId="0" borderId="0" xfId="1" applyFont="1" applyAlignment="1">
      <alignment horizontal="left"/>
    </xf>
    <xf numFmtId="0" fontId="110" fillId="0" borderId="0" xfId="1" applyFont="1" applyAlignment="1">
      <alignment horizontal="left" indent="1"/>
    </xf>
    <xf numFmtId="0" fontId="27" fillId="0" borderId="0" xfId="1" applyFont="1" applyAlignment="1">
      <alignment horizontal="left" indent="1"/>
    </xf>
    <xf numFmtId="180" fontId="27" fillId="44" borderId="0" xfId="1" applyNumberFormat="1" applyFont="1" applyFill="1" applyAlignment="1">
      <alignment horizontal="right"/>
    </xf>
    <xf numFmtId="171" fontId="27" fillId="44" borderId="0" xfId="1" applyNumberFormat="1" applyFont="1" applyFill="1" applyAlignment="1">
      <alignment horizontal="right"/>
    </xf>
    <xf numFmtId="9" fontId="27" fillId="44" borderId="0" xfId="1" applyNumberFormat="1" applyFont="1" applyFill="1" applyAlignment="1">
      <alignment horizontal="right"/>
    </xf>
    <xf numFmtId="2" fontId="115" fillId="0" borderId="0" xfId="0" applyNumberFormat="1" applyFont="1" applyAlignment="1">
      <alignment horizontal="right"/>
    </xf>
    <xf numFmtId="2" fontId="115" fillId="13" borderId="0" xfId="0" applyNumberFormat="1" applyFont="1" applyFill="1" applyAlignment="1">
      <alignment horizontal="right"/>
    </xf>
    <xf numFmtId="9" fontId="115" fillId="0" borderId="0" xfId="0" applyNumberFormat="1" applyFont="1" applyAlignment="1">
      <alignment horizontal="right"/>
    </xf>
    <xf numFmtId="172" fontId="1" fillId="13" borderId="8" xfId="0" applyNumberFormat="1" applyFont="1" applyFill="1" applyBorder="1"/>
    <xf numFmtId="172" fontId="115" fillId="0" borderId="0" xfId="0" applyNumberFormat="1" applyFont="1"/>
    <xf numFmtId="0" fontId="27" fillId="0" borderId="87" xfId="1" applyFont="1" applyBorder="1" applyAlignment="1">
      <alignment horizontal="center" vertical="center"/>
    </xf>
    <xf numFmtId="0" fontId="27" fillId="0" borderId="0" xfId="1" applyFont="1" applyAlignment="1">
      <alignment horizontal="center" vertical="center"/>
    </xf>
    <xf numFmtId="0" fontId="1" fillId="0" borderId="0" xfId="1" applyFont="1" applyAlignment="1">
      <alignment horizontal="center" vertical="center"/>
    </xf>
    <xf numFmtId="1" fontId="27" fillId="0" borderId="0" xfId="1" applyNumberFormat="1" applyFont="1" applyAlignment="1">
      <alignment horizontal="center" vertical="center"/>
    </xf>
    <xf numFmtId="3" fontId="1" fillId="0" borderId="0" xfId="1" applyNumberFormat="1" applyFont="1" applyAlignment="1">
      <alignment horizontal="center" vertical="center"/>
    </xf>
    <xf numFmtId="3" fontId="115" fillId="0" borderId="87" xfId="1" applyNumberFormat="1" applyFont="1" applyBorder="1" applyAlignment="1">
      <alignment horizontal="center" vertical="center"/>
    </xf>
    <xf numFmtId="4" fontId="104" fillId="0" borderId="45" xfId="0" applyNumberFormat="1" applyFont="1" applyBorder="1" applyAlignment="1">
      <alignment horizontal="center" vertical="center"/>
    </xf>
    <xf numFmtId="4" fontId="1" fillId="0" borderId="34" xfId="0" applyNumberFormat="1" applyFont="1" applyBorder="1" applyAlignment="1">
      <alignment horizontal="center" vertical="center"/>
    </xf>
    <xf numFmtId="4" fontId="104" fillId="0" borderId="34" xfId="0" applyNumberFormat="1" applyFont="1" applyBorder="1" applyAlignment="1">
      <alignment horizontal="center" vertical="center"/>
    </xf>
    <xf numFmtId="3" fontId="115" fillId="0" borderId="45" xfId="1" applyNumberFormat="1" applyFont="1" applyBorder="1" applyAlignment="1">
      <alignment horizontal="center" vertical="center"/>
    </xf>
    <xf numFmtId="3" fontId="27" fillId="0" borderId="34" xfId="1" applyNumberFormat="1" applyFont="1" applyBorder="1" applyAlignment="1">
      <alignment horizontal="center" vertical="center"/>
    </xf>
    <xf numFmtId="3" fontId="115" fillId="0" borderId="34" xfId="1" applyNumberFormat="1" applyFont="1" applyBorder="1" applyAlignment="1">
      <alignment horizontal="center" vertical="center"/>
    </xf>
    <xf numFmtId="3" fontId="1" fillId="0" borderId="34" xfId="1" applyNumberFormat="1" applyFont="1" applyBorder="1" applyAlignment="1">
      <alignment horizontal="center" vertical="center"/>
    </xf>
    <xf numFmtId="9" fontId="104" fillId="0" borderId="87" xfId="427" applyFont="1" applyFill="1" applyBorder="1" applyAlignment="1">
      <alignment horizontal="center" vertical="center"/>
    </xf>
    <xf numFmtId="9" fontId="1" fillId="0" borderId="0" xfId="427" applyFont="1" applyFill="1" applyBorder="1" applyAlignment="1">
      <alignment horizontal="center" vertical="center"/>
    </xf>
    <xf numFmtId="9" fontId="104" fillId="0" borderId="0" xfId="427" applyFont="1" applyFill="1" applyBorder="1" applyAlignment="1">
      <alignment horizontal="center" vertical="center"/>
    </xf>
    <xf numFmtId="3" fontId="104" fillId="0" borderId="29" xfId="0" applyNumberFormat="1" applyFont="1" applyBorder="1" applyAlignment="1">
      <alignment horizontal="center" vertical="center"/>
    </xf>
    <xf numFmtId="3" fontId="115" fillId="0" borderId="0" xfId="428" applyNumberFormat="1" applyFont="1" applyFill="1" applyBorder="1" applyAlignment="1">
      <alignment horizontal="center" vertical="center"/>
    </xf>
    <xf numFmtId="3" fontId="27" fillId="0" borderId="0" xfId="428" applyNumberFormat="1" applyFont="1" applyFill="1" applyBorder="1" applyAlignment="1">
      <alignment horizontal="center" vertical="center"/>
    </xf>
    <xf numFmtId="3" fontId="108" fillId="0" borderId="45" xfId="428" applyNumberFormat="1" applyFont="1" applyFill="1" applyBorder="1" applyAlignment="1">
      <alignment horizontal="center" vertical="center"/>
    </xf>
    <xf numFmtId="3" fontId="108" fillId="0" borderId="34" xfId="428" applyNumberFormat="1" applyFont="1" applyFill="1" applyBorder="1" applyAlignment="1">
      <alignment horizontal="center" vertical="center"/>
    </xf>
    <xf numFmtId="0" fontId="115" fillId="0" borderId="87" xfId="1" applyFont="1" applyBorder="1" applyAlignment="1">
      <alignment horizontal="center" vertical="center"/>
    </xf>
    <xf numFmtId="0" fontId="115" fillId="0" borderId="0" xfId="1" applyFont="1" applyAlignment="1">
      <alignment horizontal="center" vertical="center"/>
    </xf>
    <xf numFmtId="0" fontId="104" fillId="0" borderId="0" xfId="0" applyFont="1" applyAlignment="1">
      <alignment horizontal="center" vertical="center"/>
    </xf>
    <xf numFmtId="1" fontId="104" fillId="0" borderId="45" xfId="0" applyNumberFormat="1" applyFont="1" applyBorder="1" applyAlignment="1">
      <alignment horizontal="center" vertical="center"/>
    </xf>
    <xf numFmtId="1" fontId="104" fillId="0" borderId="34" xfId="0" applyNumberFormat="1" applyFont="1" applyBorder="1" applyAlignment="1">
      <alignment horizontal="center" vertical="center"/>
    </xf>
    <xf numFmtId="0" fontId="104" fillId="0" borderId="87" xfId="0" applyFont="1" applyBorder="1" applyAlignment="1">
      <alignment horizontal="center" vertical="center"/>
    </xf>
    <xf numFmtId="1" fontId="115" fillId="0" borderId="87" xfId="1" applyNumberFormat="1" applyFont="1" applyBorder="1" applyAlignment="1">
      <alignment horizontal="center" vertical="center"/>
    </xf>
    <xf numFmtId="1" fontId="115" fillId="0" borderId="68" xfId="1" applyNumberFormat="1" applyFont="1" applyBorder="1" applyAlignment="1">
      <alignment horizontal="center" vertical="center"/>
    </xf>
    <xf numFmtId="1" fontId="27" fillId="0" borderId="87" xfId="1" applyNumberFormat="1" applyFont="1" applyBorder="1" applyAlignment="1">
      <alignment horizontal="center" vertical="center"/>
    </xf>
    <xf numFmtId="1" fontId="115" fillId="0" borderId="45" xfId="0" applyNumberFormat="1" applyFont="1" applyBorder="1" applyAlignment="1">
      <alignment horizontal="center" vertical="center"/>
    </xf>
    <xf numFmtId="1" fontId="115" fillId="0" borderId="34" xfId="0" applyNumberFormat="1" applyFont="1" applyBorder="1" applyAlignment="1">
      <alignment horizontal="center" vertical="center"/>
    </xf>
    <xf numFmtId="2" fontId="104" fillId="0" borderId="45" xfId="0" applyNumberFormat="1" applyFont="1" applyBorder="1" applyAlignment="1">
      <alignment horizontal="center" vertical="center"/>
    </xf>
    <xf numFmtId="2" fontId="104" fillId="0" borderId="34" xfId="0" applyNumberFormat="1" applyFont="1" applyBorder="1" applyAlignment="1">
      <alignment horizontal="center" vertical="center"/>
    </xf>
    <xf numFmtId="171" fontId="104" fillId="0" borderId="34" xfId="0" applyNumberFormat="1" applyFont="1" applyBorder="1" applyAlignment="1">
      <alignment horizontal="center" vertical="center"/>
    </xf>
    <xf numFmtId="10" fontId="104" fillId="0" borderId="0" xfId="0" applyNumberFormat="1" applyFont="1" applyAlignment="1">
      <alignment horizontal="center" vertical="center"/>
    </xf>
    <xf numFmtId="0" fontId="115" fillId="0" borderId="45" xfId="1" applyFont="1" applyBorder="1" applyAlignment="1">
      <alignment horizontal="center" vertical="center"/>
    </xf>
    <xf numFmtId="0" fontId="115" fillId="0" borderId="34" xfId="1" applyFont="1" applyBorder="1" applyAlignment="1">
      <alignment horizontal="center" vertical="center"/>
    </xf>
    <xf numFmtId="0" fontId="27" fillId="0" borderId="34" xfId="1" applyFont="1" applyBorder="1" applyAlignment="1">
      <alignment horizontal="center" vertical="center"/>
    </xf>
    <xf numFmtId="4" fontId="104" fillId="0" borderId="87" xfId="0" applyNumberFormat="1" applyFont="1" applyBorder="1" applyAlignment="1">
      <alignment horizontal="center" vertical="center"/>
    </xf>
    <xf numFmtId="4" fontId="104" fillId="0" borderId="0" xfId="0" applyNumberFormat="1" applyFont="1" applyAlignment="1">
      <alignment horizontal="center" vertical="center"/>
    </xf>
    <xf numFmtId="0" fontId="115" fillId="0" borderId="45" xfId="0" applyFont="1" applyBorder="1" applyAlignment="1">
      <alignment horizontal="center" vertical="center"/>
    </xf>
    <xf numFmtId="0" fontId="115" fillId="0" borderId="34" xfId="0" applyFont="1" applyBorder="1" applyAlignment="1">
      <alignment horizontal="center" vertical="center"/>
    </xf>
    <xf numFmtId="0" fontId="104" fillId="0" borderId="29" xfId="0" applyFont="1" applyBorder="1" applyAlignment="1">
      <alignment horizontal="center" vertical="center"/>
    </xf>
    <xf numFmtId="1" fontId="115" fillId="0" borderId="87" xfId="428" applyNumberFormat="1" applyFont="1" applyFill="1" applyBorder="1" applyAlignment="1">
      <alignment horizontal="center" vertical="center"/>
    </xf>
    <xf numFmtId="1" fontId="115" fillId="0" borderId="0" xfId="428" applyNumberFormat="1" applyFont="1" applyFill="1" applyBorder="1" applyAlignment="1">
      <alignment horizontal="center" vertical="center"/>
    </xf>
    <xf numFmtId="1" fontId="27" fillId="0" borderId="87" xfId="428" applyNumberFormat="1" applyFont="1" applyFill="1" applyBorder="1" applyAlignment="1">
      <alignment horizontal="center" vertical="center"/>
    </xf>
    <xf numFmtId="1" fontId="108" fillId="0" borderId="45" xfId="428" applyNumberFormat="1" applyFont="1" applyFill="1" applyBorder="1" applyAlignment="1">
      <alignment horizontal="center" vertical="center"/>
    </xf>
    <xf numFmtId="1" fontId="108" fillId="0" borderId="34" xfId="428" applyNumberFormat="1" applyFont="1" applyFill="1" applyBorder="1" applyAlignment="1">
      <alignment horizontal="center" vertical="center"/>
    </xf>
    <xf numFmtId="0" fontId="108" fillId="0" borderId="34" xfId="0" applyFont="1" applyBorder="1" applyAlignment="1">
      <alignment horizontal="center" vertical="center"/>
    </xf>
    <xf numFmtId="3" fontId="104" fillId="0" borderId="32" xfId="0" applyNumberFormat="1" applyFont="1" applyBorder="1" applyAlignment="1">
      <alignment horizontal="center" vertical="center"/>
    </xf>
    <xf numFmtId="4" fontId="104" fillId="0" borderId="32" xfId="0" applyNumberFormat="1" applyFont="1" applyBorder="1" applyAlignment="1">
      <alignment horizontal="center" vertical="center"/>
    </xf>
    <xf numFmtId="3" fontId="108" fillId="0" borderId="47" xfId="0" applyNumberFormat="1" applyFont="1" applyBorder="1"/>
    <xf numFmtId="337" fontId="103" fillId="15" borderId="0" xfId="0" applyNumberFormat="1" applyFont="1" applyFill="1" applyAlignment="1">
      <alignment horizontal="left"/>
    </xf>
    <xf numFmtId="0" fontId="1" fillId="0" borderId="99" xfId="0" applyFont="1" applyBorder="1"/>
    <xf numFmtId="0" fontId="1" fillId="0" borderId="103" xfId="0" applyFont="1" applyBorder="1"/>
    <xf numFmtId="9" fontId="1" fillId="0" borderId="101" xfId="0" applyNumberFormat="1" applyFont="1" applyBorder="1"/>
    <xf numFmtId="9" fontId="1" fillId="0" borderId="3" xfId="0" applyNumberFormat="1" applyFont="1" applyBorder="1"/>
    <xf numFmtId="0" fontId="1" fillId="0" borderId="101" xfId="0" applyFont="1" applyBorder="1"/>
    <xf numFmtId="0" fontId="1" fillId="0" borderId="104" xfId="0" applyFont="1" applyBorder="1"/>
    <xf numFmtId="0" fontId="103" fillId="15" borderId="95" xfId="0" applyFont="1" applyFill="1" applyBorder="1"/>
    <xf numFmtId="0" fontId="103" fillId="15" borderId="97" xfId="0" applyFont="1" applyFill="1" applyBorder="1"/>
    <xf numFmtId="0" fontId="103" fillId="15" borderId="98" xfId="0" applyFont="1" applyFill="1" applyBorder="1"/>
    <xf numFmtId="3" fontId="1" fillId="0" borderId="101" xfId="0" applyNumberFormat="1" applyFont="1" applyBorder="1"/>
    <xf numFmtId="3" fontId="1" fillId="0" borderId="3" xfId="0" applyNumberFormat="1" applyFont="1" applyBorder="1"/>
    <xf numFmtId="9" fontId="1" fillId="0" borderId="99" xfId="0" applyNumberFormat="1" applyFont="1" applyBorder="1"/>
    <xf numFmtId="9" fontId="109" fillId="0" borderId="3" xfId="0" applyNumberFormat="1" applyFont="1" applyBorder="1"/>
    <xf numFmtId="3" fontId="1" fillId="0" borderId="99" xfId="0" applyNumberFormat="1" applyFont="1" applyBorder="1"/>
    <xf numFmtId="0" fontId="1" fillId="0" borderId="3" xfId="0" applyFont="1" applyBorder="1"/>
    <xf numFmtId="3" fontId="1" fillId="0" borderId="102" xfId="0" applyNumberFormat="1" applyFont="1" applyBorder="1"/>
    <xf numFmtId="0" fontId="1" fillId="0" borderId="100" xfId="0" applyFont="1" applyBorder="1"/>
    <xf numFmtId="0" fontId="1" fillId="9" borderId="6" xfId="0" applyFont="1" applyFill="1" applyBorder="1"/>
    <xf numFmtId="3" fontId="1" fillId="43" borderId="0" xfId="0" applyNumberFormat="1" applyFont="1" applyFill="1"/>
    <xf numFmtId="9" fontId="1" fillId="9" borderId="0" xfId="0" applyNumberFormat="1" applyFont="1" applyFill="1"/>
    <xf numFmtId="172" fontId="1" fillId="9" borderId="0" xfId="0" applyNumberFormat="1" applyFont="1" applyFill="1"/>
    <xf numFmtId="172" fontId="1" fillId="0" borderId="0" xfId="0" applyNumberFormat="1" applyFont="1"/>
    <xf numFmtId="3" fontId="1" fillId="9" borderId="0" xfId="0" applyNumberFormat="1" applyFont="1" applyFill="1"/>
    <xf numFmtId="184" fontId="1" fillId="9" borderId="0" xfId="0" applyNumberFormat="1" applyFont="1" applyFill="1"/>
    <xf numFmtId="3" fontId="1" fillId="9" borderId="8" xfId="0" applyNumberFormat="1" applyFont="1" applyFill="1" applyBorder="1"/>
    <xf numFmtId="3" fontId="1" fillId="0" borderId="8" xfId="0" applyNumberFormat="1" applyFont="1" applyBorder="1"/>
    <xf numFmtId="0" fontId="1" fillId="9" borderId="34" xfId="0" applyFont="1" applyFill="1" applyBorder="1" applyAlignment="1">
      <alignment horizontal="left"/>
    </xf>
    <xf numFmtId="3" fontId="1" fillId="9" borderId="34" xfId="0" applyNumberFormat="1" applyFont="1" applyFill="1" applyBorder="1"/>
    <xf numFmtId="172" fontId="1" fillId="43" borderId="0" xfId="0" applyNumberFormat="1" applyFont="1" applyFill="1"/>
    <xf numFmtId="9" fontId="1" fillId="9" borderId="34" xfId="0" applyNumberFormat="1" applyFont="1" applyFill="1" applyBorder="1"/>
    <xf numFmtId="0" fontId="1" fillId="9" borderId="0" xfId="0" applyFont="1" applyFill="1" applyAlignment="1">
      <alignment horizontal="left"/>
    </xf>
    <xf numFmtId="9" fontId="1" fillId="43" borderId="0" xfId="0" applyNumberFormat="1" applyFont="1" applyFill="1"/>
    <xf numFmtId="9" fontId="1" fillId="44" borderId="0" xfId="0" applyNumberFormat="1" applyFont="1" applyFill="1"/>
    <xf numFmtId="172" fontId="1" fillId="9" borderId="34" xfId="0" applyNumberFormat="1" applyFont="1" applyFill="1" applyBorder="1"/>
    <xf numFmtId="9" fontId="1" fillId="9" borderId="8" xfId="0" applyNumberFormat="1" applyFont="1" applyFill="1" applyBorder="1"/>
    <xf numFmtId="0" fontId="1" fillId="43" borderId="8" xfId="0" applyFont="1" applyFill="1" applyBorder="1"/>
    <xf numFmtId="3" fontId="1" fillId="43" borderId="8" xfId="0" applyNumberFormat="1" applyFont="1" applyFill="1" applyBorder="1"/>
    <xf numFmtId="3" fontId="1" fillId="9" borderId="6" xfId="0" applyNumberFormat="1" applyFont="1" applyFill="1" applyBorder="1"/>
    <xf numFmtId="0" fontId="1" fillId="9" borderId="37" xfId="0" applyFont="1" applyFill="1" applyBorder="1"/>
    <xf numFmtId="3" fontId="1" fillId="9" borderId="37" xfId="0" applyNumberFormat="1" applyFont="1" applyFill="1" applyBorder="1"/>
    <xf numFmtId="3" fontId="1" fillId="9" borderId="31" xfId="0" applyNumberFormat="1" applyFont="1" applyFill="1" applyBorder="1"/>
    <xf numFmtId="184" fontId="1" fillId="9" borderId="0" xfId="0" applyNumberFormat="1" applyFont="1" applyFill="1" applyAlignment="1">
      <alignment horizontal="right"/>
    </xf>
    <xf numFmtId="2" fontId="1" fillId="9" borderId="0" xfId="0" applyNumberFormat="1" applyFont="1" applyFill="1" applyAlignment="1">
      <alignment horizontal="right"/>
    </xf>
    <xf numFmtId="2" fontId="1" fillId="43" borderId="0" xfId="0" applyNumberFormat="1" applyFont="1" applyFill="1" applyAlignment="1">
      <alignment horizontal="right"/>
    </xf>
    <xf numFmtId="1" fontId="1" fillId="43" borderId="0" xfId="0" applyNumberFormat="1" applyFont="1" applyFill="1"/>
    <xf numFmtId="180" fontId="1" fillId="43" borderId="0" xfId="0" applyNumberFormat="1" applyFont="1" applyFill="1"/>
    <xf numFmtId="0" fontId="1" fillId="44" borderId="0" xfId="0" applyFont="1" applyFill="1"/>
    <xf numFmtId="0" fontId="104" fillId="9" borderId="0" xfId="0" applyFont="1" applyFill="1" applyAlignment="1">
      <alignment vertical="top"/>
    </xf>
    <xf numFmtId="9" fontId="102" fillId="9" borderId="0" xfId="427" applyFont="1" applyFill="1" applyAlignment="1">
      <alignment horizontal="right"/>
    </xf>
    <xf numFmtId="0" fontId="115" fillId="13" borderId="0" xfId="0" applyFont="1" applyFill="1" applyAlignment="1">
      <alignment horizontal="right"/>
    </xf>
    <xf numFmtId="3" fontId="115" fillId="13" borderId="0" xfId="1" applyNumberFormat="1" applyFont="1" applyFill="1" applyAlignment="1">
      <alignment horizontal="right"/>
    </xf>
    <xf numFmtId="3" fontId="27" fillId="9" borderId="37" xfId="0" applyNumberFormat="1" applyFont="1" applyFill="1" applyBorder="1" applyAlignment="1">
      <alignment horizontal="center" vertical="center"/>
    </xf>
    <xf numFmtId="180" fontId="102" fillId="9" borderId="0" xfId="1" applyNumberFormat="1" applyFont="1" applyFill="1" applyAlignment="1">
      <alignment horizontal="right"/>
    </xf>
    <xf numFmtId="180" fontId="116" fillId="9" borderId="0" xfId="1" applyNumberFormat="1" applyFont="1" applyFill="1" applyAlignment="1">
      <alignment horizontal="right"/>
    </xf>
    <xf numFmtId="172" fontId="115" fillId="13" borderId="0" xfId="1" applyNumberFormat="1" applyFont="1" applyFill="1" applyAlignment="1">
      <alignment horizontal="right"/>
    </xf>
    <xf numFmtId="172" fontId="184" fillId="13" borderId="0" xfId="1" applyNumberFormat="1" applyFont="1" applyFill="1" applyAlignment="1">
      <alignment horizontal="right"/>
    </xf>
    <xf numFmtId="171" fontId="27" fillId="0" borderId="0" xfId="1" applyNumberFormat="1" applyFont="1" applyAlignment="1">
      <alignment horizontal="right"/>
    </xf>
    <xf numFmtId="172" fontId="115" fillId="13" borderId="0" xfId="0" applyNumberFormat="1" applyFont="1" applyFill="1" applyAlignment="1">
      <alignment vertical="center"/>
    </xf>
    <xf numFmtId="215" fontId="102" fillId="42" borderId="0" xfId="1" applyNumberFormat="1" applyFont="1" applyFill="1" applyAlignment="1">
      <alignment horizontal="right"/>
    </xf>
    <xf numFmtId="0" fontId="27" fillId="0" borderId="10" xfId="1" applyFont="1" applyBorder="1" applyAlignment="1">
      <alignment horizontal="center" vertical="center"/>
    </xf>
    <xf numFmtId="9" fontId="104" fillId="0" borderId="87" xfId="0" applyNumberFormat="1" applyFont="1" applyBorder="1"/>
    <xf numFmtId="9" fontId="108" fillId="0" borderId="0" xfId="0" applyNumberFormat="1" applyFont="1"/>
    <xf numFmtId="1" fontId="115" fillId="0" borderId="0" xfId="1" applyNumberFormat="1" applyFont="1" applyAlignment="1">
      <alignment horizontal="center" vertical="center"/>
    </xf>
    <xf numFmtId="3" fontId="115" fillId="0" borderId="6" xfId="1" applyNumberFormat="1" applyFont="1" applyBorder="1" applyAlignment="1">
      <alignment horizontal="center" vertical="center"/>
    </xf>
    <xf numFmtId="3" fontId="1" fillId="13" borderId="0" xfId="0" applyNumberFormat="1" applyFont="1" applyFill="1" applyAlignment="1">
      <alignment horizontal="right"/>
    </xf>
    <xf numFmtId="9" fontId="1" fillId="9" borderId="11" xfId="0" applyNumberFormat="1" applyFont="1" applyFill="1" applyBorder="1" applyAlignment="1">
      <alignment horizontal="center" vertical="center"/>
    </xf>
    <xf numFmtId="9" fontId="1" fillId="9" borderId="105" xfId="0" applyNumberFormat="1" applyFont="1" applyFill="1" applyBorder="1" applyAlignment="1">
      <alignment horizontal="center" vertical="center"/>
    </xf>
    <xf numFmtId="3" fontId="104" fillId="0" borderId="101" xfId="0" applyNumberFormat="1" applyFont="1" applyBorder="1" applyAlignment="1">
      <alignment horizontal="center" vertical="center"/>
    </xf>
    <xf numFmtId="3" fontId="1" fillId="0" borderId="6" xfId="1" applyNumberFormat="1" applyFont="1" applyBorder="1" applyAlignment="1">
      <alignment horizontal="center" vertical="center"/>
    </xf>
    <xf numFmtId="4" fontId="1" fillId="0" borderId="37" xfId="0" applyNumberFormat="1" applyFont="1" applyBorder="1" applyAlignment="1">
      <alignment horizontal="center" vertical="center"/>
    </xf>
    <xf numFmtId="3" fontId="104" fillId="0" borderId="91" xfId="0" applyNumberFormat="1" applyFont="1" applyBorder="1" applyAlignment="1">
      <alignment horizontal="center" vertical="center"/>
    </xf>
    <xf numFmtId="172" fontId="109" fillId="0" borderId="91" xfId="0" applyNumberFormat="1" applyFont="1" applyBorder="1" applyAlignment="1">
      <alignment horizontal="left" vertical="center" indent="1"/>
    </xf>
    <xf numFmtId="0" fontId="104" fillId="0" borderId="11" xfId="0" applyFont="1" applyBorder="1" applyAlignment="1">
      <alignment horizontal="center" vertical="center"/>
    </xf>
    <xf numFmtId="9" fontId="104" fillId="0" borderId="11" xfId="0" applyNumberFormat="1" applyFont="1" applyBorder="1" applyAlignment="1">
      <alignment horizontal="center" vertical="center"/>
    </xf>
    <xf numFmtId="9" fontId="104" fillId="0" borderId="32" xfId="0" applyNumberFormat="1" applyFont="1" applyBorder="1" applyAlignment="1">
      <alignment horizontal="center" vertical="center"/>
    </xf>
    <xf numFmtId="0" fontId="103" fillId="54" borderId="92" xfId="0" applyFont="1" applyFill="1" applyBorder="1"/>
    <xf numFmtId="0" fontId="103" fillId="54" borderId="92" xfId="0" applyFont="1" applyFill="1" applyBorder="1" applyAlignment="1">
      <alignment horizontal="right"/>
    </xf>
    <xf numFmtId="220" fontId="1" fillId="0" borderId="0" xfId="428" applyNumberFormat="1" applyFont="1" applyBorder="1"/>
    <xf numFmtId="0" fontId="109" fillId="0" borderId="0" xfId="0" applyFont="1"/>
    <xf numFmtId="9" fontId="109" fillId="0" borderId="0" xfId="0" applyNumberFormat="1" applyFont="1"/>
    <xf numFmtId="0" fontId="1" fillId="0" borderId="81" xfId="0" applyFont="1" applyBorder="1"/>
    <xf numFmtId="220" fontId="1" fillId="0" borderId="81" xfId="428" applyNumberFormat="1" applyFont="1" applyBorder="1"/>
    <xf numFmtId="0" fontId="185" fillId="46" borderId="90" xfId="0" applyFont="1" applyFill="1" applyBorder="1" applyAlignment="1">
      <alignment vertical="center"/>
    </xf>
    <xf numFmtId="0" fontId="186" fillId="46" borderId="29" xfId="0" applyFont="1" applyFill="1" applyBorder="1" applyAlignment="1">
      <alignment horizontal="center" vertical="center"/>
    </xf>
    <xf numFmtId="0" fontId="118" fillId="46" borderId="91" xfId="0" applyFont="1" applyFill="1" applyBorder="1" applyAlignment="1">
      <alignment vertical="center"/>
    </xf>
    <xf numFmtId="0" fontId="118" fillId="46" borderId="87" xfId="0" applyFont="1" applyFill="1" applyBorder="1" applyAlignment="1">
      <alignment vertical="center"/>
    </xf>
    <xf numFmtId="0" fontId="118" fillId="46" borderId="0" xfId="0" applyFont="1" applyFill="1" applyAlignment="1">
      <alignment horizontal="center" vertical="center"/>
    </xf>
    <xf numFmtId="172" fontId="118" fillId="46" borderId="11" xfId="427" applyNumberFormat="1" applyFont="1" applyFill="1" applyBorder="1" applyAlignment="1">
      <alignment vertical="center"/>
    </xf>
    <xf numFmtId="338" fontId="118" fillId="46" borderId="11" xfId="0" applyNumberFormat="1" applyFont="1" applyFill="1" applyBorder="1" applyAlignment="1">
      <alignment vertical="center"/>
    </xf>
    <xf numFmtId="0" fontId="119" fillId="46" borderId="87" xfId="0" applyFont="1" applyFill="1" applyBorder="1" applyAlignment="1">
      <alignment vertical="center"/>
    </xf>
    <xf numFmtId="0" fontId="119" fillId="46" borderId="0" xfId="0" applyFont="1" applyFill="1" applyAlignment="1">
      <alignment horizontal="center" vertical="center"/>
    </xf>
    <xf numFmtId="172" fontId="119" fillId="46" borderId="11" xfId="427" applyNumberFormat="1" applyFont="1" applyFill="1" applyBorder="1" applyAlignment="1">
      <alignment vertical="center"/>
    </xf>
    <xf numFmtId="0" fontId="118" fillId="46" borderId="11" xfId="0" applyFont="1" applyFill="1" applyBorder="1" applyAlignment="1">
      <alignment vertical="center"/>
    </xf>
    <xf numFmtId="9" fontId="118" fillId="46" borderId="11" xfId="427" applyFont="1" applyFill="1" applyBorder="1" applyAlignment="1">
      <alignment vertical="center"/>
    </xf>
    <xf numFmtId="0" fontId="119" fillId="46" borderId="9" xfId="0" applyFont="1" applyFill="1" applyBorder="1" applyAlignment="1">
      <alignment vertical="center"/>
    </xf>
    <xf numFmtId="0" fontId="119" fillId="46" borderId="68" xfId="0" applyFont="1" applyFill="1" applyBorder="1" applyAlignment="1">
      <alignment horizontal="center" vertical="center"/>
    </xf>
    <xf numFmtId="0" fontId="185" fillId="40" borderId="90" xfId="0" applyFont="1" applyFill="1" applyBorder="1" applyAlignment="1">
      <alignment vertical="center"/>
    </xf>
    <xf numFmtId="0" fontId="0" fillId="40" borderId="29" xfId="0" applyFill="1" applyBorder="1"/>
    <xf numFmtId="0" fontId="0" fillId="40" borderId="91" xfId="0" applyFill="1" applyBorder="1"/>
    <xf numFmtId="0" fontId="118" fillId="40" borderId="87" xfId="0" applyFont="1" applyFill="1" applyBorder="1" applyAlignment="1">
      <alignment vertical="center"/>
    </xf>
    <xf numFmtId="0" fontId="119" fillId="40" borderId="87" xfId="0" applyFont="1" applyFill="1" applyBorder="1" applyAlignment="1">
      <alignment vertical="center"/>
    </xf>
    <xf numFmtId="0" fontId="119" fillId="40" borderId="9" xfId="0" applyFont="1" applyFill="1" applyBorder="1" applyAlignment="1">
      <alignment vertical="center"/>
    </xf>
    <xf numFmtId="0" fontId="116" fillId="0" borderId="0" xfId="1" applyFont="1" applyAlignment="1">
      <alignment horizontal="right"/>
    </xf>
    <xf numFmtId="3" fontId="116" fillId="0" borderId="0" xfId="1" applyNumberFormat="1" applyFont="1" applyAlignment="1">
      <alignment horizontal="right"/>
    </xf>
    <xf numFmtId="3" fontId="102" fillId="44" borderId="0" xfId="1" applyNumberFormat="1" applyFont="1" applyFill="1" applyAlignment="1">
      <alignment horizontal="right"/>
    </xf>
    <xf numFmtId="3" fontId="102" fillId="9" borderId="0" xfId="427" applyNumberFormat="1" applyFont="1" applyFill="1" applyBorder="1"/>
    <xf numFmtId="2" fontId="1" fillId="0" borderId="0" xfId="0" applyNumberFormat="1" applyFont="1"/>
    <xf numFmtId="339" fontId="31" fillId="40" borderId="11" xfId="0" applyNumberFormat="1" applyFont="1" applyFill="1" applyBorder="1"/>
    <xf numFmtId="339" fontId="118" fillId="40" borderId="11" xfId="0" applyNumberFormat="1" applyFont="1" applyFill="1" applyBorder="1"/>
    <xf numFmtId="0" fontId="118" fillId="40" borderId="0" xfId="0" applyFont="1" applyFill="1"/>
    <xf numFmtId="339" fontId="119" fillId="40" borderId="11" xfId="0" applyNumberFormat="1" applyFont="1" applyFill="1" applyBorder="1"/>
    <xf numFmtId="0" fontId="119" fillId="40" borderId="0" xfId="0" applyFont="1" applyFill="1"/>
    <xf numFmtId="339" fontId="32" fillId="40" borderId="11" xfId="0" applyNumberFormat="1" applyFont="1" applyFill="1" applyBorder="1"/>
    <xf numFmtId="172" fontId="119" fillId="46" borderId="105" xfId="427" applyNumberFormat="1" applyFont="1" applyFill="1" applyBorder="1" applyAlignment="1">
      <alignment vertical="center"/>
    </xf>
    <xf numFmtId="0" fontId="119" fillId="40" borderId="68" xfId="0" applyFont="1" applyFill="1" applyBorder="1"/>
    <xf numFmtId="339" fontId="119" fillId="40" borderId="105" xfId="0" applyNumberFormat="1" applyFont="1" applyFill="1" applyBorder="1"/>
    <xf numFmtId="0" fontId="129" fillId="0" borderId="0" xfId="454" quotePrefix="1" applyFont="1" applyAlignment="1">
      <alignment horizontal="left" vertical="center" indent="5"/>
    </xf>
    <xf numFmtId="9" fontId="27" fillId="9" borderId="0" xfId="427" applyFont="1" applyFill="1"/>
    <xf numFmtId="0" fontId="101" fillId="9" borderId="0" xfId="0" applyFont="1" applyFill="1" applyAlignment="1">
      <alignment horizontal="center" vertical="center"/>
    </xf>
    <xf numFmtId="4" fontId="1" fillId="9" borderId="0" xfId="0" applyNumberFormat="1" applyFont="1" applyFill="1" applyAlignment="1">
      <alignment horizontal="right"/>
    </xf>
    <xf numFmtId="9" fontId="1" fillId="0" borderId="0" xfId="0" applyNumberFormat="1" applyFont="1" applyAlignment="1">
      <alignment horizontal="center" vertical="center"/>
    </xf>
    <xf numFmtId="0" fontId="104" fillId="9" borderId="85" xfId="0" applyFont="1" applyFill="1" applyBorder="1" applyAlignment="1">
      <alignment horizontal="center" vertical="center"/>
    </xf>
    <xf numFmtId="9" fontId="104" fillId="9" borderId="34" xfId="427" applyFont="1" applyFill="1" applyBorder="1" applyAlignment="1">
      <alignment horizontal="center" vertical="center"/>
    </xf>
    <xf numFmtId="9" fontId="1" fillId="9" borderId="34" xfId="427" applyFont="1" applyFill="1" applyBorder="1" applyAlignment="1">
      <alignment horizontal="center" vertical="center"/>
    </xf>
    <xf numFmtId="9" fontId="104" fillId="9" borderId="85" xfId="427" applyFont="1" applyFill="1" applyBorder="1" applyAlignment="1">
      <alignment horizontal="center" vertical="center"/>
    </xf>
    <xf numFmtId="9" fontId="1" fillId="9" borderId="0" xfId="427" applyFont="1" applyFill="1" applyAlignment="1">
      <alignment horizontal="center" vertical="center"/>
    </xf>
    <xf numFmtId="9" fontId="1" fillId="9" borderId="101" xfId="0" applyNumberFormat="1" applyFont="1" applyFill="1" applyBorder="1" applyAlignment="1">
      <alignment horizontal="center" vertical="center"/>
    </xf>
    <xf numFmtId="9" fontId="104" fillId="0" borderId="11" xfId="427" applyFont="1" applyBorder="1" applyAlignment="1">
      <alignment horizontal="center" vertical="center"/>
    </xf>
    <xf numFmtId="9" fontId="104" fillId="0" borderId="101" xfId="427" applyFont="1" applyBorder="1" applyAlignment="1">
      <alignment horizontal="center" vertical="center"/>
    </xf>
    <xf numFmtId="0" fontId="115" fillId="13" borderId="0" xfId="1" applyFont="1" applyFill="1" applyAlignment="1">
      <alignment horizontal="right"/>
    </xf>
    <xf numFmtId="9" fontId="115" fillId="13" borderId="0" xfId="1" applyNumberFormat="1" applyFont="1" applyFill="1" applyAlignment="1">
      <alignment horizontal="right"/>
    </xf>
    <xf numFmtId="3" fontId="184" fillId="13" borderId="0" xfId="1" applyNumberFormat="1" applyFont="1" applyFill="1" applyAlignment="1">
      <alignment horizontal="right"/>
    </xf>
    <xf numFmtId="1" fontId="184" fillId="13" borderId="0" xfId="1" applyNumberFormat="1" applyFont="1" applyFill="1"/>
    <xf numFmtId="0" fontId="1" fillId="0" borderId="68" xfId="0" applyFont="1" applyBorder="1"/>
    <xf numFmtId="3" fontId="1" fillId="0" borderId="34" xfId="0" applyNumberFormat="1" applyFont="1" applyBorder="1"/>
    <xf numFmtId="3" fontId="104" fillId="0" borderId="37" xfId="0" applyNumberFormat="1" applyFont="1" applyBorder="1" applyAlignment="1">
      <alignment horizontal="center" vertical="center"/>
    </xf>
    <xf numFmtId="180" fontId="115" fillId="9" borderId="34" xfId="0" applyNumberFormat="1" applyFont="1" applyFill="1" applyBorder="1" applyAlignment="1">
      <alignment horizontal="right"/>
    </xf>
    <xf numFmtId="15" fontId="118" fillId="0" borderId="0" xfId="0" applyNumberFormat="1" applyFont="1" applyAlignment="1">
      <alignment horizontal="center" vertical="center"/>
    </xf>
    <xf numFmtId="3" fontId="27" fillId="44" borderId="0" xfId="0" applyNumberFormat="1" applyFont="1" applyFill="1" applyAlignment="1">
      <alignment horizontal="right"/>
    </xf>
    <xf numFmtId="180" fontId="115" fillId="13" borderId="0" xfId="0" applyNumberFormat="1" applyFont="1" applyFill="1" applyAlignment="1">
      <alignment horizontal="right"/>
    </xf>
    <xf numFmtId="180" fontId="1" fillId="9" borderId="0" xfId="0" applyNumberFormat="1" applyFont="1" applyFill="1" applyAlignment="1">
      <alignment horizontal="right"/>
    </xf>
    <xf numFmtId="0" fontId="118" fillId="46" borderId="9" xfId="0" applyFont="1" applyFill="1" applyBorder="1" applyAlignment="1">
      <alignment vertical="center"/>
    </xf>
    <xf numFmtId="0" fontId="118" fillId="46" borderId="68" xfId="0" applyFont="1" applyFill="1" applyBorder="1" applyAlignment="1">
      <alignment horizontal="center" vertical="center"/>
    </xf>
    <xf numFmtId="172" fontId="118" fillId="46" borderId="105" xfId="427" applyNumberFormat="1" applyFont="1" applyFill="1" applyBorder="1" applyAlignment="1">
      <alignment vertical="center"/>
    </xf>
    <xf numFmtId="339" fontId="119" fillId="0" borderId="0" xfId="0" applyNumberFormat="1" applyFont="1"/>
    <xf numFmtId="228" fontId="104" fillId="9" borderId="0" xfId="0" applyNumberFormat="1" applyFont="1" applyFill="1" applyAlignment="1">
      <alignment horizontal="right"/>
    </xf>
    <xf numFmtId="0" fontId="1" fillId="46" borderId="95" xfId="0" applyFont="1" applyFill="1" applyBorder="1"/>
    <xf numFmtId="274" fontId="118" fillId="46" borderId="96" xfId="0" applyNumberFormat="1" applyFont="1" applyFill="1" applyBorder="1" applyAlignment="1">
      <alignment horizontal="left"/>
    </xf>
    <xf numFmtId="220" fontId="109" fillId="0" borderId="0" xfId="428" applyNumberFormat="1" applyFont="1" applyBorder="1"/>
    <xf numFmtId="9" fontId="109" fillId="0" borderId="0" xfId="427" applyFont="1" applyBorder="1"/>
    <xf numFmtId="1" fontId="109" fillId="0" borderId="0" xfId="0" applyNumberFormat="1" applyFont="1"/>
    <xf numFmtId="274" fontId="103" fillId="54" borderId="91" xfId="0" applyNumberFormat="1" applyFont="1" applyFill="1" applyBorder="1"/>
    <xf numFmtId="3" fontId="115" fillId="9" borderId="34" xfId="0" applyNumberFormat="1" applyFont="1" applyFill="1" applyBorder="1"/>
    <xf numFmtId="172" fontId="1" fillId="0" borderId="0" xfId="427" applyNumberFormat="1" applyFont="1" applyAlignment="1">
      <alignment horizontal="right"/>
    </xf>
    <xf numFmtId="3" fontId="115" fillId="9" borderId="0" xfId="428" applyNumberFormat="1" applyFont="1" applyFill="1" applyBorder="1"/>
    <xf numFmtId="3" fontId="27" fillId="9" borderId="0" xfId="428" applyNumberFormat="1" applyFont="1" applyFill="1"/>
    <xf numFmtId="339" fontId="1" fillId="0" borderId="0" xfId="0" applyNumberFormat="1" applyFont="1"/>
    <xf numFmtId="343" fontId="1" fillId="0" borderId="0" xfId="0" applyNumberFormat="1" applyFont="1"/>
    <xf numFmtId="220" fontId="1" fillId="0" borderId="0" xfId="427" applyNumberFormat="1" applyFont="1"/>
    <xf numFmtId="3" fontId="104" fillId="9" borderId="30" xfId="0" applyNumberFormat="1" applyFont="1" applyFill="1" applyBorder="1" applyAlignment="1">
      <alignment horizontal="center" vertical="center"/>
    </xf>
    <xf numFmtId="3" fontId="104" fillId="9" borderId="81" xfId="0" applyNumberFormat="1" applyFont="1" applyFill="1" applyBorder="1" applyAlignment="1">
      <alignment horizontal="center" vertical="center"/>
    </xf>
    <xf numFmtId="3" fontId="104" fillId="9" borderId="101" xfId="0" applyNumberFormat="1" applyFont="1" applyFill="1" applyBorder="1" applyAlignment="1">
      <alignment horizontal="center" vertical="center"/>
    </xf>
    <xf numFmtId="9" fontId="1" fillId="9" borderId="0" xfId="427" applyFont="1" applyFill="1"/>
    <xf numFmtId="9" fontId="115" fillId="13" borderId="0" xfId="0" applyNumberFormat="1" applyFont="1" applyFill="1"/>
    <xf numFmtId="9" fontId="104" fillId="0" borderId="87" xfId="0" applyNumberFormat="1" applyFont="1" applyBorder="1" applyAlignment="1">
      <alignment horizontal="center" vertical="center"/>
    </xf>
    <xf numFmtId="3" fontId="110" fillId="0" borderId="0" xfId="1" applyNumberFormat="1" applyFont="1" applyAlignment="1">
      <alignment horizontal="right"/>
    </xf>
    <xf numFmtId="1" fontId="110" fillId="0" borderId="0" xfId="1" applyNumberFormat="1" applyFont="1"/>
    <xf numFmtId="9" fontId="1" fillId="9" borderId="34" xfId="427" applyFont="1" applyFill="1" applyBorder="1"/>
    <xf numFmtId="220" fontId="1" fillId="9" borderId="0" xfId="428" applyNumberFormat="1" applyFont="1" applyFill="1"/>
    <xf numFmtId="0" fontId="187" fillId="41" borderId="6" xfId="1" applyFont="1" applyFill="1" applyBorder="1" applyAlignment="1">
      <alignment horizontal="left"/>
    </xf>
    <xf numFmtId="337" fontId="188" fillId="15" borderId="0" xfId="0" applyNumberFormat="1" applyFont="1" applyFill="1" applyAlignment="1">
      <alignment horizontal="left"/>
    </xf>
    <xf numFmtId="0" fontId="1" fillId="9" borderId="0" xfId="0" applyFont="1" applyFill="1" applyAlignment="1">
      <alignment horizontal="left" wrapText="1"/>
    </xf>
    <xf numFmtId="172" fontId="104" fillId="9" borderId="0" xfId="427" applyNumberFormat="1" applyFont="1" applyFill="1" applyAlignment="1">
      <alignment horizontal="right"/>
    </xf>
    <xf numFmtId="344" fontId="1" fillId="9" borderId="0" xfId="0" applyNumberFormat="1" applyFont="1" applyFill="1"/>
    <xf numFmtId="172" fontId="115" fillId="13" borderId="34" xfId="0" applyNumberFormat="1" applyFont="1" applyFill="1" applyBorder="1" applyAlignment="1">
      <alignment horizontal="right"/>
    </xf>
    <xf numFmtId="3" fontId="1" fillId="0" borderId="0" xfId="428" applyNumberFormat="1" applyFont="1" applyBorder="1"/>
  </cellXfs>
  <cellStyles count="5202">
    <cellStyle name="$" xfId="475" xr:uid="{D2B9D9E0-E5C8-47F9-BA94-7C995155C4A4}"/>
    <cellStyle name="$_Copy of IFRS consol ABB Final Version4" xfId="476" xr:uid="{FDD8BD1E-FB94-48D2-B3BC-B6DF8B06C0FC}"/>
    <cellStyle name="$_CROCI" xfId="477" xr:uid="{35D35997-41BE-4855-9EB8-8A654F9D600D}"/>
    <cellStyle name="$_PCP" xfId="478" xr:uid="{6BBA3476-F599-48BB-BEA4-3F0A47C85CA9}"/>
    <cellStyle name="$0.0" xfId="479" xr:uid="{282FBAA6-46B4-4261-9782-C6B75755F522}"/>
    <cellStyle name="$0.00" xfId="480" xr:uid="{866F499D-0FB7-4D1D-89C1-DB814A0BC770}"/>
    <cellStyle name="$0.000" xfId="481" xr:uid="{3CBD5722-35B2-4B49-A2FF-9E4F81C5CDDC}"/>
    <cellStyle name="$3places" xfId="482" xr:uid="{32A41078-6100-4C50-B86F-A0B32A3AB853}"/>
    <cellStyle name="$m" xfId="483" xr:uid="{7CE5F8C2-2F46-44DC-A34F-1A3A40883BE1}"/>
    <cellStyle name="$q" xfId="484" xr:uid="{8BAD11C7-DE3E-4F36-B402-955AB04162D5}"/>
    <cellStyle name="$q*" xfId="485" xr:uid="{0B2F0691-20E8-4D4C-8A57-91433E63E3A0}"/>
    <cellStyle name="$q_Copy of IFRS consol ABB Final Version4" xfId="486" xr:uid="{01EC1D4B-166C-4D55-80AE-44211D9DDA8D}"/>
    <cellStyle name="$qA" xfId="487" xr:uid="{133557A5-79E8-430D-B5C6-E34E304BE0A8}"/>
    <cellStyle name="$qRange" xfId="488" xr:uid="{86A367EE-8296-414F-9F1C-CA47326C7E37}"/>
    <cellStyle name="%" xfId="489" xr:uid="{AE3396A2-8F0C-4A2D-85BB-77DD4EB4243C}"/>
    <cellStyle name="%_Copy of IFRS consol ABB Final Version4" xfId="490" xr:uid="{DAB088AA-2A3B-4D96-9F10-E31EBA5CB90C}"/>
    <cellStyle name="%_CROCI" xfId="491" xr:uid="{D8B1014C-72CF-40C8-9AD2-BFA2F25416BA}"/>
    <cellStyle name="******************************************" xfId="492" xr:uid="{E1AB8C76-FDAF-46D1-A5BF-92B67EFA794E}"/>
    <cellStyle name="****************************************** 2" xfId="493" xr:uid="{D4054D25-4AE0-4737-9439-762F30A95B16}"/>
    <cellStyle name="@NOW" xfId="494" xr:uid="{C90C2A74-E2E0-42DB-9CE3-F8EA5ADCFB6A}"/>
    <cellStyle name="_%(SignOnly)" xfId="58" xr:uid="{00000000-0005-0000-0000-000000000000}"/>
    <cellStyle name="_%(SignOnly) 2" xfId="495" xr:uid="{83BE6239-EC29-40BB-BC82-81DAAFC97AE8}"/>
    <cellStyle name="_%(SignOnly) 3" xfId="496" xr:uid="{15D7FD8D-D833-4961-9595-EB1E56AD4E8A}"/>
    <cellStyle name="_%(SignOnly)_Atlas Copco CF" xfId="497" xr:uid="{875FF123-C12E-4C91-B178-4D264E595A15}"/>
    <cellStyle name="_%(SignOnly)_Atlas Copco CF 2" xfId="498" xr:uid="{70F5A9AB-20C5-4FD5-A186-B955028A1BC4}"/>
    <cellStyle name="_%(SignOnly)_Copy of IFRS consol ABB Final Version4" xfId="499" xr:uid="{ABF1834C-0499-43F7-8621-33CEB0506665}"/>
    <cellStyle name="_%(SignOnly)_CROCI" xfId="500" xr:uid="{8D1D98AF-5320-4584-9877-1350F4530FD8}"/>
    <cellStyle name="_%(SignOnly)_CROCI 2" xfId="501" xr:uid="{15417B94-FA34-4F96-9692-37B9AE56E1DF}"/>
    <cellStyle name="_%(SignOnly)_Electrolux CF" xfId="502" xr:uid="{B20D497B-7EC9-48A8-9544-50BAF4E19597}"/>
    <cellStyle name="_%(SignOnly)_Electrolux CF 2" xfId="503" xr:uid="{D0B47FE2-BD5C-4965-B85C-C7CD4DC45F01}"/>
    <cellStyle name="_%(SignSpaceOnly)" xfId="59" xr:uid="{00000000-0005-0000-0000-000001000000}"/>
    <cellStyle name="_%(SignSpaceOnly) 2" xfId="504" xr:uid="{D48EF4CB-A2C8-41B9-BD53-065AB0329E80}"/>
    <cellStyle name="_%(SignSpaceOnly) 3" xfId="505" xr:uid="{9E62CE7F-30BE-47B4-8ED1-46B5F6609A6A}"/>
    <cellStyle name="_%(SignSpaceOnly)_Atlas Copco CF" xfId="506" xr:uid="{7E1C6D25-5C2C-486A-9D61-CE3F13166EB6}"/>
    <cellStyle name="_%(SignSpaceOnly)_Atlas Copco CF 2" xfId="507" xr:uid="{FBF3B7AE-EA63-45E9-9DEB-4733E10966E1}"/>
    <cellStyle name="_%(SignSpaceOnly)_Copy of IFRS consol ABB Final Version4" xfId="508" xr:uid="{790AD992-8B5A-4464-BC8E-82660210E1BE}"/>
    <cellStyle name="_%(SignSpaceOnly)_CROCI" xfId="509" xr:uid="{FDBEB470-9FC2-4DFC-9BB4-2C22958A5B92}"/>
    <cellStyle name="_%(SignSpaceOnly)_CROCI 2" xfId="510" xr:uid="{A27E09D2-DFB8-44D1-B0C1-1C80763AF443}"/>
    <cellStyle name="_%(SignSpaceOnly)_Electrolux CF" xfId="511" xr:uid="{2E289FE6-7301-4CD7-BBFA-B0C5430ED2B1}"/>
    <cellStyle name="_%(SignSpaceOnly)_Electrolux CF 2" xfId="512" xr:uid="{F481449B-E2D5-475A-A832-E9C8E02397A7}"/>
    <cellStyle name="_Aero DCF" xfId="513" xr:uid="{F38EBD44-7D8E-41EB-86DE-1C343DFAC721}"/>
    <cellStyle name="_Aero DCF 2" xfId="514" xr:uid="{5B92E868-BA67-403D-B949-9A2B35F73A05}"/>
    <cellStyle name="_Aero DCF 3" xfId="515" xr:uid="{43169FCF-2954-4974-8F44-531321C6CFEE}"/>
    <cellStyle name="_ASF" xfId="516" xr:uid="{64A8D879-207C-4F77-AC64-5406189AEE56}"/>
    <cellStyle name="_ASF 2" xfId="517" xr:uid="{11D9A02C-CD51-48A3-AEAA-83596CE746A0}"/>
    <cellStyle name="_ASF 3" xfId="518" xr:uid="{B0379512-EF35-4A78-AF24-AA096467E800}"/>
    <cellStyle name="_BAE model new" xfId="519" xr:uid="{12F7FBE8-FA19-4324-B8D2-F2F8DB8A93A7}"/>
    <cellStyle name="_BAE model new 2" xfId="520" xr:uid="{07B69312-FA6D-4973-9C5B-B346AFEE24BB}"/>
    <cellStyle name="_BAE model new 3" xfId="521" xr:uid="{EBAF41F7-A110-4645-85B7-93EB2B5D984E}"/>
    <cellStyle name="_Comma" xfId="60" xr:uid="{00000000-0005-0000-0000-000002000000}"/>
    <cellStyle name="_Comma 2" xfId="522" xr:uid="{C4418D45-AE32-445A-8DC5-B94825E1EF93}"/>
    <cellStyle name="_Comma 3" xfId="523" xr:uid="{E22C9E15-0B9F-444B-A841-A3FB96695006}"/>
    <cellStyle name="_Comma_01 adj for merger plan" xfId="61" xr:uid="{00000000-0005-0000-0000-000003000000}"/>
    <cellStyle name="_Comma_2001 YTD Performance" xfId="524" xr:uid="{D34BD65F-8FA3-479E-A77C-E1755ABEED5D}"/>
    <cellStyle name="_Comma_2001 YTD Performance 2" xfId="525" xr:uid="{1BE62242-6DDC-46A6-936C-55EC40B8F704}"/>
    <cellStyle name="_Comma_2001 YTD Performance 3" xfId="526" xr:uid="{CE029C8F-15CC-4F27-AE5B-991322505A76}"/>
    <cellStyle name="_Comma_Ability to Pay Analysis" xfId="62" xr:uid="{00000000-0005-0000-0000-000004000000}"/>
    <cellStyle name="_Comma_ABP1" xfId="527" xr:uid="{49F7C2D9-42F9-4AAF-BB36-B3244FFA332D}"/>
    <cellStyle name="_Comma_ABP1 2" xfId="528" xr:uid="{66B18FAC-E9FB-476D-A913-6C2B4AE0B60F}"/>
    <cellStyle name="_Comma_ABP1 3" xfId="529" xr:uid="{3275E3A5-7AC4-49AD-BE97-D9622F10B811}"/>
    <cellStyle name="_Comma_Aero DCF" xfId="530" xr:uid="{AC404C47-37D6-402C-9410-D3D5A354CA15}"/>
    <cellStyle name="_Comma_Aero DCF 2" xfId="531" xr:uid="{3624B8D6-B2BC-43A2-8F3C-72542D0FF138}"/>
    <cellStyle name="_Comma_Aero DCF 3" xfId="532" xr:uid="{31E5CDD4-D895-4FCD-A3DD-31C3B6896096}"/>
    <cellStyle name="_Comma_AFL" xfId="63" xr:uid="{00000000-0005-0000-0000-000005000000}"/>
    <cellStyle name="_Comma_AIZ" xfId="64" xr:uid="{00000000-0005-0000-0000-000006000000}"/>
    <cellStyle name="_Comma_AIZ04-Quantum2" xfId="65" xr:uid="{00000000-0005-0000-0000-000007000000}"/>
    <cellStyle name="_Comma_Alstom WIP Bhavna" xfId="533" xr:uid="{6F35B6D8-2FA9-4703-B9F5-7970ABFBB61F}"/>
    <cellStyle name="_Comma_Alstom WIP Bhavna 2" xfId="534" xr:uid="{0ABFBFFF-9385-43CA-AFB6-C01064101AB9}"/>
    <cellStyle name="_Comma_AMP" xfId="66" xr:uid="{00000000-0005-0000-0000-000008000000}"/>
    <cellStyle name="_Comma_ASF" xfId="535" xr:uid="{D5D8672C-712B-48F9-8C5C-F1B71628E2C2}"/>
    <cellStyle name="_Comma_ASF 2" xfId="536" xr:uid="{FD532573-E77C-4ACE-8D76-0BAB6A22C591}"/>
    <cellStyle name="_Comma_ASF 3" xfId="537" xr:uid="{63ABFFC9-EF99-4456-A61B-B86537FB59CE}"/>
    <cellStyle name="_Comma_ASF1" xfId="538" xr:uid="{BEFFB845-10D2-4410-A3D7-6FE68EAB0AB8}"/>
    <cellStyle name="_Comma_ASF1 2" xfId="539" xr:uid="{B02E0E0C-7208-46B0-BAFF-20CE046CF4BE}"/>
    <cellStyle name="_Comma_ASF1 3" xfId="540" xr:uid="{6A104B49-FFCD-4ABA-BB44-422375F98959}"/>
    <cellStyle name="_Comma_Assa CF" xfId="541" xr:uid="{C99C7C1F-C6B0-4ECC-858F-8DD5DFFE2D29}"/>
    <cellStyle name="_Comma_Assa CF 2" xfId="542" xr:uid="{2A5446C2-7434-4BC0-91C3-3A3C5CF25CA8}"/>
    <cellStyle name="_Comma_Assa CF 3" xfId="543" xr:uid="{2428F097-D410-41AF-8C7D-EAD9A155E8F3}"/>
    <cellStyle name="_Comma_Assa Reference" xfId="544" xr:uid="{31154B4F-4348-4FFC-94C8-7603096941EB}"/>
    <cellStyle name="_Comma_Assa Reference 2" xfId="545" xr:uid="{CFA149B2-8A0C-4536-986E-082AEAC2FDA3}"/>
    <cellStyle name="_Comma_Assa Reference 3" xfId="546" xr:uid="{A2B8B19D-1472-4250-BD14-C1B57F290841}"/>
    <cellStyle name="_Comma_Assa vs Competition" xfId="547" xr:uid="{EDB482E2-C654-4DF7-B8EA-3AABF701D46C}"/>
    <cellStyle name="_Comma_Assa vs Competition 2" xfId="548" xr:uid="{BB9F2C6D-A67E-4EBA-B411-1BDE81EF3CE4}"/>
    <cellStyle name="_Comma_Assa vs Competition 3" xfId="549" xr:uid="{1FC2C383-DB8A-42B7-9312-66D5AFD458DF}"/>
    <cellStyle name="_Comma_Atlas Copco CF" xfId="550" xr:uid="{544F7638-8628-49B9-A660-98871ACFCE4A}"/>
    <cellStyle name="_Comma_Atlas Copco CF 2" xfId="551" xr:uid="{91A6BE97-FE1B-4388-B755-C47CA27AAC38}"/>
    <cellStyle name="_Comma_AVP" xfId="552" xr:uid="{5DB8D8AA-35AE-47A0-84CD-AD7F704FC733}"/>
    <cellStyle name="_Comma_AVP 2" xfId="553" xr:uid="{95EA3815-1CFC-4C01-BF19-F98E18DACD8E}"/>
    <cellStyle name="_Comma_AVP 3" xfId="554" xr:uid="{564D4B41-0D66-400A-B422-51518829F8DC}"/>
    <cellStyle name="_Comma_BAE_model_new" xfId="555" xr:uid="{2AC46F42-0E84-4047-87F4-1E5D6BD96EF9}"/>
    <cellStyle name="_Comma_BAE_model_new 2" xfId="556" xr:uid="{9197F946-8E50-47C5-A3BE-5CDE060CE7F7}"/>
    <cellStyle name="_Comma_BAE_model_new 3" xfId="557" xr:uid="{D11287D8-DB68-460C-9DED-DC6F3A722FD3}"/>
    <cellStyle name="_Comma_bls roic" xfId="558" xr:uid="{9626A879-CC7C-4508-85C8-3250A9F9DCEF}"/>
    <cellStyle name="_Comma_bls roic_Copy of IFRS consol ABB Final Version4" xfId="559" xr:uid="{8EA88E75-3E2E-4B6E-AAB4-B482AFBBDC72}"/>
    <cellStyle name="_Comma_Book1" xfId="67" xr:uid="{00000000-0005-0000-0000-000009000000}"/>
    <cellStyle name="_Comma_Book1 2" xfId="560" xr:uid="{52116ED3-896C-4C3F-9034-65627F036615}"/>
    <cellStyle name="_Comma_Book1 3" xfId="561" xr:uid="{68BE64EA-728D-4EA5-8A80-54F5803C100D}"/>
    <cellStyle name="_Comma_Book1_WACC" xfId="562" xr:uid="{F5B63803-9492-4FB3-9F9B-F230FA543185}"/>
    <cellStyle name="_Comma_Book1_WACC 2" xfId="563" xr:uid="{75C95FBC-5139-4EA4-AD75-2B1190B0CD50}"/>
    <cellStyle name="_Comma_Book1_WACC 3" xfId="564" xr:uid="{C378C302-CB50-4E4C-A471-D9CA7D1E0D6F}"/>
    <cellStyle name="_Comma_Book3" xfId="68" xr:uid="{00000000-0005-0000-0000-00000A000000}"/>
    <cellStyle name="_Comma_capital expenditures 6-18-02" xfId="565" xr:uid="{4F68D211-1C8C-4002-98E7-C5B64654DB30}"/>
    <cellStyle name="_Comma_capital expenditures 6-18-02_Copy of IFRS consol ABB Final Version4" xfId="566" xr:uid="{5B23BE50-A608-4785-BACF-60FC5F6D8FCA}"/>
    <cellStyle name="_Comma_Ciervo DCF Final" xfId="567" xr:uid="{BB861A83-A827-45A0-9F22-33CFCDDA819C}"/>
    <cellStyle name="_Comma_Ciervo DCF Final 2" xfId="568" xr:uid="{AF1F1ADD-64C4-43AF-B8FF-A6C2BB63D55A}"/>
    <cellStyle name="_Comma_Ciervo DCF Final 3" xfId="569" xr:uid="{50258A45-1918-4C0C-BFD9-34E9013395B6}"/>
    <cellStyle name="_Comma_Ciervo_WACC" xfId="570" xr:uid="{DA22B5B2-C8C1-4BDE-AF68-41173940F04E}"/>
    <cellStyle name="_Comma_Ciervo_WACC 2" xfId="571" xr:uid="{41817A8D-8030-4865-9C12-9C070760A561}"/>
    <cellStyle name="_Comma_Ciervo_WACC 3" xfId="572" xr:uid="{B5A7FEF5-05DC-4414-8A2F-84E5FA97E909}"/>
    <cellStyle name="_Comma_CNO" xfId="69" xr:uid="{00000000-0005-0000-0000-00000B000000}"/>
    <cellStyle name="_Comma_CNO04" xfId="70" xr:uid="{00000000-0005-0000-0000-00000C000000}"/>
    <cellStyle name="_Comma_Comdot - gStyle Excel Slides" xfId="573" xr:uid="{DBD1CBB8-885F-43D5-887D-F5411CE5F292}"/>
    <cellStyle name="_Comma_Comdot - gStyle Excel Slides 2" xfId="574" xr:uid="{AE7C9EDC-4473-4474-9866-88E1894B26C2}"/>
    <cellStyle name="_Comma_Comdot - gStyle Excel Slides 3" xfId="575" xr:uid="{409947D3-C5D5-41ED-9E71-77648EF79433}"/>
    <cellStyle name="_Comma_Comdot LBO Short Form - v3" xfId="576" xr:uid="{9EFA7B94-52F4-4D95-A0C4-73C536079473}"/>
    <cellStyle name="_Comma_Comdot LBO Short Form - v3 2" xfId="577" xr:uid="{D505C2B3-8038-4BAC-AF6A-CBA564EC0244}"/>
    <cellStyle name="_Comma_Comdot LBO Short Form - v3 3" xfId="578" xr:uid="{0FCEBD58-5613-46A4-AC67-D2160919DB79}"/>
    <cellStyle name="_Comma_contribution_analysis" xfId="579" xr:uid="{7D1EEF29-E787-4501-B12D-FB71523D4E6B}"/>
    <cellStyle name="_Comma_Copy of IFRS consol ABB Final Version4" xfId="580" xr:uid="{6F590C73-675F-4009-98D9-5D93AEC49BDE}"/>
    <cellStyle name="_Comma_Copy of IFRS consol ABB Final Version4 2" xfId="581" xr:uid="{3C2F5EBF-9DDA-4081-8D90-DB49B972371B}"/>
    <cellStyle name="_Comma_Copy of Spirent_now" xfId="582" xr:uid="{79B75BF6-D064-4486-8C71-62545A013C94}"/>
    <cellStyle name="_Comma_Copy of Spirent_now 2" xfId="583" xr:uid="{DE3230AA-57E5-42DA-B9EC-1767ABA10E98}"/>
    <cellStyle name="_Comma_Copy of Spirent_now 3" xfId="584" xr:uid="{C34740A7-4C37-4A2D-A0A4-31900824B9B4}"/>
    <cellStyle name="_Comma_CROCI" xfId="585" xr:uid="{24E506B2-2388-4FD9-A886-F564DBDA4F57}"/>
    <cellStyle name="_Comma_CROCI 2" xfId="586" xr:uid="{89F9CB8B-E0FD-4939-90F7-A36D1A28902D}"/>
    <cellStyle name="_Comma_CSC_Picabia_29062001" xfId="587" xr:uid="{A7A2DD23-1E80-4A8C-8A85-260F7554D9D4}"/>
    <cellStyle name="_Comma_CSC_Picabia_29062001 2" xfId="588" xr:uid="{0798D85E-331E-444E-A7D1-37D41AF80571}"/>
    <cellStyle name="_Comma_CSC_Picabia_29062001 3" xfId="589" xr:uid="{8B9B34BE-15E5-43E7-9CCA-F49EB3CB67EF}"/>
    <cellStyle name="_Comma_DCF - July 2, 2001" xfId="590" xr:uid="{E3557C51-29C4-4C53-B60A-C02B53D402BC}"/>
    <cellStyle name="_Comma_DCF - July 2, 2001 2" xfId="591" xr:uid="{954FF99F-8928-49AD-A9DD-B93A88B705D5}"/>
    <cellStyle name="_Comma_DCF - July 2, 2001 3" xfId="592" xr:uid="{03CCF087-6508-4BDD-900F-C92AB0461A6F}"/>
    <cellStyle name="_Comma_DCF Alexander Forbes" xfId="71" xr:uid="{00000000-0005-0000-0000-00000D000000}"/>
    <cellStyle name="_Comma_Electrolux CF" xfId="593" xr:uid="{2A63305E-73AD-4305-A33D-B3BE022CD8FC}"/>
    <cellStyle name="_Comma_Electrolux CF 2" xfId="594" xr:uid="{C0E21A2E-9AD6-41DF-8B68-F3ED6610D467}"/>
    <cellStyle name="_Comma_Electrolux CF_1" xfId="595" xr:uid="{DBF1B0D4-2EC1-4D4F-98DA-D57424679636}"/>
    <cellStyle name="_Comma_Electrolux CF_1 2" xfId="596" xr:uid="{080BE9E8-C32A-407A-85B4-6E3668876101}"/>
    <cellStyle name="_Comma_Electrolux MW" xfId="597" xr:uid="{2DBC3A23-3548-4407-9804-555714B44E0A}"/>
    <cellStyle name="_Comma_Electrolux MW 2" xfId="598" xr:uid="{6244AE2D-41A1-4037-8674-1ED6E714DF5B}"/>
    <cellStyle name="_Comma_Electrolux Old Nick Paton Mark Wilson Model" xfId="599" xr:uid="{78D3591A-8545-4ED4-8909-E7FA61BB0E90}"/>
    <cellStyle name="_Comma_Electrolux Old Nick Paton Mark Wilson Model 2" xfId="600" xr:uid="{1CCCEC74-1B8D-4593-B722-09B6A9D44202}"/>
    <cellStyle name="_Comma_Electrolux WIP Bhavna" xfId="601" xr:uid="{9E236CB2-83A1-4FB9-AE22-6B2FF1F334CE}"/>
    <cellStyle name="_Comma_Electrolux WIP Bhavna 2" xfId="602" xr:uid="{79932A96-32D5-461C-86D2-8079E8B80724}"/>
    <cellStyle name="_Comma_Eng" xfId="603" xr:uid="{AE27F4E3-253A-4122-B00F-21443386661B}"/>
    <cellStyle name="_Comma_Eng 2" xfId="604" xr:uid="{11874039-D3F0-44F7-A748-2404BB6404A1}"/>
    <cellStyle name="_Comma_Eng 3" xfId="605" xr:uid="{9222F7A6-037D-485B-B0A3-C03D4AFC233F}"/>
    <cellStyle name="_Comma_Finmeccanica" xfId="606" xr:uid="{475AE49D-7EC5-435E-B694-488C2371726E}"/>
    <cellStyle name="_Comma_Finmeccanica SOP" xfId="607" xr:uid="{EFA88518-E6F8-44AD-B82E-955D318F84A6}"/>
    <cellStyle name="_Comma_fmbi counties" xfId="72" xr:uid="{00000000-0005-0000-0000-00000E000000}"/>
    <cellStyle name="_Comma_FMBI MBHI Graphs" xfId="73" xr:uid="{00000000-0005-0000-0000-00000F000000}"/>
    <cellStyle name="_Comma_FMBI MBHI Graphs 07102001" xfId="74" xr:uid="{00000000-0005-0000-0000-000010000000}"/>
    <cellStyle name="_Comma_FMBI MBHI Graphs_7601" xfId="75" xr:uid="{00000000-0005-0000-0000-000011000000}"/>
    <cellStyle name="_Comma_genworth model" xfId="76" xr:uid="{00000000-0005-0000-0000-000012000000}"/>
    <cellStyle name="_Comma_Global ROIC 2007" xfId="608" xr:uid="{DCB3C1DE-3CE6-4CF8-ABED-5800DB69670D}"/>
    <cellStyle name="_Comma_Global ROIC 2007 2" xfId="609" xr:uid="{BDD9B8A0-4845-4338-980A-238EEA627F8F}"/>
    <cellStyle name="_Comma_Global ROIC 2007_Copy of IFRS consol ABB Final Version4" xfId="610" xr:uid="{9B2BD395-E4BB-468F-A357-F40DF30B3CFC}"/>
    <cellStyle name="_Comma_Global ROIC 2007_Copy of IFRS consol ABB Final Version4 2" xfId="611" xr:uid="{F6FB8EA3-4C41-4CA6-B802-C6E3B2F3070D}"/>
    <cellStyle name="_Comma_Insurance Brokerage CSC_1Q2002" xfId="77" xr:uid="{00000000-0005-0000-0000-000013000000}"/>
    <cellStyle name="_Comma_integrated_standalone_ba" xfId="612" xr:uid="{089DC201-DC20-49D9-9C35-79142AFB8F28}"/>
    <cellStyle name="_Comma_integrated_standalone_ba 2" xfId="613" xr:uid="{C0C6AE90-7F15-4D60-A776-90025A1EE833}"/>
    <cellStyle name="_Comma_integrated_standalone_ba 3" xfId="614" xr:uid="{B2554B6E-0572-4E21-9393-97FFF7303795}"/>
    <cellStyle name="_Comma_JP_LNC_spread_monitor (2)" xfId="78" xr:uid="{00000000-0005-0000-0000-000014000000}"/>
    <cellStyle name="_Comma_LBO Model Zannier - 04-09-01" xfId="615" xr:uid="{D8603151-D699-4EC7-A04A-40363B3D13F0}"/>
    <cellStyle name="_Comma_LBO Model Zannier - 04-09-01 2" xfId="616" xr:uid="{B37E6C5D-8F6D-4CCC-9272-946600CEDC0C}"/>
    <cellStyle name="_Comma_LBO Model Zannier - 04-09-01 3" xfId="617" xr:uid="{F93B0196-874B-4748-90D3-5203F688FC2F}"/>
    <cellStyle name="_Comma_Model Vague 07 conso - Dannaud" xfId="618" xr:uid="{7D0629F7-44AE-4A5A-9DD1-81A1EE611107}"/>
    <cellStyle name="_Comma_Model Vague 07 conso - Dannaud 2" xfId="619" xr:uid="{2F13A9BC-214F-4613-BB9F-93139DA1B5DF}"/>
    <cellStyle name="_Comma_Model Vague 07 conso - Dannaud 3" xfId="620" xr:uid="{42268C94-68D4-48AD-9FDF-A0404F38E875}"/>
    <cellStyle name="_Comma_MTU Aero Engines" xfId="621" xr:uid="{0554641A-9C7C-410C-88FA-988669EE7EA7}"/>
    <cellStyle name="_Comma_MTU Aero Engines 2" xfId="622" xr:uid="{ABD9029B-9DDF-42CD-B5FE-FB6712B00724}"/>
    <cellStyle name="_Comma_MTU Aero Engines 3" xfId="623" xr:uid="{8749358D-AE02-4BE5-82CE-6284D4597146}"/>
    <cellStyle name="_Comma_MTU Aero EnginesMICHA EVENING6" xfId="624" xr:uid="{61A37ABB-FFF0-4C94-AC5C-EB84F271EF27}"/>
    <cellStyle name="_Comma_MTU Aero EnginesMICHA EVENING6 2" xfId="625" xr:uid="{5AC07D41-D97B-47FE-9473-69E12F88580A}"/>
    <cellStyle name="_Comma_MTU Aero EnginesMICHA EVENING6 3" xfId="626" xr:uid="{27C8D11F-DF36-4F74-A78D-9DC9D4E37853}"/>
    <cellStyle name="_Comma_MTU FX sheet" xfId="627" xr:uid="{6116B268-D6F4-4BBF-8684-060BE9E150F5}"/>
    <cellStyle name="_Comma_MTU FX sheet 2" xfId="628" xr:uid="{18C69E1F-6D21-4A4D-BA41-F6231CC354AE}"/>
    <cellStyle name="_Comma_MTU FX sheet 3" xfId="629" xr:uid="{D4C33DD7-8EAA-498D-AE9A-AA040B7C3261}"/>
    <cellStyle name="_Comma_NFP" xfId="79" xr:uid="{00000000-0005-0000-0000-000015000000}"/>
    <cellStyle name="_Comma_NFS" xfId="80" xr:uid="{00000000-0005-0000-0000-000016000000}"/>
    <cellStyle name="_Comma_output" xfId="630" xr:uid="{5207F91C-ACDA-4B39-982B-E1C0ED6652F6}"/>
    <cellStyle name="_Comma_output 2" xfId="631" xr:uid="{702F8B90-848A-4ED5-AA1B-0AC42C334B75}"/>
    <cellStyle name="_Comma_output 3" xfId="632" xr:uid="{02370B74-C10B-4BE4-8947-9ECAFAE9D081}"/>
    <cellStyle name="_Comma_Overview3" xfId="81" xr:uid="{00000000-0005-0000-0000-000017000000}"/>
    <cellStyle name="_Comma_phil data" xfId="82" xr:uid="{00000000-0005-0000-0000-000018000000}"/>
    <cellStyle name="_Comma_Price Performance Charts" xfId="83" xr:uid="{00000000-0005-0000-0000-000019000000}"/>
    <cellStyle name="_Comma_Quarterly Review by Company" xfId="84" xr:uid="{00000000-0005-0000-0000-00001A000000}"/>
    <cellStyle name="_Comma_RBOC historicals" xfId="633" xr:uid="{0FDD3B93-38F9-4819-A6D2-539D3C27A7E0}"/>
    <cellStyle name="_Comma_RBOC historicals_Copy of IFRS consol ABB Final Version4" xfId="634" xr:uid="{E0A00A08-C7C2-432F-9C1B-F3FB435150DB}"/>
    <cellStyle name="_Comma_Rheinmetall" xfId="635" xr:uid="{40631BFC-487D-4980-90C5-495F3AE27AE5}"/>
    <cellStyle name="_Comma_Rheinmetall_1" xfId="636" xr:uid="{A965C867-EA53-4F2A-8CBB-4CAAC929C90B}"/>
    <cellStyle name="_Comma_Rheinmetall_1 2" xfId="637" xr:uid="{3B10FA30-9F89-4595-8C82-34AC2B6FD1C4}"/>
    <cellStyle name="_Comma_Rheinmetall_1 3" xfId="638" xr:uid="{E97FB5BD-A376-4D4E-BABE-43901ED877F2}"/>
    <cellStyle name="_Comma_RHM" xfId="639" xr:uid="{A3D83252-0FB1-44AE-AE1B-F3B81416863E}"/>
    <cellStyle name="_Comma_ROIC" xfId="640" xr:uid="{D1FBED91-41D5-408E-8DA5-2E6BA94FB56C}"/>
    <cellStyle name="_Comma_ROIC 2" xfId="641" xr:uid="{D5FACB15-3FDC-4029-B92C-D97821F4A23A}"/>
    <cellStyle name="_Comma_ROIC 3" xfId="642" xr:uid="{A09349DF-3BFF-420F-AA06-A328902522DE}"/>
    <cellStyle name="_Comma_Rolls-Royce" xfId="643" xr:uid="{8AFC2646-71DD-487C-A2BE-8E007F0C8DD9}"/>
    <cellStyle name="_Comma_Rolls-Royce Micha" xfId="644" xr:uid="{E2B23C71-5D10-4242-99CE-B2E642015F02}"/>
    <cellStyle name="_Comma_Rolls-Royce Micha 2" xfId="645" xr:uid="{566CBA3D-947B-4DD1-8D03-658ECACD62E7}"/>
    <cellStyle name="_Comma_Rolls-Royce Micha 3" xfId="646" xr:uid="{93B30986-8166-4AD5-8782-6E6D390FCB37}"/>
    <cellStyle name="_Comma_Rolls-RoyceFINAL130206" xfId="647" xr:uid="{16771FC4-454F-4851-9F06-E38A98AB987E}"/>
    <cellStyle name="_Comma_Rolls-RoyceFINAL130206 2" xfId="648" xr:uid="{962B8B87-1084-412F-B048-8D6C1CC10B9F}"/>
    <cellStyle name="_Comma_Rolls-RoyceFINAL130206 3" xfId="649" xr:uid="{744076FF-6C8A-4CA1-8C2E-59F554002C34}"/>
    <cellStyle name="_Comma_RR FY06" xfId="650" xr:uid="{94C4CBDA-8F66-4424-9B96-0C0CC77B663E}"/>
    <cellStyle name="_Comma_RR FY06 2" xfId="651" xr:uid="{FD3DC9DC-980E-45DE-B2C6-A927536ACC8F}"/>
    <cellStyle name="_Comma_RR FY06 3" xfId="652" xr:uid="{0454EE84-415B-4364-9CDD-ECA4285BD517}"/>
    <cellStyle name="_Comma_SaabOLD" xfId="653" xr:uid="{DC0F742D-D26D-43BA-8EC2-9474567A7A82}"/>
    <cellStyle name="_Comma_Safran" xfId="654" xr:uid="{4794EBB2-74A4-4BBB-8599-6C67CD9B06EF}"/>
    <cellStyle name="_Comma_Safran 2" xfId="655" xr:uid="{3B660BC3-C67A-45A2-8656-BBFE413406AA}"/>
    <cellStyle name="_Comma_Safran 3" xfId="656" xr:uid="{8EFB5B65-AA2D-45F9-A6BD-596EBB00E840}"/>
    <cellStyle name="_Comma_Saft vs Peers" xfId="657" xr:uid="{06E222D0-AED3-4CF8-B4CF-3C4E53550FD6}"/>
    <cellStyle name="_Comma_Saft vs Peers 2" xfId="658" xr:uid="{7375CCE4-08F2-4976-8FEF-B850E9A242F3}"/>
    <cellStyle name="_Comma_Saft vs Peers 3" xfId="659" xr:uid="{B3A984BA-9C39-432B-AFA9-71B29F1B20F7}"/>
    <cellStyle name="_Comma_SFG Data File" xfId="85" xr:uid="{00000000-0005-0000-0000-00001B000000}"/>
    <cellStyle name="_Comma_Sheet1" xfId="86" xr:uid="{00000000-0005-0000-0000-00001C000000}"/>
    <cellStyle name="_Comma_SIFI OLD" xfId="660" xr:uid="{FC792787-8A45-4784-8B0B-DBFFCC7D26CB}"/>
    <cellStyle name="_Comma_SIFINEW" xfId="661" xr:uid="{46A219C9-AEBA-4E9B-B68D-E949FAB6BDC2}"/>
    <cellStyle name="_Comma_SIFINEW 2" xfId="662" xr:uid="{BE142829-65BD-46D1-9780-40739B562094}"/>
    <cellStyle name="_Comma_SIFINEW 3" xfId="663" xr:uid="{6504A79B-7A03-4436-A6E2-B101B272D365}"/>
    <cellStyle name="_Comma_Smiths Group" xfId="664" xr:uid="{844379A9-7630-4782-B7B3-E0A041A32044}"/>
    <cellStyle name="_Comma_Smiths Group - OLD" xfId="665" xr:uid="{BE96D265-1568-4B84-BA01-F9DDBFE032D3}"/>
    <cellStyle name="_Comma_Stock-QTR1 FDS" xfId="87" xr:uid="{00000000-0005-0000-0000-00001D000000}"/>
    <cellStyle name="_Comma_T - new" xfId="666" xr:uid="{E3296C5A-8D8E-481E-B44D-52F7F0ED1806}"/>
    <cellStyle name="_Comma_T - new_Copy of IFRS consol ABB Final Version4" xfId="667" xr:uid="{5CD2E71F-0548-424D-9BA4-93C946601BE1}"/>
    <cellStyle name="_Comma_Updated Valuation Changes" xfId="88" xr:uid="{00000000-0005-0000-0000-00001E000000}"/>
    <cellStyle name="_Comma_Vague LBO Model - 19 July 2001" xfId="668" xr:uid="{2C281C96-7E36-4077-A359-11F447D18B27}"/>
    <cellStyle name="_Comma_Vague LBO Model - 19 July 2001 2" xfId="669" xr:uid="{54CED095-2913-4A2E-8F2C-D745EF996029}"/>
    <cellStyle name="_Comma_Vague LBO Model - 19 July 2001 3" xfId="670" xr:uid="{3DB37425-BF76-4D1C-8ED0-872A1CF900D0}"/>
    <cellStyle name="_Comma_Valuation Graphs" xfId="89" xr:uid="{00000000-0005-0000-0000-00001F000000}"/>
    <cellStyle name="_Comma_Vinci" xfId="671" xr:uid="{E60BF308-78C6-44B4-9B9D-BEADB992AE04}"/>
    <cellStyle name="_Comma_WPP_YNR_merger_plans" xfId="672" xr:uid="{1FB41A1F-3033-4A8A-8FF4-12FF9BADCA08}"/>
    <cellStyle name="_Comma_WPP_YNR_merger_plans 2" xfId="673" xr:uid="{DC569DB5-2A95-42C3-98B6-48EBA53EDB63}"/>
    <cellStyle name="_Comma_WPP_YNR_merger_plans 3" xfId="674" xr:uid="{73CFBC2D-00BE-4242-9FF1-1803F13F81C8}"/>
    <cellStyle name="_Comma_xratio - historical mkt val" xfId="90" xr:uid="{00000000-0005-0000-0000-000020000000}"/>
    <cellStyle name="_Copy of IFRS consol ABB Final Version4" xfId="675" xr:uid="{F8D83BB6-47CC-4D6D-BA08-2993987F0375}"/>
    <cellStyle name="_Copy of Spirent_now" xfId="676" xr:uid="{AAAE04EA-D214-4A4F-A990-18141D717216}"/>
    <cellStyle name="_Currency" xfId="91" xr:uid="{00000000-0005-0000-0000-000021000000}"/>
    <cellStyle name="_Currency 2" xfId="677" xr:uid="{E0B5472A-D014-42B6-AD67-BC8F42D16FF1}"/>
    <cellStyle name="_Currency 3" xfId="678" xr:uid="{024CF855-7F45-4A79-9C1B-099F5A5B1209}"/>
    <cellStyle name="_Currency_01 adj for merger plan" xfId="92" xr:uid="{00000000-0005-0000-0000-000022000000}"/>
    <cellStyle name="_Currency_2001 YTD Performance" xfId="679" xr:uid="{9C048E35-BA5D-478A-AA45-F852A6259574}"/>
    <cellStyle name="_Currency_2001 YTD Performance 2" xfId="680" xr:uid="{43FEB980-8B83-400C-964C-7D36AA9FEA8C}"/>
    <cellStyle name="_Currency_2001 YTD Performance 3" xfId="681" xr:uid="{37696F0F-4533-459B-B173-1174E4F6BE2C}"/>
    <cellStyle name="_Currency_Ability to Pay Analysis" xfId="93" xr:uid="{00000000-0005-0000-0000-000023000000}"/>
    <cellStyle name="_Currency_ABP1" xfId="682" xr:uid="{05C878AF-3198-4166-BD53-2A56573CD421}"/>
    <cellStyle name="_Currency_ABP1 2" xfId="683" xr:uid="{B003A8A5-9BDE-411D-BC20-EA0D89943FBF}"/>
    <cellStyle name="_Currency_ABP1 3" xfId="684" xr:uid="{632B5F6D-B1CB-49A6-9F83-60893E15170C}"/>
    <cellStyle name="_Currency_Aero DCF" xfId="685" xr:uid="{104642BC-EB14-4BA4-B9C3-1097ABBD0114}"/>
    <cellStyle name="_Currency_Aero DCF 2" xfId="686" xr:uid="{A477EB5C-2A6A-4F51-B11D-CD6A3DBCD627}"/>
    <cellStyle name="_Currency_Aero DCF 3" xfId="687" xr:uid="{CD1222B4-A5A0-4C82-BA66-0F60CEC2E365}"/>
    <cellStyle name="_Currency_AF1" xfId="688" xr:uid="{14D664BB-7C4A-4574-B25F-D4FE527501A2}"/>
    <cellStyle name="_Currency_AF1 2" xfId="689" xr:uid="{723C2450-322A-49BA-9AD8-27763E26C86F}"/>
    <cellStyle name="_Currency_AF1 3" xfId="690" xr:uid="{B7642BEC-0D77-4408-86D7-D207263465F0}"/>
    <cellStyle name="_Currency_AFL" xfId="94" xr:uid="{00000000-0005-0000-0000-000024000000}"/>
    <cellStyle name="_Currency_Airclaims4" xfId="691" xr:uid="{1778022D-01F6-423A-8B05-8F336D56D3B9}"/>
    <cellStyle name="_Currency_Airclaims4 2" xfId="692" xr:uid="{3B7CBC94-4353-42B3-8926-B14819CBFECC}"/>
    <cellStyle name="_Currency_Airclaims4 3" xfId="693" xr:uid="{E1BFA337-2C82-494E-8490-6E243817EF6A}"/>
    <cellStyle name="_Currency_AIRLINE DCF's" xfId="694" xr:uid="{579F62D9-CC5D-4279-8248-C5A1A50F06CF}"/>
    <cellStyle name="_Currency_AIRLINE DCF's 2" xfId="695" xr:uid="{81FDD40A-BC86-4AA9-9588-066589E07BED}"/>
    <cellStyle name="_Currency_AIRLINE DCF's 3" xfId="696" xr:uid="{0D7F9803-9115-4AE8-ADF8-E7794CB31600}"/>
    <cellStyle name="_Currency_AIZ" xfId="95" xr:uid="{00000000-0005-0000-0000-000025000000}"/>
    <cellStyle name="_Currency_Alstom WIP Bhavna" xfId="697" xr:uid="{40609ABF-0890-46B5-940A-AC2CFD835ED2}"/>
    <cellStyle name="_Currency_Alstom WIP Bhavna 2" xfId="698" xr:uid="{2BC8A471-C204-4E28-AD7D-32651016B944}"/>
    <cellStyle name="_Currency_AMP" xfId="96" xr:uid="{00000000-0005-0000-0000-000026000000}"/>
    <cellStyle name="_Currency_ASF" xfId="699" xr:uid="{11593332-0ED9-4E56-A484-57FD260CFA7C}"/>
    <cellStyle name="_Currency_ASF 2" xfId="700" xr:uid="{D1B68895-D62D-428C-A49F-5BE9E8D4E67E}"/>
    <cellStyle name="_Currency_ASF 3" xfId="701" xr:uid="{941CBFE9-EDE6-464B-ACC5-995EB2456227}"/>
    <cellStyle name="_Currency_ASF1" xfId="702" xr:uid="{54FA43FC-C3BC-4C76-A7F9-44AA78575CDF}"/>
    <cellStyle name="_Currency_ASF1 2" xfId="703" xr:uid="{AE69CF64-46C7-4B6F-AC45-205554CCF321}"/>
    <cellStyle name="_Currency_ASF1 3" xfId="704" xr:uid="{DEDBAB75-083E-4EFE-9892-C631F702B70C}"/>
    <cellStyle name="_Currency_Assa CF" xfId="705" xr:uid="{303E1ECD-6B30-48AB-9E59-531A531AF50A}"/>
    <cellStyle name="_Currency_Assa CF 2" xfId="706" xr:uid="{0DE1C212-0B48-4A19-9436-0E28A447E2DE}"/>
    <cellStyle name="_Currency_Assa CF 3" xfId="707" xr:uid="{CBBDC806-BB0A-4A11-A42C-DA39A688C6A9}"/>
    <cellStyle name="_Currency_Assa Reference" xfId="708" xr:uid="{B4DBC491-821C-42E0-BCA9-94235390A03F}"/>
    <cellStyle name="_Currency_Assa Reference 2" xfId="709" xr:uid="{95124807-9B8A-4408-A853-358F587E3152}"/>
    <cellStyle name="_Currency_Assa Reference 3" xfId="710" xr:uid="{4FA1722E-E8B4-47D5-8D95-B14A08013B29}"/>
    <cellStyle name="_Currency_Assa vs Competition" xfId="711" xr:uid="{39502165-EBD6-4E59-9E23-274413D7AEAD}"/>
    <cellStyle name="_Currency_Assa vs Competition 2" xfId="712" xr:uid="{A6FD6DFF-9596-490B-8ED5-BAC81BF14DF2}"/>
    <cellStyle name="_Currency_Assa vs Competition 3" xfId="713" xr:uid="{2265E548-683F-4C2E-B429-76F59F0DC4F2}"/>
    <cellStyle name="_Currency_AT" xfId="714" xr:uid="{75F4C557-1424-40EF-9367-D69E6B4BFDD2}"/>
    <cellStyle name="_Currency_AT_Copy of IFRS consol ABB Final Version4" xfId="715" xr:uid="{0BFE0512-6659-4E99-A031-5D0BB4F58673}"/>
    <cellStyle name="_Currency_Atlas Copco CF" xfId="716" xr:uid="{83A2E489-D1C7-40EE-A4EE-835CFB89F17E}"/>
    <cellStyle name="_Currency_Atlas Copco CF 2" xfId="717" xr:uid="{745FBEC8-37C5-4E27-A632-1164DC378453}"/>
    <cellStyle name="_Currency_AVP" xfId="718" xr:uid="{FCAD41AA-692D-40F3-BC5D-23A8E448BEA8}"/>
    <cellStyle name="_Currency_AVP 2" xfId="719" xr:uid="{A54A2543-7F6D-42BC-8A7F-CEE1DCA06CD7}"/>
    <cellStyle name="_Currency_AVP 3" xfId="720" xr:uid="{9047FB72-C277-4C5D-9AFD-3ADE39DABE83}"/>
    <cellStyle name="_Currency_AWE" xfId="721" xr:uid="{3E6BC812-3A45-40F7-BE30-8E097D9B0269}"/>
    <cellStyle name="_Currency_AWE_Copy of IFRS consol ABB Final Version4" xfId="722" xr:uid="{B226182F-B3C9-4C54-BCD4-D28B5A94BD22}"/>
    <cellStyle name="_Currency_BA-DCF" xfId="723" xr:uid="{EB6B4985-E8C5-46D5-B529-15970F02858A}"/>
    <cellStyle name="_Currency_BA-DCF 2" xfId="724" xr:uid="{6C791B48-B543-468A-88E5-D80341E58A77}"/>
    <cellStyle name="_Currency_BA-DCF 3" xfId="725" xr:uid="{A8CAF7EE-41A4-4032-B192-BB7608B836FB}"/>
    <cellStyle name="_Currency_BAE_model_new" xfId="726" xr:uid="{3D367276-2EF6-40D7-B2EC-86705A2CC92D}"/>
    <cellStyle name="_Currency_BAE_model_new 2" xfId="727" xr:uid="{7869B3E9-CF92-4E44-A90B-215589C1BEC7}"/>
    <cellStyle name="_Currency_BAE_model_new 3" xfId="728" xr:uid="{C92C1C3B-697E-437C-830C-C88BC196A334}"/>
    <cellStyle name="_Currency_Balance Sheet" xfId="97" xr:uid="{00000000-0005-0000-0000-000027000000}"/>
    <cellStyle name="_Currency_BHI" xfId="729" xr:uid="{6127F1D0-D8EA-4074-AC2A-718419AB1F33}"/>
    <cellStyle name="_Currency_BHI_Copy of IFRS consol ABB Final Version4" xfId="730" xr:uid="{F90968BC-3369-4A18-BAF9-9327B5577C75}"/>
    <cellStyle name="_Currency_BLS" xfId="731" xr:uid="{1D6856ED-8A9E-4541-87B3-E44940EA221A}"/>
    <cellStyle name="_Currency_bls roic" xfId="732" xr:uid="{13CD7DFD-90B2-48A6-BFBD-B9065B98C4C2}"/>
    <cellStyle name="_Currency_bls roic_Copy of IFRS consol ABB Final Version4" xfId="733" xr:uid="{D181AED2-4355-4E1D-A35A-032B497857C7}"/>
    <cellStyle name="_Currency_BLS_Copy of IFRS consol ABB Final Version4" xfId="734" xr:uid="{51266081-6EE0-4047-A0D1-9FEEFF22CD76}"/>
    <cellStyle name="_Currency_Book1" xfId="98" xr:uid="{00000000-0005-0000-0000-000028000000}"/>
    <cellStyle name="_Currency_Book1 2" xfId="735" xr:uid="{BCEEEAA4-6C9B-40C4-A3AE-695DA5B1AAC9}"/>
    <cellStyle name="_Currency_Book1 3" xfId="736" xr:uid="{8F5ACDC8-2049-4A7E-9B5E-1BD112B05636}"/>
    <cellStyle name="_Currency_Book1_WACC" xfId="737" xr:uid="{2ADBC4A8-E2AF-4508-A685-089E4988CFEC}"/>
    <cellStyle name="_Currency_Book1_WACC 2" xfId="738" xr:uid="{EC6BF9F8-2AFB-400A-BCE8-37C689E30282}"/>
    <cellStyle name="_Currency_Book1_WACC 3" xfId="739" xr:uid="{4DBF0D35-1C48-4D96-8B5F-97BBA32639F0}"/>
    <cellStyle name="_Currency_Book2" xfId="740" xr:uid="{11375F6F-754F-470E-BA6B-46A79C8A242F}"/>
    <cellStyle name="_Currency_Book2_Copy of IFRS consol ABB Final Version4" xfId="741" xr:uid="{DA9D933D-DB8F-45F5-B1A1-B467C0AEB837}"/>
    <cellStyle name="_Currency_Book29" xfId="99" xr:uid="{00000000-0005-0000-0000-000029000000}"/>
    <cellStyle name="_Currency_Book3" xfId="100" xr:uid="{00000000-0005-0000-0000-00002A000000}"/>
    <cellStyle name="_Currency_Book3_1" xfId="101" xr:uid="{00000000-0005-0000-0000-00002B000000}"/>
    <cellStyle name="_Currency_Book32" xfId="742" xr:uid="{139B4103-18F9-4360-B215-1DAB3555B23B}"/>
    <cellStyle name="_Currency_Book32_Copy of IFRS consol ABB Final Version4" xfId="743" xr:uid="{14DAE42B-10E0-4630-86AA-111B5293D9BE}"/>
    <cellStyle name="_Currency_capital expenditures 6-18-02" xfId="744" xr:uid="{D17999C9-DF7E-422F-9CE0-C748BF281B58}"/>
    <cellStyle name="_Currency_capital expenditures 6-18-02_Copy of IFRS consol ABB Final Version4" xfId="745" xr:uid="{4112D769-F142-4A5A-84F2-825F4D3F8030}"/>
    <cellStyle name="_Currency_CBD Model Master" xfId="746" xr:uid="{EC56B448-0974-4A18-B39F-8DEA69654742}"/>
    <cellStyle name="_Currency_CBD Model Master 2" xfId="747" xr:uid="{1361837A-F39C-4C21-8346-86A34CE5AA7C}"/>
    <cellStyle name="_Currency_CBD Model Master 3" xfId="748" xr:uid="{1E4E471F-AE46-42D9-B602-DA8441CA79CB}"/>
    <cellStyle name="_Currency_Ciervo_WACC" xfId="749" xr:uid="{AA6079C3-48AC-49E4-AC42-A94BE46C7B40}"/>
    <cellStyle name="_Currency_Ciervo_WACC 2" xfId="750" xr:uid="{2387D448-8AE4-4266-A937-D11199BADAAF}"/>
    <cellStyle name="_Currency_Ciervo_WACC 3" xfId="751" xr:uid="{068F8DF8-7E26-4215-9180-CBA62F383B4A}"/>
    <cellStyle name="_Currency_Cingular" xfId="752" xr:uid="{7DE11838-EADC-49F9-9E69-46AFD4BC7498}"/>
    <cellStyle name="_Currency_Cingular_Copy of IFRS consol ABB Final Version4" xfId="753" xr:uid="{D0807C5C-2A29-4629-B02C-E7055F0DA9D7}"/>
    <cellStyle name="_Currency_CNO" xfId="102" xr:uid="{00000000-0005-0000-0000-00002C000000}"/>
    <cellStyle name="_Currency_Comdot - gStyle Excel Slides" xfId="754" xr:uid="{F1BBCAC1-72A3-4DF4-98FA-ED0B4481CEC5}"/>
    <cellStyle name="_Currency_Comdot - gStyle Excel Slides 2" xfId="755" xr:uid="{CC0F1FCB-1C6A-44E6-838F-DE6C07B2AA46}"/>
    <cellStyle name="_Currency_Comdot - gStyle Excel Slides 3" xfId="756" xr:uid="{B3F5E57A-9726-4816-A0DE-CE7AA8483179}"/>
    <cellStyle name="_Currency_Comdot LBO Short Form - v3" xfId="757" xr:uid="{5770A070-2454-4DA3-B282-1E05DEDA3FFC}"/>
    <cellStyle name="_Currency_Comdot LBO Short Form - v3 2" xfId="758" xr:uid="{D9E1E492-402D-4E59-BFFF-B53A3D57C22E}"/>
    <cellStyle name="_Currency_Comdot LBO Short Form - v3 3" xfId="759" xr:uid="{EDF56DCA-E6DB-4700-AC8E-1E4EF0080CD4}"/>
    <cellStyle name="_Currency_contribution_analysis" xfId="760" xr:uid="{336532A1-6D82-4035-8507-D869CFC60265}"/>
    <cellStyle name="_Currency_Copy of IFRS consol ABB Final Version4" xfId="761" xr:uid="{172C7261-88D3-43E5-B550-DA3D3E600559}"/>
    <cellStyle name="_Currency_Copy of IFRS consol ABB Final Version4 2" xfId="762" xr:uid="{CD164069-8BD8-4CC2-81CF-5BE0122258AC}"/>
    <cellStyle name="_Currency_Copy of IFRS consol ABB Final Version4_1" xfId="763" xr:uid="{AF090CDE-6132-4A91-9A23-3DFD42C21F33}"/>
    <cellStyle name="_Currency_Copy of IFRS consol ABB Final Version4_1 2" xfId="764" xr:uid="{9B856D89-6005-4BE0-BC60-44A8E7F9CE14}"/>
    <cellStyle name="_Currency_Copy of Spirent_now" xfId="765" xr:uid="{E172E106-A6EF-4395-B321-810A59876C37}"/>
    <cellStyle name="_Currency_Copy of Spirent_now 2" xfId="766" xr:uid="{DC5C93E8-D825-4B3C-9EC3-90CEBA387C5D}"/>
    <cellStyle name="_Currency_Copy of Spirent_now 3" xfId="767" xr:uid="{CCCC6E05-80D6-4BBE-8F51-99240C854851}"/>
    <cellStyle name="_Currency_CROCI" xfId="768" xr:uid="{774691CB-624B-4086-8060-BCAA878CF5C4}"/>
    <cellStyle name="_Currency_CROCI 2" xfId="769" xr:uid="{E0DCE9BB-239C-44F0-8408-976C8C4CCDE1}"/>
    <cellStyle name="_Currency_CSC_Belgravia_15052001" xfId="770" xr:uid="{9BFCF41F-245F-48C6-A1EB-354149235594}"/>
    <cellStyle name="_Currency_CSC_Belgravia_15052001 2" xfId="771" xr:uid="{2E5905BD-098B-424A-9E51-8F539942B510}"/>
    <cellStyle name="_Currency_CSC_Belgravia_15052001 3" xfId="772" xr:uid="{0F3C4842-75CB-40D6-8131-B2A6ADECCF40}"/>
    <cellStyle name="_Currency_CSC_Picabia_29062001" xfId="773" xr:uid="{F023C149-2B10-4E88-93CA-A12CEC65967E}"/>
    <cellStyle name="_Currency_CSC_Picabia_29062001 2" xfId="774" xr:uid="{05B93F20-146D-4A4C-AC0F-54FEA3000C74}"/>
    <cellStyle name="_Currency_CSC_Picabia_29062001 3" xfId="775" xr:uid="{64FEE51D-C7BF-4560-85E3-8687CE6CEDB4}"/>
    <cellStyle name="_Currency_Current Valuations" xfId="776" xr:uid="{99B7A11A-98D4-49D3-B922-B4FD697F8A48}"/>
    <cellStyle name="_Currency_Current Valuations 2" xfId="777" xr:uid="{9BBAF9E5-1649-4AE2-8CE7-A89E42750F1F}"/>
    <cellStyle name="_Currency_Current Valuations 3" xfId="778" xr:uid="{73010678-8985-48A0-921C-BE82A4F0F1AE}"/>
    <cellStyle name="_Currency_Date of fillings" xfId="779" xr:uid="{137A5016-0467-46A9-B2C7-748CD02D4951}"/>
    <cellStyle name="_Currency_Date of fillings 2" xfId="780" xr:uid="{9C137DDB-AA21-40DC-939A-9FDCB561F663}"/>
    <cellStyle name="_Currency_Date of fillings 3" xfId="781" xr:uid="{F727585F-CA39-4CF8-A9CE-514F5400A311}"/>
    <cellStyle name="_Currency_DCF - July 2, 2001" xfId="782" xr:uid="{00A32153-84EC-4169-8FF2-E6DC547F29C1}"/>
    <cellStyle name="_Currency_DCF - July 2, 2001 2" xfId="783" xr:uid="{C74BBD10-A72B-4055-9647-3D1DF3244C50}"/>
    <cellStyle name="_Currency_DCF - July 2, 2001 3" xfId="784" xr:uid="{785955A4-A25C-4406-AA23-9A8B22EDF802}"/>
    <cellStyle name="_Currency_DCF Alexander Forbes" xfId="103" xr:uid="{00000000-0005-0000-0000-00002D000000}"/>
    <cellStyle name="_Currency_DCF Model + WACC" xfId="785" xr:uid="{C71519CA-E0AA-488C-97D1-92B108D6FA76}"/>
    <cellStyle name="_Currency_DCF Model + WACC 2" xfId="786" xr:uid="{F074EA45-9772-423B-B9D7-AF897D55883F}"/>
    <cellStyle name="_Currency_DCF Model + WACC 3" xfId="787" xr:uid="{6EB55451-716C-4E23-84A1-F71CE4F6B38C}"/>
    <cellStyle name="_Currency_Earnings growth track record" xfId="788" xr:uid="{317D97CE-018D-4D8A-93D0-9C2C07154B72}"/>
    <cellStyle name="_Currency_Earnings growth track record 2" xfId="789" xr:uid="{FFE3676C-0695-4CF8-AFDC-F85218592B46}"/>
    <cellStyle name="_Currency_Earnings growth track record 3" xfId="790" xr:uid="{202B83F0-A612-4423-B9D6-ED03405B5D69}"/>
    <cellStyle name="_Currency_Electrolux CF" xfId="791" xr:uid="{648ABA53-241B-4AB1-87C1-ABF312F38164}"/>
    <cellStyle name="_Currency_Electrolux CF 2" xfId="792" xr:uid="{B0B5BA9A-E6FD-4331-B473-8C95FA27005F}"/>
    <cellStyle name="_Currency_Electrolux CF_1" xfId="793" xr:uid="{2C1D8802-CD4D-43C6-A7C7-D0BF2D1570B9}"/>
    <cellStyle name="_Currency_Electrolux CF_1 2" xfId="794" xr:uid="{40B8EC90-CB2C-4D79-BC5D-2BC9BA0C7BB8}"/>
    <cellStyle name="_Currency_Electrolux MW" xfId="795" xr:uid="{386A8EC5-62ED-4EF4-A243-E00612327C34}"/>
    <cellStyle name="_Currency_Electrolux MW 2" xfId="796" xr:uid="{B5CA453C-8791-4E5A-887B-8F45FC4AD743}"/>
    <cellStyle name="_Currency_Electrolux Old Nick Paton Mark Wilson Model" xfId="797" xr:uid="{D134F6CC-B139-4ECA-A32F-EE39ABB7A446}"/>
    <cellStyle name="_Currency_Electrolux Old Nick Paton Mark Wilson Model 2" xfId="798" xr:uid="{4886F1DF-66ED-4BD0-9636-84384642E9CA}"/>
    <cellStyle name="_Currency_Electrolux WIP Bhavna" xfId="799" xr:uid="{D6EAFCFA-EDC7-4310-8FD2-6EC1A3813E32}"/>
    <cellStyle name="_Currency_Electrolux WIP Bhavna 2" xfId="800" xr:uid="{80451D95-5EC2-4449-B5E0-CE72402050B1}"/>
    <cellStyle name="_Currency_Eng" xfId="801" xr:uid="{732D4968-2C5A-4F14-AF88-5DBA4277BC38}"/>
    <cellStyle name="_Currency_Eng 2" xfId="802" xr:uid="{B4F5E9C8-4901-4953-BF36-21122C6C46E8}"/>
    <cellStyle name="_Currency_Eng 3" xfId="803" xr:uid="{85B2F170-3779-4502-BA02-D8D4EF0AD2F9}"/>
    <cellStyle name="_Currency_Equity Research" xfId="804" xr:uid="{28C00721-14D9-403D-8221-2036C0DC2926}"/>
    <cellStyle name="_Currency_Euston DCF" xfId="805" xr:uid="{892FDF68-C2F5-4B9E-8D3A-5008CFAB5C53}"/>
    <cellStyle name="_Currency_Euston DCF 2" xfId="806" xr:uid="{C4767C79-426A-40E1-935C-8421223225E8}"/>
    <cellStyle name="_Currency_Euston DCF 3" xfId="807" xr:uid="{14872DE2-538A-4C28-9187-5AF6ECE26FA0}"/>
    <cellStyle name="_Currency_Finmeccanica" xfId="808" xr:uid="{708D09DE-650F-448A-87E6-9D34EF9D201A}"/>
    <cellStyle name="_Currency_Finmeccanica SOP" xfId="809" xr:uid="{BD26C2C1-9007-4740-9520-A09AEA0251DB}"/>
    <cellStyle name="_Currency_Florida consensus estimates" xfId="810" xr:uid="{6DA7A999-2DB4-4041-A16D-445D79C4639A}"/>
    <cellStyle name="_Currency_Florida consensus estimates 2" xfId="811" xr:uid="{178A9D24-1159-4192-9AE2-BF00DDB6986A}"/>
    <cellStyle name="_Currency_Florida consensus estimates 3" xfId="812" xr:uid="{4CA607B6-A9A3-478C-9E88-38928073EB3C}"/>
    <cellStyle name="_Currency_fmbi counties" xfId="104" xr:uid="{00000000-0005-0000-0000-00002E000000}"/>
    <cellStyle name="_Currency_FMBI MBHI Graphs" xfId="105" xr:uid="{00000000-0005-0000-0000-00002F000000}"/>
    <cellStyle name="_Currency_FMBI MBHI Graphs 07102001" xfId="106" xr:uid="{00000000-0005-0000-0000-000030000000}"/>
    <cellStyle name="_Currency_FMBI MBHI Graphs_7601" xfId="107" xr:uid="{00000000-0005-0000-0000-000031000000}"/>
    <cellStyle name="_Currency_FON" xfId="813" xr:uid="{786AB2F9-570B-4502-9408-0172E35A133B}"/>
    <cellStyle name="_Currency_FON_Copy of IFRS consol ABB Final Version4" xfId="814" xr:uid="{0630CEAE-D247-4649-BBC9-60A4F3D8C121}"/>
    <cellStyle name="_Currency_Global ROIC 2007" xfId="815" xr:uid="{C263190A-59ED-4AEC-8B9E-A27C86C99896}"/>
    <cellStyle name="_Currency_Global ROIC 2007 2" xfId="816" xr:uid="{BEB83DBC-7683-46CA-BD78-EDF534B2ADD9}"/>
    <cellStyle name="_Currency_Global ROIC 2007_Copy of IFRS consol ABB Final Version4" xfId="817" xr:uid="{C51A3566-A994-46C4-BD8F-4A54B1C8FAAE}"/>
    <cellStyle name="_Currency_Global ROIC 2007_Copy of IFRS consol ABB Final Version4 2" xfId="818" xr:uid="{52E161C6-011A-426A-862D-CEA942E01D41}"/>
    <cellStyle name="_Currency_GNW" xfId="108" xr:uid="{00000000-0005-0000-0000-000032000000}"/>
    <cellStyle name="_Currency_HeidelbergCement" xfId="819" xr:uid="{7227D203-9EA2-43B5-8C88-9425DBA4B693}"/>
    <cellStyle name="_Currency_Holcim" xfId="820" xr:uid="{809660E6-DCB7-480B-9437-4C002D2445E7}"/>
    <cellStyle name="_Currency_Insurance Brokerage CSC_1Q2002" xfId="109" xr:uid="{00000000-0005-0000-0000-000033000000}"/>
    <cellStyle name="_Currency_Insurance Credit Spread" xfId="821" xr:uid="{A3E3D50C-4521-4E99-8424-DE42DC0C6454}"/>
    <cellStyle name="_Currency_Insurance Credit Spread 2" xfId="822" xr:uid="{861F3B65-8500-4D45-A1D2-50C6F0F2EF1C}"/>
    <cellStyle name="_Currency_Insurance Credit Spread 3" xfId="823" xr:uid="{F81FE297-5F29-4E60-A091-89241EE364A0}"/>
    <cellStyle name="_Currency_Insurance Credit Spread_Atlas Copco CF" xfId="824" xr:uid="{C861CB98-91C5-4129-956D-6A1D5257E7BE}"/>
    <cellStyle name="_Currency_Insurance Credit Spread_Atlas Copco CF 2" xfId="825" xr:uid="{5E52E18E-2C4E-49BD-9E83-ADCF908064C7}"/>
    <cellStyle name="_Currency_Insurance Credit Spread_CROCI" xfId="826" xr:uid="{2BE8BDB2-6894-48C8-B3BC-0540A4253040}"/>
    <cellStyle name="_Currency_Insurance Credit Spread_CROCI 2" xfId="827" xr:uid="{7E5B4CF2-5989-4E92-92B3-6E96FEFFBC66}"/>
    <cellStyle name="_Currency_Insurance Credit Spread_Electrolux CF" xfId="828" xr:uid="{F2CAB0CC-C842-4DD2-80D5-FDDB358BE5C4}"/>
    <cellStyle name="_Currency_Insurance Credit Spread_Electrolux CF 2" xfId="829" xr:uid="{DF6684B3-C09D-43C0-96BD-D2353BB2A810}"/>
    <cellStyle name="_Currency_integrated_standalone_ba" xfId="830" xr:uid="{F26D9292-5A34-4FA3-A815-73628F05BFCC}"/>
    <cellStyle name="_Currency_integrated_standalone_ba 2" xfId="831" xr:uid="{1D4F426A-74F1-4410-A607-B4269B3510D0}"/>
    <cellStyle name="_Currency_integrated_standalone_ba 3" xfId="832" xr:uid="{ABD95DD7-60CB-4E88-A66F-1469820C6CEA}"/>
    <cellStyle name="_Currency_JP" xfId="110" xr:uid="{00000000-0005-0000-0000-000034000000}"/>
    <cellStyle name="_Currency_JV accounting" xfId="833" xr:uid="{468BF2AF-3FE1-4D6D-9CE1-E18F1BB0816B}"/>
    <cellStyle name="_Currency_JV accounting 2" xfId="834" xr:uid="{7EE1A2FA-82CF-4EC9-944A-0F8A270808A6}"/>
    <cellStyle name="_Currency_JV accounting 3" xfId="835" xr:uid="{10E68EBA-59B4-4844-A65D-856E0FA2408E}"/>
    <cellStyle name="_Currency_klm1" xfId="836" xr:uid="{63E34600-7352-4D1E-9633-0682FFF0FF5F}"/>
    <cellStyle name="_Currency_klm1 2" xfId="837" xr:uid="{D98A26FB-3666-4BFC-9052-E1343009ADC7}"/>
    <cellStyle name="_Currency_klm1 3" xfId="838" xr:uid="{7C1C176E-2CA2-4DE0-8152-73F4AE9202C2}"/>
    <cellStyle name="_Currency_KLM-DCF MODEL" xfId="839" xr:uid="{EA7277D4-D612-48C9-8C10-BCA2A2412461}"/>
    <cellStyle name="_Currency_KLM-DCF MODEL 2" xfId="840" xr:uid="{C4E95B3F-D21E-4F51-AF50-24126967D85B}"/>
    <cellStyle name="_Currency_KLM-DCF MODEL 3" xfId="841" xr:uid="{DE2B9242-F632-4E1E-B2FC-6DB163B826C2}"/>
    <cellStyle name="_Currency_Lafarge" xfId="842" xr:uid="{F22EC553-DF02-454D-AD3A-07B48B9FEDC2}"/>
    <cellStyle name="_Currency_LBO Model Zannier - 04-09-01" xfId="843" xr:uid="{A1C1F593-686F-4C24-AAC8-779D8B02055B}"/>
    <cellStyle name="_Currency_LBO Model Zannier - 04-09-01 2" xfId="844" xr:uid="{2C3352A1-8D2F-49EC-BA93-54D7C4D362CA}"/>
    <cellStyle name="_Currency_LBO Model Zannier - 04-09-01 3" xfId="845" xr:uid="{2BFFBB8D-0695-433C-BA37-A0DCBF887B4A}"/>
    <cellStyle name="_Currency_lbo_short_form" xfId="846" xr:uid="{025EF232-5374-4B60-8F1E-EA0D05CCA962}"/>
    <cellStyle name="_Currency_lbo_short_form 2" xfId="847" xr:uid="{CF25DB04-97C0-443E-A00F-69ADED33ACDE}"/>
    <cellStyle name="_Currency_lbo_short_form 3" xfId="848" xr:uid="{A5C54D8F-7BA3-43E7-8550-F7DB5574ED6F}"/>
    <cellStyle name="_Currency_LNC" xfId="111" xr:uid="{00000000-0005-0000-0000-000035000000}"/>
    <cellStyle name="_Currency_LPD_Analysis" xfId="849" xr:uid="{473F0B29-D7F6-46EE-83DD-7FA17DD470B3}"/>
    <cellStyle name="_Currency_LPD_Analysis 2" xfId="850" xr:uid="{9D113823-3B67-48BB-ADD3-64389FCD8473}"/>
    <cellStyle name="_Currency_LPD_Analysis 3" xfId="851" xr:uid="{E66736FE-97AF-4AB8-8C59-8009C25FE2A2}"/>
    <cellStyle name="_Currency_lufthansa1" xfId="852" xr:uid="{E80AA94D-3E31-4619-B6FF-8919A5FAB838}"/>
    <cellStyle name="_Currency_lufthansa1 2" xfId="853" xr:uid="{36CB2AA8-DE8A-4B6C-8A8A-CD370623C459}"/>
    <cellStyle name="_Currency_lufthansa1 3" xfId="854" xr:uid="{C3252799-EF64-4CA8-B541-18CB390F1993}"/>
    <cellStyle name="_Currency_MET" xfId="112" xr:uid="{00000000-0005-0000-0000-000036000000}"/>
    <cellStyle name="_Currency_MET04" xfId="113" xr:uid="{00000000-0005-0000-0000-000037000000}"/>
    <cellStyle name="_Currency_Model CLC-17 07-soir" xfId="855" xr:uid="{5F50EE83-D0EE-4CFF-8DFB-C83625D6F73E}"/>
    <cellStyle name="_Currency_Model CLC-17 07-soir 2" xfId="856" xr:uid="{CF532F69-5735-4F27-8CF8-29D0396BF51B}"/>
    <cellStyle name="_Currency_Model CLC-17 07-soir 3" xfId="857" xr:uid="{7FA94CB2-CFE8-4376-9CF2-40FBC623D0A0}"/>
    <cellStyle name="_Currency_Model Vague 07 conso - Dannaud" xfId="858" xr:uid="{3441CECB-AA6E-4615-97B5-5A6CB9CAD5DE}"/>
    <cellStyle name="_Currency_Model Vague 07 conso - Dannaud 2" xfId="859" xr:uid="{9DE8E41B-2974-4C6C-92FE-6C324801F0BB}"/>
    <cellStyle name="_Currency_Model Vague 07 conso - Dannaud 3" xfId="860" xr:uid="{8C0B7E87-019F-4BB5-BBD7-83147C62150E}"/>
    <cellStyle name="_Currency_MTU Aero Engines" xfId="861" xr:uid="{B68DB0EC-A940-4B0A-958A-D0C1C3F26AA2}"/>
    <cellStyle name="_Currency_MTU Aero Engines 2" xfId="862" xr:uid="{BF3E9E26-B048-4765-8D0E-B379778E92E1}"/>
    <cellStyle name="_Currency_MTU Aero Engines 3" xfId="863" xr:uid="{0E71D303-F5E9-4B21-AB67-4893305ED1DF}"/>
    <cellStyle name="_Currency_MTU Aero EnginesMICHA EVENING6" xfId="864" xr:uid="{C343CD50-8BFE-44FC-8127-129F9CAD5B59}"/>
    <cellStyle name="_Currency_MTU Aero EnginesMICHA EVENING6 2" xfId="865" xr:uid="{D82C8434-2EB4-45B7-B5B6-5F8A9D76C8E3}"/>
    <cellStyle name="_Currency_MTU Aero EnginesMICHA EVENING6 3" xfId="866" xr:uid="{CE5276B6-C59B-44C6-8F92-C2552F5FC5ED}"/>
    <cellStyle name="_Currency_MTU FX sheet" xfId="867" xr:uid="{0150CB0B-9FC2-4F28-A2F5-62245CD96D34}"/>
    <cellStyle name="_Currency_MTU FX sheet 2" xfId="868" xr:uid="{0DA4E056-B216-43A6-8D5B-C34F410997B4}"/>
    <cellStyle name="_Currency_MTU FX sheet 3" xfId="869" xr:uid="{9936CCBE-9F21-462C-842A-B9CD4C7141E9}"/>
    <cellStyle name="_Currency_NFS" xfId="114" xr:uid="{00000000-0005-0000-0000-000038000000}"/>
    <cellStyle name="_Currency_NXTL" xfId="870" xr:uid="{8F695D5D-A5BE-490F-93A0-256EFE3893E5}"/>
    <cellStyle name="_Currency_NXTL_Copy of IFRS consol ABB Final Version4" xfId="871" xr:uid="{20B45750-460A-4363-B2D7-2B5FC9B2DF27}"/>
    <cellStyle name="_Currency_output" xfId="872" xr:uid="{100C1809-2DDC-4E1A-8DC1-503297A07908}"/>
    <cellStyle name="_Currency_output 2" xfId="873" xr:uid="{2E15D08F-07F4-4755-BED8-1855A36509E2}"/>
    <cellStyle name="_Currency_output 3" xfId="874" xr:uid="{88EFCCA8-99F1-4406-8707-995B44ACAE5A}"/>
    <cellStyle name="_Currency_Overview3" xfId="115" xr:uid="{00000000-0005-0000-0000-000039000000}"/>
    <cellStyle name="_Currency_PCS" xfId="875" xr:uid="{C570E2A7-37E5-4499-B5DF-81D9A3B6F2AE}"/>
    <cellStyle name="_Currency_PCS_Copy of IFRS consol ABB Final Version4" xfId="876" xr:uid="{32BFB6C0-AEB7-4EFF-8B06-AC8F9DD70C42}"/>
    <cellStyle name="_Currency_phil data" xfId="116" xr:uid="{00000000-0005-0000-0000-00003A000000}"/>
    <cellStyle name="_Currency_Price Performance Charts" xfId="117" xr:uid="{00000000-0005-0000-0000-00003B000000}"/>
    <cellStyle name="_Currency_PRU" xfId="118" xr:uid="{00000000-0005-0000-0000-00003C000000}"/>
    <cellStyle name="_Currency_PRU04" xfId="119" xr:uid="{00000000-0005-0000-0000-00003D000000}"/>
    <cellStyle name="_Currency_QP_XXX" xfId="877" xr:uid="{917FCDE4-3C4D-493B-B5DC-6EC11E33C75F}"/>
    <cellStyle name="_Currency_QP_XXX 2" xfId="878" xr:uid="{3F5C0F50-A7A9-431E-8A8F-8F8591D49A94}"/>
    <cellStyle name="_Currency_QP_XXX_Copy of IFRS consol ABB Final Version4" xfId="879" xr:uid="{9EF1C646-7BED-46BF-92C7-D14A353F4FAA}"/>
    <cellStyle name="_Currency_QP_XXX_Copy of IFRS consol ABB Final Version4 2" xfId="880" xr:uid="{BF16D6AD-8CAC-4D1B-8437-0C38D520E9A9}"/>
    <cellStyle name="_Currency_RBOC historicals" xfId="881" xr:uid="{A9DAB97B-7F36-4E07-A755-0C781DDEB72B}"/>
    <cellStyle name="_Currency_RBOC historicals_Copy of IFRS consol ABB Final Version4" xfId="882" xr:uid="{E10EC13E-28BB-4847-9743-58955869ED61}"/>
    <cellStyle name="_Currency_Relative Contribution Analysis 04" xfId="883" xr:uid="{C1DF3B37-70DA-4C72-B8FA-D82DE3E31ED1}"/>
    <cellStyle name="_Currency_Relative Contribution Analysis 04 2" xfId="884" xr:uid="{6C5463C9-DF42-4388-8F48-5E3609EE7454}"/>
    <cellStyle name="_Currency_Relative Contribution Analysis 04 3" xfId="885" xr:uid="{98F6D120-C91C-432D-A02B-3506B181EFF8}"/>
    <cellStyle name="_Currency_Rheinmetall" xfId="886" xr:uid="{AA2E9087-FD18-4459-B3E6-8B4E29112E16}"/>
    <cellStyle name="_Currency_Rheinmetall_1" xfId="887" xr:uid="{C86F16B3-21EB-4E72-BD6D-C9CE7AA2345F}"/>
    <cellStyle name="_Currency_Rheinmetall_1 2" xfId="888" xr:uid="{7ABEB397-0186-4DB9-9608-12884C3E36CE}"/>
    <cellStyle name="_Currency_Rheinmetall_1 3" xfId="889" xr:uid="{4EE330B9-DE91-4397-8A79-1344C6CDDE11}"/>
    <cellStyle name="_Currency_RHM" xfId="890" xr:uid="{7AB503CA-790F-4203-AAF0-E50240B8308B}"/>
    <cellStyle name="_Currency_RiskReward" xfId="120" xr:uid="{00000000-0005-0000-0000-00003E000000}"/>
    <cellStyle name="_Currency_ROIC" xfId="891" xr:uid="{749A5721-91E7-4E37-AF77-B9BBF1E97AE0}"/>
    <cellStyle name="_Currency_ROIC 2" xfId="892" xr:uid="{5543A65D-C8AC-4DBA-8A03-984A00CD0ADE}"/>
    <cellStyle name="_Currency_ROIC 3" xfId="893" xr:uid="{91D41C77-59B3-4118-909E-39B6453BC0C0}"/>
    <cellStyle name="_Currency_Rolls-Royce" xfId="894" xr:uid="{711BA39A-1E8C-46E4-9E65-728A9ABD42C7}"/>
    <cellStyle name="_Currency_Rolls-Royce Micha" xfId="895" xr:uid="{87DC3FA4-AD5F-4009-961B-DB5FD82EDA91}"/>
    <cellStyle name="_Currency_Rolls-Royce Micha 2" xfId="896" xr:uid="{E76D45BB-23A5-4FDC-9E82-995E5EA64804}"/>
    <cellStyle name="_Currency_Rolls-Royce Micha 3" xfId="897" xr:uid="{9F17B8A6-4A59-4FAC-AF52-B4BF9FA5766F}"/>
    <cellStyle name="_Currency_Rolls-RoyceFINAL130206" xfId="898" xr:uid="{BE29DA3C-CBA0-485A-973B-B919A353FB8C}"/>
    <cellStyle name="_Currency_Rolls-RoyceFINAL130206 2" xfId="899" xr:uid="{71CB234C-207A-42D5-B610-5A33F6267E6E}"/>
    <cellStyle name="_Currency_Rolls-RoyceFINAL130206 3" xfId="900" xr:uid="{BBE128B7-D231-4B5B-B86E-3375704F976B}"/>
    <cellStyle name="_Currency_Royal Kansas  DCF2" xfId="901" xr:uid="{6001EB12-1434-4998-902B-811A1D52AABF}"/>
    <cellStyle name="_Currency_Royal Kansas  DCF2 2" xfId="902" xr:uid="{7E729BB0-52B1-4841-BAA8-9643E8AEFF4F}"/>
    <cellStyle name="_Currency_Royal Kansas  DCF2 3" xfId="903" xr:uid="{22EE3FCD-5CFB-4958-BF4C-67F24E339BC8}"/>
    <cellStyle name="_Currency_RR FY06" xfId="904" xr:uid="{F67A7669-CAEF-4F78-B9D3-8532FBAEF2A6}"/>
    <cellStyle name="_Currency_RR FY06 2" xfId="905" xr:uid="{07ADBF47-70BA-4B66-880D-6AA1B4AF453B}"/>
    <cellStyle name="_Currency_RR FY06 3" xfId="906" xr:uid="{86ABAFA9-4AE0-4CB1-8821-6231F5A084F4}"/>
    <cellStyle name="_Currency_SaabOLD" xfId="907" xr:uid="{AE768D49-F3B2-4137-B190-3C2D82127DD5}"/>
    <cellStyle name="_Currency_Safran" xfId="908" xr:uid="{501882C7-A419-4214-B22F-934092946EB9}"/>
    <cellStyle name="_Currency_Safran 2" xfId="909" xr:uid="{AFA41ED3-F1E6-419F-8EC4-885B9C037A57}"/>
    <cellStyle name="_Currency_Safran 3" xfId="910" xr:uid="{9634F115-0F1D-40BF-9704-735263B3707A}"/>
    <cellStyle name="_Currency_Saft vs Peers" xfId="911" xr:uid="{7300F2C4-5662-4A22-8723-386A3FBA6DBB}"/>
    <cellStyle name="_Currency_Saft vs Peers 2" xfId="912" xr:uid="{D7E18EF4-9D0E-4CBD-A6A1-D34F27A3E67E}"/>
    <cellStyle name="_Currency_Saft vs Peers 3" xfId="913" xr:uid="{64258803-D465-4D4F-9A37-FABF760ABE2E}"/>
    <cellStyle name="_Currency_SFG" xfId="121" xr:uid="{00000000-0005-0000-0000-00003F000000}"/>
    <cellStyle name="_Currency_Sheet1" xfId="122" xr:uid="{00000000-0005-0000-0000-000040000000}"/>
    <cellStyle name="_Currency_SIFI OLD" xfId="914" xr:uid="{0DDF0B4C-D53F-44E4-962B-A9F96F66BEE9}"/>
    <cellStyle name="_Currency_SIFINEW" xfId="915" xr:uid="{75F1D2B6-9616-415E-AD1A-DF112A7FBA51}"/>
    <cellStyle name="_Currency_SIFINEW 2" xfId="916" xr:uid="{65B737FC-B528-46F3-8958-7AB2E432E8E8}"/>
    <cellStyle name="_Currency_SIFINEW 3" xfId="917" xr:uid="{FA2551B6-32D2-48C1-A131-BB3F7A4630A6}"/>
    <cellStyle name="_Currency_Sketch5 - Montana Impact" xfId="918" xr:uid="{E9B17840-F8AA-4527-8325-426F62948BB6}"/>
    <cellStyle name="_Currency_Sketch5 - Montana Impact 2" xfId="919" xr:uid="{D746E8D2-146E-4BAF-AF56-3FB84849A372}"/>
    <cellStyle name="_Currency_Sketch5 - Montana Impact 3" xfId="920" xr:uid="{0B430C25-B7C0-40E3-80F6-333945A2880D}"/>
    <cellStyle name="_Currency_Smiths Group" xfId="921" xr:uid="{21AF8FFE-46D2-4EEA-88CE-9869F8536073}"/>
    <cellStyle name="_Currency_Smiths Group - OLD" xfId="922" xr:uid="{111892AB-5AD7-40E3-B557-4412E29D39CA}"/>
    <cellStyle name="_Currency_Status Quo" xfId="923" xr:uid="{9F7D379C-74A0-4970-8E09-B0DD02223875}"/>
    <cellStyle name="_Currency_Status Quo 2" xfId="924" xr:uid="{DCBFE2AA-B409-4A31-B84A-5F0D8B767B8C}"/>
    <cellStyle name="_Currency_Status Quo 3" xfId="925" xr:uid="{78AE9FAC-FCE3-4ED7-B428-888EA0BBE1C0}"/>
    <cellStyle name="_Currency_Stock-QTR1 FDS" xfId="123" xr:uid="{00000000-0005-0000-0000-000041000000}"/>
    <cellStyle name="_Currency_T - new" xfId="926" xr:uid="{8BF9AF34-D864-4175-9DB9-4EF26196201C}"/>
    <cellStyle name="_Currency_T - new_Copy of IFRS consol ABB Final Version4" xfId="927" xr:uid="{26E5C7E0-59CF-4DBB-87F3-7DC00B1DAC5E}"/>
    <cellStyle name="_Currency_TMK" xfId="124" xr:uid="{00000000-0005-0000-0000-000042000000}"/>
    <cellStyle name="_Currency_Updated Valuation Changes" xfId="125" xr:uid="{00000000-0005-0000-0000-000043000000}"/>
    <cellStyle name="_Currency_Vague LBO Model - 19 July 2001" xfId="928" xr:uid="{6BC610BF-65CF-49EA-8EC8-6AD111E1FFE5}"/>
    <cellStyle name="_Currency_Vague LBO Model - 19 July 2001 2" xfId="929" xr:uid="{0DCD56B7-0727-46FD-A10E-CB50CD135E4F}"/>
    <cellStyle name="_Currency_Vague LBO Model - 19 July 2001 3" xfId="930" xr:uid="{D7D430A1-6880-4A50-8599-6ED5131932E0}"/>
    <cellStyle name="_Currency_Valuation Graphs" xfId="126" xr:uid="{00000000-0005-0000-0000-000044000000}"/>
    <cellStyle name="_Currency_Valuation Metrics" xfId="931" xr:uid="{60A4F666-639F-447B-8FE0-FC76BE173F0E}"/>
    <cellStyle name="_Currency_Valuation Metrics 2" xfId="932" xr:uid="{3A2902E9-A5B0-4C50-A1EA-B902AD9F3D6D}"/>
    <cellStyle name="_Currency_Valuation Metrics 3" xfId="933" xr:uid="{41B54614-606C-434D-9731-F6D90A613F1F}"/>
    <cellStyle name="_Currency_Vinci" xfId="934" xr:uid="{1EF30257-491E-4ADE-99D6-2FB74B866718}"/>
    <cellStyle name="_Currency_VZ" xfId="935" xr:uid="{E4A09B1F-FA25-4B2A-A4E7-1DF253DA0F77}"/>
    <cellStyle name="_Currency_VZ_Copy of IFRS consol ABB Final Version4" xfId="936" xr:uid="{E6B4CFFC-3D35-45BC-A10D-7EED7A74FB81}"/>
    <cellStyle name="_Currency_VZW" xfId="937" xr:uid="{13CA8BCF-DB0E-42D5-8ECF-6FE9BF99E478}"/>
    <cellStyle name="_Currency_VZW_Copy of IFRS consol ABB Final Version4" xfId="938" xr:uid="{D166C11D-BD41-4957-BBFD-A562D4C69BA2}"/>
    <cellStyle name="_Currency_WACC" xfId="939" xr:uid="{DBC7EE5C-0C1F-4864-92D8-AE6E8E0FF45C}"/>
    <cellStyle name="_Currency_WACC 2" xfId="940" xr:uid="{7D0A4473-453D-408E-BE1A-827152F8CBC7}"/>
    <cellStyle name="_Currency_WACC 3" xfId="941" xr:uid="{B6472F7A-9ED4-422F-9E77-FE7373B7DA15}"/>
    <cellStyle name="_Currency_xratio - historical mkt val" xfId="127" xr:uid="{00000000-0005-0000-0000-000045000000}"/>
    <cellStyle name="_CurrencySpace" xfId="128" xr:uid="{00000000-0005-0000-0000-000046000000}"/>
    <cellStyle name="_CurrencySpace 2" xfId="942" xr:uid="{6D38BC28-710A-4D29-A6C9-DDC4E9DAA155}"/>
    <cellStyle name="_CurrencySpace 3" xfId="943" xr:uid="{DD52A329-9AE1-4FEF-A02C-CA72DF4B9EC6}"/>
    <cellStyle name="_CurrencySpace_01 adj for merger plan" xfId="129" xr:uid="{00000000-0005-0000-0000-000047000000}"/>
    <cellStyle name="_CurrencySpace_2001 YTD Performance" xfId="944" xr:uid="{D90072F2-94BB-4E1D-A983-D0A2D7203315}"/>
    <cellStyle name="_CurrencySpace_2001 YTD Performance 2" xfId="945" xr:uid="{7AE3A71D-50D7-47E1-8029-1AE0828D6A9D}"/>
    <cellStyle name="_CurrencySpace_2001 YTD Performance 3" xfId="946" xr:uid="{DAF08801-C5A0-4928-B125-BE2F58336AB5}"/>
    <cellStyle name="_CurrencySpace_Ability to Pay Analysis" xfId="130" xr:uid="{00000000-0005-0000-0000-000048000000}"/>
    <cellStyle name="_CurrencySpace_ABP1" xfId="947" xr:uid="{53E56F65-D2B6-4B22-9AF2-F15B3AE27777}"/>
    <cellStyle name="_CurrencySpace_ABP1 2" xfId="948" xr:uid="{3603947C-C924-4D65-B8FB-A7B11375AD09}"/>
    <cellStyle name="_CurrencySpace_ABP1 3" xfId="949" xr:uid="{73FB35E1-A285-4FD5-824A-E839F9B77875}"/>
    <cellStyle name="_CurrencySpace_Aero DCF" xfId="950" xr:uid="{95C942CB-8B8B-4569-A707-32460284A4D7}"/>
    <cellStyle name="_CurrencySpace_Aero DCF 2" xfId="951" xr:uid="{EE437063-3184-4CD8-A87C-2B99CB6E5B81}"/>
    <cellStyle name="_CurrencySpace_Aero DCF 3" xfId="952" xr:uid="{9D8CA356-6B24-49D3-AC83-E4D6DCC8ECD9}"/>
    <cellStyle name="_CurrencySpace_AFL" xfId="131" xr:uid="{00000000-0005-0000-0000-000049000000}"/>
    <cellStyle name="_CurrencySpace_AIZ" xfId="132" xr:uid="{00000000-0005-0000-0000-00004A000000}"/>
    <cellStyle name="_CurrencySpace_Alstom WIP Bhavna" xfId="953" xr:uid="{72DC4F17-AED5-4A8B-B76E-A32D292E5435}"/>
    <cellStyle name="_CurrencySpace_Alstom WIP Bhavna 2" xfId="954" xr:uid="{36FDB404-63F8-4646-A820-A8E77EF35718}"/>
    <cellStyle name="_CurrencySpace_AMP" xfId="133" xr:uid="{00000000-0005-0000-0000-00004B000000}"/>
    <cellStyle name="_CurrencySpace_ASF" xfId="955" xr:uid="{8B4215E0-0852-439F-B7D5-0446E5C64820}"/>
    <cellStyle name="_CurrencySpace_ASF 2" xfId="956" xr:uid="{40C01CEB-90F3-46BF-9CD8-F72430902ADB}"/>
    <cellStyle name="_CurrencySpace_ASF 3" xfId="957" xr:uid="{5FE3857F-9F78-4090-A370-1BD39858A7CE}"/>
    <cellStyle name="_CurrencySpace_ASF1" xfId="958" xr:uid="{461B9499-E677-4792-ABA1-5113F07BC077}"/>
    <cellStyle name="_CurrencySpace_ASF1 2" xfId="959" xr:uid="{7F2BEE1C-E94E-4F3F-BF8C-26E1FD6A0E1F}"/>
    <cellStyle name="_CurrencySpace_ASF1 3" xfId="960" xr:uid="{46395EFD-BCA8-47C6-87B7-44DB09484E34}"/>
    <cellStyle name="_CurrencySpace_Assa CF" xfId="961" xr:uid="{A6E3D3E5-1FDB-467C-B153-7F6C4EB3F0E8}"/>
    <cellStyle name="_CurrencySpace_Assa CF 2" xfId="962" xr:uid="{EF9334FE-22ED-4C41-B8E5-D2628B7F8991}"/>
    <cellStyle name="_CurrencySpace_Assa CF 3" xfId="963" xr:uid="{18547A29-A2EF-43F0-96DC-8427AC610292}"/>
    <cellStyle name="_CurrencySpace_Assa Reference" xfId="964" xr:uid="{4036CFAC-B15B-4706-B883-5E91055CE4E2}"/>
    <cellStyle name="_CurrencySpace_Assa Reference 2" xfId="965" xr:uid="{F37ADA8D-FD8D-480F-8B97-12529044362E}"/>
    <cellStyle name="_CurrencySpace_Assa Reference 3" xfId="966" xr:uid="{BA80B0F3-4247-40B5-9136-3EEA2FE70318}"/>
    <cellStyle name="_CurrencySpace_Assa vs Competition" xfId="967" xr:uid="{E8D841B6-E3AF-45EB-81B1-36C7ACA69700}"/>
    <cellStyle name="_CurrencySpace_Assa vs Competition 2" xfId="968" xr:uid="{5151647B-9E45-4A27-9008-FEA2B6F01BAE}"/>
    <cellStyle name="_CurrencySpace_Assa vs Competition 3" xfId="969" xr:uid="{701BD8A1-008A-4017-ABF6-95C7DCF840D0}"/>
    <cellStyle name="_CurrencySpace_AVP" xfId="970" xr:uid="{1F0E3951-1739-49D9-A16A-E0A44A062654}"/>
    <cellStyle name="_CurrencySpace_AVP 2" xfId="971" xr:uid="{1773CD71-9E78-4B48-9C4A-0250DD6B7639}"/>
    <cellStyle name="_CurrencySpace_AVP 3" xfId="972" xr:uid="{A259ADE8-927D-4A64-A0F8-94CDBCD43BF0}"/>
    <cellStyle name="_CurrencySpace_BAE_model_new" xfId="973" xr:uid="{57B7254A-B35E-4F63-9C6F-C7193A77A3E3}"/>
    <cellStyle name="_CurrencySpace_BAE_model_new 2" xfId="974" xr:uid="{EEE08163-4214-40AF-AFB9-6640F8F516EB}"/>
    <cellStyle name="_CurrencySpace_BAE_model_new 3" xfId="975" xr:uid="{DEF0BC0B-2A2E-474E-BF2B-2D85B6152549}"/>
    <cellStyle name="_CurrencySpace_Balance Sheet" xfId="134" xr:uid="{00000000-0005-0000-0000-00004C000000}"/>
    <cellStyle name="_CurrencySpace_BHI" xfId="976" xr:uid="{7E986051-96BF-4318-AF64-9F12EF2173A9}"/>
    <cellStyle name="_CurrencySpace_BHI_Copy of IFRS consol ABB Final Version4" xfId="977" xr:uid="{06FEB2EA-5C11-4888-808B-99591C1233BC}"/>
    <cellStyle name="_CurrencySpace_bls roic" xfId="978" xr:uid="{D179F48E-4044-4073-B6B0-8CBC5C1518B8}"/>
    <cellStyle name="_CurrencySpace_bls roic_Copy of IFRS consol ABB Final Version4" xfId="979" xr:uid="{361E913B-5160-427B-9EB5-8E97C787267A}"/>
    <cellStyle name="_CurrencySpace_Book1" xfId="135" xr:uid="{00000000-0005-0000-0000-00004D000000}"/>
    <cellStyle name="_CurrencySpace_Book1 2" xfId="980" xr:uid="{8EA05046-F23C-45B1-B549-123CCA13EFAB}"/>
    <cellStyle name="_CurrencySpace_Book1 3" xfId="981" xr:uid="{8A6C65A5-C974-4558-AD68-3E7CAC7B3EF4}"/>
    <cellStyle name="_CurrencySpace_Book1_1" xfId="982" xr:uid="{B0FAC679-0FC5-4ACE-B17A-02A81445D928}"/>
    <cellStyle name="_CurrencySpace_Book1_1 2" xfId="983" xr:uid="{9FF45BBE-101E-4272-B5D0-1AC46C7EC2B9}"/>
    <cellStyle name="_CurrencySpace_Book1_1 3" xfId="984" xr:uid="{BF806C6B-A4B4-47CA-B68B-858750A3BA13}"/>
    <cellStyle name="_CurrencySpace_Book1_WACC" xfId="985" xr:uid="{54781BD1-F2C0-4248-A29D-DA155E3FEBF3}"/>
    <cellStyle name="_CurrencySpace_Book1_WACC 2" xfId="986" xr:uid="{A3A77840-4FE1-425F-88A8-4B26170FA002}"/>
    <cellStyle name="_CurrencySpace_Book1_WACC 3" xfId="987" xr:uid="{D9F92AC2-3B49-4920-9C6D-D2EA4A8DD245}"/>
    <cellStyle name="_CurrencySpace_Book29" xfId="136" xr:uid="{00000000-0005-0000-0000-00004E000000}"/>
    <cellStyle name="_CurrencySpace_Book3" xfId="137" xr:uid="{00000000-0005-0000-0000-00004F000000}"/>
    <cellStyle name="_CurrencySpace_Book3_1" xfId="138" xr:uid="{00000000-0005-0000-0000-000050000000}"/>
    <cellStyle name="_CurrencySpace_capital expenditures 6-18-02" xfId="988" xr:uid="{C87ADFE8-B6C4-488F-9BE4-8A4207DC106A}"/>
    <cellStyle name="_CurrencySpace_capital expenditures 6-18-02_Copy of IFRS consol ABB Final Version4" xfId="989" xr:uid="{719B0617-73A8-4A2F-8BFC-18612E620FB2}"/>
    <cellStyle name="_CurrencySpace_CNO" xfId="139" xr:uid="{00000000-0005-0000-0000-000051000000}"/>
    <cellStyle name="_CurrencySpace_Comdot - gStyle Excel Slides" xfId="990" xr:uid="{946F9452-8CE8-4122-BD06-E23FA27B3709}"/>
    <cellStyle name="_CurrencySpace_Comdot - gStyle Excel Slides 2" xfId="991" xr:uid="{13BD493E-F586-4AA5-8D8E-509508CD826A}"/>
    <cellStyle name="_CurrencySpace_Comdot - gStyle Excel Slides 3" xfId="992" xr:uid="{A259D3A0-FCEF-454F-A906-5449122A41C9}"/>
    <cellStyle name="_CurrencySpace_Comdot LBO Short Form - v3" xfId="993" xr:uid="{304B4276-D777-48AF-A182-176F44B1AC9B}"/>
    <cellStyle name="_CurrencySpace_Comdot LBO Short Form - v3 2" xfId="994" xr:uid="{8E5594DE-A054-4AA2-AEC1-AC5D534E68EC}"/>
    <cellStyle name="_CurrencySpace_Comdot LBO Short Form - v3 3" xfId="995" xr:uid="{3A16BEA9-A1F3-4FFA-B959-A5B29671EF90}"/>
    <cellStyle name="_CurrencySpace_contribution_analysis" xfId="996" xr:uid="{1B834333-A103-412E-A2FD-B66F5BF2B915}"/>
    <cellStyle name="_CurrencySpace_Copy of Spirent_now" xfId="997" xr:uid="{4CEE9C7B-7914-4A0F-9891-FF0DA304480E}"/>
    <cellStyle name="_CurrencySpace_Copy of Spirent_now 2" xfId="998" xr:uid="{410759B9-BB4C-4897-B069-33FE726B0A79}"/>
    <cellStyle name="_CurrencySpace_Copy of Spirent_now 3" xfId="999" xr:uid="{A7C32094-A322-48CE-9CF4-6A396DAA502C}"/>
    <cellStyle name="_CurrencySpace_CSC AVP Merger Plan" xfId="1000" xr:uid="{45015790-46EF-4F59-87B2-3B7BC3CDEDDF}"/>
    <cellStyle name="_CurrencySpace_CSC AVP Merger Plan 2" xfId="1001" xr:uid="{29068FD6-7980-4CDA-BF51-DC4EAA1CA5B6}"/>
    <cellStyle name="_CurrencySpace_CSC AVP Merger Plan 3" xfId="1002" xr:uid="{D1752787-AC6F-40E8-AA6F-2D9FB32B2078}"/>
    <cellStyle name="_CurrencySpace_CSC_Picabia_29062001" xfId="1003" xr:uid="{E71E6AC5-C649-4BA2-8FBC-AF9212A1255D}"/>
    <cellStyle name="_CurrencySpace_CSC_Picabia_29062001 2" xfId="1004" xr:uid="{16F88CF6-0DBC-4CD8-B61B-136D300FA322}"/>
    <cellStyle name="_CurrencySpace_CSC_Picabia_29062001 3" xfId="1005" xr:uid="{96F7CBCF-26B4-4B42-BA59-30631BFEC8CC}"/>
    <cellStyle name="_CurrencySpace_Current Valuations" xfId="1006" xr:uid="{6834B535-70E4-4D0C-B312-CAB2958282CB}"/>
    <cellStyle name="_CurrencySpace_Current Valuations 2" xfId="1007" xr:uid="{AAC9DC1D-3D6C-4279-B6CF-0A4B0D8EEE44}"/>
    <cellStyle name="_CurrencySpace_Current Valuations 3" xfId="1008" xr:uid="{787C1680-23E3-474D-BB3B-E8732D28F019}"/>
    <cellStyle name="_CurrencySpace_DCF - July 2, 2001" xfId="1009" xr:uid="{F6580E42-5045-4A0B-8959-11B288F0FF92}"/>
    <cellStyle name="_CurrencySpace_DCF - July 2, 2001 2" xfId="1010" xr:uid="{80FBCC04-5A52-4B2E-A350-DC7B39BBD5AC}"/>
    <cellStyle name="_CurrencySpace_DCF - July 2, 2001 3" xfId="1011" xr:uid="{88D18A29-A69C-4925-A0D0-375FD265F483}"/>
    <cellStyle name="_CurrencySpace_DCF Alexander Forbes" xfId="140" xr:uid="{00000000-0005-0000-0000-000052000000}"/>
    <cellStyle name="_CurrencySpace_Earnings growth track record" xfId="1012" xr:uid="{FB645F55-0C7A-450F-8C5B-08857F2E0EAE}"/>
    <cellStyle name="_CurrencySpace_Earnings growth track record 2" xfId="1013" xr:uid="{149D7A05-28E3-4503-8658-88EFE15BF784}"/>
    <cellStyle name="_CurrencySpace_Earnings growth track record 3" xfId="1014" xr:uid="{A29C3DF8-64EF-4A9A-8370-A51914699F5E}"/>
    <cellStyle name="_CurrencySpace_Electrolux CF" xfId="1015" xr:uid="{DF4681D1-0250-4334-839B-3922A0CC6C53}"/>
    <cellStyle name="_CurrencySpace_Electrolux CF 2" xfId="1016" xr:uid="{8A7FA62A-5526-4C01-8B7E-EBB6A4F73841}"/>
    <cellStyle name="_CurrencySpace_Electrolux MW" xfId="1017" xr:uid="{E688B19A-6AE6-4133-8180-BBDD5F7072EF}"/>
    <cellStyle name="_CurrencySpace_Electrolux MW 2" xfId="1018" xr:uid="{6D70EE5B-93F4-4E06-ABD2-895C87452B46}"/>
    <cellStyle name="_CurrencySpace_Electrolux Old Nick Paton Mark Wilson Model" xfId="1019" xr:uid="{2B1161A8-87C6-495D-95FE-37CC2F0166F3}"/>
    <cellStyle name="_CurrencySpace_Electrolux Old Nick Paton Mark Wilson Model 2" xfId="1020" xr:uid="{1EF3A3B9-7A3E-4C93-B673-2CFC84572209}"/>
    <cellStyle name="_CurrencySpace_Electrolux WIP Bhavna" xfId="1021" xr:uid="{3DFACBDD-D03E-455B-A750-07133A0166FA}"/>
    <cellStyle name="_CurrencySpace_Electrolux WIP Bhavna 2" xfId="1022" xr:uid="{D1F50072-D0AD-4254-ADB4-9207D85ACC36}"/>
    <cellStyle name="_CurrencySpace_Eng" xfId="1023" xr:uid="{9ABBD3D6-AB53-49F3-AD6B-922B542282CC}"/>
    <cellStyle name="_CurrencySpace_Eng 2" xfId="1024" xr:uid="{8D730572-55F1-42D0-AD99-43D466F674CB}"/>
    <cellStyle name="_CurrencySpace_Eng 3" xfId="1025" xr:uid="{2D977BE1-81C5-4A60-9560-AF0764590B44}"/>
    <cellStyle name="_CurrencySpace_Finmeccanica" xfId="1026" xr:uid="{0B081CE0-4503-4776-88B1-67B4960C6487}"/>
    <cellStyle name="_CurrencySpace_Finmeccanica SOP" xfId="1027" xr:uid="{E3A24DD8-B541-4FCD-B494-71C7686AA1B9}"/>
    <cellStyle name="_CurrencySpace_fmbi counties" xfId="141" xr:uid="{00000000-0005-0000-0000-000053000000}"/>
    <cellStyle name="_CurrencySpace_FMBI MBHI Graphs" xfId="142" xr:uid="{00000000-0005-0000-0000-000054000000}"/>
    <cellStyle name="_CurrencySpace_FMBI MBHI Graphs 07102001" xfId="143" xr:uid="{00000000-0005-0000-0000-000055000000}"/>
    <cellStyle name="_CurrencySpace_FMBI MBHI Graphs_7601" xfId="144" xr:uid="{00000000-0005-0000-0000-000056000000}"/>
    <cellStyle name="_CurrencySpace_GNW" xfId="145" xr:uid="{00000000-0005-0000-0000-000057000000}"/>
    <cellStyle name="_CurrencySpace_Insurance Brokerage CSC_1Q2002" xfId="146" xr:uid="{00000000-0005-0000-0000-000058000000}"/>
    <cellStyle name="_CurrencySpace_integrated_standalone_ba" xfId="1028" xr:uid="{B159DB9F-61C9-49FC-A8B2-D7005CFE39AC}"/>
    <cellStyle name="_CurrencySpace_integrated_standalone_ba 2" xfId="1029" xr:uid="{2E04425E-5F5D-467A-8553-B2398D97620B}"/>
    <cellStyle name="_CurrencySpace_integrated_standalone_ba 3" xfId="1030" xr:uid="{086B245E-EBE7-4B2E-8DEE-36F0D2C98F01}"/>
    <cellStyle name="_CurrencySpace_JP" xfId="147" xr:uid="{00000000-0005-0000-0000-000059000000}"/>
    <cellStyle name="_CurrencySpace_LBO Model Zannier - 04-09-01" xfId="1031" xr:uid="{677B479E-BEDD-4769-B56A-6CECE52EB05A}"/>
    <cellStyle name="_CurrencySpace_LBO Model Zannier - 04-09-01 2" xfId="1032" xr:uid="{61000B57-0811-4E70-84A0-760284CE3FCA}"/>
    <cellStyle name="_CurrencySpace_LBO Model Zannier - 04-09-01 3" xfId="1033" xr:uid="{9CA59DB1-CDB5-4DDB-BFDF-102F39317F20}"/>
    <cellStyle name="_CurrencySpace_LNC" xfId="148" xr:uid="{00000000-0005-0000-0000-00005A000000}"/>
    <cellStyle name="_CurrencySpace_MET" xfId="149" xr:uid="{00000000-0005-0000-0000-00005B000000}"/>
    <cellStyle name="_CurrencySpace_MET04" xfId="150" xr:uid="{00000000-0005-0000-0000-00005C000000}"/>
    <cellStyle name="_CurrencySpace_Model Vague 07 conso - Dannaud" xfId="1034" xr:uid="{D0600A40-6960-4433-8E89-3B03FABD7697}"/>
    <cellStyle name="_CurrencySpace_Model Vague 07 conso - Dannaud 2" xfId="1035" xr:uid="{4972CEB2-B264-4BDE-9C1B-6BF513578CE1}"/>
    <cellStyle name="_CurrencySpace_Model Vague 07 conso - Dannaud 3" xfId="1036" xr:uid="{1B3225C0-950D-49B6-839F-B2B1AF7692EC}"/>
    <cellStyle name="_CurrencySpace_MTU Aero Engines" xfId="1037" xr:uid="{CEF0CA81-EA83-4852-81C5-2F9560E0DADA}"/>
    <cellStyle name="_CurrencySpace_MTU Aero Engines 2" xfId="1038" xr:uid="{8C47AF58-CBBB-4D00-A9EB-AE910BFD548D}"/>
    <cellStyle name="_CurrencySpace_MTU Aero Engines 3" xfId="1039" xr:uid="{BEBEE814-892C-41B0-BEC8-48919066AA9A}"/>
    <cellStyle name="_CurrencySpace_MTU Aero EnginesMICHA EVENING6" xfId="1040" xr:uid="{AEA8E211-4239-4DB2-9EA6-7E478F6B0DF6}"/>
    <cellStyle name="_CurrencySpace_MTU Aero EnginesMICHA EVENING6 2" xfId="1041" xr:uid="{8125043B-6E5D-4F44-919B-D2363A659572}"/>
    <cellStyle name="_CurrencySpace_MTU Aero EnginesMICHA EVENING6 3" xfId="1042" xr:uid="{04F27302-028D-4F5E-95C6-FD09A46B1742}"/>
    <cellStyle name="_CurrencySpace_MTU FX sheet" xfId="1043" xr:uid="{BD11CBE4-304B-4B37-AC68-96DF5AD875C0}"/>
    <cellStyle name="_CurrencySpace_MTU FX sheet 2" xfId="1044" xr:uid="{BC44C7F6-0FF5-4D63-B91C-9C6323EFAF87}"/>
    <cellStyle name="_CurrencySpace_MTU FX sheet 3" xfId="1045" xr:uid="{59DB3EA4-9B52-482F-A2F1-6261AAA8F6E5}"/>
    <cellStyle name="_CurrencySpace_NFS" xfId="151" xr:uid="{00000000-0005-0000-0000-00005D000000}"/>
    <cellStyle name="_CurrencySpace_output" xfId="1046" xr:uid="{6BEEAEAF-0C26-424C-8836-8142274F3262}"/>
    <cellStyle name="_CurrencySpace_output 2" xfId="1047" xr:uid="{1A4677A5-CD78-4061-BBC9-74B39B72520E}"/>
    <cellStyle name="_CurrencySpace_output 3" xfId="1048" xr:uid="{3352DE4E-5520-4F2B-9EF6-595EFA6D752F}"/>
    <cellStyle name="_CurrencySpace_Overview3" xfId="152" xr:uid="{00000000-0005-0000-0000-00005E000000}"/>
    <cellStyle name="_CurrencySpace_phil data" xfId="153" xr:uid="{00000000-0005-0000-0000-00005F000000}"/>
    <cellStyle name="_CurrencySpace_Price Performance Charts" xfId="154" xr:uid="{00000000-0005-0000-0000-000060000000}"/>
    <cellStyle name="_CurrencySpace_PRU" xfId="155" xr:uid="{00000000-0005-0000-0000-000061000000}"/>
    <cellStyle name="_CurrencySpace_PRU04" xfId="156" xr:uid="{00000000-0005-0000-0000-000062000000}"/>
    <cellStyle name="_CurrencySpace_RBOC historicals" xfId="1049" xr:uid="{4AC82101-78F9-4A3D-B534-34C83C5F3464}"/>
    <cellStyle name="_CurrencySpace_RBOC historicals_Copy of IFRS consol ABB Final Version4" xfId="1050" xr:uid="{6ECCD5BA-39D0-4948-AD49-A29F1EAFFB00}"/>
    <cellStyle name="_CurrencySpace_Rheinmetall" xfId="1051" xr:uid="{E5CD7629-DA48-4D98-93B2-6F096CC3B72F}"/>
    <cellStyle name="_CurrencySpace_Rheinmetall_1" xfId="1052" xr:uid="{1DA9676E-A4FE-4DCE-A55B-22C589B7D0E2}"/>
    <cellStyle name="_CurrencySpace_Rheinmetall_1 2" xfId="1053" xr:uid="{7B50C7D7-3D1B-47C4-855D-41B77BE83862}"/>
    <cellStyle name="_CurrencySpace_Rheinmetall_1 3" xfId="1054" xr:uid="{6AD8E876-66FD-40AE-A107-CA524734C431}"/>
    <cellStyle name="_CurrencySpace_RHM" xfId="1055" xr:uid="{9CF031F6-9A60-481F-A6F3-AA0510D3016E}"/>
    <cellStyle name="_CurrencySpace_RiskReward" xfId="157" xr:uid="{00000000-0005-0000-0000-000063000000}"/>
    <cellStyle name="_CurrencySpace_ROIC" xfId="1056" xr:uid="{98CAD1F6-0BB6-451A-A1C7-40AFCC4336D2}"/>
    <cellStyle name="_CurrencySpace_ROIC 2" xfId="1057" xr:uid="{1544ED94-4443-4BDA-92CA-D3A7753019CC}"/>
    <cellStyle name="_CurrencySpace_ROIC 3" xfId="1058" xr:uid="{1D2DD3C8-8385-4EB5-9925-637511E48760}"/>
    <cellStyle name="_CurrencySpace_Rolls-Royce" xfId="1059" xr:uid="{56E98205-F8F0-4F02-947F-841A44C756D4}"/>
    <cellStyle name="_CurrencySpace_Rolls-Royce Micha" xfId="1060" xr:uid="{F6F17C36-32B1-4250-9EC1-1BB8765911CF}"/>
    <cellStyle name="_CurrencySpace_Rolls-Royce Micha 2" xfId="1061" xr:uid="{5F764C13-599E-4803-801D-27F7437007BC}"/>
    <cellStyle name="_CurrencySpace_Rolls-Royce Micha 3" xfId="1062" xr:uid="{38D16605-5E68-4067-A271-79803B1D1DE9}"/>
    <cellStyle name="_CurrencySpace_Rolls-RoyceFINAL130206" xfId="1063" xr:uid="{58DECC01-7636-42E6-8251-AB639AB5AF5D}"/>
    <cellStyle name="_CurrencySpace_Rolls-RoyceFINAL130206 2" xfId="1064" xr:uid="{A2398747-301B-42D9-8E0C-4EDA068C65E0}"/>
    <cellStyle name="_CurrencySpace_Rolls-RoyceFINAL130206 3" xfId="1065" xr:uid="{FDB5E10B-FCF6-4027-B4B7-0C4F8D8FFD00}"/>
    <cellStyle name="_CurrencySpace_RR FY06" xfId="1066" xr:uid="{5A54CE31-0CB9-432F-8249-8784716B753E}"/>
    <cellStyle name="_CurrencySpace_RR FY06 2" xfId="1067" xr:uid="{44A935B4-78E9-45C2-9C82-9F4B80FB50F3}"/>
    <cellStyle name="_CurrencySpace_RR FY06 3" xfId="1068" xr:uid="{1153C93A-F6A6-4980-87E0-614D9790D416}"/>
    <cellStyle name="_CurrencySpace_SaabOLD" xfId="1069" xr:uid="{B4329CD7-B13A-4B55-9E17-BF05380B687C}"/>
    <cellStyle name="_CurrencySpace_Safran" xfId="1070" xr:uid="{6C9484E4-BC0E-4BA6-8471-8331D41C612E}"/>
    <cellStyle name="_CurrencySpace_Safran 2" xfId="1071" xr:uid="{7FE66957-101E-4B8F-8618-A9BC1917E0C4}"/>
    <cellStyle name="_CurrencySpace_Safran 3" xfId="1072" xr:uid="{1F44B7C5-53B1-40C7-AACF-288C796E665C}"/>
    <cellStyle name="_CurrencySpace_Saft vs Peers" xfId="1073" xr:uid="{33A5692E-C99B-4A50-99B0-116D5FA42AA0}"/>
    <cellStyle name="_CurrencySpace_Saft vs Peers 2" xfId="1074" xr:uid="{BE3A9E4A-D86E-4586-9AD4-34ED53B10853}"/>
    <cellStyle name="_CurrencySpace_Saft vs Peers 3" xfId="1075" xr:uid="{7C97658A-9906-4FB8-A138-5045C812D5BC}"/>
    <cellStyle name="_CurrencySpace_SFG" xfId="158" xr:uid="{00000000-0005-0000-0000-000064000000}"/>
    <cellStyle name="_CurrencySpace_Sheet1" xfId="159" xr:uid="{00000000-0005-0000-0000-000065000000}"/>
    <cellStyle name="_CurrencySpace_SIFI OLD" xfId="1076" xr:uid="{D5768C73-33B4-4B24-9F31-4F2CD6B18E77}"/>
    <cellStyle name="_CurrencySpace_SIFINEW" xfId="1077" xr:uid="{8B5480E6-9F3D-4DB2-9ED8-42AEC4F41A78}"/>
    <cellStyle name="_CurrencySpace_SIFINEW 2" xfId="1078" xr:uid="{DEC7D964-728F-4B50-A1E7-D387E7E98174}"/>
    <cellStyle name="_CurrencySpace_SIFINEW 3" xfId="1079" xr:uid="{251A75B1-C816-44F1-AFEB-5007BA2D0F20}"/>
    <cellStyle name="_CurrencySpace_Smiths Group" xfId="1080" xr:uid="{C8783CDA-8A2D-4C4E-982A-FB1F831DAA52}"/>
    <cellStyle name="_CurrencySpace_Smiths Group - OLD" xfId="1081" xr:uid="{7EF896D6-F403-4830-BE36-0F81E30B4FE7}"/>
    <cellStyle name="_CurrencySpace_Status Quo" xfId="1082" xr:uid="{159468F4-96E1-4426-B7DB-703B268DCFC0}"/>
    <cellStyle name="_CurrencySpace_Status Quo 2" xfId="1083" xr:uid="{541085B3-9790-4FD2-9A12-E300B0EA0A86}"/>
    <cellStyle name="_CurrencySpace_Status Quo 3" xfId="1084" xr:uid="{04B55CC8-070A-49CB-83B7-131984B9978D}"/>
    <cellStyle name="_CurrencySpace_Stock-QTR1 FDS" xfId="160" xr:uid="{00000000-0005-0000-0000-000066000000}"/>
    <cellStyle name="_CurrencySpace_T - new" xfId="1085" xr:uid="{CB4CEFC7-C166-4A89-8E2C-3224424AE0F8}"/>
    <cellStyle name="_CurrencySpace_T - new_Copy of IFRS consol ABB Final Version4" xfId="1086" xr:uid="{49CCA19E-8DBC-4699-A480-6C120836324B}"/>
    <cellStyle name="_CurrencySpace_TMK" xfId="161" xr:uid="{00000000-0005-0000-0000-000067000000}"/>
    <cellStyle name="_CurrencySpace_Updated Valuation Changes" xfId="162" xr:uid="{00000000-0005-0000-0000-000068000000}"/>
    <cellStyle name="_CurrencySpace_Vague LBO Model - 19 July 2001" xfId="1087" xr:uid="{37F66014-A0A8-4F72-BED6-ED750F54118F}"/>
    <cellStyle name="_CurrencySpace_Vague LBO Model - 19 July 2001 2" xfId="1088" xr:uid="{B964BF43-0CD7-42EC-81EC-5B5FD7E50C6B}"/>
    <cellStyle name="_CurrencySpace_Vague LBO Model - 19 July 2001 3" xfId="1089" xr:uid="{E4494C90-66F1-4BA4-9BDB-B2EA2DD303D5}"/>
    <cellStyle name="_CurrencySpace_Valuation Graphs" xfId="163" xr:uid="{00000000-0005-0000-0000-000069000000}"/>
    <cellStyle name="_CurrencySpace_Veritas Business Cases2" xfId="1090" xr:uid="{639A2C85-E3E9-4F5A-BEC8-3458153CD274}"/>
    <cellStyle name="_CurrencySpace_Veritas Business Cases2 2" xfId="1091" xr:uid="{12394501-7C48-48D3-A234-3BB3CB9950F8}"/>
    <cellStyle name="_CurrencySpace_Veritas Business Cases2 3" xfId="1092" xr:uid="{E699F4E4-D406-4E54-9BDF-7AF56A276F69}"/>
    <cellStyle name="_CurrencySpace_Vinci" xfId="1093" xr:uid="{0832F054-0AB8-4DA4-9BBD-139CAA1814DB}"/>
    <cellStyle name="_CurrencySpace_WPP_YNR_merger_plans" xfId="1094" xr:uid="{D9DE9C04-49A3-4C38-ABF6-598CE8043B55}"/>
    <cellStyle name="_CurrencySpace_WPP_YNR_merger_plans 2" xfId="1095" xr:uid="{94E3A536-0E8E-4186-948B-2AEE2799C362}"/>
    <cellStyle name="_CurrencySpace_WPP_YNR_merger_plans 3" xfId="1096" xr:uid="{5BE16C14-C4C8-48FD-BF60-275F073000B4}"/>
    <cellStyle name="_CurrencySpace_xratio - historical mkt val" xfId="164" xr:uid="{00000000-0005-0000-0000-00006A000000}"/>
    <cellStyle name="_DCF" xfId="1097" xr:uid="{DDEB8C50-6ED6-46F3-8C9F-E3E46E421AEA}"/>
    <cellStyle name="_Dollar" xfId="165" xr:uid="{00000000-0005-0000-0000-00006B000000}"/>
    <cellStyle name="_Dollar 2" xfId="1098" xr:uid="{F7C158CB-B265-462A-9210-11E69064E6E3}"/>
    <cellStyle name="_Dollar 3" xfId="1099" xr:uid="{CC61296D-CE97-4B40-8C3F-292137A648BD}"/>
    <cellStyle name="_Dollar_October 12 - BIG CSC Auto update" xfId="1100" xr:uid="{AECD006C-0438-4056-841D-61880BEF65A6}"/>
    <cellStyle name="_Dollar_October 12 - BIG CSC Auto update 2" xfId="1101" xr:uid="{C702F59F-27DF-448A-96EC-E11DFCE28A39}"/>
    <cellStyle name="_Dollar_October 12 - BIG CSC Auto update 3" xfId="1102" xr:uid="{80264149-C934-4273-95C1-7520142E6538}"/>
    <cellStyle name="_easyJet1" xfId="1103" xr:uid="{5F07D2EE-DD5D-43A3-BBBC-AA1184D2038F}"/>
    <cellStyle name="_easyJet1 2" xfId="1104" xr:uid="{23AB6A05-BD1F-4FB4-8F38-FB17A648CEE7}"/>
    <cellStyle name="_easyJet1 3" xfId="1105" xr:uid="{56CC4E92-067C-4D1F-94B6-5EDCE213C8C2}"/>
    <cellStyle name="_Eng" xfId="1106" xr:uid="{823488FE-B9E9-4651-9BE8-087B113164E3}"/>
    <cellStyle name="_Eng 2" xfId="1107" xr:uid="{89B131EA-4DC1-45D9-ABA1-B4B3A134DD8B}"/>
    <cellStyle name="_Eng 3" xfId="1108" xr:uid="{D2B54EB4-54C4-499E-92B8-8C7809F9E95D}"/>
    <cellStyle name="_e-plus debt - Machado1" xfId="1109" xr:uid="{5EBBFAC7-D273-4EA2-8B3C-14C66383ACCB}"/>
    <cellStyle name="_e-plus debt - Machado1 2" xfId="1110" xr:uid="{3FC4EB9B-398A-4B37-BB5E-3B66939084C9}"/>
    <cellStyle name="_e-plus debt - Machado1 3" xfId="1111" xr:uid="{235F8E6C-3768-4B8F-8D24-9D4D14713FCC}"/>
    <cellStyle name="_Euro" xfId="166" xr:uid="{00000000-0005-0000-0000-00006C000000}"/>
    <cellStyle name="_Euro 2" xfId="1112" xr:uid="{597252B5-C25C-4316-88DA-C36F8DB873E4}"/>
    <cellStyle name="_Euro 3" xfId="1113" xr:uid="{816967F9-8818-47A3-8442-9448B61A695F}"/>
    <cellStyle name="_Euro_Atlas Copco CF" xfId="1114" xr:uid="{59346C14-66DE-433C-AF47-E73568E4E133}"/>
    <cellStyle name="_Euro_Atlas Copco CF 2" xfId="1115" xr:uid="{F92BB6CA-B78E-4CBA-962D-5BF2594D73F3}"/>
    <cellStyle name="_Euro_Copy of IFRS consol ABB Final Version4" xfId="1116" xr:uid="{374D5CCE-CE09-4BD9-B8D5-B3F569D27785}"/>
    <cellStyle name="_Euro_CROCI" xfId="1117" xr:uid="{5704A0D7-A127-472A-A8B9-8260B63D251A}"/>
    <cellStyle name="_Euro_CROCI 2" xfId="1118" xr:uid="{D4F0B4AD-2803-4622-84CD-50418133A2AB}"/>
    <cellStyle name="_Euro_Electrolux CF" xfId="1119" xr:uid="{90242361-32AE-469B-AD29-7D3E7BE28506}"/>
    <cellStyle name="_Euro_Electrolux CF 2" xfId="1120" xr:uid="{3C6F3B21-6E37-4B2D-BD29-E10AC6B35E1B}"/>
    <cellStyle name="_Euro_Request Template" xfId="1121" xr:uid="{37426084-9B8B-441A-A80A-369BFEF21C94}"/>
    <cellStyle name="_Europe" xfId="1122" xr:uid="{99E4C74F-CFE0-4DEA-95BB-4454AC97E113}"/>
    <cellStyle name="_Europe 2" xfId="1123" xr:uid="{24DC1734-DE5D-47CF-A593-29B46C97B6CA}"/>
    <cellStyle name="_Heading" xfId="167" xr:uid="{00000000-0005-0000-0000-00006D000000}"/>
    <cellStyle name="_Heading_Alstom WIP Bhavna" xfId="1124" xr:uid="{1F720E17-6517-4539-8CE3-8D5954B2D852}"/>
    <cellStyle name="_Heading_Alstom WIP Bhavna 2" xfId="1125" xr:uid="{56C92F28-211B-425F-B698-41F3013C8572}"/>
    <cellStyle name="_Heading_ASF interim sheet" xfId="1126" xr:uid="{22C168D6-8676-4B7C-BB62-5E39E7F7B779}"/>
    <cellStyle name="_Heading_ASF interim sheet 2" xfId="1127" xr:uid="{C9DEEA9D-6432-460F-9E04-DA6493EF995B}"/>
    <cellStyle name="_Heading_ASF interim sheet 3" xfId="1128" xr:uid="{E6E65346-E173-401A-8803-64D3E15BD00C}"/>
    <cellStyle name="_Heading_Assa CF" xfId="1129" xr:uid="{8193AE31-183D-4AA6-BC87-FB63DFB16ABC}"/>
    <cellStyle name="_Heading_Assa CF 2" xfId="1130" xr:uid="{3F795B2C-4386-470B-8D32-DE656F2A3451}"/>
    <cellStyle name="_Heading_Assa CF 3" xfId="1131" xr:uid="{5FE92BB0-85EA-412D-8F6C-3C5BAAA3F7BB}"/>
    <cellStyle name="_Heading_Assa Reference" xfId="1132" xr:uid="{9C6F3BE8-EFCB-46A8-A13A-AAB174941E26}"/>
    <cellStyle name="_Heading_Assa Reference 2" xfId="1133" xr:uid="{EA12A7AD-01D3-4021-A298-F417A39634A6}"/>
    <cellStyle name="_Heading_Assa Reference 3" xfId="1134" xr:uid="{831627B6-C701-4AE4-865C-054D8E6A405A}"/>
    <cellStyle name="_Heading_BAE Systems" xfId="1135" xr:uid="{76F39329-B70D-4316-A89E-62E29A1ADACC}"/>
    <cellStyle name="_Heading_BAE Systems 2" xfId="1136" xr:uid="{D365501A-3A7B-4D2E-B737-ACB4EFE31508}"/>
    <cellStyle name="_Heading_BAE Systems 3" xfId="1137" xr:uid="{EF0B4DCE-97A9-44EB-AA3E-971711432F30}"/>
    <cellStyle name="_Heading_BLS" xfId="1138" xr:uid="{DA28C8CB-C57C-43EF-BB3E-C9A5B525553F}"/>
    <cellStyle name="_Heading_bls roic" xfId="1139" xr:uid="{83C595F8-5ED5-4426-B464-0D7AC9893455}"/>
    <cellStyle name="_Heading_bls roic 2" xfId="1140" xr:uid="{FE50B18F-CB59-4370-B98F-0697F4B1B7A8}"/>
    <cellStyle name="_Heading_Book9" xfId="1141" xr:uid="{06B7BF36-E6B7-4787-A0B4-844D1AD24B55}"/>
    <cellStyle name="_Heading_Broadband Comps" xfId="1142" xr:uid="{3BC2241D-A77D-44F9-9561-4C308F62E265}"/>
    <cellStyle name="_Heading_capital expenditures 6-18-02" xfId="1143" xr:uid="{6512FD0F-67AC-42E4-85D9-80D10553A670}"/>
    <cellStyle name="_Heading_capital expenditures 6-18-02 2" xfId="1144" xr:uid="{35A70E47-4B55-48D9-84D3-2F39B80598ED}"/>
    <cellStyle name="_Heading_Civil" xfId="1145" xr:uid="{EFEB885B-84E6-4117-9F94-B4FEE557D35B}"/>
    <cellStyle name="_Heading_Civil 2" xfId="1146" xr:uid="{1FAD70DE-5D5F-48E3-819F-D65B2ED63BE1}"/>
    <cellStyle name="_Heading_Civil 3" xfId="1147" xr:uid="{4C42AE5A-D818-4723-ADCB-253B903DF05A}"/>
    <cellStyle name="_Heading_Copy of IFRS consol ABB Final Version4" xfId="1148" xr:uid="{71F6CF06-3E57-4E73-9C8B-4BFD8BFBD8D5}"/>
    <cellStyle name="_Heading_CROCI" xfId="1149" xr:uid="{DD2D2139-9EEC-4079-AC26-2E803A50E91C}"/>
    <cellStyle name="_Heading_CROCI 2" xfId="1150" xr:uid="{6426E12E-9E30-4C9B-AC31-8FF328CF3790}"/>
    <cellStyle name="_Heading_CTCO" xfId="1151" xr:uid="{3BC8A5E8-D462-46EB-9B91-3711E4596B0F}"/>
    <cellStyle name="_Heading_Date of fillings" xfId="1152" xr:uid="{A264878F-7A16-46FD-89BF-D8AF3ED30801}"/>
    <cellStyle name="_Heading_easyJet1" xfId="1153" xr:uid="{08B3E717-7701-4073-B7DF-B7E568674B0F}"/>
    <cellStyle name="_Heading_easyJet1 2" xfId="1154" xr:uid="{6E69865B-3214-4B79-8E19-B34D5A374D8C}"/>
    <cellStyle name="_Heading_easyJet1 3" xfId="1155" xr:uid="{71A3E7CE-1517-4D65-92E8-4D02F6611D94}"/>
    <cellStyle name="_Heading_Electrolux CF" xfId="1156" xr:uid="{596C5938-4824-47F9-B000-F13FDDFE6E4B}"/>
    <cellStyle name="_Heading_Electrolux MW" xfId="1157" xr:uid="{DB3F513D-6A86-4A22-BB8E-436CAC374EA3}"/>
    <cellStyle name="_Heading_Electrolux MW 2" xfId="1158" xr:uid="{943CD69C-240B-4204-9FDE-D9A8077BDEAC}"/>
    <cellStyle name="_Heading_Electrolux Old Nick Paton Mark Wilson Model" xfId="1159" xr:uid="{84333FB2-134F-45D1-9F16-8BCDB633EB27}"/>
    <cellStyle name="_Heading_Electrolux WIP Bhavna" xfId="1160" xr:uid="{25EE7D1D-781E-4AB7-9C41-CB6DBB3AB261}"/>
    <cellStyle name="_Heading_Finmeccanica" xfId="1161" xr:uid="{53FF35EE-0DF6-4871-B2D8-890D08D5749F}"/>
    <cellStyle name="_Heading_Finmeccanica 2" xfId="1162" xr:uid="{B218F1C7-155B-49A5-B8F3-B4ED0934F7DA}"/>
    <cellStyle name="_Heading_Finmeccanica 3" xfId="1163" xr:uid="{C6AAFF28-C289-4B8B-BE8F-40BA325325F7}"/>
    <cellStyle name="_Heading_Finmeccanica SOP" xfId="1164" xr:uid="{568185C6-24E2-4240-AE52-007B0CC79439}"/>
    <cellStyle name="_Heading_Finmeccanica SOP 2" xfId="1165" xr:uid="{10A22EB3-6B4E-4CF7-8A58-706F52A7BD2A}"/>
    <cellStyle name="_Heading_Finmeccanica SOP 3" xfId="1166" xr:uid="{4C572948-856B-4F0A-9A58-17F58B116342}"/>
    <cellStyle name="_Heading_prestemp" xfId="168" xr:uid="{00000000-0005-0000-0000-00006E000000}"/>
    <cellStyle name="_Heading_Q" xfId="1167" xr:uid="{A6B8D9CC-780B-4080-9931-04D714AAE7BA}"/>
    <cellStyle name="_Heading_q - new guidance" xfId="1168" xr:uid="{2F8FD3C6-797C-4A20-A94E-D1E55B9C52BE}"/>
    <cellStyle name="_Heading_q - valuation" xfId="1169" xr:uid="{3282906D-0EC8-46F8-9E6A-105CA66074F1}"/>
    <cellStyle name="_Heading_Q model_041802" xfId="1170" xr:uid="{DCAFB594-34B2-45F9-B220-124AF9E9716F}"/>
    <cellStyle name="_Heading_Q_update" xfId="1171" xr:uid="{2896AE02-DDE9-4553-9804-FCE77DE3EC0E}"/>
    <cellStyle name="_Heading_Qwest Analysis" xfId="1172" xr:uid="{112FF6DA-F091-4CDE-A3F6-166F9F03DED2}"/>
    <cellStyle name="_Heading_RBOC historicals" xfId="1173" xr:uid="{435F3C96-FA19-4EFA-9970-36BF28F3566B}"/>
    <cellStyle name="_Heading_RBOC historicals 2" xfId="1174" xr:uid="{9C0C6B31-F4FC-4D6B-AC74-CA4F6C440ACB}"/>
    <cellStyle name="_Heading_Rheinmetall" xfId="1175" xr:uid="{6DA38CEC-D645-4AA0-9B2E-D493709F26CF}"/>
    <cellStyle name="_Heading_Rheinmetall 2" xfId="1176" xr:uid="{6748D7A4-5A43-468F-AC82-78350DAF171F}"/>
    <cellStyle name="_Heading_Rheinmetall 3" xfId="1177" xr:uid="{C531E501-8DD3-4204-95AB-684D18F231EA}"/>
    <cellStyle name="_Heading_RHM" xfId="1178" xr:uid="{816B5D01-3FB9-48AB-BEB8-38476B37EA5F}"/>
    <cellStyle name="_Heading_RHM 2" xfId="1179" xr:uid="{86136D25-B9BA-4801-9470-EEEFF9D1D3ED}"/>
    <cellStyle name="_Heading_RHM 3" xfId="1180" xr:uid="{B24FE43E-76EF-4F38-9A22-42763F3E2524}"/>
    <cellStyle name="_Heading_ROIC" xfId="1181" xr:uid="{D343EC90-8E89-42A0-AD81-FB4613DEEAEA}"/>
    <cellStyle name="_Heading_ROIC 2" xfId="1182" xr:uid="{998A2969-0804-4DF9-826A-33C0A6B0156F}"/>
    <cellStyle name="_Heading_ROIC 3" xfId="1183" xr:uid="{06D3EB04-2475-483C-8D39-3FAB4B947BE6}"/>
    <cellStyle name="_Heading_Rolls-Royce" xfId="1184" xr:uid="{29BC9389-5B20-46A6-BA50-5E5DFEDDDB95}"/>
    <cellStyle name="_Heading_Rolls-Royce 2" xfId="1185" xr:uid="{C545E6B5-02B2-4400-AD1A-0132CABE10AB}"/>
    <cellStyle name="_Heading_Rolls-Royce 3" xfId="1186" xr:uid="{2C41D863-3608-4198-8C83-248D2ED8E89D}"/>
    <cellStyle name="_Heading_Ryanair1" xfId="1187" xr:uid="{09F16B7D-15C3-4EC3-BAAD-137BAF73FD13}"/>
    <cellStyle name="_Heading_Ryanair1 2" xfId="1188" xr:uid="{033C105B-AA16-4A4C-8BBD-B01BC32201EA}"/>
    <cellStyle name="_Heading_Ryanair1 3" xfId="1189" xr:uid="{66F7CE99-A8C2-4E78-963A-80382DBD1328}"/>
    <cellStyle name="_Heading_SaabOLD" xfId="1190" xr:uid="{95975187-9D5C-44AC-9655-21E93A20881C}"/>
    <cellStyle name="_Heading_SaabOLD 2" xfId="1191" xr:uid="{B8A9E046-03A9-4623-84A7-A8C5C89A97F9}"/>
    <cellStyle name="_Heading_SaabOLD 3" xfId="1192" xr:uid="{3C9CCA90-63A6-4020-8702-B453D1359DD4}"/>
    <cellStyle name="_Heading_Sandvik CF - Remodelling" xfId="1193" xr:uid="{1830B3E3-5C9D-472C-94A5-C1F9BA92EFA6}"/>
    <cellStyle name="_Heading_Sandvik CF - Remodelling 2" xfId="1194" xr:uid="{567F6FA1-E3B7-4B68-8B60-3B7A9939520C}"/>
    <cellStyle name="_Heading_Sandvik CF - Remodelling 3" xfId="1195" xr:uid="{9B44B288-6AED-4580-9603-F781C55F3EB9}"/>
    <cellStyle name="_Heading_SIFI OLD" xfId="1196" xr:uid="{E1AF7D87-4A31-4D4F-9711-D833FE21E051}"/>
    <cellStyle name="_Heading_SIFI OLD 2" xfId="1197" xr:uid="{588249EC-6BFE-441B-AEBD-A09658BD8C73}"/>
    <cellStyle name="_Heading_SIFI OLD 3" xfId="1198" xr:uid="{E2B4153A-0DE9-4F14-9FDA-C480608492EE}"/>
    <cellStyle name="_Heading_SIFINEW" xfId="1199" xr:uid="{80F9D047-20D6-4537-95A7-4C47D40B3CCD}"/>
    <cellStyle name="_Heading_SKF reference" xfId="1200" xr:uid="{AC5B7E1E-637B-4010-BF51-5C24D971EE06}"/>
    <cellStyle name="_Heading_SKF reference 2" xfId="1201" xr:uid="{6D1F2E20-1263-4DA9-A52D-4EE7EF9F2B74}"/>
    <cellStyle name="_Heading_SKF reference 3" xfId="1202" xr:uid="{81819820-6B43-4C88-8A71-455C126C95AF}"/>
    <cellStyle name="_Heading_Smiths Group" xfId="1203" xr:uid="{AE2E1650-93EA-42B6-A11F-A715C734A468}"/>
    <cellStyle name="_Heading_Smiths Group - OLD" xfId="1204" xr:uid="{9B67BE04-4698-4964-B367-CC6DE50E69E0}"/>
    <cellStyle name="_Heading_Smiths Group - OLD 2" xfId="1205" xr:uid="{85FB3639-139C-4070-80A8-6BAE9CFDFB22}"/>
    <cellStyle name="_Heading_Smiths Group - OLD 3" xfId="1206" xr:uid="{141772CF-7DCB-47EE-AE94-A4F49F3DDC02}"/>
    <cellStyle name="_Heading_Smiths Group 2" xfId="1207" xr:uid="{9F9A84A6-85F1-4C00-A2E8-1118CCFB622D}"/>
    <cellStyle name="_Heading_Smiths Group 3" xfId="1208" xr:uid="{31E18CCB-8673-459B-9498-789D1BAB30F4}"/>
    <cellStyle name="_Heading_Snecma competitive landscape chart sauvegarde" xfId="1209" xr:uid="{552B7230-2455-4B15-87B6-FBF8A9106687}"/>
    <cellStyle name="_Heading_Snecma competitive landscape chart sauvegarde 2" xfId="1210" xr:uid="{8790E6E4-AC9E-40B3-95C2-36A422BBA92D}"/>
    <cellStyle name="_Heading_Snecma competitive landscape chart sauvegarde 3" xfId="1211" xr:uid="{2B51A624-A102-4E7A-BF08-44E70A4CFF80}"/>
    <cellStyle name="_Heading_T - new" xfId="1212" xr:uid="{85C2E45D-933A-4FC5-BC30-CA0B4E4F9851}"/>
    <cellStyle name="_Heading_T - new 2" xfId="1213" xr:uid="{A31AD1A6-5ED2-4CB3-B4A0-0772215D0DE5}"/>
    <cellStyle name="_Heading_Vinci" xfId="1214" xr:uid="{35174270-B69B-46D6-A973-22E033DC042A}"/>
    <cellStyle name="_Heading_Vinci 2" xfId="1215" xr:uid="{53D26B63-FF22-4EC1-8B0A-DB61670BC689}"/>
    <cellStyle name="_Heading_Vinci 3" xfId="1216" xr:uid="{5CD7D6B8-F5FF-4C7C-A716-82587FAE0BA5}"/>
    <cellStyle name="_Heading_VZ" xfId="1217" xr:uid="{DA6ED52E-19CC-43F6-9542-37B90D80EFE0}"/>
    <cellStyle name="_Headline" xfId="1218" xr:uid="{F1A7C748-1923-4D3C-9C1E-22CDE688AAC1}"/>
    <cellStyle name="_Headline 2" xfId="1219" xr:uid="{E1CB1413-5D33-4729-81F6-C8363621603D}"/>
    <cellStyle name="_Headline 3" xfId="1220" xr:uid="{B3BA9186-D614-4785-8AF9-C7EC518EA8E3}"/>
    <cellStyle name="_Highlight" xfId="169" xr:uid="{00000000-0005-0000-0000-00006F000000}"/>
    <cellStyle name="_Highlight 2" xfId="1221" xr:uid="{5D689F1B-14A6-414E-95C0-3FB64C51CD85}"/>
    <cellStyle name="_Highlight 3" xfId="1222" xr:uid="{098868CF-BD82-45AB-BD63-5123CA7EFAC7}"/>
    <cellStyle name="_KPN Fixed" xfId="1223" xr:uid="{883873AB-BBAE-49F4-8DAC-94A7F19CC0B5}"/>
    <cellStyle name="_msft-dcf" xfId="1224" xr:uid="{338E91D6-35B5-47CF-BC88-B5057F6DFDBF}"/>
    <cellStyle name="_MTU Aero Engines" xfId="1225" xr:uid="{3A215D1E-5164-41CC-A436-22559C78D8A3}"/>
    <cellStyle name="_MTU Aero Engines 2" xfId="1226" xr:uid="{7EBB82F6-E04D-4C36-9BC0-7C8186F4E6C4}"/>
    <cellStyle name="_MTU Aero Engines 3" xfId="1227" xr:uid="{EBBA4B1F-99C9-4EC9-975B-A3269FB020A2}"/>
    <cellStyle name="_MTU Aero EnginesMICHA EVENING6" xfId="1228" xr:uid="{11AA1B31-9DD0-45AD-A06B-91CF5D03C144}"/>
    <cellStyle name="_MTU Aero EnginesMICHA EVENING6 2" xfId="1229" xr:uid="{EA6D1AB8-4835-4B86-822C-B2288248CE4C}"/>
    <cellStyle name="_MTU Aero EnginesMICHA EVENING6 3" xfId="1230" xr:uid="{D68CEE75-658D-408D-8305-283755A9A04D}"/>
    <cellStyle name="_Multiple" xfId="170" xr:uid="{00000000-0005-0000-0000-000070000000}"/>
    <cellStyle name="_Multiple 2" xfId="1231" xr:uid="{78B0F8A1-EDEA-465B-8C07-78E5ED8D74EE}"/>
    <cellStyle name="_Multiple 3" xfId="1232" xr:uid="{9C023094-C9AA-4CA4-829F-994073BB5DB9}"/>
    <cellStyle name="_Multiple_01 adj for merger plan" xfId="171" xr:uid="{00000000-0005-0000-0000-000071000000}"/>
    <cellStyle name="_Multiple_05 CSC_Picabia_02042002" xfId="1233" xr:uid="{7D5B063F-D88D-4E7F-8D67-02E046884194}"/>
    <cellStyle name="_Multiple_05 CSC_Picabia_02042002 2" xfId="1234" xr:uid="{FE7D2DB4-ED28-4BF1-9C84-62DA30DC3C4D}"/>
    <cellStyle name="_Multiple_05 CSC_Picabia_02042002 3" xfId="1235" xr:uid="{1444E345-2D99-4400-A93B-52FDDAF96512}"/>
    <cellStyle name="_Multiple_2001 YTD Performance" xfId="1236" xr:uid="{C3DB4CB9-C0D3-4946-AB81-2BE8FA0121AB}"/>
    <cellStyle name="_Multiple_2001 YTD Performance 2" xfId="1237" xr:uid="{171DCF8F-AC2F-4D54-A3B2-F19A32235E57}"/>
    <cellStyle name="_Multiple_2001 YTD Performance 3" xfId="1238" xr:uid="{B63661CD-B81B-4B57-AF45-B229F67B4BD8}"/>
    <cellStyle name="_Multiple_Ability to Pay Analysis" xfId="172" xr:uid="{00000000-0005-0000-0000-000072000000}"/>
    <cellStyle name="_Multiple_ABP1" xfId="1239" xr:uid="{649D0368-AE1C-4447-88CF-8172AD9F4277}"/>
    <cellStyle name="_Multiple_ABP1 2" xfId="1240" xr:uid="{69BC750E-CAB6-4A01-846B-1317B817AF1A}"/>
    <cellStyle name="_Multiple_ABP1 3" xfId="1241" xr:uid="{62162675-C16B-460F-9EAC-AD0074D5083D}"/>
    <cellStyle name="_Multiple_Aero DCF" xfId="1242" xr:uid="{C56B490C-CB58-49B4-8985-763B892BF45B}"/>
    <cellStyle name="_Multiple_Aero DCF 2" xfId="1243" xr:uid="{29B618E1-BB8D-4541-B6BB-564447FF1DAE}"/>
    <cellStyle name="_Multiple_Aero DCF 3" xfId="1244" xr:uid="{BD7545CE-053D-47C4-91ED-586DED981998}"/>
    <cellStyle name="_Multiple_AFL" xfId="173" xr:uid="{00000000-0005-0000-0000-000073000000}"/>
    <cellStyle name="_Multiple_AIZ" xfId="174" xr:uid="{00000000-0005-0000-0000-000074000000}"/>
    <cellStyle name="_Multiple_Alstom WIP Bhavna" xfId="1245" xr:uid="{05CEE8EF-F3C3-43B3-9B4A-ABA26A5FE799}"/>
    <cellStyle name="_Multiple_Alstom WIP Bhavna 2" xfId="1246" xr:uid="{978D037B-26B1-4CC6-A8F2-B7BE7D79A78D}"/>
    <cellStyle name="_Multiple_AMP" xfId="175" xr:uid="{00000000-0005-0000-0000-000075000000}"/>
    <cellStyle name="_Multiple_ASF" xfId="1247" xr:uid="{03FFA9D6-6FAA-4F9B-BB68-0D67E74ED35F}"/>
    <cellStyle name="_Multiple_ASF 2" xfId="1248" xr:uid="{74260EAF-F786-4387-8324-0E394BF56920}"/>
    <cellStyle name="_Multiple_ASF 3" xfId="1249" xr:uid="{7F4AAC0C-F393-4E9C-B8B5-52C2DB29759E}"/>
    <cellStyle name="_Multiple_ASF1" xfId="1250" xr:uid="{0F7C9640-F9EB-47E8-BEAC-97BDE598B7C1}"/>
    <cellStyle name="_Multiple_ASF1 2" xfId="1251" xr:uid="{1F1B5950-11C3-4DF7-B0CC-F735F78F3E3A}"/>
    <cellStyle name="_Multiple_ASF1 3" xfId="1252" xr:uid="{2766E08D-5271-4B82-8F6A-7E49879D9091}"/>
    <cellStyle name="_Multiple_Assa CF" xfId="1253" xr:uid="{D9207016-0C4C-4F18-BAFA-6DB76E28869C}"/>
    <cellStyle name="_Multiple_Assa CF 2" xfId="1254" xr:uid="{FCE1FBAB-DEAB-4373-8A76-DF68DBFDA767}"/>
    <cellStyle name="_Multiple_Assa CF 3" xfId="1255" xr:uid="{C60DF928-943A-4F1D-AEE3-E16DAF2CE9CC}"/>
    <cellStyle name="_Multiple_Assa Reference" xfId="1256" xr:uid="{81CE0109-E581-4C97-85EF-E7BA85C55DC2}"/>
    <cellStyle name="_Multiple_Assa Reference 2" xfId="1257" xr:uid="{32026A0C-0FB8-4BE5-88F2-81FECDBCB67E}"/>
    <cellStyle name="_Multiple_Assa Reference 3" xfId="1258" xr:uid="{96E09510-4182-4354-B21B-F52368C0FB7C}"/>
    <cellStyle name="_Multiple_Assa vs Competition" xfId="1259" xr:uid="{BA3209D1-4F2C-4371-B9B4-68CF5848D4AF}"/>
    <cellStyle name="_Multiple_Assa vs Competition 2" xfId="1260" xr:uid="{24CC6400-5E43-4BA7-8DB0-0285378F715C}"/>
    <cellStyle name="_Multiple_Assa vs Competition 3" xfId="1261" xr:uid="{FF571688-4FF4-493F-8EE2-6701B7036C7C}"/>
    <cellStyle name="_Multiple_Atlas Copco CF" xfId="1262" xr:uid="{F306CA7C-8674-46B4-B128-42976185392C}"/>
    <cellStyle name="_Multiple_Atlas Copco CF 2" xfId="1263" xr:uid="{12F4D0A0-C0D7-42D0-BB82-12125BD432F3}"/>
    <cellStyle name="_Multiple_AVP" xfId="1264" xr:uid="{6B1BE6B9-25FC-45CA-A0CA-6A55EE0095B3}"/>
    <cellStyle name="_Multiple_AVP 2" xfId="1265" xr:uid="{FD06B8B3-FA1E-47C8-878E-435D4DC5E3D1}"/>
    <cellStyle name="_Multiple_AVP 3" xfId="1266" xr:uid="{4AEFB784-1D62-409D-99DD-D7C41EA76CE1}"/>
    <cellStyle name="_Multiple_BAE_model_new" xfId="1267" xr:uid="{55DEE81A-106F-4189-973D-ED270276B6A9}"/>
    <cellStyle name="_Multiple_BAE_model_new 2" xfId="1268" xr:uid="{A5882893-9CC1-42F2-8542-C3675E9A0CAE}"/>
    <cellStyle name="_Multiple_BAE_model_new 3" xfId="1269" xr:uid="{6F778662-9586-4188-9564-CDC8866912BC}"/>
    <cellStyle name="_Multiple_Balance Sheet" xfId="176" xr:uid="{00000000-0005-0000-0000-000076000000}"/>
    <cellStyle name="_Multiple_BHI" xfId="1270" xr:uid="{D8B3F1E0-0A7F-4B17-AEBD-0BAED0910841}"/>
    <cellStyle name="_Multiple_BHI_Copy of IFRS consol ABB Final Version4" xfId="1271" xr:uid="{6890E4DD-FEA1-441F-B874-D7B0191DF656}"/>
    <cellStyle name="_Multiple_bls roic" xfId="1272" xr:uid="{F270EFD6-1F64-471A-B3F8-9CE82F624EF7}"/>
    <cellStyle name="_Multiple_bls roic_Copy of IFRS consol ABB Final Version4" xfId="1273" xr:uid="{A226012B-5A76-4C4C-8FB4-3DFCE8D4FB4F}"/>
    <cellStyle name="_Multiple_Book1" xfId="177" xr:uid="{00000000-0005-0000-0000-000077000000}"/>
    <cellStyle name="_Multiple_Book1 2" xfId="1274" xr:uid="{D3A94A53-0ACD-445A-A9B9-215FF60882D0}"/>
    <cellStyle name="_Multiple_Book1 3" xfId="1275" xr:uid="{A82EE244-AA70-4B16-90EB-B16CC3C387E3}"/>
    <cellStyle name="_Multiple_Book1_WACC" xfId="1276" xr:uid="{44E0DA7E-C339-40B0-A0AC-FAE9BE743586}"/>
    <cellStyle name="_Multiple_Book1_WACC 2" xfId="1277" xr:uid="{E49AD31B-1C86-4C5B-81EE-306F66C32D18}"/>
    <cellStyle name="_Multiple_Book1_WACC 3" xfId="1278" xr:uid="{0258B2CB-F171-4AA4-B42E-333F66F28694}"/>
    <cellStyle name="_Multiple_Book29" xfId="178" xr:uid="{00000000-0005-0000-0000-000078000000}"/>
    <cellStyle name="_Multiple_Book3" xfId="179" xr:uid="{00000000-0005-0000-0000-000079000000}"/>
    <cellStyle name="_Multiple_Book3_1" xfId="180" xr:uid="{00000000-0005-0000-0000-00007A000000}"/>
    <cellStyle name="_Multiple_capital expenditures 6-18-02" xfId="1279" xr:uid="{BAA39D0C-0ED6-4DB6-BC3B-5804D96ED0FA}"/>
    <cellStyle name="_Multiple_capital expenditures 6-18-02_Copy of IFRS consol ABB Final Version4" xfId="1280" xr:uid="{34EF92A2-A643-4379-8B9D-C91AC4BB5B22}"/>
    <cellStyle name="_Multiple_CNO" xfId="181" xr:uid="{00000000-0005-0000-0000-00007B000000}"/>
    <cellStyle name="_Multiple_Comdot - gStyle Excel Slides" xfId="1281" xr:uid="{4CAB3DC0-D4C6-4737-8484-0F75656470B6}"/>
    <cellStyle name="_Multiple_Comdot - gStyle Excel Slides 2" xfId="1282" xr:uid="{DD03E34D-1FC0-4001-ACFD-5443B3FD4BF8}"/>
    <cellStyle name="_Multiple_Comdot - gStyle Excel Slides 3" xfId="1283" xr:uid="{3202A7E6-DB94-45B2-97EC-F1D377952645}"/>
    <cellStyle name="_Multiple_Comdot LBO Short Form - v3" xfId="1284" xr:uid="{5E12FC68-AC09-4EF0-9784-2D196C204047}"/>
    <cellStyle name="_Multiple_Comdot LBO Short Form - v3 2" xfId="1285" xr:uid="{87E91BDB-0B9E-4749-9A09-5446FEBA4650}"/>
    <cellStyle name="_Multiple_Comdot LBO Short Form - v3 3" xfId="1286" xr:uid="{91AE3856-0243-4F99-84CC-DCEE3A0EF061}"/>
    <cellStyle name="_Multiple_contribution_analysis" xfId="1287" xr:uid="{6E5334E5-4D5F-4F53-BD08-16D7BD2D5916}"/>
    <cellStyle name="_Multiple_Copy of IFRS consol ABB Final Version4" xfId="1288" xr:uid="{251F3426-3B04-4C14-B5CF-B17BF70365D3}"/>
    <cellStyle name="_Multiple_Copy of IFRS consol ABB Final Version4 2" xfId="1289" xr:uid="{938736FF-411E-4F6A-9C40-6736D36C8264}"/>
    <cellStyle name="_Multiple_Copy of IFRS consol ABB Final Version4_1" xfId="1290" xr:uid="{498211D3-2D3A-4482-8127-925348A88929}"/>
    <cellStyle name="_Multiple_Copy of IFRS consol ABB Final Version4_1 2" xfId="1291" xr:uid="{4C69DAE5-532B-4084-BF46-6302523BEE9A}"/>
    <cellStyle name="_Multiple_Copy of Spirent_now" xfId="1292" xr:uid="{60CCDA62-F108-4BE5-83B0-D0BDCFA211A6}"/>
    <cellStyle name="_Multiple_Copy of Spirent_now 2" xfId="1293" xr:uid="{4BFE2049-2334-4E03-8E6E-9C36E818D5B2}"/>
    <cellStyle name="_Multiple_Copy of Spirent_now 3" xfId="1294" xr:uid="{78EE5839-0077-4865-B1DE-F624FCAC5333}"/>
    <cellStyle name="_Multiple_CROCI" xfId="1295" xr:uid="{D5CCEB46-F55A-4EA5-98E5-B7EC77331723}"/>
    <cellStyle name="_Multiple_CROCI 2" xfId="1296" xr:uid="{475B8949-8748-4144-AA8F-44569D8B62D8}"/>
    <cellStyle name="_Multiple_csc" xfId="1297" xr:uid="{09C7D17D-E630-408D-BD28-F5331C108268}"/>
    <cellStyle name="_Multiple_csc 2" xfId="1298" xr:uid="{61C7E21E-22E7-4F33-89F4-EDA079DA9E59}"/>
    <cellStyle name="_Multiple_csc 3" xfId="1299" xr:uid="{5BDC4D8D-9050-4ADA-B208-B48D65D0ED67}"/>
    <cellStyle name="_Multiple_CSC_Picabia_29062001" xfId="1300" xr:uid="{EFB8734D-207B-4A34-8BF7-68E015877880}"/>
    <cellStyle name="_Multiple_CSC_Picabia_29062001 2" xfId="1301" xr:uid="{C031E8CE-028E-490C-B4EB-9F308A0967DB}"/>
    <cellStyle name="_Multiple_CSC_Picabia_29062001 3" xfId="1302" xr:uid="{2A11E467-8B82-4D88-9984-1C42BF8673CD}"/>
    <cellStyle name="_Multiple_DCF - July 2, 2001" xfId="1303" xr:uid="{BF669EE9-9BBB-4F44-9CEE-6853DBE4D07E}"/>
    <cellStyle name="_Multiple_DCF - July 2, 2001 2" xfId="1304" xr:uid="{30B0410B-738A-4A99-A5E9-4FD99C60342D}"/>
    <cellStyle name="_Multiple_DCF - July 2, 2001 3" xfId="1305" xr:uid="{2B6339EE-4222-4C2A-AAB4-6989308233A3}"/>
    <cellStyle name="_Multiple_DCF Alexander Forbes" xfId="182" xr:uid="{00000000-0005-0000-0000-00007C000000}"/>
    <cellStyle name="_Multiple_DCF Model + WACC" xfId="1306" xr:uid="{D4191D7D-D300-4680-BEBC-87A35BB98EAD}"/>
    <cellStyle name="_Multiple_DCF Model + WACC 2" xfId="1307" xr:uid="{A42BB6FC-6CB4-4644-A48D-5430D26D2521}"/>
    <cellStyle name="_Multiple_DCF Model + WACC 3" xfId="1308" xr:uid="{EAC89A13-3EAB-466A-BF9E-611EBCF8D9A7}"/>
    <cellStyle name="_Multiple_Electrolux CF" xfId="1309" xr:uid="{DD109C92-E438-46BF-BA1B-4A668BEB4511}"/>
    <cellStyle name="_Multiple_Electrolux CF 2" xfId="1310" xr:uid="{755AC56B-68DD-44EA-88A5-D19394560804}"/>
    <cellStyle name="_Multiple_Electrolux CF_1" xfId="1311" xr:uid="{551EAA4E-44D1-490B-BE00-E79AE6F56386}"/>
    <cellStyle name="_Multiple_Electrolux CF_1 2" xfId="1312" xr:uid="{337B7B7F-C252-4F9A-8EFC-5C25D0F3D2BB}"/>
    <cellStyle name="_Multiple_Electrolux MW" xfId="1313" xr:uid="{34119717-E6D6-4AF5-B627-202C868303B8}"/>
    <cellStyle name="_Multiple_Electrolux MW 2" xfId="1314" xr:uid="{5B2AD81C-B9D8-4AB1-B165-266F9C7D2489}"/>
    <cellStyle name="_Multiple_Electrolux Old Nick Paton Mark Wilson Model" xfId="1315" xr:uid="{07FA3363-3F4C-4CA7-B46A-0A400D541583}"/>
    <cellStyle name="_Multiple_Electrolux Old Nick Paton Mark Wilson Model 2" xfId="1316" xr:uid="{9BF132D1-04AD-4BBC-AD82-1A148322DF5A}"/>
    <cellStyle name="_Multiple_Electrolux WIP Bhavna" xfId="1317" xr:uid="{55C8CF7E-BB06-4E84-9E96-D313F7D0473D}"/>
    <cellStyle name="_Multiple_Electrolux WIP Bhavna 2" xfId="1318" xr:uid="{8B83DBF0-DC0F-4C21-A49A-258512DD2F92}"/>
    <cellStyle name="_Multiple_Eng" xfId="1319" xr:uid="{9486B788-E17B-4C0A-9459-1EC089D43210}"/>
    <cellStyle name="_Multiple_Eng 2" xfId="1320" xr:uid="{19651723-60CD-45BA-BF5E-17EF6E2F79D8}"/>
    <cellStyle name="_Multiple_Eng 3" xfId="1321" xr:uid="{6B8B246D-D9D5-4AC2-A629-81AEB9E6B96C}"/>
    <cellStyle name="_Multiple_Finmeccanica" xfId="1322" xr:uid="{228D741F-3442-4FE8-8EA2-EB812C915F01}"/>
    <cellStyle name="_Multiple_Finmeccanica SOP" xfId="1323" xr:uid="{95803800-FEFA-43E2-80EF-4CA2FEF96C81}"/>
    <cellStyle name="_Multiple_fmbi counties" xfId="183" xr:uid="{00000000-0005-0000-0000-00007D000000}"/>
    <cellStyle name="_Multiple_FMBI MBHI Graphs" xfId="184" xr:uid="{00000000-0005-0000-0000-00007E000000}"/>
    <cellStyle name="_Multiple_FMBI MBHI Graphs 07102001" xfId="185" xr:uid="{00000000-0005-0000-0000-00007F000000}"/>
    <cellStyle name="_Multiple_FMBI MBHI Graphs_7601" xfId="186" xr:uid="{00000000-0005-0000-0000-000080000000}"/>
    <cellStyle name="_Multiple_Global ROIC 2007" xfId="1324" xr:uid="{EFC23494-FAFB-41B2-A0E8-7AD6FC12FF5D}"/>
    <cellStyle name="_Multiple_Global ROIC 2007 2" xfId="1325" xr:uid="{019141B2-32D1-4548-99A1-C76FDDBB0FFC}"/>
    <cellStyle name="_Multiple_Global ROIC 2007_Copy of IFRS consol ABB Final Version4" xfId="1326" xr:uid="{9F00EC2A-DE64-421D-80D0-2C2A95AB1258}"/>
    <cellStyle name="_Multiple_Global ROIC 2007_Copy of IFRS consol ABB Final Version4 2" xfId="1327" xr:uid="{1BAF3EFD-7D5A-4245-BFA1-E190578922BE}"/>
    <cellStyle name="_Multiple_GNW" xfId="187" xr:uid="{00000000-0005-0000-0000-000081000000}"/>
    <cellStyle name="_Multiple_Insurance Brokerage CSC_1Q2002" xfId="188" xr:uid="{00000000-0005-0000-0000-000082000000}"/>
    <cellStyle name="_Multiple_integrated_standalone_ba" xfId="1328" xr:uid="{9C738FC6-E191-4F58-ABB5-4844DC40C229}"/>
    <cellStyle name="_Multiple_integrated_standalone_ba 2" xfId="1329" xr:uid="{69914F74-118D-4E1F-AE09-420A93939642}"/>
    <cellStyle name="_Multiple_integrated_standalone_ba 3" xfId="1330" xr:uid="{C5819AFF-C053-4492-81D6-11DE9820CA71}"/>
    <cellStyle name="_Multiple_JP" xfId="189" xr:uid="{00000000-0005-0000-0000-000083000000}"/>
    <cellStyle name="_Multiple_LBO Model Zannier - 04-09-01" xfId="1331" xr:uid="{40594AE4-A4FE-4D24-B61B-EC116C1FAB65}"/>
    <cellStyle name="_Multiple_LBO Model Zannier - 04-09-01 2" xfId="1332" xr:uid="{C3B85D75-D8DD-4BB4-A634-8227257D8BF5}"/>
    <cellStyle name="_Multiple_LBO Model Zannier - 04-09-01 3" xfId="1333" xr:uid="{579D46E6-ABE6-4EC6-B9F5-01BC653E363D}"/>
    <cellStyle name="_Multiple_LNC" xfId="190" xr:uid="{00000000-0005-0000-0000-000084000000}"/>
    <cellStyle name="_Multiple_MET" xfId="191" xr:uid="{00000000-0005-0000-0000-000085000000}"/>
    <cellStyle name="_Multiple_MET04" xfId="192" xr:uid="{00000000-0005-0000-0000-000086000000}"/>
    <cellStyle name="_Multiple_Model Vague 07 conso - Dannaud" xfId="1334" xr:uid="{53584D76-7CD7-476E-AEE4-083F804A3383}"/>
    <cellStyle name="_Multiple_Model Vague 07 conso - Dannaud 2" xfId="1335" xr:uid="{65EB2E8B-05D1-4235-B926-ED148F63809B}"/>
    <cellStyle name="_Multiple_Model Vague 07 conso - Dannaud 3" xfId="1336" xr:uid="{356FE9EB-6BB3-423C-8F8F-FB0E85E7C8F7}"/>
    <cellStyle name="_Multiple_MTU Aero Engines" xfId="1337" xr:uid="{604850CF-A404-44D2-A223-F005D15AEDCC}"/>
    <cellStyle name="_Multiple_MTU Aero Engines 2" xfId="1338" xr:uid="{A18ABDF1-1CF4-4201-B1A1-EE214374364C}"/>
    <cellStyle name="_Multiple_MTU Aero Engines 3" xfId="1339" xr:uid="{852A1EA6-286D-404E-AF3F-273876B57819}"/>
    <cellStyle name="_Multiple_MTU Aero EnginesMICHA EVENING6" xfId="1340" xr:uid="{DFF826FF-3BDE-4289-B651-65C7C492F2E9}"/>
    <cellStyle name="_Multiple_MTU Aero EnginesMICHA EVENING6 2" xfId="1341" xr:uid="{DE744034-6382-4E15-9F1C-C332FBD0F235}"/>
    <cellStyle name="_Multiple_MTU Aero EnginesMICHA EVENING6 3" xfId="1342" xr:uid="{8B7266EE-1083-48DC-8C85-CE22B69895C1}"/>
    <cellStyle name="_Multiple_MTU FX sheet" xfId="1343" xr:uid="{DB952E93-B379-4B3B-AAC7-7EBBEF0EB87B}"/>
    <cellStyle name="_Multiple_MTU FX sheet 2" xfId="1344" xr:uid="{5881E98C-9AA7-45A7-9D83-416F826C6BFB}"/>
    <cellStyle name="_Multiple_MTU FX sheet 3" xfId="1345" xr:uid="{57E3C822-3281-4509-AC08-32A0012E3434}"/>
    <cellStyle name="_Multiple_NFS" xfId="193" xr:uid="{00000000-0005-0000-0000-000087000000}"/>
    <cellStyle name="_Multiple_output" xfId="1346" xr:uid="{73818C26-5143-4FFB-8E7B-2A34C7E1F49D}"/>
    <cellStyle name="_Multiple_output 2" xfId="1347" xr:uid="{FB58BF93-6681-45D8-A534-55AA4ECF0493}"/>
    <cellStyle name="_Multiple_output 3" xfId="1348" xr:uid="{AC1FE5A3-E31E-4D7C-B0CF-4750408FDD08}"/>
    <cellStyle name="_Multiple_Overview3" xfId="194" xr:uid="{00000000-0005-0000-0000-000088000000}"/>
    <cellStyle name="_Multiple_phil data" xfId="195" xr:uid="{00000000-0005-0000-0000-000089000000}"/>
    <cellStyle name="_Multiple_Price Performance Charts" xfId="196" xr:uid="{00000000-0005-0000-0000-00008A000000}"/>
    <cellStyle name="_Multiple_PRU" xfId="197" xr:uid="{00000000-0005-0000-0000-00008B000000}"/>
    <cellStyle name="_Multiple_PRU04" xfId="198" xr:uid="{00000000-0005-0000-0000-00008C000000}"/>
    <cellStyle name="_Multiple_QP_XXX" xfId="1349" xr:uid="{80DDA085-5882-4A78-92B9-574307FB5D02}"/>
    <cellStyle name="_Multiple_QP_XXX 2" xfId="1350" xr:uid="{FD443260-CEAC-485A-AE19-7CA6BB40B9D8}"/>
    <cellStyle name="_Multiple_QP_XXX_Copy of IFRS consol ABB Final Version4" xfId="1351" xr:uid="{3E2CC751-0521-4E4C-B77F-9A7EBF9EE46F}"/>
    <cellStyle name="_Multiple_QP_XXX_Copy of IFRS consol ABB Final Version4 2" xfId="1352" xr:uid="{043A6B2E-88D2-40AB-A6EA-37170592DB16}"/>
    <cellStyle name="_Multiple_RBOC historicals" xfId="1353" xr:uid="{D6009E2B-CA65-4643-A7D0-349A88129726}"/>
    <cellStyle name="_Multiple_RBOC historicals_Copy of IFRS consol ABB Final Version4" xfId="1354" xr:uid="{06E49581-2322-4DE7-9B88-669E0F4E7095}"/>
    <cellStyle name="_Multiple_Rheinmetall" xfId="1355" xr:uid="{2749519D-401D-4B91-AB1A-F5423461A7F4}"/>
    <cellStyle name="_Multiple_Rheinmetall_1" xfId="1356" xr:uid="{CB91E0AD-3C02-4271-A333-CBB371B1FD21}"/>
    <cellStyle name="_Multiple_Rheinmetall_1 2" xfId="1357" xr:uid="{995208F2-7340-47F2-8145-67C9F24C65E9}"/>
    <cellStyle name="_Multiple_Rheinmetall_1 3" xfId="1358" xr:uid="{44AC6266-FC7F-44A8-B2DA-13A395374E7D}"/>
    <cellStyle name="_Multiple_RHM" xfId="1359" xr:uid="{E201A43E-7324-4A6D-93AE-DE69D9F20441}"/>
    <cellStyle name="_Multiple_RiskReward" xfId="199" xr:uid="{00000000-0005-0000-0000-00008D000000}"/>
    <cellStyle name="_Multiple_ROIC" xfId="1360" xr:uid="{79550313-7A7C-4636-9938-7B946FE6E94A}"/>
    <cellStyle name="_Multiple_ROIC 2" xfId="1361" xr:uid="{42EE4D48-F037-4D4D-B551-A04212745B34}"/>
    <cellStyle name="_Multiple_ROIC 3" xfId="1362" xr:uid="{D5921169-D642-4EA2-9026-021CA47263EF}"/>
    <cellStyle name="_Multiple_Rolls-Royce" xfId="1363" xr:uid="{B26975D2-6F0C-4B70-8CE5-5C08C0D10BF4}"/>
    <cellStyle name="_Multiple_Rolls-Royce Micha" xfId="1364" xr:uid="{1C9B3A5C-0432-43A2-8B58-C8A809D1E7C1}"/>
    <cellStyle name="_Multiple_Rolls-Royce Micha 2" xfId="1365" xr:uid="{3CDB8409-9322-4F61-B802-3B8AE7240F67}"/>
    <cellStyle name="_Multiple_Rolls-Royce Micha 3" xfId="1366" xr:uid="{591836DD-72BA-44AF-AD88-C591651ACD1E}"/>
    <cellStyle name="_Multiple_Rolls-RoyceFINAL130206" xfId="1367" xr:uid="{324E11CF-B47F-4148-A50C-0CB9E12A8BC0}"/>
    <cellStyle name="_Multiple_Rolls-RoyceFINAL130206 2" xfId="1368" xr:uid="{7ED9976F-911E-4F11-82CC-61404CE2B323}"/>
    <cellStyle name="_Multiple_Rolls-RoyceFINAL130206 3" xfId="1369" xr:uid="{D5BDE8F6-6B02-4EC5-871A-BE56C5052FA7}"/>
    <cellStyle name="_Multiple_RR FY06" xfId="1370" xr:uid="{487E3549-F0D4-4195-9F8D-4325E7CB6387}"/>
    <cellStyle name="_Multiple_RR FY06 2" xfId="1371" xr:uid="{84F3C653-DDFA-47FF-A382-969CD2676738}"/>
    <cellStyle name="_Multiple_RR FY06 3" xfId="1372" xr:uid="{F599B656-5AE9-4EC4-BE4F-BDCA860958B0}"/>
    <cellStyle name="_Multiple_SaabOLD" xfId="1373" xr:uid="{BFF95718-D73E-4643-ACAC-3EF5F3D02130}"/>
    <cellStyle name="_Multiple_Safran" xfId="1374" xr:uid="{57E8D53A-A164-4418-852B-AED0B7EFF7FB}"/>
    <cellStyle name="_Multiple_Safran 2" xfId="1375" xr:uid="{D89B696C-1EBA-435E-A513-336414D9D279}"/>
    <cellStyle name="_Multiple_Safran 3" xfId="1376" xr:uid="{01235581-5E6B-4AD0-86C9-656B12F3C353}"/>
    <cellStyle name="_Multiple_Saft vs Peers" xfId="1377" xr:uid="{59D0CB31-3A60-4AE0-BB07-4A09B1023CC3}"/>
    <cellStyle name="_Multiple_Saft vs Peers 2" xfId="1378" xr:uid="{EC3260EE-4E2F-453D-B344-731A35DCC98E}"/>
    <cellStyle name="_Multiple_Saft vs Peers 3" xfId="1379" xr:uid="{9FD156E8-73A8-4946-8EA2-9A22953AE515}"/>
    <cellStyle name="_Multiple_SFG" xfId="200" xr:uid="{00000000-0005-0000-0000-00008E000000}"/>
    <cellStyle name="_Multiple_Sheet1" xfId="201" xr:uid="{00000000-0005-0000-0000-00008F000000}"/>
    <cellStyle name="_Multiple_SIFI OLD" xfId="1380" xr:uid="{434F9FCA-5D02-457D-BF72-80B859731417}"/>
    <cellStyle name="_Multiple_SIFINEW" xfId="1381" xr:uid="{1FC05064-5163-4909-9E85-FC0DCC3204A9}"/>
    <cellStyle name="_Multiple_SIFINEW 2" xfId="1382" xr:uid="{458853C8-CFCD-4EB2-8988-81D6DD1D262E}"/>
    <cellStyle name="_Multiple_SIFINEW 3" xfId="1383" xr:uid="{6983010F-FA80-47A2-8FD1-DD5950B6C03E}"/>
    <cellStyle name="_Multiple_Smiths Group" xfId="1384" xr:uid="{F5A4D0DF-44AA-4ECE-A6D1-00AAFED79C80}"/>
    <cellStyle name="_Multiple_Smiths Group - OLD" xfId="1385" xr:uid="{3E87002E-9F34-4E25-889F-1DAF8EE23E64}"/>
    <cellStyle name="_Multiple_Stock-QTR1 FDS" xfId="202" xr:uid="{00000000-0005-0000-0000-000090000000}"/>
    <cellStyle name="_Multiple_T - new" xfId="1386" xr:uid="{8316F104-E8A2-437F-A7AD-08AB1B39D340}"/>
    <cellStyle name="_Multiple_T - new_Copy of IFRS consol ABB Final Version4" xfId="1387" xr:uid="{6448FBDB-4992-47CC-8047-F1D3435F7243}"/>
    <cellStyle name="_Multiple_TMK" xfId="203" xr:uid="{00000000-0005-0000-0000-000091000000}"/>
    <cellStyle name="_Multiple_Updated Valuation Changes" xfId="204" xr:uid="{00000000-0005-0000-0000-000092000000}"/>
    <cellStyle name="_Multiple_Vague LBO Model - 19 July 2001" xfId="1388" xr:uid="{AC50C372-69E0-4B4E-89D4-B482C3D19F43}"/>
    <cellStyle name="_Multiple_Vague LBO Model - 19 July 2001 2" xfId="1389" xr:uid="{69FD60A8-08CA-43FE-A178-6BC9007827CB}"/>
    <cellStyle name="_Multiple_Vague LBO Model - 19 July 2001 3" xfId="1390" xr:uid="{CF1C7341-4B6F-494C-B4AA-EAFFB49C1473}"/>
    <cellStyle name="_Multiple_Valuation Graphs" xfId="205" xr:uid="{00000000-0005-0000-0000-000093000000}"/>
    <cellStyle name="_Multiple_Vinci" xfId="1391" xr:uid="{F36E367F-797D-41B1-8035-84B5DE10415F}"/>
    <cellStyle name="_Multiple_WPP_YNR_merger_plans" xfId="1392" xr:uid="{49639B5F-32CE-4FFA-BA98-228717F190F2}"/>
    <cellStyle name="_Multiple_WPP_YNR_merger_plans 2" xfId="1393" xr:uid="{4589F9B8-0727-4FA4-916D-7B770024A669}"/>
    <cellStyle name="_Multiple_WPP_YNR_merger_plans 3" xfId="1394" xr:uid="{8D61E21C-E7E8-44DF-86D1-B58E31A30CED}"/>
    <cellStyle name="_Multiple_xratio - historical mkt val" xfId="206" xr:uid="{00000000-0005-0000-0000-000094000000}"/>
    <cellStyle name="_MultipleSpace" xfId="207" xr:uid="{00000000-0005-0000-0000-000095000000}"/>
    <cellStyle name="_MultipleSpace 2" xfId="1395" xr:uid="{13298811-F353-4837-AE42-D03A4F239B29}"/>
    <cellStyle name="_MultipleSpace 3" xfId="1396" xr:uid="{F0B4434F-B2C8-4EBD-85FA-7B99FDCC6AA8}"/>
    <cellStyle name="_MultipleSpace_01 adj for merger plan" xfId="208" xr:uid="{00000000-0005-0000-0000-000096000000}"/>
    <cellStyle name="_MultipleSpace_05 CSC_Picabia_02042002" xfId="1397" xr:uid="{71B51D1F-1075-4D64-ACC4-D6F2618BA72E}"/>
    <cellStyle name="_MultipleSpace_05 CSC_Picabia_02042002 2" xfId="1398" xr:uid="{137DF9CC-6ECB-4258-A3E6-A60314C2E999}"/>
    <cellStyle name="_MultipleSpace_05 CSC_Picabia_02042002 3" xfId="1399" xr:uid="{546AA4E2-F7E4-430B-BDAB-2E3737E6A53E}"/>
    <cellStyle name="_MultipleSpace_2001 YTD Performance" xfId="1400" xr:uid="{7D2A03F4-7230-4A55-8A8D-0241087E56AD}"/>
    <cellStyle name="_MultipleSpace_2001 YTD Performance 2" xfId="1401" xr:uid="{15709496-533E-4946-8CD4-5CCC68F24C59}"/>
    <cellStyle name="_MultipleSpace_2001 YTD Performance 3" xfId="1402" xr:uid="{56EBCC8E-5F5D-4868-AE3F-028D5C56D856}"/>
    <cellStyle name="_MultipleSpace_Ability to Pay Analysis" xfId="209" xr:uid="{00000000-0005-0000-0000-000097000000}"/>
    <cellStyle name="_MultipleSpace_ABP1" xfId="1403" xr:uid="{3C0A1880-073B-4331-849D-0D4EF1F51887}"/>
    <cellStyle name="_MultipleSpace_ABP1 2" xfId="1404" xr:uid="{87288232-BA53-42BF-997A-126933A2F5C4}"/>
    <cellStyle name="_MultipleSpace_ABP1 3" xfId="1405" xr:uid="{DA45885D-F0E9-4C0B-8AAA-1EEBDEC5E5FA}"/>
    <cellStyle name="_MultipleSpace_Aero DCF" xfId="1406" xr:uid="{E831CED4-1E85-4F7C-809E-BF9C2476401E}"/>
    <cellStyle name="_MultipleSpace_Aero DCF 2" xfId="1407" xr:uid="{275115B8-055D-4058-A0C0-FD87CE49BFFB}"/>
    <cellStyle name="_MultipleSpace_Aero DCF 3" xfId="1408" xr:uid="{BA2A2864-9F55-48BC-B56A-22A3C1F26504}"/>
    <cellStyle name="_MultipleSpace_AFL" xfId="210" xr:uid="{00000000-0005-0000-0000-000098000000}"/>
    <cellStyle name="_MultipleSpace_AIZ" xfId="211" xr:uid="{00000000-0005-0000-0000-000099000000}"/>
    <cellStyle name="_MultipleSpace_Alstom WIP Bhavna" xfId="1409" xr:uid="{CAFFF1B2-FAC5-4C85-978D-CDFC916272AF}"/>
    <cellStyle name="_MultipleSpace_Alstom WIP Bhavna 2" xfId="1410" xr:uid="{843AB14A-CE1D-4D86-AF01-15EA0B9A64E6}"/>
    <cellStyle name="_MultipleSpace_AMP" xfId="212" xr:uid="{00000000-0005-0000-0000-00009A000000}"/>
    <cellStyle name="_MultipleSpace_ASF" xfId="1411" xr:uid="{4844CBB1-1AF1-4481-9CB9-33D2CB0B6136}"/>
    <cellStyle name="_MultipleSpace_ASF 2" xfId="1412" xr:uid="{77622EFF-749B-4B23-93A9-3795BF1A31BF}"/>
    <cellStyle name="_MultipleSpace_ASF 3" xfId="1413" xr:uid="{F5821A6E-36AB-4E17-9853-9450071881C7}"/>
    <cellStyle name="_MultipleSpace_ASF1" xfId="1414" xr:uid="{FB0F0AFE-6F9A-4452-A278-3F2FE83E2520}"/>
    <cellStyle name="_MultipleSpace_ASF1 2" xfId="1415" xr:uid="{BE74106A-C65C-4F81-83DB-5EEEB724CB20}"/>
    <cellStyle name="_MultipleSpace_ASF1 3" xfId="1416" xr:uid="{BFF9A687-E4E2-4A30-B194-2454BAF8CBA4}"/>
    <cellStyle name="_MultipleSpace_Assa CF" xfId="1417" xr:uid="{8D521541-682A-4AF9-9A94-EA1245A1B6F6}"/>
    <cellStyle name="_MultipleSpace_Assa CF 2" xfId="1418" xr:uid="{6A810E78-EE2C-43FE-9A58-B6A9A1811FB6}"/>
    <cellStyle name="_MultipleSpace_Assa CF 3" xfId="1419" xr:uid="{481A87B3-3D7D-4686-B08D-F9F3A48E33A3}"/>
    <cellStyle name="_MultipleSpace_Assa Reference" xfId="1420" xr:uid="{25090A70-CD88-4705-866E-99CA4C9A0B6C}"/>
    <cellStyle name="_MultipleSpace_Assa Reference 2" xfId="1421" xr:uid="{55838DD8-E846-4151-B49B-210BA7FC5787}"/>
    <cellStyle name="_MultipleSpace_Assa Reference 3" xfId="1422" xr:uid="{092EB3BF-D92B-47FB-ADFB-68A58635F08B}"/>
    <cellStyle name="_MultipleSpace_Assa vs Competition" xfId="1423" xr:uid="{FA1845A0-C33A-40BF-970D-8E29C36C648A}"/>
    <cellStyle name="_MultipleSpace_Assa vs Competition 2" xfId="1424" xr:uid="{8079CBAC-0DF1-4112-8D2B-C8AF33F12F22}"/>
    <cellStyle name="_MultipleSpace_Assa vs Competition 3" xfId="1425" xr:uid="{5C3D994C-D621-4935-8FF4-500DD52AC18D}"/>
    <cellStyle name="_MultipleSpace_Atlas Copco CF" xfId="1426" xr:uid="{6AAE27A5-DF33-482A-B6FC-2AB92A6F94F0}"/>
    <cellStyle name="_MultipleSpace_Atlas Copco CF 2" xfId="1427" xr:uid="{C965DC0C-F65A-4270-ADB7-F4C11859C72C}"/>
    <cellStyle name="_MultipleSpace_AVP" xfId="1428" xr:uid="{1E0DCC49-1F2D-4AEE-A5DF-AA588BADC81D}"/>
    <cellStyle name="_MultipleSpace_AVP 2" xfId="1429" xr:uid="{36DB949A-B446-4B10-B5FB-3D0935B0216A}"/>
    <cellStyle name="_MultipleSpace_AVP 3" xfId="1430" xr:uid="{C8843040-500E-475A-BD09-98EA3D9FAFE8}"/>
    <cellStyle name="_MultipleSpace_BAE_model_new" xfId="1431" xr:uid="{4C13AF8E-48BF-4529-8BA1-E64F86B8C487}"/>
    <cellStyle name="_MultipleSpace_BAE_model_new 2" xfId="1432" xr:uid="{615A47E3-C3C8-4C8E-9F05-3F2690BF1DB0}"/>
    <cellStyle name="_MultipleSpace_BAE_model_new 3" xfId="1433" xr:uid="{8DA8DDA0-9E6E-414F-9E4D-920E82CD2EA5}"/>
    <cellStyle name="_MultipleSpace_Balance Sheet" xfId="213" xr:uid="{00000000-0005-0000-0000-00009B000000}"/>
    <cellStyle name="_MultipleSpace_BHI" xfId="1434" xr:uid="{D0E67303-1A97-4B19-B00A-F50517CE33C3}"/>
    <cellStyle name="_MultipleSpace_BHI_Copy of IFRS consol ABB Final Version4" xfId="1435" xr:uid="{B9558D1F-6E0B-4F56-8267-1EEDDB2BADC8}"/>
    <cellStyle name="_MultipleSpace_bls roic" xfId="1436" xr:uid="{12EB6520-EC24-4874-BAF1-240960579368}"/>
    <cellStyle name="_MultipleSpace_bls roic_Copy of IFRS consol ABB Final Version4" xfId="1437" xr:uid="{C39EEF36-E65C-41CF-9933-24F57E483272}"/>
    <cellStyle name="_MultipleSpace_Book1" xfId="214" xr:uid="{00000000-0005-0000-0000-00009C000000}"/>
    <cellStyle name="_MultipleSpace_Book1 2" xfId="1438" xr:uid="{7D815B22-9351-489F-B622-DDD24C276C12}"/>
    <cellStyle name="_MultipleSpace_Book1 3" xfId="1439" xr:uid="{E10AF600-DE83-4EC9-B891-9AE4A7EAB541}"/>
    <cellStyle name="_MultipleSpace_Book1_WACC" xfId="1440" xr:uid="{6D4FC38C-66CF-41C6-AEDE-6BCFED8AD626}"/>
    <cellStyle name="_MultipleSpace_Book1_WACC 2" xfId="1441" xr:uid="{F0449E55-B03B-49BA-B04C-B57A790889B4}"/>
    <cellStyle name="_MultipleSpace_Book1_WACC 3" xfId="1442" xr:uid="{B4D206B6-86AD-46E6-AAC7-0E1884F41562}"/>
    <cellStyle name="_MultipleSpace_Book29" xfId="215" xr:uid="{00000000-0005-0000-0000-00009D000000}"/>
    <cellStyle name="_MultipleSpace_Book3" xfId="216" xr:uid="{00000000-0005-0000-0000-00009E000000}"/>
    <cellStyle name="_MultipleSpace_Book3_1" xfId="217" xr:uid="{00000000-0005-0000-0000-00009F000000}"/>
    <cellStyle name="_MultipleSpace_capital expenditures 6-18-02" xfId="1443" xr:uid="{5CEDA18E-30C4-4633-9FBF-BDA71E2EE651}"/>
    <cellStyle name="_MultipleSpace_capital expenditures 6-18-02_Copy of IFRS consol ABB Final Version4" xfId="1444" xr:uid="{26A24E01-261A-40DD-8BD2-CF4AA34B4AEF}"/>
    <cellStyle name="_MultipleSpace_CNO" xfId="218" xr:uid="{00000000-0005-0000-0000-0000A0000000}"/>
    <cellStyle name="_MultipleSpace_Comdot - gStyle Excel Slides" xfId="1445" xr:uid="{143CD773-5E65-4FCC-8D4C-D551B1DD5779}"/>
    <cellStyle name="_MultipleSpace_Comdot - gStyle Excel Slides 2" xfId="1446" xr:uid="{1C1A2538-ACBB-45A1-852A-EB9E3C24F3E6}"/>
    <cellStyle name="_MultipleSpace_Comdot - gStyle Excel Slides 3" xfId="1447" xr:uid="{42CDF502-3434-4E8E-890C-899C9C213E9C}"/>
    <cellStyle name="_MultipleSpace_contribution_analysis" xfId="1448" xr:uid="{0539F443-6215-4E9F-AD58-84E3380787BC}"/>
    <cellStyle name="_MultipleSpace_Copy of IFRS consol ABB Final Version4" xfId="1449" xr:uid="{A494CBE9-B471-4603-AB34-B8B6F2BC911C}"/>
    <cellStyle name="_MultipleSpace_Copy of IFRS consol ABB Final Version4 2" xfId="1450" xr:uid="{650C6A69-34CF-4A24-B58D-90BCB6D73E0F}"/>
    <cellStyle name="_MultipleSpace_Copy of IFRS consol ABB Final Version4_1" xfId="1451" xr:uid="{C88014BB-B8C3-47A7-9C2A-678A327AF82B}"/>
    <cellStyle name="_MultipleSpace_Copy of IFRS consol ABB Final Version4_1 2" xfId="1452" xr:uid="{D275D345-9D68-4269-9D7F-1F1C433C7B1B}"/>
    <cellStyle name="_MultipleSpace_Copy of Spirent_now" xfId="1453" xr:uid="{DDA3170B-3D72-45F3-A6EF-FE0A033C281D}"/>
    <cellStyle name="_MultipleSpace_Copy of Spirent_now 2" xfId="1454" xr:uid="{5062282E-8319-400A-A7F3-AB4AE26711E4}"/>
    <cellStyle name="_MultipleSpace_Copy of Spirent_now 3" xfId="1455" xr:uid="{2242B73E-815A-4EF0-8FB8-FA57DCB1EFEE}"/>
    <cellStyle name="_MultipleSpace_CROCI" xfId="1456" xr:uid="{89C6DE35-1D95-4C62-B625-F71C4354FB3C}"/>
    <cellStyle name="_MultipleSpace_CROCI 2" xfId="1457" xr:uid="{467BDEF9-CB7C-4786-B49A-7E98EA5B12BB}"/>
    <cellStyle name="_MultipleSpace_csc" xfId="1458" xr:uid="{A2DF1CE2-FF8E-4442-8357-76818626316A}"/>
    <cellStyle name="_MultipleSpace_csc 2" xfId="1459" xr:uid="{3EB85395-CFAD-4800-9B0C-1EB488F2903A}"/>
    <cellStyle name="_MultipleSpace_csc 3" xfId="1460" xr:uid="{B2C0D199-9CAA-4C2F-946C-F32327E688E3}"/>
    <cellStyle name="_MultipleSpace_CSC_Picabia_29062001" xfId="1461" xr:uid="{F34EFE72-3DC8-4189-90C8-B58423DDD5E5}"/>
    <cellStyle name="_MultipleSpace_CSC_Picabia_29062001 2" xfId="1462" xr:uid="{ADD00115-F76C-43C1-8A2B-2472F0689E26}"/>
    <cellStyle name="_MultipleSpace_CSC_Picabia_29062001 3" xfId="1463" xr:uid="{5239E5F9-89F8-45F6-B913-9F4E7121E22A}"/>
    <cellStyle name="_MultipleSpace_DCF - July 2, 2001" xfId="1464" xr:uid="{A4359DF2-B54D-4AF7-AD8F-75C41677A37A}"/>
    <cellStyle name="_MultipleSpace_DCF - July 2, 2001 2" xfId="1465" xr:uid="{B2C5F1F2-62D0-4EEA-A71B-FDB180BF7C17}"/>
    <cellStyle name="_MultipleSpace_DCF - July 2, 2001 3" xfId="1466" xr:uid="{A6E0437A-DBB4-4C1E-875E-2289A11A0838}"/>
    <cellStyle name="_MultipleSpace_DCF Alexander Forbes" xfId="219" xr:uid="{00000000-0005-0000-0000-0000A1000000}"/>
    <cellStyle name="_MultipleSpace_DCF Model + WACC" xfId="1467" xr:uid="{7C5794AE-C0C5-43F3-8D36-3EE161C1691E}"/>
    <cellStyle name="_MultipleSpace_DCF Model + WACC 2" xfId="1468" xr:uid="{8AE566AD-B268-4FB9-A3A0-C42C1B37AA0C}"/>
    <cellStyle name="_MultipleSpace_DCF Model + WACC 3" xfId="1469" xr:uid="{4B1513F1-B1C4-4AAF-9BAC-29C196C20A2D}"/>
    <cellStyle name="_MultipleSpace_DCF-Synergies2" xfId="1470" xr:uid="{923316BB-D288-45B0-B7F1-85CB91514E6F}"/>
    <cellStyle name="_MultipleSpace_DCF-Synergies2 2" xfId="1471" xr:uid="{23153689-708F-4B35-99E0-8D8737ABB93D}"/>
    <cellStyle name="_MultipleSpace_DCF-Synergies2 3" xfId="1472" xr:uid="{458E822A-6271-4605-BC95-4DFFD4EA8965}"/>
    <cellStyle name="_MultipleSpace_Electrolux CF" xfId="1473" xr:uid="{5841466A-62BE-4274-98FA-E1E104FCF8EF}"/>
    <cellStyle name="_MultipleSpace_Electrolux CF 2" xfId="1474" xr:uid="{B296ACCA-1B46-4AA5-B139-0B294CF4CE07}"/>
    <cellStyle name="_MultipleSpace_Electrolux CF_1" xfId="1475" xr:uid="{EB7DA624-8AF6-4BE4-AA70-74FB35C18495}"/>
    <cellStyle name="_MultipleSpace_Electrolux CF_1 2" xfId="1476" xr:uid="{42454190-E100-4EDB-A900-367A6BF9061E}"/>
    <cellStyle name="_MultipleSpace_Electrolux MW" xfId="1477" xr:uid="{354B7C5B-FEB5-4F91-9123-E758A4C9F62B}"/>
    <cellStyle name="_MultipleSpace_Electrolux MW 2" xfId="1478" xr:uid="{C0718C5B-6053-4060-A8D9-A5E4C6166973}"/>
    <cellStyle name="_MultipleSpace_Electrolux Old Nick Paton Mark Wilson Model" xfId="1479" xr:uid="{E3973127-D5F7-4FA2-8FA1-BF63B56BA182}"/>
    <cellStyle name="_MultipleSpace_Electrolux Old Nick Paton Mark Wilson Model 2" xfId="1480" xr:uid="{031E4270-9806-499E-8DED-19AEA57C5959}"/>
    <cellStyle name="_MultipleSpace_Electrolux WIP Bhavna" xfId="1481" xr:uid="{D5631796-3972-4AD9-8A02-935D4EA5BED5}"/>
    <cellStyle name="_MultipleSpace_Electrolux WIP Bhavna 2" xfId="1482" xr:uid="{CDE18C5D-4699-4C82-B9A3-37B2C1BD51B7}"/>
    <cellStyle name="_MultipleSpace_Eng" xfId="1483" xr:uid="{BA475731-F2E5-486A-B7F6-9C3C8DFB8D66}"/>
    <cellStyle name="_MultipleSpace_Eng 2" xfId="1484" xr:uid="{DCC74987-38B3-41E5-93F2-313066180ABB}"/>
    <cellStyle name="_MultipleSpace_Eng 3" xfId="1485" xr:uid="{65DC17DA-EC43-4FFD-BDB0-32090BB847C4}"/>
    <cellStyle name="_MultipleSpace_Finmeccanica" xfId="1486" xr:uid="{E94D901B-5B96-4F3A-A9CE-A9C9ECB20D1D}"/>
    <cellStyle name="_MultipleSpace_Finmeccanica SOP" xfId="1487" xr:uid="{5B5D930B-249D-46AE-91B5-0E93E6FA267B}"/>
    <cellStyle name="_MultipleSpace_fmbi counties" xfId="220" xr:uid="{00000000-0005-0000-0000-0000A2000000}"/>
    <cellStyle name="_MultipleSpace_FMBI MBHI Graphs" xfId="221" xr:uid="{00000000-0005-0000-0000-0000A3000000}"/>
    <cellStyle name="_MultipleSpace_FMBI MBHI Graphs 07102001" xfId="222" xr:uid="{00000000-0005-0000-0000-0000A4000000}"/>
    <cellStyle name="_MultipleSpace_FMBI MBHI Graphs_7601" xfId="223" xr:uid="{00000000-0005-0000-0000-0000A5000000}"/>
    <cellStyle name="_MultipleSpace_Global ROIC 2007" xfId="1488" xr:uid="{D2FB1881-90C0-4638-B112-D53A6FDDE6E3}"/>
    <cellStyle name="_MultipleSpace_Global ROIC 2007 2" xfId="1489" xr:uid="{384A813B-7A6A-4BF3-8D9C-2F865C757D64}"/>
    <cellStyle name="_MultipleSpace_Global ROIC 2007_Copy of IFRS consol ABB Final Version4" xfId="1490" xr:uid="{7FA2D6E9-EEB8-42FC-9DCE-31349081D48F}"/>
    <cellStyle name="_MultipleSpace_Global ROIC 2007_Copy of IFRS consol ABB Final Version4 2" xfId="1491" xr:uid="{2708274C-2600-4945-959C-E835244C6EFE}"/>
    <cellStyle name="_MultipleSpace_GNW" xfId="224" xr:uid="{00000000-0005-0000-0000-0000A6000000}"/>
    <cellStyle name="_MultipleSpace_Insurance Brokerage CSC_1Q2002" xfId="225" xr:uid="{00000000-0005-0000-0000-0000A7000000}"/>
    <cellStyle name="_MultipleSpace_integrated_standalone_ba" xfId="1492" xr:uid="{02AC40F2-22A6-4659-9161-C041C1D789DB}"/>
    <cellStyle name="_MultipleSpace_integrated_standalone_ba 2" xfId="1493" xr:uid="{82549868-DEA2-4A1D-995B-D14C18AA47D8}"/>
    <cellStyle name="_MultipleSpace_integrated_standalone_ba 3" xfId="1494" xr:uid="{173B3D4E-BDB0-4976-A773-1E06B91C199B}"/>
    <cellStyle name="_MultipleSpace_JP" xfId="226" xr:uid="{00000000-0005-0000-0000-0000A8000000}"/>
    <cellStyle name="_MultipleSpace_LBO Model Zannier - 04-09-01" xfId="1495" xr:uid="{09785EA0-306D-4A41-B1CF-9017AD6BE061}"/>
    <cellStyle name="_MultipleSpace_LBO Model Zannier - 04-09-01 2" xfId="1496" xr:uid="{CA6CC007-1A4E-41B1-A707-3213F4DDA247}"/>
    <cellStyle name="_MultipleSpace_LBO Model Zannier - 04-09-01 3" xfId="1497" xr:uid="{302A4933-CCCF-45D0-AC9D-B16B565E5E13}"/>
    <cellStyle name="_MultipleSpace_LNC" xfId="227" xr:uid="{00000000-0005-0000-0000-0000A9000000}"/>
    <cellStyle name="_MultipleSpace_MET" xfId="228" xr:uid="{00000000-0005-0000-0000-0000AA000000}"/>
    <cellStyle name="_MultipleSpace_MET04" xfId="229" xr:uid="{00000000-0005-0000-0000-0000AB000000}"/>
    <cellStyle name="_MultipleSpace_Model Vague 07 conso - Dannaud" xfId="1498" xr:uid="{DBAF9908-BC8E-4A2D-8BCA-A634FCAD6167}"/>
    <cellStyle name="_MultipleSpace_Model Vague 07 conso - Dannaud 2" xfId="1499" xr:uid="{ACEEAD00-D571-48F5-B03E-2BA69EE43841}"/>
    <cellStyle name="_MultipleSpace_Model Vague 07 conso - Dannaud 3" xfId="1500" xr:uid="{03B4F00D-8A8D-46E9-906C-E16FCA381C2C}"/>
    <cellStyle name="_MultipleSpace_MTU Aero Engines" xfId="1501" xr:uid="{A2DA861F-ACBE-4CBC-93EC-72D7D75ED24C}"/>
    <cellStyle name="_MultipleSpace_MTU Aero Engines 2" xfId="1502" xr:uid="{FE9ADD4B-DD25-4FD3-B7F7-C3FD779F5810}"/>
    <cellStyle name="_MultipleSpace_MTU Aero Engines 3" xfId="1503" xr:uid="{BC068DB9-29C8-4896-B1D9-791AEFDCBB4C}"/>
    <cellStyle name="_MultipleSpace_MTU Aero EnginesMICHA EVENING6" xfId="1504" xr:uid="{63542D2A-D795-4D31-AB0B-7863EA57A940}"/>
    <cellStyle name="_MultipleSpace_MTU Aero EnginesMICHA EVENING6 2" xfId="1505" xr:uid="{0F811B88-B428-4222-B34E-CDF352497ADF}"/>
    <cellStyle name="_MultipleSpace_MTU Aero EnginesMICHA EVENING6 3" xfId="1506" xr:uid="{B0448BC2-D51D-4FA7-827A-125343B75970}"/>
    <cellStyle name="_MultipleSpace_MTU FX sheet" xfId="1507" xr:uid="{8C4B2474-5560-4C3A-94BE-DA1D0FA9944D}"/>
    <cellStyle name="_MultipleSpace_MTU FX sheet 2" xfId="1508" xr:uid="{8F63E617-0CC3-4203-BC30-2F5F4AA92B4B}"/>
    <cellStyle name="_MultipleSpace_MTU FX sheet 3" xfId="1509" xr:uid="{F9F5EC2E-F83D-4F33-89FC-3A18A122B0C2}"/>
    <cellStyle name="_MultipleSpace_NFS" xfId="230" xr:uid="{00000000-0005-0000-0000-0000AC000000}"/>
    <cellStyle name="_MultipleSpace_output" xfId="1510" xr:uid="{5F411C28-5625-48CD-B0C6-1F8A2A8F62A1}"/>
    <cellStyle name="_MultipleSpace_output 2" xfId="1511" xr:uid="{6291B9B2-25B6-4755-BF91-BB727C3A36AD}"/>
    <cellStyle name="_MultipleSpace_output 3" xfId="1512" xr:uid="{274D249E-C5FF-4D78-8849-C27910A45B72}"/>
    <cellStyle name="_MultipleSpace_Overview3" xfId="231" xr:uid="{00000000-0005-0000-0000-0000AD000000}"/>
    <cellStyle name="_MultipleSpace_phil data" xfId="232" xr:uid="{00000000-0005-0000-0000-0000AE000000}"/>
    <cellStyle name="_MultipleSpace_Price Performance Charts" xfId="233" xr:uid="{00000000-0005-0000-0000-0000AF000000}"/>
    <cellStyle name="_MultipleSpace_PRU" xfId="234" xr:uid="{00000000-0005-0000-0000-0000B0000000}"/>
    <cellStyle name="_MultipleSpace_PRU04" xfId="235" xr:uid="{00000000-0005-0000-0000-0000B1000000}"/>
    <cellStyle name="_MultipleSpace_QP_XXX" xfId="1513" xr:uid="{BEB96A46-9DD1-418C-8D0A-F8A0CCC7E00D}"/>
    <cellStyle name="_MultipleSpace_QP_XXX 2" xfId="1514" xr:uid="{8B43B7D8-E99D-40F3-BCC8-6C59CA49309A}"/>
    <cellStyle name="_MultipleSpace_QP_XXX_Copy of IFRS consol ABB Final Version4" xfId="1515" xr:uid="{30949695-9E4F-468D-A3CA-6EAC8A958ABB}"/>
    <cellStyle name="_MultipleSpace_QP_XXX_Copy of IFRS consol ABB Final Version4 2" xfId="1516" xr:uid="{CFAABB1A-6BDF-44F3-98FF-598A680E0726}"/>
    <cellStyle name="_MultipleSpace_RBOC historicals" xfId="1517" xr:uid="{71A27B3D-F2C4-4ED6-90B9-910770CA1A4C}"/>
    <cellStyle name="_MultipleSpace_RBOC historicals_Copy of IFRS consol ABB Final Version4" xfId="1518" xr:uid="{19B93202-EE32-464C-9F9C-50E571309FE3}"/>
    <cellStyle name="_MultipleSpace_Rheinmetall" xfId="1519" xr:uid="{64324F1C-0D5F-4A52-BEB8-B0E23721D80B}"/>
    <cellStyle name="_MultipleSpace_Rheinmetall_1" xfId="1520" xr:uid="{46993145-1028-4995-8A09-049E49283CD1}"/>
    <cellStyle name="_MultipleSpace_Rheinmetall_1 2" xfId="1521" xr:uid="{29EB9B7E-78D5-49DB-9713-3BE2B7EA191D}"/>
    <cellStyle name="_MultipleSpace_Rheinmetall_1 3" xfId="1522" xr:uid="{418B4FFD-726C-48BB-A989-01B7EABF9789}"/>
    <cellStyle name="_MultipleSpace_RHM" xfId="1523" xr:uid="{5E427677-C2B3-41E5-A402-C163C3AC96AE}"/>
    <cellStyle name="_MultipleSpace_RiskReward" xfId="236" xr:uid="{00000000-0005-0000-0000-0000B2000000}"/>
    <cellStyle name="_MultipleSpace_ROIC" xfId="1524" xr:uid="{D61E5D5E-CEB5-40B9-ADB6-65E0CF3D4123}"/>
    <cellStyle name="_MultipleSpace_ROIC 2" xfId="1525" xr:uid="{D38E2A98-93CB-4B45-979E-C49A5E2EADD1}"/>
    <cellStyle name="_MultipleSpace_ROIC 3" xfId="1526" xr:uid="{53D28811-AA23-414B-9E33-2D270D4F0C6E}"/>
    <cellStyle name="_MultipleSpace_Rolls-Royce" xfId="1527" xr:uid="{BB91F276-9D12-495C-9F3A-88D68F4C8132}"/>
    <cellStyle name="_MultipleSpace_Rolls-Royce Micha" xfId="1528" xr:uid="{160595EF-4BE5-4D3D-AB51-55C36361E758}"/>
    <cellStyle name="_MultipleSpace_Rolls-Royce Micha 2" xfId="1529" xr:uid="{0785D31D-37E3-4505-817B-51E6EB3E06F9}"/>
    <cellStyle name="_MultipleSpace_Rolls-Royce Micha 3" xfId="1530" xr:uid="{DCCFA35A-8FE5-4FE7-A105-DAD0946971AE}"/>
    <cellStyle name="_MultipleSpace_Rolls-RoyceFINAL130206" xfId="1531" xr:uid="{03DF112F-E8D8-49E6-ADEF-174165D961DA}"/>
    <cellStyle name="_MultipleSpace_Rolls-RoyceFINAL130206 2" xfId="1532" xr:uid="{F68CA562-5B35-4B19-AE3E-FE25BAA38C57}"/>
    <cellStyle name="_MultipleSpace_Rolls-RoyceFINAL130206 3" xfId="1533" xr:uid="{582AAF94-7B5A-482C-BDD3-C8811FCFD8D0}"/>
    <cellStyle name="_MultipleSpace_RR FY06" xfId="1534" xr:uid="{9C44A2C7-FE44-4CB2-8FBC-0EC5729DC6DF}"/>
    <cellStyle name="_MultipleSpace_RR FY06 2" xfId="1535" xr:uid="{9AECD4F0-A7F3-4718-A3CC-EBDE22E95C29}"/>
    <cellStyle name="_MultipleSpace_RR FY06 3" xfId="1536" xr:uid="{0F21AB8D-6DAC-442C-AA1D-CC488EA5D5CF}"/>
    <cellStyle name="_MultipleSpace_SaabOLD" xfId="1537" xr:uid="{7C915519-690E-40C0-A7C6-DAE3DF2305A1}"/>
    <cellStyle name="_MultipleSpace_Safran" xfId="1538" xr:uid="{BB0945C3-4073-4CD1-94A6-4CE4D96597E4}"/>
    <cellStyle name="_MultipleSpace_Safran 2" xfId="1539" xr:uid="{6F4612EA-C471-4C7F-8BE1-994C45F57F96}"/>
    <cellStyle name="_MultipleSpace_Safran 3" xfId="1540" xr:uid="{4420E334-E669-4D47-B6DF-1E9CB74E9331}"/>
    <cellStyle name="_MultipleSpace_Saft vs Peers" xfId="1541" xr:uid="{40C3DEE4-025A-464D-A4D0-1A4D165FA211}"/>
    <cellStyle name="_MultipleSpace_Saft vs Peers 2" xfId="1542" xr:uid="{8DCBD320-3171-480C-BD52-50C55FE508DC}"/>
    <cellStyle name="_MultipleSpace_Saft vs Peers 3" xfId="1543" xr:uid="{57A0F565-6E80-483D-82EB-8492C118BABF}"/>
    <cellStyle name="_MultipleSpace_SFG" xfId="237" xr:uid="{00000000-0005-0000-0000-0000B3000000}"/>
    <cellStyle name="_MultipleSpace_Sheet1" xfId="238" xr:uid="{00000000-0005-0000-0000-0000B4000000}"/>
    <cellStyle name="_MultipleSpace_SIFI OLD" xfId="1544" xr:uid="{88BB4C7D-4A64-4A3E-BE03-385124A44A5E}"/>
    <cellStyle name="_MultipleSpace_SIFINEW" xfId="1545" xr:uid="{E1BCBBB8-7766-4CFB-A68C-F3B4EBD26CF1}"/>
    <cellStyle name="_MultipleSpace_SIFINEW 2" xfId="1546" xr:uid="{02C5047F-9D92-4815-801C-CCBF1DBE47D8}"/>
    <cellStyle name="_MultipleSpace_SIFINEW 3" xfId="1547" xr:uid="{462A4033-2B29-4CAF-A024-4F90E668B1F7}"/>
    <cellStyle name="_MultipleSpace_Smiths Group" xfId="1548" xr:uid="{BF823F2F-AEB7-4585-A143-C949C1E102CB}"/>
    <cellStyle name="_MultipleSpace_Smiths Group - OLD" xfId="1549" xr:uid="{24239B66-A2B4-40D9-BC25-560CB664FBE2}"/>
    <cellStyle name="_MultipleSpace_Stock-QTR1 FDS" xfId="239" xr:uid="{00000000-0005-0000-0000-0000B5000000}"/>
    <cellStyle name="_MultipleSpace_T - new" xfId="1550" xr:uid="{FD0BF7D8-7B0E-4CA6-9A37-2955E18BD836}"/>
    <cellStyle name="_MultipleSpace_T - new_Copy of IFRS consol ABB Final Version4" xfId="1551" xr:uid="{8A60A581-45A1-48F4-AC7A-BBF7C1845190}"/>
    <cellStyle name="_MultipleSpace_TMK" xfId="240" xr:uid="{00000000-0005-0000-0000-0000B6000000}"/>
    <cellStyle name="_MultipleSpace_Updated Valuation Changes" xfId="241" xr:uid="{00000000-0005-0000-0000-0000B7000000}"/>
    <cellStyle name="_MultipleSpace_Vague LBO Model - 19 July 2001" xfId="1552" xr:uid="{07036E9C-A91B-478F-9510-9CBD4D66AB5F}"/>
    <cellStyle name="_MultipleSpace_Vague LBO Model - 19 July 2001 2" xfId="1553" xr:uid="{19A40A8A-A428-4BED-9749-F137E7D12C29}"/>
    <cellStyle name="_MultipleSpace_Vague LBO Model - 19 July 2001 3" xfId="1554" xr:uid="{751D6C3B-8660-43EF-AF41-A1F9A46C026C}"/>
    <cellStyle name="_MultipleSpace_Valuation Graphs" xfId="242" xr:uid="{00000000-0005-0000-0000-0000B8000000}"/>
    <cellStyle name="_MultipleSpace_Vinci" xfId="1555" xr:uid="{7098B38B-2584-4B87-8916-08E59A79B045}"/>
    <cellStyle name="_MultipleSpace_WACC" xfId="1556" xr:uid="{58E5C73B-2ABA-4B1D-9637-2606CF7CB162}"/>
    <cellStyle name="_MultipleSpace_WACC 2" xfId="1557" xr:uid="{AEB7FB0A-98C6-4165-AAE3-D5C3FDCBA8CD}"/>
    <cellStyle name="_MultipleSpace_WACC 3" xfId="1558" xr:uid="{281E52A5-DF5D-474E-A402-C716FA0F8111}"/>
    <cellStyle name="_MultipleSpace_WACC Analysis" xfId="1559" xr:uid="{9963D148-04FC-4AC7-8CD0-87391D2A1187}"/>
    <cellStyle name="_MultipleSpace_WACC Analysis 2" xfId="1560" xr:uid="{EEB44B82-1ECF-48D6-AE13-59966154F5E4}"/>
    <cellStyle name="_MultipleSpace_WACC Analysis 3" xfId="1561" xr:uid="{AECBFFD6-C072-4BF9-802D-A301D653075B}"/>
    <cellStyle name="_MultipleSpace_xratio - historical mkt val" xfId="243" xr:uid="{00000000-0005-0000-0000-0000B9000000}"/>
    <cellStyle name="_NOK_now" xfId="1562" xr:uid="{B93BCA96-C93C-46EE-A645-73BA3FB09E6D}"/>
    <cellStyle name="_Percent" xfId="244" xr:uid="{00000000-0005-0000-0000-0000BA000000}"/>
    <cellStyle name="_Percent 2" xfId="1563" xr:uid="{7B08E69E-AAD8-4C14-8983-72672720E373}"/>
    <cellStyle name="_Percent 3" xfId="1564" xr:uid="{2752DB67-9BC2-4BEA-BAC5-8DBA25DE8CA5}"/>
    <cellStyle name="_Percent_05 CSC_Picabia_02042002" xfId="1565" xr:uid="{CFB73BE2-FF7A-4319-8C92-E58D2B648B23}"/>
    <cellStyle name="_Percent_05 CSC_Picabia_02042002 2" xfId="1566" xr:uid="{B382EE45-CCA5-4026-B2B5-73F9061E560E}"/>
    <cellStyle name="_Percent_05 CSC_Picabia_02042002 3" xfId="1567" xr:uid="{4ED241F0-BDAF-414A-96E6-58E8EB1B5852}"/>
    <cellStyle name="_Percent_Aero DCF" xfId="1568" xr:uid="{15EAD981-5346-4C08-B051-AC30045B1954}"/>
    <cellStyle name="_Percent_Aero DCF 2" xfId="1569" xr:uid="{8C4D6AD4-9FFD-4A1F-99CF-490A21B1CDB3}"/>
    <cellStyle name="_Percent_Aero DCF 3" xfId="1570" xr:uid="{5783C6D5-52D6-4E8F-8AC2-B211FDCCEF88}"/>
    <cellStyle name="_Percent_ASF" xfId="1571" xr:uid="{DBF7992D-5CCF-40B8-8955-C3497A5239E4}"/>
    <cellStyle name="_Percent_ASF 2" xfId="1572" xr:uid="{9355460A-5AEA-4FE0-B858-F639C7252602}"/>
    <cellStyle name="_Percent_ASF 3" xfId="1573" xr:uid="{D62621F2-B0FB-4C93-8E09-442C8F86A0EC}"/>
    <cellStyle name="_Percent_ASF1" xfId="1574" xr:uid="{E2529B2C-6C87-4876-841A-7A9710BFFE04}"/>
    <cellStyle name="_Percent_ASF1 2" xfId="1575" xr:uid="{4A2C0B25-4B90-4BB2-8A35-A1D79CEB5191}"/>
    <cellStyle name="_Percent_ASF1 3" xfId="1576" xr:uid="{C6DAD915-C996-48E6-BC4D-266775423CF7}"/>
    <cellStyle name="_Percent_Assa CF" xfId="1577" xr:uid="{08ACF018-73D0-4FCC-A3F6-9DA27A19688D}"/>
    <cellStyle name="_Percent_Assa CF 2" xfId="1578" xr:uid="{FFC9ED05-C9A9-4AC3-9CEA-EA94480C6FF1}"/>
    <cellStyle name="_Percent_Assa CF 3" xfId="1579" xr:uid="{0704FCDF-7956-4CCA-85B9-59F770393634}"/>
    <cellStyle name="_Percent_Assa Reference" xfId="1580" xr:uid="{38BFF42C-E739-4E66-950F-B6EDBCBD5134}"/>
    <cellStyle name="_Percent_Assa Reference 2" xfId="1581" xr:uid="{F7E358EB-2AC6-4967-8E1C-17AB0BE1AEB5}"/>
    <cellStyle name="_Percent_Assa Reference 3" xfId="1582" xr:uid="{430E5867-5793-4FD2-8864-C24DCF678858}"/>
    <cellStyle name="_Percent_Assa vs Competition" xfId="1583" xr:uid="{459E77BF-5FCC-4AEA-8F5D-1F4F9284DABA}"/>
    <cellStyle name="_Percent_Assa vs Competition 2" xfId="1584" xr:uid="{1C0AC1B5-9ECA-415A-8F1E-A28FE1A57899}"/>
    <cellStyle name="_Percent_Assa vs Competition 3" xfId="1585" xr:uid="{2F31FA0C-E079-4C9A-9CA2-7BB2E8CDDA01}"/>
    <cellStyle name="_Percent_Atlas Copco CF" xfId="1586" xr:uid="{A9117E2B-BEAF-4797-AB10-B70CBEFF1305}"/>
    <cellStyle name="_Percent_Atlas Copco CF 2" xfId="1587" xr:uid="{4D976C00-A484-4D68-9F25-CB857D5EA74F}"/>
    <cellStyle name="_Percent_AVP" xfId="1588" xr:uid="{88ACB9C5-7899-489F-9FF6-0D64506DEF86}"/>
    <cellStyle name="_Percent_AVP 2" xfId="1589" xr:uid="{F2EAC685-904A-4CE8-BD27-EF593106D659}"/>
    <cellStyle name="_Percent_AVP 3" xfId="1590" xr:uid="{B4351995-1624-4885-A23F-E1A1F1C3800F}"/>
    <cellStyle name="_Percent_BAE_model_new" xfId="1591" xr:uid="{A72276C4-A7F2-44A1-98E6-45B248971590}"/>
    <cellStyle name="_Percent_BAE_model_new 2" xfId="1592" xr:uid="{7C2D3AAB-3FD4-4540-852F-4832E565A479}"/>
    <cellStyle name="_Percent_BAE_model_new 3" xfId="1593" xr:uid="{67C8A044-FCE9-4FA4-B2A5-EF8F3F1E1439}"/>
    <cellStyle name="_Percent_BHI" xfId="1594" xr:uid="{365AFA47-62EC-4793-AA84-84DC45C4C190}"/>
    <cellStyle name="_Percent_BHI_Copy of IFRS consol ABB Final Version4" xfId="1595" xr:uid="{CBEE9303-4EB9-4170-99EE-F428FE754E5B}"/>
    <cellStyle name="_Percent_Book1" xfId="1596" xr:uid="{94417089-643B-433C-B968-6710CF0238EF}"/>
    <cellStyle name="_Percent_Book1 2" xfId="1597" xr:uid="{20C4367B-8321-4B41-BA9A-D5EB2F11232E}"/>
    <cellStyle name="_Percent_Book1 3" xfId="1598" xr:uid="{D7D1C0C5-D70F-4F2D-BB11-B865DC832334}"/>
    <cellStyle name="_Percent_Comdot - gStyle Excel Slides" xfId="1599" xr:uid="{ADA3BBB0-CDA2-41F2-8F34-7E73EBF97697}"/>
    <cellStyle name="_Percent_Comdot - gStyle Excel Slides 2" xfId="1600" xr:uid="{32DF1BC5-1327-45FF-AE10-2B2C9C5C5ACD}"/>
    <cellStyle name="_Percent_Comdot - gStyle Excel Slides 3" xfId="1601" xr:uid="{1822DC61-39C4-4419-9EED-A19C6FCE7D86}"/>
    <cellStyle name="_Percent_Comdot LBO Short Form - v3" xfId="1602" xr:uid="{222673DE-39B6-4C0F-8C92-49F74B0B2156}"/>
    <cellStyle name="_Percent_Comdot LBO Short Form - v3 2" xfId="1603" xr:uid="{DD3A9D2B-0B9F-427C-9C60-2EA75C710F13}"/>
    <cellStyle name="_Percent_Comdot LBO Short Form - v3 3" xfId="1604" xr:uid="{98AFA6A5-56D1-4E77-B761-FDFD770DBBD0}"/>
    <cellStyle name="_Percent_contribution_analysis" xfId="1605" xr:uid="{0F02373B-7FD3-4255-A6BA-F6B1282D9879}"/>
    <cellStyle name="_Percent_Copy of IFRS consol ABB Final Version4" xfId="1606" xr:uid="{C27F5822-C4C1-4408-A5D6-5C1B515C57BB}"/>
    <cellStyle name="_Percent_Copy of IFRS consol ABB Final Version4 2" xfId="1607" xr:uid="{B62A3D68-8D9E-4D6E-B8BB-4FF95A74E5FC}"/>
    <cellStyle name="_Percent_Copy of IFRS consol ABB Final Version4_1" xfId="1608" xr:uid="{58A8A047-03CF-4B4F-B18D-0A879D17CC13}"/>
    <cellStyle name="_Percent_Copy of IFRS consol ABB Final Version4_1 2" xfId="1609" xr:uid="{B9925B3A-4325-43B2-B97E-F239E2FC3D21}"/>
    <cellStyle name="_Percent_Copy of Spirent_now" xfId="1610" xr:uid="{AA7E7247-1E5E-47DE-95E1-C3BA5E32A36F}"/>
    <cellStyle name="_Percent_Copy of Spirent_now 2" xfId="1611" xr:uid="{A9879DD4-BF2E-4E68-BA66-31AB36F45441}"/>
    <cellStyle name="_Percent_Copy of Spirent_now 3" xfId="1612" xr:uid="{F43DDDCC-6942-4C5B-BB4D-2BF2DCE69767}"/>
    <cellStyle name="_Percent_CROCI" xfId="1613" xr:uid="{AF2A0431-B8BE-4241-A226-34F1AB4A9377}"/>
    <cellStyle name="_Percent_CROCI 2" xfId="1614" xr:uid="{4430DD87-EB46-4055-82A4-DEB980FD57AD}"/>
    <cellStyle name="_Percent_DCF - July 2, 2001" xfId="1615" xr:uid="{7D924F8D-7C84-4090-AA64-2959CE855DF6}"/>
    <cellStyle name="_Percent_DCF - July 2, 2001 2" xfId="1616" xr:uid="{CB7EA11A-2138-46F0-BB95-D28305964EDC}"/>
    <cellStyle name="_Percent_DCF - July 2, 2001 3" xfId="1617" xr:uid="{ACBAB9B3-A931-4894-B399-D85F1BDDECA2}"/>
    <cellStyle name="_Percent_DCF Alexander Forbes" xfId="245" xr:uid="{00000000-0005-0000-0000-0000BB000000}"/>
    <cellStyle name="_Percent_Electrolux CF" xfId="1618" xr:uid="{3BDE0BEF-05F3-467F-992D-052A2D98A25F}"/>
    <cellStyle name="_Percent_Electrolux CF 2" xfId="1619" xr:uid="{AF3E7786-7DB9-410A-964E-D99F372DBD59}"/>
    <cellStyle name="_Percent_Eng" xfId="1620" xr:uid="{900A55B2-2D50-4624-965F-5FB878300B19}"/>
    <cellStyle name="_Percent_Eng 2" xfId="1621" xr:uid="{820CA58B-E802-4B03-97DE-0CD8B0FBBC7A}"/>
    <cellStyle name="_Percent_Eng 3" xfId="1622" xr:uid="{BD8EDB27-8D4A-4D72-9BA7-60DEAA844A8A}"/>
    <cellStyle name="_Percent_FMBI MBHI Graphs" xfId="246" xr:uid="{00000000-0005-0000-0000-0000BC000000}"/>
    <cellStyle name="_Percent_FMBI MBHI Graphs 07102001" xfId="247" xr:uid="{00000000-0005-0000-0000-0000BD000000}"/>
    <cellStyle name="_Percent_FMBI MBHI Graphs_7601" xfId="248" xr:uid="{00000000-0005-0000-0000-0000BE000000}"/>
    <cellStyle name="_Percent_Global ROIC 2007" xfId="1623" xr:uid="{0C293EB3-25C8-4386-8068-32F28889F944}"/>
    <cellStyle name="_Percent_Global ROIC 2007 2" xfId="1624" xr:uid="{281CA464-D784-4DE0-8D2B-15B024F0F1F6}"/>
    <cellStyle name="_Percent_Global ROIC 2007_Copy of IFRS consol ABB Final Version4" xfId="1625" xr:uid="{642B251C-67DA-4FDE-A04A-CA3A37681530}"/>
    <cellStyle name="_Percent_Global ROIC 2007_Copy of IFRS consol ABB Final Version4 2" xfId="1626" xr:uid="{C3367B7A-0B33-4E2E-845C-C5C1B415CDAF}"/>
    <cellStyle name="_Percent_LBO Model Zannier - 04-09-01" xfId="1627" xr:uid="{5EB56C3F-C3CB-4270-AFB2-2F549EF0DC7E}"/>
    <cellStyle name="_Percent_LBO Model Zannier - 04-09-01 2" xfId="1628" xr:uid="{23E21E75-7AF4-49EB-9FD5-94037A94555C}"/>
    <cellStyle name="_Percent_LBO Model Zannier - 04-09-01 3" xfId="1629" xr:uid="{0DA4C7F2-F7BA-49E8-B3E0-68BA5892A93A}"/>
    <cellStyle name="_Percent_Model Vague 07 conso - Dannaud" xfId="1630" xr:uid="{B695873E-D6E0-42DE-8F4E-F9993CBDF478}"/>
    <cellStyle name="_Percent_Model Vague 07 conso - Dannaud 2" xfId="1631" xr:uid="{6E47CAED-E8FB-4781-B044-F324902467FF}"/>
    <cellStyle name="_Percent_Model Vague 07 conso - Dannaud 3" xfId="1632" xr:uid="{6C884ABF-49C7-4FCA-B068-6A5AB06B4467}"/>
    <cellStyle name="_Percent_MTU Aero Engines" xfId="1633" xr:uid="{04F3DD34-39F1-4E44-A6A3-7D09A47886CE}"/>
    <cellStyle name="_Percent_MTU Aero Engines 2" xfId="1634" xr:uid="{1D6FBFF9-2313-480A-88BE-37B2A6EC07FC}"/>
    <cellStyle name="_Percent_MTU Aero Engines 3" xfId="1635" xr:uid="{8B45158B-8403-44D1-B69B-C57D4EDD6B0D}"/>
    <cellStyle name="_Percent_MTU Aero EnginesMICHA EVENING6" xfId="1636" xr:uid="{F0498009-1B09-4351-B6EA-AC0BD84F373A}"/>
    <cellStyle name="_Percent_MTU Aero EnginesMICHA EVENING6 2" xfId="1637" xr:uid="{B066B859-50D1-412E-B6DC-55F756F8DAFF}"/>
    <cellStyle name="_Percent_MTU Aero EnginesMICHA EVENING6 3" xfId="1638" xr:uid="{A1CC1CA1-99CA-4549-B61A-AF4FF5A4921A}"/>
    <cellStyle name="_Percent_MTU FX sheet" xfId="1639" xr:uid="{8E634AE4-D3D2-43CA-82E0-D0FB3FC41DAD}"/>
    <cellStyle name="_Percent_MTU FX sheet 2" xfId="1640" xr:uid="{3C9102A4-66E0-4540-BDAC-AE27CFD82254}"/>
    <cellStyle name="_Percent_MTU FX sheet 3" xfId="1641" xr:uid="{C73C13D9-CD2A-4C85-909E-4B37A05B6E37}"/>
    <cellStyle name="_Percent_QP_XXX" xfId="1642" xr:uid="{A372E7D1-2928-4D87-A64A-E0DA7C589575}"/>
    <cellStyle name="_Percent_QP_XXX 2" xfId="1643" xr:uid="{270659B1-CDD9-4027-839D-871A610F7021}"/>
    <cellStyle name="_Percent_QP_XXX_Copy of IFRS consol ABB Final Version4" xfId="1644" xr:uid="{3FD9E5D2-08BD-4879-9E23-3F161E1ECD9D}"/>
    <cellStyle name="_Percent_QP_XXX_Copy of IFRS consol ABB Final Version4 2" xfId="1645" xr:uid="{E8A9C08F-E59E-49CD-A3DC-FE9C165A7C57}"/>
    <cellStyle name="_Percent_Rheinmetall" xfId="1646" xr:uid="{74BA0E42-1320-405F-A0AD-2C10B87A80F6}"/>
    <cellStyle name="_Percent_Rheinmetall 2" xfId="1647" xr:uid="{0ED9F0A8-5737-4444-838F-B897E6DA0590}"/>
    <cellStyle name="_Percent_Rheinmetall 3" xfId="1648" xr:uid="{FAFCDA47-7FDE-4569-81F3-402EBFA7EB3D}"/>
    <cellStyle name="_Percent_ROIC" xfId="1649" xr:uid="{E003CE93-9C59-402D-8981-6D8B04FFD4DA}"/>
    <cellStyle name="_Percent_ROIC 2" xfId="1650" xr:uid="{D61F224C-5ED3-43C6-83CA-81C6A8DC413D}"/>
    <cellStyle name="_Percent_ROIC 3" xfId="1651" xr:uid="{8D32D70D-B6C5-4DA3-8A48-CCFFD10DBF85}"/>
    <cellStyle name="_Percent_Rolls-Royce" xfId="1652" xr:uid="{DA9975C6-AD13-45EB-B17D-EE23A5C5301F}"/>
    <cellStyle name="_Percent_Rolls-Royce 2" xfId="1653" xr:uid="{3D5C511D-5B60-40DF-8742-1E85A123A720}"/>
    <cellStyle name="_Percent_Rolls-Royce 3" xfId="1654" xr:uid="{1A5D864B-1A69-4847-B199-D7FC347F0649}"/>
    <cellStyle name="_Percent_Rolls-Royce Micha" xfId="1655" xr:uid="{E4A4B9C0-F3DC-4B9C-B574-CA1F8E7E2B40}"/>
    <cellStyle name="_Percent_Rolls-Royce Micha 2" xfId="1656" xr:uid="{799EBD5D-776A-42B5-84A6-9FB3A002025F}"/>
    <cellStyle name="_Percent_Rolls-Royce Micha 3" xfId="1657" xr:uid="{1BE992FC-23F0-49EE-9174-E4A7D05046F3}"/>
    <cellStyle name="_Percent_Rolls-RoyceFINAL130206" xfId="1658" xr:uid="{F4867B72-3438-40A2-ABCD-3D33F2A2D291}"/>
    <cellStyle name="_Percent_Rolls-RoyceFINAL130206 2" xfId="1659" xr:uid="{F0E07946-01AA-4A4F-924B-F2072A20EE74}"/>
    <cellStyle name="_Percent_Rolls-RoyceFINAL130206 3" xfId="1660" xr:uid="{232422FD-8C50-46EF-BE27-76AC6FAABC9A}"/>
    <cellStyle name="_Percent_RR FY06" xfId="1661" xr:uid="{D76EDE11-F80E-4033-B9BD-5AF65B428AC7}"/>
    <cellStyle name="_Percent_RR FY06 2" xfId="1662" xr:uid="{D2382E01-6409-4B59-8493-768E5B373D07}"/>
    <cellStyle name="_Percent_RR FY06 3" xfId="1663" xr:uid="{1A52A58D-7302-4C6E-BDDD-17146DC5E1FD}"/>
    <cellStyle name="_Percent_Safran" xfId="1664" xr:uid="{3872A1CA-1D1D-4C00-943F-BEC3AC3C3D0D}"/>
    <cellStyle name="_Percent_Safran 2" xfId="1665" xr:uid="{7D59C538-CD8B-492B-8F44-B4CD87637B56}"/>
    <cellStyle name="_Percent_Safran 3" xfId="1666" xr:uid="{A055086D-A57C-4777-8E42-9ACCB16818CB}"/>
    <cellStyle name="_Percent_Saft vs Peers" xfId="1667" xr:uid="{D565908A-9780-422B-B0AF-49EA245FF02F}"/>
    <cellStyle name="_Percent_Saft vs Peers 2" xfId="1668" xr:uid="{3EAB05B2-5AB5-43FE-8C44-670517CA716A}"/>
    <cellStyle name="_Percent_Saft vs Peers 3" xfId="1669" xr:uid="{F92D72BE-2360-4B56-A39F-BB718581B69B}"/>
    <cellStyle name="_Percent_WACC" xfId="1670" xr:uid="{325EA97C-C82B-4FB9-B535-F549D7D0AD0A}"/>
    <cellStyle name="_Percent_WACC 2" xfId="1671" xr:uid="{01520B38-8582-4246-B5D6-A929128A54DD}"/>
    <cellStyle name="_Percent_WACC 3" xfId="1672" xr:uid="{F99A1733-EDB4-4662-B537-6C5B3186858E}"/>
    <cellStyle name="_PercentSpace" xfId="249" xr:uid="{00000000-0005-0000-0000-0000BF000000}"/>
    <cellStyle name="_PercentSpace 2" xfId="1673" xr:uid="{F84BAB0A-0B47-4C42-A9F1-352347F15A50}"/>
    <cellStyle name="_PercentSpace 3" xfId="1674" xr:uid="{D0E09C55-9CE6-4EBD-91F1-7B911F51354A}"/>
    <cellStyle name="_PercentSpace_01 adj for merger plan" xfId="250" xr:uid="{00000000-0005-0000-0000-0000C0000000}"/>
    <cellStyle name="_PercentSpace_Atlas Copco CF" xfId="1675" xr:uid="{C906BD3A-B72C-42AF-AA26-8F3E5CDBCD2A}"/>
    <cellStyle name="_PercentSpace_Atlas Copco CF 2" xfId="1676" xr:uid="{6C64171E-0D78-4BA4-AA09-13EF429901F3}"/>
    <cellStyle name="_PercentSpace_AVP" xfId="1677" xr:uid="{3955A046-521F-4469-AC4B-6700928FC842}"/>
    <cellStyle name="_PercentSpace_AVP 2" xfId="1678" xr:uid="{793064A1-D8D1-4B95-94C4-45AED31AAEF8}"/>
    <cellStyle name="_PercentSpace_AVP 3" xfId="1679" xr:uid="{3EAF8768-C936-455C-9056-448EE3F64755}"/>
    <cellStyle name="_PercentSpace_BHI" xfId="1680" xr:uid="{705390BC-063C-4852-8A49-1A5E838C5D37}"/>
    <cellStyle name="_PercentSpace_BHI_Copy of IFRS consol ABB Final Version4" xfId="1681" xr:uid="{C01EED3D-593D-446C-A4BE-BCF9A422D20A}"/>
    <cellStyle name="_PercentSpace_Book1" xfId="1682" xr:uid="{CAB052C0-648B-44EB-91FA-D08DF6A3E561}"/>
    <cellStyle name="_PercentSpace_Book1 2" xfId="1683" xr:uid="{A1A44A66-5E21-46D1-8DCB-0169D5446EB0}"/>
    <cellStyle name="_PercentSpace_Book1 3" xfId="1684" xr:uid="{DBB4D82F-32BF-4F08-8371-F4EAE14C7E87}"/>
    <cellStyle name="_PercentSpace_Comdot - gStyle Excel Slides" xfId="1685" xr:uid="{291E7AC5-BB22-4839-BE7E-5CAA76F26029}"/>
    <cellStyle name="_PercentSpace_Comdot - gStyle Excel Slides 2" xfId="1686" xr:uid="{B3B811A9-F380-4D43-9583-307C5ED9440C}"/>
    <cellStyle name="_PercentSpace_Comdot - gStyle Excel Slides 3" xfId="1687" xr:uid="{45CC1373-49C8-43D2-937A-10AC227A1286}"/>
    <cellStyle name="_PercentSpace_Comdot LBO Short Form - v3" xfId="1688" xr:uid="{F702A478-8686-4B4B-9762-861DFBB448EB}"/>
    <cellStyle name="_PercentSpace_Comdot LBO Short Form - v3 2" xfId="1689" xr:uid="{0D8A0CD3-DADD-4524-A3DC-2F3E941F8A4E}"/>
    <cellStyle name="_PercentSpace_Comdot LBO Short Form - v3 3" xfId="1690" xr:uid="{811D574E-AD7D-47C6-A05B-EFD5ABB9AD00}"/>
    <cellStyle name="_PercentSpace_contribution_analysis" xfId="1691" xr:uid="{A8DB4578-D342-42D3-AF5B-A4264D1E092A}"/>
    <cellStyle name="_PercentSpace_Copy of IFRS consol ABB Final Version4" xfId="1692" xr:uid="{32459747-4C28-473C-AC48-239B90AF4D9D}"/>
    <cellStyle name="_PercentSpace_Copy of IFRS consol ABB Final Version4 2" xfId="1693" xr:uid="{B1B5B580-5078-479F-8727-4C259DD5BC8B}"/>
    <cellStyle name="_PercentSpace_Copy of IFRS consol ABB Final Version4_1" xfId="1694" xr:uid="{148F093E-D40D-480F-8E4A-3F5C810B982A}"/>
    <cellStyle name="_PercentSpace_Copy of IFRS consol ABB Final Version4_1 2" xfId="1695" xr:uid="{5C6E50B0-366C-45D8-8B42-66190A602420}"/>
    <cellStyle name="_PercentSpace_CROCI" xfId="1696" xr:uid="{9B927029-0829-46AE-A749-A8C9C02E3EA4}"/>
    <cellStyle name="_PercentSpace_CROCI 2" xfId="1697" xr:uid="{1CFFA52F-431A-4216-B94E-2BBDE9548361}"/>
    <cellStyle name="_PercentSpace_DCF - July 2, 2001" xfId="1698" xr:uid="{C93C44EF-B7B1-4593-87D2-F02AEBD77FB5}"/>
    <cellStyle name="_PercentSpace_DCF - July 2, 2001 2" xfId="1699" xr:uid="{78F5B8CF-D164-48EB-BFB8-631C2F28D1A8}"/>
    <cellStyle name="_PercentSpace_DCF - July 2, 2001 3" xfId="1700" xr:uid="{393984E3-C2CF-43C3-99D1-95289E68311F}"/>
    <cellStyle name="_PercentSpace_DCF Alexander Forbes" xfId="251" xr:uid="{00000000-0005-0000-0000-0000C1000000}"/>
    <cellStyle name="_PercentSpace_Electrolux CF" xfId="1701" xr:uid="{823BC523-8503-40F8-87AC-00C228644621}"/>
    <cellStyle name="_PercentSpace_Electrolux CF 2" xfId="1702" xr:uid="{64A9A0A6-58D2-4E0D-B84D-0FB5A85D45A3}"/>
    <cellStyle name="_PercentSpace_FMBI MBHI Graphs" xfId="252" xr:uid="{00000000-0005-0000-0000-0000C2000000}"/>
    <cellStyle name="_PercentSpace_FMBI MBHI Graphs 07102001" xfId="253" xr:uid="{00000000-0005-0000-0000-0000C3000000}"/>
    <cellStyle name="_PercentSpace_FMBI MBHI Graphs_7601" xfId="254" xr:uid="{00000000-0005-0000-0000-0000C4000000}"/>
    <cellStyle name="_PercentSpace_LBO Model Zannier - 04-09-01" xfId="1703" xr:uid="{DD08E314-6AC2-4BD5-816C-41725BA631C6}"/>
    <cellStyle name="_PercentSpace_LBO Model Zannier - 04-09-01 2" xfId="1704" xr:uid="{F1D1439F-C6C5-47BF-A1D5-B635FBA7215A}"/>
    <cellStyle name="_PercentSpace_LBO Model Zannier - 04-09-01 3" xfId="1705" xr:uid="{2671A641-F7D3-4F77-8EDD-C0873B85A1E4}"/>
    <cellStyle name="_PercentSpace_Model Vague 07 conso - Dannaud" xfId="1706" xr:uid="{81B359FB-C2F8-4463-811B-1D0096DE1DCF}"/>
    <cellStyle name="_PercentSpace_Model Vague 07 conso - Dannaud 2" xfId="1707" xr:uid="{BB55D41D-6CE0-4296-94A7-529266616876}"/>
    <cellStyle name="_PercentSpace_Model Vague 07 conso - Dannaud 3" xfId="1708" xr:uid="{94FF3DE8-D8D4-4642-AD64-94E99A812411}"/>
    <cellStyle name="_PercentSpace_QP_XXX" xfId="1709" xr:uid="{12BA26A7-FBF2-4B3F-8D75-4A3D71820456}"/>
    <cellStyle name="_PercentSpace_QP_XXX 2" xfId="1710" xr:uid="{09495AF2-36E5-4FC8-832F-3C09E929EF49}"/>
    <cellStyle name="_PercentSpace_QP_XXX_Copy of IFRS consol ABB Final Version4" xfId="1711" xr:uid="{AAE30BD9-B7FD-48C8-B405-9D5D9F741C8F}"/>
    <cellStyle name="_PercentSpace_QP_XXX_Copy of IFRS consol ABB Final Version4 2" xfId="1712" xr:uid="{8A6ECEDC-FCC4-49E8-AA73-032839012BEF}"/>
    <cellStyle name="_PercentSpace_WACC" xfId="1713" xr:uid="{78FA64AD-0E4A-464F-AB64-C072664479EF}"/>
    <cellStyle name="_PercentSpace_WACC 2" xfId="1714" xr:uid="{D573B744-B01B-4393-A796-815AABB49D49}"/>
    <cellStyle name="_PercentSpace_WACC 3" xfId="1715" xr:uid="{55D2E887-26A8-4B84-9E73-5887E1074F94}"/>
    <cellStyle name="_Rheinmetall" xfId="1716" xr:uid="{1E10F7B3-97AF-4346-81BA-23612B31D07F}"/>
    <cellStyle name="_Rheinmetall 2" xfId="1717" xr:uid="{34345F29-D5FA-43A8-8204-6A204DFAD0E3}"/>
    <cellStyle name="_Rheinmetall 3" xfId="1718" xr:uid="{37D0A2F4-327E-4CAF-9440-49B14A1F1EE5}"/>
    <cellStyle name="_Rolls NOW" xfId="1719" xr:uid="{1CDA3387-DA7B-4441-AE6E-82949CC30B85}"/>
    <cellStyle name="_Rolls-Royce" xfId="1720" xr:uid="{E2F4DCE0-BDDF-4431-AB2E-8F9BECCCEF83}"/>
    <cellStyle name="_Rolls-Royce Micha" xfId="1721" xr:uid="{1C92FDE1-5580-4E70-8873-2B881E909D5D}"/>
    <cellStyle name="_Rolls-Royce Micha 2" xfId="1722" xr:uid="{EA61373A-1F9D-452C-8040-EF01E412980E}"/>
    <cellStyle name="_Rolls-Royce Micha 3" xfId="1723" xr:uid="{0C526CAD-1B19-4949-A022-B03734E2891C}"/>
    <cellStyle name="_Rolls-Royce120208" xfId="1724" xr:uid="{F1B3135D-27CF-4CAF-A4FF-CE11A7B63684}"/>
    <cellStyle name="_Rolls-RoyceFINAL130206" xfId="1725" xr:uid="{4BA20476-51C1-4ED7-A178-B2E980A6944C}"/>
    <cellStyle name="_RR FY06" xfId="1726" xr:uid="{0FF3D3E2-95F4-46EF-96C6-EBFAE0A04E4A}"/>
    <cellStyle name="_Safran" xfId="1727" xr:uid="{8D2335A6-8DB7-4FC0-8FB5-986EA7186C6A}"/>
    <cellStyle name="_Safran 2" xfId="1728" xr:uid="{6A75D844-B7AE-4C0C-A828-A7904D5BAB51}"/>
    <cellStyle name="_Safran 3" xfId="1729" xr:uid="{91704147-1008-47DC-8ED1-82E32A88AFCF}"/>
    <cellStyle name="_SubHeading" xfId="255" xr:uid="{00000000-0005-0000-0000-0000C5000000}"/>
    <cellStyle name="_SubHeading_Ability to Pay Analysis" xfId="256" xr:uid="{00000000-0005-0000-0000-0000C6000000}"/>
    <cellStyle name="_SubHeading_Alstom WIP Bhavna" xfId="1730" xr:uid="{97366162-D356-4F2D-B408-FA4F33AAC2C7}"/>
    <cellStyle name="_SubHeading_Alstom WIP Bhavna 2" xfId="1731" xr:uid="{6CBCB686-C22C-4C6C-8CF7-FA94329FFF3F}"/>
    <cellStyle name="_SubHeading_ASF interim sheet" xfId="1732" xr:uid="{8726CF6C-53F7-4946-9E94-AE728C95291E}"/>
    <cellStyle name="_SubHeading_ASF interim sheet 2" xfId="1733" xr:uid="{EC194C7F-38D8-457C-B1B5-7042CA1449E5}"/>
    <cellStyle name="_SubHeading_ASF interim sheet 3" xfId="1734" xr:uid="{288512E2-DFA6-4AC5-BCFB-894BB8D4DC15}"/>
    <cellStyle name="_SubHeading_Assa CF" xfId="1735" xr:uid="{9AF19240-DD85-4EA7-9A97-0EBC5999134F}"/>
    <cellStyle name="_SubHeading_Assa CF 2" xfId="1736" xr:uid="{B8DBF74F-F187-4DD5-8C6A-2FE3B3C58BAE}"/>
    <cellStyle name="_SubHeading_Assa CF 3" xfId="1737" xr:uid="{3DF089CA-4A0B-4BA5-AC31-DCF8267665D1}"/>
    <cellStyle name="_SubHeading_Assa Reference" xfId="1738" xr:uid="{169D4674-C9DB-45D1-A19C-3B5C7DB90439}"/>
    <cellStyle name="_SubHeading_Assa Reference 2" xfId="1739" xr:uid="{2331E325-62C3-491D-8804-C8F6BF31BA34}"/>
    <cellStyle name="_SubHeading_Assa Reference 3" xfId="1740" xr:uid="{059D66DC-9E0B-45C3-87C5-735696A82EB8}"/>
    <cellStyle name="_SubHeading_BAE Systems" xfId="1741" xr:uid="{706127FE-C2A9-4993-9055-9657954AEF70}"/>
    <cellStyle name="_SubHeading_BAE Systems 2" xfId="1742" xr:uid="{A207B687-EA97-4C78-9EBE-FCAD94CC33DB}"/>
    <cellStyle name="_SubHeading_BAE Systems 3" xfId="1743" xr:uid="{6DEFA1C2-78F7-4E36-9D71-5EFCABB3B4BE}"/>
    <cellStyle name="_SubHeading_BankUnited Model" xfId="257" xr:uid="{00000000-0005-0000-0000-0000C7000000}"/>
    <cellStyle name="_SubHeading_BLS" xfId="1744" xr:uid="{4A8F4358-5321-4477-B2F0-4B6C22BA82AF}"/>
    <cellStyle name="_SubHeading_bls roic" xfId="1745" xr:uid="{E7A637F1-ACA5-4559-AAB8-8843E5F01677}"/>
    <cellStyle name="_SubHeading_bls roic 2" xfId="1746" xr:uid="{25D92EB0-7D53-4366-8C13-7D14614C6778}"/>
    <cellStyle name="_SubHeading_Book9" xfId="1747" xr:uid="{DBE19CAE-C3A8-4DCB-881C-97A6DEAA7E56}"/>
    <cellStyle name="_SubHeading_Broadband Comps" xfId="1748" xr:uid="{F1676796-8FB9-4CEB-96C0-A97ECC321D1D}"/>
    <cellStyle name="_SubHeading_capital expenditures 6-18-02" xfId="1749" xr:uid="{E92017C6-5CF8-498C-8797-C3A85F0727F6}"/>
    <cellStyle name="_SubHeading_capital expenditures 6-18-02 2" xfId="1750" xr:uid="{E5592853-3D2B-433D-907C-B7888F40308A}"/>
    <cellStyle name="_SubHeading_Civil" xfId="1751" xr:uid="{7BBFD914-0D92-4CD9-860E-D70375AFF00A}"/>
    <cellStyle name="_SubHeading_Civil 2" xfId="1752" xr:uid="{AF6BEFAC-794D-429E-995C-9F7F16D3E054}"/>
    <cellStyle name="_SubHeading_Civil 3" xfId="1753" xr:uid="{EE01C6A1-DB15-4314-B5A7-379557CEDA94}"/>
    <cellStyle name="_SubHeading_Copy of IFRS consol ABB Final Version4" xfId="1754" xr:uid="{30D3A94D-7CF9-47E2-9C0B-81035F2AF8DC}"/>
    <cellStyle name="_SubHeading_CROCI" xfId="1755" xr:uid="{4574D616-96CC-4743-B904-33995B40F738}"/>
    <cellStyle name="_SubHeading_CROCI 2" xfId="1756" xr:uid="{3940AD5E-33A0-4B30-904A-8C594AD8940C}"/>
    <cellStyle name="_SubHeading_CSC_Picabia_29062001" xfId="1757" xr:uid="{7E6BFCCF-BABA-49B9-A858-8238070372D1}"/>
    <cellStyle name="_SubHeading_CSC_Picabia_29062001 2" xfId="1758" xr:uid="{752F9129-32CE-4D7A-A3E1-B2D7E373F78C}"/>
    <cellStyle name="_SubHeading_CSC_Picabia_29062001 3" xfId="1759" xr:uid="{2F20A1C7-60D6-4FFC-B6D2-CB462388C7BA}"/>
    <cellStyle name="_SubHeading_CTCO" xfId="1760" xr:uid="{11EB6D37-0D78-44CB-83F7-2F2E8F21232B}"/>
    <cellStyle name="_SubHeading_Date of fillings" xfId="1761" xr:uid="{B35987D7-157B-47DC-B411-10E51173D955}"/>
    <cellStyle name="_SubHeading_easyJet1" xfId="1762" xr:uid="{310FC894-C8A2-4679-BCDD-3A6D2B123E9B}"/>
    <cellStyle name="_SubHeading_easyJet1 2" xfId="1763" xr:uid="{37332328-E178-4ED8-8D16-8952C844AA2A}"/>
    <cellStyle name="_SubHeading_easyJet1 3" xfId="1764" xr:uid="{00CE8144-94E4-4A3E-8772-6822E02906AE}"/>
    <cellStyle name="_SubHeading_Electrolux CF" xfId="1765" xr:uid="{59AA8592-2041-4DAF-A198-A1618BBC9A70}"/>
    <cellStyle name="_SubHeading_Electrolux MW" xfId="1766" xr:uid="{1C17DFC3-A610-45CA-A0FF-C5DA28C44CB7}"/>
    <cellStyle name="_SubHeading_Electrolux MW 2" xfId="1767" xr:uid="{38A8A0AE-5BC3-4A20-8655-CFC69422ACA5}"/>
    <cellStyle name="_SubHeading_Electrolux Old Nick Paton Mark Wilson Model" xfId="1768" xr:uid="{EB9C6493-6803-41A1-A12C-7C63623CC5BE}"/>
    <cellStyle name="_SubHeading_Electrolux WIP Bhavna" xfId="1769" xr:uid="{CA28CAF9-FF31-434C-B835-01B4C9DFFB99}"/>
    <cellStyle name="_SubHeading_Finmeccanica" xfId="1770" xr:uid="{EED2D82F-07BC-4F52-A8CC-3010C0E18E35}"/>
    <cellStyle name="_SubHeading_Finmeccanica 2" xfId="1771" xr:uid="{4BC6F170-3111-4D5C-8A49-CB8FC063BFC5}"/>
    <cellStyle name="_SubHeading_Finmeccanica 3" xfId="1772" xr:uid="{91ED549F-835D-4EFB-AEAF-A16C6B1E46B9}"/>
    <cellStyle name="_SubHeading_Finmeccanica SOP" xfId="1773" xr:uid="{97305649-4B64-4F12-BA9C-5CF3E181DB03}"/>
    <cellStyle name="_SubHeading_Finmeccanica SOP 2" xfId="1774" xr:uid="{A00005CE-3E5E-4AFD-BC09-5C3E35A833D6}"/>
    <cellStyle name="_SubHeading_Finmeccanica SOP 3" xfId="1775" xr:uid="{58B2A7CC-E9B0-46BF-80AD-68F3AEA7F19B}"/>
    <cellStyle name="_SubHeading_fmbi counties" xfId="258" xr:uid="{00000000-0005-0000-0000-0000C8000000}"/>
    <cellStyle name="_SubHeading_FMBI MBHI Graphs" xfId="259" xr:uid="{00000000-0005-0000-0000-0000C9000000}"/>
    <cellStyle name="_SubHeading_FMBI MBHI Graphs 07102001" xfId="260" xr:uid="{00000000-0005-0000-0000-0000CA000000}"/>
    <cellStyle name="_SubHeading_FMBI MBHI Graphs_7601" xfId="261" xr:uid="{00000000-0005-0000-0000-0000CB000000}"/>
    <cellStyle name="_SubHeading_prestemp" xfId="262" xr:uid="{00000000-0005-0000-0000-0000CC000000}"/>
    <cellStyle name="_SubHeading_prestemp 2" xfId="1776" xr:uid="{6A7E7C8D-13CD-484E-B957-3F7D0DCDBD5D}"/>
    <cellStyle name="_SubHeading_prestemp 3" xfId="1777" xr:uid="{A9D5245D-0EAE-4C2A-B4D6-2C91A97E6898}"/>
    <cellStyle name="_SubHeading_prestemp_Insurance Brokerage CSC_1Q2002" xfId="263" xr:uid="{00000000-0005-0000-0000-0000CD000000}"/>
    <cellStyle name="_SubHeading_prestemp_Overview3" xfId="264" xr:uid="{00000000-0005-0000-0000-0000CE000000}"/>
    <cellStyle name="_SubHeading_prestemp_Updated Valuation Changes" xfId="265" xr:uid="{00000000-0005-0000-0000-0000CF000000}"/>
    <cellStyle name="_SubHeading_Q" xfId="1778" xr:uid="{BE6D6F64-1316-470E-A382-6ABB77E6B9FE}"/>
    <cellStyle name="_SubHeading_q - new guidance" xfId="1779" xr:uid="{95AF53E9-7FA4-42D3-BEE2-DE0F81D963B3}"/>
    <cellStyle name="_SubHeading_q - valuation" xfId="1780" xr:uid="{D1F16322-2833-47F1-AA4A-CECE607E918B}"/>
    <cellStyle name="_SubHeading_Q model_041802" xfId="1781" xr:uid="{D5BCCE9B-CB43-43E6-B69B-57E81A3F7907}"/>
    <cellStyle name="_SubHeading_Q_update" xfId="1782" xr:uid="{9BC34593-CF55-41BC-A405-1FDDBD965E9D}"/>
    <cellStyle name="_SubHeading_Qwest Analysis" xfId="1783" xr:uid="{E8F04628-A843-4B34-9579-8C27ADC151BD}"/>
    <cellStyle name="_SubHeading_RBOC historicals" xfId="1784" xr:uid="{6BB9FD26-7458-4A27-A16C-5760E7D9C72E}"/>
    <cellStyle name="_SubHeading_RBOC historicals 2" xfId="1785" xr:uid="{4F27AF66-26E1-4DED-8945-3B3C47CE582B}"/>
    <cellStyle name="_SubHeading_Rheinmetall" xfId="1786" xr:uid="{01469385-1E69-43DE-96B0-D2BC0C309B71}"/>
    <cellStyle name="_SubHeading_Rheinmetall 2" xfId="1787" xr:uid="{B73A47F7-D933-420E-A7AE-223461F87612}"/>
    <cellStyle name="_SubHeading_Rheinmetall 3" xfId="1788" xr:uid="{49AB576F-B106-4F30-985E-FC7D07F46F80}"/>
    <cellStyle name="_SubHeading_RHM" xfId="1789" xr:uid="{3399007B-4506-4FA5-A8FE-638C0A139044}"/>
    <cellStyle name="_SubHeading_RHM 2" xfId="1790" xr:uid="{72AA0689-F5FC-4431-903A-F52CC802CFDD}"/>
    <cellStyle name="_SubHeading_RHM 3" xfId="1791" xr:uid="{EC27E900-5B57-48A7-A924-76510B35E6FC}"/>
    <cellStyle name="_SubHeading_ROIC" xfId="1792" xr:uid="{AC8785BC-1999-4688-998F-08A3372D52A3}"/>
    <cellStyle name="_SubHeading_ROIC 2" xfId="1793" xr:uid="{0326D8E0-94AA-455B-B5A7-932DDEF61265}"/>
    <cellStyle name="_SubHeading_ROIC 3" xfId="1794" xr:uid="{8DC43F89-42F9-4028-A68B-BDCAAB38B67E}"/>
    <cellStyle name="_SubHeading_Rolls-Royce" xfId="1795" xr:uid="{9BEB6A87-22F7-4349-9345-5269D192240C}"/>
    <cellStyle name="_SubHeading_Rolls-Royce 2" xfId="1796" xr:uid="{01A403D0-93EA-4142-8DAF-8550EB360F47}"/>
    <cellStyle name="_SubHeading_Rolls-Royce 3" xfId="1797" xr:uid="{574F2330-B8F6-4743-BCF3-74F82D7AC232}"/>
    <cellStyle name="_SubHeading_Ryanair1" xfId="1798" xr:uid="{4C0D411D-7D33-4849-87F3-1BBA36A54F5B}"/>
    <cellStyle name="_SubHeading_Ryanair1 2" xfId="1799" xr:uid="{88EF1FF6-0054-4533-B26F-AB815727660B}"/>
    <cellStyle name="_SubHeading_Ryanair1 3" xfId="1800" xr:uid="{50BD9E9F-62EE-4556-9A7C-8E374DE424DA}"/>
    <cellStyle name="_SubHeading_SaabOLD" xfId="1801" xr:uid="{617C974F-2EFA-4716-A50D-FB0F937F503D}"/>
    <cellStyle name="_SubHeading_SaabOLD 2" xfId="1802" xr:uid="{283C3CC1-B941-4995-88DA-F2850B64727F}"/>
    <cellStyle name="_SubHeading_SaabOLD 3" xfId="1803" xr:uid="{AD596F1B-51A0-43BD-A7E1-0ACF26EB1C62}"/>
    <cellStyle name="_SubHeading_Sandvik CF - Remodelling" xfId="1804" xr:uid="{FEC666F1-BCD5-4732-8BC0-84A9232BDCB0}"/>
    <cellStyle name="_SubHeading_Sandvik CF - Remodelling 2" xfId="1805" xr:uid="{D1E7C77C-7097-4D07-BE6E-163083601341}"/>
    <cellStyle name="_SubHeading_Sandvik CF - Remodelling 3" xfId="1806" xr:uid="{3B0FC1C9-8761-489C-9CF0-A12F80216B99}"/>
    <cellStyle name="_SubHeading_SIFI OLD" xfId="1807" xr:uid="{40C38ECD-9A67-42D9-99FC-5C82903F1CB4}"/>
    <cellStyle name="_SubHeading_SIFI OLD 2" xfId="1808" xr:uid="{7096B721-A533-4AEF-A6A0-B78777DB10EE}"/>
    <cellStyle name="_SubHeading_SIFI OLD 3" xfId="1809" xr:uid="{6C1472B4-C45C-4545-AE53-85A1F55052AC}"/>
    <cellStyle name="_SubHeading_SIFINEW" xfId="1810" xr:uid="{FB520FE6-A0B0-4BB2-BEBA-969F2C378A0B}"/>
    <cellStyle name="_SubHeading_SKF reference" xfId="1811" xr:uid="{EE096F29-2C7C-4CEA-8FB8-2F4A706F58D8}"/>
    <cellStyle name="_SubHeading_SKF reference 2" xfId="1812" xr:uid="{D6005763-7EAF-4DE7-A0F6-99F62C3466D5}"/>
    <cellStyle name="_SubHeading_SKF reference 3" xfId="1813" xr:uid="{51B26039-8BFD-4107-A60F-FC24ECD74280}"/>
    <cellStyle name="_SubHeading_Smiths Group" xfId="1814" xr:uid="{04453A1B-398C-4425-AD98-772A3E499625}"/>
    <cellStyle name="_SubHeading_Smiths Group - OLD" xfId="1815" xr:uid="{B7AC13B9-6168-4875-8906-6F9AC2B4DC3E}"/>
    <cellStyle name="_SubHeading_Smiths Group - OLD 2" xfId="1816" xr:uid="{3CC97A93-5181-4E44-B1FA-7C0FE33B20C8}"/>
    <cellStyle name="_SubHeading_Smiths Group - OLD 3" xfId="1817" xr:uid="{26EB6AA2-F7B5-417D-8F62-716BA4373124}"/>
    <cellStyle name="_SubHeading_Smiths Group 2" xfId="1818" xr:uid="{F0AD5C83-8C7D-4B4D-8038-D831B0A9D0C8}"/>
    <cellStyle name="_SubHeading_Smiths Group 3" xfId="1819" xr:uid="{E95AC4BC-5371-4328-8E12-EFBF8992233F}"/>
    <cellStyle name="_SubHeading_Snecma competitive landscape chart sauvegarde" xfId="1820" xr:uid="{B1AB24AC-0FA1-4F2B-977F-9AE0B754D856}"/>
    <cellStyle name="_SubHeading_Snecma competitive landscape chart sauvegarde 2" xfId="1821" xr:uid="{3D3CD94B-AFB5-4208-887B-7B4002D9767C}"/>
    <cellStyle name="_SubHeading_Snecma competitive landscape chart sauvegarde 3" xfId="1822" xr:uid="{95C95798-0E81-425B-8446-F18221CE7205}"/>
    <cellStyle name="_SubHeading_T - new" xfId="1823" xr:uid="{EA5A9E4D-4DC5-4032-90B9-9D8EC1EC8AF1}"/>
    <cellStyle name="_SubHeading_T - new 2" xfId="1824" xr:uid="{EAE7D27D-360D-4519-BBC3-852051A8DF0D}"/>
    <cellStyle name="_SubHeading_Vinci" xfId="1825" xr:uid="{359731AD-60BF-4A49-9D25-D7A77F0C57AB}"/>
    <cellStyle name="_SubHeading_Vinci 2" xfId="1826" xr:uid="{475B022F-C19F-49C3-B74E-E865FA6D51EA}"/>
    <cellStyle name="_SubHeading_Vinci 3" xfId="1827" xr:uid="{C7398C36-8056-4034-9E8F-D88E55ECEC05}"/>
    <cellStyle name="_SubHeading_VZ" xfId="1828" xr:uid="{B54CEFCD-5159-4F66-8BF4-3C880755420C}"/>
    <cellStyle name="_SubHeading_xratio - historical mkt val" xfId="266" xr:uid="{00000000-0005-0000-0000-0000D0000000}"/>
    <cellStyle name="_Table" xfId="267" xr:uid="{00000000-0005-0000-0000-0000D1000000}"/>
    <cellStyle name="_Table_Ability to Pay Analysis" xfId="268" xr:uid="{00000000-0005-0000-0000-0000D2000000}"/>
    <cellStyle name="_Table_BankUnited Model" xfId="269" xr:uid="{00000000-0005-0000-0000-0000D3000000}"/>
    <cellStyle name="_Table_BankUnited Model 2" xfId="431" xr:uid="{00000000-0005-0000-0000-0000D4000000}"/>
    <cellStyle name="_Table_BankUnited Model 2 10" xfId="2791" xr:uid="{45CE45E1-A303-4AB4-80BA-174F10A4BDF9}"/>
    <cellStyle name="_Table_BankUnited Model 2 10 2" xfId="3977" xr:uid="{E452F92A-1CB2-46EF-B55A-BC1FF4F9DCC7}"/>
    <cellStyle name="_Table_BankUnited Model 2 10 3" xfId="4592" xr:uid="{79BAC634-49A5-4848-BC52-0486F6A9412F}"/>
    <cellStyle name="_Table_BankUnited Model 2 10 4" xfId="5062" xr:uid="{83A873C1-58D8-4E7E-A454-BCB079920BF6}"/>
    <cellStyle name="_Table_BankUnited Model 2 11" xfId="2618" xr:uid="{0764289F-7F71-4EC5-BC1A-292B2D3B05FD}"/>
    <cellStyle name="_Table_BankUnited Model 2 11 2" xfId="3828" xr:uid="{ABF0361B-C402-402A-96EC-36A604D83AA3}"/>
    <cellStyle name="_Table_BankUnited Model 2 11 3" xfId="4441" xr:uid="{63C7284B-C303-40BE-BEAB-5C7F8A6FBBBC}"/>
    <cellStyle name="_Table_BankUnited Model 2 11 4" xfId="3354" xr:uid="{DBBA160D-325C-438D-97A9-A17675E72F16}"/>
    <cellStyle name="_Table_BankUnited Model 2 12" xfId="2655" xr:uid="{AA83C28E-1733-4EAD-B213-A84C6B1B7EF4}"/>
    <cellStyle name="_Table_BankUnited Model 2 12 2" xfId="3860" xr:uid="{B93FC0DA-1D58-436D-B136-7C49CB57AD67}"/>
    <cellStyle name="_Table_BankUnited Model 2 12 3" xfId="4474" xr:uid="{3B681192-4BA2-41AB-A5D4-C7F0B7DC0F0A}"/>
    <cellStyle name="_Table_BankUnited Model 2 12 4" xfId="3275" xr:uid="{831608A6-EF3A-40DB-AFEF-1318DDFA4CC8}"/>
    <cellStyle name="_Table_BankUnited Model 2 13" xfId="2706" xr:uid="{DA132602-4FD2-4461-A5E0-507BF3FE3239}"/>
    <cellStyle name="_Table_BankUnited Model 2 13 2" xfId="3906" xr:uid="{5665430E-F921-4B4B-AB05-3DE731E0C9DB}"/>
    <cellStyle name="_Table_BankUnited Model 2 13 3" xfId="4519" xr:uid="{317713F5-F246-486E-9C8D-3368A7E74423}"/>
    <cellStyle name="_Table_BankUnited Model 2 13 4" xfId="3516" xr:uid="{134C5AF8-0A95-45AF-BAE4-631AF04A052F}"/>
    <cellStyle name="_Table_BankUnited Model 2 14" xfId="2509" xr:uid="{4A13D136-2EE8-4B3A-9702-B8E4A4869476}"/>
    <cellStyle name="_Table_BankUnited Model 2 14 2" xfId="3739" xr:uid="{00B7B1FE-1EA3-45E1-8628-34E5165DE1E9}"/>
    <cellStyle name="_Table_BankUnited Model 2 14 3" xfId="3328" xr:uid="{CC51D326-70B4-4A09-94D4-A80E1C554DA6}"/>
    <cellStyle name="_Table_BankUnited Model 2 14 4" xfId="5077" xr:uid="{1EF7F6A1-7EC1-47C5-A4F7-A462FAF031AB}"/>
    <cellStyle name="_Table_BankUnited Model 2 15" xfId="3299" xr:uid="{06157789-71A6-4B04-8C88-81C7765D1EFA}"/>
    <cellStyle name="_Table_BankUnited Model 2 16" xfId="3663" xr:uid="{02F70E56-6B6D-44FA-B2E5-F27993F76DD5}"/>
    <cellStyle name="_Table_BankUnited Model 2 17" xfId="3355" xr:uid="{236767A4-BFA7-40CC-8FB9-B8A350AACA3A}"/>
    <cellStyle name="_Table_BankUnited Model 2 2" xfId="2815" xr:uid="{858ABEDF-CF1E-4980-8BA8-CA79566F5F7C}"/>
    <cellStyle name="_Table_BankUnited Model 2 2 2" xfId="4000" xr:uid="{C4B23383-AC35-4606-A87F-6C2B996C712E}"/>
    <cellStyle name="_Table_BankUnited Model 2 2 3" xfId="4614" xr:uid="{CC249FA9-DC3D-4B2B-A703-B260C12C8840}"/>
    <cellStyle name="_Table_BankUnited Model 2 2 4" xfId="3542" xr:uid="{6823EFA5-2983-4972-8A31-1B50C63C3059}"/>
    <cellStyle name="_Table_BankUnited Model 2 3" xfId="2873" xr:uid="{B4BDC0F5-34FC-4F68-AF77-6ED007063D7B}"/>
    <cellStyle name="_Table_BankUnited Model 2 3 2" xfId="4050" xr:uid="{14F36828-1297-4972-9FB8-21774D0B3331}"/>
    <cellStyle name="_Table_BankUnited Model 2 3 3" xfId="4663" xr:uid="{7B50F3AE-5BF6-44F2-B599-01390338ABFD}"/>
    <cellStyle name="_Table_BankUnited Model 2 3 4" xfId="3404" xr:uid="{ED642E91-74C7-4372-A5B0-EA2BAB012DA3}"/>
    <cellStyle name="_Table_BankUnited Model 2 4" xfId="2592" xr:uid="{D258D967-3A48-4E22-B51E-06171D6E7874}"/>
    <cellStyle name="_Table_BankUnited Model 2 4 2" xfId="3805" xr:uid="{B221B664-8418-400C-AE74-CF589A35511A}"/>
    <cellStyle name="_Table_BankUnited Model 2 4 3" xfId="4417" xr:uid="{C0618B98-7FFB-4C80-93D7-11E5A509E866}"/>
    <cellStyle name="_Table_BankUnited Model 2 4 4" xfId="3514" xr:uid="{EFBCFD35-3CAC-4819-8968-F7A723B56570}"/>
    <cellStyle name="_Table_BankUnited Model 2 5" xfId="2627" xr:uid="{FF7D59F4-85D0-4230-991B-04FA94E3EE1C}"/>
    <cellStyle name="_Table_BankUnited Model 2 5 2" xfId="3837" xr:uid="{92A824A5-5641-43D4-A530-B326D27FED12}"/>
    <cellStyle name="_Table_BankUnited Model 2 5 3" xfId="4450" xr:uid="{54B9E494-DC06-4391-AF10-F3ACC419F9C8}"/>
    <cellStyle name="_Table_BankUnited Model 2 5 4" xfId="3562" xr:uid="{FE692147-CEC1-4A45-9063-D614D85DC81D}"/>
    <cellStyle name="_Table_BankUnited Model 2 6" xfId="2724" xr:uid="{00A10140-6600-4F1C-AF62-1355E645F15D}"/>
    <cellStyle name="_Table_BankUnited Model 2 6 2" xfId="3924" xr:uid="{9FFFB9D7-19AF-43B6-9CB9-505D1633C46F}"/>
    <cellStyle name="_Table_BankUnited Model 2 6 3" xfId="4537" xr:uid="{2BAE6321-1F87-41AA-A924-2EF587B5EAFE}"/>
    <cellStyle name="_Table_BankUnited Model 2 6 4" xfId="3788" xr:uid="{FB9A1211-E520-4D73-817D-9E3F7169EFF1}"/>
    <cellStyle name="_Table_BankUnited Model 2 7" xfId="2647" xr:uid="{591B7A21-BC52-4F91-B469-FE90966DB94B}"/>
    <cellStyle name="_Table_BankUnited Model 2 7 2" xfId="3854" xr:uid="{056499C5-4FF0-4327-BA11-58E4C2D384C3}"/>
    <cellStyle name="_Table_BankUnited Model 2 7 3" xfId="4468" xr:uid="{B9E409DB-76EC-4ED7-A12B-C411CF05A40E}"/>
    <cellStyle name="_Table_BankUnited Model 2 7 4" xfId="5182" xr:uid="{5808BF9C-8F53-455B-BEDF-FF4CAF99D603}"/>
    <cellStyle name="_Table_BankUnited Model 2 8" xfId="2792" xr:uid="{A2434D10-C9F2-4D46-8F39-1AD355738692}"/>
    <cellStyle name="_Table_BankUnited Model 2 8 2" xfId="3978" xr:uid="{AC69A6D2-982C-4EF5-8A33-4FFDF1D9C33D}"/>
    <cellStyle name="_Table_BankUnited Model 2 8 3" xfId="4593" xr:uid="{A715ABEA-A7E0-43B4-8313-7E216F6D1FE3}"/>
    <cellStyle name="_Table_BankUnited Model 2 8 4" xfId="5105" xr:uid="{D5A10962-DCE9-4220-821F-5EA3661048E1}"/>
    <cellStyle name="_Table_BankUnited Model 2 9" xfId="2663" xr:uid="{856733B3-5F1A-4764-BAC3-DAD8907CB625}"/>
    <cellStyle name="_Table_BankUnited Model 2 9 2" xfId="3868" xr:uid="{580DF107-7A57-49E3-9352-C36B7D4D0313}"/>
    <cellStyle name="_Table_BankUnited Model 2 9 3" xfId="4482" xr:uid="{920B66A6-766A-45F0-943C-109CF48717C4}"/>
    <cellStyle name="_Table_BankUnited Model 2 9 4" xfId="3703" xr:uid="{9E034693-DC2F-4C34-B72F-AC67514442D4}"/>
    <cellStyle name="_Table_BankUnited Model 3" xfId="2581" xr:uid="{7CBF6819-2CC4-4A39-AE6C-058B294D8CA1}"/>
    <cellStyle name="_Table_BankUnited Model 3 2" xfId="3796" xr:uid="{CBE4CBA7-C322-4EB2-BB69-7AB8ACF7E885}"/>
    <cellStyle name="_Table_BankUnited Model 3 3" xfId="4408" xr:uid="{A3F9EC08-65EE-4436-A835-77C10C4F1B0E}"/>
    <cellStyle name="_Table_BankUnited Model 3 4" xfId="3513" xr:uid="{A8B606D2-2448-4614-B051-F412695E2CF1}"/>
    <cellStyle name="_Table_BankUnited Model 4" xfId="3244" xr:uid="{A41B18C2-F7A0-433E-831A-9D1BD2A2A44E}"/>
    <cellStyle name="_Table_BankUnited Model 5" xfId="3687" xr:uid="{F7DDC453-1A4C-4A00-A0E4-32037FB3FDBD}"/>
    <cellStyle name="_Table_BankUnited Model 6" xfId="3416" xr:uid="{CAB26542-62F9-4861-90ED-7988F9D1E5D9}"/>
    <cellStyle name="_Table_BLS" xfId="1829" xr:uid="{D85A5AA5-1DE4-4304-99E5-248366BC52C6}"/>
    <cellStyle name="_Table_bls roic" xfId="1830" xr:uid="{39066786-6E1D-4487-B1C2-B5059316942B}"/>
    <cellStyle name="_Table_Book9" xfId="1831" xr:uid="{FBA59D40-886E-4ECA-996D-463F9E851422}"/>
    <cellStyle name="_Table_Broadband Comps" xfId="1832" xr:uid="{DA3287C1-D528-483F-A0D0-1504C45B04E3}"/>
    <cellStyle name="_Table_capital expenditures 6-18-02" xfId="1833" xr:uid="{1D6377CF-6445-418D-99B8-23828CD30079}"/>
    <cellStyle name="_Table_Copy of IFRS consol ABB Final Version4" xfId="1834" xr:uid="{3A67C097-79D8-4C39-BBC2-7F624C53C7ED}"/>
    <cellStyle name="_Table_CSC_Picabia_29062001" xfId="1835" xr:uid="{CB6199C8-4B32-4FDF-BFEE-D3F4D9B28BE4}"/>
    <cellStyle name="_Table_CTCO" xfId="1836" xr:uid="{E53CE83D-53E3-4094-B676-58864F56BF47}"/>
    <cellStyle name="_Table_Date of fillings" xfId="1837" xr:uid="{4D1436AF-C8D2-48CD-83FC-B89DEECD7A26}"/>
    <cellStyle name="_Table_Date of fillings 2" xfId="1838" xr:uid="{094C7E8C-14CD-4C17-B8AC-921C4EDD0DA9}"/>
    <cellStyle name="_Table_Date of fillings 3" xfId="1839" xr:uid="{1451578A-DCED-45F1-9F74-DC20AF3228EE}"/>
    <cellStyle name="_Table_DCF Model + WACC" xfId="1840" xr:uid="{F082CAB1-00C2-4412-A2C9-CB06A702C79C}"/>
    <cellStyle name="_Table_DCF Model + WACC 2" xfId="2510" xr:uid="{22E9A779-A0B0-465B-8CDA-A5353670CCC2}"/>
    <cellStyle name="_Table_DCF Model + WACC 2 10" xfId="2641" xr:uid="{F59DA36C-B71A-4A42-86A8-9EF4FAB832B8}"/>
    <cellStyle name="_Table_DCF Model + WACC 2 10 2" xfId="3848" xr:uid="{BC29B070-5030-471B-B1CA-F75D0A02525D}"/>
    <cellStyle name="_Table_DCF Model + WACC 2 10 3" xfId="4462" xr:uid="{C4634BB4-1EDA-4B9C-9CD5-6848F94506C5}"/>
    <cellStyle name="_Table_DCF Model + WACC 2 10 4" xfId="3563" xr:uid="{A7425EC4-9C51-4DB5-A049-8F8E79F64CBE}"/>
    <cellStyle name="_Table_DCF Model + WACC 2 11" xfId="2803" xr:uid="{5889A047-0A7F-4FBA-B487-9C359853505B}"/>
    <cellStyle name="_Table_DCF Model + WACC 2 11 2" xfId="3988" xr:uid="{FF966F8D-5311-476C-A74B-517A1CA52AFF}"/>
    <cellStyle name="_Table_DCF Model + WACC 2 11 3" xfId="4602" xr:uid="{5359422D-0A98-473F-A24C-709A88AAED13}"/>
    <cellStyle name="_Table_DCF Model + WACC 2 11 4" xfId="3577" xr:uid="{5328C451-DF22-47B0-9EE0-3DEC389743CF}"/>
    <cellStyle name="_Table_DCF Model + WACC 2 12" xfId="2610" xr:uid="{83F8F2DE-0B1C-4C10-A457-AD12A67488F4}"/>
    <cellStyle name="_Table_DCF Model + WACC 2 12 2" xfId="3820" xr:uid="{657535FC-E1E1-4D35-AD05-1401CDA88CB0}"/>
    <cellStyle name="_Table_DCF Model + WACC 2 12 3" xfId="4433" xr:uid="{B9CE648E-B6D0-4A2F-9E00-862454B184B6}"/>
    <cellStyle name="_Table_DCF Model + WACC 2 12 4" xfId="3353" xr:uid="{8BCFE860-0E3F-41F9-9097-0EF348C279D2}"/>
    <cellStyle name="_Table_DCF Model + WACC 2 13" xfId="2676" xr:uid="{122AC61D-93D9-403A-A3AE-73BD324355C1}"/>
    <cellStyle name="_Table_DCF Model + WACC 2 13 2" xfId="3876" xr:uid="{909D7D9B-A141-4878-B174-18B26B31701F}"/>
    <cellStyle name="_Table_DCF Model + WACC 2 13 3" xfId="4489" xr:uid="{B1A0E932-F5E0-414F-A1C0-DBB77D11EE2F}"/>
    <cellStyle name="_Table_DCF Model + WACC 2 13 4" xfId="3685" xr:uid="{DF96F91B-1573-40B5-A7A7-6A22102FD4D1}"/>
    <cellStyle name="_Table_DCF Model + WACC 2 14" xfId="3740" xr:uid="{2876EBEC-2C03-4FCB-BA49-8FA42F9F6767}"/>
    <cellStyle name="_Table_DCF Model + WACC 2 15" xfId="3327" xr:uid="{C2FB19A6-5713-4D52-976B-D0828C5944DD}"/>
    <cellStyle name="_Table_DCF Model + WACC 2 16" xfId="3549" xr:uid="{85E63094-61E7-4FA0-B170-248D06A4D19F}"/>
    <cellStyle name="_Table_DCF Model + WACC 2 2" xfId="2816" xr:uid="{5BF5A7D9-BB56-4E54-82B3-0AACE7D258F2}"/>
    <cellStyle name="_Table_DCF Model + WACC 2 2 2" xfId="4001" xr:uid="{6BC3123C-C005-41DA-ADCF-F0E9471C8530}"/>
    <cellStyle name="_Table_DCF Model + WACC 2 2 3" xfId="4615" xr:uid="{5ED7D9EE-2CCD-4761-B688-29AEA5B12ADB}"/>
    <cellStyle name="_Table_DCF Model + WACC 2 2 4" xfId="5163" xr:uid="{F2FE7EAF-EB26-45AC-B713-28323605FA85}"/>
    <cellStyle name="_Table_DCF Model + WACC 2 3" xfId="2874" xr:uid="{65FB3D7A-DE04-4BF6-AC61-DFF0893BE916}"/>
    <cellStyle name="_Table_DCF Model + WACC 2 3 2" xfId="4051" xr:uid="{60F13F2B-7772-4819-9892-86F1AEE0D288}"/>
    <cellStyle name="_Table_DCF Model + WACC 2 3 3" xfId="4664" xr:uid="{090E808C-8E48-46C6-A8AF-EBFF6F5F4A97}"/>
    <cellStyle name="_Table_DCF Model + WACC 2 3 4" xfId="3406" xr:uid="{D0813DB9-38E0-4EDF-9C36-B7E76CB78451}"/>
    <cellStyle name="_Table_DCF Model + WACC 2 4" xfId="2760" xr:uid="{E782E7B3-90D8-4D32-802B-06AF6C183BB9}"/>
    <cellStyle name="_Table_DCF Model + WACC 2 4 2" xfId="3954" xr:uid="{506D9FE6-FD47-49EB-B578-715D606BAB5A}"/>
    <cellStyle name="_Table_DCF Model + WACC 2 4 3" xfId="4567" xr:uid="{CFE1A27F-C248-4ACD-8110-8DE67ACEFF03}"/>
    <cellStyle name="_Table_DCF Model + WACC 2 4 4" xfId="3622" xr:uid="{2ED6DE38-C1E0-4081-B2E4-24B8E6EF511B}"/>
    <cellStyle name="_Table_DCF Model + WACC 2 5" xfId="2626" xr:uid="{03C61FEB-F186-47DD-A7D3-A111544845C6}"/>
    <cellStyle name="_Table_DCF Model + WACC 2 5 2" xfId="3836" xr:uid="{2AB78068-94BA-4360-A06F-3077951A2D3F}"/>
    <cellStyle name="_Table_DCF Model + WACC 2 5 3" xfId="4449" xr:uid="{D81AE8F3-4AC8-46F3-9DA8-28877EC9F01C}"/>
    <cellStyle name="_Table_DCF Model + WACC 2 5 4" xfId="5000" xr:uid="{9BBC9EA2-328B-4DE1-A2DF-CF2C92C97995}"/>
    <cellStyle name="_Table_DCF Model + WACC 2 6" xfId="2725" xr:uid="{91BE79B4-068C-4D82-AE28-547C9C633CF1}"/>
    <cellStyle name="_Table_DCF Model + WACC 2 6 2" xfId="3925" xr:uid="{485C0691-C800-490A-A5DE-B2CFCEC5F410}"/>
    <cellStyle name="_Table_DCF Model + WACC 2 6 3" xfId="4538" xr:uid="{410506E8-CE9B-4B9D-8360-0E91A17A4FCC}"/>
    <cellStyle name="_Table_DCF Model + WACC 2 6 4" xfId="3653" xr:uid="{9B6960F8-0499-459A-AB83-95A26D5BEF62}"/>
    <cellStyle name="_Table_DCF Model + WACC 2 7" xfId="2646" xr:uid="{45896757-CEFC-44E9-8756-5D93D07DFA45}"/>
    <cellStyle name="_Table_DCF Model + WACC 2 7 2" xfId="3853" xr:uid="{AEEE72B5-1B2E-4855-90BE-DF708C667B89}"/>
    <cellStyle name="_Table_DCF Model + WACC 2 7 3" xfId="4467" xr:uid="{6F7055E8-D52C-40A5-8AEB-F9B3E5CEB3AD}"/>
    <cellStyle name="_Table_DCF Model + WACC 2 7 4" xfId="5178" xr:uid="{3361B457-4921-405D-B6FD-8D34D5C15493}"/>
    <cellStyle name="_Table_DCF Model + WACC 2 8" xfId="2615" xr:uid="{F7BABC30-8DB8-4C94-A6C4-DD97A43E8094}"/>
    <cellStyle name="_Table_DCF Model + WACC 2 8 2" xfId="3825" xr:uid="{4BBFBF13-0519-4E78-AAE6-A4F61AFB88F6}"/>
    <cellStyle name="_Table_DCF Model + WACC 2 8 3" xfId="4438" xr:uid="{90F5E2D5-E021-48EB-B78F-40934369379F}"/>
    <cellStyle name="_Table_DCF Model + WACC 2 8 4" xfId="3224" xr:uid="{EB506D0C-3D0C-4D26-B2FF-B12B3F0833B7}"/>
    <cellStyle name="_Table_DCF Model + WACC 2 9" xfId="2771" xr:uid="{96CD5899-40A4-4D26-B020-57BAB5F4A8B7}"/>
    <cellStyle name="_Table_DCF Model + WACC 2 9 2" xfId="3963" xr:uid="{30CE9758-7A69-469D-9D56-07EEF08FC6C6}"/>
    <cellStyle name="_Table_DCF Model + WACC 2 9 3" xfId="4575" xr:uid="{1DC5A997-8FF2-4784-887B-DC6BBDBBBF9A}"/>
    <cellStyle name="_Table_DCF Model + WACC 2 9 4" xfId="3728" xr:uid="{885BE909-19CD-4CA4-8507-FA2191675FC7}"/>
    <cellStyle name="_Table_DCF Model + WACC 3" xfId="2696" xr:uid="{1F5FD9CF-38FA-465C-AF6E-B5D1F4B2F6D0}"/>
    <cellStyle name="_Table_DCF Model + WACC 3 2" xfId="3896" xr:uid="{14E0344E-6806-4157-BC9F-8965FB4F9DEA}"/>
    <cellStyle name="_Table_DCF Model + WACC 3 3" xfId="4509" xr:uid="{6703D710-7666-49FB-BEDC-09B0A5F55F99}"/>
    <cellStyle name="_Table_DCF Model + WACC 3 4" xfId="3242" xr:uid="{2DEA9426-0884-4D66-8D43-17FAD6AB22D2}"/>
    <cellStyle name="_Table_DCF Model + WACC 4" xfId="3529" xr:uid="{7ED1DF7D-1EAF-49B4-B7A1-6A9F50B80A09}"/>
    <cellStyle name="_Table_DCF Model + WACC 5" xfId="3445" xr:uid="{389020F4-AD3E-49B0-B830-F817A9F9C7AA}"/>
    <cellStyle name="_Table_DCF Model + WACC 6" xfId="3491" xr:uid="{CB61C489-4878-4757-8CE4-C963A43F39CD}"/>
    <cellStyle name="_Table_fmbi counties" xfId="270" xr:uid="{00000000-0005-0000-0000-0000D5000000}"/>
    <cellStyle name="_Table_Q" xfId="1841" xr:uid="{26853A65-55CD-43CC-A64A-86A8806351E3}"/>
    <cellStyle name="_Table_q - new guidance" xfId="1842" xr:uid="{2A8E3B97-CA3A-458B-929E-8740DFE17700}"/>
    <cellStyle name="_Table_q - valuation" xfId="1843" xr:uid="{734E1E69-D45F-44DF-A56D-0241CDCC7E49}"/>
    <cellStyle name="_Table_Q model_041802" xfId="1844" xr:uid="{756672A1-7225-45C9-86EF-4C9025EEED86}"/>
    <cellStyle name="_Table_Q_update" xfId="1845" xr:uid="{119812E4-DCF5-4B6F-BD76-87690C235F0F}"/>
    <cellStyle name="_Table_Qwest Analysis" xfId="1846" xr:uid="{44658600-BB51-4997-A1D3-310D3AB6B6A6}"/>
    <cellStyle name="_Table_RBOC historicals" xfId="1847" xr:uid="{3F51BF26-A9C1-4BBC-885F-65C6A030E2A2}"/>
    <cellStyle name="_Table_T - new" xfId="1848" xr:uid="{C0FA65A3-FA77-4AAB-9C20-134E4B1F53E2}"/>
    <cellStyle name="_Table_Vague LBO Model - 31 July 2001_PAI Base Case" xfId="1849" xr:uid="{D8FEB2C9-5762-4E6E-A6B8-91A93CC45B73}"/>
    <cellStyle name="_Table_VZ" xfId="1850" xr:uid="{08747034-1651-4E9F-9D1E-07CD10CD8EF4}"/>
    <cellStyle name="_Table_WACC" xfId="1851" xr:uid="{5FFCECB2-948B-4434-8584-98FAE7B88AC7}"/>
    <cellStyle name="_Table_WACC 2" xfId="2511" xr:uid="{8B5EB5F1-60E9-4BE6-AF3F-44D771464F85}"/>
    <cellStyle name="_Table_WACC 2 10" xfId="2867" xr:uid="{08180692-7E21-49DD-B662-60B05AA3E83C}"/>
    <cellStyle name="_Table_WACC 2 10 2" xfId="4044" xr:uid="{A77EB4E0-9621-4525-B1DA-858DF2A4373C}"/>
    <cellStyle name="_Table_WACC 2 10 3" xfId="4657" xr:uid="{FCCAA25C-B95A-4444-A277-6D674A54F573}"/>
    <cellStyle name="_Table_WACC 2 10 4" xfId="3638" xr:uid="{6BFC3B44-261D-43F4-BD43-D06A79CB9F15}"/>
    <cellStyle name="_Table_WACC 2 11" xfId="2642" xr:uid="{71F0207F-9BEF-40E8-9E49-418D92A7DD70}"/>
    <cellStyle name="_Table_WACC 2 11 2" xfId="3849" xr:uid="{C93F23D1-8E27-40DC-B343-42EC76AF7123}"/>
    <cellStyle name="_Table_WACC 2 11 3" xfId="4463" xr:uid="{41ED5280-2A9C-422E-A04B-2FC6AD7BA6EB}"/>
    <cellStyle name="_Table_WACC 2 11 4" xfId="3399" xr:uid="{D791D02A-A547-4420-88D3-6B9F759DE169}"/>
    <cellStyle name="_Table_WACC 2 12" xfId="2624" xr:uid="{FA90B6A7-9F68-4D44-A8A4-4C4DA97FCACF}"/>
    <cellStyle name="_Table_WACC 2 12 2" xfId="3834" xr:uid="{3ECC45B9-2318-42FB-8884-FA9899EA75C7}"/>
    <cellStyle name="_Table_WACC 2 12 3" xfId="4447" xr:uid="{E8AAE462-AE21-44C4-AC8E-5A77BE8FA0EB}"/>
    <cellStyle name="_Table_WACC 2 12 4" xfId="3274" xr:uid="{7645DDF5-77FB-45B3-AB44-4141332AF96E}"/>
    <cellStyle name="_Table_WACC 2 13" xfId="2684" xr:uid="{D5C8B25C-004F-4215-AB78-359792D166A6}"/>
    <cellStyle name="_Table_WACC 2 13 2" xfId="3884" xr:uid="{8ED1C027-FF39-4C2F-936E-529FD42EFB99}"/>
    <cellStyle name="_Table_WACC 2 13 3" xfId="4497" xr:uid="{BF5F4596-747D-4BF6-8E0D-5CB31F51A7CF}"/>
    <cellStyle name="_Table_WACC 2 13 4" xfId="3515" xr:uid="{66B6FCD8-B5F3-4E34-AFD8-03A7AE79A7E3}"/>
    <cellStyle name="_Table_WACC 2 14" xfId="3741" xr:uid="{FFA02C31-22EE-4024-8033-136321EA6B31}"/>
    <cellStyle name="_Table_WACC 2 15" xfId="3326" xr:uid="{9FA9364C-3948-4EE7-949D-7CF98802806B}"/>
    <cellStyle name="_Table_WACC 2 16" xfId="3443" xr:uid="{4AE325FB-FFB5-43F0-BE80-AAF4FB2974FE}"/>
    <cellStyle name="_Table_WACC 2 2" xfId="2817" xr:uid="{2C7CF250-68CB-4F55-A7C4-593CDDAE4507}"/>
    <cellStyle name="_Table_WACC 2 2 2" xfId="4002" xr:uid="{A1A336C6-8BD8-4F03-B3DA-D388C00E04F6}"/>
    <cellStyle name="_Table_WACC 2 2 3" xfId="4616" xr:uid="{896FBC18-CE4B-47AA-9DA7-7117010A45DA}"/>
    <cellStyle name="_Table_WACC 2 2 4" xfId="3721" xr:uid="{6814857F-363B-403D-B2C0-7A6083B784CA}"/>
    <cellStyle name="_Table_WACC 2 3" xfId="2875" xr:uid="{01BF81C4-29D4-45CD-AAC3-A45D8D6EE93A}"/>
    <cellStyle name="_Table_WACC 2 3 2" xfId="4052" xr:uid="{9E7ACF36-74F1-47E7-87E4-CF4A705285A2}"/>
    <cellStyle name="_Table_WACC 2 3 3" xfId="4665" xr:uid="{8E856C41-FD0B-44FA-BDFB-C52325888039}"/>
    <cellStyle name="_Table_WACC 2 3 4" xfId="5061" xr:uid="{67A7DB63-47F4-4C3D-BB3E-4F31F53C1981}"/>
    <cellStyle name="_Table_WACC 2 4" xfId="2761" xr:uid="{7335BBBA-487C-40FA-A496-9BE158825659}"/>
    <cellStyle name="_Table_WACC 2 4 2" xfId="3955" xr:uid="{B4B07F4A-9832-4299-8736-9B703F96458A}"/>
    <cellStyle name="_Table_WACC 2 4 3" xfId="4568" xr:uid="{EFFAAB9F-9748-43AF-A072-72C45A9057C1}"/>
    <cellStyle name="_Table_WACC 2 4 4" xfId="3364" xr:uid="{7533DC2F-63CD-4C82-B247-289C7CB1219E}"/>
    <cellStyle name="_Table_WACC 2 5" xfId="2595" xr:uid="{3EF1922D-4090-4238-B8C3-C9AC5C6AFDD3}"/>
    <cellStyle name="_Table_WACC 2 5 2" xfId="3808" xr:uid="{B74F48D4-24CD-46E4-A467-F8EAD7856E1D}"/>
    <cellStyle name="_Table_WACC 2 5 3" xfId="4420" xr:uid="{0E241949-384B-40D1-AC85-5D1A2A455A50}"/>
    <cellStyle name="_Table_WACC 2 5 4" xfId="3480" xr:uid="{457A92E3-8C42-476A-882F-45E6BC6D03F3}"/>
    <cellStyle name="_Table_WACC 2 6" xfId="2726" xr:uid="{534CF4C2-E9CC-43CC-BD59-7ED56A498065}"/>
    <cellStyle name="_Table_WACC 2 6 2" xfId="3926" xr:uid="{F2D3758C-7CC4-4ACC-9EFC-5451BB5081A9}"/>
    <cellStyle name="_Table_WACC 2 6 3" xfId="4539" xr:uid="{78763CB9-9FB6-4D8C-97F4-ED397C2C571A}"/>
    <cellStyle name="_Table_WACC 2 6 4" xfId="3620" xr:uid="{4B80102D-307D-406C-871C-B1C397E20646}"/>
    <cellStyle name="_Table_WACC 2 7" xfId="2567" xr:uid="{E6B88B39-C02F-45E0-BF0B-984C837CF5B4}"/>
    <cellStyle name="_Table_WACC 2 7 2" xfId="3783" xr:uid="{2727981C-E838-498D-8A52-DA41F58DA23F}"/>
    <cellStyle name="_Table_WACC 2 7 3" xfId="4395" xr:uid="{D37B035F-B11D-4908-B90F-C986DD00BA20}"/>
    <cellStyle name="_Table_WACC 2 7 4" xfId="3504" xr:uid="{B3E4019E-78C2-4425-B0F0-FDB9750BF9BD}"/>
    <cellStyle name="_Table_WACC 2 8" xfId="3003" xr:uid="{3DB47BD8-4D3D-4D6E-B9E1-521A07F31E20}"/>
    <cellStyle name="_Table_WACC 2 8 2" xfId="4171" xr:uid="{246BA241-AAB6-418F-8BD7-8BE2C03911F8}"/>
    <cellStyle name="_Table_WACC 2 8 3" xfId="4781" xr:uid="{83ECEEAD-1E31-4F4D-88FA-29720C727DE5}"/>
    <cellStyle name="_Table_WACC 2 8 4" xfId="3452" xr:uid="{D777CA48-40C8-4FA3-919B-7A4951621D37}"/>
    <cellStyle name="_Table_WACC 2 9" xfId="2593" xr:uid="{3C5E9545-C981-4E42-B120-16DDF333E101}"/>
    <cellStyle name="_Table_WACC 2 9 2" xfId="3806" xr:uid="{02F8FF0A-4D5E-4974-8C10-8A586AAF8438}"/>
    <cellStyle name="_Table_WACC 2 9 3" xfId="4418" xr:uid="{45C32025-DD04-40F4-8D21-187DF3BBDFA5}"/>
    <cellStyle name="_Table_WACC 2 9 4" xfId="3462" xr:uid="{658A56A7-27A3-43A7-8C06-2A23E61EC75B}"/>
    <cellStyle name="_Table_WACC 3" xfId="2701" xr:uid="{4F496AAC-DE60-49AD-AA80-767501C43D81}"/>
    <cellStyle name="_Table_WACC 3 2" xfId="3901" xr:uid="{296BE782-EE90-4FF7-9B66-9AC06BC6D5C8}"/>
    <cellStyle name="_Table_WACC 3 3" xfId="4514" xr:uid="{2D57632B-7A2D-4D80-BB6C-07DB75E1FD53}"/>
    <cellStyle name="_Table_WACC 3 4" xfId="3411" xr:uid="{31989E03-B62E-4CC9-A606-9AFD32255FD1}"/>
    <cellStyle name="_Table_WACC 4" xfId="3530" xr:uid="{4F379592-FFC2-4383-9E66-37CCFA4549AB}"/>
    <cellStyle name="_Table_WACC 5" xfId="3444" xr:uid="{3CA0F459-CB1F-4ED6-9D1E-8C0EEBBC006C}"/>
    <cellStyle name="_Table_WACC 6" xfId="3709" xr:uid="{9E12F8BC-919B-4D7F-B08D-CA21553667E0}"/>
    <cellStyle name="_Table_xratio - historical mkt val" xfId="271" xr:uid="{00000000-0005-0000-0000-0000D6000000}"/>
    <cellStyle name="_TableHead" xfId="272" xr:uid="{00000000-0005-0000-0000-0000D7000000}"/>
    <cellStyle name="_TableHead_BLS" xfId="1852" xr:uid="{5D1FBED9-112C-487E-A6B8-8F82A97DD221}"/>
    <cellStyle name="_TableHead_bls roic" xfId="1853" xr:uid="{D4379202-4924-4AEF-B15A-7655E052DDEC}"/>
    <cellStyle name="_TableHead_Book9" xfId="1854" xr:uid="{94DBB997-07BE-4F16-BD13-6A7D122C67A5}"/>
    <cellStyle name="_TableHead_Broadband Comps" xfId="1855" xr:uid="{A1B559AB-2515-4634-8000-03C6BA0B7887}"/>
    <cellStyle name="_TableHead_capital expenditures 6-18-02" xfId="1856" xr:uid="{98212D77-59F0-4279-8834-0C8D64ED1FF8}"/>
    <cellStyle name="_TableHead_Copy of IFRS consol ABB Final Version4" xfId="1857" xr:uid="{AC8087A3-75D7-42A6-B2E3-D63D4A5271FB}"/>
    <cellStyle name="_TableHead_CTCO" xfId="1858" xr:uid="{2D661BDA-DD7C-4F19-A1AA-3855229DD25D}"/>
    <cellStyle name="_TableHead_Date of fillings" xfId="1859" xr:uid="{4BD757FF-3ACD-47A7-99DE-EE7911FF603A}"/>
    <cellStyle name="_TableHead_Date of fillings 2" xfId="1860" xr:uid="{E088E202-A164-4C78-864C-E57D2FB0E833}"/>
    <cellStyle name="_TableHead_Date of fillings 3" xfId="1861" xr:uid="{47793F4D-CA9A-42FE-AC47-D6CA32C4D498}"/>
    <cellStyle name="_TableHead_Q" xfId="1862" xr:uid="{6EC21AC7-8114-439D-BCBA-023119D7AD1B}"/>
    <cellStyle name="_TableHead_q - new guidance" xfId="1863" xr:uid="{C1B338BD-3C86-4736-9D60-BC643E9B6FC5}"/>
    <cellStyle name="_TableHead_q - valuation" xfId="1864" xr:uid="{43E57B46-691A-4154-9497-9F488D0099F8}"/>
    <cellStyle name="_TableHead_Q model_041802" xfId="1865" xr:uid="{9CE0FC81-AB45-4E2B-BC81-5EB6AD3CA04A}"/>
    <cellStyle name="_TableHead_Q_update" xfId="1866" xr:uid="{86080B7C-B360-4728-A507-04A3FA7774D1}"/>
    <cellStyle name="_TableHead_QP_XXX" xfId="1867" xr:uid="{D97274CB-6B5F-4A1A-AD7C-648FDC611AF8}"/>
    <cellStyle name="_TableHead_Qwest Analysis" xfId="1868" xr:uid="{E8899528-FD53-4DFD-ACBA-30DCD6E33BDB}"/>
    <cellStyle name="_TableHead_RBOC historicals" xfId="1869" xr:uid="{6CB94DF0-D8FE-47C5-A8F1-F045EED04BD5}"/>
    <cellStyle name="_TableHead_T - new" xfId="1870" xr:uid="{BFD80884-F805-43F0-A7AB-7F1867948268}"/>
    <cellStyle name="_TableHead_VZ" xfId="1871" xr:uid="{04A46EE1-5184-416C-8FF0-46546E3DE13E}"/>
    <cellStyle name="_TableHeading" xfId="1872" xr:uid="{4A8A3920-D1FA-42A8-954D-62D92651E52E}"/>
    <cellStyle name="_TableRowBorder" xfId="1873" xr:uid="{A034A44F-1405-463A-B56E-E12B6E400919}"/>
    <cellStyle name="_TableRowBorder 2" xfId="1874" xr:uid="{40AC0DB3-8C2F-4E66-B92E-D361AD6E31BB}"/>
    <cellStyle name="_TableRowBorder 2 2" xfId="2512" xr:uid="{C533F5DD-9F3E-4FE0-A449-232484FC9A5C}"/>
    <cellStyle name="_TableRowBorder 2 2 2" xfId="2876" xr:uid="{87341D05-BAEC-4A98-926B-A903CD32555B}"/>
    <cellStyle name="_TableRowBorder 2 2 3" xfId="2762" xr:uid="{35FA54C7-8EB6-4A0E-9EA7-55E05A2CFFFF}"/>
    <cellStyle name="_TableRowBorder 2 2 4" xfId="2727" xr:uid="{11E5B980-F2FF-4079-BC29-2BCEB2D1201B}"/>
    <cellStyle name="_TableRowBorder 2 2 5" xfId="2628" xr:uid="{F53F5A0B-A365-45EC-B00A-258BF5743956}"/>
    <cellStyle name="_TableRowBorder 2 2 6" xfId="2674" xr:uid="{2C6C5FD3-DC2B-4F1C-B605-FA2ACC8E8CB7}"/>
    <cellStyle name="_TableRowBorder 2 2 7" xfId="2591" xr:uid="{BB58C62B-41A6-49F1-B2CD-86B7E77F8C8B}"/>
    <cellStyle name="_TableRowBorder 2 3" xfId="2668" xr:uid="{E73177EE-802F-4CF4-9410-9B53E2E69EB3}"/>
    <cellStyle name="_TableRowBorder 3" xfId="1875" xr:uid="{B531AB12-B098-4CC1-A1AF-A7D1E26D36E9}"/>
    <cellStyle name="_TableRowBorder 3 2" xfId="2513" xr:uid="{EAD2A84E-4E94-4484-BBEF-8AC837C19C1F}"/>
    <cellStyle name="_TableRowBorder 3 2 2" xfId="2877" xr:uid="{BE0BA3FC-9CDB-41C4-A89D-735F92A3A1BE}"/>
    <cellStyle name="_TableRowBorder 3 2 3" xfId="2763" xr:uid="{1FF3B9FA-396D-4F3E-B4C9-C77A2887D387}"/>
    <cellStyle name="_TableRowBorder 3 2 4" xfId="2600" xr:uid="{740FFBDA-13D6-4229-A99C-665C5A2B5690}"/>
    <cellStyle name="_TableRowBorder 3 2 5" xfId="2779" xr:uid="{4E032C2E-AFCF-429A-BEB3-B5B85847C589}"/>
    <cellStyle name="_TableRowBorder 3 2 6" xfId="2673" xr:uid="{004EBFB7-0917-4A0F-84B2-5B27B3C6509B}"/>
    <cellStyle name="_TableRowBorder 3 2 7" xfId="2758" xr:uid="{D89937B8-1D0B-4489-8C1E-5E70B0222729}"/>
    <cellStyle name="_TableRowBorder 3 3" xfId="2667" xr:uid="{C243B899-967F-4736-BC4C-8E006F984187}"/>
    <cellStyle name="_TableRowBorder 4" xfId="2514" xr:uid="{0082D412-C06E-43CB-BC62-098D97304CBA}"/>
    <cellStyle name="_TableRowBorder 4 2" xfId="2878" xr:uid="{902FB3D6-CD4E-4F7A-82DD-B65C91910013}"/>
    <cellStyle name="_TableRowBorder 4 3" xfId="2764" xr:uid="{929C2401-7C6A-4A97-B914-5E877B12EE9A}"/>
    <cellStyle name="_TableRowBorder 4 4" xfId="2583" xr:uid="{E28EF81F-9419-491A-8D7D-85DDF0AC588A}"/>
    <cellStyle name="_TableRowBorder 4 5" xfId="2744" xr:uid="{BB9AB3FD-EE59-49D8-B388-293A585FC3D6}"/>
    <cellStyle name="_TableRowBorder 4 6" xfId="2609" xr:uid="{9B4D1238-7949-428B-93C7-1D983A29A1F0}"/>
    <cellStyle name="_TableRowBorder 4 7" xfId="2665" xr:uid="{31EDE15D-0A0A-45D5-8A1E-EF28F98439AE}"/>
    <cellStyle name="_TableRowBorder 5" xfId="2669" xr:uid="{FDEA8A14-2324-49CE-8936-4E50A0B2E505}"/>
    <cellStyle name="_TableRowHead" xfId="273" xr:uid="{00000000-0005-0000-0000-0000D8000000}"/>
    <cellStyle name="_TableRowHead_BLS" xfId="1876" xr:uid="{D98803F8-1AFA-471D-A4E9-00009A8EE1F7}"/>
    <cellStyle name="_TableRowHead_bls roic" xfId="1877" xr:uid="{386EDF5F-921C-46C4-BFEA-C4B4C4E6E410}"/>
    <cellStyle name="_TableRowHead_Book9" xfId="1878" xr:uid="{5079CA74-2AEC-483E-9958-1BCBE99A362A}"/>
    <cellStyle name="_TableRowHead_Broadband Comps" xfId="1879" xr:uid="{BD9987CC-526F-49C8-90B8-946D6819ED97}"/>
    <cellStyle name="_TableRowHead_capital expenditures 6-18-02" xfId="1880" xr:uid="{6C5CAFFF-C4E2-41DF-A9DB-71FB6B4A5CE1}"/>
    <cellStyle name="_TableRowHead_Copy of IFRS consol ABB Final Version4" xfId="1881" xr:uid="{C36F3BB1-26B8-4536-92C3-FC1DA44DB323}"/>
    <cellStyle name="_TableRowHead_CTCO" xfId="1882" xr:uid="{5D658CCF-1DB1-4D5C-8C11-C32390ACCF34}"/>
    <cellStyle name="_TableRowHead_Date of fillings" xfId="1883" xr:uid="{6BF71394-A9A3-4188-9695-4F5BFC801B62}"/>
    <cellStyle name="_TableRowHead_Date of fillings 2" xfId="1884" xr:uid="{F35C2C41-CC4E-4D54-95BF-F719D0123094}"/>
    <cellStyle name="_TableRowHead_Date of fillings 3" xfId="1885" xr:uid="{83D84F91-1353-478F-B13B-AA9DF7DEA802}"/>
    <cellStyle name="_TableRowHead_Q" xfId="1886" xr:uid="{D60B6327-CDF4-4C1B-9F2D-9A2E545784F9}"/>
    <cellStyle name="_TableRowHead_q - new guidance" xfId="1887" xr:uid="{3188280C-DA89-4EB9-831B-0BE421E83E95}"/>
    <cellStyle name="_TableRowHead_q - valuation" xfId="1888" xr:uid="{C3962264-7949-4879-A8D0-7436228D2F43}"/>
    <cellStyle name="_TableRowHead_Q model_041802" xfId="1889" xr:uid="{0C3366B6-DE24-4591-A85C-6B591CD3DC78}"/>
    <cellStyle name="_TableRowHead_Q_update" xfId="1890" xr:uid="{B9B566B1-B3B1-4F70-9F4E-D9755FC15204}"/>
    <cellStyle name="_TableRowHead_QP_XXX" xfId="1891" xr:uid="{E8912A76-31D3-4090-986C-3DD2257C24AB}"/>
    <cellStyle name="_TableRowHead_Qwest Analysis" xfId="1892" xr:uid="{9A88782B-75CB-4936-87AD-0D822F817AEF}"/>
    <cellStyle name="_TableRowHead_RBOC historicals" xfId="1893" xr:uid="{437B3CF6-80E4-4194-BEEC-5AE4B60B606E}"/>
    <cellStyle name="_TableRowHead_T - new" xfId="1894" xr:uid="{929B5801-137F-44A4-AFCB-B2375FFFF5F7}"/>
    <cellStyle name="_TableRowHead_VZ" xfId="1895" xr:uid="{7A30E875-AD35-4392-BCB1-486F6CA71AE8}"/>
    <cellStyle name="_TableRowHeading" xfId="1896" xr:uid="{046E6987-609C-4517-A203-E7D11F0FA71A}"/>
    <cellStyle name="_TableSuperHead" xfId="274" xr:uid="{00000000-0005-0000-0000-0000D9000000}"/>
    <cellStyle name="_TableSuperHead_Ability to Pay Analysis" xfId="275" xr:uid="{00000000-0005-0000-0000-0000DA000000}"/>
    <cellStyle name="_TableSuperHead_BankUnited Model" xfId="276" xr:uid="{00000000-0005-0000-0000-0000DB000000}"/>
    <cellStyle name="_TableSuperHead_BLS" xfId="1897" xr:uid="{5B2EA79D-5C0C-4259-B0E1-8BABC960864C}"/>
    <cellStyle name="_TableSuperHead_bls roic" xfId="1898" xr:uid="{E7047D35-6C4B-45E1-98F3-7802D7729502}"/>
    <cellStyle name="_TableSuperHead_Book9" xfId="1899" xr:uid="{DC3C3AB3-41F9-436F-8D70-0280D4B487C5}"/>
    <cellStyle name="_TableSuperHead_Broadband Comps" xfId="1900" xr:uid="{DF8B43E5-2EDD-4D1C-A96F-FA8A77EDA54F}"/>
    <cellStyle name="_TableSuperHead_capital expenditures 6-18-02" xfId="1901" xr:uid="{1F799E76-C474-4ADA-8498-F0EA6DD45BDD}"/>
    <cellStyle name="_TableSuperHead_Copy of IFRS consol ABB Final Version4" xfId="1902" xr:uid="{F18918F1-5AAC-446C-8C84-5785F42A40C9}"/>
    <cellStyle name="_TableSuperHead_CTCO" xfId="1903" xr:uid="{46B2F03D-5E2A-4721-8E95-2332CE6A236A}"/>
    <cellStyle name="_TableSuperHead_Date of fillings" xfId="1904" xr:uid="{CAB7113C-0A89-4527-8619-24832237CC9F}"/>
    <cellStyle name="_TableSuperHead_Date of fillings 2" xfId="1905" xr:uid="{A80BFBAC-94D0-4C2C-92BF-FF6D038C897A}"/>
    <cellStyle name="_TableSuperHead_Date of fillings 3" xfId="1906" xr:uid="{C18F8FC9-A210-4395-B3FE-CA2C956CC565}"/>
    <cellStyle name="_TableSuperHead_DCF Model + WACC" xfId="1907" xr:uid="{42CB5EEB-1DD5-4C34-88DB-A8C09AEE6967}"/>
    <cellStyle name="_TableSuperHead_fmbi counties" xfId="277" xr:uid="{00000000-0005-0000-0000-0000DC000000}"/>
    <cellStyle name="_TableSuperHead_Q" xfId="1908" xr:uid="{308303E6-680B-4B55-9DEA-175CD60F99CD}"/>
    <cellStyle name="_TableSuperHead_q - new guidance" xfId="1909" xr:uid="{C119C52E-0E75-44C9-BCE1-0713F4A7EEAA}"/>
    <cellStyle name="_TableSuperHead_q - valuation" xfId="1910" xr:uid="{75F24097-9BB0-4246-AE57-3493E3DB0311}"/>
    <cellStyle name="_TableSuperHead_Q model_041802" xfId="1911" xr:uid="{D80205E2-4CF6-4260-AD85-2A5D5B659769}"/>
    <cellStyle name="_TableSuperHead_Q_update" xfId="1912" xr:uid="{D8B7BC6E-F0BC-4FB0-B764-098A9A8894F7}"/>
    <cellStyle name="_TableSuperHead_Qwest Analysis" xfId="1913" xr:uid="{60B458BF-5C66-48F6-9D60-8DA3D03F709C}"/>
    <cellStyle name="_TableSuperHead_RBOC historicals" xfId="1914" xr:uid="{BBAE4FF1-5DA6-4829-8C97-6F4E5DE0151C}"/>
    <cellStyle name="_TableSuperHead_T - new" xfId="1915" xr:uid="{84BFB1A6-11E0-465A-AC0D-5D3F698A7D2E}"/>
    <cellStyle name="_TableSuperHead_Vague LBO Model - 31 July 2001_PAI Base Case" xfId="1916" xr:uid="{13800572-B1CE-428C-A964-2BF8B1D04441}"/>
    <cellStyle name="_TableSuperHead_VZ" xfId="1917" xr:uid="{D48C408F-21C3-4B9A-B5B2-50CF15097839}"/>
    <cellStyle name="_TableSuperHead_WACC" xfId="1918" xr:uid="{1892DFED-DE9E-450C-8B1D-12FD8E3FC820}"/>
    <cellStyle name="_TableSuperHead_xratio - historical mkt val" xfId="278" xr:uid="{00000000-0005-0000-0000-0000DD000000}"/>
    <cellStyle name="_TableSuperHeading" xfId="1919" xr:uid="{477ED14F-5C1B-4CDA-BD78-D4FC7B176E80}"/>
    <cellStyle name="_TableText" xfId="1920" xr:uid="{C091C368-E431-4C38-BBB9-77325AB1108F}"/>
    <cellStyle name="“ü—Í—“" xfId="2" xr:uid="{00000000-0005-0000-0000-0000DE000000}"/>
    <cellStyle name="£3places" xfId="1921" xr:uid="{20981BF7-8F0A-4CDC-ADC6-0928A70EF08D}"/>
    <cellStyle name="0" xfId="3" xr:uid="{00000000-0005-0000-0000-0000DF000000}"/>
    <cellStyle name="0.0" xfId="4" xr:uid="{00000000-0005-0000-0000-0000E0000000}"/>
    <cellStyle name="0.0%" xfId="5" xr:uid="{00000000-0005-0000-0000-0000E1000000}"/>
    <cellStyle name="0.0_BAE Systems model" xfId="6" xr:uid="{00000000-0005-0000-0000-0000E2000000}"/>
    <cellStyle name="0.00" xfId="7" xr:uid="{00000000-0005-0000-0000-0000E3000000}"/>
    <cellStyle name="0.00%" xfId="8" xr:uid="{00000000-0005-0000-0000-0000E4000000}"/>
    <cellStyle name="0.00_BAE Systems model" xfId="9" xr:uid="{00000000-0005-0000-0000-0000E5000000}"/>
    <cellStyle name="0.000" xfId="1922" xr:uid="{3CBBBC69-D5D8-46F6-8202-C518269D69F5}"/>
    <cellStyle name="0_BAE Systems model" xfId="10" xr:uid="{00000000-0005-0000-0000-0000E6000000}"/>
    <cellStyle name="0_Charts 1" xfId="11" xr:uid="{00000000-0005-0000-0000-0000E7000000}"/>
    <cellStyle name="0_CROCI" xfId="455" xr:uid="{0EBCE473-802E-4870-A80E-30CDAEFC8C6A}"/>
    <cellStyle name="0_CROCI 2" xfId="1923" xr:uid="{0BFC6D60-3362-4C61-8B9F-A78380C3BDF5}"/>
    <cellStyle name="0_Financials" xfId="12" xr:uid="{00000000-0005-0000-0000-0000E8000000}"/>
    <cellStyle name="0_Financials 2" xfId="13" xr:uid="{00000000-0005-0000-0000-0000E9000000}"/>
    <cellStyle name="0_Financials 3" xfId="1924" xr:uid="{1FB9038F-C58B-4334-99FC-6D6C16475D00}"/>
    <cellStyle name="0_Structure" xfId="14" xr:uid="{00000000-0005-0000-0000-0000EA000000}"/>
    <cellStyle name="0_Val" xfId="456" xr:uid="{4046E70E-6068-43B3-BB88-98A236A70025}"/>
    <cellStyle name="0_Val 2" xfId="1925" xr:uid="{E90ACDAC-FD3A-47B2-B2E6-DB9D94BB1FC8}"/>
    <cellStyle name="1parte" xfId="15" xr:uid="{00000000-0005-0000-0000-0000EB000000}"/>
    <cellStyle name="1parte 2" xfId="16" xr:uid="{00000000-0005-0000-0000-0000EC000000}"/>
    <cellStyle name="1parte 3" xfId="1926" xr:uid="{750889D8-5612-44DF-85DA-38A92C05BD82}"/>
    <cellStyle name="20% - Accent1 2" xfId="367" xr:uid="{00000000-0005-0000-0000-0000ED000000}"/>
    <cellStyle name="20% - Accent2 2" xfId="368" xr:uid="{00000000-0005-0000-0000-0000EE000000}"/>
    <cellStyle name="20% - Accent3 2" xfId="369" xr:uid="{00000000-0005-0000-0000-0000EF000000}"/>
    <cellStyle name="20% - Accent4 2" xfId="370" xr:uid="{00000000-0005-0000-0000-0000F0000000}"/>
    <cellStyle name="20% - Accent5 2" xfId="371" xr:uid="{00000000-0005-0000-0000-0000F1000000}"/>
    <cellStyle name="20% - Accent6 2" xfId="372" xr:uid="{00000000-0005-0000-0000-0000F2000000}"/>
    <cellStyle name="2parte" xfId="17" xr:uid="{00000000-0005-0000-0000-0000F3000000}"/>
    <cellStyle name="40% - Accent1 2" xfId="373" xr:uid="{00000000-0005-0000-0000-0000F4000000}"/>
    <cellStyle name="40% - Accent2 2" xfId="374" xr:uid="{00000000-0005-0000-0000-0000F5000000}"/>
    <cellStyle name="40% - Accent3 2" xfId="375" xr:uid="{00000000-0005-0000-0000-0000F6000000}"/>
    <cellStyle name="40% - Accent4 2" xfId="376" xr:uid="{00000000-0005-0000-0000-0000F7000000}"/>
    <cellStyle name="40% - Accent5 2" xfId="377" xr:uid="{00000000-0005-0000-0000-0000F8000000}"/>
    <cellStyle name="40% - Accent6 2" xfId="378" xr:uid="{00000000-0005-0000-0000-0000F9000000}"/>
    <cellStyle name="60% - Accent1 2" xfId="379" xr:uid="{00000000-0005-0000-0000-0000FA000000}"/>
    <cellStyle name="60% - Accent2 2" xfId="380" xr:uid="{00000000-0005-0000-0000-0000FB000000}"/>
    <cellStyle name="60% - Accent3 2" xfId="381" xr:uid="{00000000-0005-0000-0000-0000FC000000}"/>
    <cellStyle name="60% - Accent4 2" xfId="382" xr:uid="{00000000-0005-0000-0000-0000FD000000}"/>
    <cellStyle name="60% - Accent5 2" xfId="383" xr:uid="{00000000-0005-0000-0000-0000FE000000}"/>
    <cellStyle name="60% - Accent6 2" xfId="384" xr:uid="{00000000-0005-0000-0000-0000FF000000}"/>
    <cellStyle name="A$2places" xfId="1927" xr:uid="{ECDBCEE3-DE4A-42BE-A162-16DD8423E3D8}"/>
    <cellStyle name="A$3places" xfId="1928" xr:uid="{CAEF47DE-7DD3-4D53-B391-811BEEF04E40}"/>
    <cellStyle name="Accent1 2" xfId="385" xr:uid="{00000000-0005-0000-0000-000000010000}"/>
    <cellStyle name="Accent2 2" xfId="386" xr:uid="{00000000-0005-0000-0000-000001010000}"/>
    <cellStyle name="Accent3 2" xfId="387" xr:uid="{00000000-0005-0000-0000-000002010000}"/>
    <cellStyle name="Accent4 2" xfId="388" xr:uid="{00000000-0005-0000-0000-000003010000}"/>
    <cellStyle name="Accent5 2" xfId="389" xr:uid="{00000000-0005-0000-0000-000004010000}"/>
    <cellStyle name="Accent6 2" xfId="390" xr:uid="{00000000-0005-0000-0000-000005010000}"/>
    <cellStyle name="act" xfId="1929" xr:uid="{2EE026DA-D586-4B0C-8563-DFDD774C309B}"/>
    <cellStyle name="act 2" xfId="1930" xr:uid="{30DD80E9-E38C-43B6-BEBA-CA202DF76D4E}"/>
    <cellStyle name="act 3" xfId="1931" xr:uid="{A0FC4832-DD79-4B9A-9B35-B8FFE16BD17C}"/>
    <cellStyle name="Actual data" xfId="279" xr:uid="{00000000-0005-0000-0000-000006010000}"/>
    <cellStyle name="Actual year" xfId="280" xr:uid="{00000000-0005-0000-0000-000007010000}"/>
    <cellStyle name="Actual year 10" xfId="2801" xr:uid="{3994DCE2-C2A2-47D9-9B7B-B5BC424C0FD0}"/>
    <cellStyle name="Actual year 10 2" xfId="3986" xr:uid="{CBCFB2F6-3FC4-4E2C-A39A-982A5C7C7F59}"/>
    <cellStyle name="Actual year 10 3" xfId="4600" xr:uid="{5B2F8AAE-3A24-4BB0-B6AC-48FFDDE997E5}"/>
    <cellStyle name="Actual year 11" xfId="2670" xr:uid="{A66E16D3-3DC6-4614-9DB8-F4FA48C278C3}"/>
    <cellStyle name="Actual year 11 2" xfId="3872" xr:uid="{962C66D9-6941-426B-8BF9-BFB4071BB258}"/>
    <cellStyle name="Actual year 11 3" xfId="4485" xr:uid="{CF57D109-BFBF-43A0-B966-108A0096C07F}"/>
    <cellStyle name="Actual year 12" xfId="2605" xr:uid="{20E6BB06-9C2B-4F5E-88F5-3BBFF58096DB}"/>
    <cellStyle name="Actual year 12 2" xfId="4429" xr:uid="{E72F195B-1D1A-484C-9813-8E990C155C52}"/>
    <cellStyle name="Actual year 13" xfId="465" xr:uid="{C5CD2AE2-F2C0-4433-BF2E-039510F07771}"/>
    <cellStyle name="Actual year 13 2" xfId="3322" xr:uid="{E97D7502-5B39-430A-BA59-C70316BDFBF4}"/>
    <cellStyle name="Actual year 13 3" xfId="3647" xr:uid="{334549B8-100F-4AB4-A1C2-D6EEF3C40685}"/>
    <cellStyle name="Actual year 13 4" xfId="3405" xr:uid="{F206996A-D97C-48B2-BB90-DF403A0A66A6}"/>
    <cellStyle name="Actual year 13 5" xfId="3490" xr:uid="{3A3B3BCC-A6B5-46F4-9BE3-88E1E7598426}"/>
    <cellStyle name="Actual year 14" xfId="3262" xr:uid="{71F0B924-7FC8-4AAD-8CBB-B0A29505733B}"/>
    <cellStyle name="Actual year 2" xfId="432" xr:uid="{00000000-0005-0000-0000-000008010000}"/>
    <cellStyle name="Actual year 2 2" xfId="2515" xr:uid="{08AC3D6A-E316-4BC7-BA5D-18FE6323A7F4}"/>
    <cellStyle name="Actual year 2 2 2" xfId="2818" xr:uid="{AA7C6666-CEDC-4E00-B295-BF5923C3E153}"/>
    <cellStyle name="Actual year 2 2 2 2" xfId="4003" xr:uid="{D22D6BB2-CB24-49F3-86DC-D124AA16E418}"/>
    <cellStyle name="Actual year 2 2 2 3" xfId="4617" xr:uid="{E7F93F85-AF11-481A-BD04-AAA087468E33}"/>
    <cellStyle name="Actual year 2 2 2 4" xfId="5065" xr:uid="{CAE8ED73-E372-4B36-8CC9-E3D460A88233}"/>
    <cellStyle name="Actual year 2 2 2 5" xfId="4033" xr:uid="{F7D4C7DC-5FEC-4E3F-879E-3EED752648A6}"/>
    <cellStyle name="Actual year 2 2 3" xfId="3743" xr:uid="{E29C998E-5D0C-43CE-9EA7-20347C5BF041}"/>
    <cellStyle name="Actual year 2 2 4" xfId="4360" xr:uid="{A8327F35-7919-46A9-BEE6-84585717D589}"/>
    <cellStyle name="Actual year 2 2 5" xfId="3290" xr:uid="{BF5F2FD2-4C00-4947-90F0-1C28BF90597D}"/>
    <cellStyle name="Actual year 2 2 6" xfId="3498" xr:uid="{CFC7E333-CE85-49CE-BCCD-F054DDCD53DB}"/>
    <cellStyle name="Actual year 2 3" xfId="2707" xr:uid="{CAD3B57D-36EA-4A93-8252-370F6F09877D}"/>
    <cellStyle name="Actual year 2 3 2" xfId="3907" xr:uid="{EEED69B9-F13F-4F7F-9EBB-04F7D9F385AD}"/>
    <cellStyle name="Actual year 2 3 3" xfId="4520" xr:uid="{ADF574CB-D046-4AC0-81C0-76D9C6BAEEE1}"/>
    <cellStyle name="Actual year 2 3 4" xfId="5028" xr:uid="{7064B6D3-B8DB-432E-9C2D-E9D5FBA831E7}"/>
    <cellStyle name="Actual year 2 3 5" xfId="3294" xr:uid="{0DB43658-192A-4690-9090-E846B325ED05}"/>
    <cellStyle name="Actual year 2 4" xfId="1932" xr:uid="{47BCCEF9-D798-4BA9-88B3-EBA89E95B25D}"/>
    <cellStyle name="Actual year 2 4 2" xfId="3560" xr:uid="{347A6B4B-6F35-4954-B959-789563F3A47E}"/>
    <cellStyle name="Actual year 2 4 3" xfId="3439" xr:uid="{D9D052C1-8C87-4CE8-A2BF-5428CA3FB1F8}"/>
    <cellStyle name="Actual year 2 4 4" xfId="3519" xr:uid="{3CB77336-EA71-40C6-8CCF-EE3243CE3D1C}"/>
    <cellStyle name="Actual year 2 4 5" xfId="3492" xr:uid="{823A0EC8-5287-433D-BD64-4B5F19872C7E}"/>
    <cellStyle name="Actual year 2 5" xfId="3300" xr:uid="{2B0C265C-FC63-4FBD-A052-8E249B2C7118}"/>
    <cellStyle name="Actual year 2 6" xfId="3662" xr:uid="{38346213-DCF6-4975-AF35-9CF37378D9B3}"/>
    <cellStyle name="Actual year 3" xfId="1933" xr:uid="{5866A39E-36D5-4931-ABFA-EA0EF1623F9D}"/>
    <cellStyle name="Actual year 3 2" xfId="2516" xr:uid="{C40A2A31-AB20-4329-B81A-24A0C636096D}"/>
    <cellStyle name="Actual year 3 2 2" xfId="2819" xr:uid="{83FBF2FD-C2D0-46FB-A359-66B4E753870D}"/>
    <cellStyle name="Actual year 3 2 2 2" xfId="4004" xr:uid="{A99606B2-9D49-4E13-9170-438E5D5F93B6}"/>
    <cellStyle name="Actual year 3 2 2 3" xfId="4618" xr:uid="{217C7B0F-188F-465A-BEC6-693BF480589A}"/>
    <cellStyle name="Actual year 3 2 2 4" xfId="5066" xr:uid="{B6FCE8C0-DBC6-4F58-B3AB-E6E7DBBB6ABE}"/>
    <cellStyle name="Actual year 3 2 2 5" xfId="3365" xr:uid="{2179D6DD-EE0B-454E-ACFB-416C8716E4EA}"/>
    <cellStyle name="Actual year 3 2 3" xfId="3744" xr:uid="{65B22F3E-8D8C-41A5-B199-6B69129078BD}"/>
    <cellStyle name="Actual year 3 2 4" xfId="4361" xr:uid="{3EDDBB9F-4CC4-4D2F-AF26-4C68139FD4EB}"/>
    <cellStyle name="Actual year 3 2 5" xfId="3636" xr:uid="{DAD42B89-AD26-45AE-894A-5355DBDFC930}"/>
    <cellStyle name="Actual year 3 2 6" xfId="3694" xr:uid="{BDA4C162-9EB5-4B41-8E47-8402E5E3510B}"/>
    <cellStyle name="Actual year 3 3" xfId="2708" xr:uid="{28AB0916-DB95-4B23-8AA9-23C9230ECEF5}"/>
    <cellStyle name="Actual year 3 3 2" xfId="3908" xr:uid="{C175CEC7-BA2E-4A90-85C8-CC29BFC73270}"/>
    <cellStyle name="Actual year 3 3 3" xfId="4521" xr:uid="{0A846CC3-F9D3-4CFA-A748-48640ACDF7A8}"/>
    <cellStyle name="Actual year 3 3 4" xfId="5029" xr:uid="{D00A5195-316B-443C-858C-0537D2789EA7}"/>
    <cellStyle name="Actual year 3 3 5" xfId="3376" xr:uid="{5FD67D22-3C96-41AA-8DD4-9713E808C75B}"/>
    <cellStyle name="Actual year 3 4" xfId="3561" xr:uid="{4DF091AF-CC28-4E1B-AFF3-7F364628ED2B}"/>
    <cellStyle name="Actual year 3 5" xfId="3438" xr:uid="{FAC9C3A1-0348-4A9A-B100-ADE0EB9CBD9C}"/>
    <cellStyle name="Actual year 3 6" xfId="3520" xr:uid="{9BB4931E-059A-4EF6-A238-3B33E6484842}"/>
    <cellStyle name="Actual year 3 7" xfId="3493" xr:uid="{FA8D60F5-7F59-445E-BE26-086B0A3503E0}"/>
    <cellStyle name="Actual year 4" xfId="2517" xr:uid="{57F30D47-AA3A-4B48-A7A9-EE8263EF8509}"/>
    <cellStyle name="Actual year 4 2" xfId="2820" xr:uid="{B3B93822-0BE0-4390-B5C4-84C7BB00A3A1}"/>
    <cellStyle name="Actual year 4 2 2" xfId="4005" xr:uid="{853102C6-A774-42B5-8440-7B03FCD2231D}"/>
    <cellStyle name="Actual year 4 2 3" xfId="4619" xr:uid="{587230CB-515D-4C3F-B02B-67A989497C1A}"/>
    <cellStyle name="Actual year 4 2 4" xfId="5067" xr:uid="{0B71C8DD-4523-4719-923A-F41CA1EFC201}"/>
    <cellStyle name="Actual year 4 2 5" xfId="3773" xr:uid="{F97322CF-D533-45BC-9D1B-57A1A2CFAFB6}"/>
    <cellStyle name="Actual year 4 3" xfId="3745" xr:uid="{2DC1A75E-C06B-4276-8A31-F4888FCE6F77}"/>
    <cellStyle name="Actual year 4 4" xfId="4362" xr:uid="{E6D10E21-4020-4465-8B0B-8B1175A17C16}"/>
    <cellStyle name="Actual year 4 5" xfId="3637" xr:uid="{E372ABC1-4416-4C5A-A539-BB8B7ED99349}"/>
    <cellStyle name="Actual year 4 6" xfId="3695" xr:uid="{77E6A94C-D44D-430F-909B-5D4FC7D56B18}"/>
    <cellStyle name="Actual year 5" xfId="2582" xr:uid="{145C0467-11E0-4D97-80B6-D37421379F31}"/>
    <cellStyle name="Actual year 5 2" xfId="3797" xr:uid="{60275090-AC8A-432A-A950-F5BD0B8BED84}"/>
    <cellStyle name="Actual year 5 3" xfId="4409" xr:uid="{DEE184DC-0436-407E-A28C-45BC58BF81B2}"/>
    <cellStyle name="Actual year 6" xfId="2612" xr:uid="{166AE795-036D-4CD7-BFC9-FE29D824EAB3}"/>
    <cellStyle name="Actual year 6 2" xfId="3822" xr:uid="{804BAF54-AAFC-42EE-BA5F-159FD2EA3D2B}"/>
    <cellStyle name="Actual year 6 3" xfId="4435" xr:uid="{933A584E-60DB-4A2A-A9FE-BD433148CA41}"/>
    <cellStyle name="Actual year 7" xfId="2588" xr:uid="{6C25AEBA-7D7D-42F4-BBA6-6958D0EEEA5D}"/>
    <cellStyle name="Actual year 7 2" xfId="3802" xr:uid="{E17424BA-5AAD-4A14-8F85-C5F16156DE5B}"/>
    <cellStyle name="Actual year 7 3" xfId="4414" xr:uid="{FE4F2118-6617-46B0-A807-7921F1E284FE}"/>
    <cellStyle name="Actual year 8" xfId="2604" xr:uid="{BF02D604-8095-4937-B17B-F8E0791FB30C}"/>
    <cellStyle name="Actual year 8 2" xfId="3816" xr:uid="{8C62CBAF-28F4-4D9C-9E77-6BD34EE38EF1}"/>
    <cellStyle name="Actual year 8 3" xfId="4428" xr:uid="{4929922F-7C2B-4237-B645-57BA088A3E5C}"/>
    <cellStyle name="Actual year 9" xfId="2571" xr:uid="{B20A04C1-2AA0-49DC-809D-FA3292D34A35}"/>
    <cellStyle name="Actual year 9 2" xfId="3787" xr:uid="{9F71755D-4976-423D-9450-C0A696A3F6D6}"/>
    <cellStyle name="Actual year 9 3" xfId="4399" xr:uid="{166345A5-4FBB-493E-83AB-B41FFA57EFFB}"/>
    <cellStyle name="Actuals Cells" xfId="281" xr:uid="{00000000-0005-0000-0000-000009010000}"/>
    <cellStyle name="Adj L1" xfId="1934" xr:uid="{1CB214C9-B353-43C1-A1F7-D0338C5889EB}"/>
    <cellStyle name="Adj L2" xfId="1935" xr:uid="{5F747164-694D-4019-B592-CED27C7BE052}"/>
    <cellStyle name="Adj L3" xfId="1936" xr:uid="{41585E3E-4253-45D0-BA3C-E81018DDC663}"/>
    <cellStyle name="Adj Space" xfId="1937" xr:uid="{628D63BB-4992-41DC-8111-D5FD34C10CAC}"/>
    <cellStyle name="AFE" xfId="282" xr:uid="{00000000-0005-0000-0000-00000A010000}"/>
    <cellStyle name="afl" xfId="283" xr:uid="{00000000-0005-0000-0000-00000B010000}"/>
    <cellStyle name="AJHCustom" xfId="1938" xr:uid="{995C2E4E-4DF6-4572-8191-0EF56368B48D}"/>
    <cellStyle name="Andre's Title" xfId="284" xr:uid="{00000000-0005-0000-0000-00000C010000}"/>
    <cellStyle name="Ȧormal_VALC" xfId="1939" xr:uid="{94929A19-35D1-4AF9-8EFE-5FC787583F29}"/>
    <cellStyle name="Arial" xfId="1940" xr:uid="{A9A60468-A0F3-43BB-8C7B-547C3A42183A}"/>
    <cellStyle name="Arial 12" xfId="18" xr:uid="{00000000-0005-0000-0000-00000D010000}"/>
    <cellStyle name="Arial6Bold" xfId="1941" xr:uid="{3465F725-4468-4507-B20D-C88890D05620}"/>
    <cellStyle name="Arial6Bold 2" xfId="2518" xr:uid="{75BA42F9-0DD0-4212-B07E-F466F19E925C}"/>
    <cellStyle name="Arial6Bold 2 10" xfId="2688" xr:uid="{3F4F547C-F739-4E9C-AB69-349AFB3C90D1}"/>
    <cellStyle name="Arial6Bold 2 10 2" xfId="3888" xr:uid="{DD360DDC-D9F4-4567-ADB2-CD182F2671B9}"/>
    <cellStyle name="Arial6Bold 2 10 3" xfId="4501" xr:uid="{1887FC67-B902-4C61-8D82-8C14D9B7DAF9}"/>
    <cellStyle name="Arial6Bold 2 10 4" xfId="3330" xr:uid="{307855B9-4291-49EA-B6CB-F5BD4F090042}"/>
    <cellStyle name="Arial6Bold 2 11" xfId="3116" xr:uid="{A4EE6C6D-2172-4B82-9E19-C39389E2DF7C}"/>
    <cellStyle name="Arial6Bold 2 11 2" xfId="4281" xr:uid="{7E03269E-A1D0-4437-9FBA-E473E182039C}"/>
    <cellStyle name="Arial6Bold 2 11 3" xfId="4892" xr:uid="{27B9AE83-0F28-4D47-AFA6-89E56F6F27F4}"/>
    <cellStyle name="Arial6Bold 2 11 4" xfId="5115" xr:uid="{18B1CD22-3BFC-4330-A380-E71D89EA6D64}"/>
    <cellStyle name="Arial6Bold 2 12" xfId="2594" xr:uid="{732C0B5E-5C7C-49C7-9A3D-045BF3A9A855}"/>
    <cellStyle name="Arial6Bold 2 12 2" xfId="3807" xr:uid="{E466F8C1-CCC6-4BD2-BAB4-7EBEC7B0644A}"/>
    <cellStyle name="Arial6Bold 2 12 3" xfId="4419" xr:uid="{9ED5FA7E-4405-4E7F-B022-E6A08DDC86EE}"/>
    <cellStyle name="Arial6Bold 2 12 4" xfId="3427" xr:uid="{FCE232B8-56AB-49DD-8D74-BAC756A08FEB}"/>
    <cellStyle name="Arial6Bold 2 13" xfId="3163" xr:uid="{2D0639FC-6B9B-4D73-8E86-BC763E3066B0}"/>
    <cellStyle name="Arial6Bold 2 13 2" xfId="4325" xr:uid="{B056445E-96CA-4BE9-A926-495AA5F0EFF5}"/>
    <cellStyle name="Arial6Bold 2 13 3" xfId="4937" xr:uid="{0C1A1B30-CF58-40E5-BE5F-330DD070ADE4}"/>
    <cellStyle name="Arial6Bold 2 13 4" xfId="5187" xr:uid="{FD8F05C3-C3A3-4548-8FC5-3FFC1980C269}"/>
    <cellStyle name="Arial6Bold 2 14" xfId="3746" xr:uid="{7DBE15D9-4BCA-4BF5-A454-38BD31894458}"/>
    <cellStyle name="Arial6Bold 2 15" xfId="4363" xr:uid="{B471A08F-5D2E-4944-9F4F-35CD0923CEF8}"/>
    <cellStyle name="Arial6Bold 2 16" xfId="3619" xr:uid="{7D34B6E2-D1B2-4CC4-94AE-04601E289D2D}"/>
    <cellStyle name="Arial6Bold 2 2" xfId="2821" xr:uid="{39B302E0-2915-4663-8AEC-F5BD8BB57BF4}"/>
    <cellStyle name="Arial6Bold 2 2 2" xfId="4006" xr:uid="{75B481A0-A77D-465F-815F-2F4F968BA8B7}"/>
    <cellStyle name="Arial6Bold 2 2 3" xfId="4620" xr:uid="{2F3A5744-8E9E-490B-97F7-41237CB5FFB3}"/>
    <cellStyle name="Arial6Bold 2 2 4" xfId="5038" xr:uid="{C720A091-76D9-4DB4-9055-925E008BD2DF}"/>
    <cellStyle name="Arial6Bold 2 3" xfId="2879" xr:uid="{A4AAF71A-061A-4FE3-97A8-1A0C038EFABE}"/>
    <cellStyle name="Arial6Bold 2 3 2" xfId="4054" xr:uid="{8FB89A4C-F7C3-4CF0-A68B-F8D239DBAF0C}"/>
    <cellStyle name="Arial6Bold 2 3 3" xfId="4666" xr:uid="{6B7FC2AF-CB7D-4296-9774-FCB620D43058}"/>
    <cellStyle name="Arial6Bold 2 3 4" xfId="3583" xr:uid="{769D99E1-0696-4368-9F94-636A830F22EC}"/>
    <cellStyle name="Arial6Bold 2 4" xfId="2765" xr:uid="{32A44CBD-B3CD-454B-8A6A-6EFC02F1AE74}"/>
    <cellStyle name="Arial6Bold 2 4 2" xfId="3957" xr:uid="{F9BFD1D2-F562-4236-BBAC-2C9A44D5938B}"/>
    <cellStyle name="Arial6Bold 2 4 3" xfId="4569" xr:uid="{0A1D30C7-7047-42A6-8909-764EFCB39643}"/>
    <cellStyle name="Arial6Bold 2 4 4" xfId="3464" xr:uid="{09D15880-CF4C-46B0-A8E7-6B5561ACA4FD}"/>
    <cellStyle name="Arial6Bold 2 5" xfId="2940" xr:uid="{258F528C-CB26-4C5A-A51C-F65963EE41FE}"/>
    <cellStyle name="Arial6Bold 2 5 2" xfId="4111" xr:uid="{45C1C963-4DD6-4BAA-822F-0352C3A754D1}"/>
    <cellStyle name="Arial6Bold 2 5 3" xfId="4722" xr:uid="{060E7A74-3464-4720-960F-AFB42A888F80}"/>
    <cellStyle name="Arial6Bold 2 5 4" xfId="3393" xr:uid="{3F2D8654-6DD9-46F2-BB6A-8E530D878F2D}"/>
    <cellStyle name="Arial6Bold 2 6" xfId="2584" xr:uid="{504FCFC4-7D71-49FC-A9C5-FFCA0231F48D}"/>
    <cellStyle name="Arial6Bold 2 6 2" xfId="3798" xr:uid="{8BA92185-468D-48C6-BC17-8A9A0B0E20A0}"/>
    <cellStyle name="Arial6Bold 2 6 3" xfId="4410" xr:uid="{08B0C34C-57AE-4E43-B32F-F47AAF7BD320}"/>
    <cellStyle name="Arial6Bold 2 6 4" xfId="3237" xr:uid="{DEDCF227-435B-419B-BBC5-E42BBBBE99C9}"/>
    <cellStyle name="Arial6Bold 2 7" xfId="3004" xr:uid="{CD218C23-6DEE-41F3-9ADC-08F34E6FB031}"/>
    <cellStyle name="Arial6Bold 2 7 2" xfId="4172" xr:uid="{FC9564A2-25DD-450D-A83B-274A58BB8615}"/>
    <cellStyle name="Arial6Bold 2 7 3" xfId="4782" xr:uid="{5D4622A3-3EF2-4C2B-9315-D2D22F2302E8}"/>
    <cellStyle name="Arial6Bold 2 7 4" xfId="3360" xr:uid="{31688FBC-C77B-4FF1-8D81-B14F5817A3C3}"/>
    <cellStyle name="Arial6Bold 2 8" xfId="2622" xr:uid="{63B30406-7A59-40BF-9CD8-484BEA16289F}"/>
    <cellStyle name="Arial6Bold 2 8 2" xfId="3832" xr:uid="{AF607ECF-0769-4A37-8543-D0C7120231FC}"/>
    <cellStyle name="Arial6Bold 2 8 3" xfId="4445" xr:uid="{59B550CC-B10D-4503-B5F5-26879A4C1502}"/>
    <cellStyle name="Arial6Bold 2 8 4" xfId="5116" xr:uid="{8103DB37-05B8-4AE2-8252-FD00C4C61702}"/>
    <cellStyle name="Arial6Bold 2 9" xfId="2635" xr:uid="{42235240-D068-4FAB-85A2-A43C760FDD4A}"/>
    <cellStyle name="Arial6Bold 2 9 2" xfId="3843" xr:uid="{50D2DD99-1825-4326-BB4E-802520B79652}"/>
    <cellStyle name="Arial6Bold 2 9 3" xfId="4456" xr:uid="{E841DA11-7558-4158-B56C-7EF33269289F}"/>
    <cellStyle name="Arial6Bold 2 9 4" xfId="4030" xr:uid="{8B23449A-98FB-4002-8851-F21EE23C7237}"/>
    <cellStyle name="Arial6Bold 3" xfId="2709" xr:uid="{D32D7B50-C54B-4491-8E50-EBA0BB4546BB}"/>
    <cellStyle name="Arial6Bold 3 2" xfId="3909" xr:uid="{77D68B0D-46EA-4ACC-AD84-0C3899CFF467}"/>
    <cellStyle name="Arial6Bold 3 3" xfId="4522" xr:uid="{BEAE2EB9-E44A-41E3-A3F8-601AA6B5B1C2}"/>
    <cellStyle name="Arial6Bold 3 4" xfId="3289" xr:uid="{8B735460-B46F-4FF4-BA21-B97FC10EE55A}"/>
    <cellStyle name="Arial6Bold 4" xfId="3564" xr:uid="{4A561D2E-F8A8-4ED0-9176-68D4DBDADF50}"/>
    <cellStyle name="Arial6Bold 5" xfId="3437" xr:uid="{8B5485BD-5EBB-4022-B592-ABDF71F8CF9A}"/>
    <cellStyle name="Arial6Bold 6" xfId="3494" xr:uid="{FEBFF948-006E-459B-902C-D8317DB0FBF8}"/>
    <cellStyle name="Arial8Bold" xfId="1942" xr:uid="{5B5034DE-5F35-4016-9FF8-F2A999FAC73E}"/>
    <cellStyle name="Arial8Bold 2" xfId="1943" xr:uid="{94D0D5CB-4CC9-4226-AAB7-3181C88E3B61}"/>
    <cellStyle name="Arial8Bold 2 2" xfId="2519" xr:uid="{4145AC93-97CA-412D-AF66-0319F7C990FA}"/>
    <cellStyle name="Arial8Bold 2 2 10" xfId="2689" xr:uid="{30E67AB6-DC8E-474F-9708-FD227B54FA15}"/>
    <cellStyle name="Arial8Bold 2 2 10 2" xfId="3889" xr:uid="{5B8357DB-A003-44D0-B62D-55F8F5AD9B47}"/>
    <cellStyle name="Arial8Bold 2 2 10 3" xfId="4502" xr:uid="{50960010-A2CB-4408-ADAD-E1BA1C7BD744}"/>
    <cellStyle name="Arial8Bold 2 2 10 4" xfId="3400" xr:uid="{6C070718-2766-42E9-B689-7E362719DB88}"/>
    <cellStyle name="Arial8Bold 2 2 11" xfId="3117" xr:uid="{368AD8D2-2891-4270-9576-AD4D945783CD}"/>
    <cellStyle name="Arial8Bold 2 2 11 2" xfId="4282" xr:uid="{19C6E4E9-F23D-4765-A1EA-26031C861241}"/>
    <cellStyle name="Arial8Bold 2 2 11 3" xfId="4893" xr:uid="{A95CDB89-91CC-449D-9EAC-F8ED707D3A6C}"/>
    <cellStyle name="Arial8Bold 2 2 11 4" xfId="5034" xr:uid="{3D894A0A-402A-46FF-AF1D-351E981FAF68}"/>
    <cellStyle name="Arial8Bold 2 2 12" xfId="2656" xr:uid="{DC43609D-0E6E-4DE1-985C-9843B11932EE}"/>
    <cellStyle name="Arial8Bold 2 2 12 2" xfId="3861" xr:uid="{F1B81056-E7CE-4480-A1B6-6D40B106CD61}"/>
    <cellStyle name="Arial8Bold 2 2 12 3" xfId="4475" xr:uid="{FECFB03E-63A7-4623-B5AA-C09E1F59938D}"/>
    <cellStyle name="Arial8Bold 2 2 12 4" xfId="4975" xr:uid="{C200EAD9-C7FF-4A01-B383-08600EF3EF11}"/>
    <cellStyle name="Arial8Bold 2 2 13" xfId="3164" xr:uid="{38B8AC97-6AD8-4D5C-9775-FCA9ED106D50}"/>
    <cellStyle name="Arial8Bold 2 2 13 2" xfId="4326" xr:uid="{2FC2E4BB-6D1F-4519-BD11-F47376B695AE}"/>
    <cellStyle name="Arial8Bold 2 2 13 3" xfId="4938" xr:uid="{FC40A005-766E-4DC3-9AC8-ED75ED0B8994}"/>
    <cellStyle name="Arial8Bold 2 2 13 4" xfId="5072" xr:uid="{321C7520-6ACF-4980-97F7-7EEAACDAC631}"/>
    <cellStyle name="Arial8Bold 2 2 14" xfId="3747" xr:uid="{82C1BE22-972D-4ABD-A952-F1CEA2FA0956}"/>
    <cellStyle name="Arial8Bold 2 2 15" xfId="4364" xr:uid="{8EE5754A-7B66-4356-8000-09176062B943}"/>
    <cellStyle name="Arial8Bold 2 2 16" xfId="3373" xr:uid="{8B2DA059-E101-4E12-886F-049A5F486169}"/>
    <cellStyle name="Arial8Bold 2 2 2" xfId="2822" xr:uid="{B2AE7F5C-1C0D-4E45-A835-154983DCE790}"/>
    <cellStyle name="Arial8Bold 2 2 2 2" xfId="4007" xr:uid="{106BFE24-EC12-4609-AF70-0E4CE33EB0BC}"/>
    <cellStyle name="Arial8Bold 2 2 2 3" xfId="4621" xr:uid="{C0AC5386-50FA-43E6-A5E2-A39F26C35DBD}"/>
    <cellStyle name="Arial8Bold 2 2 2 4" xfId="3551" xr:uid="{DA4108D5-8372-4E29-BF54-61A9B51145D2}"/>
    <cellStyle name="Arial8Bold 2 2 3" xfId="2880" xr:uid="{DA8E96B5-7737-4F3F-9803-5D6740FF8D6C}"/>
    <cellStyle name="Arial8Bold 2 2 3 2" xfId="4055" xr:uid="{ED80D3C7-1E06-496D-8C05-6132FF1F2415}"/>
    <cellStyle name="Arial8Bold 2 2 3 3" xfId="4667" xr:uid="{FBF057C8-F9BF-40F7-9159-CB8127298BB9}"/>
    <cellStyle name="Arial8Bold 2 2 3 4" xfId="5037" xr:uid="{DFC0B57D-E4BA-42B8-8083-538FE9E07B14}"/>
    <cellStyle name="Arial8Bold 2 2 4" xfId="2766" xr:uid="{0C4E9AE8-A579-417A-B968-D187ED0E4BFE}"/>
    <cellStyle name="Arial8Bold 2 2 4 2" xfId="3958" xr:uid="{6723E584-2067-44E1-8BC4-18BF50BD3581}"/>
    <cellStyle name="Arial8Bold 2 2 4 3" xfId="4570" xr:uid="{A6F41FA5-F947-48B0-9178-9A9FAEED0BA0}"/>
    <cellStyle name="Arial8Bold 2 2 4 4" xfId="5015" xr:uid="{AC2A2550-DD84-4711-BA4E-7DFA5685F335}"/>
    <cellStyle name="Arial8Bold 2 2 5" xfId="2941" xr:uid="{5E07A21B-715D-4907-931C-900E5A5BC115}"/>
    <cellStyle name="Arial8Bold 2 2 5 2" xfId="4112" xr:uid="{CE6DFB34-1B22-4D7F-B11E-D1EF8C84B33C}"/>
    <cellStyle name="Arial8Bold 2 2 5 3" xfId="4723" xr:uid="{A551D43E-F45B-4E6A-AF8E-2872C281088E}"/>
    <cellStyle name="Arial8Bold 2 2 5 4" xfId="5133" xr:uid="{5D4B3A46-7736-4C22-ADC0-720DDE7FFF28}"/>
    <cellStyle name="Arial8Bold 2 2 6" xfId="2566" xr:uid="{20772F60-B3EE-48DA-811A-5C8435AF90E6}"/>
    <cellStyle name="Arial8Bold 2 2 6 2" xfId="3782" xr:uid="{AD59B4E4-D4E4-4F8F-8A2D-157B3498015B}"/>
    <cellStyle name="Arial8Bold 2 2 6 3" xfId="4394" xr:uid="{70D13C9A-68F0-4DF8-9BED-324AC277F342}"/>
    <cellStyle name="Arial8Bold 2 2 6 4" xfId="3589" xr:uid="{9F928D7F-5EC1-4413-98EF-E5D2AE10D403}"/>
    <cellStyle name="Arial8Bold 2 2 7" xfId="3005" xr:uid="{87C32A33-2772-4EC5-A910-C67FEB70C2BE}"/>
    <cellStyle name="Arial8Bold 2 2 7 2" xfId="4173" xr:uid="{77B4D6DE-ACE3-4C1E-89AA-E924309AE8BB}"/>
    <cellStyle name="Arial8Bold 2 2 7 3" xfId="4783" xr:uid="{73D3BB0B-8629-44AE-9E64-10508A2ED31A}"/>
    <cellStyle name="Arial8Bold 2 2 7 4" xfId="3233" xr:uid="{5C67366F-CBE4-4269-922F-E3FB6E07379A}"/>
    <cellStyle name="Arial8Bold 2 2 8" xfId="2697" xr:uid="{B51F53AC-DA76-4763-95A1-5BE82B66FA89}"/>
    <cellStyle name="Arial8Bold 2 2 8 2" xfId="3897" xr:uid="{FB7DA585-0A04-4CDD-83FE-0576BADE0715}"/>
    <cellStyle name="Arial8Bold 2 2 8 3" xfId="4510" xr:uid="{2DF46E2D-5F1C-4FF0-B56D-62087FFB968C}"/>
    <cellStyle name="Arial8Bold 2 2 8 4" xfId="3332" xr:uid="{C0C54F78-92FA-4E19-ADEB-384F6EA3AFB3}"/>
    <cellStyle name="Arial8Bold 2 2 9" xfId="2634" xr:uid="{44E5A400-9EEA-4507-8BDA-90E62C36C0A0}"/>
    <cellStyle name="Arial8Bold 2 2 9 2" xfId="3842" xr:uid="{8CD6BAF3-A639-4172-8518-C70084C4D9D6}"/>
    <cellStyle name="Arial8Bold 2 2 9 3" xfId="4455" xr:uid="{20C8B7E9-C0A8-4C91-9F77-E6D41D9E3F02}"/>
    <cellStyle name="Arial8Bold 2 2 9 4" xfId="3754" xr:uid="{B75D364B-4B8D-4C53-BD10-DFF329DB86D9}"/>
    <cellStyle name="Arial8Bold 2 3" xfId="2711" xr:uid="{B1D2B1F5-0E53-4A92-995F-C49A7BE1E562}"/>
    <cellStyle name="Arial8Bold 2 3 2" xfId="3911" xr:uid="{8E7D7E3F-258B-4332-9534-8560D647386D}"/>
    <cellStyle name="Arial8Bold 2 3 3" xfId="4524" xr:uid="{C53A3B36-587F-4ABA-AEA8-C7359982A5A8}"/>
    <cellStyle name="Arial8Bold 2 3 4" xfId="3377" xr:uid="{5801B054-ED16-4ADB-A881-EEA4E0C1DDD4}"/>
    <cellStyle name="Arial8Bold 2 4" xfId="3566" xr:uid="{CB948611-8B0B-45C3-BCFC-70F0CC50077F}"/>
    <cellStyle name="Arial8Bold 2 5" xfId="3435" xr:uid="{CF0F0942-489E-497F-B8C0-C412957E4E65}"/>
    <cellStyle name="Arial8Bold 2 6" xfId="5143" xr:uid="{169B2A6D-DEBD-461C-9DCA-064A3E26597A}"/>
    <cellStyle name="Arial8Bold 3" xfId="2520" xr:uid="{E49AF1A2-4CA6-426B-8F60-909EE199E25E}"/>
    <cellStyle name="Arial8Bold 3 10" xfId="2586" xr:uid="{ABA2070C-D993-4BDE-A2F9-916A29CC5322}"/>
    <cellStyle name="Arial8Bold 3 10 2" xfId="3800" xr:uid="{292B002E-A0B3-41DA-A119-9F5BE95436C4}"/>
    <cellStyle name="Arial8Bold 3 10 3" xfId="4412" xr:uid="{8078F783-8FFD-43BD-8E9E-A7A39336ABD4}"/>
    <cellStyle name="Arial8Bold 3 10 4" xfId="3238" xr:uid="{954414E0-3A7B-4B3F-92CC-5B484ACFD9A1}"/>
    <cellStyle name="Arial8Bold 3 11" xfId="3118" xr:uid="{D0B22F0A-8668-4AA5-8DC3-2AD33B51A216}"/>
    <cellStyle name="Arial8Bold 3 11 2" xfId="4283" xr:uid="{47125FF4-0F59-47FF-9DCA-FD2CDD93CF4C}"/>
    <cellStyle name="Arial8Bold 3 11 3" xfId="4894" xr:uid="{836877F9-49C1-45B4-ADC2-6F3A6C72CC12}"/>
    <cellStyle name="Arial8Bold 3 11 4" xfId="3644" xr:uid="{FAC98219-49B2-4620-B968-821BD1D95A8F}"/>
    <cellStyle name="Arial8Bold 3 12" xfId="3114" xr:uid="{5095CCF6-9414-48F6-902D-D66F12646BA3}"/>
    <cellStyle name="Arial8Bold 3 12 2" xfId="4279" xr:uid="{C5290C6E-33BB-452A-96A2-5B69A14624A6}"/>
    <cellStyle name="Arial8Bold 3 12 3" xfId="4890" xr:uid="{853D0BE4-3A2A-4817-8B48-FC35B475CFDB}"/>
    <cellStyle name="Arial8Bold 3 12 4" xfId="3592" xr:uid="{ACC7BB39-CFE2-42E5-AB84-A237FAA34F39}"/>
    <cellStyle name="Arial8Bold 3 13" xfId="3165" xr:uid="{DBD2329E-2DA6-4187-A91F-4692E7CB9D70}"/>
    <cellStyle name="Arial8Bold 3 13 2" xfId="4327" xr:uid="{AAA8FD6F-76FE-4F8F-8160-5D8F1F050D3B}"/>
    <cellStyle name="Arial8Bold 3 13 3" xfId="4939" xr:uid="{8CD623DA-4AFF-4C10-A517-21DF7FD79AAE}"/>
    <cellStyle name="Arial8Bold 3 13 4" xfId="5093" xr:uid="{66092A01-C082-4ADC-9535-A52056BA871B}"/>
    <cellStyle name="Arial8Bold 3 14" xfId="3748" xr:uid="{083A184F-519F-4283-9A3F-87EE03FA1A6D}"/>
    <cellStyle name="Arial8Bold 3 15" xfId="4365" xr:uid="{0B7CAD66-ECDA-4CF6-AC13-16777C4C5677}"/>
    <cellStyle name="Arial8Bold 3 16" xfId="3374" xr:uid="{A1CD2837-F6FF-4E75-8918-7E35581F37FB}"/>
    <cellStyle name="Arial8Bold 3 2" xfId="2823" xr:uid="{3F379545-3C60-48B8-B0AF-DD933E946D81}"/>
    <cellStyle name="Arial8Bold 3 2 2" xfId="4008" xr:uid="{154DD6FD-9E92-4AAD-89CE-075BABFFD7FE}"/>
    <cellStyle name="Arial8Bold 3 2 3" xfId="4622" xr:uid="{AFE46941-3495-481A-A074-AEBDE3568678}"/>
    <cellStyle name="Arial8Bold 3 2 4" xfId="3533" xr:uid="{092A5B8D-F390-4518-AF02-08E7E7D42239}"/>
    <cellStyle name="Arial8Bold 3 3" xfId="2881" xr:uid="{09DB33EC-FC8D-4B81-94BC-81BA7FDAF28E}"/>
    <cellStyle name="Arial8Bold 3 3 2" xfId="4056" xr:uid="{9CFB650C-229D-4992-A7CF-607AB819A052}"/>
    <cellStyle name="Arial8Bold 3 3 3" xfId="4668" xr:uid="{2F957147-3CEB-46E4-8D90-7B40A7C99805}"/>
    <cellStyle name="Arial8Bold 3 3 4" xfId="3267" xr:uid="{2181F992-5491-44DA-87D6-136DA4EBB4C6}"/>
    <cellStyle name="Arial8Bold 3 4" xfId="2767" xr:uid="{0402F3A2-9D2D-4A9F-A7D7-AECC2F9679C0}"/>
    <cellStyle name="Arial8Bold 3 4 2" xfId="3959" xr:uid="{2036CBE2-3F73-4E66-8C27-0B319101929C}"/>
    <cellStyle name="Arial8Bold 3 4 3" xfId="4571" xr:uid="{B839383D-ECA5-461A-9CC8-506904CE5D8C}"/>
    <cellStyle name="Arial8Bold 3 4 4" xfId="3252" xr:uid="{DAFBF502-853D-40CD-B7EB-DEEAD24D8BE5}"/>
    <cellStyle name="Arial8Bold 3 5" xfId="2942" xr:uid="{C08C84FF-4816-4595-A1E0-A2DE5A23895F}"/>
    <cellStyle name="Arial8Bold 3 5 2" xfId="4113" xr:uid="{BB05ABEC-FCA7-4E21-8666-22C5F2AA77E2}"/>
    <cellStyle name="Arial8Bold 3 5 3" xfId="4724" xr:uid="{28A36D5E-572D-4BE3-81BB-FBF6E4948C2B}"/>
    <cellStyle name="Arial8Bold 3 5 4" xfId="5025" xr:uid="{A16B8B1A-A40D-4582-9A5E-6C6B3859E82D}"/>
    <cellStyle name="Arial8Bold 3 6" xfId="2602" xr:uid="{02616D30-2B0E-4F9C-96FE-689B795C39A2}"/>
    <cellStyle name="Arial8Bold 3 6 2" xfId="3814" xr:uid="{D505B80F-BB21-4A50-B630-EA45EA5105C7}"/>
    <cellStyle name="Arial8Bold 3 6 3" xfId="4426" xr:uid="{FAAFC46E-EE30-412B-81AC-DE6FF17921C1}"/>
    <cellStyle name="Arial8Bold 3 6 4" xfId="5181" xr:uid="{8AFFD211-6D19-47D7-BA05-CC00AD329BC0}"/>
    <cellStyle name="Arial8Bold 3 7" xfId="3006" xr:uid="{A998D40D-E0C6-417B-9410-1BD28CAEE4B0}"/>
    <cellStyle name="Arial8Bold 3 7 2" xfId="4174" xr:uid="{70AC3B1D-D3CE-49AE-B903-18FE416D5B47}"/>
    <cellStyle name="Arial8Bold 3 7 3" xfId="4784" xr:uid="{0C9496C2-334D-4FB0-87E3-F03740469391}"/>
    <cellStyle name="Arial8Bold 3 7 4" xfId="3350" xr:uid="{652C7AD7-0DC7-4081-B876-F602EB633026}"/>
    <cellStyle name="Arial8Bold 3 8" xfId="2698" xr:uid="{A04952FD-6FD9-4544-805C-A05E7908D07D}"/>
    <cellStyle name="Arial8Bold 3 8 2" xfId="3898" xr:uid="{2675CDEE-E907-46C0-AB96-B708957810A3}"/>
    <cellStyle name="Arial8Bold 3 8 3" xfId="4511" xr:uid="{06C0DD4D-B975-4CD6-8B5F-7802DF77769E}"/>
    <cellStyle name="Arial8Bold 3 8 4" xfId="3401" xr:uid="{BC998F68-30D0-4BB9-ACCA-EC594B347544}"/>
    <cellStyle name="Arial8Bold 3 9" xfId="2661" xr:uid="{743DB997-101C-4819-8A48-A088F7A78068}"/>
    <cellStyle name="Arial8Bold 3 9 2" xfId="3866" xr:uid="{2D800D6B-B0FD-41A8-A82F-28998A89BE80}"/>
    <cellStyle name="Arial8Bold 3 9 3" xfId="4480" xr:uid="{5FA3B292-B731-4B9A-AB5B-0FD786CEE728}"/>
    <cellStyle name="Arial8Bold 3 9 4" xfId="5147" xr:uid="{8D6D681E-0906-45A5-9BE7-96116D92D730}"/>
    <cellStyle name="Arial8Bold 4" xfId="2710" xr:uid="{F665D16F-1805-4B63-85B3-2E146ED8BF80}"/>
    <cellStyle name="Arial8Bold 4 2" xfId="3910" xr:uid="{535D758F-E05A-4B43-BF93-2C5CFE8C95A0}"/>
    <cellStyle name="Arial8Bold 4 3" xfId="4523" xr:uid="{7A158DA5-451C-4244-9853-A29F10AA443F}"/>
    <cellStyle name="Arial8Bold 4 4" xfId="4355" xr:uid="{6BBE048E-47D6-4237-9B9D-16F47834A7A0}"/>
    <cellStyle name="Arial8Bold 5" xfId="3565" xr:uid="{F981AFE1-9690-44F9-A8DD-4B1E06C557C9}"/>
    <cellStyle name="Arial8Bold 6" xfId="3436" xr:uid="{2F4982E6-95E8-4FB6-AA3F-618055CF8517}"/>
    <cellStyle name="Arial8Bold 7" xfId="3624" xr:uid="{1FCAC855-CC7C-4C46-A512-51029EA1DCB8}"/>
    <cellStyle name="Arial8Italic" xfId="1944" xr:uid="{09B3F994-E38E-49AD-9A97-8394595F198E}"/>
    <cellStyle name="Arial8Italic 2" xfId="1945" xr:uid="{941206FA-2AC3-4BA0-BC5E-33315B6F9791}"/>
    <cellStyle name="Arial8Italic 2 2" xfId="2521" xr:uid="{4E5E1815-6695-477F-83EC-359927AF8C36}"/>
    <cellStyle name="Arial8Italic 2 2 10" xfId="2690" xr:uid="{5E2B1F99-B7EC-4005-870A-4C9CA5DA02DC}"/>
    <cellStyle name="Arial8Italic 2 2 10 2" xfId="3890" xr:uid="{16E3ECDE-BBD6-4B67-974C-EA672965041A}"/>
    <cellStyle name="Arial8Italic 2 2 10 3" xfId="4503" xr:uid="{64117540-2C9A-4333-B409-84CFC6D965B8}"/>
    <cellStyle name="Arial8Italic 2 2 10 4" xfId="4865" xr:uid="{08C72C3D-590E-4FBB-A852-134A0EA14955}"/>
    <cellStyle name="Arial8Italic 2 2 11" xfId="3119" xr:uid="{62F6F568-024E-4D1F-8339-33942705772D}"/>
    <cellStyle name="Arial8Italic 2 2 11 2" xfId="4284" xr:uid="{7656C3B1-106C-4A57-82CC-2E5D2D24EF1D}"/>
    <cellStyle name="Arial8Italic 2 2 11 3" xfId="4895" xr:uid="{589DEB6A-1A2D-4230-B669-F8FC4AEE3126}"/>
    <cellStyle name="Arial8Italic 2 2 11 4" xfId="5156" xr:uid="{26BD1BB5-2BF1-4251-BC37-ADD3A8BB7434}"/>
    <cellStyle name="Arial8Italic 2 2 12" xfId="2664" xr:uid="{7489EE34-4CDB-4034-9FE1-A18909E00FFD}"/>
    <cellStyle name="Arial8Italic 2 2 12 2" xfId="3869" xr:uid="{29743C0F-27BE-459A-A1B0-271D26564258}"/>
    <cellStyle name="Arial8Italic 2 2 12 3" xfId="4483" xr:uid="{A9047330-2ECC-4B2F-89C5-4B3590872E3B}"/>
    <cellStyle name="Arial8Italic 2 2 12 4" xfId="5141" xr:uid="{348A4EDF-7BB3-4B39-94A7-312D668BFF32}"/>
    <cellStyle name="Arial8Italic 2 2 13" xfId="3166" xr:uid="{D9BC021D-626A-41CA-9937-B85DC8DA12C5}"/>
    <cellStyle name="Arial8Italic 2 2 13 2" xfId="4328" xr:uid="{77D73875-2CEA-4716-8535-F09C2B9626B0}"/>
    <cellStyle name="Arial8Italic 2 2 13 3" xfId="4940" xr:uid="{5259AC7B-E3EC-4CD7-92D9-C6A498FBF75C}"/>
    <cellStyle name="Arial8Italic 2 2 13 4" xfId="5102" xr:uid="{B41D120B-0F83-49A0-9352-010658E9FB3C}"/>
    <cellStyle name="Arial8Italic 2 2 14" xfId="3749" xr:uid="{F2DC0A83-417C-43CF-9502-5C30A0E83363}"/>
    <cellStyle name="Arial8Italic 2 2 15" xfId="4366" xr:uid="{9065DF56-4C05-4942-A3D3-F4DF3CE24222}"/>
    <cellStyle name="Arial8Italic 2 2 16" xfId="3454" xr:uid="{81168197-61A5-4AD3-8C7C-DDCF0F3421DD}"/>
    <cellStyle name="Arial8Italic 2 2 2" xfId="2824" xr:uid="{703AD309-31E0-46C5-AFD4-83992FDDD0D5}"/>
    <cellStyle name="Arial8Italic 2 2 2 2" xfId="4009" xr:uid="{53821311-4A11-46D2-AD73-9D9BAD10C160}"/>
    <cellStyle name="Arial8Italic 2 2 2 3" xfId="4623" xr:uid="{59FD38FA-6BBF-4307-86C8-D434ED1666E1}"/>
    <cellStyle name="Arial8Italic 2 2 2 4" xfId="5080" xr:uid="{F31FB532-6B1C-49A7-9E2A-10ABC20853B6}"/>
    <cellStyle name="Arial8Italic 2 2 3" xfId="2882" xr:uid="{107B4FE4-52D6-4C48-B217-8C11C221D173}"/>
    <cellStyle name="Arial8Italic 2 2 3 2" xfId="4057" xr:uid="{32BDA655-1E07-4372-A9B8-B06027F70B6E}"/>
    <cellStyle name="Arial8Italic 2 2 3 3" xfId="4669" xr:uid="{3EAF927A-677A-4C91-B5DC-B20107B9211C}"/>
    <cellStyle name="Arial8Italic 2 2 3 4" xfId="3578" xr:uid="{5CCFD1F4-1301-4664-AA3D-EB2C5682019B}"/>
    <cellStyle name="Arial8Italic 2 2 4" xfId="2768" xr:uid="{8FDF2765-9D5B-499A-B524-8C3F077D9494}"/>
    <cellStyle name="Arial8Italic 2 2 4 2" xfId="3960" xr:uid="{66C48AD0-BF74-4F10-92D9-1F48CB179B4A}"/>
    <cellStyle name="Arial8Italic 2 2 4 3" xfId="4572" xr:uid="{2870BCDE-1141-424E-AC5B-CEBAAD77F102}"/>
    <cellStyle name="Arial8Italic 2 2 4 4" xfId="3668" xr:uid="{5A798E39-6A7B-44FA-998A-EC4CFBD2D4BC}"/>
    <cellStyle name="Arial8Italic 2 2 5" xfId="2943" xr:uid="{D76229A6-0BE4-41AA-975D-17E34C7B46F5}"/>
    <cellStyle name="Arial8Italic 2 2 5 2" xfId="4114" xr:uid="{28C80A98-A7E6-48DB-8551-730495A00C60}"/>
    <cellStyle name="Arial8Italic 2 2 5 3" xfId="4725" xr:uid="{5F7DEF68-200E-4CF9-A44C-A55D75C7565B}"/>
    <cellStyle name="Arial8Italic 2 2 5 4" xfId="3253" xr:uid="{A809069F-FFC6-48C5-9E87-6CF530175F11}"/>
    <cellStyle name="Arial8Italic 2 2 6" xfId="2728" xr:uid="{AD57D89F-855D-407E-BBB6-E3C85BE8AAE0}"/>
    <cellStyle name="Arial8Italic 2 2 6 2" xfId="3928" xr:uid="{55D6E79A-8E32-49A0-9F5C-FB4EC98D41DB}"/>
    <cellStyle name="Arial8Italic 2 2 6 3" xfId="4540" xr:uid="{F556822F-4366-4E30-A9FB-927B65B6756A}"/>
    <cellStyle name="Arial8Italic 2 2 6 4" xfId="3256" xr:uid="{9C99C392-68CD-47B3-86E4-9CB08F3DD48C}"/>
    <cellStyle name="Arial8Italic 2 2 7" xfId="3007" xr:uid="{7264A2A4-A242-49DF-B4CD-96D1A4F1123A}"/>
    <cellStyle name="Arial8Italic 2 2 7 2" xfId="4175" xr:uid="{8CAFD515-16DD-4A10-BAE3-F0F090CF4B03}"/>
    <cellStyle name="Arial8Italic 2 2 7 3" xfId="4785" xr:uid="{E67507B2-DD85-4363-B76F-8A838339B088}"/>
    <cellStyle name="Arial8Italic 2 2 7 4" xfId="5086" xr:uid="{C902CDC3-F8C0-41D9-B0EB-80B4965FBC2D}"/>
    <cellStyle name="Arial8Italic 2 2 8" xfId="2872" xr:uid="{DCC77278-D111-4B95-B43B-B7AE17F4447C}"/>
    <cellStyle name="Arial8Italic 2 2 8 2" xfId="4049" xr:uid="{02D9B6D5-27D1-4047-8201-4017F49597B4}"/>
    <cellStyle name="Arial8Italic 2 2 8 3" xfId="4662" xr:uid="{3A5A7C03-A880-4299-BD62-5DA83D8DE435}"/>
    <cellStyle name="Arial8Italic 2 2 8 4" xfId="3738" xr:uid="{C497DEBF-3DB0-4F93-ADBD-BB1612EEF4F2}"/>
    <cellStyle name="Arial8Italic 2 2 9" xfId="2952" xr:uid="{CB676BAF-9CDF-445C-8111-B904A73CDF47}"/>
    <cellStyle name="Arial8Italic 2 2 9 2" xfId="4123" xr:uid="{D640B640-A8EC-4432-A41C-B9CCE5FE22D4}"/>
    <cellStyle name="Arial8Italic 2 2 9 3" xfId="4734" xr:uid="{4C8027F2-7C7D-4A49-9DE3-310A5CC56ACF}"/>
    <cellStyle name="Arial8Italic 2 2 9 4" xfId="5024" xr:uid="{59BADC94-2A62-4678-B98C-2C855C10E503}"/>
    <cellStyle name="Arial8Italic 2 3" xfId="2713" xr:uid="{52BC3D95-7763-4EA4-9AF5-F304048A7058}"/>
    <cellStyle name="Arial8Italic 2 3 2" xfId="3913" xr:uid="{80C983D9-CFDE-4E54-82F9-3B9763534E1B}"/>
    <cellStyle name="Arial8Italic 2 3 3" xfId="4526" xr:uid="{A8763429-55F3-49FA-AF22-B3DB3CBCD3C7}"/>
    <cellStyle name="Arial8Italic 2 3 4" xfId="3379" xr:uid="{C0836A54-5B4A-4646-A2AF-48BF66EA376E}"/>
    <cellStyle name="Arial8Italic 2 4" xfId="3568" xr:uid="{A57B5EDF-D4BC-4EEA-B8FE-8FF4771AA5A3}"/>
    <cellStyle name="Arial8Italic 2 5" xfId="3433" xr:uid="{DEA60E32-2147-4A84-93A2-E8A613198703}"/>
    <cellStyle name="Arial8Italic 2 6" xfId="3496" xr:uid="{FF165C14-9CC6-47F3-B614-E35A38C71B65}"/>
    <cellStyle name="Arial8Italic 3" xfId="2522" xr:uid="{A51413A3-895D-445D-8B05-6ABFDEC29F53}"/>
    <cellStyle name="Arial8Italic 3 10" xfId="3083" xr:uid="{77E7484F-BE9E-4206-B160-3DC2F7E7A9A8}"/>
    <cellStyle name="Arial8Italic 3 10 2" xfId="4251" xr:uid="{2F929643-46F3-47BE-8DC2-F03D3F15E2BF}"/>
    <cellStyle name="Arial8Italic 3 10 3" xfId="4861" xr:uid="{3B81B180-726D-4AFE-92B2-E1EBE3B70588}"/>
    <cellStyle name="Arial8Italic 3 10 4" xfId="5159" xr:uid="{7A4E6DDE-5073-4DE2-8952-A4350BC6D8D8}"/>
    <cellStyle name="Arial8Italic 3 11" xfId="3120" xr:uid="{A5109BF7-2CFA-4984-A4FE-ABA3DD58589D}"/>
    <cellStyle name="Arial8Italic 3 11 2" xfId="4285" xr:uid="{16FE01C5-1B84-4B73-A651-FF6B32C41B5C}"/>
    <cellStyle name="Arial8Italic 3 11 3" xfId="4896" xr:uid="{C31E437C-1C1C-423C-A19E-B79D502749C2}"/>
    <cellStyle name="Arial8Italic 3 11 4" xfId="5169" xr:uid="{94CA3279-CAF8-4968-B482-B188E321FC10}"/>
    <cellStyle name="Arial8Italic 3 12" xfId="3115" xr:uid="{E463237C-0F94-4FFF-9814-C76D656BD2D2}"/>
    <cellStyle name="Arial8Italic 3 12 2" xfId="4280" xr:uid="{5512055D-1D80-46E3-94B8-6B98212811B8}"/>
    <cellStyle name="Arial8Italic 3 12 3" xfId="4891" xr:uid="{3C058D04-C545-4CF8-ADD8-6ADD94944751}"/>
    <cellStyle name="Arial8Italic 3 12 4" xfId="3441" xr:uid="{0996C72B-7A1D-45D9-8CDA-48F64382AE16}"/>
    <cellStyle name="Arial8Italic 3 13" xfId="3167" xr:uid="{A2A87727-7CBE-4151-95B7-AE2B246551C5}"/>
    <cellStyle name="Arial8Italic 3 13 2" xfId="4329" xr:uid="{9A8EF39F-6D46-4F97-AF56-0209A3C65E33}"/>
    <cellStyle name="Arial8Italic 3 13 3" xfId="4941" xr:uid="{7616D7DB-43AD-41B6-9B0F-7FC8D677F002}"/>
    <cellStyle name="Arial8Italic 3 13 4" xfId="5113" xr:uid="{5BC6AF88-01B5-476E-8580-025982F6E285}"/>
    <cellStyle name="Arial8Italic 3 14" xfId="3750" xr:uid="{2F26DA88-0ECF-42DB-A9F3-5E2848B80DA6}"/>
    <cellStyle name="Arial8Italic 3 15" xfId="4367" xr:uid="{7F16F04B-D25F-4D76-8FE1-94042A23C858}"/>
    <cellStyle name="Arial8Italic 3 16" xfId="5124" xr:uid="{DA3827A8-E992-462C-BF21-9955C2C841BE}"/>
    <cellStyle name="Arial8Italic 3 2" xfId="2825" xr:uid="{D89DA8C4-B5D1-4F4A-8B29-23FC3D770CCF}"/>
    <cellStyle name="Arial8Italic 3 2 2" xfId="4010" xr:uid="{FF46308C-B837-473F-819B-163C2BD0AB96}"/>
    <cellStyle name="Arial8Italic 3 2 3" xfId="4624" xr:uid="{04B70445-7D73-4175-8B97-D0DD59BD4809}"/>
    <cellStyle name="Arial8Italic 3 2 4" xfId="5121" xr:uid="{9855EE07-3215-4453-877D-001073FD2E29}"/>
    <cellStyle name="Arial8Italic 3 3" xfId="2883" xr:uid="{D2AFEFAF-77D4-4FD1-B562-E45327C034DA}"/>
    <cellStyle name="Arial8Italic 3 3 2" xfId="4058" xr:uid="{D8473C3D-E672-4E45-B964-9B5AE7E0BD5E}"/>
    <cellStyle name="Arial8Italic 3 3 3" xfId="4670" xr:uid="{160D1D5B-84E2-4DB3-8C85-CEB83E38BA71}"/>
    <cellStyle name="Arial8Italic 3 3 4" xfId="4034" xr:uid="{C12FBB67-793B-47E7-8E84-FB12E274CCA5}"/>
    <cellStyle name="Arial8Italic 3 4" xfId="2769" xr:uid="{AA630783-6B88-4139-BBE6-81C716F9927D}"/>
    <cellStyle name="Arial8Italic 3 4 2" xfId="3961" xr:uid="{E7CF73B8-49C2-4216-B423-AC6FB482D869}"/>
    <cellStyle name="Arial8Italic 3 4 3" xfId="4573" xr:uid="{B6D9FE97-684D-40A9-A4BE-0DFFE1EBC623}"/>
    <cellStyle name="Arial8Italic 3 4 4" xfId="3465" xr:uid="{A5A44885-6F9F-4A84-AA95-9F30741E763B}"/>
    <cellStyle name="Arial8Italic 3 5" xfId="2944" xr:uid="{533321D1-469E-469A-883F-78F97221692E}"/>
    <cellStyle name="Arial8Italic 3 5 2" xfId="4115" xr:uid="{740643A4-72D4-4061-8BD2-416A7C6B3D4F}"/>
    <cellStyle name="Arial8Italic 3 5 3" xfId="4726" xr:uid="{94C5C3FC-E0A6-4FB7-97F5-5E73985DB01E}"/>
    <cellStyle name="Arial8Italic 3 5 4" xfId="5004" xr:uid="{6AC71F5C-B0BF-4000-A606-54D3EBD8D503}"/>
    <cellStyle name="Arial8Italic 3 6" xfId="2972" xr:uid="{527C5B57-A79C-4400-9ABD-14C3A76CC6D7}"/>
    <cellStyle name="Arial8Italic 3 6 2" xfId="4143" xr:uid="{D17AE4A7-8D29-4F06-901B-C757BCB31613}"/>
    <cellStyle name="Arial8Italic 3 6 3" xfId="4754" xr:uid="{D204ADDD-FC3A-4EBD-AAE5-DC499693D218}"/>
    <cellStyle name="Arial8Italic 3 6 4" xfId="3640" xr:uid="{A1B4CE97-8612-45E1-A55E-69C43EECB9CA}"/>
    <cellStyle name="Arial8Italic 3 7" xfId="3008" xr:uid="{D9ED7B33-B1AB-4791-B3D7-81DA7123CB92}"/>
    <cellStyle name="Arial8Italic 3 7 2" xfId="4176" xr:uid="{00E51230-CF4A-4CFF-9FF8-780CC277D778}"/>
    <cellStyle name="Arial8Italic 3 7 3" xfId="4786" xr:uid="{F6D39D70-C6F6-432C-84D2-124B9E3454DC}"/>
    <cellStyle name="Arial8Italic 3 7 4" xfId="3481" xr:uid="{F1EFA0A3-6747-404C-9792-0289BB4F803F}"/>
    <cellStyle name="Arial8Italic 3 8" xfId="2699" xr:uid="{9114290D-146D-43CF-AF89-FDB8E101E21A}"/>
    <cellStyle name="Arial8Italic 3 8 2" xfId="3899" xr:uid="{B3750702-C7F8-40BE-A349-F0C4697EAE4E}"/>
    <cellStyle name="Arial8Italic 3 8 3" xfId="4512" xr:uid="{47ACA126-A5C2-48EB-AE0E-72C17A864526}"/>
    <cellStyle name="Arial8Italic 3 8 4" xfId="3555" xr:uid="{7A9F7CA3-FCA3-428D-A784-68DB8DFE0E7F}"/>
    <cellStyle name="Arial8Italic 3 9" xfId="3056" xr:uid="{A0B29715-F892-426D-A4F7-B2598E17A9B3}"/>
    <cellStyle name="Arial8Italic 3 9 2" xfId="4224" xr:uid="{9BE36AA8-2FBE-450D-8FF0-B5628D014887}"/>
    <cellStyle name="Arial8Italic 3 9 3" xfId="4834" xr:uid="{6C4BEA2F-E8B9-429D-8EA8-E07B6FFD881A}"/>
    <cellStyle name="Arial8Italic 3 9 4" xfId="5194" xr:uid="{9C00D886-0059-425F-BAF0-96C8C9267F69}"/>
    <cellStyle name="Arial8Italic 4" xfId="2712" xr:uid="{508511BC-9C1F-47E6-9054-E392B4BD1C70}"/>
    <cellStyle name="Arial8Italic 4 2" xfId="3912" xr:uid="{650F8F56-7C52-487F-89DA-F7213EFE5469}"/>
    <cellStyle name="Arial8Italic 4 3" xfId="4525" xr:uid="{62890E46-A9EA-4A2B-9AAF-A2D453453172}"/>
    <cellStyle name="Arial8Italic 4 4" xfId="3378" xr:uid="{B24870F0-40C3-4367-AFF8-91D0B7AC566A}"/>
    <cellStyle name="Arial8Italic 5" xfId="3567" xr:uid="{63B50CB8-6BDF-4A1E-A85A-E319902301A5}"/>
    <cellStyle name="Arial8Italic 6" xfId="3434" xr:uid="{E0064491-7EF3-43EB-AD60-972F93298F42}"/>
    <cellStyle name="Arial8Italic 7" xfId="3495" xr:uid="{B6B64770-A2A2-4F9A-B02C-2E28EFF42FAC}"/>
    <cellStyle name="ArialNormal" xfId="1946" xr:uid="{16B307D8-168A-4CD1-986C-A3300B9E3D09}"/>
    <cellStyle name="ArialNormal 2" xfId="1947" xr:uid="{F6A1572A-75F3-4716-8DBE-8B7FAC914F68}"/>
    <cellStyle name="ArialNormal 2 2" xfId="2523" xr:uid="{CEA09D4A-4DE4-4AEC-98DB-45127C2E8B6C}"/>
    <cellStyle name="ArialNormal 2 2 10" xfId="3084" xr:uid="{A3EC4560-FFD8-4F23-851E-CAB704FF5C66}"/>
    <cellStyle name="ArialNormal 2 2 10 2" xfId="4252" xr:uid="{6F80E550-D77C-40AD-B544-FE4052AF307C}"/>
    <cellStyle name="ArialNormal 2 2 10 3" xfId="4862" xr:uid="{33F7A1A5-F6CA-4B09-8CB4-A81E76AA6A3D}"/>
    <cellStyle name="ArialNormal 2 2 10 4" xfId="5012" xr:uid="{F318BE39-7981-40BF-A706-D5F9C37482F5}"/>
    <cellStyle name="ArialNormal 2 2 11" xfId="3121" xr:uid="{A493DE91-7001-4A40-A6E1-7D8B46F8038B}"/>
    <cellStyle name="ArialNormal 2 2 11 2" xfId="4286" xr:uid="{8899B3B5-384B-4C23-9B59-6AC08853A571}"/>
    <cellStyle name="ArialNormal 2 2 11 3" xfId="4897" xr:uid="{28F1E9A4-5C79-4B89-A794-B7704C6BB89C}"/>
    <cellStyle name="ArialNormal 2 2 11 4" xfId="5164" xr:uid="{69305FA2-912E-49BE-B151-66186627F840}"/>
    <cellStyle name="ArialNormal 2 2 12" xfId="2671" xr:uid="{F5555F36-273C-4A62-AB48-BA5F71108CA3}"/>
    <cellStyle name="ArialNormal 2 2 12 2" xfId="3873" xr:uid="{0D08E0C1-42E0-4A02-B655-9218B4F74693}"/>
    <cellStyle name="ArialNormal 2 2 12 3" xfId="4486" xr:uid="{01806980-D4CA-4F0D-9F25-2717163A8AE7}"/>
    <cellStyle name="ArialNormal 2 2 12 4" xfId="3388" xr:uid="{678ED270-7ACC-4345-A8A3-FD18D0848075}"/>
    <cellStyle name="ArialNormal 2 2 13" xfId="3168" xr:uid="{0BBE8961-7ABA-469C-8F21-6CF6CEB60F23}"/>
    <cellStyle name="ArialNormal 2 2 13 2" xfId="4330" xr:uid="{ED0F56B9-66DE-44CC-93CF-3CB4B5C9251E}"/>
    <cellStyle name="ArialNormal 2 2 13 3" xfId="4942" xr:uid="{47AE4032-EE9D-4276-89A5-DA0B62F4EB59}"/>
    <cellStyle name="ArialNormal 2 2 13 4" xfId="5123" xr:uid="{C270E7A1-3E65-49F8-9A75-5648F2433400}"/>
    <cellStyle name="ArialNormal 2 2 14" xfId="3751" xr:uid="{545428C8-3F1F-4428-9311-438A9CB621EC}"/>
    <cellStyle name="ArialNormal 2 2 15" xfId="4368" xr:uid="{1F836E5C-E31A-4ED5-AF26-6A75D731C2D3}"/>
    <cellStyle name="ArialNormal 2 2 16" xfId="3387" xr:uid="{E922B4C9-DD53-4F9E-AFE3-3076A38364C9}"/>
    <cellStyle name="ArialNormal 2 2 2" xfId="2826" xr:uid="{96D71E32-E3E2-4FA8-BAA9-3515F698BD6E}"/>
    <cellStyle name="ArialNormal 2 2 2 2" xfId="4011" xr:uid="{1568F2AB-9E72-4ED5-AE03-60E612CEE379}"/>
    <cellStyle name="ArialNormal 2 2 2 3" xfId="4625" xr:uid="{DC28FBC1-26D7-4CA2-A180-2D9C84C5DF2E}"/>
    <cellStyle name="ArialNormal 2 2 2 4" xfId="3295" xr:uid="{0B086A41-ECB5-46B8-B3E0-CD55C6CB766E}"/>
    <cellStyle name="ArialNormal 2 2 3" xfId="2884" xr:uid="{03B11198-9BD9-42E9-95FE-30BD8B5969EA}"/>
    <cellStyle name="ArialNormal 2 2 3 2" xfId="4059" xr:uid="{588099B8-948D-4B28-8819-9FC6EA6C9E52}"/>
    <cellStyle name="ArialNormal 2 2 3 3" xfId="4671" xr:uid="{0C2FB52C-E118-4D51-B3E4-C231299CD871}"/>
    <cellStyle name="ArialNormal 2 2 3 4" xfId="3534" xr:uid="{2478E574-326F-466C-9174-EDCE5F005BE0}"/>
    <cellStyle name="ArialNormal 2 2 4" xfId="2910" xr:uid="{E103C032-12FD-4059-891F-31C7341C7D68}"/>
    <cellStyle name="ArialNormal 2 2 4 2" xfId="4083" xr:uid="{AE545837-9D7F-4DE6-BFAF-AA50C3982247}"/>
    <cellStyle name="ArialNormal 2 2 4 3" xfId="4694" xr:uid="{2DB919C1-D70A-4936-B14D-9A81C7A190B7}"/>
    <cellStyle name="ArialNormal 2 2 4 4" xfId="3466" xr:uid="{16F5EC2B-511C-45BF-8303-C1ED95358258}"/>
    <cellStyle name="ArialNormal 2 2 5" xfId="2945" xr:uid="{9F87BE4B-F20E-47B5-AD24-40E38656068F}"/>
    <cellStyle name="ArialNormal 2 2 5 2" xfId="4116" xr:uid="{69EE0AB8-0D39-4AE9-97B5-04D191265845}"/>
    <cellStyle name="ArialNormal 2 2 5 3" xfId="4727" xr:uid="{747FD732-A04A-46E3-A497-7642489BB930}"/>
    <cellStyle name="ArialNormal 2 2 5 4" xfId="3458" xr:uid="{B6ED1A2F-C654-4849-B700-E13F080184A5}"/>
    <cellStyle name="ArialNormal 2 2 6" xfId="2973" xr:uid="{4ED29CDE-9008-4E92-BC32-B8E494D9260A}"/>
    <cellStyle name="ArialNormal 2 2 6 2" xfId="4144" xr:uid="{334A4637-9A45-49E3-9195-E15E13EBF2FE}"/>
    <cellStyle name="ArialNormal 2 2 6 3" xfId="4755" xr:uid="{1D94C268-DF0B-4BD2-9700-38751E9ED2E1}"/>
    <cellStyle name="ArialNormal 2 2 6 4" xfId="4991" xr:uid="{269F1B73-8110-4EA5-B459-0EE4845CF3D2}"/>
    <cellStyle name="ArialNormal 2 2 7" xfId="3009" xr:uid="{49776B4C-8DD0-4962-9072-493168073DC2}"/>
    <cellStyle name="ArialNormal 2 2 7 2" xfId="4177" xr:uid="{41ED54BE-20AB-4A24-A917-CE792556C760}"/>
    <cellStyle name="ArialNormal 2 2 7 3" xfId="4787" xr:uid="{F0B6591E-23BC-4C8E-9510-FC7D810DB488}"/>
    <cellStyle name="ArialNormal 2 2 7 4" xfId="3446" xr:uid="{9709EB1B-7CA8-42F9-97C1-BBAE77CEE5B2}"/>
    <cellStyle name="ArialNormal 2 2 8" xfId="2643" xr:uid="{E7C8C657-BFC4-4112-A6B0-BCD523B70112}"/>
    <cellStyle name="ArialNormal 2 2 8 2" xfId="3850" xr:uid="{D1368639-F5D3-4CA4-9EB8-45083FC072F7}"/>
    <cellStyle name="ArialNormal 2 2 8 3" xfId="4464" xr:uid="{8361ABFC-FAC4-4C6F-8A9A-F55DEA52DA27}"/>
    <cellStyle name="ArialNormal 2 2 8 4" xfId="5198" xr:uid="{51AA3269-F643-4F4D-93D2-E501077AE462}"/>
    <cellStyle name="ArialNormal 2 2 9" xfId="3057" xr:uid="{9D0935DD-0266-4911-8509-71D455539F59}"/>
    <cellStyle name="ArialNormal 2 2 9 2" xfId="4225" xr:uid="{4AC03067-6470-4C48-8430-B91C70D5DED7}"/>
    <cellStyle name="ArialNormal 2 2 9 3" xfId="4835" xr:uid="{1BD2AC39-CE7D-40F0-851D-2C556EE6FD99}"/>
    <cellStyle name="ArialNormal 2 2 9 4" xfId="3277" xr:uid="{0ADC2AAB-9D50-4ABD-98DE-675E88304B45}"/>
    <cellStyle name="ArialNormal 2 3" xfId="2715" xr:uid="{30A98309-9383-4B8B-9D00-6F19AF477C36}"/>
    <cellStyle name="ArialNormal 2 3 2" xfId="3915" xr:uid="{60F20D4E-3CF9-4221-8246-394EE031717D}"/>
    <cellStyle name="ArialNormal 2 3 3" xfId="4528" xr:uid="{E08B4E25-67A9-4315-854E-F8CEFDD417A4}"/>
    <cellStyle name="ArialNormal 2 3 4" xfId="3380" xr:uid="{C6499619-A0E6-4C4F-9754-EE27DC6A7672}"/>
    <cellStyle name="ArialNormal 2 4" xfId="3570" xr:uid="{DE92F56E-0777-4623-9380-558C407DDAEE}"/>
    <cellStyle name="ArialNormal 2 5" xfId="3431" xr:uid="{E0C5E25F-766C-4553-A9F2-CB08C7853138}"/>
    <cellStyle name="ArialNormal 2 6" xfId="3361" xr:uid="{3ABBD8A3-D796-44F1-99C6-BFB9A317C5FE}"/>
    <cellStyle name="ArialNormal 3" xfId="1948" xr:uid="{4711B97C-D77F-4D58-A0BC-A5AA0BAFCFFB}"/>
    <cellStyle name="ArialNormal 3 2" xfId="2524" xr:uid="{F17462B4-D6BA-4D0C-AB00-048D0DDC7314}"/>
    <cellStyle name="ArialNormal 3 2 10" xfId="3085" xr:uid="{65D00B19-DC28-4ED2-8921-819050776159}"/>
    <cellStyle name="ArialNormal 3 2 10 2" xfId="4253" xr:uid="{138F2B42-C0DD-401E-87B2-9A7658661BF5}"/>
    <cellStyle name="ArialNormal 3 2 10 3" xfId="4863" xr:uid="{B15C5DB4-5EB8-4FE6-BBD0-DA9BC21FAC2A}"/>
    <cellStyle name="ArialNormal 3 2 10 4" xfId="5151" xr:uid="{93B85498-92FF-4591-8F9A-4DF40C1C8C8D}"/>
    <cellStyle name="ArialNormal 3 2 11" xfId="3122" xr:uid="{C32C6358-D639-469E-9C22-496B6C7CC2ED}"/>
    <cellStyle name="ArialNormal 3 2 11 2" xfId="4287" xr:uid="{78F56386-7420-49E3-9FD0-5AD6EA827542}"/>
    <cellStyle name="ArialNormal 3 2 11 3" xfId="4898" xr:uid="{3D8B835C-5F4A-4352-853A-80F08B4A8CBC}"/>
    <cellStyle name="ArialNormal 3 2 11 4" xfId="5186" xr:uid="{D76A7D7B-3832-4577-96D2-7810BEDE5E65}"/>
    <cellStyle name="ArialNormal 3 2 12" xfId="2611" xr:uid="{323194EA-0FB9-450E-B092-774CCDD967AC}"/>
    <cellStyle name="ArialNormal 3 2 12 2" xfId="3821" xr:uid="{78510D7C-F09A-427E-92F4-FD2D6C01E0F8}"/>
    <cellStyle name="ArialNormal 3 2 12 3" xfId="4434" xr:uid="{01DE0186-CF3C-4BBD-8453-91E01B2C25DA}"/>
    <cellStyle name="ArialNormal 3 2 12 4" xfId="3391" xr:uid="{AAE7A943-641A-454B-89EE-D0255F866E80}"/>
    <cellStyle name="ArialNormal 3 2 13" xfId="3169" xr:uid="{81960CC7-61F5-4693-A087-14F6F2528659}"/>
    <cellStyle name="ArialNormal 3 2 13 2" xfId="4331" xr:uid="{CD95B67E-5A7E-4C97-8B2D-AD0308997022}"/>
    <cellStyle name="ArialNormal 3 2 13 3" xfId="4943" xr:uid="{3AD21CF0-E147-46BC-80EA-BA009E04565D}"/>
    <cellStyle name="ArialNormal 3 2 13 4" xfId="3610" xr:uid="{0C7CC126-8218-4791-B850-DC83B9F53D30}"/>
    <cellStyle name="ArialNormal 3 2 14" xfId="3752" xr:uid="{C1160FD3-80CB-40DA-9AFE-48CFE8E2A4D8}"/>
    <cellStyle name="ArialNormal 3 2 15" xfId="4369" xr:uid="{131C3C52-D8C5-48AE-8C9F-92332EBB7B9D}"/>
    <cellStyle name="ArialNormal 3 2 16" xfId="3455" xr:uid="{ABBAB57B-1EA9-4FD8-808E-5B53368EFC37}"/>
    <cellStyle name="ArialNormal 3 2 2" xfId="2827" xr:uid="{DDB7B3D8-5E5F-48FE-A115-FD61F9B2BD20}"/>
    <cellStyle name="ArialNormal 3 2 2 2" xfId="4012" xr:uid="{69434D6E-5C03-4E9B-B12F-C179C786320F}"/>
    <cellStyle name="ArialNormal 3 2 2 3" xfId="4626" xr:uid="{BFA8A940-7B7B-490F-8C0A-EB7BE43B3F3D}"/>
    <cellStyle name="ArialNormal 3 2 2 4" xfId="5048" xr:uid="{7A4B0BA6-F884-44ED-A01B-473BCABA5172}"/>
    <cellStyle name="ArialNormal 3 2 3" xfId="2885" xr:uid="{6876669B-758F-4723-8F25-C477D5BEA2F2}"/>
    <cellStyle name="ArialNormal 3 2 3 2" xfId="4060" xr:uid="{C0B06AF9-D60F-4F27-AF99-3E90C97A1D6F}"/>
    <cellStyle name="ArialNormal 3 2 3 3" xfId="4672" xr:uid="{1F18863F-EAFC-4CA3-84B1-A9A8B4823B22}"/>
    <cellStyle name="ArialNormal 3 2 3 4" xfId="5106" xr:uid="{495C8E9F-C4B4-4106-B4BF-AE8F849FDE33}"/>
    <cellStyle name="ArialNormal 3 2 4" xfId="2911" xr:uid="{A7F1F720-BE40-4D26-BEB9-839628CE9680}"/>
    <cellStyle name="ArialNormal 3 2 4 2" xfId="4084" xr:uid="{762209CB-EED9-4C6F-BEA6-91687DA9F206}"/>
    <cellStyle name="ArialNormal 3 2 4 3" xfId="4695" xr:uid="{D6EB68A9-62C3-4AD2-AFA9-B6AA10707F7E}"/>
    <cellStyle name="ArialNormal 3 2 4 4" xfId="5053" xr:uid="{519E5D64-44E5-4A81-B1AF-430291662612}"/>
    <cellStyle name="ArialNormal 3 2 5" xfId="2946" xr:uid="{C220EAAE-3A32-4CC9-AC84-2CCFC340C208}"/>
    <cellStyle name="ArialNormal 3 2 5 2" xfId="4117" xr:uid="{595CE5ED-B9E3-45F2-8AB5-49A7CEACB57A}"/>
    <cellStyle name="ArialNormal 3 2 5 3" xfId="4728" xr:uid="{481CA2F7-0BD0-4602-B72A-E5D5A3128B8A}"/>
    <cellStyle name="ArialNormal 3 2 5 4" xfId="5032" xr:uid="{ED212BEC-6036-4831-8D7D-471D47328B3B}"/>
    <cellStyle name="ArialNormal 3 2 6" xfId="2974" xr:uid="{0107512D-688B-4DE0-990E-3C39D5D8B87A}"/>
    <cellStyle name="ArialNormal 3 2 6 2" xfId="4145" xr:uid="{8876C577-62C2-4CFD-93FE-82F6A33E74A1}"/>
    <cellStyle name="ArialNormal 3 2 6 3" xfId="4756" xr:uid="{B0189CFC-5850-47A4-950C-9AD49B832B22}"/>
    <cellStyle name="ArialNormal 3 2 6 4" xfId="5167" xr:uid="{4CBF072E-4802-42F4-8CC9-824A231008C9}"/>
    <cellStyle name="ArialNormal 3 2 7" xfId="3010" xr:uid="{750EE3D2-8E55-48CF-B424-EC9E48E22561}"/>
    <cellStyle name="ArialNormal 3 2 7 2" xfId="4178" xr:uid="{58DFCD37-C247-498F-9AFD-1300C2702935}"/>
    <cellStyle name="ArialNormal 3 2 7 3" xfId="4788" xr:uid="{74A2A316-7E2F-4C94-BC63-451EC22F4868}"/>
    <cellStyle name="ArialNormal 3 2 7 4" xfId="5084" xr:uid="{8E04C7F1-7B83-4897-8492-B3AEFE943681}"/>
    <cellStyle name="ArialNormal 3 2 8" xfId="2871" xr:uid="{263D34F6-F44A-4389-B004-237CF708441A}"/>
    <cellStyle name="ArialNormal 3 2 8 2" xfId="4048" xr:uid="{516D1294-7EB1-4DEA-814C-2114A8704919}"/>
    <cellStyle name="ArialNormal 3 2 8 3" xfId="4661" xr:uid="{B4200F83-AA4B-45BE-B299-1915BA380DF9}"/>
    <cellStyle name="ArialNormal 3 2 8 4" xfId="4062" xr:uid="{C08B9620-8DE8-4131-8084-AF1F71AA62DA}"/>
    <cellStyle name="ArialNormal 3 2 9" xfId="3058" xr:uid="{CBCE5DE8-6EFD-476A-8F12-BFDD8F9C690F}"/>
    <cellStyle name="ArialNormal 3 2 9 2" xfId="4226" xr:uid="{51616F28-78A9-40C7-88DA-CAB5C1E15C69}"/>
    <cellStyle name="ArialNormal 3 2 9 3" xfId="4836" xr:uid="{C993715B-48B6-4B3D-A164-C5CFDE029DCE}"/>
    <cellStyle name="ArialNormal 3 2 9 4" xfId="5129" xr:uid="{66D52792-C1D5-40FF-8522-A99AE6D34AC2}"/>
    <cellStyle name="ArialNormal 3 3" xfId="2716" xr:uid="{F05106A3-E331-44B6-A46B-D4ECF1AE7291}"/>
    <cellStyle name="ArialNormal 3 3 2" xfId="3916" xr:uid="{F3863C07-3A36-4438-A5E6-5539FB8AD808}"/>
    <cellStyle name="ArialNormal 3 3 3" xfId="4529" xr:uid="{7E780D6A-BA9A-451D-A365-D21C4F26D91C}"/>
    <cellStyle name="ArialNormal 3 3 4" xfId="3381" xr:uid="{19CCB621-CCBC-40F9-A69D-52C807B00783}"/>
    <cellStyle name="ArialNormal 3 4" xfId="3571" xr:uid="{4C292B95-9EB3-4B01-9093-FDB8D5407B72}"/>
    <cellStyle name="ArialNormal 3 5" xfId="3430" xr:uid="{D8D824EB-6C8A-49CC-BA8E-0F682E785E67}"/>
    <cellStyle name="ArialNormal 3 6" xfId="3362" xr:uid="{D6856F50-49B9-42F1-BB5F-9857BF1A8500}"/>
    <cellStyle name="ArialNormal 4" xfId="2525" xr:uid="{F7DA62D0-7134-4679-8EBD-BE9F1421FE45}"/>
    <cellStyle name="ArialNormal 4 10" xfId="3086" xr:uid="{DD7E647D-5820-4E36-A23E-72D495A53785}"/>
    <cellStyle name="ArialNormal 4 10 2" xfId="4254" xr:uid="{2E3D1EAA-058B-48AA-B03F-9BE766CF6014}"/>
    <cellStyle name="ArialNormal 4 10 3" xfId="4864" xr:uid="{16A2536B-AA0D-4347-91EF-B7E951989636}"/>
    <cellStyle name="ArialNormal 4 10 4" xfId="3246" xr:uid="{C1E8ECD2-623F-486F-B37B-CAB034EAAF82}"/>
    <cellStyle name="ArialNormal 4 11" xfId="3123" xr:uid="{0CB0926C-E5D7-4C4D-A419-E4A7321665AD}"/>
    <cellStyle name="ArialNormal 4 11 2" xfId="4288" xr:uid="{E1DE7057-EA84-43D8-8C5B-E24B3FEE45B5}"/>
    <cellStyle name="ArialNormal 4 11 3" xfId="4899" xr:uid="{6BAB213D-536D-4D3B-8A77-B32F5015227B}"/>
    <cellStyle name="ArialNormal 4 11 4" xfId="5082" xr:uid="{674C46B1-31AC-49C4-913E-B2B350DFE7EC}"/>
    <cellStyle name="ArialNormal 4 12" xfId="2742" xr:uid="{D351ABDD-FE7F-4179-9236-C4E1E1F33EE5}"/>
    <cellStyle name="ArialNormal 4 12 2" xfId="3940" xr:uid="{8F02D7D7-9433-4B64-82E0-D0A161DFCA5E}"/>
    <cellStyle name="ArialNormal 4 12 3" xfId="4553" xr:uid="{B12B677D-F9C1-4600-ACD7-150CECEDB987}"/>
    <cellStyle name="ArialNormal 4 12 4" xfId="5155" xr:uid="{C7C87FA1-076D-47BF-B601-59E5A4EFAD20}"/>
    <cellStyle name="ArialNormal 4 13" xfId="3170" xr:uid="{9A01715A-7259-409D-8638-5A307AF9773A}"/>
    <cellStyle name="ArialNormal 4 13 2" xfId="4332" xr:uid="{FCF1C24B-15C8-4E28-8642-66C5913DA04D}"/>
    <cellStyle name="ArialNormal 4 13 3" xfId="4944" xr:uid="{42102EA4-40A2-4402-BF6E-7BB82ABF90D8}"/>
    <cellStyle name="ArialNormal 4 13 4" xfId="5137" xr:uid="{7E62BD9E-1E93-45F8-983E-EE202D2CD758}"/>
    <cellStyle name="ArialNormal 4 14" xfId="3753" xr:uid="{689DAE46-E5D4-41E1-B6D0-44F9E8A63D9D}"/>
    <cellStyle name="ArialNormal 4 15" xfId="4370" xr:uid="{B159729D-DAC3-4383-82D6-2280B1C759B9}"/>
    <cellStyle name="ArialNormal 4 16" xfId="3484" xr:uid="{AFFD26E9-DC2A-48FC-A984-8417AD47E5F9}"/>
    <cellStyle name="ArialNormal 4 2" xfId="2828" xr:uid="{CD3EF612-5B82-4F0D-B79F-F68AFC3C44FF}"/>
    <cellStyle name="ArialNormal 4 2 2" xfId="4013" xr:uid="{05D9B304-8328-497C-86B5-E2D0A1DAEF67}"/>
    <cellStyle name="ArialNormal 4 2 3" xfId="4627" xr:uid="{9C3AACCF-4D68-4BEC-9BD3-2080E865D8A6}"/>
    <cellStyle name="ArialNormal 4 2 4" xfId="5097" xr:uid="{9D331585-89A1-4A8D-AE88-43C4B32CB26B}"/>
    <cellStyle name="ArialNormal 4 3" xfId="2886" xr:uid="{324995C1-B1EE-4E62-882F-5FD1C8BF69D1}"/>
    <cellStyle name="ArialNormal 4 3 2" xfId="4061" xr:uid="{AE8E227D-33AD-4DF3-BE8D-0E0F54F37D21}"/>
    <cellStyle name="ArialNormal 4 3 3" xfId="4673" xr:uid="{FC6A7C98-3183-4F76-A01D-EC8A2816759C}"/>
    <cellStyle name="ArialNormal 4 3 4" xfId="4086" xr:uid="{E08FE259-E741-4E33-A69A-C62312F042EC}"/>
    <cellStyle name="ArialNormal 4 4" xfId="2912" xr:uid="{2AC9B6E6-0FD0-47BE-92AF-0197CCB4D0CC}"/>
    <cellStyle name="ArialNormal 4 4 2" xfId="4085" xr:uid="{88956CF7-B43B-4F19-9C94-E24F5943FF82}"/>
    <cellStyle name="ArialNormal 4 4 3" xfId="4696" xr:uid="{D8DEE731-18F1-41FE-BD7B-ED38CDB79B28}"/>
    <cellStyle name="ArialNormal 4 4 4" xfId="5108" xr:uid="{8079874D-BA08-4C9C-8167-5A480F70616F}"/>
    <cellStyle name="ArialNormal 4 5" xfId="2947" xr:uid="{8813F335-2C0A-4C05-9C4B-9762C3C10DB3}"/>
    <cellStyle name="ArialNormal 4 5 2" xfId="4118" xr:uid="{FEFCFEDA-1438-40F5-B1E6-555956FBF5A8}"/>
    <cellStyle name="ArialNormal 4 5 3" xfId="4729" xr:uid="{60C256F7-08E2-4579-B873-9BBF7142D847}"/>
    <cellStyle name="ArialNormal 4 5 4" xfId="5104" xr:uid="{A2F9A78D-D404-4F88-BBC0-3936C46468DE}"/>
    <cellStyle name="ArialNormal 4 6" xfId="2975" xr:uid="{CCDF0FF5-78FE-49D3-B920-C8FC80B99B4D}"/>
    <cellStyle name="ArialNormal 4 6 2" xfId="4146" xr:uid="{D3D41DD6-FE2F-4C72-82D3-8B2F70B14118}"/>
    <cellStyle name="ArialNormal 4 6 3" xfId="4757" xr:uid="{5031F9B7-471F-4FDF-A9FF-B8D4235268A1}"/>
    <cellStyle name="ArialNormal 4 6 4" xfId="3368" xr:uid="{E8699268-1F8F-45B5-B6AA-E89B0977134A}"/>
    <cellStyle name="ArialNormal 4 7" xfId="3011" xr:uid="{154C7C00-B37E-462E-BB6F-2BEF04855662}"/>
    <cellStyle name="ArialNormal 4 7 2" xfId="4179" xr:uid="{B0EDB33A-64C5-4718-9CAA-354338313520}"/>
    <cellStyle name="ArialNormal 4 7 3" xfId="4789" xr:uid="{15F9E723-A479-42AD-BE34-7F86AFB125ED}"/>
    <cellStyle name="ArialNormal 4 7 4" xfId="5101" xr:uid="{5FD36D7F-63A7-452D-B3FE-5EB0AE9FFB12}"/>
    <cellStyle name="ArialNormal 4 8" xfId="2700" xr:uid="{B6B2A181-7F45-4F70-8254-CCC88ECF287B}"/>
    <cellStyle name="ArialNormal 4 8 2" xfId="3900" xr:uid="{3833CA2C-4CD6-4A19-A45F-31F7B01E053D}"/>
    <cellStyle name="ArialNormal 4 8 3" xfId="4513" xr:uid="{928F24CC-D0FC-4789-98DF-4F017716C661}"/>
    <cellStyle name="ArialNormal 4 8 4" xfId="3538" xr:uid="{A96DA60F-A4F3-4B98-A8A4-FF364AECA536}"/>
    <cellStyle name="ArialNormal 4 9" xfId="3059" xr:uid="{A7F2F806-2B67-47DE-A1D8-0438CB6CD974}"/>
    <cellStyle name="ArialNormal 4 9 2" xfId="4227" xr:uid="{61B2FF63-25EF-4DF6-B988-378C96567C10}"/>
    <cellStyle name="ArialNormal 4 9 3" xfId="4837" xr:uid="{8A6582FA-4DE2-4B39-9D5D-E6BF993E8A7A}"/>
    <cellStyle name="ArialNormal 4 9 4" xfId="3573" xr:uid="{3A23D724-9794-4B7A-8E3D-B9FBCBCBBC9B}"/>
    <cellStyle name="ArialNormal 5" xfId="2714" xr:uid="{A72AAFED-FB03-492D-9DEA-A9B5ADE72C7D}"/>
    <cellStyle name="ArialNormal 5 2" xfId="3914" xr:uid="{B5761AE5-1695-4C40-9255-8A5EF21C443F}"/>
    <cellStyle name="ArialNormal 5 3" xfId="4527" xr:uid="{4CBD72AA-051D-4618-8315-843698B1D38E}"/>
    <cellStyle name="ArialNormal 5 4" xfId="3337" xr:uid="{C3590C49-2576-4D64-923C-513FFE3C459D}"/>
    <cellStyle name="ArialNormal 6" xfId="3569" xr:uid="{58D664A1-2518-4C88-B95D-5CE2DCFEC740}"/>
    <cellStyle name="ArialNormal 7" xfId="3432" xr:uid="{CB0691C7-F4C1-4594-B8EC-CC4F1DA4CBE9}"/>
    <cellStyle name="ArialNormal 8" xfId="5149" xr:uid="{E53EEE32-3E36-4646-8689-7F89E0B5C8A6}"/>
    <cellStyle name="Bad 2" xfId="391" xr:uid="{00000000-0005-0000-0000-00000F010000}"/>
    <cellStyle name="BalanceSheet" xfId="1949" xr:uid="{CECE5740-3958-4EF1-BB75-3A9461E89176}"/>
    <cellStyle name="Banner" xfId="1950" xr:uid="{1B644402-4C79-4728-AC9B-1282D6D2FD10}"/>
    <cellStyle name="bbox" xfId="1951" xr:uid="{B3A3B5CF-6AF5-4A85-8AA3-3D1FAE8BC566}"/>
    <cellStyle name="Blank" xfId="285" xr:uid="{00000000-0005-0000-0000-000010010000}"/>
    <cellStyle name="Blue" xfId="286" xr:uid="{00000000-0005-0000-0000-000011010000}"/>
    <cellStyle name="blue shading" xfId="1952" xr:uid="{C399A8F0-338D-421D-ABD0-FCD82E1F82D8}"/>
    <cellStyle name="Blue Title" xfId="287" xr:uid="{00000000-0005-0000-0000-000012010000}"/>
    <cellStyle name="Blue_CROCI" xfId="1953" xr:uid="{49D08BD5-33CB-4F7F-91C7-EC734B5CE583}"/>
    <cellStyle name="Body_$Numeric" xfId="1954" xr:uid="{2100F4CA-15F4-48D5-B197-A277AEF947CD}"/>
    <cellStyle name="bord" xfId="1955" xr:uid="{72AF20AA-A71A-42A6-B6C7-A633EE126F7E}"/>
    <cellStyle name="bord 2" xfId="1956" xr:uid="{9410B319-A976-45B4-BA40-10FDF5DE344B}"/>
    <cellStyle name="bord 3" xfId="1957" xr:uid="{BF673B87-8F9C-46E7-9F7A-D2ACCBD1C742}"/>
    <cellStyle name="Border Heavy" xfId="1958" xr:uid="{560E5EF4-02C2-4A81-9AE8-7937941D64F0}"/>
    <cellStyle name="Border Heavy 2" xfId="1959" xr:uid="{35B063EA-3F06-4763-851C-7A8B9AF145A0}"/>
    <cellStyle name="Border Heavy 3" xfId="1960" xr:uid="{0372F511-8128-48E8-9DB4-823310BC90AF}"/>
    <cellStyle name="Border Thin" xfId="1961" xr:uid="{8D4DB99B-D1F2-4864-A6F7-D5030F0C9F92}"/>
    <cellStyle name="Border Thin 2" xfId="1962" xr:uid="{F1FD5E7F-1C7C-4C85-A949-28F110A80B89}"/>
    <cellStyle name="Border Thin 2 2" xfId="2526" xr:uid="{DF053D88-93CC-48F6-BD39-4973014F42E0}"/>
    <cellStyle name="Border Thin 2 2 2" xfId="2887" xr:uid="{21388458-4AAF-46CF-8471-2884F784F9A5}"/>
    <cellStyle name="Border Thin 2 2 3" xfId="2913" xr:uid="{B98DCBAD-4492-4722-824E-056D81D18ADA}"/>
    <cellStyle name="Border Thin 2 2 4" xfId="2976" xr:uid="{A16BC2AE-D5E0-459B-A12F-074655122FD4}"/>
    <cellStyle name="Border Thin 2 2 5" xfId="3087" xr:uid="{18A9CC55-23C9-4F34-A2E8-D5E3A2923DDB}"/>
    <cellStyle name="Border Thin 2 2 6" xfId="3124" xr:uid="{9D311E9B-1C31-4A47-8016-B9BDE3C04104}"/>
    <cellStyle name="Border Thin 2 2 7" xfId="2994" xr:uid="{A8E71EA4-0043-4618-AEB4-DFCE4E5DE7D2}"/>
    <cellStyle name="Border Thin 2 3" xfId="2653" xr:uid="{1F826458-CAE5-4A52-B00C-55736C3534AA}"/>
    <cellStyle name="Border Thin 3" xfId="1963" xr:uid="{F8DC2997-F932-44DD-9256-68BE4ACE0164}"/>
    <cellStyle name="Border Thin 3 2" xfId="2527" xr:uid="{5E13C8C7-9F10-471E-829A-13F33F8990AB}"/>
    <cellStyle name="Border Thin 3 2 2" xfId="2888" xr:uid="{1FE7C0EA-1B3E-4F9F-BD87-D6646C442968}"/>
    <cellStyle name="Border Thin 3 2 3" xfId="2914" xr:uid="{294BA999-86AE-4F1E-B437-229CD12EECDB}"/>
    <cellStyle name="Border Thin 3 2 4" xfId="2977" xr:uid="{C14398A3-3DF4-44CB-8FD1-8C691C36411D}"/>
    <cellStyle name="Border Thin 3 2 5" xfId="3088" xr:uid="{94D356BC-CED4-4DA4-B856-1AA507D8AAA1}"/>
    <cellStyle name="Border Thin 3 2 6" xfId="3125" xr:uid="{ACCA12A6-87B4-4528-8481-4B4C85481A9D}"/>
    <cellStyle name="Border Thin 3 2 7" xfId="2633" xr:uid="{8C5EB5F8-E4D2-4F67-8FC7-AA5B4E3255CE}"/>
    <cellStyle name="Border Thin 3 3" xfId="2652" xr:uid="{8FD65CA9-AEDE-44E8-9420-19F0DDEFF658}"/>
    <cellStyle name="Border Thin 4" xfId="2528" xr:uid="{EB51BB24-A79F-4512-9F3F-1ED1442AC962}"/>
    <cellStyle name="Border Thin 4 2" xfId="2889" xr:uid="{02C28343-7AE3-42C0-87DD-C3063ED732D0}"/>
    <cellStyle name="Border Thin 4 3" xfId="2915" xr:uid="{6D5CBEB0-5779-4F7B-855E-857E74C4D61B}"/>
    <cellStyle name="Border Thin 4 4" xfId="2978" xr:uid="{AB9ED5EF-E5A7-4484-A6E2-23E2692B1EBF}"/>
    <cellStyle name="Border Thin 4 5" xfId="3089" xr:uid="{5EA9B809-CCA0-41B8-A5C0-E1855C610DE5}"/>
    <cellStyle name="Border Thin 4 6" xfId="3126" xr:uid="{F2F2901F-18B5-485F-91A9-C4DFB6A94062}"/>
    <cellStyle name="Border Thin 4 7" xfId="2743" xr:uid="{C94AAEE5-0C3A-4A1F-9591-77E406D28527}"/>
    <cellStyle name="Border Thin 5" xfId="2572" xr:uid="{31E0FE9D-3CA4-4359-AB1E-68AE267AAC13}"/>
    <cellStyle name="c" xfId="1964" xr:uid="{B1B6A8AA-933B-4C4B-9D0A-222AE8C53D7F}"/>
    <cellStyle name="c_Copy of IFRS consol ABB Final Version4" xfId="1965" xr:uid="{CDB74AD6-202E-4A3F-8056-E6C906E923D6}"/>
    <cellStyle name="C௯mma [0]" xfId="1966" xr:uid="{CF13ABF6-3DFB-4112-8FEB-2F6CE1835E67}"/>
    <cellStyle name="C௯mma [0] 2" xfId="1967" xr:uid="{A934765C-BC38-4F9A-B6DB-40325614AFE0}"/>
    <cellStyle name="C௯mma [0] 2 2" xfId="3585" xr:uid="{56D19D7F-D6A0-47E4-B22B-9BE4F97AE45F}"/>
    <cellStyle name="C௯mma [0] 3" xfId="1968" xr:uid="{A230DE01-82AA-4989-A2C7-00BAED7D7F37}"/>
    <cellStyle name="C௯mma [0] 3 2" xfId="3586" xr:uid="{1043F949-AA81-443D-869C-A39D88EDD28C}"/>
    <cellStyle name="C௯mma [0] 4" xfId="3584" xr:uid="{00A24C5D-CB5A-44D7-8D9F-95F98682142D}"/>
    <cellStyle name="Cabecera 1" xfId="1969" xr:uid="{EDD22D23-280B-4BF3-B39D-3B4CFB98A9D7}"/>
    <cellStyle name="Cabecera 2" xfId="1970" xr:uid="{1242006C-CE17-4B53-9713-0D5965DC47F3}"/>
    <cellStyle name="Cabecera 2 2" xfId="1971" xr:uid="{93DCDFA1-7478-426E-A16F-3A05617259BF}"/>
    <cellStyle name="Cabecera 2 3" xfId="1972" xr:uid="{13EA2A07-C554-44AB-8D0E-7F49B607762C}"/>
    <cellStyle name="Calc Cells" xfId="288" xr:uid="{00000000-0005-0000-0000-000013010000}"/>
    <cellStyle name="Calc Currency (0)" xfId="1973" xr:uid="{BBD05354-02B7-485A-9DF4-5225997B2579}"/>
    <cellStyle name="Calc Currency (0) 2" xfId="1974" xr:uid="{797604A9-F066-493C-8369-1D989188FC6C}"/>
    <cellStyle name="Calculation 2" xfId="392" xr:uid="{00000000-0005-0000-0000-000014010000}"/>
    <cellStyle name="Calculation 2 2" xfId="438" xr:uid="{00000000-0005-0000-0000-000015010000}"/>
    <cellStyle name="Calculation 2 2 10" xfId="3090" xr:uid="{1BECC9A9-5C2C-4234-A8AC-6A4DCDDED650}"/>
    <cellStyle name="Calculation 2 2 10 2" xfId="4255" xr:uid="{F90EAABA-3985-4AB7-A2D3-76DE8D01A789}"/>
    <cellStyle name="Calculation 2 2 10 3" xfId="4866" xr:uid="{C79D9DD8-1C81-4451-970E-99EA160FC1FC}"/>
    <cellStyle name="Calculation 2 2 10 4" xfId="3588" xr:uid="{92AACB33-1DAB-4004-9739-788C533EB19B}"/>
    <cellStyle name="Calculation 2 2 11" xfId="3127" xr:uid="{DE31E983-9DD8-4FC4-9549-625DE81B32AD}"/>
    <cellStyle name="Calculation 2 2 11 2" xfId="4289" xr:uid="{E99B0D50-2037-4E73-AA87-8C2582AFCD78}"/>
    <cellStyle name="Calculation 2 2 11 3" xfId="4901" xr:uid="{6A1719C6-AFF9-4267-A6AC-15A311EF8B0C}"/>
    <cellStyle name="Calculation 2 2 11 4" xfId="5092" xr:uid="{AE50D838-7894-4201-BF76-58F9CD61ACA8}"/>
    <cellStyle name="Calculation 2 2 12" xfId="2802" xr:uid="{741F3162-1C23-4424-9469-ADDB3CEB7744}"/>
    <cellStyle name="Calculation 2 2 12 2" xfId="3987" xr:uid="{B9363B86-F1DE-4B91-95E9-D5D3C291D97D}"/>
    <cellStyle name="Calculation 2 2 12 3" xfId="4601" xr:uid="{22EC9B32-E74A-4E08-A706-6EDAD1008BCD}"/>
    <cellStyle name="Calculation 2 2 12 4" xfId="3627" xr:uid="{3A610390-9843-40CB-97B3-AA7FCA57B434}"/>
    <cellStyle name="Calculation 2 2 13" xfId="3171" xr:uid="{170615F7-A363-4AB9-8C19-9D97A5E759A1}"/>
    <cellStyle name="Calculation 2 2 13 2" xfId="4333" xr:uid="{6C489E4C-A545-42EE-B78B-33FFA380B6CE}"/>
    <cellStyle name="Calculation 2 2 13 3" xfId="4945" xr:uid="{F474987F-6DBE-4D04-95D0-3E33C7170468}"/>
    <cellStyle name="Calculation 2 2 13 4" xfId="5007" xr:uid="{8F6F4A5E-819E-46A6-BF15-F9A1DD47F1F5}"/>
    <cellStyle name="Calculation 2 2 14" xfId="2529" xr:uid="{E42B8577-2695-493F-8E0C-DB48145F97A7}"/>
    <cellStyle name="Calculation 2 2 14 2" xfId="3755" xr:uid="{EA40592A-67B5-4D40-97EC-69CA20417E42}"/>
    <cellStyle name="Calculation 2 2 14 3" xfId="4371" xr:uid="{084574FE-54F9-4268-A2CA-6C67C297D331}"/>
    <cellStyle name="Calculation 2 2 14 4" xfId="3499" xr:uid="{07AED415-A211-435D-8C79-C7C65C0DDF76}"/>
    <cellStyle name="Calculation 2 2 15" xfId="3306" xr:uid="{85174712-59E5-4F4D-A513-01A814A5BB11}"/>
    <cellStyle name="Calculation 2 2 16" xfId="3657" xr:uid="{7014D3B1-B51F-41B3-B41A-7A64E20817CB}"/>
    <cellStyle name="Calculation 2 2 17" xfId="3489" xr:uid="{1CCDBAA1-FE75-459C-9724-34362B259915}"/>
    <cellStyle name="Calculation 2 2 2" xfId="2829" xr:uid="{EBEA04AE-C12E-4A65-AA87-FFB156F656EC}"/>
    <cellStyle name="Calculation 2 2 2 2" xfId="4014" xr:uid="{FC81F67F-D8A0-4231-B9E4-EB0F1279D3F7}"/>
    <cellStyle name="Calculation 2 2 2 3" xfId="4628" xr:uid="{930357B3-41B2-41D9-A733-346E3C2795C8}"/>
    <cellStyle name="Calculation 2 2 2 4" xfId="3981" xr:uid="{F962DE6C-B850-4EA0-97CD-D986276BB86B}"/>
    <cellStyle name="Calculation 2 2 3" xfId="2890" xr:uid="{22251002-96E0-4D46-83C7-90C98B3868F0}"/>
    <cellStyle name="Calculation 2 2 3 2" xfId="4063" xr:uid="{2C1692D7-0F41-4C14-A0BB-E59D499D472F}"/>
    <cellStyle name="Calculation 2 2 3 3" xfId="4674" xr:uid="{8306331A-CC08-4823-AB18-707E67753066}"/>
    <cellStyle name="Calculation 2 2 3 4" xfId="5117" xr:uid="{239A8B68-3C06-478C-8943-3F6752E851CF}"/>
    <cellStyle name="Calculation 2 2 4" xfId="2916" xr:uid="{A0B198FD-E6AA-4A90-B894-CB76541143C2}"/>
    <cellStyle name="Calculation 2 2 4 2" xfId="4087" xr:uid="{EAC194B7-4279-4FAD-9D03-77A7F8FD27CF}"/>
    <cellStyle name="Calculation 2 2 4 3" xfId="4698" xr:uid="{9E0EDD1A-2B24-4BDD-BEFE-884D6A41BD34}"/>
    <cellStyle name="Calculation 2 2 4 4" xfId="5001" xr:uid="{DD174603-7C49-4EA8-A4D1-D042AC7B4D7D}"/>
    <cellStyle name="Calculation 2 2 5" xfId="2948" xr:uid="{2F353338-F3ED-4817-BD85-C3C98C8FC20E}"/>
    <cellStyle name="Calculation 2 2 5 2" xfId="4119" xr:uid="{A690B137-B06A-4A3A-9EC4-4C2EEE971F15}"/>
    <cellStyle name="Calculation 2 2 5 3" xfId="4730" xr:uid="{C0EE1971-5650-4A37-B980-144FF8DAAEE3}"/>
    <cellStyle name="Calculation 2 2 5 4" xfId="3742" xr:uid="{FE3E5A01-5152-410B-83BC-4EECA1E47A3F}"/>
    <cellStyle name="Calculation 2 2 6" xfId="2979" xr:uid="{5E8799AD-DEC8-444E-B19E-8ECD1EEA700C}"/>
    <cellStyle name="Calculation 2 2 6 2" xfId="4148" xr:uid="{D80FAB8A-5CE0-4036-A32F-403EE1F2BA87}"/>
    <cellStyle name="Calculation 2 2 6 3" xfId="4758" xr:uid="{C7ADC5B6-70B5-4BEC-A56E-CCE7497FEE9F}"/>
    <cellStyle name="Calculation 2 2 6 4" xfId="5126" xr:uid="{3584AFE0-B48F-4F78-A0B6-DE30686649E3}"/>
    <cellStyle name="Calculation 2 2 7" xfId="3012" xr:uid="{224A5611-308D-475F-8AD9-A148496468EB}"/>
    <cellStyle name="Calculation 2 2 7 2" xfId="4180" xr:uid="{97F300BE-8A69-403E-902C-87CC5349EF17}"/>
    <cellStyle name="Calculation 2 2 7 3" xfId="4790" xr:uid="{8E3920B7-63F1-4F1B-8E8A-0F551C5A4AAD}"/>
    <cellStyle name="Calculation 2 2 7 4" xfId="3232" xr:uid="{C38EF75E-23AE-48A1-80C1-7F42C5B01A58}"/>
    <cellStyle name="Calculation 2 2 8" xfId="3033" xr:uid="{4922AAC8-E22B-4D11-BEF3-D9FEB31EC873}"/>
    <cellStyle name="Calculation 2 2 8 2" xfId="4201" xr:uid="{B8DA9F4A-9DE4-43CE-B2B9-CC88245E714B}"/>
    <cellStyle name="Calculation 2 2 8 3" xfId="4811" xr:uid="{B6DEAEB5-27E9-456C-A01B-D49EF5B4CAD3}"/>
    <cellStyle name="Calculation 2 2 8 4" xfId="3222" xr:uid="{6639CB80-7A0A-4FC5-A4EE-09C174DEDCE7}"/>
    <cellStyle name="Calculation 2 2 9" xfId="3060" xr:uid="{C3EE56C4-A23A-4DEA-A014-7DCEE392E053}"/>
    <cellStyle name="Calculation 2 2 9 2" xfId="4228" xr:uid="{4D9802F0-DABB-46C1-88EB-B37D2EEB543A}"/>
    <cellStyle name="Calculation 2 2 9 3" xfId="4838" xr:uid="{0FAB0AEE-2C57-43A6-98C4-F086EF001DC5}"/>
    <cellStyle name="Calculation 2 2 9 4" xfId="3248" xr:uid="{06763A5E-0A3A-4DA7-86E6-E00EC02F1A8E}"/>
    <cellStyle name="Calculation 2 3" xfId="2723" xr:uid="{B2BC8EBF-42B1-497C-A3D4-94EB96A79BD2}"/>
    <cellStyle name="Calculation 2 3 2" xfId="3923" xr:uid="{001F3F03-23BA-4157-86E2-B5C0DFB46BC9}"/>
    <cellStyle name="Calculation 2 3 3" xfId="4536" xr:uid="{05A9A5CA-59E0-4870-BEE0-EA63B4AEF835}"/>
    <cellStyle name="Calculation 2 3 4" xfId="3223" xr:uid="{75C4B5EB-0ACB-46CF-8271-49B4991DDE4E}"/>
    <cellStyle name="Calculation 2 4" xfId="3282" xr:uid="{1E3855FD-0EED-49C6-90C4-D047A1A09F1F}"/>
    <cellStyle name="Calculation 2 5" xfId="4043" xr:uid="{7FBAE3DE-33D2-40B5-8BB0-E918439A130A}"/>
    <cellStyle name="Calculation 2 6" xfId="3488" xr:uid="{1A5062B5-A4CA-438D-8CAC-FD6D5D1F06B0}"/>
    <cellStyle name="Case" xfId="289" xr:uid="{00000000-0005-0000-0000-000016010000}"/>
    <cellStyle name="CashFlow" xfId="1975" xr:uid="{2E2A5E62-CB37-4F71-ADF0-AF3CFB525DD7}"/>
    <cellStyle name="Center" xfId="1976" xr:uid="{0DAADFA4-89DE-4A33-97BB-C65971E51AB8}"/>
    <cellStyle name="Center 2" xfId="1977" xr:uid="{72A58D45-8E44-4F1F-BC87-8020BBF952F8}"/>
    <cellStyle name="Center 3" xfId="1978" xr:uid="{F2FD5730-09F6-4732-916B-E5D42DC17531}"/>
    <cellStyle name="Changeable" xfId="1979" xr:uid="{8C9D953D-4F75-4D8B-B656-E18E2279758E}"/>
    <cellStyle name="check" xfId="1980" xr:uid="{A59F9C59-B85E-4B6A-A752-32B7F9D1ECB1}"/>
    <cellStyle name="Check Cell 2" xfId="393" xr:uid="{00000000-0005-0000-0000-000017010000}"/>
    <cellStyle name="claire" xfId="1981" xr:uid="{E6E12CB5-3D22-4455-998D-92BD470DD0C7}"/>
    <cellStyle name="claire 2" xfId="1982" xr:uid="{5FE1542E-7E01-4FBA-B556-7738A3044A3A}"/>
    <cellStyle name="claire 3" xfId="1983" xr:uid="{E968F553-BA2A-46B4-8DF4-A435EC7DEA44}"/>
    <cellStyle name="Co. Names" xfId="290" xr:uid="{00000000-0005-0000-0000-000018010000}"/>
    <cellStyle name="Co. Names - Bold" xfId="291" xr:uid="{00000000-0005-0000-0000-000019010000}"/>
    <cellStyle name="Co. Names_Blend" xfId="292" xr:uid="{00000000-0005-0000-0000-00001A010000}"/>
    <cellStyle name="Col Head" xfId="293" xr:uid="{00000000-0005-0000-0000-00001B010000}"/>
    <cellStyle name="ColHeading" xfId="19" xr:uid="{00000000-0005-0000-0000-00001C010000}"/>
    <cellStyle name="Comma" xfId="428" builtinId="3"/>
    <cellStyle name="comma (1)" xfId="1984" xr:uid="{B4CDC8A1-5A26-4ECE-A379-297C939A8DA3}"/>
    <cellStyle name="Comma [1]" xfId="1985" xr:uid="{54B658BF-03C8-413F-8DE4-CD1CE00CF884}"/>
    <cellStyle name="Comma 0" xfId="1986" xr:uid="{F3DDEF31-1515-46C7-9C27-13B4632AC7CD}"/>
    <cellStyle name="Comma 0*" xfId="1987" xr:uid="{0D393C51-5FDE-44BE-9AC4-763F1B939C6F}"/>
    <cellStyle name="Comma 0_ACCC" xfId="1988" xr:uid="{4B0B5B46-5EAC-4694-96FE-86B3E13BE134}"/>
    <cellStyle name="Comma 1" xfId="1989" xr:uid="{359FA1B9-EA07-4018-9CFB-A944303B7546}"/>
    <cellStyle name="Comma 10" xfId="1990" xr:uid="{ABFEFFD6-A5DE-4E96-A648-72A114501340}"/>
    <cellStyle name="Comma 10 2" xfId="3593" xr:uid="{43F6271C-45EE-4164-839B-92AE2EEFA659}"/>
    <cellStyle name="Comma 11" xfId="474" xr:uid="{D1748793-69DE-4CDF-91B9-DAAB49520D75}"/>
    <cellStyle name="Comma 11 2" xfId="3325" xr:uid="{C426EC5A-7AA0-4F5C-A288-ADE09E78DA36}"/>
    <cellStyle name="Comma 12" xfId="3297" xr:uid="{C46F3123-173A-4B0B-A955-7E1CF0D95E44}"/>
    <cellStyle name="Comma 13" xfId="3665" xr:uid="{AD977E6D-EF8B-4AD8-9571-6761C1616B40}"/>
    <cellStyle name="Comma 14" xfId="3394" xr:uid="{AFFF5850-A257-4A21-8870-9B2EEA1DE813}"/>
    <cellStyle name="Comma 15" xfId="3603" xr:uid="{B2B17C58-3991-4C26-9FD7-4D400BD0445C}"/>
    <cellStyle name="Comma 16" xfId="3689" xr:uid="{BD6E2C14-2AA5-475B-A0D1-7ADC909F5E64}"/>
    <cellStyle name="Comma 17" xfId="3268" xr:uid="{CF56F645-2643-4FEE-8736-402DEB9DB948}"/>
    <cellStyle name="Comma 18" xfId="3486" xr:uid="{90A82842-EC94-462B-AF02-26E5C816057E}"/>
    <cellStyle name="Comma 2" xfId="20" xr:uid="{00000000-0005-0000-0000-00001E010000}"/>
    <cellStyle name="Comma 2 2" xfId="464" xr:uid="{A6F7B371-CF43-490D-814E-40F500050F0E}"/>
    <cellStyle name="Comma 2 2 2" xfId="3321" xr:uid="{F4A24105-B744-4F27-9595-DB507AF9A801}"/>
    <cellStyle name="Comma 20" xfId="447" xr:uid="{00000000-0005-0000-0000-00001F010000}"/>
    <cellStyle name="Comma 20 2" xfId="3196" xr:uid="{D96C0010-74EC-4E0B-8FB1-6CF61758C2E7}"/>
    <cellStyle name="Comma 20 2 2" xfId="4357" xr:uid="{F5EF26AA-5D05-4949-8227-DB15FB217DA6}"/>
    <cellStyle name="Comma 21" xfId="3202" xr:uid="{C73A5656-11E8-4E9E-B88F-907BC8120985}"/>
    <cellStyle name="Comma 21 2" xfId="4358" xr:uid="{1704E2C6-45D0-41BB-8931-12F7905370CA}"/>
    <cellStyle name="Comma 23" xfId="3203" xr:uid="{54D111DC-695B-497F-B9C7-B2FC5B9F08A9}"/>
    <cellStyle name="Comma 23 2" xfId="4359" xr:uid="{34547008-E26D-4DE6-BE06-EDC0CD7EFF5A}"/>
    <cellStyle name="Comma 3" xfId="450" xr:uid="{00000000-0005-0000-0000-000020010000}"/>
    <cellStyle name="Comma 3 2" xfId="1992" xr:uid="{26FE862C-5B2D-4249-9614-04ED35B960BC}"/>
    <cellStyle name="Comma 3 3" xfId="1993" xr:uid="{B79A1637-08FA-467F-995A-9A56BA83947B}"/>
    <cellStyle name="Comma 3 3 2" xfId="3595" xr:uid="{748D88BC-A5BE-4B2A-9A0F-BDE6AD1ABA2E}"/>
    <cellStyle name="Comma 3 4" xfId="1991" xr:uid="{6A97CADF-C0F7-4494-95C0-EFF796ED39AA}"/>
    <cellStyle name="Comma 3 4 2" xfId="3594" xr:uid="{33AD21FA-EB8B-4EE7-BE79-58C1ED16E6ED}"/>
    <cellStyle name="Comma 4" xfId="1994" xr:uid="{0FE1675C-AFA5-4162-B4EA-8DBD39B04514}"/>
    <cellStyle name="Comma 4 2" xfId="446" xr:uid="{00000000-0005-0000-0000-000021010000}"/>
    <cellStyle name="Comma 4 2 2" xfId="3195" xr:uid="{AF31EC23-A086-453E-A985-16544DDBD792}"/>
    <cellStyle name="Comma 4 2 2 2" xfId="4356" xr:uid="{3BA7DFBC-E752-4BE2-A8F8-554B96945067}"/>
    <cellStyle name="Comma 4 3" xfId="3596" xr:uid="{26E1FFCF-C2A3-488F-A7E8-28B909E89BDB}"/>
    <cellStyle name="Comma 5" xfId="1995" xr:uid="{FCF76126-682F-4362-9432-5A3FD96557BD}"/>
    <cellStyle name="Comma 5 2" xfId="3597" xr:uid="{712341D4-0EA1-4620-B3D0-58AA3A3A0547}"/>
    <cellStyle name="Comma 6" xfId="1996" xr:uid="{7D8478D1-1BB9-43D7-8086-E8F0C427E015}"/>
    <cellStyle name="Comma 6 2" xfId="3598" xr:uid="{273898C9-ABDA-48A4-ABFD-A386B5372868}"/>
    <cellStyle name="Comma 7" xfId="1997" xr:uid="{DB79C8EB-7292-46EF-9B3B-D897DCF6C99C}"/>
    <cellStyle name="Comma 7 2" xfId="3599" xr:uid="{D0048383-768D-499B-9921-CFB468203FA4}"/>
    <cellStyle name="Comma 8" xfId="1998" xr:uid="{87C4F181-94F0-48FA-A01D-6BF1C18573A9}"/>
    <cellStyle name="Comma 8 2" xfId="3600" xr:uid="{9CCD7CEF-F31F-48BC-B1E3-D190F52A6B94}"/>
    <cellStyle name="Comma 9" xfId="1999" xr:uid="{C1F8AB98-1D27-4AEA-A8F4-2713A56CCF46}"/>
    <cellStyle name="Comma 9 2" xfId="3601" xr:uid="{F361A3CF-65D9-446B-A72A-39471B757A0F}"/>
    <cellStyle name="Comma(0)" xfId="2000" xr:uid="{4AE1933E-935E-4F28-8F89-05DC58F7DCAA}"/>
    <cellStyle name="Comma(1)" xfId="2001" xr:uid="{E0163349-7E7F-4423-9047-63FEB1B083A9}"/>
    <cellStyle name="comma(2)" xfId="2002" xr:uid="{44B38439-E453-4764-9067-8FB9853E4058}"/>
    <cellStyle name="Comma(3)" xfId="2003" xr:uid="{7508B061-5CD4-4C5D-A99B-1F5E22B1E959}"/>
    <cellStyle name="Comma(3) 2" xfId="2530" xr:uid="{6EF0D738-BB36-46CE-B787-A9D7F2BBC0FE}"/>
    <cellStyle name="Comma(3) 2 10" xfId="3091" xr:uid="{F6577E40-C45D-4D11-BB72-07CBB67E4AB2}"/>
    <cellStyle name="Comma(3) 2 10 2" xfId="4256" xr:uid="{B57482FE-2053-4BD6-A143-5858B1653455}"/>
    <cellStyle name="Comma(3) 2 10 3" xfId="4867" xr:uid="{4113C1C8-D07B-417F-BCA5-66EB9C893F22}"/>
    <cellStyle name="Comma(3) 2 10 4" xfId="5063" xr:uid="{EC1E38E9-F50B-40B7-BA4C-8BCC8120AB5F}"/>
    <cellStyle name="Comma(3) 2 11" xfId="3128" xr:uid="{FC3CDBBD-9FA6-4DE5-AC03-AFDE0CEBC9D3}"/>
    <cellStyle name="Comma(3) 2 11 2" xfId="4290" xr:uid="{20AB2A09-2B41-4BCD-B1BC-A60931FFD9FA}"/>
    <cellStyle name="Comma(3) 2 11 3" xfId="4902" xr:uid="{88D61CBB-C1A0-4C60-9C6C-4699BD73DE10}"/>
    <cellStyle name="Comma(3) 2 11 4" xfId="5057" xr:uid="{0AAE5904-D95C-46A3-BF62-CFA96310EA0A}"/>
    <cellStyle name="Comma(3) 2 12" xfId="2755" xr:uid="{7591D645-47FE-48DD-B93C-6C1A93DA6574}"/>
    <cellStyle name="Comma(3) 2 12 2" xfId="3950" xr:uid="{4FDAD522-99FD-4D87-8A63-39F2A957EC8B}"/>
    <cellStyle name="Comma(3) 2 12 3" xfId="4563" xr:uid="{0337ADDD-E842-4101-B4CF-964CB861E9CD}"/>
    <cellStyle name="Comma(3) 2 12 4" xfId="5083" xr:uid="{A0180DC5-0FFE-4FAF-9A3A-CF0C3699A901}"/>
    <cellStyle name="Comma(3) 2 13" xfId="3172" xr:uid="{9492FDFA-F3BF-44B6-8C40-7420BF7EC153}"/>
    <cellStyle name="Comma(3) 2 13 2" xfId="4334" xr:uid="{9940DC17-19B5-4EE6-8A11-6455F12A066D}"/>
    <cellStyle name="Comma(3) 2 13 3" xfId="4946" xr:uid="{514A1596-EF6F-4DC8-8E1D-1355E1349FE0}"/>
    <cellStyle name="Comma(3) 2 13 4" xfId="5114" xr:uid="{198CAC42-A8FF-48CC-A8AF-22D0B8EA5683}"/>
    <cellStyle name="Comma(3) 2 14" xfId="3756" xr:uid="{1035F3C9-A045-43EE-A7CB-B188C49B5388}"/>
    <cellStyle name="Comma(3) 2 15" xfId="4372" xr:uid="{BB4C42B6-C109-4703-AD76-58DA15C8CBAA}"/>
    <cellStyle name="Comma(3) 2 16" xfId="5138" xr:uid="{10521916-73E3-4012-ACEA-A2B651FAF3FA}"/>
    <cellStyle name="Comma(3) 2 2" xfId="2830" xr:uid="{F044CE45-6E7A-4D17-92E4-9A200C91D2BE}"/>
    <cellStyle name="Comma(3) 2 2 2" xfId="4015" xr:uid="{FB37F4DE-2B55-43B9-9CBE-2CAB806B9BBB}"/>
    <cellStyle name="Comma(3) 2 2 3" xfId="4629" xr:uid="{DF0D4B02-8D26-4FFE-BDAC-78DB1B5EC471}"/>
    <cellStyle name="Comma(3) 2 2 4" xfId="5079" xr:uid="{6712102B-F97E-4C28-B250-CEC850040165}"/>
    <cellStyle name="Comma(3) 2 3" xfId="2891" xr:uid="{264D5179-0057-420C-A529-98FAF33D84CA}"/>
    <cellStyle name="Comma(3) 2 3 2" xfId="4064" xr:uid="{81724A65-E4F2-4D71-A5D7-F752A767E8C6}"/>
    <cellStyle name="Comma(3) 2 3 3" xfId="4675" xr:uid="{07180F87-A987-44A6-9253-FEE342D08046}"/>
    <cellStyle name="Comma(3) 2 3 4" xfId="4971" xr:uid="{8AFE9E37-85B2-4E61-AA27-94FDBF669F32}"/>
    <cellStyle name="Comma(3) 2 4" xfId="2917" xr:uid="{84E39495-D266-4A65-8D0D-E5626F7D43D9}"/>
    <cellStyle name="Comma(3) 2 4 2" xfId="4088" xr:uid="{0B1CDE86-3332-4F6F-AB4F-7720E2CA2B86}"/>
    <cellStyle name="Comma(3) 2 4 3" xfId="4699" xr:uid="{351C7F4F-6B6E-436D-85EA-5FB990966116}"/>
    <cellStyle name="Comma(3) 2 4 4" xfId="5005" xr:uid="{28F31C91-4FFE-4CBD-BAFD-4FC66B4BBE6A}"/>
    <cellStyle name="Comma(3) 2 5" xfId="2949" xr:uid="{87615E7A-7000-489D-AFCC-1EE16DC14C9A}"/>
    <cellStyle name="Comma(3) 2 5 2" xfId="4120" xr:uid="{B79E7E45-4583-4558-B5F1-0963FA04D895}"/>
    <cellStyle name="Comma(3) 2 5 3" xfId="4731" xr:uid="{9EE11E36-D4D1-4F68-8889-BD80B60B0B96}"/>
    <cellStyle name="Comma(3) 2 5 4" xfId="3535" xr:uid="{BFC14B50-DCA6-48E9-83BE-8A0F730F4DE6}"/>
    <cellStyle name="Comma(3) 2 6" xfId="2980" xr:uid="{05945CE9-0507-4F63-B5FC-EC81D2B9B906}"/>
    <cellStyle name="Comma(3) 2 6 2" xfId="4149" xr:uid="{78CA827C-7668-46FD-92A2-1A8B47FA193B}"/>
    <cellStyle name="Comma(3) 2 6 3" xfId="4759" xr:uid="{601A70F4-EEA3-4366-8AAB-A69F8886D3B8}"/>
    <cellStyle name="Comma(3) 2 6 4" xfId="5070" xr:uid="{0FF2CBA0-9BC3-4016-91D5-4017BF8BBE4B}"/>
    <cellStyle name="Comma(3) 2 7" xfId="3013" xr:uid="{F2055FE9-0CAE-4A9D-85C2-D72BEA3841A0}"/>
    <cellStyle name="Comma(3) 2 7 2" xfId="4181" xr:uid="{93063259-D0F9-4842-80AA-0D02F9489B17}"/>
    <cellStyle name="Comma(3) 2 7 3" xfId="4791" xr:uid="{1FCBBD47-F24E-4A07-93D8-36E77CDEBC4F}"/>
    <cellStyle name="Comma(3) 2 7 4" xfId="5134" xr:uid="{0C99FA34-FF0C-49DE-ADB7-F7116070A21A}"/>
    <cellStyle name="Comma(3) 2 8" xfId="3034" xr:uid="{1B748DA0-D40A-4E4C-8724-8DD9F3F9B2A5}"/>
    <cellStyle name="Comma(3) 2 8 2" xfId="4202" xr:uid="{0C3482AE-9999-499B-A386-AE8E96897C0F}"/>
    <cellStyle name="Comma(3) 2 8 3" xfId="4812" xr:uid="{5695A0AA-0C56-4390-B989-CC0D5D508DED}"/>
    <cellStyle name="Comma(3) 2 8 4" xfId="3250" xr:uid="{00D96326-557B-47B3-A69C-7A1EF7C5AA87}"/>
    <cellStyle name="Comma(3) 2 9" xfId="3061" xr:uid="{D196D6D4-9E44-4760-BD02-AC3ED5D7AADE}"/>
    <cellStyle name="Comma(3) 2 9 2" xfId="4229" xr:uid="{CC4571FE-E8A5-4D89-8F87-3647EE812A1A}"/>
    <cellStyle name="Comma(3) 2 9 3" xfId="4839" xr:uid="{7BF531DE-7E41-44B5-81EA-ED347A133D67}"/>
    <cellStyle name="Comma(3) 2 9 4" xfId="3719" xr:uid="{AEA6E475-330B-4EA7-9332-D4AA1F9ABB6B}"/>
    <cellStyle name="Comma(3) 3" xfId="2735" xr:uid="{CC7044D5-8B18-4155-A9DB-03EC8E838A6D}"/>
    <cellStyle name="Comma(3) 3 2" xfId="3935" xr:uid="{BA15B1F6-8DE5-482A-8CEC-C6CC314E2D39}"/>
    <cellStyle name="Comma(3) 3 3" xfId="4547" xr:uid="{3495B1F6-9A2C-4951-8DFB-034FB6DBD4B7}"/>
    <cellStyle name="Comma(3) 3 4" xfId="3385" xr:uid="{E7902CA7-BC65-46F3-923C-7187FCEA5729}"/>
    <cellStyle name="Comma(3) 4" xfId="3602" xr:uid="{7972F220-CA04-4C58-BF92-F4DB752D184D}"/>
    <cellStyle name="Comma(3) 5" xfId="3426" xr:uid="{E9753094-088C-48D5-87AF-98FF2733B8DB}"/>
    <cellStyle name="Comma(3) 6" xfId="3497" xr:uid="{BBCF19AC-7880-40A8-8DD8-7D5CCE0A1AC1}"/>
    <cellStyle name="Comma[0]" xfId="2004" xr:uid="{538A4958-4FDC-411C-9FFD-9B72D1AB4DB9}"/>
    <cellStyle name="Comma0" xfId="21" xr:uid="{00000000-0005-0000-0000-000022010000}"/>
    <cellStyle name="Comma0 2" xfId="22" xr:uid="{00000000-0005-0000-0000-000023010000}"/>
    <cellStyle name="Comma0 3" xfId="466" xr:uid="{2D310B35-FB79-4140-958F-89B6BCFDFD21}"/>
    <cellStyle name="Company" xfId="23" xr:uid="{00000000-0005-0000-0000-000024010000}"/>
    <cellStyle name="Company name" xfId="294" xr:uid="{00000000-0005-0000-0000-000025010000}"/>
    <cellStyle name="Company_CROCI" xfId="2005" xr:uid="{BFD06491-174F-42C1-AA80-954D23746969}"/>
    <cellStyle name="CompanyTitle" xfId="295" xr:uid="{00000000-0005-0000-0000-000026010000}"/>
    <cellStyle name="Copied" xfId="2006" xr:uid="{F780C20F-9703-4BA1-9D1F-BDD2C1EA77A7}"/>
    <cellStyle name="Copied 2" xfId="2007" xr:uid="{92B14625-376F-4B9F-8D28-B4E196280637}"/>
    <cellStyle name="Cover Date" xfId="2008" xr:uid="{0F978A21-9E04-4DAE-9D96-7B3BA75FCD23}"/>
    <cellStyle name="Cover Subtitle" xfId="2009" xr:uid="{4B495A8E-20D4-49D9-B43A-9770289B1C82}"/>
    <cellStyle name="Cover Title" xfId="2010" xr:uid="{384BBB9F-BC21-4D31-9CA9-FB628A4E5515}"/>
    <cellStyle name="CurRatio" xfId="24" xr:uid="{00000000-0005-0000-0000-000027010000}"/>
    <cellStyle name="Currency (3)" xfId="2011" xr:uid="{7FB5FE22-506B-4309-80CA-9F5EA961F9EE}"/>
    <cellStyle name="Currency (B)" xfId="25" xr:uid="{00000000-0005-0000-0000-000028010000}"/>
    <cellStyle name="Currency (B) 2" xfId="429" xr:uid="{00000000-0005-0000-0000-000029010000}"/>
    <cellStyle name="Currency (B) 2 10" xfId="3092" xr:uid="{2117F4BC-AA17-444D-B5BA-F725C0AE1CDF}"/>
    <cellStyle name="Currency (B) 2 10 2" xfId="4257" xr:uid="{D19A2BDD-FB69-4B99-889A-6E575235641F}"/>
    <cellStyle name="Currency (B) 2 10 3" xfId="4868" xr:uid="{ABCD03E7-EA3D-45CD-A21B-29AEF3EC70B1}"/>
    <cellStyle name="Currency (B) 2 10 4" xfId="3669" xr:uid="{CE3C04B0-4750-42CA-AE7B-33E8B8AE2E8C}"/>
    <cellStyle name="Currency (B) 2 11" xfId="3129" xr:uid="{295CE62F-E9D4-49E4-8912-0096AEA464DE}"/>
    <cellStyle name="Currency (B) 2 11 2" xfId="4291" xr:uid="{A4CCA49A-6989-4C44-966D-09471E3FBDCB}"/>
    <cellStyle name="Currency (B) 2 11 3" xfId="4903" xr:uid="{C5B8E470-2045-40DE-8D00-BC7897360803}"/>
    <cellStyle name="Currency (B) 2 11 4" xfId="5112" xr:uid="{223E182A-000C-41E2-9F34-B48CFC0E56A2}"/>
    <cellStyle name="Currency (B) 2 12" xfId="2631" xr:uid="{CE6CF95F-BDCC-4B71-B930-F03BFFB98FDC}"/>
    <cellStyle name="Currency (B) 2 12 2" xfId="3840" xr:uid="{99A5471D-0C0D-457C-BAC5-3ED3041CDE5F}"/>
    <cellStyle name="Currency (B) 2 12 3" xfId="4453" xr:uid="{4187EC78-A93C-4A55-BD20-49DE62822BB2}"/>
    <cellStyle name="Currency (B) 2 12 4" xfId="4980" xr:uid="{BB275842-67DA-48F4-9C73-9EBFE1C4A762}"/>
    <cellStyle name="Currency (B) 2 13" xfId="3173" xr:uid="{8275BA5E-5DFA-44D9-B622-5B315C2C13D1}"/>
    <cellStyle name="Currency (B) 2 13 2" xfId="4335" xr:uid="{6190AD20-7D26-496B-87EB-5CC2C57ED290}"/>
    <cellStyle name="Currency (B) 2 13 3" xfId="4947" xr:uid="{BD3C7671-B0D2-4D3E-A5DC-ACEA2BA3FAAE}"/>
    <cellStyle name="Currency (B) 2 13 4" xfId="5148" xr:uid="{21CA27E5-10D6-4CE7-BDFB-C5D6CFA4F66D}"/>
    <cellStyle name="Currency (B) 2 14" xfId="2531" xr:uid="{2A576440-4610-4A5F-9E31-E35A54B460F8}"/>
    <cellStyle name="Currency (B) 2 14 2" xfId="3757" xr:uid="{EE8ED2AF-A01B-408A-8122-5D3B915B4435}"/>
    <cellStyle name="Currency (B) 2 14 3" xfId="4373" xr:uid="{C711B0D5-208B-493A-BA4B-E2B01524C44B}"/>
    <cellStyle name="Currency (B) 2 14 4" xfId="5144" xr:uid="{FEA6A9CD-FA00-4D04-9446-B117F7528A5C}"/>
    <cellStyle name="Currency (B) 2 2" xfId="2831" xr:uid="{793783BE-AB34-4F7B-AEF2-58C097F16643}"/>
    <cellStyle name="Currency (B) 2 2 2" xfId="4016" xr:uid="{EEF20434-77EF-4AF4-AE59-2C566201AAA1}"/>
    <cellStyle name="Currency (B) 2 2 3" xfId="4630" xr:uid="{F82E5AFA-33E6-45A8-AB1A-EA01B16DED28}"/>
    <cellStyle name="Currency (B) 2 2 4" xfId="3281" xr:uid="{36063782-A259-439A-82FF-79A44C56AB0D}"/>
    <cellStyle name="Currency (B) 2 3" xfId="2892" xr:uid="{95533125-3AC5-43B5-BEAF-83DD9A1846FC}"/>
    <cellStyle name="Currency (B) 2 3 2" xfId="4065" xr:uid="{40CBF53C-3E4C-4913-BB6C-B4390F6D8D5A}"/>
    <cellStyle name="Currency (B) 2 3 3" xfId="4676" xr:uid="{D91488DE-3E57-45C0-98D3-6FA7FF3EAF54}"/>
    <cellStyle name="Currency (B) 2 3 4" xfId="3590" xr:uid="{B84F3E10-EB04-44A4-B403-4322552318E7}"/>
    <cellStyle name="Currency (B) 2 4" xfId="2918" xr:uid="{F608E0EF-32B2-4A4B-91E9-4E7B56724332}"/>
    <cellStyle name="Currency (B) 2 4 2" xfId="4089" xr:uid="{A8E69DB1-45F8-4DD8-8FC2-405CC081F877}"/>
    <cellStyle name="Currency (B) 2 4 3" xfId="4700" xr:uid="{C1D43E1E-EE81-4E62-A0B6-3DAED1266CC3}"/>
    <cellStyle name="Currency (B) 2 4 4" xfId="5030" xr:uid="{1AF3C3EE-6364-4818-87CA-A64A47C256F8}"/>
    <cellStyle name="Currency (B) 2 5" xfId="2950" xr:uid="{C0458C37-E500-41EC-966E-1536C1042E38}"/>
    <cellStyle name="Currency (B) 2 5 2" xfId="4121" xr:uid="{64D4F881-CAE4-4DD0-89F0-E36E7D5DA168}"/>
    <cellStyle name="Currency (B) 2 5 3" xfId="4732" xr:uid="{F43B54DC-C375-4ED7-834F-988396254F97}"/>
    <cellStyle name="Currency (B) 2 5 4" xfId="3672" xr:uid="{6F50D42D-228E-4F6A-8E2A-D6EDAAD91FD1}"/>
    <cellStyle name="Currency (B) 2 6" xfId="2981" xr:uid="{F5582B33-33E0-4B7B-B222-C5C13BAFA965}"/>
    <cellStyle name="Currency (B) 2 6 2" xfId="4150" xr:uid="{90681C5B-BA9C-4C4C-9FD5-E6D94668DEC1}"/>
    <cellStyle name="Currency (B) 2 6 3" xfId="4760" xr:uid="{31B7C255-1C76-4663-A885-C3B6F2B8283B}"/>
    <cellStyle name="Currency (B) 2 6 4" xfId="5090" xr:uid="{38249D43-F868-4E6F-84F9-2E1E8308F694}"/>
    <cellStyle name="Currency (B) 2 7" xfId="3014" xr:uid="{37E787DB-281F-46D2-9C88-755BF30B1AA7}"/>
    <cellStyle name="Currency (B) 2 7 2" xfId="4182" xr:uid="{0CC303BB-C1CC-4CF0-97E4-8D7D86B81430}"/>
    <cellStyle name="Currency (B) 2 7 3" xfId="4792" xr:uid="{DA3DBCC7-A3AC-45C4-A8CD-4C669DCE0B52}"/>
    <cellStyle name="Currency (B) 2 7 4" xfId="3472" xr:uid="{B36193DE-DE59-4B6A-B287-6191D8829309}"/>
    <cellStyle name="Currency (B) 2 8" xfId="3035" xr:uid="{D420BCFF-E7C1-41A1-A5BA-2E42BA33275D}"/>
    <cellStyle name="Currency (B) 2 8 2" xfId="4203" xr:uid="{78E648FA-1921-4C5C-A6EF-889010F8FB1A}"/>
    <cellStyle name="Currency (B) 2 8 3" xfId="4813" xr:uid="{FAAFE8A5-CB62-4118-B1E3-971BC55BCD42}"/>
    <cellStyle name="Currency (B) 2 8 4" xfId="5031" xr:uid="{7835EF6D-C235-4C84-967B-B8E4C71A37C5}"/>
    <cellStyle name="Currency (B) 2 9" xfId="3062" xr:uid="{D0FC7383-9A03-4401-B1D6-95370011E196}"/>
    <cellStyle name="Currency (B) 2 9 2" xfId="4230" xr:uid="{3FFFC80D-BC58-4548-A6E3-3699975C5F3D}"/>
    <cellStyle name="Currency (B) 2 9 3" xfId="4840" xr:uid="{6704A10F-68C6-401B-BAA3-A37135722640}"/>
    <cellStyle name="Currency (B) 2 9 4" xfId="3581" xr:uid="{A281497E-FE4C-48FD-875F-AEDA8821E355}"/>
    <cellStyle name="Currency (B) 3" xfId="457" xr:uid="{2FE89988-F407-4B49-B949-24B5275AFC73}"/>
    <cellStyle name="Currency (B) 3 2" xfId="3314" xr:uid="{FB31C310-A5A5-4FAD-9C10-74089572A3EE}"/>
    <cellStyle name="Currency (B) 3 3" xfId="3652" xr:uid="{899627A5-0044-4A55-A1CD-8ACE7779D326}"/>
    <cellStyle name="Currency (B) 3 4" xfId="3575" xr:uid="{86201C34-BF05-460F-B408-DEB502020ECD}"/>
    <cellStyle name="Currency [2]" xfId="296" xr:uid="{00000000-0005-0000-0000-00002A010000}"/>
    <cellStyle name="Currency [2] 10" xfId="2691" xr:uid="{B150691B-2010-4835-AE43-207780C03868}"/>
    <cellStyle name="Currency [2] 10 2" xfId="3891" xr:uid="{47215693-A2F2-44DA-AA08-A3D56BBB28C6}"/>
    <cellStyle name="Currency [2] 10 3" xfId="4504" xr:uid="{8F5EC873-6B94-466C-AB4A-BE535D3EAED4}"/>
    <cellStyle name="Currency [2] 10 4" xfId="5200" xr:uid="{0634D105-FCF5-4024-8599-054097505DE9}"/>
    <cellStyle name="Currency [2] 11" xfId="2630" xr:uid="{9CFFDDE1-0236-4E20-A4B6-84B322E50F5A}"/>
    <cellStyle name="Currency [2] 11 2" xfId="3839" xr:uid="{0AC35AB2-EC32-4B16-A63E-3C500D9AA933}"/>
    <cellStyle name="Currency [2] 11 3" xfId="4452" xr:uid="{EC59DDE2-4CD3-46CF-AABD-5A1FBD53CFD9}"/>
    <cellStyle name="Currency [2] 11 4" xfId="5130" xr:uid="{0D0B7966-88CC-40E8-916F-2189FAF0E2BC}"/>
    <cellStyle name="Currency [2] 12" xfId="2576" xr:uid="{BB06EE3F-8AD0-4CF5-BD3B-1294FD0DEC83}"/>
    <cellStyle name="Currency [2] 12 2" xfId="3792" xr:uid="{0A5418A1-DD72-4E94-8D4B-F4B16A5921C7}"/>
    <cellStyle name="Currency [2] 12 3" xfId="4403" xr:uid="{FF3DB10D-8854-40E1-B463-D66FB8570266}"/>
    <cellStyle name="Currency [2] 12 4" xfId="3509" xr:uid="{A1273047-1840-4FEF-BEF7-3821367C5566}"/>
    <cellStyle name="Currency [2] 13" xfId="3251" xr:uid="{85C914B5-2213-4917-847F-B0D9AF291B3B}"/>
    <cellStyle name="Currency [2] 14" xfId="3214" xr:uid="{3AB21824-CED0-4554-AA53-FEF0FC87CE9D}"/>
    <cellStyle name="Currency [2] 15" xfId="5199" xr:uid="{A7CA34FD-1C83-4077-AF79-92B2D8D97917}"/>
    <cellStyle name="Currency [2] 2" xfId="433" xr:uid="{00000000-0005-0000-0000-00002B010000}"/>
    <cellStyle name="Currency [2] 2 10" xfId="3130" xr:uid="{99FB35D1-B304-4710-8F26-82C7FB5B60F8}"/>
    <cellStyle name="Currency [2] 2 10 2" xfId="4292" xr:uid="{0FFEBEB2-2258-478A-BC8E-038A41E1C936}"/>
    <cellStyle name="Currency [2] 2 10 3" xfId="4904" xr:uid="{1E0820CC-7379-414D-8802-171CFB0BC118}"/>
    <cellStyle name="Currency [2] 2 10 4" xfId="5122" xr:uid="{72FDEB8A-7C63-4A89-8B76-1897328A2EDF}"/>
    <cellStyle name="Currency [2] 2 11" xfId="3174" xr:uid="{B2401440-53A8-407B-A60B-535075A45170}"/>
    <cellStyle name="Currency [2] 2 11 2" xfId="4336" xr:uid="{D5B64295-4D6E-4BBA-9B07-39D8C5149D45}"/>
    <cellStyle name="Currency [2] 2 11 3" xfId="4948" xr:uid="{77E8C95C-785E-4C51-AD90-8C7B59231FAA}"/>
    <cellStyle name="Currency [2] 2 11 4" xfId="3261" xr:uid="{70879949-28A4-4C0D-9AD7-E5634620B47B}"/>
    <cellStyle name="Currency [2] 2 12" xfId="3301" xr:uid="{20CE92A4-A911-4331-BAF9-0F4B165625D2}"/>
    <cellStyle name="Currency [2] 2 13" xfId="3661" xr:uid="{2160A93F-920D-4D2A-BCAA-6D498F1D20F7}"/>
    <cellStyle name="Currency [2] 2 14" xfId="3428" xr:uid="{4265312F-AAA5-418A-AB81-122AD2852D86}"/>
    <cellStyle name="Currency [2] 2 2" xfId="2832" xr:uid="{B1906BFA-9ACA-4B1C-AC4C-0C404FDDEFB0}"/>
    <cellStyle name="Currency [2] 2 2 2" xfId="4017" xr:uid="{10F629F4-E8F2-49AE-B26B-88CD28ADC782}"/>
    <cellStyle name="Currency [2] 2 2 3" xfId="4631" xr:uid="{F272D401-1F32-4D6F-A392-DDD53C79055E}"/>
    <cellStyle name="Currency [2] 2 2 4" xfId="3628" xr:uid="{E0350FAF-C274-4559-BF34-B04387A8110F}"/>
    <cellStyle name="Currency [2] 2 3" xfId="2893" xr:uid="{3FCBD072-638E-4199-9B2D-C4FCCCB0094C}"/>
    <cellStyle name="Currency [2] 2 3 2" xfId="4066" xr:uid="{7FC4190F-9E3E-4EFC-A9A4-D6860F625546}"/>
    <cellStyle name="Currency [2] 2 3 3" xfId="4677" xr:uid="{4A1A20EC-1AC8-4B66-94D0-73E3CE58AE30}"/>
    <cellStyle name="Currency [2] 2 3 4" xfId="3269" xr:uid="{CF0BE839-39B7-4A7E-91F7-6E0F0CD8E5CF}"/>
    <cellStyle name="Currency [2] 2 4" xfId="2919" xr:uid="{285D208B-C68C-4047-B448-85CAED3C50F4}"/>
    <cellStyle name="Currency [2] 2 4 2" xfId="4090" xr:uid="{A9184280-6260-46C0-8005-AA8984021338}"/>
    <cellStyle name="Currency [2] 2 4 3" xfId="4701" xr:uid="{4FBBB1BC-450F-4A05-9F28-5E90F0B2E821}"/>
    <cellStyle name="Currency [2] 2 4 4" xfId="3700" xr:uid="{1A645653-1E39-41BB-A733-E59FA5DDD74C}"/>
    <cellStyle name="Currency [2] 2 5" xfId="2951" xr:uid="{81E06C47-FF75-4BB7-B519-928382C18B0E}"/>
    <cellStyle name="Currency [2] 2 5 2" xfId="4122" xr:uid="{26C90971-304C-403F-B8ED-0C8FC0B2BFDC}"/>
    <cellStyle name="Currency [2] 2 5 3" xfId="4733" xr:uid="{B4F55580-B2A8-417E-A319-C60CB6EFF2F2}"/>
    <cellStyle name="Currency [2] 2 5 4" xfId="3718" xr:uid="{FCFA23A6-14FB-43FA-BCAC-CBCDBB9AE0A5}"/>
    <cellStyle name="Currency [2] 2 6" xfId="2982" xr:uid="{15956400-3F3F-4537-A6D9-2B316B44AFE4}"/>
    <cellStyle name="Currency [2] 2 6 2" xfId="4151" xr:uid="{9EE71D60-66F2-4A03-8491-46F0FAD81E4E}"/>
    <cellStyle name="Currency [2] 2 6 3" xfId="4761" xr:uid="{B4F45350-8DC9-429B-90C6-6AE5BD82134C}"/>
    <cellStyle name="Currency [2] 2 6 4" xfId="3678" xr:uid="{3E45A388-1352-4E58-9C04-CECFAF4DDDF3}"/>
    <cellStyle name="Currency [2] 2 7" xfId="3036" xr:uid="{969E3A07-5C57-4F4D-8DAC-B1E2254C17FC}"/>
    <cellStyle name="Currency [2] 2 7 2" xfId="4204" xr:uid="{7680FEA2-6ECC-4FF5-AA91-EB9E55A04AB1}"/>
    <cellStyle name="Currency [2] 2 7 3" xfId="4814" xr:uid="{820D9683-59B5-490F-94A2-7B2F070643B0}"/>
    <cellStyle name="Currency [2] 2 7 4" xfId="3702" xr:uid="{205ACD50-1D5A-4DF1-9BE3-B5973D445A17}"/>
    <cellStyle name="Currency [2] 2 8" xfId="3063" xr:uid="{5D074A13-EB6E-4998-BE20-209823B31E07}"/>
    <cellStyle name="Currency [2] 2 8 2" xfId="4231" xr:uid="{57B9E4B0-80B4-40FF-A1DE-356D4B63AFFE}"/>
    <cellStyle name="Currency [2] 2 8 3" xfId="4841" xr:uid="{9EC01406-50FD-47C3-99DE-E5E931A2630E}"/>
    <cellStyle name="Currency [2] 2 8 4" xfId="3205" xr:uid="{F74AC926-0D71-4106-804B-ACD9A6E6F2C1}"/>
    <cellStyle name="Currency [2] 2 9" xfId="3093" xr:uid="{19649D9E-C2D3-4DA5-8983-47E221608134}"/>
    <cellStyle name="Currency [2] 2 9 2" xfId="4258" xr:uid="{991A224E-2720-4D08-B541-111E033AC392}"/>
    <cellStyle name="Currency [2] 2 9 3" xfId="4869" xr:uid="{E662FBEB-7813-4924-B023-0B13D499AE6F}"/>
    <cellStyle name="Currency [2] 2 9 4" xfId="3591" xr:uid="{623C8DB7-DC43-4503-B258-4B7A7CC71E2E}"/>
    <cellStyle name="Currency [2] 3" xfId="2587" xr:uid="{BF9270CA-5567-44A0-A188-793813B3CB95}"/>
    <cellStyle name="Currency [2] 3 2" xfId="3801" xr:uid="{82BC2720-62FC-4009-8E51-F4A699643F77}"/>
    <cellStyle name="Currency [2] 3 3" xfId="4413" xr:uid="{DBD22FF0-F262-4891-9E01-2FFADDDF9D39}"/>
    <cellStyle name="Currency [2] 3 4" xfId="3239" xr:uid="{FF9B3CED-2667-40C5-BFC2-F88F33C3C5FF}"/>
    <cellStyle name="Currency [2] 4" xfId="2596" xr:uid="{38AB863C-9D9D-432E-B501-6B17A2089D5A}"/>
    <cellStyle name="Currency [2] 4 2" xfId="3809" xr:uid="{C1133BA4-2334-4237-904D-8020D92F1757}"/>
    <cellStyle name="Currency [2] 4 3" xfId="4421" xr:uid="{E760B87E-D9D5-4099-ABDB-F674524FBDBD}"/>
    <cellStyle name="Currency [2] 4 4" xfId="3716" xr:uid="{FCFDB9EE-BED4-4120-AD08-3D799FFF00E0}"/>
    <cellStyle name="Currency [2] 5" xfId="2904" xr:uid="{B1E14E50-384C-4347-A343-F3752BB02B1B}"/>
    <cellStyle name="Currency [2] 5 2" xfId="4077" xr:uid="{24DEBF56-7C49-4675-BBB7-21E54EEDF396}"/>
    <cellStyle name="Currency [2] 5 3" xfId="4688" xr:uid="{F78FC42E-1056-4B6C-A445-5074E61E2115}"/>
    <cellStyle name="Currency [2] 5 4" xfId="4995" xr:uid="{BC250148-4E8E-40DA-B73B-55E2A8EEC214}"/>
    <cellStyle name="Currency [2] 6" xfId="2619" xr:uid="{C0DB3A61-4DA5-4EE3-95A8-CAF8FE99245E}"/>
    <cellStyle name="Currency [2] 6 2" xfId="3829" xr:uid="{848781FC-C732-4B31-BAB5-917CFF0413B1}"/>
    <cellStyle name="Currency [2] 6 3" xfId="4442" xr:uid="{724C03C2-D222-420F-9924-BF2DA4A50045}"/>
    <cellStyle name="Currency [2] 6 4" xfId="4989" xr:uid="{FA1D7647-ED53-41FB-BB24-AF0C3A376771}"/>
    <cellStyle name="Currency [2] 7" xfId="2585" xr:uid="{B47D7EBE-7E00-442F-BCB6-7EC172E4147F}"/>
    <cellStyle name="Currency [2] 7 2" xfId="3799" xr:uid="{CA83D2B9-72B4-4260-AE47-1CA21DA8425D}"/>
    <cellStyle name="Currency [2] 7 3" xfId="4411" xr:uid="{F1E1276B-B445-4984-9FB9-9C033BB6E36E}"/>
    <cellStyle name="Currency [2] 7 4" xfId="3698" xr:uid="{5A806FBB-26C1-4D5B-920E-C70FF55689BA}"/>
    <cellStyle name="Currency [2] 8" xfId="2657" xr:uid="{F7E1D7A0-80E1-4F3B-9C15-F0B4CAD5F2FA}"/>
    <cellStyle name="Currency [2] 8 2" xfId="3862" xr:uid="{7021AB17-B3B1-4835-9B01-F0FC64CCF4DF}"/>
    <cellStyle name="Currency [2] 8 3" xfId="4476" xr:uid="{3FD4D73F-881B-4A08-A24F-E7BCC54767D0}"/>
    <cellStyle name="Currency [2] 8 4" xfId="3737" xr:uid="{6D540B8F-FA94-4188-8D7F-6A325BBFC375}"/>
    <cellStyle name="Currency [2] 9" xfId="2719" xr:uid="{6BECD37F-AEC7-414B-91DA-7EADF719ACF8}"/>
    <cellStyle name="Currency [2] 9 2" xfId="3919" xr:uid="{A149E991-854B-409A-B5E8-CD148C326EB3}"/>
    <cellStyle name="Currency [2] 9 3" xfId="4532" xr:uid="{5F0950B2-D2E8-426B-BD82-7AF4C35192C7}"/>
    <cellStyle name="Currency [2] 9 4" xfId="4970" xr:uid="{7C593B4F-03EA-4741-A5AB-674F693DDDDD}"/>
    <cellStyle name="Currency 0" xfId="2012" xr:uid="{EF06BDF0-8343-42B4-B628-8BFFA8C9AF0A}"/>
    <cellStyle name="Currency 1" xfId="2013" xr:uid="{3A83B272-42D5-4D65-8088-B16DC9655421}"/>
    <cellStyle name="Currency 2" xfId="2014" xr:uid="{3578317D-1D77-4093-BE72-3B94F078545C}"/>
    <cellStyle name="Currency 3" xfId="2015" xr:uid="{4722E331-D51E-43BE-8AFD-000B85DD54B7}"/>
    <cellStyle name="Currency$" xfId="2016" xr:uid="{03AB256D-8EC8-4A2C-8969-CFE703FA9822}"/>
    <cellStyle name="currency(0)" xfId="2017" xr:uid="{8291E5BF-D9EB-4093-90F7-307EC609B1BC}"/>
    <cellStyle name="Currency(1)" xfId="2018" xr:uid="{24E130A5-A16F-486F-B5FB-50D8E2DB2A0D}"/>
    <cellStyle name="Currency(2)" xfId="2019" xr:uid="{134889FF-907F-4C71-AEB3-C8342700C955}"/>
    <cellStyle name="Currency(2) 2" xfId="2532" xr:uid="{E5414F10-93FC-4ACA-9610-01EC754FC3DD}"/>
    <cellStyle name="Currency(2) 2 2" xfId="2833" xr:uid="{77EED032-94D9-43CB-A9EF-AE625BA53340}"/>
    <cellStyle name="Currency(2) 3" xfId="2736" xr:uid="{DC029B9D-CDA4-4C98-B840-951F6BFB3FF4}"/>
    <cellStyle name="Currency0" xfId="26" xr:uid="{00000000-0005-0000-0000-00002C010000}"/>
    <cellStyle name="Currency0 2" xfId="27" xr:uid="{00000000-0005-0000-0000-00002D010000}"/>
    <cellStyle name="Currency0 3" xfId="467" xr:uid="{C699E275-248F-4B32-8F7F-9B8E6C8DA868}"/>
    <cellStyle name="Currency2" xfId="2020" xr:uid="{36EFAF43-2FEB-4F18-B296-C57F0FBBA9BF}"/>
    <cellStyle name="Currencyunder" xfId="2021" xr:uid="{B0108644-E6CD-4537-ADAF-A3E3579A46F0}"/>
    <cellStyle name="custom" xfId="2022" xr:uid="{073B7573-A0D6-4A64-9211-570FFF52A1CA}"/>
    <cellStyle name="custom 2" xfId="2023" xr:uid="{A51DACD0-301C-4422-B959-ED72ACE47538}"/>
    <cellStyle name="d_yield" xfId="2024" xr:uid="{D36B39FE-4126-4016-80CA-A51E359F50C3}"/>
    <cellStyle name="d_yield_Copy of IFRS consol ABB Final Version4" xfId="2025" xr:uid="{D237D7AA-6DBA-45E7-A844-450F9EEA3341}"/>
    <cellStyle name="Data_0dp" xfId="2026" xr:uid="{F41BE4BB-7EC8-4916-8013-0CF5FC8AE712}"/>
    <cellStyle name="Date" xfId="28" xr:uid="{00000000-0005-0000-0000-00002E010000}"/>
    <cellStyle name="Date [mmm-yy]" xfId="2027" xr:uid="{4B0306AB-36EC-4625-9AB1-BB22ADEC5FC2}"/>
    <cellStyle name="Date 2" xfId="29" xr:uid="{00000000-0005-0000-0000-00002F010000}"/>
    <cellStyle name="date 3" xfId="468" xr:uid="{B27494C5-4737-433F-AE93-7BFEE5985C21}"/>
    <cellStyle name="Date Aligned" xfId="2028" xr:uid="{07D15311-59BA-4B3D-BA28-F91A4B74859D}"/>
    <cellStyle name="Date_Copy of IFRS consol ABB Final Version4" xfId="2029" xr:uid="{8F463E93-19FE-42B0-8E26-69447192C0BB}"/>
    <cellStyle name="Dates" xfId="2030" xr:uid="{DF0C9958-EBF3-47DA-9AC1-103115088704}"/>
    <cellStyle name="DateYear" xfId="2031" xr:uid="{B6B4E2F1-5A2F-492C-9F44-A114CA9BB426}"/>
    <cellStyle name="days" xfId="2032" xr:uid="{4833BE7B-51E2-440B-BCEE-C20BA5A31BB9}"/>
    <cellStyle name="Dec_0" xfId="2033" xr:uid="{C7796283-1899-4847-BEC4-4D04A65976C9}"/>
    <cellStyle name="default" xfId="297" xr:uid="{00000000-0005-0000-0000-000030010000}"/>
    <cellStyle name="Derive" xfId="2034" xr:uid="{C2D8ECFE-0045-4B9B-9E30-95C77AB32730}"/>
    <cellStyle name="DOH" xfId="30" xr:uid="{00000000-0005-0000-0000-000031010000}"/>
    <cellStyle name="Dollar" xfId="298" xr:uid="{00000000-0005-0000-0000-000032010000}"/>
    <cellStyle name="dollar [0]" xfId="2035" xr:uid="{27CD0125-C3B1-4566-B3B4-F387AB9BE026}"/>
    <cellStyle name="dollar [1]" xfId="2036" xr:uid="{9BB936F6-CBA5-45DA-9F3E-F1101F0FAF50}"/>
    <cellStyle name="Dollar 2" xfId="2037" xr:uid="{16C756B1-0BC7-437A-9B49-FF6F4C4C4C3C}"/>
    <cellStyle name="Dollar 3" xfId="2038" xr:uid="{A5901F24-96E1-4D34-98C8-DB9E5C9AEA08}"/>
    <cellStyle name="Dollar_CROCI" xfId="2039" xr:uid="{3B992A95-3FD0-49B4-A321-D556F72E3872}"/>
    <cellStyle name="Dollars" xfId="2040" xr:uid="{A0D4D143-7898-4121-A914-79624D3140EA}"/>
    <cellStyle name="DollarWhole" xfId="2041" xr:uid="{252CA5D6-8287-437A-A8C0-1F86E5F0505E}"/>
    <cellStyle name="Dotted Line" xfId="2042" xr:uid="{4FF58529-5B5B-443C-A56F-DE4DA2C7D60A}"/>
    <cellStyle name="Duizenden" xfId="2043" xr:uid="{0F9BC708-588E-489D-990D-4FE04808B4D4}"/>
    <cellStyle name="E" xfId="2044" xr:uid="{3F102D9F-38AE-43CC-842C-1D2300F6561C}"/>
    <cellStyle name="E 2" xfId="2533" xr:uid="{FE166872-72B1-4DA4-BABA-F44B32B5856F}"/>
    <cellStyle name="E 2 2" xfId="2834" xr:uid="{80989C84-F947-4640-80EE-1EDA179274F2}"/>
    <cellStyle name="E 3" xfId="2737" xr:uid="{1F520D00-3D8F-4F02-994B-88CFA94B4A93}"/>
    <cellStyle name="emp" xfId="299" xr:uid="{00000000-0005-0000-0000-000033010000}"/>
    <cellStyle name="Entered" xfId="2045" xr:uid="{943802A7-B727-4E3B-86A6-83A0E26F6F7B}"/>
    <cellStyle name="Entered 2" xfId="2046" xr:uid="{093B3E84-CCB8-4AF6-B999-AF6C9BD8EA48}"/>
    <cellStyle name="Entries" xfId="2047" xr:uid="{9E013CC7-6A53-434A-8F1D-27BB532F1375}"/>
    <cellStyle name="Entries 2" xfId="3606" xr:uid="{CCAD1498-702D-4732-877E-2FC88948204B}"/>
    <cellStyle name="Entries 3" xfId="3421" xr:uid="{4B23A30D-C63A-4AB3-A28F-73D965DD46C2}"/>
    <cellStyle name="Entries 4" xfId="3453" xr:uid="{3737EEA8-558F-471B-AF96-CB3E72ED5120}"/>
    <cellStyle name="Entry" xfId="2048" xr:uid="{87145102-566F-4060-8FDA-9B8DCB1FAE79}"/>
    <cellStyle name="Entry 2" xfId="2049" xr:uid="{0DBE1089-76F4-446D-9007-23CD556450D2}"/>
    <cellStyle name="Entry 3" xfId="2050" xr:uid="{D5EF0A8A-FA74-4FFA-B5BB-BE1352B9FA9C}"/>
    <cellStyle name="EPS" xfId="2051" xr:uid="{5C786289-C9CD-438D-8187-314601E6A6F1}"/>
    <cellStyle name="eps$" xfId="2052" xr:uid="{C15DC4E4-E516-4459-B389-EE0485D4A919}"/>
    <cellStyle name="eps$A" xfId="2053" xr:uid="{A9D9314C-F2A1-40B5-8353-E290AE649E6D}"/>
    <cellStyle name="eps$E" xfId="2054" xr:uid="{7DF3A291-AAEF-412F-8C9D-45380B8CF11A}"/>
    <cellStyle name="eps_AOL Model Master" xfId="2055" xr:uid="{C9659AF6-32A1-4DD6-886F-47269FBB4E0F}"/>
    <cellStyle name="epsA" xfId="2056" xr:uid="{201186F5-628D-4E4F-8C00-7674DFEA0054}"/>
    <cellStyle name="EPSActual" xfId="2057" xr:uid="{412D7246-3CC4-4926-9BAB-CBC306ED9241}"/>
    <cellStyle name="EPSActual 2" xfId="2058" xr:uid="{FBA3A588-A7A6-4A3A-8C37-0B3EDF87F1FF}"/>
    <cellStyle name="EPSActual 3" xfId="2059" xr:uid="{1C614BB0-6C0A-47B1-AEC9-666F613B8144}"/>
    <cellStyle name="epsE" xfId="2060" xr:uid="{B51EE501-A17E-4405-8EA7-BDFBAF5445BB}"/>
    <cellStyle name="EPSEstimate" xfId="2061" xr:uid="{688FEB4A-4879-4417-A57E-FB677295C965}"/>
    <cellStyle name="EPSEstimate 2" xfId="2062" xr:uid="{603C58EF-7D12-4675-8FAC-F67C5958F5F7}"/>
    <cellStyle name="EPSEstimate 3" xfId="2063" xr:uid="{FACD025A-7F25-40AE-85E7-31A104E1D2EC}"/>
    <cellStyle name="Euro" xfId="2064" xr:uid="{5A748FB5-7ACA-4735-8E5C-0C8AA853BD62}"/>
    <cellStyle name="Euro 2" xfId="2065" xr:uid="{3D042F70-5596-4D7F-BF52-086D1A1FF521}"/>
    <cellStyle name="Exchange_rates" xfId="2066" xr:uid="{1B2DE4FF-3F59-4622-A7EF-78E46E509F33}"/>
    <cellStyle name="ExchRate" xfId="2067" xr:uid="{FB4D2132-31E8-47BD-819D-6110360297A7}"/>
    <cellStyle name="exp" xfId="2068" xr:uid="{D53200E0-5B15-455F-8FBC-5DFCD667EBDE}"/>
    <cellStyle name="exp 2" xfId="2069" xr:uid="{F57D7CD9-DEA6-48B2-BBE8-77522CA5B096}"/>
    <cellStyle name="exp 3" xfId="2070" xr:uid="{183967DE-AB12-40B9-81AF-CD2FE11313E1}"/>
    <cellStyle name="Explanatory Text 2" xfId="394" xr:uid="{00000000-0005-0000-0000-000034010000}"/>
    <cellStyle name="External File Cells" xfId="300" xr:uid="{00000000-0005-0000-0000-000035010000}"/>
    <cellStyle name="External File Cells 2" xfId="434" xr:uid="{00000000-0005-0000-0000-000036010000}"/>
    <cellStyle name="External File Cells 2 2" xfId="2534" xr:uid="{DCD7C247-4A44-4632-B695-75DDF19C534B}"/>
    <cellStyle name="External File Cells 2 2 10" xfId="3094" xr:uid="{D8EFDC35-D233-4FAC-91B4-21C7416850FA}"/>
    <cellStyle name="External File Cells 2 2 10 2" xfId="4259" xr:uid="{7ADD4C8A-DDFC-41A3-A857-828B0DA3E2DA}"/>
    <cellStyle name="External File Cells 2 2 10 3" xfId="4870" xr:uid="{F7A6110A-CC41-44AA-A468-6EB8EF29B961}"/>
    <cellStyle name="External File Cells 2 2 10 4" xfId="5128" xr:uid="{A114C3B6-3AA7-48BB-9756-F27DF4084C7F}"/>
    <cellStyle name="External File Cells 2 2 11" xfId="3131" xr:uid="{2A89D8AF-400F-46DB-BF53-58F889EF6BBA}"/>
    <cellStyle name="External File Cells 2 2 11 2" xfId="4293" xr:uid="{14609B28-B525-4DF3-80F0-EBC18F89BA24}"/>
    <cellStyle name="External File Cells 2 2 11 3" xfId="4905" xr:uid="{D0629811-A7C9-43EE-85CF-329FA9FAB431}"/>
    <cellStyle name="External File Cells 2 2 11 4" xfId="3259" xr:uid="{F4E2210E-7CE3-4C10-B958-C516BD3D94E0}"/>
    <cellStyle name="External File Cells 2 2 12" xfId="2682" xr:uid="{6D1108B2-603B-4AB4-BA1C-EEBC3A5E0A1B}"/>
    <cellStyle name="External File Cells 2 2 12 2" xfId="3882" xr:uid="{86542224-B1E3-42E1-966A-B6E56021A0A6}"/>
    <cellStyle name="External File Cells 2 2 12 3" xfId="4495" xr:uid="{2C48D676-5B59-478C-BDD8-632B3B214311}"/>
    <cellStyle name="External File Cells 2 2 12 4" xfId="3625" xr:uid="{E3556890-BBDB-4FE3-8EF0-1407CD3C8941}"/>
    <cellStyle name="External File Cells 2 2 13" xfId="3175" xr:uid="{3450BFC4-C676-44D3-BD5F-87A3A0BB979E}"/>
    <cellStyle name="External File Cells 2 2 13 2" xfId="4337" xr:uid="{EF04C7AE-A992-4CA1-82E5-89B5BFBF2497}"/>
    <cellStyle name="External File Cells 2 2 13 3" xfId="4949" xr:uid="{34A912D8-FEF1-4259-AFB8-1B3539150199}"/>
    <cellStyle name="External File Cells 2 2 13 4" xfId="3236" xr:uid="{FE615FD4-DD34-4526-84CD-0ABDF3D9F565}"/>
    <cellStyle name="External File Cells 2 2 14" xfId="3758" xr:uid="{C5AFD848-589E-447C-9E7C-494CFFA4EE23}"/>
    <cellStyle name="External File Cells 2 2 15" xfId="4374" xr:uid="{00360117-5768-4071-BF8D-B8F988512873}"/>
    <cellStyle name="External File Cells 2 2 16" xfId="5173" xr:uid="{60E8A452-A0FC-4E5B-B495-480D7017CC7B}"/>
    <cellStyle name="External File Cells 2 2 2" xfId="2835" xr:uid="{4F8A3F2D-ABC0-46BE-BF4F-937D2506AC9F}"/>
    <cellStyle name="External File Cells 2 2 2 2" xfId="4018" xr:uid="{CD3B82E8-CACE-4E48-AC8A-B5A20F42B94F}"/>
    <cellStyle name="External File Cells 2 2 2 3" xfId="4632" xr:uid="{18A297EA-4B68-469D-A191-C3A91C3779FE}"/>
    <cellStyle name="External File Cells 2 2 2 4" xfId="3553" xr:uid="{2309261C-4266-4991-A61F-BCB5315ADDB4}"/>
    <cellStyle name="External File Cells 2 2 3" xfId="2894" xr:uid="{4FB48EE8-CE40-4726-A106-14A3B037647E}"/>
    <cellStyle name="External File Cells 2 2 3 2" xfId="4067" xr:uid="{69A0430B-B1EE-4053-A423-DE920AEF680A}"/>
    <cellStyle name="External File Cells 2 2 3 3" xfId="4678" xr:uid="{216CF3CE-5392-4614-B472-AA6D475D85F2}"/>
    <cellStyle name="External File Cells 2 2 3 4" xfId="3280" xr:uid="{BFD003B4-C08F-448F-966A-13EE9FD24A77}"/>
    <cellStyle name="External File Cells 2 2 4" xfId="2920" xr:uid="{D4E12DF3-A46C-401E-AFE8-E35E3E3A6191}"/>
    <cellStyle name="External File Cells 2 2 4 2" xfId="4091" xr:uid="{090ADAE5-D464-48FF-933A-D5553A3CCA42}"/>
    <cellStyle name="External File Cells 2 2 4 3" xfId="4702" xr:uid="{34342FCE-2184-411F-BB09-37E1A416824F}"/>
    <cellStyle name="External File Cells 2 2 4 4" xfId="3701" xr:uid="{BCF48292-B3DD-4481-9CD3-4545191BBD25}"/>
    <cellStyle name="External File Cells 2 2 5" xfId="2953" xr:uid="{2AE9E5AF-E82F-4925-9E05-EDE8C4F74F65}"/>
    <cellStyle name="External File Cells 2 2 5 2" xfId="4124" xr:uid="{35427B70-659A-4C1D-982C-08291D7701A2}"/>
    <cellStyle name="External File Cells 2 2 5 3" xfId="4735" xr:uid="{9EF318D7-1B82-46B0-91BE-1D47CF344DB5}"/>
    <cellStyle name="External File Cells 2 2 5 4" xfId="3558" xr:uid="{F6C06D56-2DCF-482B-86B1-DEE4DDE397A3}"/>
    <cellStyle name="External File Cells 2 2 6" xfId="2983" xr:uid="{D6AC4D14-E911-4823-9C52-1180694F34AB}"/>
    <cellStyle name="External File Cells 2 2 6 2" xfId="4152" xr:uid="{14BF8E3B-25A1-4459-8B65-8C7EA1855D96}"/>
    <cellStyle name="External File Cells 2 2 6 3" xfId="4762" xr:uid="{AA2AC68F-ABEB-4221-8DE5-0A4075F5C352}"/>
    <cellStyle name="External File Cells 2 2 6 4" xfId="5049" xr:uid="{80C9D80D-0DAD-4758-8B0D-3103E4E7D7A1}"/>
    <cellStyle name="External File Cells 2 2 7" xfId="3015" xr:uid="{91F4C638-014B-4AE4-B0B0-4D2AD66BDD9A}"/>
    <cellStyle name="External File Cells 2 2 7 2" xfId="4183" xr:uid="{27328418-5428-451A-9AB1-87FA1C70771A}"/>
    <cellStyle name="External File Cells 2 2 7 3" xfId="4793" xr:uid="{66DFEE14-A299-41A5-94F1-400A4D169D6B}"/>
    <cellStyle name="External File Cells 2 2 7 4" xfId="3476" xr:uid="{84E17C48-9ED0-42E9-A4EC-4DF52926B46D}"/>
    <cellStyle name="External File Cells 2 2 8" xfId="3037" xr:uid="{6A0181AD-78B3-458D-9BA6-DAE5DC528BAE}"/>
    <cellStyle name="External File Cells 2 2 8 2" xfId="4205" xr:uid="{5E5E34AA-75F8-4958-8CCE-2FFD3241A02C}"/>
    <cellStyle name="External File Cells 2 2 8 3" xfId="4815" xr:uid="{B609012D-58EE-403E-ABF8-3EBD59AC22CB}"/>
    <cellStyle name="External File Cells 2 2 8 4" xfId="3525" xr:uid="{FAF9F2B6-D6DB-4B63-9F93-1A7D269075D0}"/>
    <cellStyle name="External File Cells 2 2 9" xfId="3064" xr:uid="{21CCE5BD-75A3-455A-B9A1-ED23BE32E5AE}"/>
    <cellStyle name="External File Cells 2 2 9 2" xfId="4232" xr:uid="{2858A943-D3F2-4EBA-8B6E-2BA7E6E578AC}"/>
    <cellStyle name="External File Cells 2 2 9 3" xfId="4842" xr:uid="{9AC600DF-A55D-4385-9E83-207ECF79C169}"/>
    <cellStyle name="External File Cells 2 2 9 4" xfId="5179" xr:uid="{26D34EE2-3320-4B0C-8073-66B90F3A0DD3}"/>
    <cellStyle name="External File Cells 2 3" xfId="2739" xr:uid="{82B843CD-CA4D-4ECB-B82D-0FC9D6F5F302}"/>
    <cellStyle name="External File Cells 2 3 2" xfId="3937" xr:uid="{3BB42776-7BAF-4A5B-81EB-59A98D556C51}"/>
    <cellStyle name="External File Cells 2 3 3" xfId="4550" xr:uid="{802384C5-FDF7-44EE-B370-B85DE23D4D2E}"/>
    <cellStyle name="External File Cells 2 3 4" xfId="3711" xr:uid="{03937827-2E15-4128-8CEC-8117137DEB72}"/>
    <cellStyle name="External File Cells 2 4" xfId="2071" xr:uid="{58DE0293-192B-450B-BF44-5BC913F857E5}"/>
    <cellStyle name="External File Cells 2 4 2" xfId="3615" xr:uid="{E1D602CA-F3FA-4765-B091-1FD5B918CF46}"/>
    <cellStyle name="External File Cells 2 4 3" xfId="3419" xr:uid="{B085C0CE-FE7F-4E72-9E8F-DCE9BCD0E059}"/>
    <cellStyle name="External File Cells 2 4 4" xfId="3461" xr:uid="{BE51D9EB-F30C-430D-8BE5-6BF4FF5FD0A2}"/>
    <cellStyle name="External File Cells 2 5" xfId="3302" xr:uid="{B603F776-8E99-4FB7-847C-B766AC84ECAE}"/>
    <cellStyle name="External File Cells 2 6" xfId="3660" xr:uid="{9436CFA5-EC38-4212-8638-9428D0CD51F0}"/>
    <cellStyle name="External File Cells 2 7" xfId="3686" xr:uid="{14F3039A-062A-4471-8C45-9E02CF4E9219}"/>
    <cellStyle name="External File Cells 3" xfId="2072" xr:uid="{A7DFEE01-1587-4014-AAFF-26D90526BCF9}"/>
    <cellStyle name="External File Cells 3 2" xfId="2535" xr:uid="{7050B12D-5AA5-4102-A453-1FF1D6D85379}"/>
    <cellStyle name="External File Cells 3 2 10" xfId="3095" xr:uid="{47123FCD-AA91-4B95-B328-007F6D1DDA8F}"/>
    <cellStyle name="External File Cells 3 2 10 2" xfId="4260" xr:uid="{9D57A3A0-3EF3-4977-9AF0-7450892B1BEB}"/>
    <cellStyle name="External File Cells 3 2 10 3" xfId="4871" xr:uid="{93AA5122-B5C6-4618-8B2B-FDEE4C671869}"/>
    <cellStyle name="External File Cells 3 2 10 4" xfId="3278" xr:uid="{1989AFF8-A408-41B3-8BEF-5B23A9054E9A}"/>
    <cellStyle name="External File Cells 3 2 11" xfId="3132" xr:uid="{DA7DFCDC-D780-44C3-BC2F-DC70F7AE20B4}"/>
    <cellStyle name="External File Cells 3 2 11 2" xfId="4294" xr:uid="{2D80AE80-08A1-400A-B983-09169E9B0A74}"/>
    <cellStyle name="External File Cells 3 2 11 3" xfId="4906" xr:uid="{9FD697A7-D5B0-4B99-B0E0-945703BF65C6}"/>
    <cellStyle name="External File Cells 3 2 11 4" xfId="3469" xr:uid="{62015225-51F6-4E99-858C-A3F050AEAF66}"/>
    <cellStyle name="External File Cells 3 2 12" xfId="2683" xr:uid="{A9CFD153-6A00-4014-8CF0-48A94FB73B55}"/>
    <cellStyle name="External File Cells 3 2 12 2" xfId="3883" xr:uid="{090F7E30-AB17-40FF-B6AD-627DC514F8F1}"/>
    <cellStyle name="External File Cells 3 2 12 3" xfId="4496" xr:uid="{D1C8BC25-3E0F-4DDC-BEDE-FDA315A62542}"/>
    <cellStyle name="External File Cells 3 2 12 4" xfId="3367" xr:uid="{778F6DCB-CF00-4A35-9ED5-E8DB7D44B006}"/>
    <cellStyle name="External File Cells 3 2 13" xfId="3176" xr:uid="{2C87C7ED-DDC4-4741-8A9F-8DD11BD02734}"/>
    <cellStyle name="External File Cells 3 2 13 2" xfId="4338" xr:uid="{03603BFE-C5CC-4A14-BE3B-6A7EE20008D0}"/>
    <cellStyle name="External File Cells 3 2 13 3" xfId="4950" xr:uid="{E6C3419B-7089-4E90-94A4-B7E699EE1CBE}"/>
    <cellStyle name="External File Cells 3 2 13 4" xfId="3611" xr:uid="{255788EF-83F8-4A25-BE50-956E9DC93715}"/>
    <cellStyle name="External File Cells 3 2 14" xfId="3759" xr:uid="{9AED4EE8-922D-40ED-B2E4-5901EDB1C4A4}"/>
    <cellStyle name="External File Cells 3 2 15" xfId="4375" xr:uid="{15B6EC6B-367F-43EE-ACA7-DB8D7CF9BC88}"/>
    <cellStyle name="External File Cells 3 2 16" xfId="3696" xr:uid="{4136A04F-2237-4140-BBCF-8EAB222A47D4}"/>
    <cellStyle name="External File Cells 3 2 2" xfId="2836" xr:uid="{E8F0D624-EA77-4F0F-AC3B-B40628131159}"/>
    <cellStyle name="External File Cells 3 2 2 2" xfId="4019" xr:uid="{B9AFAAC1-AB4A-4ED7-83F4-82C4E55DA559}"/>
    <cellStyle name="External File Cells 3 2 2 3" xfId="4633" xr:uid="{4B45B674-4C3D-4B92-9E40-849F04549DE6}"/>
    <cellStyle name="External File Cells 3 2 2 4" xfId="5125" xr:uid="{5FE61926-05DF-4935-A793-FA18B7D7A789}"/>
    <cellStyle name="External File Cells 3 2 3" xfId="2895" xr:uid="{71F02822-6A7B-4767-A8F5-C12846059C70}"/>
    <cellStyle name="External File Cells 3 2 3 2" xfId="4068" xr:uid="{64430FC7-1CAE-493B-8B9F-FB3B593EFBC3}"/>
    <cellStyle name="External File Cells 3 2 3 3" xfId="4679" xr:uid="{CAA7519F-3E21-497A-BCB9-AA17A972DB7C}"/>
    <cellStyle name="External File Cells 3 2 3 4" xfId="5142" xr:uid="{6903E9FA-0449-4EE8-9DAA-3004F262AD42}"/>
    <cellStyle name="External File Cells 3 2 4" xfId="2921" xr:uid="{E829ACFD-ED38-4E9A-B183-71956F947445}"/>
    <cellStyle name="External File Cells 3 2 4 2" xfId="4092" xr:uid="{23BB56B2-E95A-4FB7-A246-B21C6C97B208}"/>
    <cellStyle name="External File Cells 3 2 4 3" xfId="4703" xr:uid="{B5E25343-19AA-4D4C-9B55-F0F126DAF20B}"/>
    <cellStyle name="External File Cells 3 2 4 4" xfId="3639" xr:uid="{7C1EEC2C-5E4C-49FB-9DF2-BB5D02FF4A21}"/>
    <cellStyle name="External File Cells 3 2 5" xfId="2954" xr:uid="{AF547FBB-BA9A-4FA5-A212-209FE3D7DDA0}"/>
    <cellStyle name="External File Cells 3 2 5 2" xfId="4125" xr:uid="{1F97474E-33F7-42EA-9F9B-E2F440CDB19C}"/>
    <cellStyle name="External File Cells 3 2 5 3" xfId="4736" xr:uid="{46524599-3A7E-4EB6-A117-7F5F0A0CBFA3}"/>
    <cellStyle name="External File Cells 3 2 5 4" xfId="5118" xr:uid="{573C6346-1154-4F77-AE29-D9C534E8D105}"/>
    <cellStyle name="External File Cells 3 2 6" xfId="2984" xr:uid="{90467E60-8774-4B05-A0A3-79D55C25E7C2}"/>
    <cellStyle name="External File Cells 3 2 6 2" xfId="4153" xr:uid="{5DD8FEE5-7793-4658-BAD4-83FAFC9F0930}"/>
    <cellStyle name="External File Cells 3 2 6 3" xfId="4763" xr:uid="{DA68EF5E-0CE0-474F-80DF-4170C2CD9E3F}"/>
    <cellStyle name="External File Cells 3 2 6 4" xfId="3666" xr:uid="{BEF71EE9-93A6-4F53-B67B-F050CD7AF1DF}"/>
    <cellStyle name="External File Cells 3 2 7" xfId="3016" xr:uid="{F97E871D-0D2F-432C-ADE6-90C86E4E96C2}"/>
    <cellStyle name="External File Cells 3 2 7 2" xfId="4184" xr:uid="{F73576F4-B8D0-4EB8-8134-CD8FD4FAB22D}"/>
    <cellStyle name="External File Cells 3 2 7 3" xfId="4794" xr:uid="{17E6EFD4-CB4C-4825-A99D-94ACC14E02BD}"/>
    <cellStyle name="External File Cells 3 2 7 4" xfId="3477" xr:uid="{B8D2C4FA-2A39-4991-AD77-CC4E1F754B84}"/>
    <cellStyle name="External File Cells 3 2 8" xfId="3038" xr:uid="{87ABD1A6-7E88-4514-A563-04AA96E7C3BC}"/>
    <cellStyle name="External File Cells 3 2 8 2" xfId="4206" xr:uid="{6E4D72DD-03CE-4C72-90F8-3F0624B3EDE6}"/>
    <cellStyle name="External File Cells 3 2 8 3" xfId="4816" xr:uid="{1EBBAB4C-D8BD-44BA-AE7D-5EE6B341AF9E}"/>
    <cellStyle name="External File Cells 3 2 8 4" xfId="3254" xr:uid="{9E29B394-27B9-4A21-BF3E-FEE3CCA67F10}"/>
    <cellStyle name="External File Cells 3 2 9" xfId="3065" xr:uid="{219A61E8-E8ED-45D5-9F0A-610DF2DE747B}"/>
    <cellStyle name="External File Cells 3 2 9 2" xfId="4233" xr:uid="{F332EAB3-D56A-452F-B7C5-CEDC6CB32A3E}"/>
    <cellStyle name="External File Cells 3 2 9 3" xfId="4843" xr:uid="{263356F5-DC84-4177-AB1A-F883ADA69EDE}"/>
    <cellStyle name="External File Cells 3 2 9 4" xfId="3440" xr:uid="{7C0BC733-03CB-48DF-A243-087AB3909CC3}"/>
    <cellStyle name="External File Cells 3 3" xfId="2740" xr:uid="{1512D83B-F527-4B04-8AC6-553F6D52910B}"/>
    <cellStyle name="External File Cells 3 3 2" xfId="3938" xr:uid="{AA40C2DA-4F3F-45BB-A52C-5ECF590F4349}"/>
    <cellStyle name="External File Cells 3 3 3" xfId="4551" xr:uid="{01644AD7-5668-45E9-B250-84D312D31A45}"/>
    <cellStyle name="External File Cells 3 3 4" xfId="3557" xr:uid="{6460CBCF-B44A-4221-A22B-3A3E1FE67266}"/>
    <cellStyle name="External File Cells 3 4" xfId="3616" xr:uid="{DFC87045-9525-41FB-BE15-6252CB21A035}"/>
    <cellStyle name="External File Cells 3 5" xfId="3418" xr:uid="{EB07B5ED-2483-495A-A526-D02A6C5D29FD}"/>
    <cellStyle name="External File Cells 3 6" xfId="3475" xr:uid="{92EEEBD3-2075-41CD-8217-93C3B99D1192}"/>
    <cellStyle name="External File Cells 4" xfId="2536" xr:uid="{BFA1FF50-2A31-4021-8AC6-75988B445BCF}"/>
    <cellStyle name="External File Cells 4 10" xfId="3096" xr:uid="{5BECC04D-068B-4684-AF47-0F141BDAE6A1}"/>
    <cellStyle name="External File Cells 4 10 2" xfId="4261" xr:uid="{5A05C29A-5505-49F4-A793-24887B1F4CAA}"/>
    <cellStyle name="External File Cells 4 10 3" xfId="4872" xr:uid="{BA197A90-0E33-4CDD-8433-C6E0DF3EE8D7}"/>
    <cellStyle name="External File Cells 4 10 4" xfId="5146" xr:uid="{48DF8EF6-7969-48CD-B5D4-E4B4D5069F78}"/>
    <cellStyle name="External File Cells 4 11" xfId="3133" xr:uid="{4812F646-F16B-4479-87B8-DEB705997BA8}"/>
    <cellStyle name="External File Cells 4 11 2" xfId="4295" xr:uid="{4599157D-F52D-43AE-81D1-FBF3D9A07661}"/>
    <cellStyle name="External File Cells 4 11 3" xfId="4907" xr:uid="{191DA42F-F87A-4244-875C-E1957013826A}"/>
    <cellStyle name="External File Cells 4 11 4" xfId="3473" xr:uid="{22229AC2-844F-4687-B943-8FD2394F66B2}"/>
    <cellStyle name="External File Cells 4 12" xfId="3143" xr:uid="{4974AD2A-74DF-433F-9B38-0779A05B38EC}"/>
    <cellStyle name="External File Cells 4 12 2" xfId="4305" xr:uid="{23807F2F-55CA-49A2-9B11-A41702337F14}"/>
    <cellStyle name="External File Cells 4 12 3" xfId="4917" xr:uid="{2792CE6C-E66B-4CD2-9D5F-C39CDE858F85}"/>
    <cellStyle name="External File Cells 4 12 4" xfId="3470" xr:uid="{D9C2AE0B-3681-408D-AD12-6D4B53AFB480}"/>
    <cellStyle name="External File Cells 4 13" xfId="3177" xr:uid="{8F1ADEBD-34DF-450B-A4C2-26F217B678EE}"/>
    <cellStyle name="External File Cells 4 13 2" xfId="4339" xr:uid="{EFFAFD97-054A-4FBD-8CE3-148598B082A1}"/>
    <cellStyle name="External File Cells 4 13 3" xfId="4951" xr:uid="{4078EC5A-4D8D-47EA-977A-DBEA6C319963}"/>
    <cellStyle name="External File Cells 4 13 4" xfId="3459" xr:uid="{050B0536-FBB8-41CD-9A06-8E5A0E0033F9}"/>
    <cellStyle name="External File Cells 4 14" xfId="3760" xr:uid="{346CBB5B-8D3E-4FCF-8968-D7C465B32A14}"/>
    <cellStyle name="External File Cells 4 15" xfId="4376" xr:uid="{CF7DECA2-60A4-48F5-9883-FD5ECC3ECEC6}"/>
    <cellStyle name="External File Cells 4 16" xfId="3500" xr:uid="{3B29097D-940E-4AD4-B3E8-369824968F3B}"/>
    <cellStyle name="External File Cells 4 2" xfId="2837" xr:uid="{D0B06ACC-F8E0-442E-9FAA-968543EC35CD}"/>
    <cellStyle name="External File Cells 4 2 2" xfId="4020" xr:uid="{37AF68A8-953D-44E9-92D1-AA16F8F2FF04}"/>
    <cellStyle name="External File Cells 4 2 3" xfId="4634" xr:uid="{B3C61696-CC9F-4EB3-9CB2-08747DDA8B99}"/>
    <cellStyle name="External File Cells 4 2 4" xfId="5010" xr:uid="{FF64F795-9605-4DCB-91BE-B8561C964903}"/>
    <cellStyle name="External File Cells 4 3" xfId="2896" xr:uid="{CBA3C41F-69AD-4E09-A002-0759210EE6AB}"/>
    <cellStyle name="External File Cells 4 3 2" xfId="4069" xr:uid="{A169EF2A-FBC6-41CD-A2D7-D87E3BEFEA27}"/>
    <cellStyle name="External File Cells 4 3 3" xfId="4680" xr:uid="{2254BA68-4187-45B5-90CF-EF83D573E618}"/>
    <cellStyle name="External File Cells 4 3 4" xfId="5064" xr:uid="{D236AAC1-935D-47F2-83A4-A0C47036232A}"/>
    <cellStyle name="External File Cells 4 4" xfId="2922" xr:uid="{4066E7CE-CA9B-4432-894A-71F016B6822B}"/>
    <cellStyle name="External File Cells 4 4 2" xfId="4093" xr:uid="{C0BDF06A-8C33-4854-BEB6-5F15CDB921AF}"/>
    <cellStyle name="External File Cells 4 4 3" xfId="4704" xr:uid="{B31E970B-8A8E-4D86-96AF-BA74AD4DE515}"/>
    <cellStyle name="External File Cells 4 4 4" xfId="3607" xr:uid="{4B80CDCE-6EAB-4743-A1D7-7F2D2F14171C}"/>
    <cellStyle name="External File Cells 4 5" xfId="2955" xr:uid="{F9538DE3-C830-467C-BA5A-801078D5B222}"/>
    <cellStyle name="External File Cells 4 5 2" xfId="4126" xr:uid="{902E5FD2-A8DB-4527-A403-F87E1B99A46A}"/>
    <cellStyle name="External File Cells 4 5 3" xfId="4737" xr:uid="{5DC54615-2EEE-4FF8-BA5B-F471C26083A0}"/>
    <cellStyle name="External File Cells 4 5 4" xfId="3572" xr:uid="{615975A9-2CCB-46E1-A889-8B06A18EF2EE}"/>
    <cellStyle name="External File Cells 4 6" xfId="2985" xr:uid="{5F435485-5C6E-495C-AC5C-F11F2DBF3811}"/>
    <cellStyle name="External File Cells 4 6 2" xfId="4154" xr:uid="{00D881B2-CCEB-485D-8A62-942ABB319E62}"/>
    <cellStyle name="External File Cells 4 6 3" xfId="4764" xr:uid="{7522A942-41F7-4C02-92C6-00F5A4499CD8}"/>
    <cellStyle name="External File Cells 4 6 4" xfId="5014" xr:uid="{269BC312-DEB6-49B1-8D47-84288CF8C78E}"/>
    <cellStyle name="External File Cells 4 7" xfId="3017" xr:uid="{734EE604-2B72-492B-8B08-377AF770D677}"/>
    <cellStyle name="External File Cells 4 7 2" xfId="4185" xr:uid="{E9FB2093-145D-4597-B518-C38ED61343FA}"/>
    <cellStyle name="External File Cells 4 7 3" xfId="4795" xr:uid="{6295A6FB-23E7-4822-A90E-20399136056D}"/>
    <cellStyle name="External File Cells 4 7 4" xfId="3478" xr:uid="{E5ED68A3-8982-4AF3-AC5B-6E80EE63809F}"/>
    <cellStyle name="External File Cells 4 8" xfId="3039" xr:uid="{48145D71-8D8C-4ADD-8FA1-4456F65FB957}"/>
    <cellStyle name="External File Cells 4 8 2" xfId="4207" xr:uid="{8E7C9AED-9962-493F-B732-9E6982909825}"/>
    <cellStyle name="External File Cells 4 8 3" xfId="4817" xr:uid="{C604A564-48B8-4999-A86C-4024CFCBDC04}"/>
    <cellStyle name="External File Cells 4 8 4" xfId="3227" xr:uid="{3773ADFD-939C-49DC-B62D-182560CFE265}"/>
    <cellStyle name="External File Cells 4 9" xfId="3066" xr:uid="{1E9F99AF-440D-486C-8421-9CB2A75D7420}"/>
    <cellStyle name="External File Cells 4 9 2" xfId="4234" xr:uid="{0E760CA8-5519-435A-9E62-D8B332D4545B}"/>
    <cellStyle name="External File Cells 4 9 3" xfId="4844" xr:uid="{DE8565BC-D816-42A5-8CF4-28EFCAE8A522}"/>
    <cellStyle name="External File Cells 4 9 4" xfId="5193" xr:uid="{8E2595C2-6780-4828-9976-1827F32FDCD8}"/>
    <cellStyle name="External File Cells 5" xfId="2537" xr:uid="{C201ED44-94BC-40A0-AFDD-31017F7FFAFF}"/>
    <cellStyle name="External File Cells 5 10" xfId="3097" xr:uid="{172EA0B3-4D7C-4853-AE6C-244C2D98A4B7}"/>
    <cellStyle name="External File Cells 5 10 2" xfId="4262" xr:uid="{A1810D69-C11B-4FB3-8C7C-F4971D31EF91}"/>
    <cellStyle name="External File Cells 5 10 3" xfId="4873" xr:uid="{C4840695-0A79-4512-8590-052FB33A7F24}"/>
    <cellStyle name="External File Cells 5 10 4" xfId="3574" xr:uid="{3B95B9B7-6D0F-49BB-9B9D-706170AB4C26}"/>
    <cellStyle name="External File Cells 5 11" xfId="3134" xr:uid="{E52F00BA-3450-4660-A50A-6FBBD9F28E20}"/>
    <cellStyle name="External File Cells 5 11 2" xfId="4296" xr:uid="{B358075D-C862-4EBD-9C10-865F9A4E8239}"/>
    <cellStyle name="External File Cells 5 11 3" xfId="4908" xr:uid="{638F0CF4-338A-4D45-997B-916BD862409E}"/>
    <cellStyle name="External File Cells 5 11 4" xfId="3559" xr:uid="{CEA70CA8-5B8A-4B85-9638-EDC67836637F}"/>
    <cellStyle name="External File Cells 5 12" xfId="3144" xr:uid="{79304E75-1048-402D-A999-502074CD5258}"/>
    <cellStyle name="External File Cells 5 12 2" xfId="4306" xr:uid="{372E1BBE-BF00-4088-8183-52E14BF8FE53}"/>
    <cellStyle name="External File Cells 5 12 3" xfId="4918" xr:uid="{99795BF9-64A8-476D-9B78-70DBBB42B2A0}"/>
    <cellStyle name="External File Cells 5 12 4" xfId="5027" xr:uid="{01AE56E2-CE15-4830-ADD3-6B1E297531BF}"/>
    <cellStyle name="External File Cells 5 13" xfId="3178" xr:uid="{BFF33EC7-AD43-48BD-B8BB-C4370F451F90}"/>
    <cellStyle name="External File Cells 5 13 2" xfId="4340" xr:uid="{B3C6E90B-9B0A-4AEA-AC97-1D78E9612EF2}"/>
    <cellStyle name="External File Cells 5 13 3" xfId="4952" xr:uid="{FF9F0D22-B375-4AE0-9EA2-BD1D511F9C34}"/>
    <cellStyle name="External File Cells 5 13 4" xfId="5035" xr:uid="{2F4F9985-D306-49B9-9ED0-EAA91A994B27}"/>
    <cellStyle name="External File Cells 5 14" xfId="3761" xr:uid="{F57E8B7D-D71A-44C2-A7EE-03D0752B7675}"/>
    <cellStyle name="External File Cells 5 15" xfId="4377" xr:uid="{1183F77C-8AED-46D4-AC61-09EB2E9252EB}"/>
    <cellStyle name="External File Cells 5 16" xfId="3356" xr:uid="{96E962CF-E78B-4F5D-B527-8853CB2C34DD}"/>
    <cellStyle name="External File Cells 5 2" xfId="2838" xr:uid="{80166ECA-FD80-4064-860D-1472225438AF}"/>
    <cellStyle name="External File Cells 5 2 2" xfId="4021" xr:uid="{DF79D0A4-DCC2-4430-9C11-8E6FB01791BA}"/>
    <cellStyle name="External File Cells 5 2 3" xfId="4635" xr:uid="{877E26D3-1F76-4F17-83E2-A558CEE33225}"/>
    <cellStyle name="External File Cells 5 2 4" xfId="5180" xr:uid="{2EBB427A-C763-4E84-9776-4E4C95E1DF6B}"/>
    <cellStyle name="External File Cells 5 3" xfId="2897" xr:uid="{E78A30A3-E5D1-4CC4-A0E7-0C9D947437EF}"/>
    <cellStyle name="External File Cells 5 3 2" xfId="4070" xr:uid="{FFFFF6E1-C4F8-4C0C-A67C-CA047891A980}"/>
    <cellStyle name="External File Cells 5 3 3" xfId="4681" xr:uid="{79BE6B32-60B1-4ACB-9E01-00792F828CBF}"/>
    <cellStyle name="External File Cells 5 3 4" xfId="3286" xr:uid="{AA00DDB2-C70A-476E-8825-291693ED6E7B}"/>
    <cellStyle name="External File Cells 5 4" xfId="2923" xr:uid="{9B9636DD-888E-43CE-97F3-DA821844ABE8}"/>
    <cellStyle name="External File Cells 5 4 2" xfId="4094" xr:uid="{F0257A5E-0CE1-4BA5-989E-6F4999CA8E9B}"/>
    <cellStyle name="External File Cells 5 4 3" xfId="4705" xr:uid="{847CD5EA-ACDE-4A90-87D4-06B8E4CD3124}"/>
    <cellStyle name="External File Cells 5 4 4" xfId="5021" xr:uid="{FFEC3D66-5B10-44DC-95B7-9DADC81D4ADD}"/>
    <cellStyle name="External File Cells 5 5" xfId="2956" xr:uid="{B5DEF23C-8810-4E32-AAE4-FA69F84219B8}"/>
    <cellStyle name="External File Cells 5 5 2" xfId="4127" xr:uid="{14FD2531-887B-4994-824F-3FC0F2C2A0F0}"/>
    <cellStyle name="External File Cells 5 5 3" xfId="4738" xr:uid="{2389AB8B-47F0-4868-AD16-745E2EFEF535}"/>
    <cellStyle name="External File Cells 5 5 4" xfId="3580" xr:uid="{6DEFDC6A-7839-4282-AF2D-E22E646FA34F}"/>
    <cellStyle name="External File Cells 5 6" xfId="2986" xr:uid="{B087C795-7745-4EAB-AAFA-B890C77625BD}"/>
    <cellStyle name="External File Cells 5 6 2" xfId="4155" xr:uid="{82A02A45-9269-40A8-81E3-2861D84153F6}"/>
    <cellStyle name="External File Cells 5 6 3" xfId="4765" xr:uid="{899D11E8-9789-43DD-9A37-4256C76C6A71}"/>
    <cellStyle name="External File Cells 5 6 4" xfId="5055" xr:uid="{23BE8694-3295-494D-A6D2-BBF209E1E5B5}"/>
    <cellStyle name="External File Cells 5 7" xfId="3018" xr:uid="{C7804F9B-9495-4577-BE68-6BA647B25D20}"/>
    <cellStyle name="External File Cells 5 7 2" xfId="4186" xr:uid="{E4E5A7BC-3A0D-451B-B75A-F28CF1C761A4}"/>
    <cellStyle name="External File Cells 5 7 3" xfId="4796" xr:uid="{7C438CF9-3A15-4155-B3EC-D4BB5B61EE00}"/>
    <cellStyle name="External File Cells 5 7 4" xfId="3626" xr:uid="{F93FFDB0-7DA9-4D75-9016-46D6B630A166}"/>
    <cellStyle name="External File Cells 5 8" xfId="3040" xr:uid="{80735462-99C7-4B6C-BFED-8A8B9D02E730}"/>
    <cellStyle name="External File Cells 5 8 2" xfId="4208" xr:uid="{C35523A3-4D1C-40AA-A6AA-C014D99C6668}"/>
    <cellStyle name="External File Cells 5 8 3" xfId="4818" xr:uid="{DE600A9C-C66C-42AB-92D4-1B6D61D5DD0A}"/>
    <cellStyle name="External File Cells 5 8 4" xfId="5162" xr:uid="{33112145-86AF-44EC-9899-2F435A373D9D}"/>
    <cellStyle name="External File Cells 5 9" xfId="3067" xr:uid="{302C2B8E-C2EE-4346-B4E7-B8872DEC330B}"/>
    <cellStyle name="External File Cells 5 9 2" xfId="4235" xr:uid="{61CC1F15-1706-4A70-9A15-F3FF3ADA1323}"/>
    <cellStyle name="External File Cells 5 9 3" xfId="4845" xr:uid="{9A9F2BA2-B629-4FC4-BE13-E67AC19CC319}"/>
    <cellStyle name="External File Cells 5 9 4" xfId="3231" xr:uid="{6595D28F-C2C5-4747-BD89-C686BCC1B885}"/>
    <cellStyle name="External File Cells 6" xfId="2589" xr:uid="{893E4302-A7B1-4834-AEE4-285A7B947DD1}"/>
    <cellStyle name="External File Cells 6 2" xfId="3803" xr:uid="{71395C93-18CD-4B68-BCA7-307841427460}"/>
    <cellStyle name="External File Cells 6 3" xfId="4415" xr:uid="{61498C1C-29AE-4FCF-AB9C-ACA5A039718B}"/>
    <cellStyle name="External File Cells 6 4" xfId="3240" xr:uid="{C21325F1-78C8-46EC-96F7-16071B5616EF}"/>
    <cellStyle name="External File Cells 7" xfId="2775" xr:uid="{C3CDB781-F4B1-4F5D-979C-E930CA20E08A}"/>
    <cellStyle name="External File Cells 8" xfId="469" xr:uid="{8020D7E2-A138-42DC-A9C5-126BBC49E9D0}"/>
    <cellStyle name="External File Cells 9" xfId="3485" xr:uid="{4B6E6AC1-4997-4F44-92D9-11EAE6E68601}"/>
    <cellStyle name="Fecha" xfId="2073" xr:uid="{BAE046E9-5B6B-409E-8C17-28D5A9ACDC66}"/>
    <cellStyle name="Fecha 2" xfId="2074" xr:uid="{C81821EF-4B83-4566-BF8F-C003EF5FD2AF}"/>
    <cellStyle name="Fecha 3" xfId="2075" xr:uid="{F41510F1-E701-4D7B-8F5F-8B6180585BB4}"/>
    <cellStyle name="FF" xfId="2076" xr:uid="{B1C0CA59-B2D0-4981-B054-CF8B0370C2E0}"/>
    <cellStyle name="Fijo" xfId="2077" xr:uid="{8269B2B7-8F82-4896-8FA8-A5BCC4B1CFB3}"/>
    <cellStyle name="Fijo 2" xfId="2078" xr:uid="{4717BDE0-B0A9-44CF-8820-965F7E6D249C}"/>
    <cellStyle name="Fijo 3" xfId="2079" xr:uid="{B24F234B-BF83-432E-9D1A-7CEB72AE875B}"/>
    <cellStyle name="Financial" xfId="2080" xr:uid="{9FD19659-ADCA-403D-ADAA-B552C7C3A4CA}"/>
    <cellStyle name="Fit" xfId="301" xr:uid="{00000000-0005-0000-0000-000037010000}"/>
    <cellStyle name="five" xfId="2081" xr:uid="{FAF7B2E2-004F-4C9D-BD42-DD48C53BD88D}"/>
    <cellStyle name="Fixed" xfId="31" xr:uid="{00000000-0005-0000-0000-000038010000}"/>
    <cellStyle name="Fixed 2" xfId="32" xr:uid="{00000000-0005-0000-0000-000039010000}"/>
    <cellStyle name="Fixed 3" xfId="470" xr:uid="{6DAD3CAF-F631-4478-B761-40EB8D0D0EC5}"/>
    <cellStyle name="Footer SBILogo1" xfId="2082" xr:uid="{CB75C518-4009-4A74-8CCB-C84057ADC839}"/>
    <cellStyle name="Footer SBILogo2" xfId="2083" xr:uid="{513DCCD3-9AFD-439E-B164-809F16406FBC}"/>
    <cellStyle name="Footnote" xfId="2084" xr:uid="{5BA02AC7-640E-4728-9C45-9F12B59DB534}"/>
    <cellStyle name="Footnote Reference" xfId="2085" xr:uid="{880BD475-F22E-443C-A337-9A54546ADA7B}"/>
    <cellStyle name="Footnote_ACCC" xfId="2086" xr:uid="{5B09DD11-3D9A-4F1F-9EFF-F72CA28105D1}"/>
    <cellStyle name="Footnotes" xfId="302" xr:uid="{00000000-0005-0000-0000-00003A010000}"/>
    <cellStyle name="Forecast Cells" xfId="303" xr:uid="{00000000-0005-0000-0000-00003B010000}"/>
    <cellStyle name="four" xfId="2087" xr:uid="{C5A9F9F6-A938-44C2-97B7-EE2E96034218}"/>
    <cellStyle name="fourdecplace" xfId="2088" xr:uid="{608B4C63-58F9-4253-865C-7761E5414527}"/>
    <cellStyle name="fourdecplace 2" xfId="2089" xr:uid="{22550E85-4578-4885-B653-8CA3140DCA6B}"/>
    <cellStyle name="fy_eps$" xfId="2090" xr:uid="{CBFB029D-D600-4FA5-9E81-C63CB9FD89C7}"/>
    <cellStyle name="g_rate" xfId="2091" xr:uid="{6E1A47F4-5D82-46B5-8696-C56032168171}"/>
    <cellStyle name="g_rate_AOL_Model_Master" xfId="2092" xr:uid="{FD206055-CF46-47B7-8461-597E987A97A9}"/>
    <cellStyle name="g_rate_AOL_Model_Master_Copy of IFRS consol ABB Final Version4" xfId="2093" xr:uid="{C7A0CC7D-85E3-4305-A737-4A5897EB2898}"/>
    <cellStyle name="G1_1999 figures" xfId="304" xr:uid="{00000000-0005-0000-0000-00003C010000}"/>
    <cellStyle name="gbox" xfId="2094" xr:uid="{222235CE-9C93-40A0-91F5-20F0918E160A}"/>
    <cellStyle name="gbox 2" xfId="2095" xr:uid="{6D4BCBF3-D746-4867-8459-6AD5A9C523AD}"/>
    <cellStyle name="General" xfId="2096" xr:uid="{3B955AB8-07A6-45BE-BB1A-ED3506A43109}"/>
    <cellStyle name="Good 2" xfId="395" xr:uid="{00000000-0005-0000-0000-00003E010000}"/>
    <cellStyle name="Grey" xfId="2097" xr:uid="{C6834EB1-44CF-4089-A03A-3F0A2DFF2AEA}"/>
    <cellStyle name="Grey 2" xfId="2098" xr:uid="{54C2CE3B-2E32-4B83-8952-42C5773F009B}"/>
    <cellStyle name="GrowthRate" xfId="2099" xr:uid="{41A23C43-7B7A-405C-B0A6-5E7B085C93E9}"/>
    <cellStyle name="GrowthSeq" xfId="2100" xr:uid="{1BAC5B2C-F943-4039-8EFD-2E21B8927509}"/>
    <cellStyle name="H_1998_col_head" xfId="305" xr:uid="{00000000-0005-0000-0000-00003F010000}"/>
    <cellStyle name="H_1998_col_head 2" xfId="2101" xr:uid="{5C8C8F50-26F0-45AC-AAF1-0728C4D620F2}"/>
    <cellStyle name="H_1998_col_head_BHI" xfId="2102" xr:uid="{79D4BC93-AAA1-4F10-893F-25F8AD763039}"/>
    <cellStyle name="H_1998_col_head_BHI_Copy of IFRS consol ABB Final Version4" xfId="2103" xr:uid="{A3137F0E-9599-4DAD-AB39-4EEA059C2271}"/>
    <cellStyle name="H_1998_col_head_BHI_working7" xfId="2104" xr:uid="{EA9D08F1-939F-443C-BD63-DF033FDE16D9}"/>
    <cellStyle name="H_1998_col_head_BJS" xfId="2105" xr:uid="{091FDF98-ED20-4BF2-A1A6-808FB8512389}"/>
    <cellStyle name="H_1998_col_head_BJS_Copy of IFRS consol ABB Final Version4" xfId="2106" xr:uid="{AE00B0AD-5932-43DA-968F-4A41CD0ACB73}"/>
    <cellStyle name="H_1998_col_head_bjs-working9" xfId="2107" xr:uid="{6C3D4D8E-39B4-4478-B5D1-5B88B683DA46}"/>
    <cellStyle name="H_1998_col_head_EVA" xfId="2108" xr:uid="{A135A9AC-E0E0-4A04-8E5A-2CC36807562F}"/>
    <cellStyle name="H_1998_col_head_HAL" xfId="2109" xr:uid="{60589B8E-E920-46F3-BB64-301D4E5046CA}"/>
    <cellStyle name="H_1998_col_head_HAL - 7" xfId="2110" xr:uid="{F97CEBD3-6481-41C9-87C3-6B4AC5EE06F3}"/>
    <cellStyle name="H_1998_col_head_HAL - 7_Copy of IFRS consol ABB Final Version4" xfId="2111" xr:uid="{A7833B1F-70C3-4A36-A373-D86964283645}"/>
    <cellStyle name="H_1998_col_head_HAL_Copy of IFRS consol ABB Final Version4" xfId="2112" xr:uid="{5760BF63-870E-4EF9-89A8-7B1787C8AD5F}"/>
    <cellStyle name="H_1998_col_head_HALY_working13" xfId="2113" xr:uid="{24BC057F-BAA5-4BF9-A1D6-832C40A6E15F}"/>
    <cellStyle name="H_1998_col_head_IS" xfId="2114" xr:uid="{8FE9F523-8A24-4500-BEE9-16CBEFD71F66}"/>
    <cellStyle name="H_1998_col_head_IS - Rptd" xfId="2115" xr:uid="{8D2E0EC5-065B-468D-B860-542924A96B40}"/>
    <cellStyle name="H_1998_col_head_IS - Rptd_1" xfId="2116" xr:uid="{180EF0F5-8890-4B08-AC3A-278B8DC1D73A}"/>
    <cellStyle name="H_1998_col_head_IS - Rptd_1_Copy of IFRS consol ABB Final Version4" xfId="2117" xr:uid="{8AAECDC0-5335-4EC9-B783-07B9545D7EF7}"/>
    <cellStyle name="H_1998_col_head_IS_Copy of IFRS consol ABB Final Version4" xfId="2118" xr:uid="{6D42ADC8-2D44-433F-8199-42EF4585E557}"/>
    <cellStyle name="H_1998_col_head_Japanese Peers" xfId="2119" xr:uid="{45CA29BB-0099-4DCC-846D-9C41E29E6720}"/>
    <cellStyle name="H_1998_col_head_Japanese Peers 2" xfId="2120" xr:uid="{A0D16F9F-2EDA-46CA-B61A-E035D6CBEC04}"/>
    <cellStyle name="H_1998_col_head_SII" xfId="2121" xr:uid="{A47EC4E2-5DC7-40B3-BBEE-1DFA49B0DA82}"/>
    <cellStyle name="H_1998_col_head_SII-Post 3Q05 v4" xfId="2122" xr:uid="{EA3AAA38-791E-4ED1-85EA-455BDBD14A8A}"/>
    <cellStyle name="H_1998_col_head_SLB" xfId="2123" xr:uid="{B8BD9DFF-8C48-4890-A9F0-0015E1715794}"/>
    <cellStyle name="H_1998_col_head_SLB_Copy of IFRS consol ABB Final Version4" xfId="2124" xr:uid="{80591D71-29E2-4A93-A424-1ED5D929DF75}"/>
    <cellStyle name="H_1998_col_head_SLB-working7" xfId="2125" xr:uid="{F6A1D50D-FED8-425A-95F0-CF5B5D927C32}"/>
    <cellStyle name="H_1999_col_head" xfId="306" xr:uid="{00000000-0005-0000-0000-000040010000}"/>
    <cellStyle name="H1_1998 figures" xfId="307" xr:uid="{00000000-0005-0000-0000-000041010000}"/>
    <cellStyle name="hard no." xfId="2126" xr:uid="{AC81A5BC-3F7C-4E2C-8828-8D5C50D7B716}"/>
    <cellStyle name="hard no. 2" xfId="2127" xr:uid="{980BF541-A7B3-437C-BCBB-53339AB52288}"/>
    <cellStyle name="hard no. 2 2" xfId="3630" xr:uid="{04974263-DF31-4C31-8D58-432EBA2D06B4}"/>
    <cellStyle name="hard no. 2 3" xfId="3228" xr:uid="{38443418-2C55-4D76-8A75-0E09E409E641}"/>
    <cellStyle name="hard no. 2 4" xfId="5059" xr:uid="{CB33DA89-AA68-4F7D-A067-58DB01B540ED}"/>
    <cellStyle name="hard no. 3" xfId="3629" xr:uid="{2597BD6F-7B1B-4BEB-B804-AC19AE39E3A8}"/>
    <cellStyle name="hard no. 4" xfId="3229" xr:uid="{39933853-2047-42CE-A2CB-1618F31442CB}"/>
    <cellStyle name="hard no. 5" xfId="3768" xr:uid="{7A9FA379-3188-49A6-B5B7-AD5B65C5E866}"/>
    <cellStyle name="Hard Percent" xfId="2128" xr:uid="{24452566-BD05-4F42-83D7-981903AAC154}"/>
    <cellStyle name="Header" xfId="2129" xr:uid="{2F79F6FF-CE83-48FD-A59F-9E796B0F934C}"/>
    <cellStyle name="Header Draft Stamp" xfId="2130" xr:uid="{CF3E99EF-AEBF-46E1-9629-4B2394F6F7E1}"/>
    <cellStyle name="Header_ACCC" xfId="2131" xr:uid="{896CBB19-61F9-4151-A506-DA9FB5CAADAD}"/>
    <cellStyle name="Header1" xfId="2132" xr:uid="{32B7E083-6FD4-4E48-8699-800B7EF859B9}"/>
    <cellStyle name="Header2" xfId="2133" xr:uid="{132F24C0-5001-4382-9858-0DF26D9EE954}"/>
    <cellStyle name="Header2 2" xfId="2538" xr:uid="{36D035FE-B8AA-414E-B0B0-A20F012D5DE3}"/>
    <cellStyle name="Header2 2 2" xfId="2839" xr:uid="{96AA2D65-AE4B-4EC4-9CFF-84CAF0D0CC3C}"/>
    <cellStyle name="Header2 2 2 2" xfId="4022" xr:uid="{BBFE38A7-24E9-4D5C-BE08-AE42CB1B1AB1}"/>
    <cellStyle name="Header2 2 2 3" xfId="4636" xr:uid="{1E6683DB-C4E5-4019-B62E-B6C0B8F65ED9}"/>
    <cellStyle name="Header2 2 2 4" xfId="5076" xr:uid="{5D52CADF-CBBF-4F73-B6A1-122663F923E8}"/>
    <cellStyle name="Header2 2 2 5" xfId="3341" xr:uid="{F0B2E8DC-4358-455E-BE9C-AEDA64C62B1D}"/>
    <cellStyle name="Header2 2 3" xfId="3762" xr:uid="{5A875006-7762-4FCB-8E58-D78FD2DB01EB}"/>
    <cellStyle name="Header2 2 4" xfId="4378" xr:uid="{33EAFD98-693F-427A-8CA6-3D4B3B0EF54F}"/>
    <cellStyle name="Header2 2 5" xfId="4974" xr:uid="{7679F1F4-1DF8-48F6-AB92-F210C786C204}"/>
    <cellStyle name="Header2 2 6" xfId="3544" xr:uid="{8FC39772-9806-46A6-9B27-969C5371578F}"/>
    <cellStyle name="Header2 3" xfId="2745" xr:uid="{8D0737F1-2BEA-46CE-9B50-52119C4DA3F5}"/>
    <cellStyle name="Header2 3 2" xfId="3941" xr:uid="{A19F94AB-D0AB-4E80-AFD2-B48A314794C3}"/>
    <cellStyle name="Header2 3 3" xfId="4554" xr:uid="{CFF83DB2-9395-4753-9358-403452058AB2}"/>
    <cellStyle name="Header2 3 4" xfId="5046" xr:uid="{E7630A51-EF93-4735-906F-4B7796901934}"/>
    <cellStyle name="Header2 3 5" xfId="3217" xr:uid="{E0C320F0-C71C-4BAB-B1B0-E5C5DCFC7E4F}"/>
    <cellStyle name="Header2 4" xfId="2785" xr:uid="{D5A0DD6E-8EB0-4E4F-88C6-27A0375E4BFE}"/>
    <cellStyle name="Header2 4 2" xfId="3974" xr:uid="{0F8B58FD-D301-47CF-955A-902C54EC979A}"/>
    <cellStyle name="Header2 4 3" xfId="4588" xr:uid="{E1ABFFFC-F3DB-422B-AA06-71727F5E860D}"/>
    <cellStyle name="Header2 5" xfId="2731" xr:uid="{252EF69B-E350-4A9D-AEEC-2B33DA47296D}"/>
    <cellStyle name="Header2 5 2" xfId="3931" xr:uid="{9FB26993-A07F-448E-BD31-BBE15BDED27A}"/>
    <cellStyle name="Header2 5 3" xfId="4543" xr:uid="{8AAE15DE-A9B8-40B0-AD40-831219B22833}"/>
    <cellStyle name="Header2 6" xfId="3633" xr:uid="{3C173B93-412E-46AB-AE59-876A06437490}"/>
    <cellStyle name="Header2 7" xfId="3414" xr:uid="{FB0632A3-D0C9-43CF-9052-0D979866827A}"/>
    <cellStyle name="Header2 8" xfId="3204" xr:uid="{96C7954C-12CA-482E-9B84-807F629DBECB}"/>
    <cellStyle name="Header2 9" xfId="3263" xr:uid="{EF82C6F2-B609-4FD4-BFCD-AA3340F9FD47}"/>
    <cellStyle name="Heading" xfId="308" xr:uid="{00000000-0005-0000-0000-000042010000}"/>
    <cellStyle name="Heading 1 2" xfId="396" xr:uid="{00000000-0005-0000-0000-000043010000}"/>
    <cellStyle name="Heading 1 Above" xfId="2134" xr:uid="{EE944A09-06B5-4656-A495-1EA086B77EC6}"/>
    <cellStyle name="Heading 1+" xfId="2135" xr:uid="{81738508-2E35-4E14-84B2-52D475926535}"/>
    <cellStyle name="Heading 1+ 2" xfId="3634" xr:uid="{2D7FD349-CDD0-49A7-B0A0-2B75E7ACCE79}"/>
    <cellStyle name="Heading 2 2" xfId="397" xr:uid="{00000000-0005-0000-0000-000044010000}"/>
    <cellStyle name="Heading 2 Below" xfId="2136" xr:uid="{80787023-CAB9-4D64-8804-DEE56FBD910E}"/>
    <cellStyle name="Heading 2+" xfId="2137" xr:uid="{9B05C04E-F645-42D7-B16B-05E36CC72C7E}"/>
    <cellStyle name="Heading 2+ 2" xfId="3635" xr:uid="{177F3D04-10AC-461A-B562-91C5A1118C93}"/>
    <cellStyle name="Heading 3 2" xfId="398" xr:uid="{00000000-0005-0000-0000-000045010000}"/>
    <cellStyle name="Heading 3+" xfId="2138" xr:uid="{1A4E8E05-0100-409C-AD5E-24C30E396547}"/>
    <cellStyle name="Heading 4 2" xfId="399" xr:uid="{00000000-0005-0000-0000-000046010000}"/>
    <cellStyle name="Heading1" xfId="33" xr:uid="{00000000-0005-0000-0000-000047010000}"/>
    <cellStyle name="Heading1 2" xfId="34" xr:uid="{00000000-0005-0000-0000-000048010000}"/>
    <cellStyle name="Heading1 3" xfId="2139" xr:uid="{33A4B564-D924-4A61-9866-2D8BA2C5BF5D}"/>
    <cellStyle name="HeadingS" xfId="35" xr:uid="{00000000-0005-0000-0000-000049010000}"/>
    <cellStyle name="HeadingS 2" xfId="36" xr:uid="{00000000-0005-0000-0000-00004A010000}"/>
    <cellStyle name="HeadingS 3" xfId="2140" xr:uid="{B7CCFEBC-ACD8-4795-8761-D1A823872F62}"/>
    <cellStyle name="iannumber" xfId="2141" xr:uid="{C753E4EB-8463-4FA0-A89A-2EDBC9913625}"/>
    <cellStyle name="iannumber 2" xfId="2142" xr:uid="{A835063E-DBC0-4FBB-8851-8585BB65430E}"/>
    <cellStyle name="iannumber 3" xfId="2143" xr:uid="{B347113A-1217-4190-86D3-FBD0E5C3D6A0}"/>
    <cellStyle name="ianpercent" xfId="2144" xr:uid="{34CBBFDE-649B-4475-A13C-4E50E07D780F}"/>
    <cellStyle name="ianpercent 2" xfId="2145" xr:uid="{CC57E7E4-F0E5-460A-8D4C-A1634AC18B1B}"/>
    <cellStyle name="ianpercent 3" xfId="2146" xr:uid="{9C345410-BA0D-4E3A-8A2E-5FBD69005EC3}"/>
    <cellStyle name="IncomeStatement" xfId="2147" xr:uid="{A31A326B-55E0-4858-8560-6FFCAD9B3C22}"/>
    <cellStyle name="Info_Main" xfId="2148" xr:uid="{1F360B2B-C2ED-4F13-8B8B-D69EEEE66636}"/>
    <cellStyle name="Input [yellow]" xfId="2149" xr:uid="{3B8BF4BE-8E5D-4A4A-9C80-0B4BEEB16BC2}"/>
    <cellStyle name="Input [yellow] 2" xfId="2150" xr:uid="{A62D08D9-9B23-4FA4-8524-08C95604C521}"/>
    <cellStyle name="Input [yellow] 2 2" xfId="3642" xr:uid="{F5BD95D2-47CB-4B23-A1DC-2B1A89EACF78}"/>
    <cellStyle name="Input [yellow] 2 3" xfId="3409" xr:uid="{8F34FA9E-2BF6-439E-8351-499AAD53B6D6}"/>
    <cellStyle name="Input [yellow] 2 4" xfId="5039" xr:uid="{CC022AC5-5080-44F2-84C8-616C3D05CC24}"/>
    <cellStyle name="Input [yellow] 3" xfId="3641" xr:uid="{D57B007C-8234-40EE-B05B-01BFC7599C4D}"/>
    <cellStyle name="Input [yellow] 4" xfId="3410" xr:uid="{34CEF7DB-0FEA-49B5-9A68-54FE2799E5B1}"/>
    <cellStyle name="Input [yellow] 5" xfId="4996" xr:uid="{49CE8CD6-78BC-4F1A-B3A8-866AAE5EFAC8}"/>
    <cellStyle name="Input 2" xfId="400" xr:uid="{00000000-0005-0000-0000-00004C010000}"/>
    <cellStyle name="Input 2 10" xfId="2616" xr:uid="{63E540A3-9076-47AC-BD49-239A5AA3D9E2}"/>
    <cellStyle name="Input 2 10 2" xfId="3826" xr:uid="{F1F3CC84-057F-4F5B-8D4C-5753BE657345}"/>
    <cellStyle name="Input 2 10 3" xfId="4439" xr:uid="{E5427171-5A9A-4576-9293-BEBB2248B591}"/>
    <cellStyle name="Input 2 10 4" xfId="3531" xr:uid="{050D991F-FE39-4AE4-9430-648B5BF357FB}"/>
    <cellStyle name="Input 2 11" xfId="2659" xr:uid="{884159C0-FD50-4925-88D3-310D9886F405}"/>
    <cellStyle name="Input 2 11 2" xfId="3864" xr:uid="{50D8024A-D5DC-4599-BECB-8170E357436B}"/>
    <cellStyle name="Input 2 11 3" xfId="4478" xr:uid="{D34A3CA4-D3F7-451F-AADB-FBCA3BB8B58F}"/>
    <cellStyle name="Input 2 11 4" xfId="3717" xr:uid="{026B8817-B8D2-44C0-A0E8-EB3702DB52B8}"/>
    <cellStyle name="Input 2 12" xfId="2677" xr:uid="{E7511228-181D-45F0-ADBE-BC27DB4EEC37}"/>
    <cellStyle name="Input 2 12 2" xfId="3877" xr:uid="{A3246631-981B-430C-9C32-295E98B8A61F}"/>
    <cellStyle name="Input 2 12 3" xfId="4490" xr:uid="{0EF69F4E-6314-4709-AEDA-33A85462C4B2}"/>
    <cellStyle name="Input 2 12 4" xfId="3291" xr:uid="{682A00F4-D07F-4AC5-920B-8B3E97FE3BF1}"/>
    <cellStyle name="Input 2 13" xfId="2662" xr:uid="{DE3CA118-8425-456E-939B-E1E9C311805C}"/>
    <cellStyle name="Input 2 13 2" xfId="3867" xr:uid="{A2070A54-9ACD-4F9D-92A7-1C7E264E9AAF}"/>
    <cellStyle name="Input 2 13 3" xfId="4481" xr:uid="{2B50F76D-B968-4A8B-813E-0419EC7CE6A6}"/>
    <cellStyle name="Input 2 13 4" xfId="3892" xr:uid="{9560638B-8956-40A3-9F7E-D3A717AC7805}"/>
    <cellStyle name="Input 2 14" xfId="3283" xr:uid="{30FEEFAF-3029-45A0-AAC2-E6D9598FFB21}"/>
    <cellStyle name="Input 2 15" xfId="3311" xr:uid="{05CC5459-02EE-4720-B180-68B9D2CEE4F8}"/>
    <cellStyle name="Input 2 16" xfId="4589" xr:uid="{8D5D84D1-C161-4DCB-A0B9-A4311B06341C}"/>
    <cellStyle name="Input 2 2" xfId="439" xr:uid="{00000000-0005-0000-0000-00004D010000}"/>
    <cellStyle name="Input 2 2 10" xfId="3098" xr:uid="{05C13700-24FA-475F-8CFA-CA34656DE0A5}"/>
    <cellStyle name="Input 2 2 10 2" xfId="4263" xr:uid="{ACFBD129-0969-47F8-8789-A62599011BD4}"/>
    <cellStyle name="Input 2 2 10 3" xfId="4874" xr:uid="{94818B46-C1E3-4505-93C3-0213BEDF4232}"/>
    <cellStyle name="Input 2 2 10 4" xfId="3774" xr:uid="{59F7B3B4-37D0-44C7-BD15-4FD1287B59DC}"/>
    <cellStyle name="Input 2 2 11" xfId="3145" xr:uid="{10622BDA-9220-46FD-AFA5-D8CA751D319E}"/>
    <cellStyle name="Input 2 2 11 2" xfId="4307" xr:uid="{F471CB8B-5E4B-4BBB-942A-B4A22239ED6F}"/>
    <cellStyle name="Input 2 2 11 3" xfId="4919" xr:uid="{D8F9B257-945C-4168-BB43-CC5E85AC4FE0}"/>
    <cellStyle name="Input 2 2 11 4" xfId="3537" xr:uid="{3DA363B9-274F-419E-9E9D-E45722E6480D}"/>
    <cellStyle name="Input 2 2 12" xfId="3179" xr:uid="{0930CC1F-AB1E-4B6F-AF21-2573D76CC123}"/>
    <cellStyle name="Input 2 2 12 2" xfId="4341" xr:uid="{4E274C63-2B90-4F10-BBBE-55287B0211A9}"/>
    <cellStyle name="Input 2 2 12 3" xfId="4953" xr:uid="{A3A4390D-4347-4368-9C52-BA83BC92BB79}"/>
    <cellStyle name="Input 2 2 12 4" xfId="5100" xr:uid="{F5ADC4C7-62A6-41D1-8A6B-5A6046AF0053}"/>
    <cellStyle name="Input 2 2 13" xfId="3307" xr:uid="{2F77E80F-0E59-4ED9-8E26-5EEC3E7D4BAB}"/>
    <cellStyle name="Input 2 2 14" xfId="3656" xr:uid="{404E50A2-BD2A-4BBC-871B-DAF9D86A932A}"/>
    <cellStyle name="Input 2 2 15" xfId="3605" xr:uid="{2F34B8DC-789D-4F47-B404-E19DB852DDA2}"/>
    <cellStyle name="Input 2 2 2" xfId="2840" xr:uid="{6F783B6C-B90B-4178-BDC1-33AA804DBE9F}"/>
    <cellStyle name="Input 2 2 2 2" xfId="4023" xr:uid="{C8BFB27D-9E64-4B98-9CA5-715298DE4724}"/>
    <cellStyle name="Input 2 2 2 3" xfId="4637" xr:uid="{69E70D7E-0D28-4AB5-A887-45ACB755F721}"/>
    <cellStyle name="Input 2 2 2 4" xfId="3546" xr:uid="{03118B42-4193-4A76-8C78-0183DB7C0107}"/>
    <cellStyle name="Input 2 2 3" xfId="2898" xr:uid="{29738F4C-0372-4AAE-B818-A5924BAAA0C0}"/>
    <cellStyle name="Input 2 2 3 2" xfId="4071" xr:uid="{34E24ED5-F79F-4D16-A87D-EF0AA2D6D880}"/>
    <cellStyle name="Input 2 2 3 3" xfId="4682" xr:uid="{35CFCC4A-7A0F-47A1-AFA1-A7831C29686C}"/>
    <cellStyle name="Input 2 2 3 4" xfId="3579" xr:uid="{002A23DE-2973-4127-A869-66C234AA4C12}"/>
    <cellStyle name="Input 2 2 4" xfId="2924" xr:uid="{C28B728B-6025-43CA-B61E-B86002FEDED9}"/>
    <cellStyle name="Input 2 2 4 2" xfId="4095" xr:uid="{D60D7D23-E40E-479C-9DCA-09531402357C}"/>
    <cellStyle name="Input 2 2 4 3" xfId="4706" xr:uid="{140E890B-C155-406C-A7A5-2A39546AC8F5}"/>
    <cellStyle name="Input 2 2 4 4" xfId="5166" xr:uid="{E8584477-C26C-4803-A5D4-A2F49FC91A7D}"/>
    <cellStyle name="Input 2 2 5" xfId="2957" xr:uid="{D2C4B618-303D-4E02-B1CF-00FA97538089}"/>
    <cellStyle name="Input 2 2 5 2" xfId="4128" xr:uid="{77B1EF7D-90DB-46DD-91F3-BE1CF53C1B2C}"/>
    <cellStyle name="Input 2 2 5 3" xfId="4739" xr:uid="{03BC4F92-0960-4B6F-B0AC-9172B3182F95}"/>
    <cellStyle name="Input 2 2 5 4" xfId="4584" xr:uid="{0D2D2899-8BE3-4D46-9E2E-FF8D413790D2}"/>
    <cellStyle name="Input 2 2 6" xfId="2987" xr:uid="{F4D3AA0B-A561-431F-8129-7D3AC6F4BAD2}"/>
    <cellStyle name="Input 2 2 6 2" xfId="4156" xr:uid="{20DB1E3F-5326-4698-9CFD-AE944E8A4A64}"/>
    <cellStyle name="Input 2 2 6 3" xfId="4766" xr:uid="{55E66D16-5CC2-4142-BF62-17AE7F8E7AB8}"/>
    <cellStyle name="Input 2 2 6 4" xfId="3451" xr:uid="{21D3FDC3-6AF1-4E39-B916-0C0B588AEF07}"/>
    <cellStyle name="Input 2 2 7" xfId="3019" xr:uid="{C8C124B5-7D54-4F39-A272-3D350EEA6922}"/>
    <cellStyle name="Input 2 2 7 2" xfId="4187" xr:uid="{5A3C3790-A35E-4A3E-87EA-086EF80B025E}"/>
    <cellStyle name="Input 2 2 7 3" xfId="4797" xr:uid="{26F6DA6C-C671-445F-96D0-B85F5ADEA71C}"/>
    <cellStyle name="Input 2 2 7 4" xfId="3714" xr:uid="{3A6C896C-E9C6-4DA6-BC90-7DB6F7165EAE}"/>
    <cellStyle name="Input 2 2 8" xfId="3041" xr:uid="{6921415F-3CE9-41A1-8E9C-C0D53F7D566E}"/>
    <cellStyle name="Input 2 2 8 2" xfId="4209" xr:uid="{92401676-607C-45FE-A19E-A87935AA3D53}"/>
    <cellStyle name="Input 2 2 8 3" xfId="4819" xr:uid="{353130E7-F803-421E-8E4D-035321BF60EF}"/>
    <cellStyle name="Input 2 2 8 4" xfId="3467" xr:uid="{736ED3C2-7FB0-4487-8F54-A0F0471181E4}"/>
    <cellStyle name="Input 2 2 9" xfId="3068" xr:uid="{4642A69F-0CEE-4354-B8A4-0BE1622C5C28}"/>
    <cellStyle name="Input 2 2 9 2" xfId="4236" xr:uid="{CEFBD3B8-CAF3-4FBF-8429-9BC350C52E81}"/>
    <cellStyle name="Input 2 2 9 3" xfId="4846" xr:uid="{A63717CE-9371-443B-A7A1-8CB0486A3B95}"/>
    <cellStyle name="Input 2 2 9 4" xfId="3447" xr:uid="{D9B6E879-6445-47D0-B297-332855735ACD}"/>
    <cellStyle name="Input 2 3" xfId="2747" xr:uid="{DB0FDB0B-D8FF-4614-AEFF-7F7B022474F4}"/>
    <cellStyle name="Input 2 3 2" xfId="3943" xr:uid="{5355EC34-BB27-4381-803E-579DCFF379E7}"/>
    <cellStyle name="Input 2 3 3" xfId="4556" xr:uid="{41F4F0F1-37A7-4DEA-9AA9-B38CC9413EFD}"/>
    <cellStyle name="Input 2 3 4" xfId="3517" xr:uid="{DA746B5E-9B24-4F19-9BD6-79C32B6CD852}"/>
    <cellStyle name="Input 2 4" xfId="2638" xr:uid="{D392D0CB-7445-404A-B8FA-5E666DE0BE9C}"/>
    <cellStyle name="Input 2 4 2" xfId="3846" xr:uid="{ED1497A8-A615-4EA2-A859-4224B5BEB66A}"/>
    <cellStyle name="Input 2 4 3" xfId="4459" xr:uid="{E4A98378-5819-49EB-8605-BF398A7C0A37}"/>
    <cellStyle name="Input 2 4 4" xfId="5176" xr:uid="{3A26AAD2-64AE-43FA-92DC-2BF91C1937B3}"/>
    <cellStyle name="Input 2 5" xfId="2705" xr:uid="{3D2668F0-8627-4FCC-B71D-502A744608BE}"/>
    <cellStyle name="Input 2 5 2" xfId="3905" xr:uid="{421F7547-0C7F-4CBD-A83E-D02FBDCC88E9}"/>
    <cellStyle name="Input 2 5 3" xfId="4518" xr:uid="{FAD69CAA-F4C5-4895-A053-19CAF23B4F44}"/>
    <cellStyle name="Input 2 5 4" xfId="3463" xr:uid="{3FC5BABA-FE4C-4B55-896D-8E2649FE8B5B}"/>
    <cellStyle name="Input 2 6" xfId="2782" xr:uid="{15B3C759-9312-488B-9919-50826821DB38}"/>
    <cellStyle name="Input 2 6 2" xfId="3971" xr:uid="{3D2C18BC-C8F5-4241-9B4C-9E8D52EF548B}"/>
    <cellStyle name="Input 2 6 3" xfId="4585" xr:uid="{8868A675-999B-47A1-BC86-BC43C0261D12}"/>
    <cellStyle name="Input 2 6 4" xfId="4992" xr:uid="{3EE9DDA6-48CF-46DB-AF1C-023050D488C2}"/>
    <cellStyle name="Input 2 7" xfId="2773" xr:uid="{0BFA0CE7-1142-424E-9957-A75BD13B94B1}"/>
    <cellStyle name="Input 2 7 2" xfId="3965" xr:uid="{7B32EC70-D45C-4D69-BB8A-2A9222148D08}"/>
    <cellStyle name="Input 2 7 3" xfId="4577" xr:uid="{A6E1D30C-4297-4CB1-B231-38DFA89AC6A4}"/>
    <cellStyle name="Input 2 7 4" xfId="3424" xr:uid="{0344E5D7-5C61-4EC3-ABB5-9AA7E1D04CC7}"/>
    <cellStyle name="Input 2 8" xfId="2574" xr:uid="{94FBF7B8-4BE0-49ED-B230-3BA55EDFA0E8}"/>
    <cellStyle name="Input 2 8 2" xfId="3790" xr:uid="{89DF9554-2831-41FE-84A6-2E5B9BD2A200}"/>
    <cellStyle name="Input 2 8 3" xfId="4401" xr:uid="{762A5D4F-D83E-4C6D-BCA5-B8CEDEB1061D}"/>
    <cellStyle name="Input 2 8 4" xfId="3508" xr:uid="{B85A690B-4AA0-48C4-B7FA-A71970E05A53}"/>
    <cellStyle name="Input 2 9" xfId="2578" xr:uid="{56F5B408-4BC8-4DA4-93D0-B2DDB79B1A0F}"/>
    <cellStyle name="Input 2 9 2" xfId="3793" xr:uid="{1C11F2EA-97AE-478D-A223-13128A1F87FB}"/>
    <cellStyle name="Input 2 9 3" xfId="4405" xr:uid="{6C9E56C2-7673-4C95-BA0B-2C7493A0FCF3}"/>
    <cellStyle name="Input 2 9 4" xfId="3510" xr:uid="{A2739FB9-F589-4A4E-8141-56A2BC793AA5}"/>
    <cellStyle name="Input 3" xfId="2151" xr:uid="{6F1C8BE8-8824-449D-9305-FBC6566B63BB}"/>
    <cellStyle name="Input 3 10" xfId="2575" xr:uid="{EACC7529-A10E-4D8D-9A49-B1612A75621A}"/>
    <cellStyle name="Input 3 10 2" xfId="3791" xr:uid="{EF833168-DD6C-42A6-B32A-78CC27479119}"/>
    <cellStyle name="Input 3 10 3" xfId="4402" xr:uid="{54A2402A-C77C-44AD-9083-BB201DA2948F}"/>
    <cellStyle name="Input 3 10 4" xfId="3363" xr:uid="{49EAFFF9-A6EF-47E4-A829-F7568CC0BEE0}"/>
    <cellStyle name="Input 3 11" xfId="2793" xr:uid="{247583B4-F0EE-4FC4-8A17-A76870E4B914}"/>
    <cellStyle name="Input 3 11 2" xfId="3979" xr:uid="{B8657C0B-D284-423B-9C31-35C41154D747}"/>
    <cellStyle name="Input 3 11 3" xfId="4594" xr:uid="{3A8FEB85-CEC1-4E58-8565-F2BA8CEC5083}"/>
    <cellStyle name="Input 3 11 4" xfId="4424" xr:uid="{00FBA355-3D1E-40E3-A1A4-4C57B65B48ED}"/>
    <cellStyle name="Input 3 12" xfId="2678" xr:uid="{25570D19-45E7-4E25-8035-6911D34B87C1}"/>
    <cellStyle name="Input 3 12 2" xfId="3878" xr:uid="{5B20D59D-BD1A-4E16-BE2C-01428D41D58D}"/>
    <cellStyle name="Input 3 12 3" xfId="4491" xr:uid="{47B1D990-887B-495C-A66E-431F4DFACFB9}"/>
    <cellStyle name="Input 3 12 4" xfId="3207" xr:uid="{CA0244B5-110C-44F8-875B-2512FACBA8AC}"/>
    <cellStyle name="Input 3 13" xfId="2746" xr:uid="{D869914B-B965-4466-AE19-29CADE26FE09}"/>
    <cellStyle name="Input 3 13 2" xfId="3942" xr:uid="{97D73E8A-EC21-4C47-BE0E-E6BC26610C47}"/>
    <cellStyle name="Input 3 13 3" xfId="4555" xr:uid="{EA4A18A2-5C8A-4188-8183-6A561ECD9200}"/>
    <cellStyle name="Input 3 13 4" xfId="3667" xr:uid="{3263A2C5-2272-4D15-8F47-A09DEBA05E37}"/>
    <cellStyle name="Input 3 14" xfId="3643" xr:uid="{D954805F-7FC9-48D3-B34E-D372FEB35EA3}"/>
    <cellStyle name="Input 3 15" xfId="3408" xr:uid="{F0868801-B273-40B8-8EC0-46A1927BC066}"/>
    <cellStyle name="Input 3 16" xfId="3260" xr:uid="{ED9A6282-014D-4A1F-9B90-120BFE904E54}"/>
    <cellStyle name="Input 3 2" xfId="2539" xr:uid="{A440FEDF-0566-4CA5-A2A1-0FB15B6D420E}"/>
    <cellStyle name="Input 3 2 10" xfId="3099" xr:uid="{290660DD-7DC1-49DC-B3F9-D08A6AB84D2B}"/>
    <cellStyle name="Input 3 2 10 2" xfId="4264" xr:uid="{76578DE2-BF0C-4AE1-9C2C-7C3AF05B6C58}"/>
    <cellStyle name="Input 3 2 10 3" xfId="4875" xr:uid="{16BA1BD2-3517-4867-948E-B704AFCF6348}"/>
    <cellStyle name="Input 3 2 10 4" xfId="3710" xr:uid="{BF022880-79D1-4F78-82FD-1EFAAF46EF84}"/>
    <cellStyle name="Input 3 2 11" xfId="3146" xr:uid="{1ABADF45-054D-46D1-9B27-5AD634D70DC2}"/>
    <cellStyle name="Input 3 2 11 2" xfId="4308" xr:uid="{B2C72756-6756-4B01-828B-7368884B37C6}"/>
    <cellStyle name="Input 3 2 11 3" xfId="4920" xr:uid="{4D38A743-6F65-426F-ADDF-27FB16CC64CC}"/>
    <cellStyle name="Input 3 2 11 4" xfId="3631" xr:uid="{E5199D8C-D679-4645-9D1A-4DF53121554E}"/>
    <cellStyle name="Input 3 2 12" xfId="3180" xr:uid="{91E9D32E-643E-41F2-9BBF-1B999668F721}"/>
    <cellStyle name="Input 3 2 12 2" xfId="4342" xr:uid="{5037DDBF-C2B4-4E23-BCF6-B75AD02E298B}"/>
    <cellStyle name="Input 3 2 12 3" xfId="4954" xr:uid="{36F12522-269A-438E-8DC9-843FA41ACA28}"/>
    <cellStyle name="Input 3 2 12 4" xfId="3528" xr:uid="{8CF6BC57-2FD2-4FE5-9870-B151782A849F}"/>
    <cellStyle name="Input 3 2 13" xfId="3763" xr:uid="{D515A1D9-FA24-408E-944B-A1B54718C790}"/>
    <cellStyle name="Input 3 2 14" xfId="4379" xr:uid="{133570D0-F35B-41BE-9853-88144855CF5D}"/>
    <cellStyle name="Input 3 2 15" xfId="3501" xr:uid="{50B8B12F-9922-4292-8C06-A176D184D260}"/>
    <cellStyle name="Input 3 2 2" xfId="2841" xr:uid="{1CC6B22A-BC3E-4913-9BEB-2354F6936FF1}"/>
    <cellStyle name="Input 3 2 2 2" xfId="4024" xr:uid="{287E6098-1D02-431D-9BA5-7073CFF2199D}"/>
    <cellStyle name="Input 3 2 2 3" xfId="4638" xr:uid="{1F2E3A60-2771-4685-8AE6-A49F31556B77}"/>
    <cellStyle name="Input 3 2 2 4" xfId="3956" xr:uid="{19B0D5CA-B72F-4258-A89B-F9D426E9DEE3}"/>
    <cellStyle name="Input 3 2 3" xfId="2899" xr:uid="{231E3DA0-0473-4CEE-9AD5-8F5CE78C5EE6}"/>
    <cellStyle name="Input 3 2 3 2" xfId="4072" xr:uid="{034D27A3-D3B5-4A0A-B9A0-24B3D407FC47}"/>
    <cellStyle name="Input 3 2 3 3" xfId="4683" xr:uid="{D86A5E5F-15CF-4A28-A38E-4EDB1CDF9543}"/>
    <cellStyle name="Input 3 2 3 4" xfId="3632" xr:uid="{93F68B8B-5D70-48D6-9220-90D8DC2A8F63}"/>
    <cellStyle name="Input 3 2 4" xfId="2925" xr:uid="{B79E0B83-1169-42AF-841A-6AD9C3D3B085}"/>
    <cellStyle name="Input 3 2 4 2" xfId="4096" xr:uid="{F576020A-2D93-4BA5-8A6D-26F964482386}"/>
    <cellStyle name="Input 3 2 4 3" xfId="4707" xr:uid="{A108F49C-FFDE-45B5-AA32-BA13BD2D3B89}"/>
    <cellStyle name="Input 3 2 4 4" xfId="5009" xr:uid="{EBCB8045-4F59-41D4-A764-DF7E2C037ADB}"/>
    <cellStyle name="Input 3 2 5" xfId="2958" xr:uid="{CAF6DDB6-95FE-4D7C-9613-96020A2A73D4}"/>
    <cellStyle name="Input 3 2 5 2" xfId="4129" xr:uid="{393365A5-E03B-4333-8A46-73CE8BEED1C1}"/>
    <cellStyle name="Input 3 2 5 3" xfId="4740" xr:uid="{5CBC17E5-49F9-48EE-9BE0-FE7D40BBE424}"/>
    <cellStyle name="Input 3 2 5 4" xfId="5175" xr:uid="{96247ACB-AD38-41B7-9254-4B08EF9999CB}"/>
    <cellStyle name="Input 3 2 6" xfId="2988" xr:uid="{FF832EE9-AA21-4D4F-8BD6-94B10AF40F8B}"/>
    <cellStyle name="Input 3 2 6 2" xfId="4157" xr:uid="{9A06D699-F65B-42F5-9F80-97D0BE242E60}"/>
    <cellStyle name="Input 3 2 6 3" xfId="4767" xr:uid="{FE021519-6639-4A7A-B214-350E86CF0092}"/>
    <cellStyle name="Input 3 2 6 4" xfId="3736" xr:uid="{2EF507DB-AAF0-4836-BB60-C9505C265160}"/>
    <cellStyle name="Input 3 2 7" xfId="3020" xr:uid="{E879999A-4928-4729-8B11-EE165295760E}"/>
    <cellStyle name="Input 3 2 7 2" xfId="4188" xr:uid="{55D77DB6-7538-4E40-B263-909249489A5D}"/>
    <cellStyle name="Input 3 2 7 3" xfId="4798" xr:uid="{9B881659-2FEB-4A36-A225-56FF049E6D96}"/>
    <cellStyle name="Input 3 2 7 4" xfId="4986" xr:uid="{432049C0-0BE7-40CF-BCE1-735CBDB98AAB}"/>
    <cellStyle name="Input 3 2 8" xfId="3042" xr:uid="{04160F4B-D5FA-436A-9C9E-69768EB43665}"/>
    <cellStyle name="Input 3 2 8 2" xfId="4210" xr:uid="{53E9123F-024A-4D59-829B-1FC36DA355AF}"/>
    <cellStyle name="Input 3 2 8 3" xfId="4820" xr:uid="{ED61A4AD-D1DB-487D-A42F-2E87749FD211}"/>
    <cellStyle name="Input 3 2 8 4" xfId="5172" xr:uid="{D579D2C4-3E8E-4247-9C69-9E116B036876}"/>
    <cellStyle name="Input 3 2 9" xfId="3069" xr:uid="{A2736525-D57F-4B1F-83C6-7F75EE376DA6}"/>
    <cellStyle name="Input 3 2 9 2" xfId="4237" xr:uid="{8AD3391A-114D-4D80-95FB-614BBB1D3D7E}"/>
    <cellStyle name="Input 3 2 9 3" xfId="4847" xr:uid="{18D84452-32AC-4CD7-8B05-D7CDC7C4D103}"/>
    <cellStyle name="Input 3 2 9 4" xfId="3412" xr:uid="{8E59A792-DBBF-4E35-9169-9F69DB440AF7}"/>
    <cellStyle name="Input 3 3" xfId="2748" xr:uid="{CF62DBC1-CEB9-4F7C-94F6-4C3F5CCB760A}"/>
    <cellStyle name="Input 3 3 2" xfId="3944" xr:uid="{F4DB5591-A30A-444C-9173-86E2F68D8F86}"/>
    <cellStyle name="Input 3 3 3" xfId="4557" xr:uid="{2AD37C2F-57C6-450E-9F14-EAF8772923BF}"/>
    <cellStyle name="Input 3 3 4" xfId="3679" xr:uid="{334644B1-5870-4AF2-B22A-A80FA6B60DA6}"/>
    <cellStyle name="Input 3 4" xfId="2637" xr:uid="{8D187301-AF41-4BEA-8310-1D3C49C69B66}"/>
    <cellStyle name="Input 3 4 2" xfId="3845" xr:uid="{F230CA87-BE39-48FD-A809-D7581F2754D8}"/>
    <cellStyle name="Input 3 4 3" xfId="4458" xr:uid="{159B9963-8753-48DD-B868-BCAB625C4AE6}"/>
    <cellStyle name="Input 3 4 4" xfId="5127" xr:uid="{F1B66D26-5160-49F7-8FA8-81EA839212EC}"/>
    <cellStyle name="Input 3 5" xfId="2796" xr:uid="{949057AD-9983-451B-9CD9-35FB4527D51E}"/>
    <cellStyle name="Input 3 5 2" xfId="3982" xr:uid="{4DCC4401-411A-429C-BE2E-C763C9BDF36F}"/>
    <cellStyle name="Input 3 5 3" xfId="4596" xr:uid="{8B756A34-7FB1-4CD3-B207-E36AC20F691C}"/>
    <cellStyle name="Input 3 5 4" xfId="3587" xr:uid="{8FE8C0F3-8470-4985-8F2F-35C623BB5013}"/>
    <cellStyle name="Input 3 6" xfId="2606" xr:uid="{EA016BA6-6A49-4F95-8483-83B0A589B5AF}"/>
    <cellStyle name="Input 3 6 2" xfId="3817" xr:uid="{13A434DA-1C7A-432B-8792-8E1591043BEF}"/>
    <cellStyle name="Input 3 6 3" xfId="4430" xr:uid="{AC972BFF-2289-4102-873A-FA2F41937082}"/>
    <cellStyle name="Input 3 6 4" xfId="4972" xr:uid="{A997D045-A097-47B2-8307-674D8C547B87}"/>
    <cellStyle name="Input 3 7" xfId="2693" xr:uid="{3A9E3D45-A1DF-4DB9-B077-0A3E6D6D1240}"/>
    <cellStyle name="Input 3 7 2" xfId="3893" xr:uid="{8F53B618-C48B-4B97-BD3E-1E1A5ECAE534}"/>
    <cellStyle name="Input 3 7 3" xfId="4506" xr:uid="{C2195C4A-DFD7-48D4-A8E3-B641C9F39005}"/>
    <cellStyle name="Input 3 7 4" xfId="3375" xr:uid="{3067A51F-A3CB-4A23-8F45-7255806C19E6}"/>
    <cellStyle name="Input 3 8" xfId="2730" xr:uid="{CD1E4045-8554-4E93-8DE6-010252708503}"/>
    <cellStyle name="Input 3 8 2" xfId="3930" xr:uid="{7CA7A966-C518-42C5-A291-571D824B9A8A}"/>
    <cellStyle name="Input 3 8 3" xfId="4542" xr:uid="{15A02CF3-9DC5-400C-8C20-E0135E927368}"/>
    <cellStyle name="Input 3 8 4" xfId="3386" xr:uid="{B1267B86-30F2-45A8-84B3-1FEDC8D0B8FB}"/>
    <cellStyle name="Input 3 9" xfId="2579" xr:uid="{8DE8122D-E79F-4986-BD46-1BEA1790E02D}"/>
    <cellStyle name="Input 3 9 2" xfId="3794" xr:uid="{7658F47D-FE34-4959-97F0-FA071AEA4989}"/>
    <cellStyle name="Input 3 9 3" xfId="4406" xr:uid="{4062B3A5-FB56-48DC-A462-7888842AD6DD}"/>
    <cellStyle name="Input 3 9 4" xfId="3511" xr:uid="{09EF2F76-F6A1-4C13-BBF2-1968EE323B61}"/>
    <cellStyle name="Input Cells" xfId="309" xr:uid="{00000000-0005-0000-0000-00004E010000}"/>
    <cellStyle name="Input Currency" xfId="2152" xr:uid="{E8FD2C52-267B-443A-B0F7-2D94A1AACAC5}"/>
    <cellStyle name="Input Currency 2" xfId="2153" xr:uid="{130C25F0-BCCA-467A-847A-664AD5BB12D0}"/>
    <cellStyle name="Input Currency_BHI" xfId="2154" xr:uid="{39B0B30A-A30F-4F4F-A3C3-F76B40F4436D}"/>
    <cellStyle name="Input Multiple" xfId="2155" xr:uid="{7FEDFED9-5CA3-42FD-8511-45B2AC4F1187}"/>
    <cellStyle name="Input Percent" xfId="2156" xr:uid="{0B288476-F188-4EA4-AD4F-E7439F11AD40}"/>
    <cellStyle name="InputCurrency" xfId="2157" xr:uid="{E4C0D181-7143-49D8-A6DF-53D7D310AD23}"/>
    <cellStyle name="InputCurrency2" xfId="2158" xr:uid="{182D8538-6A88-4520-91BE-959E68E2A404}"/>
    <cellStyle name="InputDateDMth" xfId="2159" xr:uid="{9C98922D-9F39-4289-A822-545C18AD6352}"/>
    <cellStyle name="InputDateNorm" xfId="2160" xr:uid="{6AEC20AF-AB2F-47C3-8B43-91BD2BC1FB69}"/>
    <cellStyle name="InputMultiple1" xfId="2161" xr:uid="{83A08B24-E86C-4F5F-A825-E5D73C2EB05B}"/>
    <cellStyle name="InputPercent1" xfId="2162" xr:uid="{958E7DDD-4167-45F1-A272-C4BF170F97A1}"/>
    <cellStyle name="InputUlineNumeric" xfId="2163" xr:uid="{0392C802-08BF-481C-9816-A14F0F92D6B1}"/>
    <cellStyle name="InputUlineNumeric 2" xfId="2540" xr:uid="{CB0AF917-8A76-4110-BA63-D46F6A1BEFEA}"/>
    <cellStyle name="InputUlineNumeric 2 2" xfId="2842" xr:uid="{B040F5E3-6FAC-4B0B-8CAD-832399C5CD9C}"/>
    <cellStyle name="InputUlineNumeric 3" xfId="2749" xr:uid="{F1A41CF5-D6FA-4668-B4CA-0B593337792D}"/>
    <cellStyle name="Integer" xfId="37" xr:uid="{00000000-0005-0000-0000-00004F010000}"/>
    <cellStyle name="IntInputBk" xfId="38" xr:uid="{00000000-0005-0000-0000-000050010000}"/>
    <cellStyle name="IntInputBk 2" xfId="458" xr:uid="{D592A52D-F390-4AEE-ABD3-4FC4CC0FAEDA}"/>
    <cellStyle name="IntInputBk 2 2" xfId="3315" xr:uid="{649335DB-30DA-418B-8C21-59FFEF9F45DC}"/>
    <cellStyle name="IntInputBk 2 3" xfId="3651" xr:uid="{6F5095BF-7E31-47B5-8360-43E0D537B847}"/>
    <cellStyle name="IntInputBk 2 4" xfId="3691" xr:uid="{93E5FB6E-CFAD-4926-B681-B199F8ACB0A3}"/>
    <cellStyle name="IntInputBu" xfId="39" xr:uid="{00000000-0005-0000-0000-000051010000}"/>
    <cellStyle name="IntInputBu 2" xfId="459" xr:uid="{1F17A739-9048-4088-A051-691B889FA1B2}"/>
    <cellStyle name="IntInputBu 2 2" xfId="3316" xr:uid="{809C03AA-1471-44FB-8EF7-CEF7078F2B77}"/>
    <cellStyle name="IntInputBu 2 3" xfId="3284" xr:uid="{DB95D7EA-D3B3-4351-BD84-6FFFA1C5EEC6}"/>
    <cellStyle name="IntInputBu 2 4" xfId="4646" xr:uid="{E849F297-B30C-48BA-AA89-A1DDE2D68E7E}"/>
    <cellStyle name="Italics" xfId="2164" xr:uid="{F3D3E758-DC81-4451-B5D0-87F8D177BFDD}"/>
    <cellStyle name="Item" xfId="40" xr:uid="{00000000-0005-0000-0000-000052010000}"/>
    <cellStyle name="Item Descriptions" xfId="310" xr:uid="{00000000-0005-0000-0000-000053010000}"/>
    <cellStyle name="Items_Optional" xfId="2165" xr:uid="{6C180BFB-E416-4B13-A74F-C052BC208505}"/>
    <cellStyle name="ItemTypeClass" xfId="41" xr:uid="{00000000-0005-0000-0000-000054010000}"/>
    <cellStyle name="ItemTypeClass 2" xfId="430" xr:uid="{00000000-0005-0000-0000-000055010000}"/>
    <cellStyle name="ItemTypeClass 2 10" xfId="3100" xr:uid="{796C2F5A-7815-4D59-BB48-9FB19701FABD}"/>
    <cellStyle name="ItemTypeClass 2 10 2" xfId="4265" xr:uid="{64558EA0-2EAC-48BE-AA6B-9DE74D063C1D}"/>
    <cellStyle name="ItemTypeClass 2 10 3" xfId="4876" xr:uid="{6AB85F79-20E0-4A9A-8F68-4F82CF1DCE3C}"/>
    <cellStyle name="ItemTypeClass 2 10 4" xfId="4644" xr:uid="{2883B8CA-79F0-404F-AE34-E4C899934FBD}"/>
    <cellStyle name="ItemTypeClass 2 11" xfId="3135" xr:uid="{53F0F0C4-4C38-4960-89B9-2D4B7384BAB2}"/>
    <cellStyle name="ItemTypeClass 2 11 2" xfId="4297" xr:uid="{46878600-6022-4E82-B8F8-C1A5D2665BDD}"/>
    <cellStyle name="ItemTypeClass 2 11 3" xfId="4909" xr:uid="{90E5A757-BB9A-4C5E-B010-4D36932B0350}"/>
    <cellStyle name="ItemTypeClass 2 11 4" xfId="5136" xr:uid="{1369B874-78B9-41D2-92F4-1E56AA5007CD}"/>
    <cellStyle name="ItemTypeClass 2 12" xfId="3147" xr:uid="{FF378511-D34A-4A34-A5DC-953BE781B120}"/>
    <cellStyle name="ItemTypeClass 2 12 2" xfId="4309" xr:uid="{6F7F9115-223D-4E13-9481-F0AB08477738}"/>
    <cellStyle name="ItemTypeClass 2 12 3" xfId="4921" xr:uid="{9962FF4D-315C-4E96-9206-F37CB51FA13F}"/>
    <cellStyle name="ItemTypeClass 2 12 4" xfId="4988" xr:uid="{689101E2-13B1-4883-87D2-9CE0365E4574}"/>
    <cellStyle name="ItemTypeClass 2 13" xfId="3181" xr:uid="{07C21D10-E540-4145-881D-69253A256733}"/>
    <cellStyle name="ItemTypeClass 2 13 2" xfId="4343" xr:uid="{E6AB7222-55E4-473A-9AE6-5C6E633D2277}"/>
    <cellStyle name="ItemTypeClass 2 13 3" xfId="4955" xr:uid="{17BD770E-5E5C-447E-B3AC-D996E2EC340D}"/>
    <cellStyle name="ItemTypeClass 2 13 4" xfId="3646" xr:uid="{77ECDF4B-53B0-45A9-A6D5-6A74E702E379}"/>
    <cellStyle name="ItemTypeClass 2 14" xfId="2541" xr:uid="{FE0A9709-5E5A-4883-96DF-7252828EFDE4}"/>
    <cellStyle name="ItemTypeClass 2 14 2" xfId="3764" xr:uid="{7AEAE652-8DFA-4B93-9D9C-806B03977C68}"/>
    <cellStyle name="ItemTypeClass 2 14 3" xfId="4380" xr:uid="{4EDBA886-C578-45DE-B9CD-3E6A3985B4F0}"/>
    <cellStyle name="ItemTypeClass 2 14 4" xfId="3423" xr:uid="{79C9E451-35C8-473A-9169-1F4234228244}"/>
    <cellStyle name="ItemTypeClass 2 15" xfId="3298" xr:uid="{BD542BA8-75DC-4135-A6C3-24A53556F5B0}"/>
    <cellStyle name="ItemTypeClass 2 16" xfId="3664" xr:uid="{30979D26-AE42-4111-B8E6-AD72D2727631}"/>
    <cellStyle name="ItemTypeClass 2 17" xfId="3442" xr:uid="{039BAE0E-FA4B-4B23-B973-6D63FEE1A738}"/>
    <cellStyle name="ItemTypeClass 2 2" xfId="2843" xr:uid="{93CE13A3-3EAB-432A-87A3-773A9833AD6D}"/>
    <cellStyle name="ItemTypeClass 2 2 2" xfId="4025" xr:uid="{C3B09A5E-873A-48A7-8121-EA1E2158AEFA}"/>
    <cellStyle name="ItemTypeClass 2 2 3" xfId="4639" xr:uid="{82E7B25C-D56C-449E-939E-A000AF9F6A72}"/>
    <cellStyle name="ItemTypeClass 2 2 4" xfId="3522" xr:uid="{30548ED7-0268-434B-8765-8496695ACF57}"/>
    <cellStyle name="ItemTypeClass 2 3" xfId="2900" xr:uid="{15700CEC-B293-4A18-BA80-354BCC32A603}"/>
    <cellStyle name="ItemTypeClass 2 3 2" xfId="4073" xr:uid="{5D3D8BBF-DDC4-47C8-948D-3D16837B81FF}"/>
    <cellStyle name="ItemTypeClass 2 3 3" xfId="4684" xr:uid="{EC3FD06F-49ED-4AE9-8A23-219985E42899}"/>
    <cellStyle name="ItemTypeClass 2 3 4" xfId="3541" xr:uid="{D2D759CA-EBE9-4D89-B8C9-B5B98DDA4F57}"/>
    <cellStyle name="ItemTypeClass 2 4" xfId="2927" xr:uid="{2314491F-3D5D-42C5-9A94-4A049FB8BC41}"/>
    <cellStyle name="ItemTypeClass 2 4 2" xfId="4098" xr:uid="{E7783EFA-EBC6-4161-AFC7-4EF501614005}"/>
    <cellStyle name="ItemTypeClass 2 4 3" xfId="4709" xr:uid="{23212A95-8073-4D4F-8FBA-D84AEFC52B13}"/>
    <cellStyle name="ItemTypeClass 2 4 4" xfId="5069" xr:uid="{2C4E545A-26F2-48D2-9FA2-A7E6AEA49628}"/>
    <cellStyle name="ItemTypeClass 2 5" xfId="2959" xr:uid="{D8637AC9-74AF-4CF1-9963-B30DC7F62962}"/>
    <cellStyle name="ItemTypeClass 2 5 2" xfId="4130" xr:uid="{D7CD735B-C780-4A55-B92C-59E65FD5F420}"/>
    <cellStyle name="ItemTypeClass 2 5 3" xfId="4741" xr:uid="{83153C3E-C57B-4B24-B96C-77FA5FA22C4B}"/>
    <cellStyle name="ItemTypeClass 2 5 4" xfId="3389" xr:uid="{CB60834D-C091-4098-A0AA-0CC088224598}"/>
    <cellStyle name="ItemTypeClass 2 6" xfId="2989" xr:uid="{E4CB907E-D9A5-4CF1-B3D5-39E6E168B2BC}"/>
    <cellStyle name="ItemTypeClass 2 6 2" xfId="4158" xr:uid="{08DA9093-33E4-4326-B710-6A8F7E18F85F}"/>
    <cellStyle name="ItemTypeClass 2 6 3" xfId="4768" xr:uid="{5B043936-5ED2-4AE7-BC9C-DD8A1B7493E5}"/>
    <cellStyle name="ItemTypeClass 2 6 4" xfId="5023" xr:uid="{D73E2530-20F0-4979-A6E2-7E4B0909B606}"/>
    <cellStyle name="ItemTypeClass 2 7" xfId="3021" xr:uid="{9B439409-0DF9-47E8-B8C2-3B8586033B65}"/>
    <cellStyle name="ItemTypeClass 2 7 2" xfId="4189" xr:uid="{A1787B68-AC91-4D8A-B75A-52D8713492F0}"/>
    <cellStyle name="ItemTypeClass 2 7 3" xfId="4799" xr:uid="{C050284F-EE20-4D5A-89D9-4912DE855E33}"/>
    <cellStyle name="ItemTypeClass 2 7 4" xfId="3397" xr:uid="{5B873147-0A08-434A-BE92-6D3315B405EC}"/>
    <cellStyle name="ItemTypeClass 2 8" xfId="3043" xr:uid="{DB226F74-BA8D-457C-ACB9-88DEBE38D09D}"/>
    <cellStyle name="ItemTypeClass 2 8 2" xfId="4211" xr:uid="{1F5AA695-2142-4367-B4A1-6EA5DE2CDA4B}"/>
    <cellStyle name="ItemTypeClass 2 8 3" xfId="4821" xr:uid="{1F771A0F-2D7D-4755-B4B3-7A610DB8533E}"/>
    <cellStyle name="ItemTypeClass 2 8 4" xfId="4697" xr:uid="{6AC55499-2CBD-4DBB-895A-227C952DA09B}"/>
    <cellStyle name="ItemTypeClass 2 9" xfId="3070" xr:uid="{9E7CD4D0-8501-41D5-957D-3E7BF7C26042}"/>
    <cellStyle name="ItemTypeClass 2 9 2" xfId="4238" xr:uid="{5DD4B302-E3B3-419E-8177-D340D3755E74}"/>
    <cellStyle name="ItemTypeClass 2 9 3" xfId="4848" xr:uid="{D1F4F9B2-374D-471D-9BE9-C34BFFFC824F}"/>
    <cellStyle name="ItemTypeClass 2 9 4" xfId="3449" xr:uid="{545B6837-AD36-46CD-A6BB-31DEE4BB1429}"/>
    <cellStyle name="ItemTypeClass 3" xfId="2542" xr:uid="{8762E3A1-6040-4B4A-904D-ED449B674296}"/>
    <cellStyle name="ItemTypeClass 3 10" xfId="3101" xr:uid="{FC9789C7-2798-4894-86F0-43AEF62A3B3A}"/>
    <cellStyle name="ItemTypeClass 3 10 2" xfId="4266" xr:uid="{5D8020C9-FF7E-4E73-8F2D-A687398626DD}"/>
    <cellStyle name="ItemTypeClass 3 10 3" xfId="4877" xr:uid="{92585234-EBBF-420C-B928-BAF06412D1D8}"/>
    <cellStyle name="ItemTypeClass 3 10 4" xfId="3772" xr:uid="{1B8FB5B2-1848-485F-BBC6-3CFE2CCAFC3C}"/>
    <cellStyle name="ItemTypeClass 3 11" xfId="3136" xr:uid="{D55285E3-1784-4BB1-B2D9-34B222F90EEE}"/>
    <cellStyle name="ItemTypeClass 3 11 2" xfId="4298" xr:uid="{16DF2DBA-E04E-4BF5-8215-369E46112116}"/>
    <cellStyle name="ItemTypeClass 3 11 3" xfId="4910" xr:uid="{6FB645A2-6C0C-4353-8588-8A6F1FC0E6F6}"/>
    <cellStyle name="ItemTypeClass 3 11 4" xfId="3215" xr:uid="{5E983CEB-2B48-4477-8C26-29A61A85D838}"/>
    <cellStyle name="ItemTypeClass 3 12" xfId="3148" xr:uid="{BEF844C4-0328-45B2-8F65-D2A1D91E37E7}"/>
    <cellStyle name="ItemTypeClass 3 12 2" xfId="4310" xr:uid="{79513B87-62AE-4B87-9CB8-8117E7B7CB4A}"/>
    <cellStyle name="ItemTypeClass 3 12 3" xfId="4922" xr:uid="{DB439E59-B023-4337-AE14-F19BA2B7FF67}"/>
    <cellStyle name="ItemTypeClass 3 12 4" xfId="3344" xr:uid="{5A1ABD51-CBE1-4597-92DE-4646D47D6077}"/>
    <cellStyle name="ItemTypeClass 3 13" xfId="3182" xr:uid="{E34644FB-4D5E-41A8-99A9-30D92F3CA8CA}"/>
    <cellStyle name="ItemTypeClass 3 13 2" xfId="4344" xr:uid="{2DB502FB-F841-4E4B-8BED-B027C1C00DC1}"/>
    <cellStyle name="ItemTypeClass 3 13 3" xfId="4956" xr:uid="{12A7C5C9-2CBD-49FA-ABA7-EF1864060B03}"/>
    <cellStyle name="ItemTypeClass 3 13 4" xfId="4985" xr:uid="{8C60E3DC-B11D-43F9-B568-3FA733EA3C9C}"/>
    <cellStyle name="ItemTypeClass 3 14" xfId="3765" xr:uid="{E380C077-A2FF-49DE-A051-18C84037C8FA}"/>
    <cellStyle name="ItemTypeClass 3 15" xfId="4381" xr:uid="{F7B19899-D822-4030-B0E8-CB1A3B7380C3}"/>
    <cellStyle name="ItemTypeClass 3 16" xfId="3502" xr:uid="{C6ED598D-3973-4544-A667-84745CDBED29}"/>
    <cellStyle name="ItemTypeClass 3 2" xfId="2844" xr:uid="{420E1ABD-D9A1-496A-860B-00818582B237}"/>
    <cellStyle name="ItemTypeClass 3 2 2" xfId="4026" xr:uid="{4668605B-1573-4DEE-9F8F-5005BDE3A477}"/>
    <cellStyle name="ItemTypeClass 3 2 3" xfId="4640" xr:uid="{77434343-DB91-4F32-99F5-B06CF83575EE}"/>
    <cellStyle name="ItemTypeClass 3 2 4" xfId="3523" xr:uid="{368ED4F5-7E4E-4966-860F-0D4C37A49C29}"/>
    <cellStyle name="ItemTypeClass 3 3" xfId="2901" xr:uid="{0AA82A3E-0192-4CC0-AF38-3FC71E728336}"/>
    <cellStyle name="ItemTypeClass 3 3 2" xfId="4074" xr:uid="{4F8113D2-A7B1-4966-8C4C-228D033AF475}"/>
    <cellStyle name="ItemTypeClass 3 3 3" xfId="4685" xr:uid="{56566318-675B-4ACD-89FE-384B41A99D9B}"/>
    <cellStyle name="ItemTypeClass 3 3 4" xfId="5020" xr:uid="{4C930D79-0176-4B2B-8502-19A8B8E67B10}"/>
    <cellStyle name="ItemTypeClass 3 4" xfId="2928" xr:uid="{67A62CD4-1A93-484E-BD19-B8DD1D3EF9CC}"/>
    <cellStyle name="ItemTypeClass 3 4 2" xfId="4099" xr:uid="{686A4946-0C56-470F-9FA3-AC096B30213E}"/>
    <cellStyle name="ItemTypeClass 3 4 3" xfId="4710" xr:uid="{F01FB3AB-0ED4-4451-B806-B406E884709E}"/>
    <cellStyle name="ItemTypeClass 3 4 4" xfId="3608" xr:uid="{3D97DBB9-E031-44D4-B9C3-AD933896D4A0}"/>
    <cellStyle name="ItemTypeClass 3 5" xfId="2960" xr:uid="{2C00509E-31FA-4BE6-8337-4CEE6F7A13CC}"/>
    <cellStyle name="ItemTypeClass 3 5 2" xfId="4131" xr:uid="{2D01296F-23A7-47DC-BDBC-9B2D6B694032}"/>
    <cellStyle name="ItemTypeClass 3 5 3" xfId="4742" xr:uid="{3BDBFB18-0219-41A6-91B7-C33B9557B0FC}"/>
    <cellStyle name="ItemTypeClass 3 5 4" xfId="5002" xr:uid="{1AEEF890-4C28-4D16-B430-A6EA07367BD1}"/>
    <cellStyle name="ItemTypeClass 3 6" xfId="2990" xr:uid="{50339A91-6F48-4550-8F02-F1AD4D805992}"/>
    <cellStyle name="ItemTypeClass 3 6 2" xfId="4159" xr:uid="{0EC86509-4465-477C-83ED-4A6F8FFCCF27}"/>
    <cellStyle name="ItemTypeClass 3 6 3" xfId="4769" xr:uid="{879D48A6-ADE9-4654-9874-8731198B633F}"/>
    <cellStyle name="ItemTypeClass 3 6 4" xfId="5003" xr:uid="{F328FD8E-62BA-44E0-AF99-4C719C3827C3}"/>
    <cellStyle name="ItemTypeClass 3 7" xfId="3022" xr:uid="{7E361030-EB02-4C43-9303-4A0A25C2D5F9}"/>
    <cellStyle name="ItemTypeClass 3 7 2" xfId="4190" xr:uid="{DB8E8162-416E-4A8B-AD1E-8D3866711D7D}"/>
    <cellStyle name="ItemTypeClass 3 7 3" xfId="4800" xr:uid="{2A9286AC-A0EB-401F-A050-CA075A665B31}"/>
    <cellStyle name="ItemTypeClass 3 7 4" xfId="3479" xr:uid="{26FB6688-3EC4-46A4-B43B-355512FA8772}"/>
    <cellStyle name="ItemTypeClass 3 8" xfId="3044" xr:uid="{A5F65B60-DCF0-4410-8260-081147E08739}"/>
    <cellStyle name="ItemTypeClass 3 8 2" xfId="4212" xr:uid="{EC19E377-0DC9-4E08-9E7B-4F88E82CBBF3}"/>
    <cellStyle name="ItemTypeClass 3 8 3" xfId="4822" xr:uid="{FB8879CA-BB5F-4328-87A3-43F1DED4EFFE}"/>
    <cellStyle name="ItemTypeClass 3 8 4" xfId="5119" xr:uid="{A16E910B-19A8-4C1E-A848-6762F7366923}"/>
    <cellStyle name="ItemTypeClass 3 9" xfId="3071" xr:uid="{D89785E1-B9C1-4F00-8EBF-A8CBA7C8DAD4}"/>
    <cellStyle name="ItemTypeClass 3 9 2" xfId="4239" xr:uid="{68ABC2BE-62D7-4C78-8459-8EBE072F8F7B}"/>
    <cellStyle name="ItemTypeClass 3 9 3" xfId="4849" xr:uid="{C15BF4BB-3F3F-425F-B742-7C57AEC7EA11}"/>
    <cellStyle name="ItemTypeClass 3 9 4" xfId="4147" xr:uid="{F07B4203-9E9D-4C68-81EA-7F98EFCE9483}"/>
    <cellStyle name="ItemTypeClass 4" xfId="2568" xr:uid="{F021486A-FEB1-4A70-9967-BD4F615F1EA8}"/>
    <cellStyle name="ItemTypeClass 4 2" xfId="3784" xr:uid="{D5FB043D-FCED-4E76-B2DE-79B8BF51B326}"/>
    <cellStyle name="ItemTypeClass 4 3" xfId="4396" xr:uid="{CA47420A-6171-419D-8A64-2773A80BB5E3}"/>
    <cellStyle name="ItemTypeClass 4 4" xfId="3505" xr:uid="{8F701022-B862-4CF6-BCD2-C3F7317A9248}"/>
    <cellStyle name="ItemTypeClass 5" xfId="3212" xr:uid="{A5C467BE-3EB4-4F2F-9A7A-F8C93E2855FF}"/>
    <cellStyle name="ItemTypeClass 6" xfId="3604" xr:uid="{56150E13-A7D0-416B-A1B6-A721E4510487}"/>
    <cellStyle name="Jason" xfId="2166" xr:uid="{080DAD6A-7234-467E-A741-EA72D192A781}"/>
    <cellStyle name="Jason 2" xfId="2167" xr:uid="{F5581A34-E066-442B-88D7-A37C35914BC7}"/>
    <cellStyle name="Komma_p&amp;l (2)" xfId="2168" xr:uid="{11259E18-3567-4791-92CA-B4638D5EEC26}"/>
    <cellStyle name="lead" xfId="2169" xr:uid="{C1BDE997-1A15-4F62-B229-D15D287814E2}"/>
    <cellStyle name="lead 2" xfId="2170" xr:uid="{6A237D22-48C5-4DD5-B076-93636427694F}"/>
    <cellStyle name="Line" xfId="311" xr:uid="{00000000-0005-0000-0000-000056010000}"/>
    <cellStyle name="linked" xfId="2171" xr:uid="{87EC6638-387F-4B6E-8D2F-B7831A86D085}"/>
    <cellStyle name="Linked Cell 2" xfId="401" xr:uid="{00000000-0005-0000-0000-000057010000}"/>
    <cellStyle name="LN" xfId="2172" xr:uid="{F6D949F4-B23B-48E0-8557-8DFDB2C6FE2C}"/>
    <cellStyle name="LN 2" xfId="2173" xr:uid="{A6136D03-2C2B-41D0-8590-BFE687900A04}"/>
    <cellStyle name="LN 3" xfId="2174" xr:uid="{F1053C0A-2733-45CB-BDE9-2D5D24856672}"/>
    <cellStyle name="LTGR" xfId="2175" xr:uid="{0C38A829-4B00-4982-9A4B-5EC21F286117}"/>
    <cellStyle name="m" xfId="2176" xr:uid="{4B58D71C-7393-4914-9FBE-E23571A2E2FB}"/>
    <cellStyle name="m 2" xfId="2177" xr:uid="{99FE56C8-44BD-4394-A319-8B627C4761BF}"/>
    <cellStyle name="m 3" xfId="2178" xr:uid="{1A5860D3-7295-4DE8-BFA4-9FC4362F3428}"/>
    <cellStyle name="m$" xfId="2179" xr:uid="{62BEE25C-B509-4C11-BDF3-84C9BA7C275C}"/>
    <cellStyle name="m_AOL_Model_Master" xfId="2180" xr:uid="{0E8BA52C-1796-4220-8FC7-D3A173DAE326}"/>
    <cellStyle name="m_AOL_Model_Master_Copy of IFRS consol ABB Final Version4" xfId="2181" xr:uid="{5CA7D67E-5C8C-4E14-B088-B703719CE7B9}"/>
    <cellStyle name="m_CROCI" xfId="2182" xr:uid="{E3DAD8E1-6400-4A69-A055-B21E54F4E0F8}"/>
    <cellStyle name="Mainhead" xfId="312" xr:uid="{00000000-0005-0000-0000-000058010000}"/>
    <cellStyle name="Major item" xfId="2183" xr:uid="{AE584535-38C2-4F72-8098-D3E25FD3AD96}"/>
    <cellStyle name="Margin" xfId="2184" xr:uid="{8B59FB86-3BCB-4E29-98BD-8A652BF97320}"/>
    <cellStyle name="Margin 2" xfId="2185" xr:uid="{AF904F71-48D5-42E5-8E67-01018DB6F802}"/>
    <cellStyle name="Margin 3" xfId="2186" xr:uid="{46A0C251-1A29-4AD1-82DE-FEC7E17B6697}"/>
    <cellStyle name="Margins" xfId="2187" xr:uid="{FC9E5F69-26D5-4235-885B-12AFE8651F22}"/>
    <cellStyle name="Merrill" xfId="313" xr:uid="{00000000-0005-0000-0000-000059010000}"/>
    <cellStyle name="Migliaia (0)_Bourse" xfId="2188" xr:uid="{10ECE3F4-2C4B-4072-BFD4-B9B28E63061B}"/>
    <cellStyle name="Migliaia_Bourse" xfId="2189" xr:uid="{D90D8374-AE94-464C-8A50-E8524CC168F6}"/>
    <cellStyle name="Milliers [0]_CEP 1605" xfId="2190" xr:uid="{BEB2BEAD-7BF5-427B-A6A7-7D3F28106F0C}"/>
    <cellStyle name="Milliers_CEP 1605" xfId="2191" xr:uid="{38F030AC-CFC1-4542-9548-26B8D6844043}"/>
    <cellStyle name="Mix" xfId="314" xr:uid="{00000000-0005-0000-0000-00005A010000}"/>
    <cellStyle name="mm" xfId="2192" xr:uid="{BD7DE94C-B4BF-4750-A683-FFD623507154}"/>
    <cellStyle name="Monétaire [0]_CEP 1605" xfId="2193" xr:uid="{4FC0069A-7A2C-433B-88D9-672D1A3B666C}"/>
    <cellStyle name="Monétaire_CEP 1605" xfId="2194" xr:uid="{600CEF62-304B-41F8-A8DD-1B32B8C72827}"/>
    <cellStyle name="Monetario" xfId="2195" xr:uid="{7E2A03ED-4984-4B6F-9B4C-79AB75A9EBED}"/>
    <cellStyle name="Monetario 2" xfId="2196" xr:uid="{E86CA62F-603C-4397-B3A2-3E6E81161C5B}"/>
    <cellStyle name="Monetario 3" xfId="2197" xr:uid="{B317D340-B1FD-47AD-839C-DCF0B1AAD6F7}"/>
    <cellStyle name="Monetario0" xfId="2198" xr:uid="{B1AC66EA-B239-4F19-B9CC-54DC7D6DFC55}"/>
    <cellStyle name="Monetario0 2" xfId="2199" xr:uid="{E5B052D2-D70C-4672-A22D-87ED2E6AA7F1}"/>
    <cellStyle name="Monetario0 3" xfId="2200" xr:uid="{3228D38B-7096-44DE-94D5-C9E8ED294065}"/>
    <cellStyle name="Monitor" xfId="315" xr:uid="{00000000-0005-0000-0000-00005B010000}"/>
    <cellStyle name="muiltiple" xfId="2201" xr:uid="{5C1EF1EA-D16E-490D-A4B0-41D6B024CA3C}"/>
    <cellStyle name="muiltiple 10" xfId="2617" xr:uid="{FC6F01F5-7DD0-477A-B1C5-5E83AF813789}"/>
    <cellStyle name="muiltiple 10 2" xfId="3827" xr:uid="{4152AE63-78C6-479B-AA5A-7C990773709E}"/>
    <cellStyle name="muiltiple 10 3" xfId="4440" xr:uid="{1A1DA0F6-8DEB-4C30-BC73-687BAAB56BCE}"/>
    <cellStyle name="muiltiple 11" xfId="2577" xr:uid="{F9242DFF-A0C0-468D-B83A-ADF19FCEE918}"/>
    <cellStyle name="muiltiple 11 2" xfId="4404" xr:uid="{E2FF396F-E1C0-400C-A9AB-7A0F460160DB}"/>
    <cellStyle name="muiltiple 12" xfId="3395" xr:uid="{E61FA539-CF35-48C0-B2EE-1B9A1FDA4A71}"/>
    <cellStyle name="muiltiple 2" xfId="2543" xr:uid="{B2B228DE-DAAC-4E52-9D39-F04FD7E7DE36}"/>
    <cellStyle name="muiltiple 2 10" xfId="3183" xr:uid="{766B24A9-2630-48CF-B433-3087F1FE01D1}"/>
    <cellStyle name="muiltiple 2 10 2" xfId="4957" xr:uid="{67B7D24E-1215-4EA3-85D0-A5EBCEFD6D31}"/>
    <cellStyle name="muiltiple 2 11" xfId="4382" xr:uid="{66E1785B-AB8B-4084-BB46-19C4AE444625}"/>
    <cellStyle name="muiltiple 2 2" xfId="2845" xr:uid="{E1830E0F-CADA-44E7-8268-1BAE197AA07F}"/>
    <cellStyle name="muiltiple 2 2 2" xfId="4027" xr:uid="{B8C1DB1E-496B-4DDE-9E5E-5CED0020A8E6}"/>
    <cellStyle name="muiltiple 2 2 3" xfId="4641" xr:uid="{26D6A9A1-28A4-4CE6-8E44-2574FE8CFA63}"/>
    <cellStyle name="muiltiple 2 3" xfId="2929" xr:uid="{8F848CC1-1022-469F-9C86-267C5BF716FA}"/>
    <cellStyle name="muiltiple 2 3 2" xfId="4100" xr:uid="{8BF0553D-E558-4DD9-B2DA-833502495FD8}"/>
    <cellStyle name="muiltiple 2 3 3" xfId="4711" xr:uid="{AA8193D1-4D65-483F-8A70-B8F803509460}"/>
    <cellStyle name="muiltiple 2 4" xfId="2961" xr:uid="{AC64878A-F486-4BF5-A5B4-B9B4E5C66522}"/>
    <cellStyle name="muiltiple 2 4 2" xfId="4132" xr:uid="{0FC2B37D-84AE-432B-A9D5-008C30C25CA2}"/>
    <cellStyle name="muiltiple 2 4 3" xfId="4743" xr:uid="{CA32009F-49B9-4635-838B-06CB9EE4A545}"/>
    <cellStyle name="muiltiple 2 5" xfId="2991" xr:uid="{236CB498-C289-415F-9880-96F50708068A}"/>
    <cellStyle name="muiltiple 2 5 2" xfId="4160" xr:uid="{047D1991-E305-42BB-ABD3-CBDA78594A82}"/>
    <cellStyle name="muiltiple 2 5 3" xfId="4770" xr:uid="{DCDC0841-A919-4CCF-B67C-3D835ADFA844}"/>
    <cellStyle name="muiltiple 2 6" xfId="3045" xr:uid="{FCE8685D-3127-483F-9257-A44CECE121CC}"/>
    <cellStyle name="muiltiple 2 6 2" xfId="4213" xr:uid="{E5AF31E3-8720-440D-A0C2-BA462701E327}"/>
    <cellStyle name="muiltiple 2 6 3" xfId="4823" xr:uid="{2C9E25F4-DB86-4958-A6AB-150A5C87541B}"/>
    <cellStyle name="muiltiple 2 7" xfId="3072" xr:uid="{4BB6091F-AE35-42DE-81F4-23F421FE2C68}"/>
    <cellStyle name="muiltiple 2 7 2" xfId="4240" xr:uid="{5F46170E-EF7D-4AA7-B7B3-B144745270E8}"/>
    <cellStyle name="muiltiple 2 7 3" xfId="4850" xr:uid="{70F9CEFA-EC9C-473F-9372-40F5F04CED3C}"/>
    <cellStyle name="muiltiple 2 8" xfId="3102" xr:uid="{0F854675-D9B4-49FB-BBB1-3BD7AF7FFD79}"/>
    <cellStyle name="muiltiple 2 8 2" xfId="4267" xr:uid="{5C0B3358-8F93-4D0F-8AD3-D4822B926660}"/>
    <cellStyle name="muiltiple 2 8 3" xfId="4878" xr:uid="{D551CB71-7449-4037-A3F3-871FADDAE6E3}"/>
    <cellStyle name="muiltiple 2 9" xfId="3149" xr:uid="{836F920E-BA45-4B39-A9D8-83B4BF2D133B}"/>
    <cellStyle name="muiltiple 2 9 2" xfId="4311" xr:uid="{230699D9-96CA-40B7-925B-433B785E25C9}"/>
    <cellStyle name="muiltiple 2 9 3" xfId="4923" xr:uid="{38301D84-9FF4-49DE-84EC-28E40C6AEECC}"/>
    <cellStyle name="muiltiple 3" xfId="2759" xr:uid="{F8EEF588-E519-44D3-A338-60A6363E6DE8}"/>
    <cellStyle name="muiltiple 3 2" xfId="3953" xr:uid="{780438CD-F4C4-4501-A688-C5A6DE732421}"/>
    <cellStyle name="muiltiple 3 3" xfId="4566" xr:uid="{D7FA2DBB-6DF5-4E8F-A00B-FA8F9F3FDB54}"/>
    <cellStyle name="muiltiple 4" xfId="2722" xr:uid="{B7090736-2F87-4AA6-B986-3F1177D39313}"/>
    <cellStyle name="muiltiple 4 2" xfId="3922" xr:uid="{A6DBF917-743A-4A19-B476-17269548DABD}"/>
    <cellStyle name="muiltiple 4 3" xfId="4535" xr:uid="{6BA56248-E055-4730-AA63-0C82E2A66629}"/>
    <cellStyle name="muiltiple 5" xfId="2649" xr:uid="{939FAD94-9FC0-471C-BF1C-D24DFF13116C}"/>
    <cellStyle name="muiltiple 5 2" xfId="3856" xr:uid="{8E915C3B-8C2A-496B-917E-00388BD645A4}"/>
    <cellStyle name="muiltiple 5 3" xfId="4470" xr:uid="{1B37CB6C-46E1-40E0-90EB-63BE30198415}"/>
    <cellStyle name="muiltiple 6" xfId="2695" xr:uid="{4AB37989-6633-4F37-926A-B570BA3C63EE}"/>
    <cellStyle name="muiltiple 6 2" xfId="3895" xr:uid="{FEFDF1AF-AB6F-467D-ABB6-9E493F4AA130}"/>
    <cellStyle name="muiltiple 6 3" xfId="4508" xr:uid="{5730E023-4E6E-4860-B313-83600736A4CE}"/>
    <cellStyle name="muiltiple 7" xfId="2687" xr:uid="{264DA816-162D-4FD7-A438-714173BCC749}"/>
    <cellStyle name="muiltiple 7 2" xfId="3887" xr:uid="{B45FD1EF-ADED-4E31-800E-A8A46863DDD3}"/>
    <cellStyle name="muiltiple 7 3" xfId="4500" xr:uid="{C2EB4B21-BA34-4D68-9F2E-C314ADC916AC}"/>
    <cellStyle name="muiltiple 8" xfId="2675" xr:uid="{CA91A5CA-D056-467F-8368-BD742CFF2DBC}"/>
    <cellStyle name="muiltiple 8 2" xfId="3875" xr:uid="{A8341A51-A250-4899-AE41-E04C59E3EEAA}"/>
    <cellStyle name="muiltiple 8 3" xfId="4488" xr:uid="{A524F9DA-4307-489C-8F44-A2903F3A23F1}"/>
    <cellStyle name="muiltiple 9" xfId="2681" xr:uid="{3C138A5E-8238-4329-82D3-F67436738430}"/>
    <cellStyle name="muiltiple 9 2" xfId="3881" xr:uid="{D23E1D3A-1B35-47EA-A388-8F8B78DCA3E9}"/>
    <cellStyle name="muiltiple 9 3" xfId="4494" xr:uid="{B4DADC94-5388-4189-93C1-135D39269017}"/>
    <cellStyle name="Multiple" xfId="316" xr:uid="{00000000-0005-0000-0000-00005C010000}"/>
    <cellStyle name="Multiple 2" xfId="2202" xr:uid="{5DA817D1-62AA-4371-9C7E-CCB8B88AB6FA}"/>
    <cellStyle name="Multiple 3" xfId="2203" xr:uid="{D9673CBE-9DD2-4DD4-A2D4-6EF26731EEF2}"/>
    <cellStyle name="Multiple1" xfId="2204" xr:uid="{9876D46F-78EE-4A64-AF5B-E13B4177084A}"/>
    <cellStyle name="MultipleBelow" xfId="2205" xr:uid="{AE4B6592-D87D-44D1-AE4B-3A077A3893E9}"/>
    <cellStyle name="MultipleSpace" xfId="2206" xr:uid="{8CADFE08-C4F6-41F2-A152-080B6C2B8B20}"/>
    <cellStyle name="Neutral 2" xfId="402" xr:uid="{00000000-0005-0000-0000-00005E010000}"/>
    <cellStyle name="new style" xfId="2207" xr:uid="{1DFEB928-9B95-431F-80D6-BEDF3860A500}"/>
    <cellStyle name="no dec" xfId="2208" xr:uid="{AACA8503-E35B-4302-A733-6EE016352C5B}"/>
    <cellStyle name="no dec 2" xfId="2209" xr:uid="{CE1FB7B8-89B7-4E8A-A4CB-1E287EABB8EC}"/>
    <cellStyle name="nonmultiple" xfId="2210" xr:uid="{D8CDB01A-06AF-41D7-9CF4-5B260944EA25}"/>
    <cellStyle name="nonmultiple 2" xfId="2211" xr:uid="{59C24670-B85A-478C-BC8B-DD06947EA813}"/>
    <cellStyle name="nonmultiple 3" xfId="2212" xr:uid="{E116ADF9-2A20-403F-A548-487378CCFF69}"/>
    <cellStyle name="Normal" xfId="0" builtinId="0"/>
    <cellStyle name="Normal - Style1" xfId="317" xr:uid="{00000000-0005-0000-0000-000060010000}"/>
    <cellStyle name="Normal (B)" xfId="42" xr:uid="{00000000-0005-0000-0000-000061010000}"/>
    <cellStyle name="Normal (G)" xfId="43" xr:uid="{00000000-0005-0000-0000-000062010000}"/>
    <cellStyle name="Normal 10" xfId="426" xr:uid="{00000000-0005-0000-0000-000063010000}"/>
    <cellStyle name="Normal 10 2" xfId="2214" xr:uid="{6C523DDA-9B8A-464B-96FD-CF330EF1A0C8}"/>
    <cellStyle name="Normal 10 3" xfId="2215" xr:uid="{F761F1DC-4FB7-4224-B30B-1DE59741E0E6}"/>
    <cellStyle name="Normal 10 4" xfId="2213" xr:uid="{BB1E660E-FFCC-48AC-A97D-5F494331105A}"/>
    <cellStyle name="Normal 101" xfId="453" xr:uid="{00000000-0005-0000-0000-000064010000}"/>
    <cellStyle name="Normal 11" xfId="443" xr:uid="{00000000-0005-0000-0000-000065010000}"/>
    <cellStyle name="Normal 11 2" xfId="2865" xr:uid="{E509D661-E268-4554-9F4D-7C10156C131C}"/>
    <cellStyle name="Normal 11 3" xfId="2564" xr:uid="{775EB3A7-97D2-4745-88CA-06573F8A6C94}"/>
    <cellStyle name="Normal 12" xfId="451" xr:uid="{00000000-0005-0000-0000-000066010000}"/>
    <cellStyle name="Normal 12 2" xfId="3194" xr:uid="{C92422CC-892C-473E-A1F8-3B1C89BF05FC}"/>
    <cellStyle name="Normal 2" xfId="1" xr:uid="{00000000-0005-0000-0000-000067010000}"/>
    <cellStyle name="Normal 2 2" xfId="449" xr:uid="{00000000-0005-0000-0000-000068010000}"/>
    <cellStyle name="Normal 21" xfId="444" xr:uid="{00000000-0005-0000-0000-000069010000}"/>
    <cellStyle name="Normal 21 2" xfId="2866" xr:uid="{D78A52AD-7820-45E4-9CA8-9C1C1F13E838}"/>
    <cellStyle name="Normal 21 3" xfId="2565" xr:uid="{42830BEF-4ABD-4BFB-BB0D-5275985A5508}"/>
    <cellStyle name="Normal 22" xfId="445" xr:uid="{00000000-0005-0000-0000-00006A010000}"/>
    <cellStyle name="Normal 3" xfId="318" xr:uid="{00000000-0005-0000-0000-00006B010000}"/>
    <cellStyle name="Normal 3 2" xfId="448" xr:uid="{00000000-0005-0000-0000-00006C010000}"/>
    <cellStyle name="Normal 3 3" xfId="452" xr:uid="{00000000-0005-0000-0000-00006D010000}"/>
    <cellStyle name="Normal 4" xfId="366" xr:uid="{00000000-0005-0000-0000-00006E010000}"/>
    <cellStyle name="Normal 4 2" xfId="2216" xr:uid="{FEDB5BF1-3716-4AF1-A480-5F022A79F4A6}"/>
    <cellStyle name="Normal 5" xfId="414" xr:uid="{00000000-0005-0000-0000-00006F010000}"/>
    <cellStyle name="Normal 6" xfId="421" xr:uid="{00000000-0005-0000-0000-000070010000}"/>
    <cellStyle name="Normal 7" xfId="423" xr:uid="{00000000-0005-0000-0000-000071010000}"/>
    <cellStyle name="Normal 8" xfId="424" xr:uid="{00000000-0005-0000-0000-000072010000}"/>
    <cellStyle name="Normal 9" xfId="425" xr:uid="{00000000-0005-0000-0000-000073010000}"/>
    <cellStyle name="Normal 9 2" xfId="2218" xr:uid="{32736F47-24A8-437C-80BD-8829958A809C}"/>
    <cellStyle name="Normal 9 3" xfId="2219" xr:uid="{049D9A97-82B0-4140-AE8F-D25292BE200C}"/>
    <cellStyle name="Normal 9 4" xfId="2217" xr:uid="{EF84F96F-0602-456A-86C1-BB24303A7EA2}"/>
    <cellStyle name="Normal Cells" xfId="319" xr:uid="{00000000-0005-0000-0000-000074010000}"/>
    <cellStyle name="Normal_Sector_Summary_Pack_Eur" xfId="454" xr:uid="{00000000-0005-0000-0000-000076010000}"/>
    <cellStyle name="Normal2" xfId="2220" xr:uid="{32AA6B1A-A545-4026-9200-03F83AA35BF4}"/>
    <cellStyle name="Normale 2" xfId="3197" xr:uid="{12725250-FE8A-4BC0-92BD-91B2272E56F8}"/>
    <cellStyle name="Normale 2 3" xfId="3198" xr:uid="{BD770B4B-057B-4460-AE88-EF355A2E9D66}"/>
    <cellStyle name="Normale 24" xfId="3199" xr:uid="{9AB98431-6520-4FEA-A374-C5E20F624C15}"/>
    <cellStyle name="Normale_Acesa" xfId="2221" xr:uid="{D3A556B2-7086-4BE7-B3D8-589426F2E65A}"/>
    <cellStyle name="NormalGB" xfId="2222" xr:uid="{31EE6CD6-3ACC-4BDB-88C6-B0C030EDCD38}"/>
    <cellStyle name="Normal-HelBold" xfId="2223" xr:uid="{2E9A3084-7D6D-4B94-89F9-5B602B555CBF}"/>
    <cellStyle name="Normal-HelUnderline" xfId="2224" xr:uid="{A47A2A6C-0CC1-4D8B-B683-FAD69323618D}"/>
    <cellStyle name="Normal-Helvetica" xfId="2225" xr:uid="{CAFB26BE-5C46-46DA-980F-4887ACC0ABBC}"/>
    <cellStyle name="Normalny_SAQ_NEW" xfId="2226" xr:uid="{CC3D7425-E52C-49C1-8D25-BDAB05A7C6CC}"/>
    <cellStyle name="Note 2" xfId="405" xr:uid="{00000000-0005-0000-0000-000077010000}"/>
    <cellStyle name="Note 2 2" xfId="440" xr:uid="{00000000-0005-0000-0000-000078010000}"/>
    <cellStyle name="Note 2 2 10" xfId="3103" xr:uid="{CC175E8F-13A2-405C-B93A-BA91F9557515}"/>
    <cellStyle name="Note 2 2 10 2" xfId="4268" xr:uid="{39B3E6ED-CA97-4E0E-8E2B-B319F8A6AD2D}"/>
    <cellStyle name="Note 2 2 10 3" xfId="4879" xr:uid="{FFF71AED-EAAD-48A1-986D-6B19304D8006}"/>
    <cellStyle name="Note 2 2 10 4" xfId="5150" xr:uid="{9BFC493F-2EFA-4C02-B61B-787F1587430C}"/>
    <cellStyle name="Note 2 2 11" xfId="3137" xr:uid="{BC2E5BDA-14EE-416E-B24E-EB990906C3E2}"/>
    <cellStyle name="Note 2 2 11 2" xfId="4299" xr:uid="{3D5E2E2B-6F41-4A52-AF31-D34D286D40C7}"/>
    <cellStyle name="Note 2 2 11 3" xfId="4911" xr:uid="{0B0B8E45-39F7-47A3-8510-03DB13AF13F5}"/>
    <cellStyle name="Note 2 2 11 4" xfId="5051" xr:uid="{07485009-06AD-46C9-B6A7-7DE5AFE4606D}"/>
    <cellStyle name="Note 2 2 12" xfId="3150" xr:uid="{A05DE461-4A6F-4257-8CDE-830975A654B4}"/>
    <cellStyle name="Note 2 2 12 2" xfId="4312" xr:uid="{97ED0695-75A6-40FD-895D-BB6997679377}"/>
    <cellStyle name="Note 2 2 12 3" xfId="4924" xr:uid="{14A572F2-5CEC-48C4-B07C-96090E25D69F}"/>
    <cellStyle name="Note 2 2 12 4" xfId="3582" xr:uid="{56ABB5F3-2D10-4349-973B-8A5DE9ABBCC3}"/>
    <cellStyle name="Note 2 2 13" xfId="3184" xr:uid="{F8DD76E6-E85F-4145-9B7D-919ED32A5DFB}"/>
    <cellStyle name="Note 2 2 13 2" xfId="4345" xr:uid="{98BD9EFF-76D5-446F-A9DC-67D8064AD24C}"/>
    <cellStyle name="Note 2 2 13 3" xfId="4958" xr:uid="{FA284294-6360-4444-9673-7DD05D664D6F}"/>
    <cellStyle name="Note 2 2 13 4" xfId="5120" xr:uid="{5927D3B7-B19D-421E-90A1-B3112EE019DF}"/>
    <cellStyle name="Note 2 2 14" xfId="2544" xr:uid="{F07A4052-A378-4A29-9A04-8DBE7ADB6734}"/>
    <cellStyle name="Note 2 2 14 2" xfId="3766" xr:uid="{9BA236E3-005C-460D-9F62-B4CA39ABB3AF}"/>
    <cellStyle name="Note 2 2 14 3" xfId="4383" xr:uid="{B47C1365-FF06-4EA6-9CDA-7D903C8C00A6}"/>
    <cellStyle name="Note 2 2 14 4" xfId="3697" xr:uid="{0C04BCBB-6B3D-4707-9016-482CAA5102F4}"/>
    <cellStyle name="Note 2 2 15" xfId="3308" xr:uid="{B0923AE5-7BD8-4969-8CEC-3E0F8AFA0351}"/>
    <cellStyle name="Note 2 2 16" xfId="3655" xr:uid="{A7B69EFE-6770-432E-9E28-8DC2A475F800}"/>
    <cellStyle name="Note 2 2 17" xfId="3767" xr:uid="{AB39BA83-52C0-49AF-B61E-8500865398E9}"/>
    <cellStyle name="Note 2 2 2" xfId="2846" xr:uid="{578CAE6F-8FD6-41F5-A0CF-54FEE76CD5A3}"/>
    <cellStyle name="Note 2 2 2 2" xfId="4028" xr:uid="{2F64EC7C-7968-46ED-87DA-7C54323B5B8D}"/>
    <cellStyle name="Note 2 2 2 3" xfId="4642" xr:uid="{EAA4E194-9CFB-4B84-BDED-2BDB6FAAF174}"/>
    <cellStyle name="Note 2 2 2 4" xfId="4979" xr:uid="{26BE1306-0668-492A-99C0-26EB7F170A6A}"/>
    <cellStyle name="Note 2 2 3" xfId="2902" xr:uid="{A181F90B-3C03-45B4-90AA-3E639594A8F9}"/>
    <cellStyle name="Note 2 2 3 2" xfId="4075" xr:uid="{83D8EB71-46D8-486B-B389-E6FCC583EECB}"/>
    <cellStyle name="Note 2 2 3 3" xfId="4686" xr:uid="{B83723DC-B513-44D8-A42B-38A5624AAC64}"/>
    <cellStyle name="Note 2 2 3 4" xfId="5177" xr:uid="{2F96211D-D13D-4C73-95B4-2B0901E9B216}"/>
    <cellStyle name="Note 2 2 4" xfId="2930" xr:uid="{27A51107-3FA9-48FC-99A2-FDCD957E8F41}"/>
    <cellStyle name="Note 2 2 4 2" xfId="4101" xr:uid="{49B8B704-1EED-432B-9FCC-3105D0CC8A94}"/>
    <cellStyle name="Note 2 2 4 3" xfId="4712" xr:uid="{B9CD2299-7359-44C8-BF8D-2375D63A582F}"/>
    <cellStyle name="Note 2 2 4 4" xfId="4994" xr:uid="{01476D78-0012-4A29-8F25-D078C7708DED}"/>
    <cellStyle name="Note 2 2 5" xfId="2962" xr:uid="{8E57FC86-D6D5-4DDC-A3CF-688C01D33FFA}"/>
    <cellStyle name="Note 2 2 5 2" xfId="4133" xr:uid="{EAB026BA-70E6-48E1-A40C-C823ED012BC1}"/>
    <cellStyle name="Note 2 2 5 3" xfId="4744" xr:uid="{F88029C6-0A09-43FC-A1E6-339BFC88D562}"/>
    <cellStyle name="Note 2 2 5 4" xfId="3245" xr:uid="{FA5D4038-8674-4852-B6AE-EFA1C906FA27}"/>
    <cellStyle name="Note 2 2 6" xfId="2992" xr:uid="{938612EC-71C3-4432-BF64-1F86E5604330}"/>
    <cellStyle name="Note 2 2 6 2" xfId="4161" xr:uid="{2FB669D9-2513-45B4-B360-3E2D3CB2131B}"/>
    <cellStyle name="Note 2 2 6 3" xfId="4771" xr:uid="{55041AE7-2049-4643-95A1-C9AAA2744020}"/>
    <cellStyle name="Note 2 2 6 4" xfId="3220" xr:uid="{A4EB5E4B-4ED8-4990-A6A4-7C51C473CF34}"/>
    <cellStyle name="Note 2 2 7" xfId="3023" xr:uid="{8336D33E-FB7C-4C97-A4D7-E0CD2A8DAE19}"/>
    <cellStyle name="Note 2 2 7 2" xfId="4191" xr:uid="{7BA2E61E-DB2B-42F5-841C-3CCEA0EC7E11}"/>
    <cellStyle name="Note 2 2 7 3" xfId="4801" xr:uid="{CAAFFC3D-35D3-4E57-9C91-D5650828DE60}"/>
    <cellStyle name="Note 2 2 7 4" xfId="5011" xr:uid="{CD446CFB-5B04-4753-BE79-E504F53D4DE0}"/>
    <cellStyle name="Note 2 2 8" xfId="3046" xr:uid="{18F11CC8-0361-4582-AD4D-A1AB1C5658B1}"/>
    <cellStyle name="Note 2 2 8 2" xfId="4214" xr:uid="{3F18F696-098A-49E0-8BC8-2DD74069B1DF}"/>
    <cellStyle name="Note 2 2 8 3" xfId="4824" xr:uid="{FDBDAD7F-BF46-4CE2-A27A-3E80265818E2}"/>
    <cellStyle name="Note 2 2 8 4" xfId="5189" xr:uid="{1EFD333D-3B8A-4738-A23F-510440E8AE50}"/>
    <cellStyle name="Note 2 2 9" xfId="3073" xr:uid="{9B555C1F-2316-471D-AD34-271FCFF768FC}"/>
    <cellStyle name="Note 2 2 9 2" xfId="4241" xr:uid="{70E15976-1C99-4872-BD30-ECFFF4972A3C}"/>
    <cellStyle name="Note 2 2 9 3" xfId="4851" xr:uid="{2EDC1CD5-4B44-4B7B-B37F-B9A939DBA5FA}"/>
    <cellStyle name="Note 2 2 9 4" xfId="3727" xr:uid="{03A1F509-6501-4D53-A2D3-727CC1BD2FCE}"/>
    <cellStyle name="Note 2 3" xfId="2772" xr:uid="{C3ECF4B4-5B3B-430E-96C8-B073480EF983}"/>
    <cellStyle name="Note 2 3 2" xfId="3964" xr:uid="{D825C1A2-65A3-41CC-BC03-2C0946F46B6A}"/>
    <cellStyle name="Note 2 3 3" xfId="4576" xr:uid="{E7BF091D-6CC0-4D16-9BFD-C795CCE15C8A}"/>
    <cellStyle name="Note 2 3 4" xfId="3623" xr:uid="{35704386-76AC-4332-9B0B-72082E70D6AA}"/>
    <cellStyle name="Note 2 4" xfId="3287" xr:uid="{89E9BCE7-7911-4F83-BD7A-F8DDF7DD2D9C}"/>
    <cellStyle name="Note 2 5" xfId="3296" xr:uid="{1DB3065A-B58B-4A3D-8BEA-02D5915BEA0E}"/>
    <cellStyle name="Note 2 6" xfId="3358" xr:uid="{34D7F1CB-9247-4577-874B-A22820DE338D}"/>
    <cellStyle name="Notes" xfId="2227" xr:uid="{EA9BF31F-9EB5-4EB1-9E7A-2A6C6C8BD260}"/>
    <cellStyle name="Notes 2" xfId="3674" xr:uid="{2728AC50-5AD2-43AA-9834-FCF1B57686D6}"/>
    <cellStyle name="Number" xfId="320" xr:uid="{00000000-0005-0000-0000-000079010000}"/>
    <cellStyle name="number2" xfId="2228" xr:uid="{1F7F1805-4A18-44BB-BA53-3F980FD052B3}"/>
    <cellStyle name="Numbers" xfId="321" xr:uid="{00000000-0005-0000-0000-00007A010000}"/>
    <cellStyle name="Numbers - Bold" xfId="322" xr:uid="{00000000-0005-0000-0000-00007B010000}"/>
    <cellStyle name="Numbers - Bold - Italic" xfId="323" xr:uid="{00000000-0005-0000-0000-00007C010000}"/>
    <cellStyle name="Numbers - Bold_Blend" xfId="324" xr:uid="{00000000-0005-0000-0000-00007D010000}"/>
    <cellStyle name="Numbers - Large" xfId="325" xr:uid="{00000000-0005-0000-0000-00007E010000}"/>
    <cellStyle name="Numbers_Comps" xfId="326" xr:uid="{00000000-0005-0000-0000-00007F010000}"/>
    <cellStyle name="NumberX" xfId="2229" xr:uid="{547EB70D-7B8B-4F88-8ABB-A46C28A4B821}"/>
    <cellStyle name="Œ…‹æØ‚è [0.00]_Capital Structure" xfId="2230" xr:uid="{A5BEEACD-E8E9-4A71-8A73-3E0B324B3D4A}"/>
    <cellStyle name="Œ…‹æØ‚è_Capital Structure" xfId="2231" xr:uid="{BDC1E283-D50C-48AF-AD7E-ED44C50D80DA}"/>
    <cellStyle name="Original L1" xfId="2232" xr:uid="{1BEE59BB-6831-404E-ADA6-9DC881CE1E0C}"/>
    <cellStyle name="Original L2" xfId="2233" xr:uid="{9EDF09E5-B12B-4E0D-A1AC-533CF630EAE9}"/>
    <cellStyle name="Original L3" xfId="2234" xr:uid="{F26DBA93-432C-40CA-A491-770A73A9DF33}"/>
    <cellStyle name="Original Space" xfId="2235" xr:uid="{949B48CF-FD63-4192-999D-66AD5C519C96}"/>
    <cellStyle name="OSW_ColumnLabels" xfId="327" xr:uid="{00000000-0005-0000-0000-000080010000}"/>
    <cellStyle name="Output 2" xfId="406" xr:uid="{00000000-0005-0000-0000-000082010000}"/>
    <cellStyle name="Output 2 10" xfId="2608" xr:uid="{607ECBCC-B940-43CF-B51D-D0C1A0B1C4CA}"/>
    <cellStyle name="Output 2 10 2" xfId="3819" xr:uid="{4594DA82-357D-4B01-98B6-217D8B4A057E}"/>
    <cellStyle name="Output 2 10 3" xfId="4432" xr:uid="{B12DF2AE-08FA-4DAB-8E62-139E9E940981}"/>
    <cellStyle name="Output 2 10 4" xfId="3576" xr:uid="{80A968BE-C277-458A-8FEF-6AE528E64FD5}"/>
    <cellStyle name="Output 2 11" xfId="2798" xr:uid="{80141172-A25C-409C-A924-8166A0DE0542}"/>
    <cellStyle name="Output 2 11 2" xfId="3983" xr:uid="{C9C2A168-A327-41A1-818D-70F3B47CFDF9}"/>
    <cellStyle name="Output 2 11 3" xfId="4597" xr:uid="{21DF9F4D-41C7-4167-9EB0-45FDEE4A1A4A}"/>
    <cellStyle name="Output 2 11 4" xfId="5078" xr:uid="{A27EAC15-0C3C-441E-9AC6-8886656EDD2F}"/>
    <cellStyle name="Output 2 12" xfId="2640" xr:uid="{057F5EAD-3FC7-41B3-9B13-86E3B071C10E}"/>
    <cellStyle name="Output 2 12 2" xfId="3847" xr:uid="{4EAA5113-648E-42DA-9071-B08B96206F58}"/>
    <cellStyle name="Output 2 12 3" xfId="4461" xr:uid="{6755BE8A-CCDF-4BD0-9D41-C6A5B329654A}"/>
    <cellStyle name="Output 2 12 4" xfId="4987" xr:uid="{EC6A2219-9038-4F39-873B-B67DADD565A0}"/>
    <cellStyle name="Output 2 13" xfId="2738" xr:uid="{D06CB3BA-EB4C-47B6-BC0A-A08E4FC3556F}"/>
    <cellStyle name="Output 2 13 2" xfId="3936" xr:uid="{F2D633CF-66EA-4140-9FC6-AA457A0D5045}"/>
    <cellStyle name="Output 2 13 3" xfId="4549" xr:uid="{66ADCD23-DCAD-48C2-87B4-A167AFB26A1B}"/>
    <cellStyle name="Output 2 13 4" xfId="3448" xr:uid="{A4E68EAC-D0D7-4421-AAA2-EB94A168B902}"/>
    <cellStyle name="Output 2 14" xfId="3288" xr:uid="{025567B7-E586-4992-BE8B-5613790FE4CA}"/>
    <cellStyle name="Output 2 15" xfId="3213" xr:uid="{E29F95ED-1021-4719-B17C-87CBFD499C15}"/>
    <cellStyle name="Output 2 16" xfId="3415" xr:uid="{3BEDDA91-1D90-4AB0-8110-4EF595ACEA42}"/>
    <cellStyle name="Output 2 2" xfId="441" xr:uid="{00000000-0005-0000-0000-000083010000}"/>
    <cellStyle name="Output 2 2 10" xfId="3104" xr:uid="{B6DC435B-03F6-4EC7-BDC5-65106603E71E}"/>
    <cellStyle name="Output 2 2 10 2" xfId="4269" xr:uid="{40E42667-09BD-4BF5-B44A-EDDE130FABC6}"/>
    <cellStyle name="Output 2 2 10 3" xfId="4880" xr:uid="{15B6439D-DC51-47F7-A5F9-92770CCA5EA3}"/>
    <cellStyle name="Output 2 2 10 4" xfId="3548" xr:uid="{AC06A674-8593-489E-AF3B-3823E3345E65}"/>
    <cellStyle name="Output 2 2 11" xfId="3151" xr:uid="{D633D442-6657-40E2-8AC0-63F10D45A4E1}"/>
    <cellStyle name="Output 2 2 11 2" xfId="4313" xr:uid="{6A8F77DD-9528-4563-80BF-001571C9DFA1}"/>
    <cellStyle name="Output 2 2 11 3" xfId="4925" xr:uid="{AC226046-8F45-4E4E-AAC6-B4E863353959}"/>
    <cellStyle name="Output 2 2 11 4" xfId="5033" xr:uid="{879FF958-2189-4969-A0B6-22DE7C781F67}"/>
    <cellStyle name="Output 2 2 12" xfId="3185" xr:uid="{50728A5C-81CD-4C96-844E-3F01657AB660}"/>
    <cellStyle name="Output 2 2 12 2" xfId="4346" xr:uid="{FB05467E-78D7-4B87-95A3-B01FD973680A}"/>
    <cellStyle name="Output 2 2 12 3" xfId="4959" xr:uid="{01BADEA9-484A-4C00-A823-6E281738233C}"/>
    <cellStyle name="Output 2 2 12 4" xfId="5131" xr:uid="{CB54FCFF-F7D8-46C7-A4A6-7B9666C83B0A}"/>
    <cellStyle name="Output 2 2 13" xfId="3309" xr:uid="{30574C11-051B-49A9-B594-985D945B0063}"/>
    <cellStyle name="Output 2 2 14" xfId="3654" xr:uid="{376D131D-8AEC-4E69-B7B9-D6915DDEEDA7}"/>
    <cellStyle name="Output 2 2 15" xfId="3487" xr:uid="{AE329F34-6A16-4D28-AA6A-9C663D3B5532}"/>
    <cellStyle name="Output 2 2 2" xfId="2847" xr:uid="{640C507C-BF4B-4504-8AC5-AA90B226780F}"/>
    <cellStyle name="Output 2 2 2 2" xfId="4029" xr:uid="{F6DEBBA2-9305-401B-87CC-B81E324CCC78}"/>
    <cellStyle name="Output 2 2 2 3" xfId="4643" xr:uid="{213A23B0-4955-45CB-9AAF-5E6A6FB40051}"/>
    <cellStyle name="Output 2 2 2 4" xfId="3539" xr:uid="{B2179D1D-F5AF-45A0-A994-4B497BE28500}"/>
    <cellStyle name="Output 2 2 3" xfId="2903" xr:uid="{3A03DDDF-DCE9-49CC-A846-C272DCDAC383}"/>
    <cellStyle name="Output 2 2 3 2" xfId="4076" xr:uid="{1F3566EE-F5D2-4893-B929-52CC853A4AD0}"/>
    <cellStyle name="Output 2 2 3 3" xfId="4687" xr:uid="{C62741FA-AEA8-4E50-BEFA-B8624E65711B}"/>
    <cellStyle name="Output 2 2 3 4" xfId="5165" xr:uid="{4A242F49-DDE3-46C9-A4A2-1ABAFBD16B87}"/>
    <cellStyle name="Output 2 2 4" xfId="2931" xr:uid="{D5462CAA-5621-4E12-B98B-9301725A4536}"/>
    <cellStyle name="Output 2 2 4 2" xfId="4102" xr:uid="{13FE3273-0C3E-4FDE-91BB-4711CF545716}"/>
    <cellStyle name="Output 2 2 4 3" xfId="4713" xr:uid="{8E5E1A58-EB9B-4614-B3C9-4180FB01D579}"/>
    <cellStyle name="Output 2 2 4 4" xfId="5058" xr:uid="{C01EFC80-9829-457B-A0DF-8E6A185BB029}"/>
    <cellStyle name="Output 2 2 5" xfId="2963" xr:uid="{68C99651-D2FC-424A-BEB6-7BDCF05CD227}"/>
    <cellStyle name="Output 2 2 5 2" xfId="4134" xr:uid="{6C0CF130-F749-4C95-B881-0AE064A1A8AD}"/>
    <cellStyle name="Output 2 2 5 3" xfId="4745" xr:uid="{BF3A3AF2-8C29-431E-8ADA-A9CBCEA70B67}"/>
    <cellStyle name="Output 2 2 5 4" xfId="5095" xr:uid="{6975C61C-14B4-4A83-B46B-CDA20F4B7AD4}"/>
    <cellStyle name="Output 2 2 6" xfId="2993" xr:uid="{4CD65BF7-BE7B-4CB0-AD6A-E9BB22E82ACC}"/>
    <cellStyle name="Output 2 2 6 2" xfId="4162" xr:uid="{C0AC2083-CC12-4186-A254-1646EA81831F}"/>
    <cellStyle name="Output 2 2 6 3" xfId="4772" xr:uid="{36830C9E-51A2-4771-851A-DCBC022C969B}"/>
    <cellStyle name="Output 2 2 6 4" xfId="3732" xr:uid="{5DA924E4-ED02-4D3B-A6CB-62B6FDE9F33D}"/>
    <cellStyle name="Output 2 2 7" xfId="3024" xr:uid="{5A3E82A5-2C4E-4D05-A501-FE3E9845CD00}"/>
    <cellStyle name="Output 2 2 7 2" xfId="4192" xr:uid="{C355406D-9A13-42F5-9028-8BA2198CAE05}"/>
    <cellStyle name="Output 2 2 7 3" xfId="4802" xr:uid="{9CD718C2-4471-4B29-AB82-EBAFC7FB5867}"/>
    <cellStyle name="Output 2 2 7 4" xfId="5045" xr:uid="{149967E4-67E9-4413-9C7C-F9B49B8A2661}"/>
    <cellStyle name="Output 2 2 8" xfId="3047" xr:uid="{B273A737-B285-4795-B37B-6D9A0EEF67D6}"/>
    <cellStyle name="Output 2 2 8 2" xfId="4215" xr:uid="{01A99C58-A316-435D-A085-2AE109B0092E}"/>
    <cellStyle name="Output 2 2 8 3" xfId="4825" xr:uid="{C135A0D6-E634-482F-BE30-2AA6387788C4}"/>
    <cellStyle name="Output 2 2 8 4" xfId="5132" xr:uid="{34895B79-89CA-4CBB-A992-E58021F50B23}"/>
    <cellStyle name="Output 2 2 9" xfId="3074" xr:uid="{784EE7E8-F3C7-41BD-8DF8-C3E03066F20B}"/>
    <cellStyle name="Output 2 2 9 2" xfId="4242" xr:uid="{A9A8E30A-46A5-4D52-935E-B6DB888BEE1A}"/>
    <cellStyle name="Output 2 2 9 3" xfId="4852" xr:uid="{EE422A44-3011-46F4-89B6-F5A20FD1CB11}"/>
    <cellStyle name="Output 2 2 9 4" xfId="5022" xr:uid="{98EF8ADA-4EF2-45EE-BE75-E1DDE1596E72}"/>
    <cellStyle name="Output 2 3" xfId="2774" xr:uid="{C3348B65-6606-4ADA-9532-D9D6D8E6330A}"/>
    <cellStyle name="Output 2 3 2" xfId="3966" xr:uid="{98AF7E36-8CD4-401D-8180-2995BE49A220}"/>
    <cellStyle name="Output 2 3 3" xfId="4578" xr:uid="{9FED512E-D815-4BB4-B10B-97729EA5E768}"/>
    <cellStyle name="Output 2 3 4" xfId="3675" xr:uid="{8366A068-A91D-476A-BCD3-C5772D6623F9}"/>
    <cellStyle name="Output 2 4" xfId="2623" xr:uid="{B1EC4C71-ED7D-4ACF-B7B5-583FFF42C79A}"/>
    <cellStyle name="Output 2 4 2" xfId="3833" xr:uid="{2A7C8DB3-78EE-4BE3-BA82-A736879BD535}"/>
    <cellStyle name="Output 2 4 3" xfId="4446" xr:uid="{C19CFB55-E397-4B2C-9CBE-545CB681D5BF}"/>
    <cellStyle name="Output 2 4 4" xfId="5174" xr:uid="{8E97AFE5-752C-47FF-8A44-DE41E87151E7}"/>
    <cellStyle name="Output 2 5" xfId="2733" xr:uid="{413D8BA4-D394-4CF5-B794-BE27A770054E}"/>
    <cellStyle name="Output 2 5 2" xfId="3933" xr:uid="{824090C1-F2A3-49B1-BBB4-4B95C8090770}"/>
    <cellStyle name="Output 2 5 3" xfId="4545" xr:uid="{6155B407-DFD1-4930-9580-5C7A81731AAE}"/>
    <cellStyle name="Output 2 5 4" xfId="3384" xr:uid="{699B8F85-B46A-4F3B-A77C-2B001A2A0A0F}"/>
    <cellStyle name="Output 2 6" xfId="2780" xr:uid="{8F716BC8-82D2-4321-AB8F-396DC2DA2DBF}"/>
    <cellStyle name="Output 2 6 2" xfId="3970" xr:uid="{1E7D2F33-61FC-4473-8A6E-05AD6CF947A4}"/>
    <cellStyle name="Output 2 6 3" xfId="4583" xr:uid="{6C11B1FA-C8CA-4BD2-B15F-FE7DBA7B4AD1}"/>
    <cellStyle name="Output 2 6 4" xfId="5018" xr:uid="{2CB1E642-3CBF-4796-9C77-915F01004FD7}"/>
    <cellStyle name="Output 2 7" xfId="2702" xr:uid="{50FC0B2F-7389-4769-9B58-53870B4B186E}"/>
    <cellStyle name="Output 2 7 2" xfId="3902" xr:uid="{3AC2B3D0-A97F-410A-8465-E85D5265B98F}"/>
    <cellStyle name="Output 2 7 3" xfId="4515" xr:uid="{E68D5D3F-36BF-4AC0-879E-F04AC2A44F34}"/>
    <cellStyle name="Output 2 7 4" xfId="3243" xr:uid="{9EEFED53-20D0-494F-A5AB-9C8648A4C5E6}"/>
    <cellStyle name="Output 2 8" xfId="2868" xr:uid="{283A1581-2B7F-4407-B522-19ACECB4C976}"/>
    <cellStyle name="Output 2 8 2" xfId="4045" xr:uid="{7E5621F1-3B01-494B-8EEF-C3B47DB01057}"/>
    <cellStyle name="Output 2 8 3" xfId="4658" xr:uid="{C5608315-2CF2-45CA-94F2-D486B04E66DB}"/>
    <cellStyle name="Output 2 8 4" xfId="3413" xr:uid="{B4DBBD72-2433-4A63-AA21-02C802143990}"/>
    <cellStyle name="Output 2 9" xfId="2869" xr:uid="{B18A362A-4AA1-4573-9F89-526FE00C534E}"/>
    <cellStyle name="Output 2 9 2" xfId="4046" xr:uid="{9C340209-D797-4F0C-8E81-97BCABF1EE1F}"/>
    <cellStyle name="Output 2 9 3" xfId="4659" xr:uid="{1624E296-B604-4A20-8571-A06DBB188CF2}"/>
    <cellStyle name="Output 2 9 4" xfId="3359" xr:uid="{B1753125-29A7-447D-95AC-73F857A967FF}"/>
    <cellStyle name="p" xfId="2236" xr:uid="{E22441A7-35A9-4B98-872A-A9FD936805AB}"/>
    <cellStyle name="p 2" xfId="2237" xr:uid="{D98C8B89-06D9-4080-95FE-16914DE91287}"/>
    <cellStyle name="p 3" xfId="2238" xr:uid="{303DF0E1-FC96-4A39-B017-A01F67F7970A}"/>
    <cellStyle name="P/E" xfId="2239" xr:uid="{71A4E969-FF57-49C0-86B6-E9C14C450A91}"/>
    <cellStyle name="Page" xfId="328" xr:uid="{00000000-0005-0000-0000-000084010000}"/>
    <cellStyle name="Page header" xfId="329" xr:uid="{00000000-0005-0000-0000-000085010000}"/>
    <cellStyle name="Page Number" xfId="2240" xr:uid="{987D66E2-9733-4E7C-BD7A-62341481B766}"/>
    <cellStyle name="Palatino" xfId="2241" xr:uid="{535766C3-DD07-431F-8737-16803DE044B1}"/>
    <cellStyle name="pe" xfId="2242" xr:uid="{57FB5580-5AB7-40DA-A7B5-FA36EAF3F021}"/>
    <cellStyle name="PE Multiple" xfId="2243" xr:uid="{02975E46-E184-4A2F-889E-7EFEF6752D8F}"/>
    <cellStyle name="PE/LTGR" xfId="2244" xr:uid="{F4CF6BA2-A229-4583-AAD1-7A4FE78A9FDE}"/>
    <cellStyle name="pe_Copy of IFRS consol ABB Final Version4" xfId="2245" xr:uid="{AFCBD3E1-7DFD-4500-A72C-C5C75DF1FC0F}"/>
    <cellStyle name="PEG" xfId="2246" xr:uid="{1EC12C2C-7C17-4BEC-A0DA-A6685A24A02B}"/>
    <cellStyle name="Pence" xfId="2247" xr:uid="{8F1D960F-E786-4D7C-B267-F024AF777F7A}"/>
    <cellStyle name="Per aandeel" xfId="2248" xr:uid="{A3326CFE-3D7D-4E8F-BE4F-1B1A8379DAA9}"/>
    <cellStyle name="Percent" xfId="427" builtinId="5"/>
    <cellStyle name="Percent (M)" xfId="44" xr:uid="{00000000-0005-0000-0000-000087010000}"/>
    <cellStyle name="Percent [1]" xfId="2249" xr:uid="{42318994-53E0-41AB-8BC4-7B37AC90D862}"/>
    <cellStyle name="Percent [1] 2" xfId="2250" xr:uid="{403404D2-F036-4959-B0C4-188828BC858B}"/>
    <cellStyle name="Percent [2]" xfId="2251" xr:uid="{5C09E071-449C-4B60-9734-A52BF7C210AE}"/>
    <cellStyle name="Percent [2] 2" xfId="2252" xr:uid="{7E9EBDC2-DB6E-4803-A858-BF7AEF48122C}"/>
    <cellStyle name="Percent 2" xfId="45" xr:uid="{00000000-0005-0000-0000-000088010000}"/>
    <cellStyle name="Percent 3" xfId="407" xr:uid="{00000000-0005-0000-0000-000089010000}"/>
    <cellStyle name="Percent 4" xfId="415" xr:uid="{00000000-0005-0000-0000-00008A010000}"/>
    <cellStyle name="Percent 4 2" xfId="2253" xr:uid="{E3B9D88C-4B06-4568-9B74-030BBDC9B02F}"/>
    <cellStyle name="Percent 5" xfId="403" xr:uid="{00000000-0005-0000-0000-00008B010000}"/>
    <cellStyle name="Percent 6" xfId="416" xr:uid="{00000000-0005-0000-0000-00008C010000}"/>
    <cellStyle name="Percent 7" xfId="404" xr:uid="{00000000-0005-0000-0000-00008D010000}"/>
    <cellStyle name="Percent 8" xfId="417" xr:uid="{00000000-0005-0000-0000-00008E010000}"/>
    <cellStyle name="Percent 9" xfId="408" xr:uid="{00000000-0005-0000-0000-00008F010000}"/>
    <cellStyle name="Percent(1)" xfId="2254" xr:uid="{771CCD90-7963-4482-AC69-DA83BC454C3B}"/>
    <cellStyle name="Percent(1) 2" xfId="2545" xr:uid="{F7A0082B-CFEF-4225-9382-E70E24AE237A}"/>
    <cellStyle name="Percent(1) 2 2" xfId="2848" xr:uid="{F3D684EA-542F-40DA-8876-17F2C82C1A54}"/>
    <cellStyle name="Percent(1) 3" xfId="2781" xr:uid="{740C2E5C-D920-440D-BA8B-B838DD48D27C}"/>
    <cellStyle name="Percent(3)" xfId="2255" xr:uid="{970B02EB-9787-423B-B2A1-DA4CEC132CC9}"/>
    <cellStyle name="Percent1" xfId="2256" xr:uid="{D2B36D0A-FE61-4002-97D2-4F7A0D2CD504}"/>
    <cellStyle name="percent3" xfId="2257" xr:uid="{A39D1272-39DF-4019-9093-AF3E797CB578}"/>
    <cellStyle name="Percentage" xfId="330" xr:uid="{00000000-0005-0000-0000-000090010000}"/>
    <cellStyle name="PercentChange" xfId="46" xr:uid="{00000000-0005-0000-0000-000091010000}"/>
    <cellStyle name="PercentPresentation" xfId="2258" xr:uid="{B1A7235F-8E8A-45D5-A10C-25A03C02C2C9}"/>
    <cellStyle name="Percentuale 10" xfId="3201" xr:uid="{CD6E493D-4CE5-444C-8605-594927724314}"/>
    <cellStyle name="Percentuale 2" xfId="3200" xr:uid="{885B4773-C7C7-482C-A1F3-76C4867A2167}"/>
    <cellStyle name="PerShare" xfId="2259" xr:uid="{617F91F4-4B08-4BC7-AE08-E5BDD59F7F67}"/>
    <cellStyle name="POPS" xfId="2260" xr:uid="{281FF95A-EC61-4F74-BC25-9E42CD2CD79A}"/>
    <cellStyle name="Porcentaje" xfId="2261" xr:uid="{94222704-1353-4244-8B63-5BE8A125B7BA}"/>
    <cellStyle name="Porcentaje 2" xfId="2262" xr:uid="{6708170A-5130-4A3E-9399-284408A7B5FC}"/>
    <cellStyle name="Porcentaje 3" xfId="2263" xr:uid="{BFE84837-66CF-41B0-9032-DF191A931C18}"/>
    <cellStyle name="pound" xfId="2264" xr:uid="{02995F13-4051-44C1-964E-BEF3E4443709}"/>
    <cellStyle name="pound 2" xfId="2265" xr:uid="{D3B0DBD6-C864-4B72-8B11-627C62CF2E17}"/>
    <cellStyle name="pound 2 2" xfId="3683" xr:uid="{608CA89A-E198-44DD-A7DE-9389BD5D3B04}"/>
    <cellStyle name="pound 3" xfId="2266" xr:uid="{BAE16677-F075-4DE6-B3B0-A9BF09D559F4}"/>
    <cellStyle name="pound 3 2" xfId="3684" xr:uid="{8270EEE2-4086-4C4A-8890-58B1EDD684D4}"/>
    <cellStyle name="pound 4" xfId="3682" xr:uid="{32720405-32CA-49F8-BB70-3F7872164542}"/>
    <cellStyle name="Presentation" xfId="2267" xr:uid="{2F3455D0-456C-4FB3-908D-A9B8944C700E}"/>
    <cellStyle name="PresentationZero" xfId="2268" xr:uid="{9905BB8F-68F5-4CB5-BE0A-18E9342C755B}"/>
    <cellStyle name="Price" xfId="331" xr:uid="{00000000-0005-0000-0000-000092010000}"/>
    <cellStyle name="Procenten" xfId="2269" xr:uid="{7C4A2A42-B458-4034-AB68-43F6FD20C75A}"/>
    <cellStyle name="Procenten estimate" xfId="2270" xr:uid="{AC3E3DCC-3E2D-40A3-A9A9-A9CF855E7DB2}"/>
    <cellStyle name="Procenten_EMI" xfId="2271" xr:uid="{12356860-C6A7-4DC1-A636-147172E3844B}"/>
    <cellStyle name="ProjectionInput" xfId="47" xr:uid="{00000000-0005-0000-0000-000093010000}"/>
    <cellStyle name="ProjectionInput 2" xfId="460" xr:uid="{84AA9268-C03B-42FD-AFB7-084A23D2A756}"/>
    <cellStyle name="ProjectionInput 2 2" xfId="3317" xr:uid="{86C48977-EBEA-48AB-A615-843AC6B4E8B4}"/>
    <cellStyle name="ProjectionInput 2 3" xfId="3650" xr:uid="{C7F45E9D-9DE5-44F1-9B5E-D06010577435}"/>
    <cellStyle name="ProjectionInput 2 4" xfId="3692" xr:uid="{34F224E4-C99A-443C-A625-B566897F398A}"/>
    <cellStyle name="prot" xfId="332" xr:uid="{00000000-0005-0000-0000-000094010000}"/>
    <cellStyle name="Punto" xfId="333" xr:uid="{00000000-0005-0000-0000-000095010000}"/>
    <cellStyle name="Punto 2" xfId="2272" xr:uid="{2AFF7184-8875-4124-94AC-975670E615F8}"/>
    <cellStyle name="Punto 3" xfId="2273" xr:uid="{63D8BF78-07EC-48EF-AA47-8C71F395995B}"/>
    <cellStyle name="Punto0" xfId="2274" xr:uid="{8C59FA8B-7C7B-445D-A0AC-C05E792D6C91}"/>
    <cellStyle name="Punto0 2" xfId="2275" xr:uid="{95BA75F6-C335-4109-93DC-88163CBF6B0B}"/>
    <cellStyle name="Punto0 3" xfId="2276" xr:uid="{9875A36B-BDDB-48F4-AF7E-C4EBDF3ED15A}"/>
    <cellStyle name="q" xfId="2277" xr:uid="{16EAAE27-1F11-4446-93A9-4B0778671A9C}"/>
    <cellStyle name="q_Copy of IFRS consol ABB Final Version4" xfId="2278" xr:uid="{90A2CD9E-A632-49BA-9554-F3A68840D5EA}"/>
    <cellStyle name="QEPS-h" xfId="2279" xr:uid="{9B8420E8-F47C-4195-AA7A-6555111FC841}"/>
    <cellStyle name="QEPS-H1" xfId="2280" xr:uid="{5D001099-3323-4488-884C-C49F858191F7}"/>
    <cellStyle name="QEPS-H1 2" xfId="2546" xr:uid="{72EA9DF9-D8B0-4354-820D-2B99BD6D89C4}"/>
    <cellStyle name="QEPS-H1 2 2" xfId="2849" xr:uid="{3FFF04A2-06B0-4F2D-9443-78EEC7829E44}"/>
    <cellStyle name="QEPS-H1 3" xfId="2786" xr:uid="{BACC2163-F634-4C75-8AAA-EF83E23C01A1}"/>
    <cellStyle name="qRange" xfId="2281" xr:uid="{62CE6832-AD7C-4AAF-A725-3353F11FEEC3}"/>
    <cellStyle name="r" xfId="334" xr:uid="{00000000-0005-0000-0000-000096010000}"/>
    <cellStyle name="R_BUSINESS AREA" xfId="2282" xr:uid="{0ABE7092-119C-4DEA-A1A8-3A1829F504E3}"/>
    <cellStyle name="R_BUSINESS AREA_asbru" xfId="2283" xr:uid="{0DDC1418-D3F7-4F2E-8B8D-C426CB12C545}"/>
    <cellStyle name="R_BUSINESS AREA_asbru 2" xfId="2284" xr:uid="{E4ADBFB9-BE5A-4727-9FCF-DA1002F8D57E}"/>
    <cellStyle name="R_BUSINESS AREA_asbru 3" xfId="2285" xr:uid="{F3804196-403C-4C53-9954-3B8450C838AE}"/>
    <cellStyle name="R_BUSINESS AREA_Lafarge" xfId="2286" xr:uid="{3CD4F747-A324-41A0-8EF6-7EE2686F6738}"/>
    <cellStyle name="R_BUSINESS AREA_Scenario Analysis April 2005" xfId="2287" xr:uid="{9A0F6977-AF3E-41BA-93F8-C0F56B6EB01E}"/>
    <cellStyle name="R_BUSINESS AREA_Scenario Analysis April 2005 2" xfId="2288" xr:uid="{327DA08D-2C45-46E7-9CB3-4B041181EE3A}"/>
    <cellStyle name="R_BUSINESS AREA_Scenario Analysis April 2005 3" xfId="2289" xr:uid="{0D75372A-EAD3-4DBB-B29E-4373E4A5537D}"/>
    <cellStyle name="R_BUSINESS AREA_Stora Enso Model" xfId="2290" xr:uid="{0DC2AE70-95DF-4D07-8519-45A92C4E7926}"/>
    <cellStyle name="R_BUSINESS AREA_Stora Enso Model 2" xfId="2291" xr:uid="{8F4BA622-D70E-491B-86F9-3F201EC9917D}"/>
    <cellStyle name="R_BUSINESS AREA_Stora Enso Model 3" xfId="2292" xr:uid="{65BC0A70-236E-4800-84B3-1D4D64DE0A1F}"/>
    <cellStyle name="R_BUSINESS AREA_UPM-Kymmene Model" xfId="2293" xr:uid="{7C940D01-E886-4F7E-A9BF-A3114FB66269}"/>
    <cellStyle name="r_LAYOUTS bank" xfId="2294" xr:uid="{843ACCCB-F749-44FC-BE98-4904C448D174}"/>
    <cellStyle name="r_LAYOUTS bank_asbru" xfId="2295" xr:uid="{8E7B3A69-DF51-4036-98BF-77E0AF2E5980}"/>
    <cellStyle name="r_LAYOUTS bank_asbru 2" xfId="2296" xr:uid="{D23DA2A4-64A6-4485-B231-3574CE7A8E79}"/>
    <cellStyle name="r_LAYOUTS bank_asbru 3" xfId="2297" xr:uid="{7166A48F-9F2B-4883-A0EC-984D5AEC71B9}"/>
    <cellStyle name="r_LAYOUTS bank_exp" xfId="2298" xr:uid="{9DE26E90-5372-44D0-8A63-06DF766AC3D1}"/>
    <cellStyle name="r_LAYOUTS bank_Lafarge" xfId="2299" xr:uid="{2397514C-574D-4998-98AD-9BE711C3F55D}"/>
    <cellStyle name="r_LAYOUTS bank_Scenario Analysis April 2005" xfId="2300" xr:uid="{31FDA12C-049D-4729-941A-8F72E7F8841E}"/>
    <cellStyle name="r_LAYOUTS bank_Scenario Analysis April 2005 2" xfId="2301" xr:uid="{A970FB55-833E-4D97-B162-17A1E5FB8E0D}"/>
    <cellStyle name="r_LAYOUTS bank_Scenario Analysis April 2005 3" xfId="2302" xr:uid="{6EB9B137-FC4F-4F0A-8042-BABFE77FD0A0}"/>
    <cellStyle name="r_LAYOUTS bank_Stora Enso Model" xfId="2303" xr:uid="{DDA66490-57B9-4931-9B35-8EA38D55A8C0}"/>
    <cellStyle name="r_LAYOUTS bank_Stora Enso Model 2" xfId="2304" xr:uid="{B2C303E5-394F-4EAB-88D7-79D8617873A7}"/>
    <cellStyle name="r_LAYOUTS bank_Stora Enso Model 3" xfId="2305" xr:uid="{C4BB7030-1CBD-49C9-A23F-2C448DB4A839}"/>
    <cellStyle name="r_LAYOUTS bank_UPM-Kymmene Model" xfId="2306" xr:uid="{D21E235C-DD47-4DDE-B9CB-6B219C9E2FD8}"/>
    <cellStyle name="Randig" xfId="2307" xr:uid="{9B8AA29C-D492-4568-9EDA-FB36F7E94EF9}"/>
    <cellStyle name="range" xfId="2308" xr:uid="{F22645EB-1753-4622-91F4-A93D1FB9EB33}"/>
    <cellStyle name="RatioX" xfId="48" xr:uid="{00000000-0005-0000-0000-000097010000}"/>
    <cellStyle name="Report" xfId="2309" xr:uid="{BAF20751-25F0-4390-B05C-E4A0DDD688A6}"/>
    <cellStyle name="results" xfId="2310" xr:uid="{B7CF2793-322F-4B83-B80E-6323DE01F43B}"/>
    <cellStyle name="results 2" xfId="2311" xr:uid="{59785C4E-9467-4DEF-99AD-163BADE17093}"/>
    <cellStyle name="Reuters Cells" xfId="335" xr:uid="{00000000-0005-0000-0000-000098010000}"/>
    <cellStyle name="revenue_model_q" xfId="49" xr:uid="{00000000-0005-0000-0000-000099010000}"/>
    <cellStyle name="RevList" xfId="2312" xr:uid="{378E3796-E3A8-4F96-9461-662C24742D33}"/>
    <cellStyle name="s" xfId="336" xr:uid="{00000000-0005-0000-0000-00009A010000}"/>
    <cellStyle name="Salomon Logo" xfId="2313" xr:uid="{086F98CE-DDAA-4F93-98ED-3B6CC9C45407}"/>
    <cellStyle name="ScripFactor" xfId="50" xr:uid="{00000000-0005-0000-0000-00009B010000}"/>
    <cellStyle name="SectionHeading" xfId="51" xr:uid="{00000000-0005-0000-0000-00009C010000}"/>
    <cellStyle name="SectionHeading 2" xfId="461" xr:uid="{EBA758A2-A6CC-45A5-910D-D703A64960AE}"/>
    <cellStyle name="SectionHeading 2 2" xfId="3318" xr:uid="{7E16C577-D48D-4DFE-B07A-7AD35D047C96}"/>
    <cellStyle name="SectionHeading 2 3" xfId="3255" xr:uid="{49F9F4E9-13DA-49B0-8B35-1A5DDB96EA8B}"/>
    <cellStyle name="SectionHeading 2 4" xfId="3617" xr:uid="{0E19EC45-FAC4-40D9-B160-C3369531A6CC}"/>
    <cellStyle name="SEK [1]" xfId="2314" xr:uid="{908FB0BC-EF55-46D9-B8CA-232F0C6CF679}"/>
    <cellStyle name="Shade" xfId="2315" xr:uid="{EE20984E-D50C-4FFD-B9AB-B59788FA0860}"/>
    <cellStyle name="Shade 2" xfId="2316" xr:uid="{B8342872-306A-4951-B631-643A866AC14C}"/>
    <cellStyle name="ShadedCells_Database" xfId="337" xr:uid="{00000000-0005-0000-0000-00009D010000}"/>
    <cellStyle name="Share" xfId="2317" xr:uid="{A9A4CE0A-152E-44BA-ACAA-A895D250C7EB}"/>
    <cellStyle name="Share 2" xfId="2547" xr:uid="{7625CE8A-516D-4EF8-9B6D-282810B06475}"/>
    <cellStyle name="Share 2 2" xfId="2850" xr:uid="{1BBEAB7B-0DEE-454C-8825-9B3949D9A08E}"/>
    <cellStyle name="Share 3" xfId="2787" xr:uid="{D79AD7D0-F1B0-4878-9EA7-AFECCC9D403F}"/>
    <cellStyle name="Shares" xfId="2318" xr:uid="{28FE316F-AD77-43B1-B185-FE2A812C07AB}"/>
    <cellStyle name="Sheet Title" xfId="338" xr:uid="{00000000-0005-0000-0000-00009E010000}"/>
    <cellStyle name="ShOut" xfId="339" xr:uid="{00000000-0005-0000-0000-00009F010000}"/>
    <cellStyle name="ShOut 2" xfId="2319" xr:uid="{A08B198B-690A-463A-9719-C8CD38479EBF}"/>
    <cellStyle name="ShOut 3" xfId="2320" xr:uid="{51363ABA-F30F-4955-A008-68189717771A}"/>
    <cellStyle name="Sing" xfId="2321" xr:uid="{9A4C4775-EEEE-4745-98E3-826928550E6F}"/>
    <cellStyle name="SN" xfId="2322" xr:uid="{C71FA79C-1886-4E0E-8380-3B13A324317A}"/>
    <cellStyle name="SN 2" xfId="2323" xr:uid="{72EB26FF-4006-4639-89DD-1321FCDF1B91}"/>
    <cellStyle name="SN 3" xfId="2324" xr:uid="{BEA8193C-253E-49D4-AA24-42EF39CDC9ED}"/>
    <cellStyle name="Source" xfId="2325" xr:uid="{5AF684D8-A7EA-4CE8-8959-CAA0B01D3639}"/>
    <cellStyle name="Source 2" xfId="2548" xr:uid="{0592128A-102C-434A-B782-8F656C3E2913}"/>
    <cellStyle name="Source 2 2" xfId="2851" xr:uid="{74B47508-287F-4E6A-AEE3-076D373493B6}"/>
    <cellStyle name="Source 3" xfId="2788" xr:uid="{358D73BA-108B-45A8-8D6B-1DACF164EB55}"/>
    <cellStyle name="Space" xfId="2326" xr:uid="{B8A8BB1A-CEA8-4E1B-AD16-9469E35B4BDF}"/>
    <cellStyle name="SS1000" xfId="2327" xr:uid="{18AF6A50-9821-4192-A4A9-8A1C1A28AFC2}"/>
    <cellStyle name="Standaard_Map2" xfId="2328" xr:uid="{E480D0E7-BEB1-4E85-A7F1-660B1688F6A0}"/>
    <cellStyle name="Standard_BAE_model_new" xfId="2329" xr:uid="{A06BD989-7EBC-4756-9D5A-9239C08EDE20}"/>
    <cellStyle name="std" xfId="2330" xr:uid="{C32F4FA6-667F-441B-855D-F3B798F60528}"/>
    <cellStyle name="sterling [0]" xfId="2331" xr:uid="{2972918B-E5D7-4AA8-AC33-80DCD19095D7}"/>
    <cellStyle name="sterling [1]" xfId="2332" xr:uid="{67377BF2-5F37-4861-AD1A-0A02BC4C0C95}"/>
    <cellStyle name="Stock price" xfId="2333" xr:uid="{20A0C812-5AFE-4E09-A37A-BDED17ACAA16}"/>
    <cellStyle name="Stock price 2" xfId="2334" xr:uid="{1B1FA37A-2611-4A8F-B881-1A1EDD55B188}"/>
    <cellStyle name="Style 1" xfId="340" xr:uid="{00000000-0005-0000-0000-0000A0010000}"/>
    <cellStyle name="Style 1 2" xfId="2335" xr:uid="{75C81B10-2233-4686-8F74-3DDDD0F80FD2}"/>
    <cellStyle name="Style 1 3" xfId="2336" xr:uid="{9B47445F-FC98-425E-9CF5-779A5964AF78}"/>
    <cellStyle name="Style 10" xfId="2337" xr:uid="{08131A26-077A-42A5-9AAE-07F2DED308B6}"/>
    <cellStyle name="Style 10 2" xfId="2338" xr:uid="{5FD08FBE-22C4-42C6-A196-E03102BED8BF}"/>
    <cellStyle name="Style 10 3" xfId="2339" xr:uid="{2D08FCA9-B74C-498D-B9B4-7B5F263983C1}"/>
    <cellStyle name="Style 11" xfId="2340" xr:uid="{A87316B7-72E7-4780-AF63-8C427DC1D159}"/>
    <cellStyle name="Style 11 2" xfId="2341" xr:uid="{DFC0F990-C305-42D7-9850-5170BE78DDBD}"/>
    <cellStyle name="Style 11 3" xfId="2342" xr:uid="{E0A16877-3636-42FD-B099-792F077E29E5}"/>
    <cellStyle name="Style 12" xfId="2343" xr:uid="{72641CE5-E613-4BCD-AA6A-C0220407F191}"/>
    <cellStyle name="Style 12 2" xfId="2344" xr:uid="{96F989F8-9E39-4176-A6F3-851AD678312F}"/>
    <cellStyle name="Style 12 3" xfId="2345" xr:uid="{A1F866EE-C824-4B55-BC36-50862CE3932A}"/>
    <cellStyle name="Style 13" xfId="2346" xr:uid="{A4CC42DC-FF37-4950-9890-3870A5C5820A}"/>
    <cellStyle name="Style 13 2" xfId="2347" xr:uid="{CC9DCABE-D385-477B-91C1-35AB486ABF92}"/>
    <cellStyle name="Style 13 3" xfId="2348" xr:uid="{F395394A-8F76-4EDC-8B8D-6635A5306841}"/>
    <cellStyle name="Style 14" xfId="2349" xr:uid="{E5F6AA84-4CD1-44AA-A4C5-E9EF2D3B143A}"/>
    <cellStyle name="Style 14 2" xfId="2350" xr:uid="{592FCF8D-B299-4953-9DA0-CBE844A56E1C}"/>
    <cellStyle name="Style 14 3" xfId="2351" xr:uid="{C27882DA-96FC-46EA-A5AE-088A6AC0EEF4}"/>
    <cellStyle name="Style 15" xfId="2352" xr:uid="{118D2CEC-0044-4DBB-8EFA-9E61E84D47B7}"/>
    <cellStyle name="Style 15 2" xfId="2353" xr:uid="{6BEF0BDB-7664-4029-8BEA-6F13820997C4}"/>
    <cellStyle name="Style 15 3" xfId="2354" xr:uid="{A64CCF18-8C89-4385-A1EB-D27A36715837}"/>
    <cellStyle name="Style 16" xfId="2355" xr:uid="{264C680F-769E-47DE-A975-93BC5DE33949}"/>
    <cellStyle name="Style 16 2" xfId="2356" xr:uid="{3F0319F3-91FD-421E-8709-E74EAC306996}"/>
    <cellStyle name="Style 16 3" xfId="2357" xr:uid="{D94F54D2-DF54-4EA3-82AD-902606082C50}"/>
    <cellStyle name="Style 17" xfId="2358" xr:uid="{ECA8B0B3-9EC1-46C2-88BC-95ACEAF1EEAE}"/>
    <cellStyle name="Style 17 2" xfId="2359" xr:uid="{0DAD038E-A43F-4671-945E-4D5DD8ED0724}"/>
    <cellStyle name="Style 17 3" xfId="2360" xr:uid="{5C707BED-956B-4781-BF5D-C175F9430A35}"/>
    <cellStyle name="Style 18" xfId="2361" xr:uid="{382F7BF3-DD84-4F62-98D1-78CC6DDA0297}"/>
    <cellStyle name="Style 18 2" xfId="2362" xr:uid="{01A5012E-2470-4F21-87D5-AAC96F72A109}"/>
    <cellStyle name="Style 18 3" xfId="2363" xr:uid="{09212212-99F7-4B78-8423-BD371044D45E}"/>
    <cellStyle name="Style 19" xfId="2364" xr:uid="{56779E97-B241-4C91-B2EA-5E3B489DA244}"/>
    <cellStyle name="Style 19 2" xfId="2365" xr:uid="{C2F5750C-F8A8-4586-83EF-6094DA1DC1D8}"/>
    <cellStyle name="Style 19 3" xfId="2366" xr:uid="{6F247C5E-B395-412C-8384-62AB803ABFCC}"/>
    <cellStyle name="Style 2" xfId="341" xr:uid="{00000000-0005-0000-0000-0000A1010000}"/>
    <cellStyle name="Style 2 2" xfId="2367" xr:uid="{A3E2CBF2-0279-4A51-8DC3-4A8677B46DEF}"/>
    <cellStyle name="Style 2 3" xfId="2368" xr:uid="{AA8C6EDD-8FDB-46FB-9557-8AE0F1915209}"/>
    <cellStyle name="Style 20" xfId="2369" xr:uid="{B2C8B615-A56E-41FE-8263-E4F0D9C6B8BF}"/>
    <cellStyle name="Style 20 2" xfId="2370" xr:uid="{B33D58F5-A8E9-4D15-A5EE-C38A6546390A}"/>
    <cellStyle name="Style 20 3" xfId="2371" xr:uid="{7344085F-0427-44F6-87E2-0E1460CC67F3}"/>
    <cellStyle name="Style 21" xfId="2372" xr:uid="{5AC6772F-BE13-4F49-8316-5DCD98A7F2B7}"/>
    <cellStyle name="Style 21 2" xfId="2373" xr:uid="{4CB045FE-3F87-485E-8E1F-647411203601}"/>
    <cellStyle name="Style 21 3" xfId="2374" xr:uid="{F255F5AF-448B-48EB-8EA3-17E33CF55950}"/>
    <cellStyle name="Style 22" xfId="2375" xr:uid="{933889A6-5BC7-4DA4-96BA-500EB28074FB}"/>
    <cellStyle name="Style 22 2" xfId="2376" xr:uid="{25D18B40-D1D5-4058-826F-B6ED05D2BDAA}"/>
    <cellStyle name="Style 22 3" xfId="2377" xr:uid="{3A79B544-75E3-4D57-8A0E-BA21CFAB7BDB}"/>
    <cellStyle name="Style 23" xfId="2378" xr:uid="{0F98095B-6BBA-456F-9068-510F9137E464}"/>
    <cellStyle name="Style 23 2" xfId="2379" xr:uid="{87CE974C-384D-4F37-84AB-05E8A4560B2B}"/>
    <cellStyle name="Style 23 3" xfId="2380" xr:uid="{41AA2CD7-3A38-4C47-B7B2-360AF94A6A21}"/>
    <cellStyle name="Style 24" xfId="2381" xr:uid="{0DF07605-9904-4C88-B835-0C2C0F65269E}"/>
    <cellStyle name="Style 24 2" xfId="2382" xr:uid="{54DBC655-98CF-4A08-9828-081FCB6B3365}"/>
    <cellStyle name="Style 24 3" xfId="2383" xr:uid="{7505B8F1-BED4-4DB7-9CCA-41502FD88252}"/>
    <cellStyle name="Style 25" xfId="2384" xr:uid="{09F8B32E-1000-4C2C-97D9-0CA687980D8B}"/>
    <cellStyle name="Style 25 2" xfId="2385" xr:uid="{C17389E8-F2C9-440C-BE05-91507BE56FFE}"/>
    <cellStyle name="Style 25 3" xfId="2386" xr:uid="{DB7B5DAD-95C6-473A-AF8B-C668766E6759}"/>
    <cellStyle name="Style 26" xfId="2387" xr:uid="{AD172448-427D-4467-94F5-22F8B8C4F29B}"/>
    <cellStyle name="Style 26 2" xfId="2388" xr:uid="{E7947155-CF7F-47A6-BEA2-9E5FE24A42FC}"/>
    <cellStyle name="Style 26 3" xfId="2389" xr:uid="{0D40FF82-8C6E-4031-92CB-982A0A4D0F8D}"/>
    <cellStyle name="Style 27" xfId="2390" xr:uid="{E3B14664-E418-4D77-B832-94FFB0F8AC82}"/>
    <cellStyle name="Style 27 2" xfId="2391" xr:uid="{E949584D-DFD7-44E2-B91E-B468BAF304E5}"/>
    <cellStyle name="Style 27 3" xfId="2392" xr:uid="{DC5837A9-649B-40A0-A916-D3FC3E21D6E9}"/>
    <cellStyle name="Style 3" xfId="342" xr:uid="{00000000-0005-0000-0000-0000A2010000}"/>
    <cellStyle name="Style 3 2" xfId="2393" xr:uid="{81F729F8-43CB-41CC-9E7B-439D8665F39B}"/>
    <cellStyle name="Style 3 3" xfId="2394" xr:uid="{D9BFE73F-DBB4-4BD5-AC49-8EABD856669A}"/>
    <cellStyle name="Style 4" xfId="2395" xr:uid="{76BABFB9-251F-41E6-84C8-6C0C59E78C53}"/>
    <cellStyle name="Style 4 2" xfId="2396" xr:uid="{09C97178-09C1-43D6-B474-ADC105C80DFD}"/>
    <cellStyle name="Style 4 3" xfId="2397" xr:uid="{7E8C6251-F328-42BD-82F0-9AC9D5F66488}"/>
    <cellStyle name="Style 5" xfId="2398" xr:uid="{8CBE7876-CD64-4B8C-8A6F-452836C0FDDA}"/>
    <cellStyle name="Style 5 2" xfId="2399" xr:uid="{DDFA2B12-B53C-41F3-A67A-70A55620A0FB}"/>
    <cellStyle name="Style 5 3" xfId="2400" xr:uid="{E2933176-9629-4B14-97FE-41F593BD808D}"/>
    <cellStyle name="Style 6" xfId="2401" xr:uid="{78B7484A-5C5A-49B8-B906-8DF78F9A67B7}"/>
    <cellStyle name="Style 6 2" xfId="2402" xr:uid="{A581B1D6-0D6A-43AA-99BB-A7F0AF4E3FC4}"/>
    <cellStyle name="Style 6 3" xfId="2403" xr:uid="{828449AC-9266-41CB-A557-5FE4115299BE}"/>
    <cellStyle name="Style 7" xfId="2404" xr:uid="{A5BADA7B-B74C-4CEC-B3F2-937C3747D866}"/>
    <cellStyle name="Style 7 2" xfId="2405" xr:uid="{F28B26B1-9CF6-4EC3-B0F5-E29617FFD43D}"/>
    <cellStyle name="Style 7 3" xfId="2406" xr:uid="{215C4823-B164-4D59-AFDA-4E2DDF35732E}"/>
    <cellStyle name="Style 8" xfId="2407" xr:uid="{45EBAD93-AD84-442A-BEBE-012276F97C62}"/>
    <cellStyle name="Style 8 2" xfId="2408" xr:uid="{0A7045B0-D90E-417C-ABED-2B8123869267}"/>
    <cellStyle name="Style 8 3" xfId="2409" xr:uid="{85D4C931-FFAB-45FD-A720-23A1FFA2C3C8}"/>
    <cellStyle name="Style 9" xfId="2410" xr:uid="{C3BCC17D-5082-4826-8275-99712BC6243C}"/>
    <cellStyle name="Style 9 2" xfId="2411" xr:uid="{C65F18D7-799E-46CF-BF2C-D86422DE6A04}"/>
    <cellStyle name="Style 9 3" xfId="2412" xr:uid="{E5918329-3097-4AEA-9339-752F8FB3CA4A}"/>
    <cellStyle name="Style D green" xfId="343" xr:uid="{00000000-0005-0000-0000-0000A3010000}"/>
    <cellStyle name="Style D green 2" xfId="2413" xr:uid="{EF06BBBB-06DB-468F-9ACC-16D7A4F377AC}"/>
    <cellStyle name="Style D green 3" xfId="2414" xr:uid="{2082E573-3F72-474B-A008-36C94FC9ED99}"/>
    <cellStyle name="Style E" xfId="344" xr:uid="{00000000-0005-0000-0000-0000A4010000}"/>
    <cellStyle name="Style H" xfId="345" xr:uid="{00000000-0005-0000-0000-0000A5010000}"/>
    <cellStyle name="Sub total" xfId="346" xr:uid="{00000000-0005-0000-0000-0000A6010000}"/>
    <cellStyle name="Sub total 10" xfId="2654" xr:uid="{12B1AC54-EDEB-4573-9119-6DCA7D6B6523}"/>
    <cellStyle name="Sub total 10 2" xfId="3859" xr:uid="{59EDDAFA-4A1C-4965-AEF7-CA7C8EA5C121}"/>
    <cellStyle name="Sub total 10 3" xfId="4473" xr:uid="{26D88181-FABA-4FEF-BBB7-A5545744DD56}"/>
    <cellStyle name="Sub total 10 4" xfId="5190" xr:uid="{EF3ADE44-913F-4F99-B25D-03FD4AD0FEF0}"/>
    <cellStyle name="Sub total 11" xfId="471" xr:uid="{6F434502-C819-44E7-9F98-50D19303799E}"/>
    <cellStyle name="Sub total 12" xfId="3312" xr:uid="{ABAC3571-86F1-4CFE-94C2-D82118CCBC13}"/>
    <cellStyle name="Sub total 2" xfId="435" xr:uid="{00000000-0005-0000-0000-0000A7010000}"/>
    <cellStyle name="Sub total 2 2" xfId="3152" xr:uid="{0F0EB2A0-3486-41D8-9E53-17F8F12E7228}"/>
    <cellStyle name="Sub total 2 2 2" xfId="4314" xr:uid="{44B3ABE4-D973-4497-8FFE-12929813A066}"/>
    <cellStyle name="Sub total 2 2 3" xfId="4926" xr:uid="{6E7F107B-027F-4F85-93B4-3698EEE8C07A}"/>
    <cellStyle name="Sub total 2 2 4" xfId="3526" xr:uid="{F2D5E120-E02F-4BE9-B74B-CA2ACB120084}"/>
    <cellStyle name="Sub total 2 3" xfId="2549" xr:uid="{82E1F066-33E1-4A7A-A08A-5BA80BB20A6F}"/>
    <cellStyle name="Sub total 2 4" xfId="3303" xr:uid="{28C68755-6855-4280-A674-8822E400647C}"/>
    <cellStyle name="Sub total 2 5" xfId="3659" xr:uid="{FF2654E3-E48C-44F7-B0BA-BF1AEFEF9590}"/>
    <cellStyle name="Sub total 2 6" xfId="3450" xr:uid="{AC0E5726-77CA-4FFF-9FFB-C4A0B632717A}"/>
    <cellStyle name="Sub total 3" xfId="2550" xr:uid="{D182EC58-070E-4E39-9D86-62CEDE21BEEC}"/>
    <cellStyle name="Sub total 3 2" xfId="3153" xr:uid="{536459FB-2CC0-4B15-9916-BF26E649B023}"/>
    <cellStyle name="Sub total 3 2 2" xfId="4315" xr:uid="{5BFA9A95-7D27-42A5-84D2-FB93A303D8BD}"/>
    <cellStyle name="Sub total 3 2 3" xfId="4927" xr:uid="{093B321D-0E13-4D70-B796-C872F8F6AE94}"/>
    <cellStyle name="Sub total 3 2 4" xfId="5139" xr:uid="{E3E56AE8-0C68-4BB6-8E2C-238A44769013}"/>
    <cellStyle name="Sub total 4" xfId="2597" xr:uid="{9EEE160E-4CE3-4D4E-A7DC-734B3FB6DDD2}"/>
    <cellStyle name="Sub total 4 2" xfId="3810" xr:uid="{6B26B3E4-6F43-421B-AE7F-258732B8E274}"/>
    <cellStyle name="Sub total 4 3" xfId="4422" xr:uid="{DFB1A278-3BEC-4E4F-97D4-77316AFC536B}"/>
    <cellStyle name="Sub total 4 4" xfId="5044" xr:uid="{B93689E1-98B4-455A-80B2-6E73CB465064}"/>
    <cellStyle name="Sub total 5" xfId="2570" xr:uid="{32D94A03-5B36-4B5C-88AA-F0D45DAE4AD9}"/>
    <cellStyle name="Sub total 5 2" xfId="3786" xr:uid="{6F098711-A544-4F56-990E-5A3EF7B46A70}"/>
    <cellStyle name="Sub total 5 3" xfId="4398" xr:uid="{C2798E31-8212-4778-B1A5-9712A8AEF379}"/>
    <cellStyle name="Sub total 5 4" xfId="3390" xr:uid="{CFC244A4-3647-4AA9-AF46-1464DA63DC0D}"/>
    <cellStyle name="Sub total 6" xfId="2734" xr:uid="{3EFC9C24-515F-442F-B5C1-ACC2C70359A1}"/>
    <cellStyle name="Sub total 6 2" xfId="3934" xr:uid="{0691FBE5-3DAF-4B4C-BF27-01AE6EF587CB}"/>
    <cellStyle name="Sub total 6 3" xfId="4546" xr:uid="{41DC7E6B-A868-4A4A-A710-AE9B8498490F}"/>
    <cellStyle name="Sub total 6 4" xfId="3293" xr:uid="{8E5BE6B5-A691-4C60-9462-91C6A044B6DC}"/>
    <cellStyle name="Sub total 7" xfId="2607" xr:uid="{02DB6072-87ED-4D5E-A8FA-687B6DEA8E9C}"/>
    <cellStyle name="Sub total 7 2" xfId="3818" xr:uid="{C0DE4C71-C097-45ED-85C0-26A668FC59DD}"/>
    <cellStyle name="Sub total 7 3" xfId="4431" xr:uid="{02CF1490-9126-45F7-B290-F2FCCCFEB278}"/>
    <cellStyle name="Sub total 7 4" xfId="3371" xr:uid="{3F907626-C2F7-4740-A1CB-FC76EEB0E30E}"/>
    <cellStyle name="Sub total 8" xfId="2620" xr:uid="{86F1C05B-BAA8-4A0A-99A8-8E6DECFD655B}"/>
    <cellStyle name="Sub total 8 2" xfId="3830" xr:uid="{00F20666-4423-447A-BE09-5929DFA65F82}"/>
    <cellStyle name="Sub total 8 3" xfId="4443" xr:uid="{78809C56-7134-4835-9947-D4C70934226F}"/>
    <cellStyle name="Sub total 8 4" xfId="3680" xr:uid="{DD7B5979-EE8C-45DB-A9F7-90CBDFDA03C0}"/>
    <cellStyle name="Sub total 9" xfId="2756" xr:uid="{D622D299-D2F4-433C-B579-8B79DB277F1D}"/>
    <cellStyle name="Sub total 9 2" xfId="3951" xr:uid="{AE17D207-235A-4C9C-9431-38C1A47329FA}"/>
    <cellStyle name="Sub total 9 3" xfId="4564" xr:uid="{8A61015C-CBCB-4B31-A7EC-1A14EFC02844}"/>
    <cellStyle name="Sub total 9 4" xfId="3208" xr:uid="{3FB86D3B-7FCC-4C25-A46C-54496EF4BEA5}"/>
    <cellStyle name="SubHeading1" xfId="52" xr:uid="{00000000-0005-0000-0000-0000A8010000}"/>
    <cellStyle name="Subtotal" xfId="2415" xr:uid="{7FFE61D2-1E19-4CA9-817D-BB5931B3515F}"/>
    <cellStyle name="Subtotal 2" xfId="2416" xr:uid="{FDFD7DCA-3882-43F2-923D-0DA5FE414AD6}"/>
    <cellStyle name="Sum" xfId="347" xr:uid="{00000000-0005-0000-0000-0000A9010000}"/>
    <cellStyle name="Swiss" xfId="348" xr:uid="{00000000-0005-0000-0000-0000AA010000}"/>
    <cellStyle name="swisses" xfId="2417" xr:uid="{2A90E8D9-F6F4-4A05-9A8F-2423A931A390}"/>
    <cellStyle name="swisses 2" xfId="2418" xr:uid="{A79A2E65-96B8-4B8F-8C3A-3B1B81535C41}"/>
    <cellStyle name="swisses 3" xfId="2419" xr:uid="{2C0A5680-89BB-43B2-A9EC-0E5787F8CC4F}"/>
    <cellStyle name="SymbolBlue" xfId="2420" xr:uid="{F2A6366F-9D50-4B5C-A878-33147E2AF26E}"/>
    <cellStyle name="SymbolBlue 2" xfId="2551" xr:uid="{646B5D2E-9FA5-48CD-8DFB-5F52CEE87AD0}"/>
    <cellStyle name="SymbolBlue 2 10" xfId="3106" xr:uid="{4704DC43-1ADD-4951-B310-79670C2E3822}"/>
    <cellStyle name="SymbolBlue 2 10 2" xfId="4271" xr:uid="{E6DEBA4C-EBC7-4CE3-B7E6-D4713EC58328}"/>
    <cellStyle name="SymbolBlue 2 10 3" xfId="4882" xr:uid="{33AA9217-99E8-44C5-A9B3-B7271BC79A21}"/>
    <cellStyle name="SymbolBlue 2 10 4" xfId="3366" xr:uid="{DB754EEC-7935-4F62-86AA-669FC9B9253B}"/>
    <cellStyle name="SymbolBlue 2 11" xfId="3138" xr:uid="{1EA7965F-8474-4E9D-8CBA-781960D75652}"/>
    <cellStyle name="SymbolBlue 2 11 2" xfId="4300" xr:uid="{3B6C5B91-8501-454D-ACA9-9D7153AB65F1}"/>
    <cellStyle name="SymbolBlue 2 11 3" xfId="4912" xr:uid="{20BBD27B-A21C-40BF-8E69-8B52EBFAEA51}"/>
    <cellStyle name="SymbolBlue 2 11 4" xfId="3247" xr:uid="{A4E49F4A-5AE4-4D48-B08C-CB267701F190}"/>
    <cellStyle name="SymbolBlue 2 12" xfId="3154" xr:uid="{B75555F2-D0E6-4545-8B6E-FB2C1DEF279E}"/>
    <cellStyle name="SymbolBlue 2 12 2" xfId="4316" xr:uid="{D7F394B3-2DFA-4542-A653-21CB2CD95F54}"/>
    <cellStyle name="SymbolBlue 2 12 3" xfId="4928" xr:uid="{EACF71BB-74A6-4EB1-B203-8DC43D87985D}"/>
    <cellStyle name="SymbolBlue 2 12 4" xfId="3609" xr:uid="{8D7525D1-0640-472F-9931-7FE15507CEB9}"/>
    <cellStyle name="SymbolBlue 2 13" xfId="3186" xr:uid="{6B29F73A-0D00-4111-AAB2-B90FC107035D}"/>
    <cellStyle name="SymbolBlue 2 13 2" xfId="4347" xr:uid="{320D5726-4E41-4A37-A65C-928D2F64C613}"/>
    <cellStyle name="SymbolBlue 2 13 3" xfId="4960" xr:uid="{8BF4F0F3-C1B2-4849-910D-A519734169D9}"/>
    <cellStyle name="SymbolBlue 2 13 4" xfId="5158" xr:uid="{46A01B3B-1145-4B78-AEC1-CD0122C7D968}"/>
    <cellStyle name="SymbolBlue 2 14" xfId="3770" xr:uid="{1DA1CAEF-663B-4CC0-BC69-69D60BF694E6}"/>
    <cellStyle name="SymbolBlue 2 15" xfId="4384" xr:uid="{E6C6CA40-B252-48DE-BD69-3A58505417C2}"/>
    <cellStyle name="SymbolBlue 2 16" xfId="3313" xr:uid="{C237EE0C-434C-40E3-881C-BE276E8653D7}"/>
    <cellStyle name="SymbolBlue 2 2" xfId="2852" xr:uid="{FBDC54A8-27CD-4C89-990D-C801009C2F1E}"/>
    <cellStyle name="SymbolBlue 2 2 2" xfId="4031" xr:uid="{6BF3B414-B94E-4848-B2DE-2D422BC4FA63}"/>
    <cellStyle name="SymbolBlue 2 2 3" xfId="4647" xr:uid="{A08D80CD-B4F7-4855-95BF-1DB7D52D0C35}"/>
    <cellStyle name="SymbolBlue 2 2 4" xfId="4645" xr:uid="{28EACE51-8646-41B0-AA4D-21B1D370E612}"/>
    <cellStyle name="SymbolBlue 2 3" xfId="2905" xr:uid="{BB27BE0E-390A-46F5-BBD8-2AC952310247}"/>
    <cellStyle name="SymbolBlue 2 3 2" xfId="4078" xr:uid="{A481B86C-E3E7-46A3-9BFC-4DBD4D635DF8}"/>
    <cellStyle name="SymbolBlue 2 3 3" xfId="4689" xr:uid="{F3E8ED44-CC5E-4A2A-A846-81E76395BD2C}"/>
    <cellStyle name="SymbolBlue 2 3 4" xfId="5184" xr:uid="{E2AB2414-5F8E-4B3B-A1F9-4D9F0AAAF485}"/>
    <cellStyle name="SymbolBlue 2 4" xfId="2932" xr:uid="{43E42B38-9331-4C83-86B0-3D8F35FC9115}"/>
    <cellStyle name="SymbolBlue 2 4 2" xfId="4103" xr:uid="{D88FBC69-D6D2-44BE-A3D8-79B5B84F5747}"/>
    <cellStyle name="SymbolBlue 2 4 3" xfId="4714" xr:uid="{6BF6330B-368F-4E0A-BBF2-59C84A272D8C}"/>
    <cellStyle name="SymbolBlue 2 4 4" xfId="5036" xr:uid="{66ECC805-F652-4575-855A-691A4C69266E}"/>
    <cellStyle name="SymbolBlue 2 5" xfId="2964" xr:uid="{B8978D15-B767-4369-A145-CCC847608DA1}"/>
    <cellStyle name="SymbolBlue 2 5 2" xfId="4135" xr:uid="{DBF743D8-AB99-4080-93D6-5E10D9778AA6}"/>
    <cellStyle name="SymbolBlue 2 5 3" xfId="4746" xr:uid="{5A121FC8-3BBD-4685-9CDB-BE6FC34B274A}"/>
    <cellStyle name="SymbolBlue 2 5 4" xfId="5096" xr:uid="{26AC4EFF-E834-4B18-9582-9635AA856CBE}"/>
    <cellStyle name="SymbolBlue 2 6" xfId="2995" xr:uid="{E13D0A81-0003-4F38-8AC1-424EA434C1EC}"/>
    <cellStyle name="SymbolBlue 2 6 2" xfId="4163" xr:uid="{BA3E6004-F599-4DCB-A7AF-B0DDC43A2860}"/>
    <cellStyle name="SymbolBlue 2 6 3" xfId="4773" xr:uid="{CE3BD460-BE6A-469F-AB77-7FFED3894283}"/>
    <cellStyle name="SymbolBlue 2 6 4" xfId="5019" xr:uid="{316B39BF-FFDF-430E-88D9-61E63303CC70}"/>
    <cellStyle name="SymbolBlue 2 7" xfId="3025" xr:uid="{40A95D3D-A91C-48BA-86F3-E5F6B56D6375}"/>
    <cellStyle name="SymbolBlue 2 7 2" xfId="4193" xr:uid="{62B6BF40-FE1C-4F06-B49E-07822CF8CD63}"/>
    <cellStyle name="SymbolBlue 2 7 3" xfId="4803" xr:uid="{460DBAAF-E7AB-4C36-B462-F6165284CA4E}"/>
    <cellStyle name="SymbolBlue 2 7 4" xfId="3471" xr:uid="{4A52BF04-EFD9-4C6C-92D4-C9B0EFB128E9}"/>
    <cellStyle name="SymbolBlue 2 8" xfId="3048" xr:uid="{B1ED88EF-A02A-40F5-A90C-B2425C042FDA}"/>
    <cellStyle name="SymbolBlue 2 8 2" xfId="4216" xr:uid="{3BDC4621-252F-4A97-B06E-D5170B0468DE}"/>
    <cellStyle name="SymbolBlue 2 8 3" xfId="4826" xr:uid="{A29634D8-62F0-4832-B6B5-1F6067AA5BF3}"/>
    <cellStyle name="SymbolBlue 2 8 4" xfId="3372" xr:uid="{712B6E6E-4874-4FFD-A726-8C91E3EADB12}"/>
    <cellStyle name="SymbolBlue 2 9" xfId="3075" xr:uid="{785CF15A-460F-4E7D-BBFC-5A75E45C0505}"/>
    <cellStyle name="SymbolBlue 2 9 2" xfId="4243" xr:uid="{1C5F6CD2-7014-428C-81CB-E44AE77C4514}"/>
    <cellStyle name="SymbolBlue 2 9 3" xfId="4853" xr:uid="{DE50BD85-247E-4C4B-B430-71306954A55C}"/>
    <cellStyle name="SymbolBlue 2 9 4" xfId="5168" xr:uid="{B16CD5B5-C229-4007-A376-312638C0A4BE}"/>
    <cellStyle name="SymbolBlue 3" xfId="2794" xr:uid="{C6E02768-D16C-4389-A4CC-1968A2341818}"/>
    <cellStyle name="SymbolBlue 3 2" xfId="3980" xr:uid="{29A68728-7E34-428F-97F7-DB59058AAF5E}"/>
    <cellStyle name="SymbolBlue 3 3" xfId="4595" xr:uid="{85BA7CB4-0D8A-4BB6-8CD7-A70DC63EF76F}"/>
    <cellStyle name="SymbolBlue 3 4" xfId="5192" xr:uid="{DD4092FD-4DC2-4EE8-BF06-FE1C2AFEE017}"/>
    <cellStyle name="SymbolBlue 4" xfId="3706" xr:uid="{5C1DD9A8-FECB-42E2-9B85-A468C6DAEDAC}"/>
    <cellStyle name="SymbolBlue 5" xfId="3357" xr:uid="{542E6BD5-40D7-4858-B177-A667C8AA5916}"/>
    <cellStyle name="SymbolBlue 6" xfId="5052" xr:uid="{93F3BE66-A42D-4425-8BAF-52251A06AEFF}"/>
    <cellStyle name="Synopsis" xfId="2421" xr:uid="{79FC98A3-BDCD-4518-9CE3-1227F76591D7}"/>
    <cellStyle name="Synopsis 2" xfId="2422" xr:uid="{F5D35845-528F-4043-86FC-F3BC9547C4B7}"/>
    <cellStyle name="Synopsis 2 2" xfId="3708" xr:uid="{C2520F49-7921-44E5-9A1C-B09B03077504}"/>
    <cellStyle name="Synopsis 3" xfId="3707" xr:uid="{4C29CA26-1896-4EA4-AA9D-2E86CDAEEB6E}"/>
    <cellStyle name="t" xfId="349" xr:uid="{00000000-0005-0000-0000-0000AB010000}"/>
    <cellStyle name="t 10" xfId="2692" xr:uid="{13698D7C-9175-425A-A2EF-6959F9D76642}"/>
    <cellStyle name="t 10 2" xfId="4505" xr:uid="{F2820358-0D0F-434B-926E-EE8659302C6E}"/>
    <cellStyle name="t 11" xfId="472" xr:uid="{65C8379F-5C4B-4F26-8335-2855BEB368BC}"/>
    <cellStyle name="t 11 2" xfId="3323" xr:uid="{4EBCA03A-50D9-41CD-88BD-B79DD968428C}"/>
    <cellStyle name="t 11 3" xfId="3211" xr:uid="{5C832FB2-F47E-4759-91BE-3F8A6E3F7B74}"/>
    <cellStyle name="t 11 4" xfId="3681" xr:uid="{266DDE4A-777A-4CCE-9576-49FF9EC099BD}"/>
    <cellStyle name="t 11 5" xfId="3422" xr:uid="{FAE70ECF-61A6-4C46-9316-08D7B91C5916}"/>
    <cellStyle name="t 12" xfId="3676" xr:uid="{C041E9FE-F82C-49C4-A2FD-C6345A4144DB}"/>
    <cellStyle name="t 2" xfId="436" xr:uid="{00000000-0005-0000-0000-0000AC010000}"/>
    <cellStyle name="t 2 2" xfId="2853" xr:uid="{BD4041DC-870F-414D-B8AE-27AFB56B134F}"/>
    <cellStyle name="t 2 2 2" xfId="4032" xr:uid="{87730218-5EAD-4425-892F-7A435E35BC0A}"/>
    <cellStyle name="t 2 2 3" xfId="4648" xr:uid="{EA8BA539-8B31-4F36-9DA2-E67E687FF273}"/>
    <cellStyle name="t 2 2 4" xfId="5081" xr:uid="{4DDBA25C-AF0F-492B-A2F8-D2D876C9DBAE}"/>
    <cellStyle name="t 2 2 5" xfId="3699" xr:uid="{9E5D54F0-D077-400E-8AD2-5A2AB55ADCA4}"/>
    <cellStyle name="t 2 3" xfId="2552" xr:uid="{278C24AE-98F0-4117-8D1C-204FE73DEE59}"/>
    <cellStyle name="t 2 3 2" xfId="3771" xr:uid="{0ED196BB-AA69-4D3B-A497-54678AA7DFCE}"/>
    <cellStyle name="t 2 3 3" xfId="4385" xr:uid="{C4D7AF34-A468-4FCE-B279-48BBC0857F81}"/>
    <cellStyle name="t 2 3 4" xfId="4978" xr:uid="{590FA99B-61ED-4693-8EF3-BBD271B2D24A}"/>
    <cellStyle name="t 2 3 5" xfId="5075" xr:uid="{B536FE45-DFED-4339-82AC-BA1D23379368}"/>
    <cellStyle name="t 2 4" xfId="3304" xr:uid="{96FE6582-09EB-42E3-86D3-9CA854A8115E}"/>
    <cellStyle name="t 2 5" xfId="3658" xr:uid="{EB8B78F8-D403-4C9F-BEF7-15170ABF84E3}"/>
    <cellStyle name="t 3" xfId="2598" xr:uid="{6C26AE25-FA6D-4FAA-B01F-CE2582391FAA}"/>
    <cellStyle name="t 3 2" xfId="3811" xr:uid="{AAF3FA24-6D95-4CBE-AC17-D4B3227F98F9}"/>
    <cellStyle name="t 3 3" xfId="4423" xr:uid="{07A59A84-5C1C-4A38-9867-05D0093B1576}"/>
    <cellStyle name="t 4" xfId="2621" xr:uid="{E41B90C1-85DE-45F3-8E61-8C44204FEE4B}"/>
    <cellStyle name="t 4 2" xfId="3831" xr:uid="{A84563BF-B1AE-476D-A8FD-3EB6A14FCDDB}"/>
    <cellStyle name="t 4 3" xfId="4444" xr:uid="{99B4C41B-144D-44AB-ABC3-E47583EB67B7}"/>
    <cellStyle name="t 5" xfId="2732" xr:uid="{2963E3A1-0BBE-4525-AECA-DCB56DDCE647}"/>
    <cellStyle name="t 5 2" xfId="3932" xr:uid="{E33A3B89-B069-4637-9073-78B13EBC5824}"/>
    <cellStyle name="t 5 3" xfId="4544" xr:uid="{AF7692F4-6D4C-4853-8163-4D25CA13E9C0}"/>
    <cellStyle name="t 6" xfId="2807" xr:uid="{A95090FA-AF11-4B16-AFE6-AF3C1892988C}"/>
    <cellStyle name="t 6 2" xfId="3992" xr:uid="{A62BD237-5B83-4735-B7B2-BE24BAE5559F}"/>
    <cellStyle name="t 6 3" xfId="4606" xr:uid="{5D864031-3D73-4102-A208-84789F204735}"/>
    <cellStyle name="t 7" xfId="2658" xr:uid="{3A92A75B-E1CF-49DB-B51D-B1650B51B359}"/>
    <cellStyle name="t 7 2" xfId="3863" xr:uid="{BE450729-E078-4B1D-AD1B-8FB676AD81CF}"/>
    <cellStyle name="t 7 3" xfId="4477" xr:uid="{9B72C158-F98F-4FA1-BA14-78564AB441FB}"/>
    <cellStyle name="t 8" xfId="2926" xr:uid="{E916EAFA-AF6A-481A-9F9C-D44E9EF7E213}"/>
    <cellStyle name="t 8 2" xfId="4097" xr:uid="{9DE7A6E8-415D-4EE2-A4BD-A0E49816D747}"/>
    <cellStyle name="t 8 3" xfId="4708" xr:uid="{61D939BD-C06F-4BF0-B648-6EBDC47B0EDC}"/>
    <cellStyle name="t 9" xfId="2636" xr:uid="{8C9A6B35-9C30-4FFA-BB39-FB9927BD5D27}"/>
    <cellStyle name="t 9 2" xfId="3844" xr:uid="{9EFEA1B6-7743-42B9-9AC2-419F82561940}"/>
    <cellStyle name="t 9 3" xfId="4457" xr:uid="{953657FF-0D32-464E-805D-066BAE1A83DA}"/>
    <cellStyle name="Table end" xfId="350" xr:uid="{00000000-0005-0000-0000-0000AD010000}"/>
    <cellStyle name="Table head" xfId="351" xr:uid="{00000000-0005-0000-0000-0000AE010000}"/>
    <cellStyle name="Table head 2" xfId="2553" xr:uid="{7DA2E706-4FC9-46AC-BF94-26E75FBF98A6}"/>
    <cellStyle name="Table head 2 2" xfId="2854" xr:uid="{9072E46C-13B3-43D6-B468-12249FB6D68C}"/>
    <cellStyle name="Table head 3" xfId="2599" xr:uid="{16177817-9F8D-4A1A-86FF-4DD1E56FC39B}"/>
    <cellStyle name="Table Head Aligned" xfId="2423" xr:uid="{044B579C-5609-452C-8B77-76BC1D463B44}"/>
    <cellStyle name="Table Head Aligned 2" xfId="2554" xr:uid="{A08063AB-B6D7-49A1-9071-F1E81CE50984}"/>
    <cellStyle name="Table Head Aligned 2 2" xfId="2855" xr:uid="{C2DF961E-92B4-4008-A88E-0F62D0A98770}"/>
    <cellStyle name="Table Head Aligned 3" xfId="2795" xr:uid="{F225B6B6-A6C2-4119-9DB2-1E3A6C1C9DDA}"/>
    <cellStyle name="Table Head Blue" xfId="2424" xr:uid="{40EDF94C-A928-4AF0-A09B-F46DD39CFF35}"/>
    <cellStyle name="Table Head Green" xfId="2425" xr:uid="{B2A0FE38-F37C-4B8E-A124-2BF062212B3C}"/>
    <cellStyle name="Table Head Green 2" xfId="2555" xr:uid="{9F60F069-A1ED-42EA-8C9E-FF7B107A9428}"/>
    <cellStyle name="Table Head Green 2 2" xfId="2856" xr:uid="{7A7533AA-5E0A-4482-AC3B-1AEAEB5A91A5}"/>
    <cellStyle name="Table Head Green 3" xfId="2797" xr:uid="{31F407BA-61CF-4180-BC2B-81AB1478813A}"/>
    <cellStyle name="Table Head_4. Debt Schedule" xfId="2426" xr:uid="{64F1B4D0-3240-4775-A5A9-867AA50FC4E0}"/>
    <cellStyle name="Table Source" xfId="2427" xr:uid="{71C48B97-2F63-41E7-B7FE-5902D8F2326A}"/>
    <cellStyle name="Table Sub Head" xfId="2428" xr:uid="{6BE6D49A-12A8-4FE5-94A9-F37787E981E1}"/>
    <cellStyle name="Table Text" xfId="2429" xr:uid="{97DE951C-0D4B-48A9-A943-B22A11EFC7DB}"/>
    <cellStyle name="table text bold" xfId="352" xr:uid="{00000000-0005-0000-0000-0000AF010000}"/>
    <cellStyle name="table text bold green" xfId="353" xr:uid="{00000000-0005-0000-0000-0000B0010000}"/>
    <cellStyle name="table text bold_BHI" xfId="2430" xr:uid="{EA0D14EA-D7E9-42AB-A1C3-4ABFEB8B0891}"/>
    <cellStyle name="table text light" xfId="354" xr:uid="{00000000-0005-0000-0000-0000B1010000}"/>
    <cellStyle name="Table Text_Copy of IFRS consol ABB Final Version4" xfId="2431" xr:uid="{31DE4F46-7154-4694-8762-67EAA2F314DA}"/>
    <cellStyle name="Table Title" xfId="355" xr:uid="{00000000-0005-0000-0000-0000B2010000}"/>
    <cellStyle name="Table Units" xfId="356" xr:uid="{00000000-0005-0000-0000-0000B3010000}"/>
    <cellStyle name="Table_Title" xfId="2432" xr:uid="{B9567D33-BB47-402E-9940-E82AEDD7C754}"/>
    <cellStyle name="TableBody" xfId="2433" xr:uid="{FFAF6D39-C13D-4141-9D91-94EABC5D0BBC}"/>
    <cellStyle name="TableBodyR" xfId="2434" xr:uid="{865D6453-4E5D-4A09-BDCC-12F8F2535CFA}"/>
    <cellStyle name="TableColHeads" xfId="2435" xr:uid="{1158D4A9-566A-461E-A40C-12F557B8BB32}"/>
    <cellStyle name="tcn" xfId="2436" xr:uid="{9E173D52-EAC9-49A1-BB8D-A21F0AA4D21C}"/>
    <cellStyle name="Teksti" xfId="2437" xr:uid="{754C72F6-6816-4DA3-9BF2-7B98090EAAB1}"/>
    <cellStyle name="Text" xfId="2438" xr:uid="{A834504E-7F2C-4CC9-B03F-F81490F10967}"/>
    <cellStyle name="Text 1" xfId="2439" xr:uid="{A8A9A4B8-9FA3-4514-99B5-994B758862CC}"/>
    <cellStyle name="Text 2" xfId="2440" xr:uid="{77FCF719-58D4-41CD-A032-B9F91A0322BB}"/>
    <cellStyle name="Text 3" xfId="3713" xr:uid="{4E38F505-FF76-4FBD-90F6-8F6878F88416}"/>
    <cellStyle name="Text Head" xfId="2441" xr:uid="{02061AD1-B09D-4EBB-9DE3-A50A01D01A08}"/>
    <cellStyle name="Text Head 1" xfId="2442" xr:uid="{8D0ACD20-C4BE-4DAE-AF99-860977283B4A}"/>
    <cellStyle name="Text Head 2" xfId="2443" xr:uid="{AEF4AAC4-0CBC-4D2A-8EBA-E42A1632EBAD}"/>
    <cellStyle name="Text Head_BHI" xfId="2444" xr:uid="{A3CAF374-B61D-4FB5-A480-BDFA5E005284}"/>
    <cellStyle name="Text Indent 1" xfId="2445" xr:uid="{6B365782-AD6A-44A2-8DDB-AF60CFE73834}"/>
    <cellStyle name="Text Indent 2" xfId="2446" xr:uid="{EF3989FE-10DF-4B3A-B965-BFE52734BDA9}"/>
    <cellStyle name="Text_Copy of IFRS consol ABB Final Version4" xfId="2447" xr:uid="{2AEB3314-CA53-40BF-A94E-BB6F779B5404}"/>
    <cellStyle name="threedecplace" xfId="2448" xr:uid="{61404C86-EE6E-4F13-97CA-BEF3C5652411}"/>
    <cellStyle name="threedecplace 2" xfId="2449" xr:uid="{CCB10103-8985-4D5B-AE1F-99BBA27835F0}"/>
    <cellStyle name="Time" xfId="357" xr:uid="{00000000-0005-0000-0000-0000B4010000}"/>
    <cellStyle name="times" xfId="2450" xr:uid="{2C3406C1-5144-4B33-B6B7-C944C730EA76}"/>
    <cellStyle name="times [2]" xfId="2451" xr:uid="{234CA219-B406-475C-8CB0-708125CD0B79}"/>
    <cellStyle name="times 2" xfId="2452" xr:uid="{2EC519F6-31E1-4EF4-8842-CC48B2F8E3C8}"/>
    <cellStyle name="times 3" xfId="2453" xr:uid="{B1CB174D-99E4-4A98-B76A-1711683963FC}"/>
    <cellStyle name="Times_Snecma competitive landscape chart sauvegarde" xfId="2454" xr:uid="{5E8DD65D-AB78-4B4E-BD57-08976357D679}"/>
    <cellStyle name="times2" xfId="2455" xr:uid="{959183FA-D3EF-4ECB-8600-B183D6E304C4}"/>
    <cellStyle name="times2 2" xfId="2456" xr:uid="{A42FA1C6-C4C5-4A5C-8B1E-8FBC333ABCA2}"/>
    <cellStyle name="times2 3" xfId="2457" xr:uid="{79B3C5C1-6F4E-4963-8F5C-8B6012E1048E}"/>
    <cellStyle name="timesales2under" xfId="2458" xr:uid="{53A62AE3-86F6-4AF6-8350-7D61FE3F5E8B}"/>
    <cellStyle name="Title - PROJECT" xfId="358" xr:uid="{00000000-0005-0000-0000-0000B5010000}"/>
    <cellStyle name="Title - Underline" xfId="359" xr:uid="{00000000-0005-0000-0000-0000B6010000}"/>
    <cellStyle name="Title 2" xfId="410" xr:uid="{00000000-0005-0000-0000-0000B7010000}"/>
    <cellStyle name="Title 3" xfId="418" xr:uid="{00000000-0005-0000-0000-0000B8010000}"/>
    <cellStyle name="Title 4" xfId="409" xr:uid="{00000000-0005-0000-0000-0000B9010000}"/>
    <cellStyle name="Title 5" xfId="419" xr:uid="{00000000-0005-0000-0000-0000BA010000}"/>
    <cellStyle name="Title 6" xfId="411" xr:uid="{00000000-0005-0000-0000-0000BB010000}"/>
    <cellStyle name="Title 7" xfId="420" xr:uid="{00000000-0005-0000-0000-0000BC010000}"/>
    <cellStyle name="Title 8" xfId="422" xr:uid="{00000000-0005-0000-0000-0000BD010000}"/>
    <cellStyle name="Title1" xfId="360" xr:uid="{00000000-0005-0000-0000-0000BE010000}"/>
    <cellStyle name="Title2" xfId="361" xr:uid="{00000000-0005-0000-0000-0000BF010000}"/>
    <cellStyle name="TitleII" xfId="2459" xr:uid="{AD1DAF62-7A7C-4274-90E9-4E83A7E4CD9F}"/>
    <cellStyle name="Titles" xfId="53" xr:uid="{00000000-0005-0000-0000-0000C0010000}"/>
    <cellStyle name="Titles - Col. Headings" xfId="362" xr:uid="{00000000-0005-0000-0000-0000C1010000}"/>
    <cellStyle name="Titles - Other" xfId="363" xr:uid="{00000000-0005-0000-0000-0000C2010000}"/>
    <cellStyle name="tn" xfId="2460" xr:uid="{7D6D1056-8FF4-439C-9B80-D7CF673C6B1C}"/>
    <cellStyle name="TOC 1" xfId="2461" xr:uid="{B833438C-CA96-403E-9FBA-AEFFC9B4C00B}"/>
    <cellStyle name="TOC 2" xfId="2462" xr:uid="{CE93E966-F663-456C-BF44-28609EFB247F}"/>
    <cellStyle name="Topline" xfId="2463" xr:uid="{E63775B9-0415-41F6-A918-17D2CA22AF07}"/>
    <cellStyle name="Topline 10" xfId="2685" xr:uid="{A35A50CA-2904-4FCA-81A6-4B9E1D8598C2}"/>
    <cellStyle name="Topline 10 2" xfId="3885" xr:uid="{7F92E7FB-E644-43CA-B317-4DBDCCD9CC84}"/>
    <cellStyle name="Topline 10 3" xfId="4498" xr:uid="{9A8BEA67-497E-44C3-B870-473638227B92}"/>
    <cellStyle name="Topline 10 4" xfId="3392" xr:uid="{43FB0CAC-CB11-45A7-861A-436905D105F3}"/>
    <cellStyle name="Topline 11" xfId="2679" xr:uid="{96C21465-8340-4DFB-839F-A906DAE2AB48}"/>
    <cellStyle name="Topline 11 2" xfId="3879" xr:uid="{71BAE483-5B65-42C9-991D-9A5F4460ABBF}"/>
    <cellStyle name="Topline 11 3" xfId="4492" xr:uid="{E621938F-5B02-4E87-9B0B-32C4589CFFCF}"/>
    <cellStyle name="Topline 11 4" xfId="3417" xr:uid="{DC1EBA9F-B357-4C8D-A9F1-8CFCF9368CF2}"/>
    <cellStyle name="Topline 12" xfId="3139" xr:uid="{4903C18E-6C09-45AF-8CCB-46D65C0EF29B}"/>
    <cellStyle name="Topline 12 2" xfId="4301" xr:uid="{30377DF4-833F-4624-A174-9B0DEB57FC7F}"/>
    <cellStyle name="Topline 12 3" xfId="4913" xr:uid="{86F0070E-1D33-4D67-9D22-5F4DF8ED6E59}"/>
    <cellStyle name="Topline 12 4" xfId="3225" xr:uid="{B25898B4-8C6E-4A2E-B357-25CE3A435B9C}"/>
    <cellStyle name="Topline 13" xfId="3720" xr:uid="{F660A656-8792-4536-8A02-8B6AEC2C4E41}"/>
    <cellStyle name="Topline 14" xfId="3352" xr:uid="{2CAE1CD9-9731-4EC7-9077-3FE6957553EF}"/>
    <cellStyle name="Topline 15" xfId="3271" xr:uid="{70625CCC-5292-43F9-8F02-915B204CA1E8}"/>
    <cellStyle name="Topline 2" xfId="2556" xr:uid="{C48B5E4C-E51B-428B-853D-EBB3DB06B9E1}"/>
    <cellStyle name="Topline 2 2" xfId="3155" xr:uid="{8A74DF72-F6F7-43EB-9781-B5DECCF2C027}"/>
    <cellStyle name="Topline 2 2 2" xfId="4317" xr:uid="{C778AE28-3FA8-4B12-A1FF-5BAC712DA673}"/>
    <cellStyle name="Topline 2 2 3" xfId="4929" xr:uid="{E53A45ED-FBD2-41A9-8369-B0B9F2B37A8F}"/>
    <cellStyle name="Topline 2 2 4" xfId="3218" xr:uid="{68B71B63-1A54-4FF8-AFC9-0887DED6187F}"/>
    <cellStyle name="Topline 3" xfId="2799" xr:uid="{ED7AF2D4-CE84-451D-89F6-E242BA84F113}"/>
    <cellStyle name="Topline 3 2" xfId="3984" xr:uid="{B11F1B70-7693-4B37-90A9-F799B2D90F0C}"/>
    <cellStyle name="Topline 3 3" xfId="4598" xr:uid="{BCEFF1C8-8751-4877-86EC-37F21030F180}"/>
    <cellStyle name="Topline 3 4" xfId="3276" xr:uid="{8EC4AE6E-8D44-4885-A332-2F0B5FC76A60}"/>
    <cellStyle name="Topline 4" xfId="2590" xr:uid="{5DC484CF-7EF0-4481-B7AE-80DF2679F301}"/>
    <cellStyle name="Topline 4 2" xfId="3804" xr:uid="{AFAC5E38-A08C-42E1-A082-4DAEAB1A2F2D}"/>
    <cellStyle name="Topline 4 3" xfId="4416" xr:uid="{729AC148-0A04-49D2-B572-021ECE93343A}"/>
    <cellStyle name="Topline 4 4" xfId="3241" xr:uid="{209482C9-F82B-4D97-AAD0-861451054D4C}"/>
    <cellStyle name="Topline 5" xfId="2778" xr:uid="{EDE2775D-BFE0-4D36-A845-F8DDDC68A473}"/>
    <cellStyle name="Topline 5 2" xfId="3969" xr:uid="{4FA875BE-28EB-4E86-A53D-E2AA74A52DF6}"/>
    <cellStyle name="Topline 5 3" xfId="4582" xr:uid="{31A2806D-FF44-461E-ACB4-995CED057B82}"/>
    <cellStyle name="Topline 5 4" xfId="4990" xr:uid="{EFAB2468-0880-4832-84FB-40EFD18132BF}"/>
    <cellStyle name="Topline 6" xfId="2717" xr:uid="{3F54BF56-F718-4FC7-8F43-394CB7DC4D46}"/>
    <cellStyle name="Topline 6 2" xfId="3917" xr:uid="{22A12F2E-2DEE-4F83-AC7C-4787394AD67D}"/>
    <cellStyle name="Topline 6 3" xfId="4530" xr:uid="{0C2683F8-7FEB-446D-A281-037C9FD1E651}"/>
    <cellStyle name="Topline 6 4" xfId="3382" xr:uid="{EC2AE72C-5CA1-4670-B78E-253C621E1218}"/>
    <cellStyle name="Topline 7" xfId="2651" xr:uid="{20FE1EC9-9398-4433-A99C-1924389EC6B6}"/>
    <cellStyle name="Topline 7 2" xfId="3858" xr:uid="{C9495CB3-4A57-4E52-90F7-6ECFD04B2E81}"/>
    <cellStyle name="Topline 7 3" xfId="4472" xr:uid="{3F222DE7-1464-48AD-8A83-83B7B9A241AB}"/>
    <cellStyle name="Topline 7 4" xfId="3369" xr:uid="{ABE61DE0-5AF9-4F72-A1DD-505D4FD408B3}"/>
    <cellStyle name="Topline 8" xfId="2613" xr:uid="{018B6DC0-CF9C-47A2-A892-F387DECF9C96}"/>
    <cellStyle name="Topline 8 2" xfId="3823" xr:uid="{61EAD0B7-5DBA-457C-9FF4-0D660DAF2B08}"/>
    <cellStyle name="Topline 8 3" xfId="4436" xr:uid="{F8560760-F319-40B3-9FE6-A7C33C366093}"/>
    <cellStyle name="Topline 8 4" xfId="5050" xr:uid="{B4911D39-D386-44A4-97E0-E19C80B7F74C}"/>
    <cellStyle name="Topline 9" xfId="2751" xr:uid="{BD0796BC-475B-4A99-9EEB-FEA62D6E9532}"/>
    <cellStyle name="Topline 9 2" xfId="3946" xr:uid="{A414462A-4BAC-428E-90AB-D6AA68FBBDFA}"/>
    <cellStyle name="Topline 9 3" xfId="4559" xr:uid="{56D8C3A2-6292-411A-A03C-340408D19019}"/>
    <cellStyle name="Topline 9 4" xfId="3671" xr:uid="{068E5FD4-6C4F-4748-AA5A-2BB9AD991DFC}"/>
    <cellStyle name="Total 2" xfId="412" xr:uid="{00000000-0005-0000-0000-0000C3010000}"/>
    <cellStyle name="Total 2 10" xfId="2666" xr:uid="{457CB277-81DE-4020-AF88-C6BC5F43AE42}"/>
    <cellStyle name="Total 2 10 2" xfId="3870" xr:uid="{DD96A391-B258-4976-AE94-E1DBF1F9CD1E}"/>
    <cellStyle name="Total 2 10 3" xfId="4484" xr:uid="{35DA9157-D226-4D75-9724-B3DD08F932E9}"/>
    <cellStyle name="Total 2 10 4" xfId="3927" xr:uid="{4E8116D9-408D-40F9-9BA1-545EA0E3D6C9}"/>
    <cellStyle name="Total 2 11" xfId="2686" xr:uid="{EFC5597E-6C16-4672-A776-F3F6EA03AD7A}"/>
    <cellStyle name="Total 2 11 2" xfId="3886" xr:uid="{235F398B-C3CD-45D6-9F4D-DFFE8C51B13C}"/>
    <cellStyle name="Total 2 11 3" xfId="4499" xr:uid="{F940C787-57AA-432A-8E3A-19EB49553CCF}"/>
    <cellStyle name="Total 2 11 4" xfId="3264" xr:uid="{A08B9981-BF3D-4432-BDD8-79C53AB7C36C}"/>
    <cellStyle name="Total 2 12" xfId="2741" xr:uid="{A54AC0B1-CEE6-439D-B838-592772591AB6}"/>
    <cellStyle name="Total 2 12 2" xfId="3939" xr:uid="{5DC1499B-A677-4A44-B911-1290147A197D}"/>
    <cellStyle name="Total 2 12 3" xfId="4552" xr:uid="{107D8200-5D31-4F98-A36C-C53B84F95449}"/>
    <cellStyle name="Total 2 12 4" xfId="3279" xr:uid="{D4946879-CE6E-4000-A5F4-EF96FA97CC11}"/>
    <cellStyle name="Total 2 13" xfId="3105" xr:uid="{C0114B39-459E-4C53-B2F7-3E939891C711}"/>
    <cellStyle name="Total 2 13 2" xfId="4270" xr:uid="{A5C24762-AD1C-4186-9CA5-1274696162FD}"/>
    <cellStyle name="Total 2 13 3" xfId="4881" xr:uid="{1FC07895-7571-4AEE-9989-1BEEA807D3F4}"/>
    <cellStyle name="Total 2 13 4" xfId="3343" xr:uid="{734283D3-EC0B-4CA3-BFEF-A50D4E4ED46D}"/>
    <cellStyle name="Total 2 14" xfId="3292" xr:uid="{3AB6080F-D236-4D1C-BE32-6F92D51814E3}"/>
    <cellStyle name="Total 2 15" xfId="3670" xr:uid="{15826AFF-A23E-4914-9AA2-828D233C0533}"/>
    <cellStyle name="Total 2 16" xfId="3230" xr:uid="{1B0C8AAF-9C77-43D4-8634-515DA2C1EF42}"/>
    <cellStyle name="Total 2 2" xfId="442" xr:uid="{00000000-0005-0000-0000-0000C4010000}"/>
    <cellStyle name="Total 2 2 10" xfId="3107" xr:uid="{7E7775D1-3EF5-4A7B-A60D-6378BDFB3F27}"/>
    <cellStyle name="Total 2 2 10 2" xfId="4272" xr:uid="{2FA11D74-DFCA-44E4-8675-766759C21F51}"/>
    <cellStyle name="Total 2 2 10 3" xfId="4883" xr:uid="{4A78564F-3DA7-41E7-A48F-1FB605DD6BEE}"/>
    <cellStyle name="Total 2 2 10 4" xfId="3351" xr:uid="{6EF74FB0-BED7-43C0-AA0E-B06AEC5C3ACC}"/>
    <cellStyle name="Total 2 2 11" xfId="3156" xr:uid="{3AAD71AE-5429-4E50-A9E0-6EB3CE0ED3A2}"/>
    <cellStyle name="Total 2 2 11 2" xfId="4318" xr:uid="{6F276023-3914-4BFA-BE8A-2066BA6E1BB1}"/>
    <cellStyle name="Total 2 2 11 3" xfId="4930" xr:uid="{8A3AD1E3-A699-4D46-8CD4-30E883FE552B}"/>
    <cellStyle name="Total 2 2 11 4" xfId="3527" xr:uid="{50957E81-48F8-4553-AE5F-B55C8BBCB99C}"/>
    <cellStyle name="Total 2 2 12" xfId="3187" xr:uid="{A86D475E-502C-46BA-B8E0-D8C350CECDE0}"/>
    <cellStyle name="Total 2 2 12 2" xfId="4348" xr:uid="{02199686-E067-4978-B080-AB2D63DEBC8B}"/>
    <cellStyle name="Total 2 2 12 3" xfId="4961" xr:uid="{E5CC3FC3-8F9C-4873-AF78-428C381A8083}"/>
    <cellStyle name="Total 2 2 12 4" xfId="5171" xr:uid="{D86B88B6-2199-42B3-9FCF-5FD50D946E67}"/>
    <cellStyle name="Total 2 2 13" xfId="3310" xr:uid="{746A4EA7-A67F-4848-8812-8F47AF557C6E}"/>
    <cellStyle name="Total 2 2 14" xfId="3257" xr:uid="{05BF6D20-B2A0-4BC4-8EFC-3F1FB9703B2E}"/>
    <cellStyle name="Total 2 2 15" xfId="3677" xr:uid="{862168DC-01BD-422A-877F-ECBB9D503A28}"/>
    <cellStyle name="Total 2 2 2" xfId="2857" xr:uid="{731022FC-2A1A-46E0-AA89-AD50A3707542}"/>
    <cellStyle name="Total 2 2 2 2" xfId="4035" xr:uid="{0F0E17A6-B4AA-4C52-949E-F3AEF0F3C59B}"/>
    <cellStyle name="Total 2 2 2 3" xfId="4649" xr:uid="{37F4E1A4-8067-4ABE-9018-654FA041F4FF}"/>
    <cellStyle name="Total 2 2 2 4" xfId="5006" xr:uid="{4563A4F7-D0AB-417B-B0B8-AFEA168EF8BB}"/>
    <cellStyle name="Total 2 2 3" xfId="2906" xr:uid="{6597D1FE-0737-4DAD-B8BD-4F1589928EE0}"/>
    <cellStyle name="Total 2 2 3 2" xfId="4079" xr:uid="{8B52E224-5BA4-4C0C-9765-75F926E04AD4}"/>
    <cellStyle name="Total 2 2 3 3" xfId="4690" xr:uid="{4D3AAA26-1CAB-4A09-9E16-82C047DADF1E}"/>
    <cellStyle name="Total 2 2 3 4" xfId="5068" xr:uid="{7708ECD3-43C5-446F-A2C3-FE5877013ACC}"/>
    <cellStyle name="Total 2 2 4" xfId="2933" xr:uid="{8B4863AF-15A6-4075-B6A9-FB7E38CDD8FE}"/>
    <cellStyle name="Total 2 2 4 2" xfId="4104" xr:uid="{A93868FF-37B8-4F4C-A5A3-32C3FA808E7A}"/>
    <cellStyle name="Total 2 2 4 3" xfId="4715" xr:uid="{D7A08B9D-B3E3-482E-A6AA-AC220FC375CB}"/>
    <cellStyle name="Total 2 2 4 4" xfId="3457" xr:uid="{ECFF6416-A2D8-43D8-8553-E33EC2EF7B47}"/>
    <cellStyle name="Total 2 2 5" xfId="2965" xr:uid="{C7707824-6E4A-407B-9D53-CE4C6A4C8E27}"/>
    <cellStyle name="Total 2 2 5 2" xfId="4136" xr:uid="{9E3663B9-5F15-48BD-BACD-000274072464}"/>
    <cellStyle name="Total 2 2 5 3" xfId="4747" xr:uid="{044F53F6-12BB-424B-BF0F-53E7976CC2D5}"/>
    <cellStyle name="Total 2 2 5 4" xfId="3543" xr:uid="{2CCD2DB4-F8FC-4CF6-B144-10DDF7A0D213}"/>
    <cellStyle name="Total 2 2 6" xfId="2996" xr:uid="{CC7E17E5-6FE4-4949-813D-0A5C36BB9074}"/>
    <cellStyle name="Total 2 2 6 2" xfId="4164" xr:uid="{D0DD5E4D-3B8A-4909-8492-182D081DA9E0}"/>
    <cellStyle name="Total 2 2 6 3" xfId="4774" xr:uid="{96CBF123-E3D8-4BD6-BDBF-0B44CE6E6D0D}"/>
    <cellStyle name="Total 2 2 6 4" xfId="5110" xr:uid="{56C3D934-E997-4C53-AED2-04742DF5617D}"/>
    <cellStyle name="Total 2 2 7" xfId="3026" xr:uid="{01129964-A23B-4957-BADC-15353E411BE2}"/>
    <cellStyle name="Total 2 2 7 2" xfId="4194" xr:uid="{AF22656B-9313-4BEC-A942-D2E03E2221F2}"/>
    <cellStyle name="Total 2 2 7 3" xfId="4804" xr:uid="{D083D642-B090-42F7-8B0C-0F4A25E5D1A1}"/>
    <cellStyle name="Total 2 2 7 4" xfId="3715" xr:uid="{790E3663-4CC5-464E-978E-95F26605A321}"/>
    <cellStyle name="Total 2 2 8" xfId="3049" xr:uid="{5F0CFFB2-B1EF-4D65-B0F8-05A80364AB55}"/>
    <cellStyle name="Total 2 2 8 2" xfId="4217" xr:uid="{DC638DD1-00EA-448F-87D5-6982A8448A60}"/>
    <cellStyle name="Total 2 2 8 3" xfId="4827" xr:uid="{B5FEBBCB-0A17-4441-8C98-7208F3448CC6}"/>
    <cellStyle name="Total 2 2 8 4" xfId="3536" xr:uid="{4E9E0904-533B-428B-BBF4-17092411B1E7}"/>
    <cellStyle name="Total 2 2 9" xfId="3076" xr:uid="{F7AA2B75-C7A4-4DE3-82A3-8891957E4AD4}"/>
    <cellStyle name="Total 2 2 9 2" xfId="4244" xr:uid="{809AE6B4-4595-4F3C-AFC6-8A7187DF18E4}"/>
    <cellStyle name="Total 2 2 9 3" xfId="4854" xr:uid="{C8B370F1-0B6A-4050-AB2A-A2974205FB65}"/>
    <cellStyle name="Total 2 2 9 4" xfId="5013" xr:uid="{26D9D3A0-FCBF-4516-8CE6-48570455F15F}"/>
    <cellStyle name="Total 2 3" xfId="2800" xr:uid="{EDBED54B-ADEE-4DBC-8A2D-6A60A236E070}"/>
    <cellStyle name="Total 2 3 2" xfId="3985" xr:uid="{A592B008-430C-47B3-AE1F-15B616E97DC0}"/>
    <cellStyle name="Total 2 3 3" xfId="4599" xr:uid="{C3CB4DEA-EB68-47DC-B72C-8E25F5602571}"/>
    <cellStyle name="Total 2 3 4" xfId="5191" xr:uid="{2932EE2E-104C-49A5-B60C-E2FB59515F17}"/>
    <cellStyle name="Total 2 4" xfId="2603" xr:uid="{8E942414-1D8E-431F-82B3-232CED6B6931}"/>
    <cellStyle name="Total 2 4 2" xfId="3815" xr:uid="{A72931D1-1616-4EC6-B9E4-6EE3C6EAE70F}"/>
    <cellStyle name="Total 2 4 3" xfId="4427" xr:uid="{4FD9F8E1-E670-4E4F-839F-6CFE12406E3F}"/>
    <cellStyle name="Total 2 4 4" xfId="3273" xr:uid="{8A21F13B-1FD8-4ED1-BA7C-981823AD5C77}"/>
    <cellStyle name="Total 2 5" xfId="2750" xr:uid="{5AB0EE5D-A14A-4D09-85CC-153F43CF376E}"/>
    <cellStyle name="Total 2 5 2" xfId="3945" xr:uid="{92B17658-A630-4C1A-9D4F-4B1FF521E993}"/>
    <cellStyle name="Total 2 5 3" xfId="4558" xr:uid="{AC629071-2FB2-4D83-883C-E3CD9188B94F}"/>
    <cellStyle name="Total 2 5 4" xfId="3518" xr:uid="{41747FB6-3BD1-4B18-BCE3-60818A6A751F}"/>
    <cellStyle name="Total 2 6" xfId="2632" xr:uid="{9A428A6A-CCF3-4FC5-9056-CDB8DB343FDD}"/>
    <cellStyle name="Total 2 6 2" xfId="3841" xr:uid="{4FE784DA-8E2A-4DBA-93CA-2062178223BE}"/>
    <cellStyle name="Total 2 6 3" xfId="4454" xr:uid="{BE1F5E40-12C9-4156-A172-8737595CBE02}"/>
    <cellStyle name="Total 2 6 4" xfId="3532" xr:uid="{352EACD7-998F-463F-B588-B280271CD180}"/>
    <cellStyle name="Total 2 7" xfId="2718" xr:uid="{4BA9B390-C3E0-4EB9-BAF1-461C52403DF9}"/>
    <cellStyle name="Total 2 7 2" xfId="3918" xr:uid="{045664A5-5E90-4AB2-AC9B-75C14A10D1FF}"/>
    <cellStyle name="Total 2 7 3" xfId="4531" xr:uid="{EDBA05FD-3397-4735-B6C3-6A05BFFC1B9D}"/>
    <cellStyle name="Total 2 7 4" xfId="3383" xr:uid="{D820B6AD-8D55-4DF6-92AC-A88D2EB34CE5}"/>
    <cellStyle name="Total 2 8" xfId="2650" xr:uid="{DF5A9CE9-B117-49F5-BA5D-7E08A2276C6E}"/>
    <cellStyle name="Total 2 8 2" xfId="3857" xr:uid="{D906A10E-C868-4995-A45E-F237C27CC3DE}"/>
    <cellStyle name="Total 2 8 3" xfId="4471" xr:uid="{9CC996AC-B1D3-4CE1-9DD5-D6F9DC607444}"/>
    <cellStyle name="Total 2 8 4" xfId="5154" xr:uid="{592605A0-A2A6-4CBE-9225-C66769B3AD36}"/>
    <cellStyle name="Total 2 9" xfId="2614" xr:uid="{07D9A023-FD48-4ECF-AA0E-97AF16AB5679}"/>
    <cellStyle name="Total 2 9 2" xfId="3824" xr:uid="{526C1B3E-61EB-4ECA-841C-2AABF050219C}"/>
    <cellStyle name="Total 2 9 3" xfId="4437" xr:uid="{33A7C33E-2EE7-4F89-89DF-D9DFB9187B09}"/>
    <cellStyle name="Total 2 9 4" xfId="3329" xr:uid="{F8F402DF-3C77-41BB-AEA2-707878A844CC}"/>
    <cellStyle name="Total Currency" xfId="2464" xr:uid="{9A16D89A-3BC6-4F6B-BC93-812CB157EF0C}"/>
    <cellStyle name="Total Normal" xfId="2465" xr:uid="{765080BF-DCA5-46D1-BE46-865ACB08B00B}"/>
    <cellStyle name="TotalCurrency" xfId="2466" xr:uid="{B23B3356-92B0-497F-87DF-A32B7CD535C7}"/>
    <cellStyle name="TR 8" xfId="2467" xr:uid="{2D0367D7-1095-4F86-B6DF-4D4EA28F1DA8}"/>
    <cellStyle name="TR 8 2" xfId="2468" xr:uid="{A13A8F5D-E4F6-4BE1-81DB-7406062D911F}"/>
    <cellStyle name="TR 8 2 2" xfId="3724" xr:uid="{B6E9EA6C-0769-4634-B372-E7645939FE18}"/>
    <cellStyle name="TR 8 2 3" xfId="3348" xr:uid="{C4EDD274-CB3E-4691-A7B7-40D8C4F8393B}"/>
    <cellStyle name="TR 8 2 4" xfId="5098" xr:uid="{CF28A225-15F3-4035-814C-6BD5091BB3EC}"/>
    <cellStyle name="TR 8 3" xfId="3723" xr:uid="{BA56669A-7F91-498E-B663-3D0BAA1CB5EF}"/>
    <cellStyle name="TR 8 4" xfId="3349" xr:uid="{2C116B79-AE0D-40C3-A947-8CE85276B291}"/>
    <cellStyle name="TR 8 5" xfId="3398" xr:uid="{CD96EBE6-88DD-4C9E-AD8B-4288A9C9184C}"/>
    <cellStyle name="TR 8B" xfId="2469" xr:uid="{C9DC38B6-D1FC-4956-8E23-40635BE2823E}"/>
    <cellStyle name="TR 8B 2" xfId="2470" xr:uid="{F6133B6B-36CE-49DB-BC82-1C795756F9E1}"/>
    <cellStyle name="TR 8B 2 2" xfId="3726" xr:uid="{FFB948C6-5083-4331-AD8D-0C312326D64F}"/>
    <cellStyle name="TR 8B 2 3" xfId="3346" xr:uid="{AEC2B688-7084-4372-8922-CEADED9440DE}"/>
    <cellStyle name="TR 8B 2 4" xfId="3420" xr:uid="{E310381F-4267-4736-A1E0-C845CFE8805B}"/>
    <cellStyle name="TR 8B 3" xfId="3725" xr:uid="{CE916C02-773C-4865-88BD-A6FB7926F36F}"/>
    <cellStyle name="TR 8B 4" xfId="3347" xr:uid="{945B2F17-9CA1-4737-91D5-F55164B0F869}"/>
    <cellStyle name="TR 8B 5" xfId="5107" xr:uid="{79FFEB77-C59D-43D0-B3EC-C86CA5D664DA}"/>
    <cellStyle name="triple space" xfId="2471" xr:uid="{91223C9E-F6BD-4823-9A28-CC194EB18AD6}"/>
    <cellStyle name="Tusental (0)_laroux" xfId="2472" xr:uid="{B98AE06D-164F-4C9F-9DF1-742DBEF10F21}"/>
    <cellStyle name="Tusental_laroux" xfId="2473" xr:uid="{E8317FB3-3A8F-4CDC-BDE9-8968E9E09349}"/>
    <cellStyle name="twodecplace" xfId="2474" xr:uid="{639BFF83-9675-47F0-BE45-DBB3377DD76A}"/>
    <cellStyle name="twodecplace 2" xfId="2475" xr:uid="{1C666E60-659F-476C-825B-ECE857FD690E}"/>
    <cellStyle name="twodecplace 3" xfId="2476" xr:uid="{8A5C6A49-B038-417F-BA46-163C7683E6F5}"/>
    <cellStyle name="Twodig" xfId="2477" xr:uid="{0DCBA641-A863-4EBD-A41B-80D11020F27E}"/>
    <cellStyle name="Underline" xfId="2478" xr:uid="{339BF7A0-3596-42E7-85D0-7B8A488FC914}"/>
    <cellStyle name="undernum" xfId="2479" xr:uid="{65F9125B-1CFA-4CA5-B7F4-C3289F4C5156}"/>
    <cellStyle name="unm" xfId="364" xr:uid="{00000000-0005-0000-0000-0000C5010000}"/>
    <cellStyle name="Upper Line" xfId="2480" xr:uid="{7BC748ED-B5C3-4BE7-9A0D-A64144840205}"/>
    <cellStyle name="Upper Line 10" xfId="2644" xr:uid="{7ED23778-E76F-4E19-9B3E-8D8DD350781C}"/>
    <cellStyle name="Upper Line 10 2" xfId="3851" xr:uid="{FAE3D56A-C2D0-4727-BF2E-A827AA81887F}"/>
    <cellStyle name="Upper Line 10 3" xfId="4465" xr:uid="{54722E2C-22E0-442B-A07C-C030CAACE73A}"/>
    <cellStyle name="Upper Line 10 4" xfId="5140" xr:uid="{341F3182-29B6-4FEF-823D-3A055696836F}"/>
    <cellStyle name="Upper Line 11" xfId="2704" xr:uid="{FC7D8E6E-AB01-467C-82F2-E79BF08E2B80}"/>
    <cellStyle name="Upper Line 11 2" xfId="3904" xr:uid="{E36CA3C9-3979-4AFD-B71F-CE37FBD2948F}"/>
    <cellStyle name="Upper Line 11 3" xfId="4517" xr:uid="{0AFD142F-DA1D-41C4-BC87-A2CEE0AEAE60}"/>
    <cellStyle name="Upper Line 11 4" xfId="3216" xr:uid="{3F3EDBD9-B6A6-4EF9-9487-43CE76CE32B8}"/>
    <cellStyle name="Upper Line 12" xfId="2789" xr:uid="{3399DFAF-0B09-4215-BDA0-8B0527E658EB}"/>
    <cellStyle name="Upper Line 12 2" xfId="3975" xr:uid="{124B5B5F-0642-4979-9C2A-14FE2526506B}"/>
    <cellStyle name="Upper Line 12 3" xfId="4590" xr:uid="{C6F32E83-A457-4B69-9781-75C98C2702EE}"/>
    <cellStyle name="Upper Line 12 4" xfId="4973" xr:uid="{9FA4EDAF-76D4-4BE8-8115-37F2F1C0A49D}"/>
    <cellStyle name="Upper Line 13" xfId="2573" xr:uid="{2A378B55-71CE-44A0-8D5A-8CDAF60E6276}"/>
    <cellStyle name="Upper Line 13 2" xfId="3789" xr:uid="{E2337F96-6E0F-4586-8B51-5B7526D1CF68}"/>
    <cellStyle name="Upper Line 13 3" xfId="4400" xr:uid="{F4326CBE-A866-4FA0-9F55-4939A5BEF099}"/>
    <cellStyle name="Upper Line 13 4" xfId="3507" xr:uid="{F888EDA9-3731-408D-85C8-B2D68DCDA7FA}"/>
    <cellStyle name="Upper Line 14" xfId="2770" xr:uid="{1061D082-F017-4E2B-A2B3-47808D102E24}"/>
    <cellStyle name="Upper Line 14 2" xfId="3962" xr:uid="{957560DC-3789-4D43-9962-E25E792863B5}"/>
    <cellStyle name="Upper Line 14 3" xfId="4574" xr:uid="{3F58D650-1596-4862-AF90-140A9C117B3D}"/>
    <cellStyle name="Upper Line 14 4" xfId="3219" xr:uid="{8A7D9D38-C494-485D-89FF-2E206D32606A}"/>
    <cellStyle name="Upper Line 15" xfId="3729" xr:uid="{7CBBD786-5DA7-49A5-9E4D-99B24BE58D1A}"/>
    <cellStyle name="Upper Line 16" xfId="3340" xr:uid="{080FC7C0-D24A-4422-8EB6-9CAEC2F6D4B5}"/>
    <cellStyle name="Upper Line 17" xfId="4981" xr:uid="{35B9B591-453D-4D82-9166-8907A04AAF5C}"/>
    <cellStyle name="Upper Line 2" xfId="2481" xr:uid="{A359079D-3C2B-4FF3-9DC2-CA06EA782BBF}"/>
    <cellStyle name="Upper Line 2 10" xfId="2790" xr:uid="{065ACE59-FA5D-4C51-80D3-001E5D2A62C5}"/>
    <cellStyle name="Upper Line 2 10 2" xfId="3976" xr:uid="{6051B43F-D323-4A88-8B0D-FF823DA29C6B}"/>
    <cellStyle name="Upper Line 2 10 3" xfId="4591" xr:uid="{DA8A5959-D575-4750-9401-1D03D2116806}"/>
    <cellStyle name="Upper Line 2 10 4" xfId="3407" xr:uid="{94DEF867-E0DA-4ABE-BE6A-32FF4D447C06}"/>
    <cellStyle name="Upper Line 2 11" xfId="2870" xr:uid="{67ABCC3E-4AB1-4CC3-8520-6F15FC60A0CE}"/>
    <cellStyle name="Upper Line 2 11 2" xfId="4047" xr:uid="{280306C6-30C8-45AE-9423-D298F1181C90}"/>
    <cellStyle name="Upper Line 2 11 3" xfId="4660" xr:uid="{6FA8A731-B626-4A08-BF3C-F7497E4565EB}"/>
    <cellStyle name="Upper Line 2 11 4" xfId="5099" xr:uid="{63D84046-9640-4C92-9E20-327E1157140D}"/>
    <cellStyle name="Upper Line 2 12" xfId="2813" xr:uid="{49351F08-E197-4D47-AF90-378BF87A512D}"/>
    <cellStyle name="Upper Line 2 12 2" xfId="3998" xr:uid="{4E6239CA-A37C-4DE6-887B-6403077BE60F}"/>
    <cellStyle name="Upper Line 2 12 3" xfId="4612" xr:uid="{47BBE0C4-045A-4983-9CCE-31521343BA26}"/>
    <cellStyle name="Upper Line 2 12 4" xfId="4053" xr:uid="{D0D749B6-20D8-4AB8-B1BA-550B3CA2CBBE}"/>
    <cellStyle name="Upper Line 2 13" xfId="3730" xr:uid="{DC379717-4E27-4C98-8D14-4CEE7FEE4DFD}"/>
    <cellStyle name="Upper Line 2 14" xfId="3339" xr:uid="{C0DD14D0-4A92-4011-89E0-C74C06BE5D93}"/>
    <cellStyle name="Upper Line 2 15" xfId="3272" xr:uid="{86769AD4-11C5-41F8-B85F-118A9629CD50}"/>
    <cellStyle name="Upper Line 2 2" xfId="2557" xr:uid="{98C83EA4-920B-46CA-B3AB-4C68F14ACECC}"/>
    <cellStyle name="Upper Line 2 2 10" xfId="3157" xr:uid="{61E2D588-8AE9-464B-A44A-C28196179575}"/>
    <cellStyle name="Upper Line 2 2 10 2" xfId="4319" xr:uid="{A4201D28-3691-40E6-A445-00B8E9CB7345}"/>
    <cellStyle name="Upper Line 2 2 10 3" xfId="4931" xr:uid="{1CD0A9F0-7FAA-4EA6-9788-EC36FD56DFCA}"/>
    <cellStyle name="Upper Line 2 2 10 4" xfId="3209" xr:uid="{01FCA32E-028F-4F89-A0DD-3C5733918648}"/>
    <cellStyle name="Upper Line 2 2 11" xfId="3188" xr:uid="{9867BBE5-7633-43FC-9667-2A7A106EC9BA}"/>
    <cellStyle name="Upper Line 2 2 11 2" xfId="4349" xr:uid="{D477E790-2E68-4809-A085-A755CD6D66E2}"/>
    <cellStyle name="Upper Line 2 2 11 3" xfId="4962" xr:uid="{ECBCDFB5-7BD1-4DE2-9BD9-61703049A091}"/>
    <cellStyle name="Upper Line 2 2 11 4" xfId="3769" xr:uid="{8626E834-31CF-418A-B96C-8B395B9A475A}"/>
    <cellStyle name="Upper Line 2 2 12" xfId="3775" xr:uid="{10B8BDCE-E5B9-47DD-A4D2-E5D03846CCD7}"/>
    <cellStyle name="Upper Line 2 2 13" xfId="4386" xr:uid="{05F527A8-1898-4F11-BB7D-9DAF51AFAC88}"/>
    <cellStyle name="Upper Line 2 2 14" xfId="3402" xr:uid="{D3F8F377-7236-4DD1-B325-A1F74148CE2A}"/>
    <cellStyle name="Upper Line 2 2 2" xfId="2858" xr:uid="{D89B5E58-DD9C-44A0-913A-769DB62F976B}"/>
    <cellStyle name="Upper Line 2 2 2 2" xfId="4036" xr:uid="{DE24166B-39FD-4FF5-93DD-3F2FF1854C22}"/>
    <cellStyle name="Upper Line 2 2 2 3" xfId="4650" xr:uid="{A198D17A-7497-492D-A129-061086397406}"/>
    <cellStyle name="Upper Line 2 2 2 4" xfId="3554" xr:uid="{6FE6050F-3B0E-4797-B3EC-7CBE4BC5C8F1}"/>
    <cellStyle name="Upper Line 2 2 3" xfId="2934" xr:uid="{0F415686-46EE-41FC-A54E-741CED989BB5}"/>
    <cellStyle name="Upper Line 2 2 3 2" xfId="4105" xr:uid="{CA5DD8AF-CD95-4DF2-9ACB-7B58C247C3D9}"/>
    <cellStyle name="Upper Line 2 2 3 3" xfId="4716" xr:uid="{0F10F519-F041-4A87-81F3-C40DA17F9385}"/>
    <cellStyle name="Upper Line 2 2 3 4" xfId="5008" xr:uid="{228D3D72-1BB9-4BD2-B1AF-46D92FD5C4D0}"/>
    <cellStyle name="Upper Line 2 2 4" xfId="2966" xr:uid="{7C284D00-C95A-4331-9CA2-0A1D110A3FA6}"/>
    <cellStyle name="Upper Line 2 2 4 2" xfId="4137" xr:uid="{D2DED2E8-083D-4963-B079-EF9BF81D298D}"/>
    <cellStyle name="Upper Line 2 2 4 3" xfId="4748" xr:uid="{EAD92908-7F6F-41E3-940A-6F6AF1D362FE}"/>
    <cellStyle name="Upper Line 2 2 4 4" xfId="3705" xr:uid="{29861902-7A22-4DAC-B7DA-BEE10DEBAF95}"/>
    <cellStyle name="Upper Line 2 2 5" xfId="2997" xr:uid="{3CAAD639-7A44-4F8D-BE7B-90452130F9F6}"/>
    <cellStyle name="Upper Line 2 2 5 2" xfId="4165" xr:uid="{453D1008-8B5C-4F64-9937-A10905456711}"/>
    <cellStyle name="Upper Line 2 2 5 3" xfId="4775" xr:uid="{13A0622D-BD0E-4D37-8588-FD29CA99A42C}"/>
    <cellStyle name="Upper Line 2 2 5 4" xfId="3614" xr:uid="{1E074FEA-344B-4F44-8E1F-575149081BBB}"/>
    <cellStyle name="Upper Line 2 2 6" xfId="3027" xr:uid="{2E7D2059-7A79-48C4-A955-8ADBE060236E}"/>
    <cellStyle name="Upper Line 2 2 6 2" xfId="4195" xr:uid="{1EC87063-E626-4A13-B907-995FDF4FBB87}"/>
    <cellStyle name="Upper Line 2 2 6 3" xfId="4805" xr:uid="{FE669085-7AA8-4C3C-AED6-746CE6FDFCA9}"/>
    <cellStyle name="Upper Line 2 2 6 4" xfId="5026" xr:uid="{F8F242AA-1F57-4B52-90EC-D24BC5D45A91}"/>
    <cellStyle name="Upper Line 2 2 7" xfId="3050" xr:uid="{617ADCE0-1035-4085-BB55-AADAFB6E6069}"/>
    <cellStyle name="Upper Line 2 2 7 2" xfId="4218" xr:uid="{B63D9ECD-A20F-4D3D-99C8-D1A77F25B77D}"/>
    <cellStyle name="Upper Line 2 2 7 3" xfId="4828" xr:uid="{66766613-E95A-4ECB-8755-8A254B6C012A}"/>
    <cellStyle name="Upper Line 2 2 7 4" xfId="5041" xr:uid="{BF351E41-1CC7-4292-8848-ACDF2E4BA175}"/>
    <cellStyle name="Upper Line 2 2 8" xfId="3077" xr:uid="{95631819-14BE-4F84-9CB7-8805D6754C4A}"/>
    <cellStyle name="Upper Line 2 2 8 2" xfId="4245" xr:uid="{EA032CDB-2F80-4C7B-83FF-FEC5C90CAFA2}"/>
    <cellStyle name="Upper Line 2 2 8 3" xfId="4855" xr:uid="{582408A4-0F03-4F21-8663-2018F1A403D7}"/>
    <cellStyle name="Upper Line 2 2 8 4" xfId="5185" xr:uid="{36095FBF-B7A5-4792-AE41-2A865D496E53}"/>
    <cellStyle name="Upper Line 2 2 9" xfId="3108" xr:uid="{E7A043F1-96C9-4467-8775-BBE78ACFE799}"/>
    <cellStyle name="Upper Line 2 2 9 2" xfId="4273" xr:uid="{547981C8-B3AA-49A6-A1A2-D2E2AB51C806}"/>
    <cellStyle name="Upper Line 2 2 9 3" xfId="4884" xr:uid="{206B65EE-D97B-48BD-8917-F782F3FC5654}"/>
    <cellStyle name="Upper Line 2 2 9 4" xfId="4984" xr:uid="{78E463B9-1651-4D03-8630-95C036EDB763}"/>
    <cellStyle name="Upper Line 2 3" xfId="2805" xr:uid="{B8F16B2F-673D-4FBA-9E29-EA8D6B9453F3}"/>
    <cellStyle name="Upper Line 2 3 2" xfId="3990" xr:uid="{4E93CC65-E060-418D-8FCB-AD07A985B7A9}"/>
    <cellStyle name="Upper Line 2 3 3" xfId="4604" xr:uid="{9848FA37-A241-4659-A434-906B8FAC2151}"/>
    <cellStyle name="Upper Line 2 3 4" xfId="3370" xr:uid="{A0F2E2A1-FD61-4D3E-817A-4CD17C27C2D6}"/>
    <cellStyle name="Upper Line 2 4" xfId="2753" xr:uid="{94C17039-DEE8-4EAD-9190-8989CB7EDD18}"/>
    <cellStyle name="Upper Line 2 4 2" xfId="3948" xr:uid="{A957EEFD-43C6-479E-918C-F78B75DC39BB}"/>
    <cellStyle name="Upper Line 2 4 3" xfId="4561" xr:uid="{BF05394D-8CED-49A3-82D0-D58CDB52ACEA}"/>
    <cellStyle name="Upper Line 2 4 4" xfId="3285" xr:uid="{E2A69A51-2F87-47B7-BB26-5E5E5F27E316}"/>
    <cellStyle name="Upper Line 2 5" xfId="2814" xr:uid="{E3E169CD-62DB-45D5-A234-94DF81ABD4A3}"/>
    <cellStyle name="Upper Line 2 5 2" xfId="3999" xr:uid="{4EC9A463-350A-4EFB-B9A8-4620DBEA9FDB}"/>
    <cellStyle name="Upper Line 2 5 3" xfId="4613" xr:uid="{43C28911-6F18-452A-9647-4F9A353D540B}"/>
    <cellStyle name="Upper Line 2 5 4" xfId="3521" xr:uid="{6F63E42B-1CA0-4E9C-945C-834AC049E30B}"/>
    <cellStyle name="Upper Line 2 6" xfId="2721" xr:uid="{23839531-E3D3-4B55-950A-E0C96BEB8C25}"/>
    <cellStyle name="Upper Line 2 6 2" xfId="3921" xr:uid="{4C7C3EC6-7DEF-40CA-80C9-9666191E7237}"/>
    <cellStyle name="Upper Line 2 6 3" xfId="4534" xr:uid="{9F924973-0B96-43E7-AF85-686F2F549E31}"/>
    <cellStyle name="Upper Line 2 6 4" xfId="4968" xr:uid="{B680BE66-3C94-4C9B-9CF4-721880BE1DD9}"/>
    <cellStyle name="Upper Line 2 7" xfId="2648" xr:uid="{F92823F8-E5E4-4036-BA52-5CD199F0FE77}"/>
    <cellStyle name="Upper Line 2 7 2" xfId="3855" xr:uid="{4E1C3A53-1BB9-4B97-961F-B21ED421BCA9}"/>
    <cellStyle name="Upper Line 2 7 3" xfId="4469" xr:uid="{C6FDC4E0-8B82-44A7-9575-CB19AAFB811B}"/>
    <cellStyle name="Upper Line 2 7 4" xfId="5195" xr:uid="{90F9BD34-6D7B-484B-84F1-FB3B4BD50555}"/>
    <cellStyle name="Upper Line 2 8" xfId="2580" xr:uid="{4158F85F-F614-4917-A7D6-22833B68603B}"/>
    <cellStyle name="Upper Line 2 8 2" xfId="3795" xr:uid="{30046BBE-424C-4DD9-B356-48B7E188088D}"/>
    <cellStyle name="Upper Line 2 8 3" xfId="4407" xr:uid="{5F3CBB21-C0B6-4809-A009-D9FDA12DA548}"/>
    <cellStyle name="Upper Line 2 8 4" xfId="3512" xr:uid="{00089A90-4E63-4838-99E7-8E2DC7C42718}"/>
    <cellStyle name="Upper Line 2 9" xfId="2784" xr:uid="{F590EB94-2E7F-4C67-8F0F-6971265CE4A4}"/>
    <cellStyle name="Upper Line 2 9 2" xfId="3973" xr:uid="{88C215D5-3A79-474D-B585-C7F4AB093645}"/>
    <cellStyle name="Upper Line 2 9 3" xfId="4587" xr:uid="{EE1439BD-A679-40F6-84A6-D4FFC31ADF21}"/>
    <cellStyle name="Upper Line 2 9 4" xfId="4997" xr:uid="{4909ABCA-D80D-4ADB-80AF-6C57A7278F7F}"/>
    <cellStyle name="Upper Line 3" xfId="2482" xr:uid="{11062C80-406A-4AB4-9B73-EC489B02852A}"/>
    <cellStyle name="Upper Line 3 10" xfId="2703" xr:uid="{8E544269-24D5-4336-ABBF-4FF4BD711045}"/>
    <cellStyle name="Upper Line 3 10 2" xfId="3903" xr:uid="{91E24CC6-4513-4868-A9BA-28A608351C09}"/>
    <cellStyle name="Upper Line 3 10 3" xfId="4516" xr:uid="{F0962D8E-AD50-435A-A1FC-B3C513A699E9}"/>
    <cellStyle name="Upper Line 3 10 4" xfId="3336" xr:uid="{5BF3DB55-EFF7-46C5-B960-963FDE88B566}"/>
    <cellStyle name="Upper Line 3 11" xfId="2680" xr:uid="{3E741F6F-4999-4CFE-8E39-DA57D6B0BF4C}"/>
    <cellStyle name="Upper Line 3 11 2" xfId="3880" xr:uid="{A9CE9B7D-720A-4D4C-9980-41E30B7457B0}"/>
    <cellStyle name="Upper Line 3 11 3" xfId="4493" xr:uid="{224369DA-A8A5-43D9-9D90-BCED8ED96EE3}"/>
    <cellStyle name="Upper Line 3 11 4" xfId="4579" xr:uid="{1B555F4A-4C04-4E51-8019-0013BD0F0E10}"/>
    <cellStyle name="Upper Line 3 12" xfId="2757" xr:uid="{9A5AF706-2CA0-400C-A0C1-BABF4C4DF4BE}"/>
    <cellStyle name="Upper Line 3 12 2" xfId="3952" xr:uid="{2D020994-C25D-4DA7-BEE6-F28336D1922C}"/>
    <cellStyle name="Upper Line 3 12 3" xfId="4565" xr:uid="{60442284-4183-49F2-A9ED-30C4594706C7}"/>
    <cellStyle name="Upper Line 3 12 4" xfId="3547" xr:uid="{2C82B775-6BAB-4A91-B646-D3E2658E659D}"/>
    <cellStyle name="Upper Line 3 13" xfId="3731" xr:uid="{9D8CB872-52CF-4635-82BA-A2FDB8643467}"/>
    <cellStyle name="Upper Line 3 14" xfId="3338" xr:uid="{C2051A90-E914-4330-A5C2-9FD1A82869F8}"/>
    <cellStyle name="Upper Line 3 15" xfId="5073" xr:uid="{95C79981-FF55-41C7-882D-A12252123DF2}"/>
    <cellStyle name="Upper Line 3 2" xfId="2558" xr:uid="{097E87F5-63F1-4037-8217-1E1707E18755}"/>
    <cellStyle name="Upper Line 3 2 10" xfId="3158" xr:uid="{7E47768E-E68F-4A4E-AB9E-166D000606B4}"/>
    <cellStyle name="Upper Line 3 2 10 2" xfId="4320" xr:uid="{A79B7FCA-5736-4283-9E82-8EBE2AD24E0D}"/>
    <cellStyle name="Upper Line 3 2 10 3" xfId="4932" xr:uid="{851BFD95-2EE8-4DEA-81D9-6369F9A4911B}"/>
    <cellStyle name="Upper Line 3 2 10 4" xfId="3712" xr:uid="{1D91D073-C00A-479E-B5A9-59A13B1ACD3B}"/>
    <cellStyle name="Upper Line 3 2 11" xfId="3189" xr:uid="{065E46F9-B11E-408C-9A6B-07473FEA878A}"/>
    <cellStyle name="Upper Line 3 2 11 2" xfId="4350" xr:uid="{89C5035D-8E22-4DE2-BF98-E884BB86A934}"/>
    <cellStyle name="Upper Line 3 2 11 3" xfId="4963" xr:uid="{BA9CA9A4-B27B-4993-965F-98DAC8CB1D7C}"/>
    <cellStyle name="Upper Line 3 2 11 4" xfId="3221" xr:uid="{F411B09B-7BB1-4C33-B34A-20BF1CE9F0B0}"/>
    <cellStyle name="Upper Line 3 2 12" xfId="3776" xr:uid="{C1D2194E-CE4B-4A57-AD3D-D9B291370238}"/>
    <cellStyle name="Upper Line 3 2 13" xfId="4387" xr:uid="{BB656BCC-5303-4833-943F-38F94A4049F5}"/>
    <cellStyle name="Upper Line 3 2 14" xfId="3550" xr:uid="{E79BEFC6-6609-47E4-A4E9-DB31BDF78804}"/>
    <cellStyle name="Upper Line 3 2 2" xfId="2859" xr:uid="{C98DCFE2-CFB0-4B24-9661-FBEF05601A22}"/>
    <cellStyle name="Upper Line 3 2 2 2" xfId="4037" xr:uid="{119068FA-F50B-4C82-9563-70489FFC95B7}"/>
    <cellStyle name="Upper Line 3 2 2 3" xfId="4651" xr:uid="{F0A2B3AC-8A7B-4A82-AA0E-CC146BD18E72}"/>
    <cellStyle name="Upper Line 3 2 2 4" xfId="3429" xr:uid="{E5B1818A-57EF-406E-ADCF-C55250C7E7C8}"/>
    <cellStyle name="Upper Line 3 2 3" xfId="2935" xr:uid="{1C391B45-C92E-4837-B77D-2FB740FED64E}"/>
    <cellStyle name="Upper Line 3 2 3 2" xfId="4106" xr:uid="{35D20441-CEC1-40AC-BB6F-A854EDB79972}"/>
    <cellStyle name="Upper Line 3 2 3 3" xfId="4717" xr:uid="{4B020723-A27D-418E-A986-01A615AA3426}"/>
    <cellStyle name="Upper Line 3 2 3 4" xfId="5089" xr:uid="{B70FE1BA-CEFB-4E11-86A2-27FFF462DA2D}"/>
    <cellStyle name="Upper Line 3 2 4" xfId="2967" xr:uid="{0DFBD952-4BE2-404D-A812-98E15AAB2C7F}"/>
    <cellStyle name="Upper Line 3 2 4 2" xfId="4138" xr:uid="{B8F01C87-C60D-4B67-876E-39B6A25DEC92}"/>
    <cellStyle name="Upper Line 3 2 4 3" xfId="4749" xr:uid="{C448C87E-6EF7-4692-897C-50009EB15597}"/>
    <cellStyle name="Upper Line 3 2 4 4" xfId="3266" xr:uid="{AA9F0DFD-7764-4E1F-AB76-0CF0F24D967A}"/>
    <cellStyle name="Upper Line 3 2 5" xfId="2998" xr:uid="{3D3FBA3A-5266-4AA8-94A0-7B527396913A}"/>
    <cellStyle name="Upper Line 3 2 5 2" xfId="4166" xr:uid="{5228DD20-0BC3-4FB4-9CFC-4B058BE27F2F}"/>
    <cellStyle name="Upper Line 3 2 5 3" xfId="4776" xr:uid="{861DA334-F16E-4D09-BDCB-716BB1D75EF5}"/>
    <cellStyle name="Upper Line 3 2 5 4" xfId="3613" xr:uid="{AC59B3CA-D6FA-4F36-9F40-5EECA6A7737E}"/>
    <cellStyle name="Upper Line 3 2 6" xfId="3028" xr:uid="{2CD16875-99AC-4121-A381-0B13A6038EA9}"/>
    <cellStyle name="Upper Line 3 2 6 2" xfId="4196" xr:uid="{F23F7501-0FBE-4B96-B8B2-0DD8B77D2943}"/>
    <cellStyle name="Upper Line 3 2 6 3" xfId="4806" xr:uid="{BDBE153A-F2AB-4550-960D-219D2A2BB6E0}"/>
    <cellStyle name="Upper Line 3 2 6 4" xfId="3688" xr:uid="{F629242D-658C-4E86-9B1B-0BFCEEE3F37A}"/>
    <cellStyle name="Upper Line 3 2 7" xfId="3051" xr:uid="{EC60DD00-D48A-486B-A195-9F3D9257EDB1}"/>
    <cellStyle name="Upper Line 3 2 7 2" xfId="4219" xr:uid="{8E2B5360-E1B6-4BB6-B984-1507107996F1}"/>
    <cellStyle name="Upper Line 3 2 7 3" xfId="4829" xr:uid="{C515D810-05B2-4031-9937-A42D154C6021}"/>
    <cellStyle name="Upper Line 3 2 7 4" xfId="5074" xr:uid="{DE671212-87CC-4C36-889B-906B26B0C564}"/>
    <cellStyle name="Upper Line 3 2 8" xfId="3078" xr:uid="{48DB00B6-A7B9-42F9-B389-486897B3FC95}"/>
    <cellStyle name="Upper Line 3 2 8 2" xfId="4246" xr:uid="{0969C6C6-8830-4607-9C21-AE60FD77C2AA}"/>
    <cellStyle name="Upper Line 3 2 8 3" xfId="4856" xr:uid="{E56D7323-3872-4FF7-8EB3-89E8CBC5F337}"/>
    <cellStyle name="Upper Line 3 2 8 4" xfId="5071" xr:uid="{49751352-2065-4C59-995F-1AF01DB82025}"/>
    <cellStyle name="Upper Line 3 2 9" xfId="3109" xr:uid="{48C9D808-9CFA-4459-8939-A0CCD71A5FC3}"/>
    <cellStyle name="Upper Line 3 2 9 2" xfId="4274" xr:uid="{791D3B84-0DE2-4638-9CF8-90C536D40A8A}"/>
    <cellStyle name="Upper Line 3 2 9 3" xfId="4885" xr:uid="{DA9EBB07-111D-4A02-BBAE-EBCA7F3E279A}"/>
    <cellStyle name="Upper Line 3 2 9 4" xfId="3403" xr:uid="{AF9CC3DA-E0E0-4ED2-954B-E2B57893F304}"/>
    <cellStyle name="Upper Line 3 3" xfId="2806" xr:uid="{10203D52-646B-4957-A922-A19AD356F421}"/>
    <cellStyle name="Upper Line 3 3 2" xfId="3991" xr:uid="{9CF5DFBB-0FEB-408E-BCF2-0DCAFE13E398}"/>
    <cellStyle name="Upper Line 3 3 3" xfId="4605" xr:uid="{C18A097D-9752-4191-A094-93C37F84E5DF}"/>
    <cellStyle name="Upper Line 3 3 4" xfId="3552" xr:uid="{B8FCB4D1-0DED-4486-8FAC-91B4B077AC21}"/>
    <cellStyle name="Upper Line 3 4" xfId="2754" xr:uid="{EBA509AD-C248-4565-8AB6-3AAC592E3B55}"/>
    <cellStyle name="Upper Line 3 4 2" xfId="3949" xr:uid="{C0BBB0BE-3582-42CA-90F7-08340C26E5E9}"/>
    <cellStyle name="Upper Line 3 4 3" xfId="4562" xr:uid="{C4D2FB94-DF94-4A67-9D2B-8FCA86FB35A9}"/>
    <cellStyle name="Upper Line 3 4 4" xfId="5145" xr:uid="{FD61ED2A-C00E-459F-B735-E3B9C8DDDDBA}"/>
    <cellStyle name="Upper Line 3 5" xfId="2777" xr:uid="{8580F2F9-5F5B-40C0-87E5-99BB75DE95B4}"/>
    <cellStyle name="Upper Line 3 5 2" xfId="3968" xr:uid="{5FEE26BF-007D-4164-8C0B-5675C5981377}"/>
    <cellStyle name="Upper Line 3 5 3" xfId="4581" xr:uid="{EA32524B-5380-4A64-90EC-8EE634CEC43D}"/>
    <cellStyle name="Upper Line 3 5 4" xfId="3396" xr:uid="{EAE85202-9B45-49FE-BC08-9E561A55151D}"/>
    <cellStyle name="Upper Line 3 6" xfId="2569" xr:uid="{11285EAC-3539-4601-8A93-63483574AF86}"/>
    <cellStyle name="Upper Line 3 6 2" xfId="3785" xr:uid="{A78C53A1-A2B9-4851-B6FB-B0D884B7A3F0}"/>
    <cellStyle name="Upper Line 3 6 3" xfId="4397" xr:uid="{958A5163-7F20-4999-8F6E-0DED1BE45087}"/>
    <cellStyle name="Upper Line 3 6 4" xfId="3506" xr:uid="{F13D27FA-E599-45C7-860D-3D470B12E92F}"/>
    <cellStyle name="Upper Line 3 7" xfId="2808" xr:uid="{2AC48BEC-9BC6-4C6C-ADD7-A9C7794150C0}"/>
    <cellStyle name="Upper Line 3 7 2" xfId="3993" xr:uid="{39811421-47D4-4AA6-92AD-00EF2A143DB0}"/>
    <cellStyle name="Upper Line 3 7 3" xfId="4607" xr:uid="{9C2259F4-B779-44CF-84EE-40DA39DECE48}"/>
    <cellStyle name="Upper Line 3 7 4" xfId="3342" xr:uid="{0079AEFB-E826-4851-A04F-57DFD0A36131}"/>
    <cellStyle name="Upper Line 3 8" xfId="2694" xr:uid="{8E493F08-2561-498C-8898-38EC0EB46BB7}"/>
    <cellStyle name="Upper Line 3 8 2" xfId="3894" xr:uid="{8E90BD83-8A11-4A79-9701-4B7C52C2CFA8}"/>
    <cellStyle name="Upper Line 3 8 3" xfId="4507" xr:uid="{87F653C6-FFA6-464B-BE3D-2DCF9A4F5A70}"/>
    <cellStyle name="Upper Line 3 8 4" xfId="3331" xr:uid="{B3188DBE-59EA-42EA-B316-3D338CAE52DA}"/>
    <cellStyle name="Upper Line 3 9" xfId="2783" xr:uid="{686CB3D8-E0AC-401B-A9A6-C10D06EFE234}"/>
    <cellStyle name="Upper Line 3 9 2" xfId="3972" xr:uid="{53C38B4B-2A9D-4C66-A1F5-6D8DCCAB8EB4}"/>
    <cellStyle name="Upper Line 3 9 3" xfId="4586" xr:uid="{D9384779-EBE6-483A-8432-DDE43A4032F3}"/>
    <cellStyle name="Upper Line 3 9 4" xfId="5017" xr:uid="{21895795-D8BE-4A9B-AC14-88828B225DC4}"/>
    <cellStyle name="Upper Line 4" xfId="2559" xr:uid="{5A454F6B-A53A-42FB-9C2A-0C2C3D4DDE49}"/>
    <cellStyle name="Upper Line 4 10" xfId="3159" xr:uid="{35CAF98F-26FE-4FF7-A47A-E856CC2AAAF1}"/>
    <cellStyle name="Upper Line 4 10 2" xfId="4321" xr:uid="{EB11B9A6-83C5-46AB-A4F0-1B3BF16B4B0D}"/>
    <cellStyle name="Upper Line 4 10 3" xfId="4933" xr:uid="{6266CDF7-0EB5-464C-A71F-ED136858B539}"/>
    <cellStyle name="Upper Line 4 10 4" xfId="3645" xr:uid="{E2AA40AE-11FC-463F-9214-2211E474E62D}"/>
    <cellStyle name="Upper Line 4 11" xfId="3190" xr:uid="{43D49440-2AFC-4ADD-A5EE-A2B1B3F284BB}"/>
    <cellStyle name="Upper Line 4 11 2" xfId="4351" xr:uid="{DDC1A0A5-6614-4052-83E7-96B6F1C0B264}"/>
    <cellStyle name="Upper Line 4 11 3" xfId="4964" xr:uid="{7286C1DA-927B-44C1-9618-81F5511F8A2D}"/>
    <cellStyle name="Upper Line 4 11 4" xfId="3556" xr:uid="{E1C025F7-1E1E-47D0-A5FC-14E19DCE12AE}"/>
    <cellStyle name="Upper Line 4 12" xfId="3777" xr:uid="{9F23202B-AB5E-4D44-A21E-0681C8EDAFE9}"/>
    <cellStyle name="Upper Line 4 13" xfId="4388" xr:uid="{0DD8AC0D-B859-4E44-B061-954BEBC744C8}"/>
    <cellStyle name="Upper Line 4 14" xfId="3425" xr:uid="{EAB6EF9C-558B-4ED1-8A04-64580BA8D903}"/>
    <cellStyle name="Upper Line 4 2" xfId="2860" xr:uid="{4B3E33B0-66CF-4155-92CE-77C05FD85DB1}"/>
    <cellStyle name="Upper Line 4 2 2" xfId="4038" xr:uid="{99547E94-C212-465E-9D03-F5341CE56D2D}"/>
    <cellStyle name="Upper Line 4 2 3" xfId="4652" xr:uid="{01541396-8268-4D68-9FF0-66D8266583EC}"/>
    <cellStyle name="Upper Line 4 2 4" xfId="4900" xr:uid="{1F7FC527-E0D4-4B37-962A-E525DC125AC1}"/>
    <cellStyle name="Upper Line 4 3" xfId="2936" xr:uid="{748022FE-A21B-4CB2-A977-5F0C912AECDB}"/>
    <cellStyle name="Upper Line 4 3 2" xfId="4107" xr:uid="{A7E1B150-A4B4-4553-8896-060B6566F79D}"/>
    <cellStyle name="Upper Line 4 3 3" xfId="4718" xr:uid="{0D4FA3FB-9A0A-460D-BEA3-7CC0DF12E36E}"/>
    <cellStyle name="Upper Line 4 3 4" xfId="5054" xr:uid="{46671DEB-F24E-4303-B48A-0F999745FA40}"/>
    <cellStyle name="Upper Line 4 4" xfId="2968" xr:uid="{C4E07A13-D57F-4B58-ACE3-11CF670FE438}"/>
    <cellStyle name="Upper Line 4 4 2" xfId="4139" xr:uid="{75A1A6BA-5B87-4B5F-BAF7-312317F38219}"/>
    <cellStyle name="Upper Line 4 4 3" xfId="4750" xr:uid="{EE23A29B-E971-4924-9E45-4E6B4EA5DFA7}"/>
    <cellStyle name="Upper Line 4 4 4" xfId="4993" xr:uid="{98D7FB53-714C-4ED8-9208-E642DCB94EB3}"/>
    <cellStyle name="Upper Line 4 5" xfId="2999" xr:uid="{E79FDDB7-8B43-472D-A3E7-6AF5B6DDD2C8}"/>
    <cellStyle name="Upper Line 4 5 2" xfId="4167" xr:uid="{FD033734-F2DF-4945-8B9A-8D9852C65E95}"/>
    <cellStyle name="Upper Line 4 5 3" xfId="4777" xr:uid="{A59B1079-B828-4506-A6EA-1B7252AA3C3A}"/>
    <cellStyle name="Upper Line 4 5 4" xfId="3345" xr:uid="{93CB8861-211F-41C3-B0AA-B5063549FB01}"/>
    <cellStyle name="Upper Line 4 6" xfId="3029" xr:uid="{2D7EDAEF-772D-446F-9852-4A9D9C80D4A9}"/>
    <cellStyle name="Upper Line 4 6 2" xfId="4197" xr:uid="{392789BA-FA7F-4A6C-B8A9-D81EF5127062}"/>
    <cellStyle name="Upper Line 4 6 3" xfId="4807" xr:uid="{36B6CE4F-A33D-4838-AB81-0FAA46EA9C5A}"/>
    <cellStyle name="Upper Line 4 6 4" xfId="5196" xr:uid="{E0734E73-E703-4857-B407-91E27F7037A5}"/>
    <cellStyle name="Upper Line 4 7" xfId="3052" xr:uid="{A6C970E9-CD6E-4C44-8D44-6915AA4272A9}"/>
    <cellStyle name="Upper Line 4 7 2" xfId="4220" xr:uid="{3BDCC0D7-7C26-4F49-97F5-E5AE81B9DD48}"/>
    <cellStyle name="Upper Line 4 7 3" xfId="4830" xr:uid="{090B15AE-7620-46B0-9EF1-60C17663BA87}"/>
    <cellStyle name="Upper Line 4 7 4" xfId="5094" xr:uid="{88F1F211-50C5-412B-8CAA-69C879E32B0E}"/>
    <cellStyle name="Upper Line 4 8" xfId="3079" xr:uid="{177342E9-8038-473F-80E9-B5A651952D1C}"/>
    <cellStyle name="Upper Line 4 8 2" xfId="4247" xr:uid="{4D06A65D-5E39-4189-8C1B-F413CCB55370}"/>
    <cellStyle name="Upper Line 4 8 3" xfId="4857" xr:uid="{4AD4CA35-0369-4CA3-A839-AA70558B742D}"/>
    <cellStyle name="Upper Line 4 8 4" xfId="5091" xr:uid="{8510D7BD-A68F-48F1-AC39-44289DCE7DD4}"/>
    <cellStyle name="Upper Line 4 9" xfId="3110" xr:uid="{915C69DC-5814-47F1-97A2-ED8375F1C62A}"/>
    <cellStyle name="Upper Line 4 9 2" xfId="4275" xr:uid="{517ED237-B0B1-400F-80A5-F7E2840680E3}"/>
    <cellStyle name="Upper Line 4 9 3" xfId="4886" xr:uid="{3FFA6CB1-29B1-4A97-8A86-1B7480B1A497}"/>
    <cellStyle name="Upper Line 4 9 4" xfId="5111" xr:uid="{E0EF828C-A626-4908-93D3-D9211BC5B34D}"/>
    <cellStyle name="Upper Line 5" xfId="2804" xr:uid="{8B6C91AA-61B3-4E91-89E7-CA0EB19D0C63}"/>
    <cellStyle name="Upper Line 5 2" xfId="3989" xr:uid="{B9BA1BDE-09B9-46FC-AD22-F5DB3AEBECC6}"/>
    <cellStyle name="Upper Line 5 3" xfId="4603" xr:uid="{807B6C9E-4A57-4D18-A15C-2B196C32825E}"/>
    <cellStyle name="Upper Line 5 4" xfId="5153" xr:uid="{ACB3D0DD-3239-470B-AA7B-24A675DAFE04}"/>
    <cellStyle name="Upper Line 6" xfId="2752" xr:uid="{8E57D86E-5B94-4244-9ACD-257EC7CD3451}"/>
    <cellStyle name="Upper Line 6 2" xfId="3947" xr:uid="{14BE4BA8-93B2-4935-A3F2-6220AB7A6081}"/>
    <cellStyle name="Upper Line 6 3" xfId="4560" xr:uid="{99627434-8B96-4832-B002-AFEDC797DB18}"/>
    <cellStyle name="Upper Line 6 4" xfId="3621" xr:uid="{123DE557-6F63-4415-BA1F-FB227E381B88}"/>
    <cellStyle name="Upper Line 7" xfId="2629" xr:uid="{DF8E6DD7-E16F-4FA3-BE53-26D84292FAD9}"/>
    <cellStyle name="Upper Line 7 2" xfId="3838" xr:uid="{336B6D58-6E3B-4B2B-817C-293820F6F118}"/>
    <cellStyle name="Upper Line 7 3" xfId="4451" xr:uid="{D9577D79-61E5-44AB-B43E-5928E88CCFC7}"/>
    <cellStyle name="Upper Line 7 4" xfId="5197" xr:uid="{1EDB327C-EDB1-4CEC-A326-A6E4F8BEE081}"/>
    <cellStyle name="Upper Line 8" xfId="2720" xr:uid="{B06A0159-A2CB-4C61-9AF0-39C3008CB08F}"/>
    <cellStyle name="Upper Line 8 2" xfId="3920" xr:uid="{D0F37B6C-01BE-4F16-BB5D-4FAC148669C9}"/>
    <cellStyle name="Upper Line 8 3" xfId="4533" xr:uid="{44F87AF7-1831-4E5D-8A49-96AC6A6DBC2C}"/>
    <cellStyle name="Upper Line 8 4" xfId="4969" xr:uid="{A05D7CA8-35E5-4951-BE4D-7DE980279AEE}"/>
    <cellStyle name="Upper Line 9" xfId="2809" xr:uid="{15A99310-BA49-462F-B5B2-963D97910C7B}"/>
    <cellStyle name="Upper Line 9 2" xfId="3994" xr:uid="{636C8FA2-16CE-4041-943D-CAFDA7129C07}"/>
    <cellStyle name="Upper Line 9 3" xfId="4608" xr:uid="{10E56647-2AF6-4D77-9A54-32CD42021A42}"/>
    <cellStyle name="Upper Line 9 4" xfId="3545" xr:uid="{0308D3F4-8EEF-48A0-A6AC-2ACEACB55025}"/>
    <cellStyle name="Use_1dp" xfId="2483" xr:uid="{A036F314-B1A8-4B07-B8BA-9A83D960C6E9}"/>
    <cellStyle name="UseB_1dp" xfId="2484" xr:uid="{2EEB4855-F536-44E7-A04D-18FEC9AEA9F5}"/>
    <cellStyle name="Validation" xfId="2485" xr:uid="{292A7C07-D6BF-43B7-A842-5B1B75B8BCC0}"/>
    <cellStyle name="Validation 2" xfId="2486" xr:uid="{202131FB-17ED-4BD1-BCB3-AE43B73E1D37}"/>
    <cellStyle name="Validation 3" xfId="2487" xr:uid="{36F5D358-17A4-4FBE-BF31-7BB21C571A11}"/>
    <cellStyle name="Valuta (0)_Bourse" xfId="2488" xr:uid="{FF705E49-0358-4C8E-A0A2-7364EABF886E}"/>
    <cellStyle name="Valuta_Bourse" xfId="2489" xr:uid="{756EA4BF-4DB9-41CD-82C4-61908EEC6E47}"/>
    <cellStyle name="Warning Text 2" xfId="413" xr:uid="{00000000-0005-0000-0000-0000C6010000}"/>
    <cellStyle name="weden" xfId="2490" xr:uid="{3CD75D47-0CC6-40A9-9535-96672DBEAD35}"/>
    <cellStyle name="WhiteCells" xfId="2491" xr:uid="{56177815-E38A-48DE-9887-48417B9DD57A}"/>
    <cellStyle name="WholeNumber" xfId="2492" xr:uid="{61315A69-C12D-4A94-8F33-8338E2949996}"/>
    <cellStyle name="wild guess" xfId="2493" xr:uid="{B6325CB9-37F9-4ADF-A3E8-0015AE831BF4}"/>
    <cellStyle name="Wildguess" xfId="2494" xr:uid="{B5047702-EFB7-4888-8870-98832B9DCEF5}"/>
    <cellStyle name="WingdingsBlack" xfId="2495" xr:uid="{DB7D0684-52EC-45B6-BA2E-885811A00F40}"/>
    <cellStyle name="WingdingsBlack 2" xfId="2560" xr:uid="{02DB4D01-65CB-46DF-8712-35861E5D2DB1}"/>
    <cellStyle name="WingdingsBlack 2 10" xfId="3111" xr:uid="{337BF9B4-8D48-4A20-967E-FF2CCF623E14}"/>
    <cellStyle name="WingdingsBlack 2 10 2" xfId="4276" xr:uid="{6FF5382F-EFB6-487C-ACCD-D7E55294F256}"/>
    <cellStyle name="WingdingsBlack 2 10 3" xfId="4887" xr:uid="{9E4C414F-E4A0-4194-97C2-5E8D435313BD}"/>
    <cellStyle name="WingdingsBlack 2 10 4" xfId="5040" xr:uid="{C41126B6-82B3-45F7-A022-B2BE894F336C}"/>
    <cellStyle name="WingdingsBlack 2 11" xfId="3140" xr:uid="{355489EC-8265-4488-B28A-C606C7481D84}"/>
    <cellStyle name="WingdingsBlack 2 11 2" xfId="4302" xr:uid="{ED82B309-F293-4D6D-91EE-993ACD3D655B}"/>
    <cellStyle name="WingdingsBlack 2 11 3" xfId="4914" xr:uid="{FEEF0429-AEC0-4E69-8C7A-229ACA50EDF4}"/>
    <cellStyle name="WingdingsBlack 2 11 4" xfId="3612" xr:uid="{244C11A8-3050-44E8-830D-D7165533B90E}"/>
    <cellStyle name="WingdingsBlack 2 12" xfId="3160" xr:uid="{BBB390A8-7444-4588-A974-9A222966F2E1}"/>
    <cellStyle name="WingdingsBlack 2 12 2" xfId="4322" xr:uid="{B38C00EC-8C8B-4507-B8D9-D638141B87EA}"/>
    <cellStyle name="WingdingsBlack 2 12 3" xfId="4934" xr:uid="{B499B7E3-21A0-4927-B3CB-DA16410484AA}"/>
    <cellStyle name="WingdingsBlack 2 12 4" xfId="5157" xr:uid="{D1E21004-D90C-49CB-9F13-0C4B872CA17C}"/>
    <cellStyle name="WingdingsBlack 2 13" xfId="3191" xr:uid="{4301FE0A-4218-4E97-837A-FB285F8D5D3E}"/>
    <cellStyle name="WingdingsBlack 2 13 2" xfId="4352" xr:uid="{800D346E-2658-42E2-AA8E-176899AF24BA}"/>
    <cellStyle name="WingdingsBlack 2 13 3" xfId="4965" xr:uid="{3B910332-1649-4A62-8B67-7D9EB294AAEA}"/>
    <cellStyle name="WingdingsBlack 2 13 4" xfId="4998" xr:uid="{CD5C763A-4624-42F1-A6DF-1E9E8ABAAAA2}"/>
    <cellStyle name="WingdingsBlack 2 14" xfId="3778" xr:uid="{9D869E1A-F90D-4414-B14D-71F598B88B3B}"/>
    <cellStyle name="WingdingsBlack 2 15" xfId="4389" xr:uid="{D66C38F3-BBC2-495B-AE23-9656880CF586}"/>
    <cellStyle name="WingdingsBlack 2 16" xfId="3503" xr:uid="{D8A0A13D-1805-421C-97C0-C012F1300820}"/>
    <cellStyle name="WingdingsBlack 2 2" xfId="2861" xr:uid="{85715766-9E78-4B29-A976-61AC60BDC3D9}"/>
    <cellStyle name="WingdingsBlack 2 2 2" xfId="4039" xr:uid="{886F185A-1770-4A2F-81EF-B197CF2E3BB3}"/>
    <cellStyle name="WingdingsBlack 2 2 3" xfId="4653" xr:uid="{50B3E052-1549-480E-91B0-271A190D6C02}"/>
    <cellStyle name="WingdingsBlack 2 2 4" xfId="3234" xr:uid="{4A00E138-9C6A-4250-B519-EFA289D3F00F}"/>
    <cellStyle name="WingdingsBlack 2 3" xfId="2907" xr:uid="{4498A866-C8F2-43E0-9A4B-30AC410B0848}"/>
    <cellStyle name="WingdingsBlack 2 3 2" xfId="4080" xr:uid="{6653DEA3-F65D-4D80-AB98-12DA938F75B2}"/>
    <cellStyle name="WingdingsBlack 2 3 3" xfId="4691" xr:uid="{9A66BC65-0C4C-4B66-90DD-DED24DB5CBD3}"/>
    <cellStyle name="WingdingsBlack 2 3 4" xfId="3456" xr:uid="{CFFA91D0-04C7-4E84-A734-673079245526}"/>
    <cellStyle name="WingdingsBlack 2 4" xfId="2937" xr:uid="{C403FABE-066D-40A4-AD61-0DB3B8CC4FD8}"/>
    <cellStyle name="WingdingsBlack 2 4 2" xfId="4108" xr:uid="{5E0A6D35-9E51-429D-831C-69C0074FA8C2}"/>
    <cellStyle name="WingdingsBlack 2 4 3" xfId="4719" xr:uid="{922EF1B8-0D32-44E6-B6BF-883A4A498F11}"/>
    <cellStyle name="WingdingsBlack 2 4 4" xfId="5109" xr:uid="{1BF79FD6-5704-4BA1-9088-8783537E29B9}"/>
    <cellStyle name="WingdingsBlack 2 5" xfId="2969" xr:uid="{23EAA92A-DF71-43DC-8ED4-33CD0DA0C061}"/>
    <cellStyle name="WingdingsBlack 2 5 2" xfId="4140" xr:uid="{8BE38720-C77F-4E24-AC02-9247469912D6}"/>
    <cellStyle name="WingdingsBlack 2 5 3" xfId="4751" xr:uid="{9CE958C3-ADF4-4779-93B5-38BC7468E4F2}"/>
    <cellStyle name="WingdingsBlack 2 5 4" xfId="3704" xr:uid="{CE3E53DA-D443-4891-BE0A-551661EB104F}"/>
    <cellStyle name="WingdingsBlack 2 6" xfId="3000" xr:uid="{0E6B1316-C46E-4C65-8E39-A439B627F8B6}"/>
    <cellStyle name="WingdingsBlack 2 6 2" xfId="4168" xr:uid="{E6F1A996-4EBD-48C6-B1B5-371450331541}"/>
    <cellStyle name="WingdingsBlack 2 6 3" xfId="4778" xr:uid="{FC0B2FAF-669C-4ED6-BDA1-122CD5E6F1FA}"/>
    <cellStyle name="WingdingsBlack 2 6 4" xfId="5060" xr:uid="{8A2D7C96-97D1-430E-9744-511836C070EE}"/>
    <cellStyle name="WingdingsBlack 2 7" xfId="3030" xr:uid="{56C09174-3AAA-4497-AF85-EF30ABBA6C5D}"/>
    <cellStyle name="WingdingsBlack 2 7 2" xfId="4198" xr:uid="{B1F92C5B-4174-4D2C-AA15-7F0CA9A905CD}"/>
    <cellStyle name="WingdingsBlack 2 7 3" xfId="4808" xr:uid="{4F85F174-FA97-4552-AAB3-415389369B37}"/>
    <cellStyle name="WingdingsBlack 2 7 4" xfId="3483" xr:uid="{1063BC85-BF91-421F-B84E-5D9804C17DDC}"/>
    <cellStyle name="WingdingsBlack 2 8" xfId="3053" xr:uid="{A5F5D9D8-54EC-4D1A-BCA7-FEEB7DCE482A}"/>
    <cellStyle name="WingdingsBlack 2 8 2" xfId="4221" xr:uid="{0ED3AC44-3DA1-4E1F-B760-121C506D0942}"/>
    <cellStyle name="WingdingsBlack 2 8 3" xfId="4831" xr:uid="{C651F264-99B1-4594-A9BA-98E059698CCB}"/>
    <cellStyle name="WingdingsBlack 2 8 4" xfId="5103" xr:uid="{264A1939-A29E-4D41-B1D5-F3BC73ABE8FE}"/>
    <cellStyle name="WingdingsBlack 2 9" xfId="3080" xr:uid="{DF51CEA6-6B4F-4C53-A71B-802A11265168}"/>
    <cellStyle name="WingdingsBlack 2 9 2" xfId="4248" xr:uid="{CD3633D0-8366-418B-A7A9-65C0F21CEEFC}"/>
    <cellStyle name="WingdingsBlack 2 9 3" xfId="4858" xr:uid="{BD4009B7-04BD-412F-B768-39471B84F2FC}"/>
    <cellStyle name="WingdingsBlack 2 9 4" xfId="5056" xr:uid="{982CF507-6C9A-419E-86D0-6FC2A82E6495}"/>
    <cellStyle name="WingdingsBlack 3" xfId="2810" xr:uid="{DC1FCFA0-37AF-41D3-B3A8-BB22884C5DFD}"/>
    <cellStyle name="WingdingsBlack 3 2" xfId="3995" xr:uid="{BD68CE8E-4725-4E08-BAA3-3CE3BBE9E7C2}"/>
    <cellStyle name="WingdingsBlack 3 3" xfId="4609" xr:uid="{78AC8E51-34CE-4A08-B749-7BB5C3B59800}"/>
    <cellStyle name="WingdingsBlack 3 4" xfId="3206" xr:uid="{A66BC71C-4CC5-4270-B900-CAF567A33933}"/>
    <cellStyle name="WingdingsBlack 4" xfId="3733" xr:uid="{96C7E1FD-4E62-4C8C-A43D-86DC0B5A814D}"/>
    <cellStyle name="WingdingsBlack 5" xfId="3335" xr:uid="{89E120D2-6C08-41F3-991A-A2183BCA8A6C}"/>
    <cellStyle name="WingdingsBlack 6" xfId="3871" xr:uid="{55421115-74AB-4C7C-905B-A19314B738DD}"/>
    <cellStyle name="WingdingsRed" xfId="2496" xr:uid="{F0BD9089-FDAB-4703-B98A-C57CB229F9AE}"/>
    <cellStyle name="WingdingsRed 2" xfId="2561" xr:uid="{B65ABCB8-D550-4033-A59C-986D00500E85}"/>
    <cellStyle name="WingdingsRed 2 10" xfId="3112" xr:uid="{A0FFDAC8-B33D-4C14-BA32-35A97875809A}"/>
    <cellStyle name="WingdingsRed 2 10 2" xfId="4277" xr:uid="{3FA998BE-B7A9-4EE2-BF06-DFA6CCD93C54}"/>
    <cellStyle name="WingdingsRed 2 10 3" xfId="4888" xr:uid="{9422946D-6BE6-4A5E-A411-B8C1109E926D}"/>
    <cellStyle name="WingdingsRed 2 10 4" xfId="5135" xr:uid="{A5D4695D-09A6-4169-9983-7B46DAD27D38}"/>
    <cellStyle name="WingdingsRed 2 11" xfId="3141" xr:uid="{5AF2E8AF-DA56-422B-8216-535C28594EDA}"/>
    <cellStyle name="WingdingsRed 2 11 2" xfId="4303" xr:uid="{9B9412FC-C277-4E32-90CC-2A93A81F890F}"/>
    <cellStyle name="WingdingsRed 2 11 3" xfId="4915" xr:uid="{DDA190DA-FF7F-48CF-8FD8-C3AE7CAF0653}"/>
    <cellStyle name="WingdingsRed 2 11 4" xfId="3690" xr:uid="{C5942D8B-E6EA-4E1D-B284-C7B36E20F1C1}"/>
    <cellStyle name="WingdingsRed 2 12" xfId="3161" xr:uid="{66F26F90-86C8-41EE-BB6D-C8C0E152C673}"/>
    <cellStyle name="WingdingsRed 2 12 2" xfId="4323" xr:uid="{B92F5BEC-25AE-417D-8B7D-B1AA3AF9B2CB}"/>
    <cellStyle name="WingdingsRed 2 12 3" xfId="4935" xr:uid="{FA08C473-8849-494F-BDC1-578137199436}"/>
    <cellStyle name="WingdingsRed 2 12 4" xfId="5170" xr:uid="{360BB1FB-4F0C-4BE2-95EA-F9CE9ADBFD62}"/>
    <cellStyle name="WingdingsRed 2 13" xfId="3192" xr:uid="{C5092784-FFFA-4D82-81D5-34C5A2DB54C8}"/>
    <cellStyle name="WingdingsRed 2 13 2" xfId="4353" xr:uid="{1C4DEED8-3FC8-4D10-80E9-558E6276CCE2}"/>
    <cellStyle name="WingdingsRed 2 13 3" xfId="4966" xr:uid="{5DE40CF4-9161-4172-9B0C-FB1EA08E78FF}"/>
    <cellStyle name="WingdingsRed 2 13 4" xfId="3460" xr:uid="{78297096-A7F9-4180-9435-05D814BC2E02}"/>
    <cellStyle name="WingdingsRed 2 14" xfId="3779" xr:uid="{8A097FDA-6C4A-4338-8252-D299D93BAE40}"/>
    <cellStyle name="WingdingsRed 2 15" xfId="4390" xr:uid="{C14CFC22-51E1-4F7F-A81E-BFDAD3871A33}"/>
    <cellStyle name="WingdingsRed 2 16" xfId="3812" xr:uid="{186A78BF-08D7-4839-B417-331D5521979D}"/>
    <cellStyle name="WingdingsRed 2 2" xfId="2862" xr:uid="{DA1E4A2E-60C2-44FA-92B3-4D6E2C0C46C6}"/>
    <cellStyle name="WingdingsRed 2 2 2" xfId="4040" xr:uid="{10F8773A-4457-42E8-97C4-CCA0244D3618}"/>
    <cellStyle name="WingdingsRed 2 2 3" xfId="4654" xr:uid="{8ECD5B67-0951-4D79-91AF-7A1D751CCFE6}"/>
    <cellStyle name="WingdingsRed 2 2 4" xfId="5201" xr:uid="{0DE0D77F-DB0A-449A-9BE5-0A8E8DAECB43}"/>
    <cellStyle name="WingdingsRed 2 3" xfId="2908" xr:uid="{7A53FD56-FFEC-41E9-8270-F8C3C1A52027}"/>
    <cellStyle name="WingdingsRed 2 3 2" xfId="4081" xr:uid="{E1CEE876-6326-4990-809A-68501F387E5F}"/>
    <cellStyle name="WingdingsRed 2 3 3" xfId="4692" xr:uid="{9FA22FA8-AC24-40D4-AC38-6109AC8CF112}"/>
    <cellStyle name="WingdingsRed 2 3 4" xfId="5088" xr:uid="{0B102B76-934F-4243-BB26-F07D2A24E913}"/>
    <cellStyle name="WingdingsRed 2 4" xfId="2938" xr:uid="{4362D7DA-D776-4E5A-8DFA-02A22E96AF03}"/>
    <cellStyle name="WingdingsRed 2 4 2" xfId="4109" xr:uid="{84587F43-DAD0-4ACE-850F-DCB2A7ECD8B9}"/>
    <cellStyle name="WingdingsRed 2 4 3" xfId="4720" xr:uid="{A6B13E83-51AB-4216-BDBB-10F3E3A63B4E}"/>
    <cellStyle name="WingdingsRed 2 4 4" xfId="4999" xr:uid="{125827BD-ECA8-42C6-86C1-7886A206723F}"/>
    <cellStyle name="WingdingsRed 2 5" xfId="2970" xr:uid="{43461E8D-E1A3-41F8-B6B4-D5F1852F3763}"/>
    <cellStyle name="WingdingsRed 2 5 2" xfId="4141" xr:uid="{7729581F-4CA8-4482-89B8-7957CC08E423}"/>
    <cellStyle name="WingdingsRed 2 5 3" xfId="4752" xr:uid="{32F7BAE2-75BC-4F03-ABD9-095884AD4A6F}"/>
    <cellStyle name="WingdingsRed 2 5 4" xfId="5160" xr:uid="{E8754FEF-6C20-49C5-9408-98382D54380F}"/>
    <cellStyle name="WingdingsRed 2 6" xfId="3001" xr:uid="{68023BBD-4186-415D-A3F4-D7C9414A4C98}"/>
    <cellStyle name="WingdingsRed 2 6 2" xfId="4169" xr:uid="{F4A2FA52-CB6A-46A2-B862-AA901257E3C7}"/>
    <cellStyle name="WingdingsRed 2 6 3" xfId="4779" xr:uid="{4237E310-7495-4FD0-81AB-0CB9391AE029}"/>
    <cellStyle name="WingdingsRed 2 6 4" xfId="3482" xr:uid="{97B3B687-0687-4F61-B7D9-FD8C587BDE32}"/>
    <cellStyle name="WingdingsRed 2 7" xfId="3031" xr:uid="{3F191467-0714-4C75-BD59-0DC88D5DC4A8}"/>
    <cellStyle name="WingdingsRed 2 7 2" xfId="4199" xr:uid="{475A78FB-498D-4DFF-BF62-13B231F0D37D}"/>
    <cellStyle name="WingdingsRed 2 7 3" xfId="4809" xr:uid="{1EB9AD27-9E26-4980-A1E2-BBB8C486A91A}"/>
    <cellStyle name="WingdingsRed 2 7 4" xfId="5161" xr:uid="{EDC34762-1E87-4F65-A362-AFC9D05D25C0}"/>
    <cellStyle name="WingdingsRed 2 8" xfId="3054" xr:uid="{4C0E2CA1-7F9F-4932-8D63-084A8825E7B6}"/>
    <cellStyle name="WingdingsRed 2 8 2" xfId="4222" xr:uid="{DAD06C0E-643C-45BD-A051-4E49AECEE528}"/>
    <cellStyle name="WingdingsRed 2 8 3" xfId="4832" xr:uid="{37F75199-B65F-4987-A396-A6D66F7B2D9D}"/>
    <cellStyle name="WingdingsRed 2 8 4" xfId="3540" xr:uid="{2872459B-C280-4E33-8217-C1046928658F}"/>
    <cellStyle name="WingdingsRed 2 9" xfId="3081" xr:uid="{D02AB3B0-AB16-4907-95C9-431F19BF5922}"/>
    <cellStyle name="WingdingsRed 2 9 2" xfId="4249" xr:uid="{9677395F-7C8A-455A-81C0-2AD6112A2F1E}"/>
    <cellStyle name="WingdingsRed 2 9 3" xfId="4859" xr:uid="{009254EE-73F6-46D5-B2EE-C3FFA2D9382C}"/>
    <cellStyle name="WingdingsRed 2 9 4" xfId="4977" xr:uid="{440359FD-49F5-421D-A3EB-FAB9D6AC0FD4}"/>
    <cellStyle name="WingdingsRed 3" xfId="2811" xr:uid="{60EC4029-A9D6-4B02-9CAB-5E51498AD13A}"/>
    <cellStyle name="WingdingsRed 3 2" xfId="3996" xr:uid="{83123B2C-12E0-4D3D-93DB-ED7476800268}"/>
    <cellStyle name="WingdingsRed 3 3" xfId="4610" xr:uid="{971A872D-FF66-40C0-8F40-B5E830A0E433}"/>
    <cellStyle name="WingdingsRed 3 4" xfId="4393" xr:uid="{5D5E70B0-1795-4CBA-8BA0-2680655F1D55}"/>
    <cellStyle name="WingdingsRed 4" xfId="3734" xr:uid="{DE5DFC93-B2D3-4933-A976-DDCACC662C65}"/>
    <cellStyle name="WingdingsRed 5" xfId="3334" xr:uid="{34626BC2-4CCE-45D1-8902-66546DED9FAE}"/>
    <cellStyle name="WingdingsRed 6" xfId="5152" xr:uid="{87F7F462-A478-4CAC-B867-A8A1525AF615}"/>
    <cellStyle name="WingdingsWhite" xfId="2497" xr:uid="{826B9324-0810-4A05-B832-079C439AE0E4}"/>
    <cellStyle name="WingdingsWhite 2" xfId="2562" xr:uid="{94536FE8-22C9-4746-BA3B-45CAF876B64F}"/>
    <cellStyle name="WingdingsWhite 2 10" xfId="3113" xr:uid="{E84EFD26-C023-4234-9A58-1EBD1C2C43D5}"/>
    <cellStyle name="WingdingsWhite 2 10 2" xfId="4278" xr:uid="{40D755FF-2E89-4EAB-BC1B-FFF50F7DC4A4}"/>
    <cellStyle name="WingdingsWhite 2 10 3" xfId="4889" xr:uid="{ED92DBBF-3EAC-421C-994B-5DC8F041D101}"/>
    <cellStyle name="WingdingsWhite 2 10 4" xfId="5087" xr:uid="{28E89B50-3468-4729-A21B-9663295A9B89}"/>
    <cellStyle name="WingdingsWhite 2 11" xfId="3142" xr:uid="{B03A128A-321A-470B-9E3E-5B1074962A0D}"/>
    <cellStyle name="WingdingsWhite 2 11 2" xfId="4304" xr:uid="{5F4D8493-500B-4EF2-B47A-0DBBAFB3C565}"/>
    <cellStyle name="WingdingsWhite 2 11 3" xfId="4916" xr:uid="{96FD6C65-DEE0-4CDF-BF74-6F1E52FD3549}"/>
    <cellStyle name="WingdingsWhite 2 11 4" xfId="3474" xr:uid="{3CA1BAB2-273C-40AF-B7A3-8CE8AFA26B87}"/>
    <cellStyle name="WingdingsWhite 2 12" xfId="3162" xr:uid="{03C4E6DB-8CBE-47A1-AC1C-95A83DF04371}"/>
    <cellStyle name="WingdingsWhite 2 12 2" xfId="4324" xr:uid="{8CD15854-0573-411E-912E-C03AC561663C}"/>
    <cellStyle name="WingdingsWhite 2 12 3" xfId="4936" xr:uid="{86FFD906-5EBE-4B5B-9A3F-61C38368EA6A}"/>
    <cellStyle name="WingdingsWhite 2 12 4" xfId="5016" xr:uid="{7F1BBCB8-7A0E-4BAB-B901-C1A81C012286}"/>
    <cellStyle name="WingdingsWhite 2 13" xfId="3193" xr:uid="{E8B2A606-EC64-4BF9-90AB-1FFC0140E52C}"/>
    <cellStyle name="WingdingsWhite 2 13 2" xfId="4354" xr:uid="{347DEAD5-5DDB-4476-B6D2-0ED3AA82435F}"/>
    <cellStyle name="WingdingsWhite 2 13 3" xfId="4967" xr:uid="{7074608C-3437-44B0-BA88-99446459770E}"/>
    <cellStyle name="WingdingsWhite 2 13 4" xfId="5188" xr:uid="{9DFBC8E5-AD91-486A-B409-98252CCB120F}"/>
    <cellStyle name="WingdingsWhite 2 14" xfId="3780" xr:uid="{758D8373-31E7-4DB0-9E7E-E40C7107A5CF}"/>
    <cellStyle name="WingdingsWhite 2 15" xfId="4391" xr:uid="{7264D516-D840-4223-A401-FAAE7088C1B7}"/>
    <cellStyle name="WingdingsWhite 2 16" xfId="3270" xr:uid="{A26AE4E9-919A-414B-9F5F-CB6443FC5AFA}"/>
    <cellStyle name="WingdingsWhite 2 2" xfId="2863" xr:uid="{C3BE740F-23B4-4F03-95AB-FEE65F3BA542}"/>
    <cellStyle name="WingdingsWhite 2 2 2" xfId="4041" xr:uid="{E807FDEE-EA26-41D7-8C8B-5E7B3DC73C9A}"/>
    <cellStyle name="WingdingsWhite 2 2 3" xfId="4655" xr:uid="{554B4548-9068-4F9D-8247-D62C451ADABC}"/>
    <cellStyle name="WingdingsWhite 2 2 4" xfId="3235" xr:uid="{76BAEF89-C062-4510-8B68-8DB1345D0712}"/>
    <cellStyle name="WingdingsWhite 2 3" xfId="2909" xr:uid="{3E245756-5F8E-4073-BA44-52C4C62C08DC}"/>
    <cellStyle name="WingdingsWhite 2 3 2" xfId="4082" xr:uid="{A6789005-5FFF-49CE-B4DA-3E423FDCD26E}"/>
    <cellStyle name="WingdingsWhite 2 3 3" xfId="4693" xr:uid="{1D35C858-A7BD-48D6-B463-31DC7EA13DD0}"/>
    <cellStyle name="WingdingsWhite 2 3 4" xfId="3226" xr:uid="{5CA39B1F-C078-49CA-83E7-051865EE58BF}"/>
    <cellStyle name="WingdingsWhite 2 4" xfId="2939" xr:uid="{37E71DF1-3248-4ACC-B9C7-E7CAAAAAB274}"/>
    <cellStyle name="WingdingsWhite 2 4 2" xfId="4110" xr:uid="{CD6AA2DB-07D1-429F-9505-FD03D478A62F}"/>
    <cellStyle name="WingdingsWhite 2 4 3" xfId="4721" xr:uid="{B4D4D971-9D86-4CF4-8946-DC2B49144C5B}"/>
    <cellStyle name="WingdingsWhite 2 4 4" xfId="4983" xr:uid="{27B6031C-CF7E-472A-A432-3CD6E6E154FF}"/>
    <cellStyle name="WingdingsWhite 2 5" xfId="2971" xr:uid="{496C173B-5A96-420D-9B0C-8F27B9C4B751}"/>
    <cellStyle name="WingdingsWhite 2 5 2" xfId="4142" xr:uid="{BDAA9942-C882-4785-A308-5D1861ABEC69}"/>
    <cellStyle name="WingdingsWhite 2 5 3" xfId="4753" xr:uid="{801F75A3-CAA0-4EFB-AC1B-E90ED441AE39}"/>
    <cellStyle name="WingdingsWhite 2 5 4" xfId="5183" xr:uid="{97BAA871-D959-400A-928B-1940A96FE7A9}"/>
    <cellStyle name="WingdingsWhite 2 6" xfId="3002" xr:uid="{D9AF8455-DA5B-499D-9655-2E04A6106427}"/>
    <cellStyle name="WingdingsWhite 2 6 2" xfId="4170" xr:uid="{EDCBEA33-550F-4FB4-B4E8-6FE28A274262}"/>
    <cellStyle name="WingdingsWhite 2 6 3" xfId="4780" xr:uid="{B3AE2EE0-0F3B-4F2A-992D-CA57131EBB73}"/>
    <cellStyle name="WingdingsWhite 2 6 4" xfId="4976" xr:uid="{2F478C12-8FF5-46B0-8D30-FCEB32B6CC9D}"/>
    <cellStyle name="WingdingsWhite 2 7" xfId="3032" xr:uid="{5EC2D390-4491-4E9A-A385-554F6C81AEA0}"/>
    <cellStyle name="WingdingsWhite 2 7 2" xfId="4200" xr:uid="{D55A9B52-092E-4EB0-9800-4DABD50310F8}"/>
    <cellStyle name="WingdingsWhite 2 7 3" xfId="4810" xr:uid="{C6D74814-C73F-4615-B2E7-82F2B11EC7F5}"/>
    <cellStyle name="WingdingsWhite 2 7 4" xfId="3249" xr:uid="{681E4FF0-4C23-42CE-8026-4B35B83EA841}"/>
    <cellStyle name="WingdingsWhite 2 8" xfId="3055" xr:uid="{1FBD7F1D-1F06-4EF3-9548-E2722A48AEBB}"/>
    <cellStyle name="WingdingsWhite 2 8 2" xfId="4223" xr:uid="{4FC6A54A-66FA-4158-AB3A-FA40552CC14A}"/>
    <cellStyle name="WingdingsWhite 2 8 3" xfId="4833" xr:uid="{4E4C4296-499F-4907-93BC-7D967D2655F2}"/>
    <cellStyle name="WingdingsWhite 2 8 4" xfId="5042" xr:uid="{70B0C1F4-7371-4F84-81C0-0C71CCDEBA2C}"/>
    <cellStyle name="WingdingsWhite 2 9" xfId="3082" xr:uid="{73C0DCBC-AF81-4E35-8FC5-EC64A2D24B3A}"/>
    <cellStyle name="WingdingsWhite 2 9 2" xfId="4250" xr:uid="{D444B6D3-9C56-4801-A272-4BD1EBB895E3}"/>
    <cellStyle name="WingdingsWhite 2 9 3" xfId="4860" xr:uid="{0DFBAA6F-B7CB-4406-8C8F-9226A96B9FED}"/>
    <cellStyle name="WingdingsWhite 2 9 4" xfId="3468" xr:uid="{3A5F7D02-9375-4B3F-84E4-33DD3382A2A5}"/>
    <cellStyle name="WingdingsWhite 3" xfId="2812" xr:uid="{121ADBAA-1179-4139-88CA-431718EAD7ED}"/>
    <cellStyle name="WingdingsWhite 3 2" xfId="3997" xr:uid="{5E3193D1-834A-475D-8CDF-DB82AD97AFB4}"/>
    <cellStyle name="WingdingsWhite 3 3" xfId="4611" xr:uid="{49ADBB9C-8F3B-4382-8823-D15A5FCFF429}"/>
    <cellStyle name="WingdingsWhite 3 4" xfId="5043" xr:uid="{C0812301-B2F1-421D-96A0-0DE81FF62F0A}"/>
    <cellStyle name="WingdingsWhite 4" xfId="3735" xr:uid="{00B68210-4E86-4B45-B9C1-D9DBC52E1E47}"/>
    <cellStyle name="WingdingsWhite 5" xfId="3333" xr:uid="{8B482B7B-44EB-493A-8C77-D61BDD97C594}"/>
    <cellStyle name="WingdingsWhite 6" xfId="3265" xr:uid="{E19CE754-1376-4D74-88A5-FF36341E2CA9}"/>
    <cellStyle name="x" xfId="2498" xr:uid="{541E20FC-ED99-44D3-8170-32E2F7DEDDC3}"/>
    <cellStyle name="x_Copy of IFRS consol ABB Final Version4" xfId="2499" xr:uid="{4AABC1A9-77F2-451F-9080-7A9AE1CB7DCD}"/>
    <cellStyle name="Year" xfId="365" xr:uid="{00000000-0005-0000-0000-0000C7010000}"/>
    <cellStyle name="Year 10" xfId="2639" xr:uid="{E9DC69C9-23A3-47F2-B95C-9FDC5E9B6523}"/>
    <cellStyle name="Year 10 2" xfId="4460" xr:uid="{B487BF9D-42DE-4441-B13F-32CBA750863D}"/>
    <cellStyle name="Year 11" xfId="473" xr:uid="{C32EB531-1464-44AB-A494-F512C2F350A0}"/>
    <cellStyle name="Year 11 2" xfId="3324" xr:uid="{F92F9CD4-061F-4034-B7FE-BA1883A2B65E}"/>
    <cellStyle name="Year 11 3" xfId="3210" xr:uid="{37C072D2-56E9-44CA-B010-52F30C5C5DC2}"/>
    <cellStyle name="Year 11 4" xfId="3722" xr:uid="{5FEC4929-197B-46D9-BE8C-923E09420315}"/>
    <cellStyle name="Year 11 5" xfId="4548" xr:uid="{6EF66D5E-E391-4460-BD08-D0B61D43BDBD}"/>
    <cellStyle name="Year 12" xfId="3673" xr:uid="{E427801E-6563-4762-9127-50A6276B5990}"/>
    <cellStyle name="Year 2" xfId="437" xr:uid="{00000000-0005-0000-0000-0000C8010000}"/>
    <cellStyle name="Year 2 2" xfId="2864" xr:uid="{F207F5F9-1438-4435-875C-CD38301B7618}"/>
    <cellStyle name="Year 2 2 2" xfId="4042" xr:uid="{418736BB-9B89-471E-A377-7C75E8F67D2B}"/>
    <cellStyle name="Year 2 2 3" xfId="4656" xr:uid="{47C71AF4-8746-45EE-8BD0-494B2522DE9E}"/>
    <cellStyle name="Year 2 2 4" xfId="5085" xr:uid="{176F5831-BC1E-4A19-B452-14E7E2B70583}"/>
    <cellStyle name="Year 2 2 5" xfId="3524" xr:uid="{4889C3B6-0270-433F-ACFF-9101E27CC8E3}"/>
    <cellStyle name="Year 2 3" xfId="2563" xr:uid="{B81B8EE1-E469-4FFD-8583-7F15FFAD895B}"/>
    <cellStyle name="Year 2 3 2" xfId="3781" xr:uid="{172D3E5D-10C8-408F-B77F-F2B8E11B5880}"/>
    <cellStyle name="Year 2 3 3" xfId="4392" xr:uid="{6C0777D2-CFCE-4CF7-B5AC-2F4218DFD889}"/>
    <cellStyle name="Year 2 3 4" xfId="4982" xr:uid="{E64AD4BB-AC15-412E-9A00-EB9BBA0B4D0F}"/>
    <cellStyle name="Year 2 3 5" xfId="5047" xr:uid="{841D1737-27E3-4B07-9535-476BC87F6182}"/>
    <cellStyle name="Year 2 4" xfId="3305" xr:uid="{8A05701B-8EB7-4178-BA7B-06DE9196F298}"/>
    <cellStyle name="Year 2 5" xfId="3258" xr:uid="{87833AF0-0810-4E47-B581-A8466A023B75}"/>
    <cellStyle name="Year 3" xfId="2601" xr:uid="{A3E050BB-E9A5-44AF-AEA7-4D9DD2068D19}"/>
    <cellStyle name="Year 3 2" xfId="3813" xr:uid="{39AC3633-1AA8-48E6-8F4D-7D95B4D9B6C5}"/>
    <cellStyle name="Year 3 3" xfId="4425" xr:uid="{B280862E-D838-42A2-B78C-E547A9CD6B46}"/>
    <cellStyle name="Year 4" xfId="2625" xr:uid="{5A5C7073-7295-4541-ACBB-B34AAB3724D2}"/>
    <cellStyle name="Year 4 2" xfId="3835" xr:uid="{0EB3B300-0670-42CC-B41C-EA8FB03EB814}"/>
    <cellStyle name="Year 4 3" xfId="4448" xr:uid="{002B2409-91EA-4CCF-844D-C122D0D64E81}"/>
    <cellStyle name="Year 5" xfId="2729" xr:uid="{8D8D8BA5-536B-443A-B7BC-32ED90CAEF56}"/>
    <cellStyle name="Year 5 2" xfId="3929" xr:uid="{F97CCFEE-0B1B-4643-9EF9-F25168E2C26F}"/>
    <cellStyle name="Year 5 3" xfId="4541" xr:uid="{3B1BCA7A-4952-4B32-8398-F17B0A988DB0}"/>
    <cellStyle name="Year 6" xfId="2645" xr:uid="{823A5F48-C040-45EF-86C2-8EFA1C5AB999}"/>
    <cellStyle name="Year 6 2" xfId="3852" xr:uid="{60DDCC86-5D63-496A-B027-0D7E0E099253}"/>
    <cellStyle name="Year 6 3" xfId="4466" xr:uid="{7C0A79A0-30F8-4600-9F5A-BE46193D0468}"/>
    <cellStyle name="Year 7" xfId="2660" xr:uid="{13411B07-BB36-4E34-B81A-940B5931A640}"/>
    <cellStyle name="Year 7 2" xfId="3865" xr:uid="{DE653E5D-C699-428D-828E-6B357A23DC43}"/>
    <cellStyle name="Year 7 3" xfId="4479" xr:uid="{08798DD6-8227-4084-820B-1A533F4E5063}"/>
    <cellStyle name="Year 8" xfId="2776" xr:uid="{BE63A4BB-DC16-42B3-9159-FC36DBFA9505}"/>
    <cellStyle name="Year 8 2" xfId="3967" xr:uid="{8671FEF4-B33C-400A-83AF-3A4183849A5E}"/>
    <cellStyle name="Year 8 3" xfId="4580" xr:uid="{EFDF4FFF-0A88-4803-901E-B3BFB1486621}"/>
    <cellStyle name="Year 9" xfId="2672" xr:uid="{D0DE8969-DC1B-426F-9916-91A443EF3396}"/>
    <cellStyle name="Year 9 2" xfId="3874" xr:uid="{84C369AC-B6D4-4B54-81C2-17449BBC1040}"/>
    <cellStyle name="Year 9 3" xfId="4487" xr:uid="{0B3E815F-866D-471F-BC65-638061FB5274}"/>
    <cellStyle name="Year Estimate" xfId="2500" xr:uid="{9AC87072-BC41-4088-B5DF-526B169AB82D}"/>
    <cellStyle name="Year Estimate 2" xfId="2501" xr:uid="{1C2EBFCE-096D-463D-9A52-1EEA2580CE92}"/>
    <cellStyle name="year_BHI" xfId="2502" xr:uid="{D68A3643-3A54-44C8-8FCB-A2B1395221DA}"/>
    <cellStyle name="YearInput" xfId="54" xr:uid="{00000000-0005-0000-0000-0000C9010000}"/>
    <cellStyle name="YearInputBk" xfId="55" xr:uid="{00000000-0005-0000-0000-0000CA010000}"/>
    <cellStyle name="YearInputBk 2" xfId="462" xr:uid="{FD6B0965-46ED-4601-8F98-077647484895}"/>
    <cellStyle name="YearInputBk 2 2" xfId="3319" xr:uid="{3AB93B23-FCFA-48F9-A042-5BCE9AEFFF7A}"/>
    <cellStyle name="YearInputBk 2 3" xfId="3649" xr:uid="{51EE3D16-6B1E-4567-9519-2CA140F08236}"/>
    <cellStyle name="YearInputBk 2 4" xfId="3693" xr:uid="{98B67F02-7C78-45AC-87E6-9CF12B43C28A}"/>
    <cellStyle name="YearInputBu" xfId="56" xr:uid="{00000000-0005-0000-0000-0000CB010000}"/>
    <cellStyle name="YearInputBu 2" xfId="463" xr:uid="{31B5CD9F-98C6-4A02-BE07-4E4EB6DF61A3}"/>
    <cellStyle name="YearInputBu 2 2" xfId="3320" xr:uid="{A270A309-E978-4A0E-802E-5F7E640EC508}"/>
    <cellStyle name="YearInputBu 2 3" xfId="3648" xr:uid="{20231DF8-13DF-443A-B721-8B59C78BF1FE}"/>
    <cellStyle name="YearInputBu 2 4" xfId="3618" xr:uid="{94DC9ADE-E28E-49AF-86A5-028DE444755E}"/>
    <cellStyle name="years" xfId="57" xr:uid="{00000000-0005-0000-0000-0000CC010000}"/>
    <cellStyle name="yen" xfId="2503" xr:uid="{98DFC7B3-6192-4B62-8EB7-C12B0B540A29}"/>
    <cellStyle name="yen 2" xfId="2504" xr:uid="{C6B50946-7C1A-41EB-8996-5733C3016022}"/>
    <cellStyle name="yläots" xfId="2505" xr:uid="{0FED6213-9068-4885-A03D-000629401245}"/>
    <cellStyle name="ynergos" xfId="2506" xr:uid="{5F850EC3-B020-46B8-B94E-5D6EA77B6C89}"/>
    <cellStyle name="常规_全进度数据" xfId="2507" xr:uid="{9E90813E-BD84-4779-A7F9-D5377F2BD3BE}"/>
    <cellStyle name="標準_6472 NTN" xfId="2508" xr:uid="{071D5D85-8E20-4832-A94E-1AE8F6F8C22F}"/>
  </cellStyles>
  <dxfs count="0"/>
  <tableStyles count="1" defaultTableStyle="TableStyleMedium2" defaultPivotStyle="PivotStyleLight16">
    <tableStyle name="Invisible" pivot="0" table="0" count="0" xr9:uid="{B4D591FF-B4AB-4F13-A864-7EB578B443AF}"/>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color rgb="FFFF9900"/>
      <color rgb="FFACD4F1"/>
      <color rgb="FFFFFF66"/>
      <color rgb="FFD5ECFF"/>
      <color rgb="FF078549"/>
      <color rgb="FFB2B2B2"/>
      <color rgb="FF00355F"/>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styles" Target="styles.xml"/><Relationship Id="rId50" Type="http://schemas.microsoft.com/office/2017/10/relationships/person" Target="persons/person.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sharedStrings" Target="sharedStrings.xml"/><Relationship Id="rId56" Type="http://schemas.openxmlformats.org/officeDocument/2006/relationships/customXml" Target="../customXml/item5.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theme" Target="theme/theme1.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200026</xdr:colOff>
      <xdr:row>1</xdr:row>
      <xdr:rowOff>76199</xdr:rowOff>
    </xdr:from>
    <xdr:ext cx="701039" cy="657226"/>
    <xdr:pic>
      <xdr:nvPicPr>
        <xdr:cNvPr id="2" name="Picture 1" descr="GS Logo - 652">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oneCellAnchor>
    <xdr:from>
      <xdr:col>0</xdr:col>
      <xdr:colOff>200026</xdr:colOff>
      <xdr:row>1</xdr:row>
      <xdr:rowOff>76199</xdr:rowOff>
    </xdr:from>
    <xdr:ext cx="701039" cy="657226"/>
    <xdr:pic>
      <xdr:nvPicPr>
        <xdr:cNvPr id="3" name="Picture 2" descr="GS Logo - 65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oneCellAnchor>
    <xdr:from>
      <xdr:col>0</xdr:col>
      <xdr:colOff>200026</xdr:colOff>
      <xdr:row>1</xdr:row>
      <xdr:rowOff>76199</xdr:rowOff>
    </xdr:from>
    <xdr:ext cx="701039" cy="657226"/>
    <xdr:pic>
      <xdr:nvPicPr>
        <xdr:cNvPr id="4" name="Picture 3" descr="GS Logo - 652">
          <a:extLst>
            <a:ext uri="{FF2B5EF4-FFF2-40B4-BE49-F238E27FC236}">
              <a16:creationId xmlns:a16="http://schemas.microsoft.com/office/drawing/2014/main" id="{B29330EA-A8F4-423B-9F52-365F72AC59E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oneCellAnchor>
    <xdr:from>
      <xdr:col>0</xdr:col>
      <xdr:colOff>200026</xdr:colOff>
      <xdr:row>1</xdr:row>
      <xdr:rowOff>76199</xdr:rowOff>
    </xdr:from>
    <xdr:ext cx="701039" cy="657226"/>
    <xdr:pic>
      <xdr:nvPicPr>
        <xdr:cNvPr id="5" name="Picture 4" descr="GS Logo - 652">
          <a:extLst>
            <a:ext uri="{FF2B5EF4-FFF2-40B4-BE49-F238E27FC236}">
              <a16:creationId xmlns:a16="http://schemas.microsoft.com/office/drawing/2014/main" id="{438F811A-05BA-468C-92D5-55E40010FC6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Foodmanu\2.%20Forecasts\Danisco%20wi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rmwide.corp.gs.com\irroot\TEMP\cache\OLK7D\Caroline%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NTLON011\DEPT\Network\Data%20&amp;%20Statistics\charts%20for%202-00%20Blackboo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erospace\@GMT-2014.02.25-08.05.03\Company%20Models\WIP%20models\cleanCobham%20model%20WIP.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irmwide.corp.gs.com\irroot\Projects\LN\EquityResearch\Machinery\@GMT-2022.12.08-16.01.54\Companies\Atlas%20Copco%20CF.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erospace\@GMT-2014.02.25-08.05.03\Company%20Models\WIP%20models\cleanBAE%20Systems%20model%20WIP%20updating%20new%20bb.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Machinery/Companies/Archive/Airbus%20CF%20-%2006032025.xlsx" TargetMode="External"/><Relationship Id="rId2" Type="http://schemas.openxmlformats.org/officeDocument/2006/relationships/externalLinkPath" Target="file:///\\firmwide.corp.gs.com\root\Projects\Research\ln\EquityResearch\Machinery\Companies\Archive\Airbus%20CF%20-%2006032025.xlsx" TargetMode="External"/><Relationship Id="rId1" Type="http://schemas.openxmlformats.org/officeDocument/2006/relationships/externalLinkPath" Target="/Projects/Research/ln/EquityResearch/Machinery/Companies/Archive/Airbus%20CF%20-%200603202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erospace\@GMT-2014.02.25-08.05.03\Company%20Models\WIP%20models\cleanEADS%20model%20-%20WIP%20April%2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erospace\@GMT-2014.02.25-08.05.03\Company%20Models\WIP%20models\cleanMeggitt%20model%20WI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Aerospace/Company%20Models/WIP%20Models/WIP%20Models/Airbus%20model%20val%20tab.xlsx" TargetMode="External"/><Relationship Id="rId1" Type="http://schemas.openxmlformats.org/officeDocument/2006/relationships/externalLinkPath" Target="/Aerospace/Company%20Models/WIP%20Models/WIP%20Models/Airbus%20model%20val%20tab.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irmwide.corp.gs.com\irroot\Projects\LN\EquityResearch\Machinery\@GMT-2022.12.08-16.01.54\Companies\Sandvik%20CF.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Andreas\Nytt%20pdf-t&#228;n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irmwide.corp.gs.com\irroot\Transport\AIR\DDE-switch%20(Oct02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Aerospace\Models\A_Datastream%20-%2015%20yr%20val%20-%20BAE%20Systems.xls"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Rolls-Royce%20model%20-%20QVAC%20Approved%20-%20Sam%20-%20DCF.xlsx" TargetMode="External"/><Relationship Id="rId2" Type="http://schemas.openxmlformats.org/officeDocument/2006/relationships/externalLinkPath" Target="file:///\\firmwide.corp.gs.com\root\Projects\Research\ln\EquityResearch\Aerospace\Aerospace%20&amp;%20Defence\Models\Rolls-Royce%20model%20-%20QVAC%20Approved%20-%20Sam%20-%20DCF.xlsx" TargetMode="External"/><Relationship Id="rId1" Type="http://schemas.openxmlformats.org/officeDocument/2006/relationships/externalLinkPath" Target="/Projects/Research/ln/EquityResearch/Aerospace/Aerospace%20&amp;%20Defence/Models/Rolls-Royce%20model%20-%20QVAC%20Approved%20-%20Sam%20-%20DCF.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Machinery/Companies/SKF%20CF.xlsx" TargetMode="External"/><Relationship Id="rId1" Type="http://schemas.openxmlformats.org/officeDocument/2006/relationships/externalLinkPath" Target="/Projects/Research/ln/EquityResearch/Machinery/Companies/SKF%20CF.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kapall\AppData\Local\Microsoft\Windows\Temporary%20Internet%20Files\Content.Outlook\6DOPVO91\cleanUltra%20Electronics%20model%20WIP.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All%20Users\Documents\NEW\DJStoxx.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Aerospace/Company%20Models/WIP%20models/Pre-Hallam%20Models/Pre-Hallam%20Rolls-Royce%20model.xlsx" TargetMode="External"/><Relationship Id="rId1" Type="http://schemas.openxmlformats.org/officeDocument/2006/relationships/externalLinkPath" Target="/Aerospace/Company%20Models/WIP%20models/Pre-Hallam%20Models/Pre-Hallam%20Rolls-Royce%20model.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irmwide.corp.gs.com\irroot\Aerospace\Company%20Models\WIP%20Models\Pre-Hallam%20Models\Pre-Hallam%20Airbus%20model.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Aerospace\Company%20Models\Archived%20models\Old%20WIP%20Models\Ultra%20Electronics%20Mode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irmwide.corp.gs.com\irroot\Machinery\MACHINERY%20NEW\Companies\Coverage\Traton\Data%20and%20requests\2020\Atlas%20Copco%20CF.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Autos\AUTOS%20TEAM\Companies\Coverage\Fiat%20Spa\Data%20&amp;%20Requests\Fiat%20model%20extension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Machinery/MACHINERY%20NEW/Companies/Coverage/Sandvik/Data%20and%20Requests/2020/Old%20analysis%20from%20the%20model.xlsx" TargetMode="External"/><Relationship Id="rId1" Type="http://schemas.openxmlformats.org/officeDocument/2006/relationships/externalLinkPath" Target="/Machinery/MACHINERY%20NEW/Companies/Coverage/Sandvik/Data%20and%20Requests/2020/Old%20analysis%20from%20the%20model.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vermgu\AppData\Local\Microsoft\Windows\Temporary%20Internet%20Files\Content.Outlook\0K4CUBR3\GS%20Scania%20ModelWIP.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Autos\AUTOS%20TEAM\Companies\Coverage\DCX\Published%20Research\2013\BMW%20vs%20MCG.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irmwide.corp.gs.com\irroot\Machinery\MACHINERY%20NEW\Companies\Coverage\Traton\Data%20and%20requests\2020\FLSmidth%20CF.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irmwide.corp.gs.com\irroot\Projects\LN\EquityResearch\Machinery\@GMT-2022.12.08-16.01.54\Companies\ABB%20CF.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AppData\Microsoft\Excel\GS%20Fiat%20Mode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Autos\AUTOS%20TEAM\Models\WIP%20models\GS%20Volvo%20ModelWIP.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Aerospace/Company%20Models/WIP%20Models/Pre-Hallam%20Models/Pre-Hallam%20Airbus%20model.xlsx" TargetMode="External"/><Relationship Id="rId1" Type="http://schemas.openxmlformats.org/officeDocument/2006/relationships/externalLinkPath" Target="/Aerospace/Company%20Models/WIP%20Models/Pre-Hallam%20Models/Pre-Hallam%20Airbus%20model.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Machinery/Reference/SKF%20Reference.xlsx" TargetMode="External"/><Relationship Id="rId1" Type="http://schemas.openxmlformats.org/officeDocument/2006/relationships/externalLinkPath" Target="/Machinery/Reference/SKF%20Reference.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Machinery/MACHINERY%20NEW/Companies/Coverage/Sandvik/Data%20and%20Requests/2020/Sandvik_Conglomerate%20discount_20201026.xlsx" TargetMode="External"/><Relationship Id="rId1" Type="http://schemas.openxmlformats.org/officeDocument/2006/relationships/externalLinkPath" Target="/Machinery/MACHINERY%20NEW/Companies/Coverage/Sandvik/Data%20and%20Requests/2020/Sandvik_Conglomerate%20discount_20201026.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achinery/MACHINERY%20NEW/Companies/Coverage/SKF/Data%20and%20Requests/2021/SKF_Old%20tabs%20from%20the%20model_20210728.xlsx" TargetMode="External"/><Relationship Id="rId1" Type="http://schemas.openxmlformats.org/officeDocument/2006/relationships/externalLinkPath" Target="/Machinery/MACHINERY%20NEW/Companies/Coverage/SKF/Data%20and%20Requests/2021/SKF_Old%20tabs%20from%20the%20model_202107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back form"/>
      <sheetName val="Consensus"/>
      <sheetName val="APV"/>
      <sheetName val="OVERVIEW"/>
      <sheetName val="BALANCE SHEET"/>
      <sheetName val="CASHFLOW"/>
      <sheetName val="sugar"/>
      <sheetName val="charts"/>
      <sheetName val="Ingredients"/>
      <sheetName val="disposals"/>
      <sheetName val="Associates"/>
      <sheetName val="shares"/>
      <sheetName val="SOP"/>
      <sheetName val="acquisitions"/>
      <sheetName val="ingredient comps"/>
      <sheetName val="ingredients market"/>
      <sheetName val="DCF of Ingredients"/>
      <sheetName val="managmnt"/>
      <sheetName val="VDF"/>
      <sheetName val="KADS Upload Template"/>
      <sheetName val="RDB_Upload_Status"/>
      <sheetName val="KADS Upload Template 2"/>
      <sheetName val="WACC"/>
      <sheetName val="definitions"/>
      <sheetName val="feedback_form"/>
      <sheetName val="NewLinks"/>
      <sheetName val="NEW7thpage"/>
      <sheetName val="feedback_form1"/>
      <sheetName val="BALANCE_SHEET"/>
      <sheetName val="ingredient_comps"/>
      <sheetName val="ingredients_market"/>
      <sheetName val="DCF_of_Ingredients"/>
      <sheetName val="KADS_Upload_Template"/>
      <sheetName val="KADS_Upload_Template_2"/>
      <sheetName val="feedback_form2"/>
      <sheetName val="BALANCE_SHEET1"/>
      <sheetName val="ingredient_comps1"/>
      <sheetName val="ingredients_market1"/>
      <sheetName val="DCF_of_Ingredients1"/>
      <sheetName val="KADS_Upload_Template1"/>
      <sheetName val="KADS_Upload_Template_21"/>
    </sheetNames>
    <sheetDataSet>
      <sheetData sheetId="0" refreshError="1"/>
      <sheetData sheetId="1" refreshError="1"/>
      <sheetData sheetId="2" refreshError="1"/>
      <sheetData sheetId="3" refreshError="1">
        <row r="9">
          <cell r="AY9">
            <v>18582</v>
          </cell>
          <cell r="AZ9">
            <v>19421.78</v>
          </cell>
          <cell r="BA9">
            <v>19541.402000000002</v>
          </cell>
        </row>
        <row r="74">
          <cell r="AY74">
            <v>7.75</v>
          </cell>
          <cell r="AZ74">
            <v>8</v>
          </cell>
          <cell r="BA74">
            <v>8.25</v>
          </cell>
        </row>
        <row r="80">
          <cell r="AY80">
            <v>3176.5171587577997</v>
          </cell>
          <cell r="AZ80">
            <v>3007.1079651081122</v>
          </cell>
          <cell r="BA80">
            <v>3246.1864441124367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Items &amp; Notes"/>
      <sheetName val="Input Sheet"/>
      <sheetName val="Financials"/>
      <sheetName val="Debt Schedules"/>
      <sheetName val="IRR &amp; Primary vs Secondary"/>
      <sheetName val="AVP"/>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Chart1"/>
      <sheetName val="Chart3"/>
      <sheetName val="Chart3 (2)"/>
      <sheetName val="Chart3b"/>
      <sheetName val="Chart4"/>
      <sheetName val="Chart5"/>
      <sheetName val="Chart6"/>
      <sheetName val="Chart7"/>
      <sheetName val="Data"/>
      <sheetName val="A"/>
      <sheetName val="World"/>
      <sheetName val="World by Tech"/>
      <sheetName val="Geo by Tech"/>
      <sheetName val="Sheet1"/>
      <sheetName val="New Phones"/>
      <sheetName val="Data-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B.L_Live_Sheet"/>
      <sheetName val="COB.L_Validation_Sheet"/>
      <sheetName val="COB.L_Annotation_Sheet"/>
      <sheetName val="COB.L_Exchange_Sheet"/>
      <sheetName val="Sheet5"/>
      <sheetName val="Sheet4"/>
      <sheetName val="MigrationOutput_QP_COB.L"/>
      <sheetName val="QP_COB.L_migrated"/>
      <sheetName val="_QP_COB.L"/>
      <sheetName val="Financials"/>
      <sheetName val="Use of cash"/>
      <sheetName val="Interims"/>
      <sheetName val="Divisional analysis"/>
      <sheetName val="A2A"/>
      <sheetName val="Old Model ---&gt;"/>
      <sheetName val="Data"/>
      <sheetName val="Val"/>
      <sheetName val="CROCI"/>
      <sheetName val="FinancialsDP"/>
      <sheetName val="InterimsDP"/>
      <sheetName val="Org growthDP"/>
      <sheetName val="Structure"/>
      <sheetName val="Shipset vals"/>
      <sheetName val="R4"/>
      <sheetName val="DCF-old"/>
      <sheetName val="Ch1"/>
      <sheetName val="R1"/>
      <sheetName val="M&amp;A flex"/>
      <sheetName val="Ch2"/>
      <sheetName val="Z2 (GS)"/>
      <sheetName val="Z2 (pres)"/>
      <sheetName val="Z3 ROIC"/>
      <sheetName val="OLD - Defence Systems"/>
      <sheetName val="R2"/>
      <sheetName val="R3"/>
      <sheetName val="P1"/>
      <sheetName val="P2"/>
      <sheetName val="P3"/>
      <sheetName val="P4"/>
      <sheetName val="P5"/>
      <sheetName val="P6-Val "/>
      <sheetName val="Sheet1"/>
      <sheetName val="Sheet2"/>
      <sheetName val="Sheet3"/>
    </sheetNames>
    <sheetDataSet>
      <sheetData sheetId="0">
        <row r="1">
          <cell r="A1" t="str">
            <v>Issuer: Cobham</v>
          </cell>
          <cell r="C1">
            <v>332214510</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t="str">
            <v>2006 H1</v>
          </cell>
          <cell r="W1" t="str">
            <v>2006 H2</v>
          </cell>
          <cell r="X1">
            <v>2006</v>
          </cell>
          <cell r="Y1" t="str">
            <v>2007 H1</v>
          </cell>
          <cell r="Z1" t="str">
            <v>2007 H2</v>
          </cell>
          <cell r="AA1">
            <v>2007</v>
          </cell>
          <cell r="AB1" t="str">
            <v>2008 H1</v>
          </cell>
          <cell r="AC1" t="str">
            <v>2008 H2</v>
          </cell>
          <cell r="AD1">
            <v>2008</v>
          </cell>
          <cell r="AE1" t="str">
            <v>2009 H1</v>
          </cell>
          <cell r="AF1" t="str">
            <v>2009 H2</v>
          </cell>
          <cell r="AG1">
            <v>2009</v>
          </cell>
          <cell r="AH1" t="str">
            <v>2010 H1</v>
          </cell>
          <cell r="AI1" t="str">
            <v>2010 H2</v>
          </cell>
          <cell r="AJ1">
            <v>2010</v>
          </cell>
          <cell r="AK1" t="str">
            <v>2011 H1</v>
          </cell>
          <cell r="AL1" t="str">
            <v>2011 H2</v>
          </cell>
          <cell r="AM1">
            <v>2011</v>
          </cell>
          <cell r="AN1">
            <v>2012</v>
          </cell>
          <cell r="AO1">
            <v>2013</v>
          </cell>
          <cell r="AP1">
            <v>2014</v>
          </cell>
          <cell r="AQ1">
            <v>2015</v>
          </cell>
          <cell r="AR1">
            <v>2016</v>
          </cell>
          <cell r="AS1">
            <v>2017</v>
          </cell>
          <cell r="AT1">
            <v>2018</v>
          </cell>
          <cell r="AU1">
            <v>2019</v>
          </cell>
          <cell r="AV1">
            <v>2020</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Estimate</v>
          </cell>
          <cell r="AO2" t="str">
            <v>Estimate</v>
          </cell>
          <cell r="AP2" t="str">
            <v>Estimate</v>
          </cell>
          <cell r="AQ2" t="str">
            <v>Estimate</v>
          </cell>
          <cell r="AR2" t="str">
            <v>Estimate</v>
          </cell>
          <cell r="AS2" t="str">
            <v>Estimate</v>
          </cell>
          <cell r="AT2" t="str">
            <v>Estimate</v>
          </cell>
          <cell r="AU2" t="str">
            <v>Estimate</v>
          </cell>
          <cell r="AV2" t="str">
            <v>Estimate</v>
          </cell>
        </row>
        <row r="3">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38717</v>
          </cell>
          <cell r="V3">
            <v>38898</v>
          </cell>
          <cell r="W3">
            <v>39082</v>
          </cell>
          <cell r="X3">
            <v>39082</v>
          </cell>
          <cell r="Y3">
            <v>39263</v>
          </cell>
          <cell r="Z3">
            <v>39447</v>
          </cell>
          <cell r="AA3">
            <v>39447</v>
          </cell>
          <cell r="AB3">
            <v>39629</v>
          </cell>
          <cell r="AC3">
            <v>39813</v>
          </cell>
          <cell r="AD3">
            <v>39813</v>
          </cell>
          <cell r="AE3">
            <v>39994</v>
          </cell>
          <cell r="AF3">
            <v>40178</v>
          </cell>
          <cell r="AG3">
            <v>40178</v>
          </cell>
          <cell r="AH3">
            <v>40359</v>
          </cell>
          <cell r="AI3">
            <v>40543</v>
          </cell>
          <cell r="AJ3">
            <v>40543</v>
          </cell>
          <cell r="AK3">
            <v>40724</v>
          </cell>
          <cell r="AL3">
            <v>40908</v>
          </cell>
          <cell r="AM3">
            <v>40908</v>
          </cell>
          <cell r="AN3">
            <v>41274</v>
          </cell>
          <cell r="AO3">
            <v>41639</v>
          </cell>
          <cell r="AP3">
            <v>42004</v>
          </cell>
          <cell r="AQ3">
            <v>42369</v>
          </cell>
          <cell r="AR3">
            <v>42735</v>
          </cell>
          <cell r="AS3">
            <v>43100</v>
          </cell>
          <cell r="AT3">
            <v>43465</v>
          </cell>
          <cell r="AU3">
            <v>43830</v>
          </cell>
          <cell r="AV3">
            <v>44196</v>
          </cell>
        </row>
        <row r="4">
          <cell r="A4" t="str">
            <v>Issuer: Cobham</v>
          </cell>
          <cell r="B4" t="str">
            <v>161MM</v>
          </cell>
        </row>
        <row r="5">
          <cell r="A5" t="str">
            <v>Reference Data</v>
          </cell>
        </row>
        <row r="6">
          <cell r="B6" t="str">
            <v>Issuer Name</v>
          </cell>
          <cell r="C6" t="str">
            <v>Issuer Name</v>
          </cell>
          <cell r="E6" t="str">
            <v>Cobham</v>
          </cell>
        </row>
        <row r="7">
          <cell r="B7" t="str">
            <v>Reporting Currency</v>
          </cell>
          <cell r="C7" t="str">
            <v>CURRENCY_ISO</v>
          </cell>
          <cell r="E7" t="str">
            <v>GBP</v>
          </cell>
        </row>
        <row r="8">
          <cell r="A8" t="str">
            <v>Income Statement</v>
          </cell>
        </row>
        <row r="9">
          <cell r="B9" t="str">
            <v>Sales, net revenue</v>
          </cell>
          <cell r="C9" t="str">
            <v>SALES</v>
          </cell>
          <cell r="D9" t="str">
            <v>GBP</v>
          </cell>
          <cell r="F9">
            <v>169.2</v>
          </cell>
          <cell r="G9">
            <v>168.4</v>
          </cell>
          <cell r="H9">
            <v>182.8</v>
          </cell>
          <cell r="I9">
            <v>185.4</v>
          </cell>
          <cell r="J9">
            <v>211.4</v>
          </cell>
          <cell r="K9">
            <v>227.7</v>
          </cell>
          <cell r="L9">
            <v>269.60000000000002</v>
          </cell>
          <cell r="M9">
            <v>322.8</v>
          </cell>
          <cell r="N9">
            <v>384.1</v>
          </cell>
          <cell r="O9">
            <v>435.2</v>
          </cell>
          <cell r="P9">
            <v>568.4</v>
          </cell>
          <cell r="Q9">
            <v>721.8</v>
          </cell>
          <cell r="R9">
            <v>734.6</v>
          </cell>
          <cell r="S9">
            <v>832.6</v>
          </cell>
          <cell r="T9">
            <v>983</v>
          </cell>
          <cell r="U9">
            <v>970.3</v>
          </cell>
          <cell r="X9">
            <v>1012.1</v>
          </cell>
          <cell r="AA9">
            <v>1061.0999999999999</v>
          </cell>
          <cell r="AD9">
            <v>1466.5</v>
          </cell>
          <cell r="AG9">
            <v>1880.4</v>
          </cell>
          <cell r="AJ9">
            <v>1902.6</v>
          </cell>
          <cell r="AM9">
            <v>1854.4</v>
          </cell>
          <cell r="AN9">
            <v>1749.4</v>
          </cell>
          <cell r="AO9">
            <v>1800.30094321401</v>
          </cell>
          <cell r="AP9">
            <v>1851.5465039061901</v>
          </cell>
          <cell r="AQ9">
            <v>1959.11999700662</v>
          </cell>
          <cell r="AR9">
            <v>2066.0869264806402</v>
          </cell>
          <cell r="AS9">
            <v>2176.7136245148099</v>
          </cell>
        </row>
        <row r="10">
          <cell r="B10" t="str">
            <v>Cost of goods sold, COGS</v>
          </cell>
          <cell r="C10" t="str">
            <v>COST_GD_SD</v>
          </cell>
          <cell r="D10" t="str">
            <v>GBP</v>
          </cell>
        </row>
        <row r="11">
          <cell r="B11" t="str">
            <v>SG&amp;A, selling, general and admin. expense</v>
          </cell>
          <cell r="C11" t="str">
            <v>SEL_GL_AD</v>
          </cell>
          <cell r="D11" t="str">
            <v>GBP</v>
          </cell>
          <cell r="N11">
            <v>0</v>
          </cell>
          <cell r="O11">
            <v>0</v>
          </cell>
          <cell r="P11">
            <v>0</v>
          </cell>
          <cell r="Q11">
            <v>0</v>
          </cell>
          <cell r="R11">
            <v>0</v>
          </cell>
          <cell r="S11">
            <v>0</v>
          </cell>
          <cell r="T11">
            <v>0</v>
          </cell>
          <cell r="U11">
            <v>0</v>
          </cell>
          <cell r="X11">
            <v>0</v>
          </cell>
          <cell r="AA11">
            <v>0</v>
          </cell>
        </row>
        <row r="12">
          <cell r="B12" t="str">
            <v>Total operating expense</v>
          </cell>
          <cell r="C12" t="str">
            <v>OP_COST</v>
          </cell>
          <cell r="D12" t="str">
            <v>GBP</v>
          </cell>
          <cell r="F12">
            <v>-135.80000000000001</v>
          </cell>
          <cell r="G12">
            <v>-131.4</v>
          </cell>
          <cell r="H12">
            <v>-142.69999999999999</v>
          </cell>
          <cell r="I12">
            <v>-147.6</v>
          </cell>
          <cell r="J12">
            <v>-166.6</v>
          </cell>
          <cell r="K12">
            <v>-176.3</v>
          </cell>
          <cell r="L12">
            <v>-203.9</v>
          </cell>
          <cell r="M12">
            <v>-240.1</v>
          </cell>
          <cell r="N12">
            <v>-282.3</v>
          </cell>
          <cell r="O12">
            <v>-316.10000000000002</v>
          </cell>
          <cell r="P12">
            <v>-428.9</v>
          </cell>
          <cell r="Q12">
            <v>-550.29999999999995</v>
          </cell>
          <cell r="R12">
            <v>-551.1</v>
          </cell>
          <cell r="S12">
            <v>-610.79999999999995</v>
          </cell>
          <cell r="T12">
            <v>-734.9</v>
          </cell>
          <cell r="U12">
            <v>-698.7</v>
          </cell>
          <cell r="X12">
            <v>-756.2</v>
          </cell>
          <cell r="AA12">
            <v>-772.1</v>
          </cell>
          <cell r="AD12">
            <v>-1058.3</v>
          </cell>
          <cell r="AG12">
            <v>-1457</v>
          </cell>
          <cell r="AJ12">
            <v>-1431.5</v>
          </cell>
          <cell r="AM12">
            <v>-1354.1964</v>
          </cell>
          <cell r="AN12">
            <v>-1219.4000000000001</v>
          </cell>
          <cell r="AO12">
            <v>-1287.38856322379</v>
          </cell>
          <cell r="AP12">
            <v>-1331.8760966039899</v>
          </cell>
          <cell r="AQ12">
            <v>-1405.23915563061</v>
          </cell>
          <cell r="AR12">
            <v>-1474.84267735752</v>
          </cell>
          <cell r="AS12">
            <v>-1558.0015325381401</v>
          </cell>
        </row>
        <row r="13">
          <cell r="B13" t="str">
            <v>R&amp;D expense</v>
          </cell>
          <cell r="C13" t="str">
            <v>RD_EXP</v>
          </cell>
          <cell r="D13" t="str">
            <v>GBP</v>
          </cell>
          <cell r="F13">
            <v>-7.5</v>
          </cell>
          <cell r="G13">
            <v>-7.7</v>
          </cell>
          <cell r="H13">
            <v>-7.8</v>
          </cell>
          <cell r="I13">
            <v>-6.6</v>
          </cell>
          <cell r="J13">
            <v>-7</v>
          </cell>
          <cell r="K13">
            <v>-8.6999999999999993</v>
          </cell>
          <cell r="L13">
            <v>-11.3</v>
          </cell>
          <cell r="M13">
            <v>-12.7</v>
          </cell>
          <cell r="N13">
            <v>-16.5</v>
          </cell>
          <cell r="O13">
            <v>-20.100000000000001</v>
          </cell>
          <cell r="P13">
            <v>-21.6</v>
          </cell>
          <cell r="Q13">
            <v>-28.2</v>
          </cell>
          <cell r="R13">
            <v>-31.6</v>
          </cell>
          <cell r="S13">
            <v>-40.4</v>
          </cell>
          <cell r="T13">
            <v>-48.7</v>
          </cell>
          <cell r="U13">
            <v>-41.2</v>
          </cell>
          <cell r="X13">
            <v>-49.1</v>
          </cell>
          <cell r="AA13">
            <v>-55</v>
          </cell>
          <cell r="AD13">
            <v>-70.5</v>
          </cell>
          <cell r="AG13">
            <v>-88</v>
          </cell>
          <cell r="AJ13">
            <v>-74</v>
          </cell>
          <cell r="AM13">
            <v>-87.303600000000003</v>
          </cell>
          <cell r="AN13">
            <v>-75.400000000000006</v>
          </cell>
          <cell r="AO13">
            <v>-78.350587876771002</v>
          </cell>
          <cell r="AP13">
            <v>-80.943917455071002</v>
          </cell>
          <cell r="AQ13">
            <v>-90.041359157269</v>
          </cell>
          <cell r="AR13">
            <v>-94.716696982149998</v>
          </cell>
          <cell r="AS13">
            <v>-99.526444375699</v>
          </cell>
        </row>
        <row r="14">
          <cell r="B14" t="str">
            <v>Other operating income/(expense) (incl. leases)</v>
          </cell>
          <cell r="C14" t="str">
            <v>OTH_OP_INC_EXP</v>
          </cell>
          <cell r="D14" t="str">
            <v>GBP</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-13</v>
          </cell>
          <cell r="X14">
            <v>15.5</v>
          </cell>
          <cell r="AA14">
            <v>0.1</v>
          </cell>
          <cell r="AD14">
            <v>-53.5</v>
          </cell>
          <cell r="AG14">
            <v>49</v>
          </cell>
          <cell r="AJ14">
            <v>6</v>
          </cell>
          <cell r="AM14">
            <v>9.4</v>
          </cell>
          <cell r="AN14">
            <v>7.4</v>
          </cell>
          <cell r="AO14">
            <v>7.6153120954520004</v>
          </cell>
          <cell r="AP14">
            <v>7.8320819303220004</v>
          </cell>
          <cell r="AQ14">
            <v>8.2871201428199992</v>
          </cell>
          <cell r="AR14">
            <v>8.7395925780020001</v>
          </cell>
          <cell r="AS14">
            <v>9.2075459136899998</v>
          </cell>
        </row>
        <row r="15">
          <cell r="B15" t="str">
            <v>Total operating expense (incl. D&amp;A)</v>
          </cell>
          <cell r="C15" t="str">
            <v>TOT_OPS_EXP_DDA</v>
          </cell>
          <cell r="D15" t="str">
            <v>GBP</v>
          </cell>
          <cell r="F15">
            <v>-152.19999999999999</v>
          </cell>
          <cell r="G15">
            <v>-150.5</v>
          </cell>
          <cell r="H15">
            <v>-162.19999999999999</v>
          </cell>
          <cell r="I15">
            <v>-166.2</v>
          </cell>
          <cell r="J15">
            <v>-186.6</v>
          </cell>
          <cell r="K15">
            <v>-199.4</v>
          </cell>
          <cell r="L15">
            <v>-227.9</v>
          </cell>
          <cell r="M15">
            <v>-267.3</v>
          </cell>
          <cell r="N15">
            <v>-314.89999999999998</v>
          </cell>
          <cell r="O15">
            <v>-355.5</v>
          </cell>
          <cell r="P15">
            <v>-471.3</v>
          </cell>
          <cell r="Q15">
            <v>-604.6</v>
          </cell>
          <cell r="R15">
            <v>-609.1</v>
          </cell>
          <cell r="S15">
            <v>-684.9</v>
          </cell>
          <cell r="T15">
            <v>-826.1</v>
          </cell>
          <cell r="U15">
            <v>-792.6</v>
          </cell>
          <cell r="X15">
            <v>-825.8</v>
          </cell>
          <cell r="AA15">
            <v>-862.3</v>
          </cell>
          <cell r="AD15">
            <v>-1214.9000000000001</v>
          </cell>
          <cell r="AG15">
            <v>-1543.4</v>
          </cell>
          <cell r="AJ15">
            <v>-1554.2</v>
          </cell>
          <cell r="AM15">
            <v>-1489.5</v>
          </cell>
          <cell r="AN15">
            <v>-1416.3</v>
          </cell>
          <cell r="AO15">
            <v>-1491.08307180679</v>
          </cell>
          <cell r="AP15">
            <v>-1541.7318490743701</v>
          </cell>
          <cell r="AQ15">
            <v>-1631.6820328142901</v>
          </cell>
          <cell r="AR15">
            <v>-1713.4083440694801</v>
          </cell>
          <cell r="AS15">
            <v>-1809.0792056013299</v>
          </cell>
        </row>
        <row r="16">
          <cell r="B16" t="str">
            <v>Total operating expense (excl. D&amp;A)</v>
          </cell>
          <cell r="C16" t="str">
            <v>TOT_OPS_EXP</v>
          </cell>
          <cell r="D16" t="str">
            <v>GBP</v>
          </cell>
          <cell r="F16">
            <v>-143.30000000000001</v>
          </cell>
          <cell r="G16">
            <v>-139.1</v>
          </cell>
          <cell r="H16">
            <v>-150.5</v>
          </cell>
          <cell r="I16">
            <v>-154.19999999999999</v>
          </cell>
          <cell r="J16">
            <v>-173.6</v>
          </cell>
          <cell r="K16">
            <v>-185</v>
          </cell>
          <cell r="L16">
            <v>-215.2</v>
          </cell>
          <cell r="M16">
            <v>-252.8</v>
          </cell>
          <cell r="N16">
            <v>-298.8</v>
          </cell>
          <cell r="O16">
            <v>-336.2</v>
          </cell>
          <cell r="P16">
            <v>-450.5</v>
          </cell>
          <cell r="Q16">
            <v>-578.5</v>
          </cell>
          <cell r="R16">
            <v>-582.70000000000005</v>
          </cell>
          <cell r="S16">
            <v>-651.20000000000005</v>
          </cell>
          <cell r="T16">
            <v>-783.6</v>
          </cell>
          <cell r="U16">
            <v>-752.9</v>
          </cell>
          <cell r="X16">
            <v>-789.8</v>
          </cell>
          <cell r="AA16">
            <v>-827</v>
          </cell>
          <cell r="AD16">
            <v>-1182.3</v>
          </cell>
          <cell r="AG16">
            <v>-1496</v>
          </cell>
          <cell r="AJ16">
            <v>-1499.5</v>
          </cell>
          <cell r="AM16">
            <v>-1432.1</v>
          </cell>
          <cell r="AN16">
            <v>-1287.4000000000001</v>
          </cell>
          <cell r="AO16">
            <v>-1358.1238390051101</v>
          </cell>
          <cell r="AP16">
            <v>-1404.9879321287401</v>
          </cell>
          <cell r="AQ16">
            <v>-1486.9933946450601</v>
          </cell>
          <cell r="AR16">
            <v>-1560.8197817616599</v>
          </cell>
          <cell r="AS16">
            <v>-1648.3204310001499</v>
          </cell>
        </row>
        <row r="17">
          <cell r="B17" t="str">
            <v>EBITDA</v>
          </cell>
          <cell r="C17" t="str">
            <v>EBITDA_CALC</v>
          </cell>
          <cell r="D17" t="str">
            <v>GBP</v>
          </cell>
          <cell r="F17">
            <v>25.9</v>
          </cell>
          <cell r="G17">
            <v>29.3</v>
          </cell>
          <cell r="H17">
            <v>32.299999999999997</v>
          </cell>
          <cell r="I17">
            <v>31.2</v>
          </cell>
          <cell r="J17">
            <v>37.799999999999997</v>
          </cell>
          <cell r="K17">
            <v>42.7</v>
          </cell>
          <cell r="L17">
            <v>54.4</v>
          </cell>
          <cell r="M17">
            <v>70</v>
          </cell>
          <cell r="N17">
            <v>85.3</v>
          </cell>
          <cell r="O17">
            <v>99</v>
          </cell>
          <cell r="P17">
            <v>117.9</v>
          </cell>
          <cell r="Q17">
            <v>143.30000000000001</v>
          </cell>
          <cell r="R17">
            <v>151.9</v>
          </cell>
          <cell r="S17">
            <v>181.4</v>
          </cell>
          <cell r="T17">
            <v>199.4</v>
          </cell>
          <cell r="U17">
            <v>217.4</v>
          </cell>
          <cell r="X17">
            <v>222.3</v>
          </cell>
          <cell r="AA17">
            <v>234.1</v>
          </cell>
          <cell r="AD17">
            <v>284.2</v>
          </cell>
          <cell r="AG17">
            <v>384.4</v>
          </cell>
          <cell r="AJ17">
            <v>403.1</v>
          </cell>
          <cell r="AM17">
            <v>422.3</v>
          </cell>
          <cell r="AN17">
            <v>462</v>
          </cell>
          <cell r="AO17">
            <v>442.17710420889802</v>
          </cell>
          <cell r="AP17">
            <v>446.55857177745497</v>
          </cell>
          <cell r="AQ17">
            <v>472.12660236156199</v>
          </cell>
          <cell r="AR17">
            <v>505.26714471897299</v>
          </cell>
          <cell r="AS17">
            <v>528.39319351466304</v>
          </cell>
        </row>
        <row r="18">
          <cell r="B18" t="str">
            <v>Depreciation</v>
          </cell>
          <cell r="C18" t="str">
            <v>DEPREC</v>
          </cell>
          <cell r="D18" t="str">
            <v>GBP</v>
          </cell>
          <cell r="F18">
            <v>-8.9</v>
          </cell>
          <cell r="G18">
            <v>-11.4</v>
          </cell>
          <cell r="H18">
            <v>-11.7</v>
          </cell>
          <cell r="I18">
            <v>-12</v>
          </cell>
          <cell r="J18">
            <v>-13</v>
          </cell>
          <cell r="K18">
            <v>-14.4</v>
          </cell>
          <cell r="L18">
            <v>-12.7</v>
          </cell>
          <cell r="M18">
            <v>-14.5</v>
          </cell>
          <cell r="N18">
            <v>-16.100000000000001</v>
          </cell>
          <cell r="O18">
            <v>-19.3</v>
          </cell>
          <cell r="P18">
            <v>-20.8</v>
          </cell>
          <cell r="Q18">
            <v>-26.1</v>
          </cell>
          <cell r="R18">
            <v>-26.4</v>
          </cell>
          <cell r="S18">
            <v>-33.700000000000003</v>
          </cell>
          <cell r="T18">
            <v>-42.5</v>
          </cell>
          <cell r="U18">
            <v>-39.700000000000003</v>
          </cell>
          <cell r="X18">
            <v>-36</v>
          </cell>
          <cell r="AA18">
            <v>-35.299999999999997</v>
          </cell>
          <cell r="AD18">
            <v>-32.6</v>
          </cell>
          <cell r="AG18">
            <v>-47.4</v>
          </cell>
          <cell r="AJ18">
            <v>-54.7</v>
          </cell>
          <cell r="AM18">
            <v>-57.4</v>
          </cell>
          <cell r="AN18">
            <v>-55.2</v>
          </cell>
          <cell r="AO18">
            <v>-56.806111847155002</v>
          </cell>
          <cell r="AP18">
            <v>-58.423097642404002</v>
          </cell>
          <cell r="AQ18">
            <v>-61.817436741034001</v>
          </cell>
          <cell r="AR18">
            <v>-65.192636527798996</v>
          </cell>
          <cell r="AS18">
            <v>-68.683315464282998</v>
          </cell>
        </row>
        <row r="19">
          <cell r="B19" t="str">
            <v>Amortization</v>
          </cell>
          <cell r="C19" t="str">
            <v>GOODWILL_AMORT</v>
          </cell>
          <cell r="D19" t="str">
            <v>GBP</v>
          </cell>
          <cell r="U19">
            <v>0</v>
          </cell>
          <cell r="X19">
            <v>0</v>
          </cell>
          <cell r="AA19">
            <v>0</v>
          </cell>
          <cell r="AD19">
            <v>-48.4</v>
          </cell>
          <cell r="AG19">
            <v>-83.3</v>
          </cell>
          <cell r="AJ19">
            <v>-70.3</v>
          </cell>
          <cell r="AM19">
            <v>-72</v>
          </cell>
          <cell r="AN19">
            <v>-73.7</v>
          </cell>
          <cell r="AO19">
            <v>-76.153120954520006</v>
          </cell>
          <cell r="AP19">
            <v>-78.320819303223004</v>
          </cell>
          <cell r="AQ19">
            <v>-82.871201428198006</v>
          </cell>
          <cell r="AR19">
            <v>-87.395925780019994</v>
          </cell>
          <cell r="AS19">
            <v>-92.075459136901998</v>
          </cell>
        </row>
        <row r="20">
          <cell r="B20" t="str">
            <v>EBIT, operating profit</v>
          </cell>
          <cell r="C20" t="str">
            <v>EBIT</v>
          </cell>
          <cell r="D20" t="str">
            <v>GBP</v>
          </cell>
          <cell r="F20">
            <v>17</v>
          </cell>
          <cell r="G20">
            <v>17.899999999999999</v>
          </cell>
          <cell r="H20">
            <v>20.6</v>
          </cell>
          <cell r="I20">
            <v>19.2</v>
          </cell>
          <cell r="J20">
            <v>24.8</v>
          </cell>
          <cell r="K20">
            <v>28.3</v>
          </cell>
          <cell r="L20">
            <v>41.7</v>
          </cell>
          <cell r="M20">
            <v>55.5</v>
          </cell>
          <cell r="N20">
            <v>69.2</v>
          </cell>
          <cell r="O20">
            <v>79.7</v>
          </cell>
          <cell r="P20">
            <v>97.1</v>
          </cell>
          <cell r="Q20">
            <v>117.2</v>
          </cell>
          <cell r="R20">
            <v>125.5</v>
          </cell>
          <cell r="S20">
            <v>147.69999999999999</v>
          </cell>
          <cell r="T20">
            <v>156.9</v>
          </cell>
          <cell r="U20">
            <v>177.7</v>
          </cell>
          <cell r="X20">
            <v>186.3</v>
          </cell>
          <cell r="AA20">
            <v>198.8</v>
          </cell>
          <cell r="AD20">
            <v>251.6</v>
          </cell>
          <cell r="AG20">
            <v>337</v>
          </cell>
          <cell r="AJ20">
            <v>348.4</v>
          </cell>
          <cell r="AM20">
            <v>364.9</v>
          </cell>
          <cell r="AN20">
            <v>333.1</v>
          </cell>
          <cell r="AO20">
            <v>309.21787140722302</v>
          </cell>
          <cell r="AP20">
            <v>309.81465483182802</v>
          </cell>
          <cell r="AQ20">
            <v>327.43796419232899</v>
          </cell>
          <cell r="AR20">
            <v>352.67858241115499</v>
          </cell>
          <cell r="AS20">
            <v>367.63441891347799</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cell r="F23">
            <v>4.3</v>
          </cell>
          <cell r="G23">
            <v>3.5</v>
          </cell>
          <cell r="H23">
            <v>2.7</v>
          </cell>
          <cell r="I23">
            <v>1.8</v>
          </cell>
          <cell r="J23">
            <v>1</v>
          </cell>
          <cell r="K23">
            <v>1.5</v>
          </cell>
          <cell r="L23">
            <v>2</v>
          </cell>
          <cell r="M23">
            <v>-3.2</v>
          </cell>
          <cell r="N23">
            <v>-6</v>
          </cell>
          <cell r="O23">
            <v>-7.1</v>
          </cell>
          <cell r="P23">
            <v>-6.9</v>
          </cell>
          <cell r="Q23">
            <v>-13.7</v>
          </cell>
          <cell r="R23">
            <v>-10.199999999999999</v>
          </cell>
          <cell r="S23">
            <v>-12.4</v>
          </cell>
          <cell r="T23">
            <v>-10</v>
          </cell>
          <cell r="U23">
            <v>-10.7</v>
          </cell>
          <cell r="X23">
            <v>-3.4</v>
          </cell>
          <cell r="AA23">
            <v>7.7</v>
          </cell>
          <cell r="AD23">
            <v>-7.8</v>
          </cell>
          <cell r="AG23">
            <v>-41.7</v>
          </cell>
          <cell r="AJ23">
            <v>-40.799999999999997</v>
          </cell>
          <cell r="AM23">
            <v>-37</v>
          </cell>
          <cell r="AN23">
            <v>-30.9</v>
          </cell>
          <cell r="AO23">
            <v>-29.737972412247998</v>
          </cell>
          <cell r="AP23">
            <v>-29.190866900151001</v>
          </cell>
          <cell r="AQ23">
            <v>-29.433877092125002</v>
          </cell>
          <cell r="AR23">
            <v>-29.504061102363</v>
          </cell>
          <cell r="AS23">
            <v>-29.298204403945</v>
          </cell>
        </row>
        <row r="24">
          <cell r="B24" t="str">
            <v>Income/(loss) from unconsolidated subs &amp; associates</v>
          </cell>
          <cell r="C24" t="str">
            <v>ASSOCIATE</v>
          </cell>
          <cell r="D24" t="str">
            <v>GBP</v>
          </cell>
        </row>
        <row r="25">
          <cell r="B25" t="str">
            <v>Profit/(loss) on disposals of assets, pre-tax</v>
          </cell>
          <cell r="C25" t="str">
            <v>PROFIT_ON_DISP</v>
          </cell>
          <cell r="D25" t="str">
            <v>GBP</v>
          </cell>
          <cell r="N25">
            <v>0</v>
          </cell>
          <cell r="O25">
            <v>0</v>
          </cell>
          <cell r="Q25">
            <v>0</v>
          </cell>
          <cell r="R25">
            <v>0</v>
          </cell>
          <cell r="T25">
            <v>0</v>
          </cell>
          <cell r="U25">
            <v>0</v>
          </cell>
          <cell r="X25">
            <v>0</v>
          </cell>
          <cell r="AA25">
            <v>0</v>
          </cell>
        </row>
        <row r="26">
          <cell r="B26" t="str">
            <v>Other non-ops income/(expense)</v>
          </cell>
          <cell r="C26" t="str">
            <v>OTH_COST_INC</v>
          </cell>
          <cell r="D26" t="str">
            <v>GBP</v>
          </cell>
          <cell r="U26">
            <v>0</v>
          </cell>
        </row>
        <row r="27">
          <cell r="B27" t="str">
            <v>Pre-tax profit</v>
          </cell>
          <cell r="C27" t="str">
            <v>PT_PROF</v>
          </cell>
          <cell r="D27" t="str">
            <v>GBP</v>
          </cell>
          <cell r="F27">
            <v>21.3</v>
          </cell>
          <cell r="G27">
            <v>21.4</v>
          </cell>
          <cell r="H27">
            <v>23.3</v>
          </cell>
          <cell r="I27">
            <v>21</v>
          </cell>
          <cell r="J27">
            <v>25.8</v>
          </cell>
          <cell r="K27">
            <v>29.8</v>
          </cell>
          <cell r="L27">
            <v>43.7</v>
          </cell>
          <cell r="M27">
            <v>52.3</v>
          </cell>
          <cell r="N27">
            <v>63.2</v>
          </cell>
          <cell r="O27">
            <v>72.599999999999994</v>
          </cell>
          <cell r="P27">
            <v>90.2</v>
          </cell>
          <cell r="Q27">
            <v>103.5</v>
          </cell>
          <cell r="R27">
            <v>115.3</v>
          </cell>
          <cell r="S27">
            <v>135.30000000000001</v>
          </cell>
          <cell r="T27">
            <v>146.9</v>
          </cell>
          <cell r="U27">
            <v>167</v>
          </cell>
          <cell r="X27">
            <v>182.9</v>
          </cell>
          <cell r="AA27">
            <v>206.5</v>
          </cell>
          <cell r="AD27">
            <v>243.8</v>
          </cell>
          <cell r="AG27">
            <v>295.3</v>
          </cell>
          <cell r="AJ27">
            <v>307.60000000000002</v>
          </cell>
          <cell r="AM27">
            <v>327.9</v>
          </cell>
          <cell r="AN27">
            <v>302.2</v>
          </cell>
          <cell r="AO27">
            <v>279.479898994976</v>
          </cell>
          <cell r="AP27">
            <v>280.62378793167699</v>
          </cell>
          <cell r="AQ27">
            <v>298.00408710020503</v>
          </cell>
          <cell r="AR27">
            <v>323.17452130879099</v>
          </cell>
          <cell r="AS27">
            <v>338.33621450953302</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cell r="P30">
            <v>0.30606617647099998</v>
          </cell>
          <cell r="Q30">
            <v>0.21323011963399999</v>
          </cell>
          <cell r="R30">
            <v>1.7999999999999999E-2</v>
          </cell>
          <cell r="S30">
            <v>0.08</v>
          </cell>
          <cell r="T30">
            <v>0.107</v>
          </cell>
          <cell r="U30">
            <v>7.5999999999999998E-2</v>
          </cell>
          <cell r="X30">
            <v>0.04</v>
          </cell>
          <cell r="AA30">
            <v>0.106</v>
          </cell>
          <cell r="AD30">
            <v>9.5000000000000001E-2</v>
          </cell>
          <cell r="AG30">
            <v>8.9999999999999993E-3</v>
          </cell>
          <cell r="AJ30">
            <v>7.0000000000000001E-3</v>
          </cell>
          <cell r="AM30">
            <v>3.0000000000000001E-3</v>
          </cell>
          <cell r="AN30">
            <v>-8.2067613909999997E-3</v>
          </cell>
          <cell r="AO30">
            <v>-2.2616712224999998E-2</v>
          </cell>
          <cell r="AP30">
            <v>-1.1476905428000001E-2</v>
          </cell>
          <cell r="AQ30">
            <v>3.6811874309999999E-2</v>
          </cell>
          <cell r="AR30">
            <v>3.2871585565999999E-2</v>
          </cell>
          <cell r="AS30">
            <v>3.2932628063E-2</v>
          </cell>
        </row>
        <row r="31">
          <cell r="B31" t="str">
            <v>Lease payments</v>
          </cell>
          <cell r="C31" t="str">
            <v>LEASE_PAY</v>
          </cell>
          <cell r="D31" t="str">
            <v>GBP</v>
          </cell>
          <cell r="N31">
            <v>0</v>
          </cell>
          <cell r="O31">
            <v>0</v>
          </cell>
          <cell r="P31">
            <v>0</v>
          </cell>
          <cell r="Q31">
            <v>0</v>
          </cell>
          <cell r="R31">
            <v>0</v>
          </cell>
          <cell r="S31">
            <v>0</v>
          </cell>
          <cell r="T31">
            <v>0</v>
          </cell>
          <cell r="U31">
            <v>0</v>
          </cell>
          <cell r="X31">
            <v>0</v>
          </cell>
          <cell r="AA31">
            <v>0</v>
          </cell>
        </row>
        <row r="32">
          <cell r="B32" t="str">
            <v>Lease payments (deemed interest portion)</v>
          </cell>
          <cell r="C32" t="str">
            <v>LEASE_DEEM_INT</v>
          </cell>
          <cell r="D32" t="str">
            <v>GBP</v>
          </cell>
          <cell r="N32">
            <v>0.33333299999999999</v>
          </cell>
          <cell r="O32">
            <v>0.33333299999999999</v>
          </cell>
          <cell r="P32">
            <v>0.33333299999999999</v>
          </cell>
          <cell r="Q32">
            <v>0.33333299999999999</v>
          </cell>
          <cell r="R32">
            <v>0.33333299999999999</v>
          </cell>
          <cell r="S32">
            <v>0.33333299999999999</v>
          </cell>
          <cell r="T32">
            <v>0.33333299999999999</v>
          </cell>
          <cell r="U32">
            <v>0.33333299999999999</v>
          </cell>
          <cell r="X32">
            <v>0.33333299999999999</v>
          </cell>
          <cell r="AA32">
            <v>0.33333299999999999</v>
          </cell>
        </row>
        <row r="33">
          <cell r="B33" t="str">
            <v>Lease payments (deemed depreciation portion)</v>
          </cell>
          <cell r="C33" t="str">
            <v>LEASE_DEEM_DEPR</v>
          </cell>
          <cell r="D33" t="str">
            <v>GBP</v>
          </cell>
          <cell r="N33">
            <v>0.66666700000000001</v>
          </cell>
          <cell r="O33">
            <v>0.66666700000000001</v>
          </cell>
          <cell r="P33">
            <v>0.66666700000000001</v>
          </cell>
          <cell r="Q33">
            <v>0.66666700000000001</v>
          </cell>
          <cell r="R33">
            <v>0.66666700000000001</v>
          </cell>
          <cell r="S33">
            <v>0.66666700000000001</v>
          </cell>
          <cell r="T33">
            <v>0.66666700000000001</v>
          </cell>
          <cell r="U33">
            <v>0.66666700000000001</v>
          </cell>
          <cell r="X33">
            <v>0.66666700000000001</v>
          </cell>
          <cell r="AA33">
            <v>0.66666700000000001</v>
          </cell>
        </row>
        <row r="34">
          <cell r="B34" t="str">
            <v>Gross interest charge</v>
          </cell>
          <cell r="C34" t="str">
            <v>NET_INT_CH</v>
          </cell>
          <cell r="D34" t="str">
            <v>GBP</v>
          </cell>
          <cell r="AD34">
            <v>0</v>
          </cell>
          <cell r="AG34">
            <v>0</v>
          </cell>
          <cell r="AJ34">
            <v>0</v>
          </cell>
          <cell r="AM34">
            <v>0</v>
          </cell>
        </row>
        <row r="35">
          <cell r="B35" t="str">
            <v>Income from associates (operating)</v>
          </cell>
          <cell r="C35" t="str">
            <v>ASSOCIATE_OP</v>
          </cell>
          <cell r="D35" t="str">
            <v>GBP</v>
          </cell>
          <cell r="N35">
            <v>0</v>
          </cell>
          <cell r="O35">
            <v>0</v>
          </cell>
          <cell r="P35">
            <v>0</v>
          </cell>
          <cell r="Q35">
            <v>0</v>
          </cell>
          <cell r="R35">
            <v>0</v>
          </cell>
          <cell r="S35">
            <v>0</v>
          </cell>
          <cell r="T35">
            <v>0</v>
          </cell>
          <cell r="U35">
            <v>0</v>
          </cell>
          <cell r="X35">
            <v>0</v>
          </cell>
          <cell r="AA35">
            <v>0</v>
          </cell>
        </row>
        <row r="36">
          <cell r="B36" t="str">
            <v>Goodwill amortization</v>
          </cell>
          <cell r="C36" t="str">
            <v>GW_AMORT</v>
          </cell>
          <cell r="D36" t="str">
            <v>GBP</v>
          </cell>
          <cell r="F36">
            <v>0</v>
          </cell>
          <cell r="G36">
            <v>0</v>
          </cell>
          <cell r="H36">
            <v>0</v>
          </cell>
          <cell r="I36">
            <v>0</v>
          </cell>
          <cell r="J36">
            <v>0</v>
          </cell>
          <cell r="K36">
            <v>0</v>
          </cell>
          <cell r="L36">
            <v>0</v>
          </cell>
          <cell r="M36">
            <v>0</v>
          </cell>
          <cell r="N36">
            <v>-1.3</v>
          </cell>
          <cell r="O36">
            <v>-2.9</v>
          </cell>
          <cell r="P36">
            <v>-4.9000000000000004</v>
          </cell>
          <cell r="Q36">
            <v>-11.9</v>
          </cell>
          <cell r="R36">
            <v>-12.7</v>
          </cell>
          <cell r="S36">
            <v>-15.9</v>
          </cell>
          <cell r="T36">
            <v>-21</v>
          </cell>
          <cell r="U36">
            <v>0</v>
          </cell>
          <cell r="X36">
            <v>0</v>
          </cell>
          <cell r="AA36">
            <v>0</v>
          </cell>
          <cell r="AD36">
            <v>0</v>
          </cell>
          <cell r="AG36">
            <v>0</v>
          </cell>
          <cell r="AJ36">
            <v>0</v>
          </cell>
          <cell r="AM36">
            <v>0</v>
          </cell>
        </row>
        <row r="37">
          <cell r="B37" t="str">
            <v>Other intangible amortization</v>
          </cell>
          <cell r="C37" t="str">
            <v>OTH_INT_AMORT</v>
          </cell>
          <cell r="D37" t="str">
            <v>GBP</v>
          </cell>
          <cell r="N37">
            <v>0</v>
          </cell>
          <cell r="O37">
            <v>0</v>
          </cell>
          <cell r="P37">
            <v>0</v>
          </cell>
          <cell r="Q37">
            <v>0</v>
          </cell>
          <cell r="R37">
            <v>0</v>
          </cell>
          <cell r="S37">
            <v>0</v>
          </cell>
          <cell r="T37">
            <v>0</v>
          </cell>
          <cell r="U37">
            <v>0</v>
          </cell>
          <cell r="X37">
            <v>0</v>
          </cell>
          <cell r="AA37">
            <v>0</v>
          </cell>
        </row>
        <row r="38">
          <cell r="A38" t="str">
            <v>Balance Sheet</v>
          </cell>
        </row>
        <row r="39">
          <cell r="B39" t="str">
            <v>Cash &amp; cash equivalents</v>
          </cell>
          <cell r="C39" t="str">
            <v>CASH_EQ</v>
          </cell>
          <cell r="D39" t="str">
            <v>GBP</v>
          </cell>
          <cell r="F39">
            <v>43.3</v>
          </cell>
          <cell r="G39">
            <v>44.1</v>
          </cell>
          <cell r="H39">
            <v>47.3</v>
          </cell>
          <cell r="I39">
            <v>53.1</v>
          </cell>
          <cell r="J39">
            <v>56</v>
          </cell>
          <cell r="K39">
            <v>82</v>
          </cell>
          <cell r="L39">
            <v>63.8</v>
          </cell>
          <cell r="M39">
            <v>52.7</v>
          </cell>
          <cell r="N39">
            <v>33.700000000000003</v>
          </cell>
          <cell r="O39">
            <v>35.299999999999997</v>
          </cell>
          <cell r="P39">
            <v>28.6</v>
          </cell>
          <cell r="Q39">
            <v>43.9</v>
          </cell>
          <cell r="R39">
            <v>72</v>
          </cell>
          <cell r="S39">
            <v>106.2</v>
          </cell>
          <cell r="T39">
            <v>101.3</v>
          </cell>
          <cell r="U39">
            <v>251.8</v>
          </cell>
          <cell r="X39">
            <v>364.3</v>
          </cell>
          <cell r="AA39">
            <v>444.5</v>
          </cell>
          <cell r="AD39">
            <v>311</v>
          </cell>
          <cell r="AG39">
            <v>366.4</v>
          </cell>
          <cell r="AJ39">
            <v>473</v>
          </cell>
          <cell r="AM39">
            <v>345.6</v>
          </cell>
          <cell r="AN39">
            <v>264.2</v>
          </cell>
          <cell r="AO39">
            <v>263.91729986827801</v>
          </cell>
          <cell r="AP39">
            <v>302.88859422508301</v>
          </cell>
          <cell r="AQ39">
            <v>190.52232515142799</v>
          </cell>
          <cell r="AR39">
            <v>220.64882796024301</v>
          </cell>
          <cell r="AS39">
            <v>149.61857293454401</v>
          </cell>
        </row>
        <row r="40">
          <cell r="B40" t="str">
            <v>Accounts receivable</v>
          </cell>
          <cell r="C40" t="str">
            <v>DEBTORS</v>
          </cell>
          <cell r="D40" t="str">
            <v>GBP</v>
          </cell>
          <cell r="F40">
            <v>50.3</v>
          </cell>
          <cell r="G40">
            <v>51.9</v>
          </cell>
          <cell r="H40">
            <v>57.9</v>
          </cell>
          <cell r="I40">
            <v>67.3</v>
          </cell>
          <cell r="J40">
            <v>73.7</v>
          </cell>
          <cell r="K40">
            <v>80.7</v>
          </cell>
          <cell r="L40">
            <v>76.2</v>
          </cell>
          <cell r="M40">
            <v>103.2</v>
          </cell>
          <cell r="N40">
            <v>126.1</v>
          </cell>
          <cell r="O40">
            <v>127.6</v>
          </cell>
          <cell r="P40">
            <v>153.5</v>
          </cell>
          <cell r="Q40">
            <v>197.5</v>
          </cell>
          <cell r="R40">
            <v>200</v>
          </cell>
          <cell r="S40">
            <v>190.8</v>
          </cell>
          <cell r="T40">
            <v>237.3</v>
          </cell>
          <cell r="U40">
            <v>217</v>
          </cell>
          <cell r="X40">
            <v>191.8</v>
          </cell>
          <cell r="AA40">
            <v>247.3</v>
          </cell>
          <cell r="AD40">
            <v>379.6</v>
          </cell>
          <cell r="AG40">
            <v>373.5</v>
          </cell>
          <cell r="AJ40">
            <v>358.3</v>
          </cell>
          <cell r="AM40">
            <v>317.5</v>
          </cell>
          <cell r="AN40">
            <v>328.1</v>
          </cell>
          <cell r="AO40">
            <v>337.64647277267397</v>
          </cell>
          <cell r="AP40">
            <v>347.25757855928998</v>
          </cell>
          <cell r="AQ40">
            <v>367.432989035025</v>
          </cell>
          <cell r="AR40">
            <v>387.494638492224</v>
          </cell>
          <cell r="AS40">
            <v>408.24267760564101</v>
          </cell>
        </row>
        <row r="41">
          <cell r="B41" t="str">
            <v>Inventory</v>
          </cell>
          <cell r="C41" t="str">
            <v>STOCKS</v>
          </cell>
          <cell r="D41" t="str">
            <v>GBP</v>
          </cell>
          <cell r="F41">
            <v>39.799999999999997</v>
          </cell>
          <cell r="G41">
            <v>48.2</v>
          </cell>
          <cell r="H41">
            <v>48.7</v>
          </cell>
          <cell r="I41">
            <v>45.5</v>
          </cell>
          <cell r="J41">
            <v>41.4</v>
          </cell>
          <cell r="K41">
            <v>42.6</v>
          </cell>
          <cell r="L41">
            <v>50.3</v>
          </cell>
          <cell r="M41">
            <v>67.7</v>
          </cell>
          <cell r="N41">
            <v>77</v>
          </cell>
          <cell r="O41">
            <v>89.1</v>
          </cell>
          <cell r="P41">
            <v>124</v>
          </cell>
          <cell r="Q41">
            <v>143.6</v>
          </cell>
          <cell r="R41">
            <v>154.80000000000001</v>
          </cell>
          <cell r="S41">
            <v>190</v>
          </cell>
          <cell r="T41">
            <v>183.9</v>
          </cell>
          <cell r="U41">
            <v>167.2</v>
          </cell>
          <cell r="X41">
            <v>160.19999999999999</v>
          </cell>
          <cell r="AA41">
            <v>170.1</v>
          </cell>
          <cell r="AD41">
            <v>246.8</v>
          </cell>
          <cell r="AG41">
            <v>249.8</v>
          </cell>
          <cell r="AJ41">
            <v>287.39999999999998</v>
          </cell>
          <cell r="AM41">
            <v>304.60000000000002</v>
          </cell>
          <cell r="AN41">
            <v>306.39999999999998</v>
          </cell>
          <cell r="AO41">
            <v>291.39999999999998</v>
          </cell>
          <cell r="AP41">
            <v>276.39999999999998</v>
          </cell>
          <cell r="AQ41">
            <v>292.45863716100598</v>
          </cell>
          <cell r="AR41">
            <v>308.426726131088</v>
          </cell>
          <cell r="AS41">
            <v>324.94114760099802</v>
          </cell>
        </row>
        <row r="42">
          <cell r="B42" t="str">
            <v>Other current assets</v>
          </cell>
          <cell r="C42" t="str">
            <v>OTH_CUR_ASS</v>
          </cell>
          <cell r="D42" t="str">
            <v>GBP</v>
          </cell>
          <cell r="F42">
            <v>0</v>
          </cell>
          <cell r="G42">
            <v>0</v>
          </cell>
          <cell r="H42">
            <v>0</v>
          </cell>
          <cell r="I42">
            <v>0</v>
          </cell>
          <cell r="J42">
            <v>0</v>
          </cell>
          <cell r="K42">
            <v>0</v>
          </cell>
          <cell r="L42">
            <v>0</v>
          </cell>
          <cell r="M42">
            <v>0</v>
          </cell>
          <cell r="N42">
            <v>0</v>
          </cell>
          <cell r="O42">
            <v>0</v>
          </cell>
          <cell r="P42">
            <v>0</v>
          </cell>
          <cell r="Q42">
            <v>0.1</v>
          </cell>
          <cell r="R42">
            <v>0.1</v>
          </cell>
          <cell r="S42">
            <v>0</v>
          </cell>
          <cell r="T42">
            <v>0</v>
          </cell>
          <cell r="U42">
            <v>21.9</v>
          </cell>
          <cell r="X42">
            <v>10.199999999999999</v>
          </cell>
          <cell r="AA42">
            <v>7.7</v>
          </cell>
          <cell r="AD42">
            <v>79.7</v>
          </cell>
          <cell r="AG42">
            <v>17.899999999999999</v>
          </cell>
          <cell r="AJ42">
            <v>23.8</v>
          </cell>
          <cell r="AM42">
            <v>32.9</v>
          </cell>
          <cell r="AN42">
            <v>26.3</v>
          </cell>
          <cell r="AO42">
            <v>26.3</v>
          </cell>
          <cell r="AP42">
            <v>26.3</v>
          </cell>
          <cell r="AQ42">
            <v>26.3</v>
          </cell>
          <cell r="AR42">
            <v>26.3</v>
          </cell>
          <cell r="AS42">
            <v>26.3</v>
          </cell>
        </row>
        <row r="43">
          <cell r="B43" t="str">
            <v>Total current assets</v>
          </cell>
          <cell r="C43" t="str">
            <v>CUR_ASS</v>
          </cell>
          <cell r="D43" t="str">
            <v>GBP</v>
          </cell>
          <cell r="F43">
            <v>133.4</v>
          </cell>
          <cell r="G43">
            <v>144.19999999999999</v>
          </cell>
          <cell r="H43">
            <v>153.9</v>
          </cell>
          <cell r="I43">
            <v>165.9</v>
          </cell>
          <cell r="J43">
            <v>171.1</v>
          </cell>
          <cell r="K43">
            <v>205.3</v>
          </cell>
          <cell r="L43">
            <v>190.3</v>
          </cell>
          <cell r="M43">
            <v>223.6</v>
          </cell>
          <cell r="N43">
            <v>236.8</v>
          </cell>
          <cell r="O43">
            <v>252</v>
          </cell>
          <cell r="P43">
            <v>306.10000000000002</v>
          </cell>
          <cell r="Q43">
            <v>385.1</v>
          </cell>
          <cell r="R43">
            <v>426.9</v>
          </cell>
          <cell r="S43">
            <v>487</v>
          </cell>
          <cell r="T43">
            <v>522.5</v>
          </cell>
          <cell r="U43">
            <v>657.9</v>
          </cell>
          <cell r="X43">
            <v>726.5</v>
          </cell>
          <cell r="AA43">
            <v>869.6</v>
          </cell>
          <cell r="AD43">
            <v>1017.1</v>
          </cell>
          <cell r="AG43">
            <v>1007.6</v>
          </cell>
          <cell r="AJ43">
            <v>1142.5</v>
          </cell>
          <cell r="AM43">
            <v>1000.6</v>
          </cell>
          <cell r="AN43">
            <v>925</v>
          </cell>
          <cell r="AO43">
            <v>919.26377264095197</v>
          </cell>
          <cell r="AP43">
            <v>952.84617278437304</v>
          </cell>
          <cell r="AQ43">
            <v>876.71395134745899</v>
          </cell>
          <cell r="AR43">
            <v>942.87019258355394</v>
          </cell>
          <cell r="AS43">
            <v>909.10239814118302</v>
          </cell>
        </row>
        <row r="44">
          <cell r="B44" t="str">
            <v>Gross fixed assets, PP&amp;E</v>
          </cell>
          <cell r="C44" t="str">
            <v>GR_FIX_ASS</v>
          </cell>
          <cell r="D44" t="str">
            <v>GBP</v>
          </cell>
          <cell r="F44">
            <v>79.5</v>
          </cell>
          <cell r="G44">
            <v>79.099999999999994</v>
          </cell>
          <cell r="H44">
            <v>82.6</v>
          </cell>
          <cell r="I44">
            <v>85.1</v>
          </cell>
          <cell r="J44">
            <v>91.9</v>
          </cell>
          <cell r="K44">
            <v>97.2</v>
          </cell>
          <cell r="L44">
            <v>100.5</v>
          </cell>
          <cell r="M44">
            <v>252.3</v>
          </cell>
          <cell r="N44">
            <v>265.3</v>
          </cell>
          <cell r="O44">
            <v>287.39999999999998</v>
          </cell>
          <cell r="P44">
            <v>370.3</v>
          </cell>
          <cell r="Q44">
            <v>396.6</v>
          </cell>
          <cell r="R44">
            <v>423.9</v>
          </cell>
          <cell r="S44">
            <v>483.5</v>
          </cell>
          <cell r="T44">
            <v>534.4</v>
          </cell>
          <cell r="U44">
            <v>503.6</v>
          </cell>
          <cell r="X44">
            <v>484.9</v>
          </cell>
          <cell r="AA44">
            <v>528.79999999999995</v>
          </cell>
          <cell r="AD44">
            <v>665.8</v>
          </cell>
          <cell r="AG44">
            <v>721</v>
          </cell>
          <cell r="AJ44">
            <v>787.5</v>
          </cell>
          <cell r="AM44">
            <v>785.8</v>
          </cell>
          <cell r="AN44">
            <v>798.4</v>
          </cell>
          <cell r="AO44">
            <v>859.6</v>
          </cell>
          <cell r="AP44">
            <v>919.87536205864399</v>
          </cell>
          <cell r="AQ44">
            <v>983.65267841919899</v>
          </cell>
          <cell r="AR44">
            <v>1050.9122029709899</v>
          </cell>
          <cell r="AS44">
            <v>1121.77307605131</v>
          </cell>
        </row>
        <row r="45">
          <cell r="B45" t="str">
            <v>Accumulated depreciation</v>
          </cell>
          <cell r="C45" t="str">
            <v>ACC_DDA</v>
          </cell>
          <cell r="D45" t="str">
            <v>GBP</v>
          </cell>
          <cell r="F45">
            <v>0</v>
          </cell>
          <cell r="G45">
            <v>0</v>
          </cell>
          <cell r="H45">
            <v>0</v>
          </cell>
          <cell r="I45">
            <v>0</v>
          </cell>
          <cell r="J45">
            <v>0</v>
          </cell>
          <cell r="K45">
            <v>0</v>
          </cell>
          <cell r="L45">
            <v>0</v>
          </cell>
          <cell r="M45">
            <v>-132.9</v>
          </cell>
          <cell r="N45">
            <v>-128.80000000000001</v>
          </cell>
          <cell r="O45">
            <v>-150.9</v>
          </cell>
          <cell r="P45">
            <v>-183.7</v>
          </cell>
          <cell r="Q45">
            <v>-205.6</v>
          </cell>
          <cell r="R45">
            <v>-229.8</v>
          </cell>
          <cell r="S45">
            <v>-255.4</v>
          </cell>
          <cell r="T45">
            <v>-293.39999999999998</v>
          </cell>
          <cell r="U45">
            <v>-300.8</v>
          </cell>
          <cell r="X45">
            <v>-297.3</v>
          </cell>
          <cell r="AA45">
            <v>-325</v>
          </cell>
          <cell r="AD45">
            <v>-374.7</v>
          </cell>
          <cell r="AG45">
            <v>-402.8</v>
          </cell>
          <cell r="AJ45">
            <v>-447.8</v>
          </cell>
          <cell r="AM45">
            <v>-467.2</v>
          </cell>
          <cell r="AN45">
            <v>-493.6</v>
          </cell>
          <cell r="AO45">
            <v>-522.10422505470206</v>
          </cell>
          <cell r="AP45">
            <v>-551.04619062163499</v>
          </cell>
          <cell r="AQ45">
            <v>-569.23155189097099</v>
          </cell>
          <cell r="AR45">
            <v>-587.25437709801497</v>
          </cell>
          <cell r="AS45">
            <v>-608.76788124154405</v>
          </cell>
        </row>
        <row r="46">
          <cell r="B46" t="str">
            <v>Net PP&amp;E</v>
          </cell>
          <cell r="C46" t="str">
            <v>NET_FIX_ASS</v>
          </cell>
          <cell r="D46" t="str">
            <v>GBP</v>
          </cell>
          <cell r="F46">
            <v>79.5</v>
          </cell>
          <cell r="G46">
            <v>79.099999999999994</v>
          </cell>
          <cell r="H46">
            <v>82.6</v>
          </cell>
          <cell r="I46">
            <v>85.1</v>
          </cell>
          <cell r="J46">
            <v>91.9</v>
          </cell>
          <cell r="K46">
            <v>97.2</v>
          </cell>
          <cell r="L46">
            <v>100.5</v>
          </cell>
          <cell r="M46">
            <v>119.4</v>
          </cell>
          <cell r="N46">
            <v>136.5</v>
          </cell>
          <cell r="O46">
            <v>136.5</v>
          </cell>
          <cell r="P46">
            <v>186.6</v>
          </cell>
          <cell r="Q46">
            <v>191</v>
          </cell>
          <cell r="R46">
            <v>194.1</v>
          </cell>
          <cell r="S46">
            <v>228.1</v>
          </cell>
          <cell r="T46">
            <v>241</v>
          </cell>
          <cell r="U46">
            <v>202.8</v>
          </cell>
          <cell r="X46">
            <v>187.6</v>
          </cell>
          <cell r="AA46">
            <v>203.8</v>
          </cell>
          <cell r="AD46">
            <v>291.10000000000002</v>
          </cell>
          <cell r="AG46">
            <v>318.2</v>
          </cell>
          <cell r="AJ46">
            <v>339.7</v>
          </cell>
          <cell r="AM46">
            <v>318.60000000000002</v>
          </cell>
          <cell r="AN46">
            <v>304.8</v>
          </cell>
          <cell r="AO46">
            <v>337.49577494529802</v>
          </cell>
          <cell r="AP46">
            <v>368.82917143701002</v>
          </cell>
          <cell r="AQ46">
            <v>414.421126528228</v>
          </cell>
          <cell r="AR46">
            <v>463.65782587297002</v>
          </cell>
          <cell r="AS46">
            <v>513.00519480976504</v>
          </cell>
        </row>
        <row r="47">
          <cell r="B47" t="str">
            <v>Gross intangibles</v>
          </cell>
          <cell r="C47" t="str">
            <v>GR_INTANG</v>
          </cell>
          <cell r="D47" t="str">
            <v>GBP</v>
          </cell>
          <cell r="N47">
            <v>40.6</v>
          </cell>
          <cell r="O47">
            <v>66.599999999999994</v>
          </cell>
          <cell r="P47">
            <v>174.5</v>
          </cell>
          <cell r="Q47">
            <v>265.39999999999998</v>
          </cell>
          <cell r="R47">
            <v>284.89999999999998</v>
          </cell>
          <cell r="S47">
            <v>396.8</v>
          </cell>
          <cell r="T47">
            <v>446.3</v>
          </cell>
          <cell r="U47">
            <v>550.79999999999995</v>
          </cell>
          <cell r="X47">
            <v>511.8</v>
          </cell>
          <cell r="AA47">
            <v>519.79999999999995</v>
          </cell>
          <cell r="AD47">
            <v>1327.7</v>
          </cell>
          <cell r="AG47">
            <v>1249.5999999999999</v>
          </cell>
          <cell r="AJ47">
            <v>1270.4000000000001</v>
          </cell>
          <cell r="AM47">
            <v>1110.7</v>
          </cell>
          <cell r="AN47">
            <v>1314.8</v>
          </cell>
          <cell r="AO47">
            <v>1328.6</v>
          </cell>
          <cell r="AP47">
            <v>1333.12876557807</v>
          </cell>
          <cell r="AQ47">
            <v>1337.92064911275</v>
          </cell>
          <cell r="AR47">
            <v>1342.9741669877901</v>
          </cell>
          <cell r="AS47">
            <v>1348.2982707654801</v>
          </cell>
        </row>
        <row r="48">
          <cell r="B48" t="str">
            <v>Accumulated amortization</v>
          </cell>
          <cell r="C48" t="str">
            <v>ACC_AMORT</v>
          </cell>
          <cell r="D48" t="str">
            <v>GBP</v>
          </cell>
          <cell r="N48">
            <v>-1.5</v>
          </cell>
          <cell r="O48">
            <v>-4.4000000000000004</v>
          </cell>
          <cell r="P48">
            <v>-9.1999999999999993</v>
          </cell>
          <cell r="Q48">
            <v>-21.5</v>
          </cell>
          <cell r="R48">
            <v>-34.6</v>
          </cell>
          <cell r="S48">
            <v>-50.9</v>
          </cell>
          <cell r="T48">
            <v>-72.5</v>
          </cell>
          <cell r="U48">
            <v>-22.7</v>
          </cell>
          <cell r="X48">
            <v>-29.2</v>
          </cell>
          <cell r="AA48">
            <v>-43.7</v>
          </cell>
          <cell r="AD48">
            <v>-115.9</v>
          </cell>
          <cell r="AG48">
            <v>-186.6</v>
          </cell>
          <cell r="AJ48">
            <v>-222</v>
          </cell>
          <cell r="AM48">
            <v>-193.1</v>
          </cell>
          <cell r="AN48">
            <v>-212.7</v>
          </cell>
          <cell r="AO48">
            <v>-257.15500774697301</v>
          </cell>
          <cell r="AP48">
            <v>-302.45695912566703</v>
          </cell>
          <cell r="AQ48">
            <v>-336.46023602556397</v>
          </cell>
          <cell r="AR48">
            <v>-371.02597312633799</v>
          </cell>
          <cell r="AS48">
            <v>-410.27124358399499</v>
          </cell>
        </row>
        <row r="49">
          <cell r="B49" t="str">
            <v>Net intangible assets</v>
          </cell>
          <cell r="C49" t="str">
            <v>NET_INTANG</v>
          </cell>
          <cell r="D49" t="str">
            <v>GBP</v>
          </cell>
          <cell r="F49">
            <v>0</v>
          </cell>
          <cell r="G49">
            <v>0</v>
          </cell>
          <cell r="H49">
            <v>0</v>
          </cell>
          <cell r="I49">
            <v>0</v>
          </cell>
          <cell r="J49">
            <v>0</v>
          </cell>
          <cell r="K49">
            <v>0</v>
          </cell>
          <cell r="L49">
            <v>0</v>
          </cell>
          <cell r="M49">
            <v>0</v>
          </cell>
          <cell r="N49">
            <v>39.1</v>
          </cell>
          <cell r="O49">
            <v>62.2</v>
          </cell>
          <cell r="P49">
            <v>165.3</v>
          </cell>
          <cell r="Q49">
            <v>243.9</v>
          </cell>
          <cell r="R49">
            <v>250.3</v>
          </cell>
          <cell r="S49">
            <v>345.9</v>
          </cell>
          <cell r="T49">
            <v>373.8</v>
          </cell>
          <cell r="U49">
            <v>528.1</v>
          </cell>
          <cell r="X49">
            <v>482.6</v>
          </cell>
          <cell r="AA49">
            <v>476.1</v>
          </cell>
          <cell r="AD49">
            <v>1211.8</v>
          </cell>
          <cell r="AG49">
            <v>1063</v>
          </cell>
          <cell r="AJ49">
            <v>1048.4000000000001</v>
          </cell>
          <cell r="AM49">
            <v>917.6</v>
          </cell>
          <cell r="AN49">
            <v>1102.0999999999999</v>
          </cell>
          <cell r="AO49">
            <v>1071.44499225303</v>
          </cell>
          <cell r="AP49">
            <v>1030.67180645241</v>
          </cell>
          <cell r="AQ49">
            <v>1001.46041308719</v>
          </cell>
          <cell r="AR49">
            <v>971.94819386144695</v>
          </cell>
          <cell r="AS49">
            <v>938.02702718148498</v>
          </cell>
        </row>
        <row r="50">
          <cell r="B50" t="str">
            <v>Equity method investments</v>
          </cell>
          <cell r="C50" t="str">
            <v>FIX_ASS_INV</v>
          </cell>
          <cell r="D50" t="str">
            <v>GBP</v>
          </cell>
          <cell r="F50">
            <v>0</v>
          </cell>
          <cell r="G50">
            <v>0</v>
          </cell>
          <cell r="H50">
            <v>0.2</v>
          </cell>
          <cell r="I50">
            <v>0.2</v>
          </cell>
          <cell r="J50">
            <v>0.3</v>
          </cell>
          <cell r="K50">
            <v>0.4</v>
          </cell>
          <cell r="L50">
            <v>0.7</v>
          </cell>
          <cell r="M50">
            <v>1.3</v>
          </cell>
          <cell r="N50">
            <v>5.0999999999999996</v>
          </cell>
          <cell r="O50">
            <v>4.4000000000000004</v>
          </cell>
          <cell r="P50">
            <v>5.6</v>
          </cell>
          <cell r="Q50">
            <v>10.6</v>
          </cell>
          <cell r="R50">
            <v>14.5</v>
          </cell>
          <cell r="S50">
            <v>16.5</v>
          </cell>
          <cell r="T50">
            <v>17.3</v>
          </cell>
          <cell r="U50">
            <v>18.7</v>
          </cell>
          <cell r="X50">
            <v>22.1</v>
          </cell>
          <cell r="AA50">
            <v>26</v>
          </cell>
          <cell r="AD50">
            <v>29.9</v>
          </cell>
          <cell r="AG50">
            <v>28.7</v>
          </cell>
          <cell r="AJ50">
            <v>28.4</v>
          </cell>
          <cell r="AM50">
            <v>27.3</v>
          </cell>
          <cell r="AN50">
            <v>26.5</v>
          </cell>
          <cell r="AO50">
            <v>26.5</v>
          </cell>
          <cell r="AP50">
            <v>26.5</v>
          </cell>
          <cell r="AQ50">
            <v>26.5</v>
          </cell>
          <cell r="AR50">
            <v>26.5</v>
          </cell>
          <cell r="AS50">
            <v>26.5</v>
          </cell>
        </row>
        <row r="51">
          <cell r="B51" t="str">
            <v>Investments in securities</v>
          </cell>
          <cell r="C51" t="str">
            <v>INV_SECUR</v>
          </cell>
          <cell r="D51" t="str">
            <v>GBP</v>
          </cell>
          <cell r="N51">
            <v>0</v>
          </cell>
          <cell r="O51">
            <v>0</v>
          </cell>
          <cell r="P51">
            <v>0</v>
          </cell>
          <cell r="Q51">
            <v>0</v>
          </cell>
          <cell r="R51">
            <v>0</v>
          </cell>
          <cell r="S51">
            <v>0</v>
          </cell>
          <cell r="T51">
            <v>0</v>
          </cell>
          <cell r="U51">
            <v>0</v>
          </cell>
          <cell r="X51">
            <v>0</v>
          </cell>
          <cell r="AA51">
            <v>0</v>
          </cell>
        </row>
        <row r="52">
          <cell r="B52" t="str">
            <v>Other long-term assets</v>
          </cell>
          <cell r="C52" t="str">
            <v>OTH_LT_ASS</v>
          </cell>
          <cell r="D52" t="str">
            <v>GBP</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11.3</v>
          </cell>
          <cell r="X52">
            <v>15.5</v>
          </cell>
          <cell r="AA52">
            <v>15.3</v>
          </cell>
          <cell r="AD52">
            <v>9.6999999999999993</v>
          </cell>
          <cell r="AG52">
            <v>24.6</v>
          </cell>
          <cell r="AJ52">
            <v>11.9</v>
          </cell>
          <cell r="AM52">
            <v>19.399999999999999</v>
          </cell>
          <cell r="AN52">
            <v>13.2</v>
          </cell>
          <cell r="AO52">
            <v>32.984966238211001</v>
          </cell>
          <cell r="AP52">
            <v>45.444815273476003</v>
          </cell>
          <cell r="AQ52">
            <v>54.066738020267003</v>
          </cell>
          <cell r="AR52">
            <v>54.066738020266001</v>
          </cell>
          <cell r="AS52">
            <v>54.066738020266001</v>
          </cell>
        </row>
        <row r="53">
          <cell r="B53" t="str">
            <v>Total assets</v>
          </cell>
          <cell r="C53" t="str">
            <v>TOT_ASSET</v>
          </cell>
          <cell r="D53" t="str">
            <v>GBP</v>
          </cell>
          <cell r="F53">
            <v>212.9</v>
          </cell>
          <cell r="G53">
            <v>223.3</v>
          </cell>
          <cell r="H53">
            <v>236.7</v>
          </cell>
          <cell r="I53">
            <v>251.2</v>
          </cell>
          <cell r="J53">
            <v>263.3</v>
          </cell>
          <cell r="K53">
            <v>302.89999999999998</v>
          </cell>
          <cell r="L53">
            <v>291.5</v>
          </cell>
          <cell r="M53">
            <v>344.3</v>
          </cell>
          <cell r="N53">
            <v>417.5</v>
          </cell>
          <cell r="O53">
            <v>455.1</v>
          </cell>
          <cell r="P53">
            <v>663.6</v>
          </cell>
          <cell r="Q53">
            <v>830.6</v>
          </cell>
          <cell r="R53">
            <v>885.8</v>
          </cell>
          <cell r="S53">
            <v>1077.5</v>
          </cell>
          <cell r="T53">
            <v>1154.5999999999999</v>
          </cell>
          <cell r="U53">
            <v>1418.8</v>
          </cell>
          <cell r="X53">
            <v>1434.3</v>
          </cell>
          <cell r="AA53">
            <v>1590.8</v>
          </cell>
          <cell r="AD53">
            <v>2559.6</v>
          </cell>
          <cell r="AG53">
            <v>2442.1</v>
          </cell>
          <cell r="AJ53">
            <v>2570.9</v>
          </cell>
          <cell r="AM53">
            <v>2283.5</v>
          </cell>
          <cell r="AN53">
            <v>2371.6</v>
          </cell>
          <cell r="AO53">
            <v>2387.68950607749</v>
          </cell>
          <cell r="AP53">
            <v>2424.29196594726</v>
          </cell>
          <cell r="AQ53">
            <v>2373.1622289831398</v>
          </cell>
          <cell r="AR53">
            <v>2459.0429503382402</v>
          </cell>
          <cell r="AS53">
            <v>2440.7013581526999</v>
          </cell>
        </row>
        <row r="54">
          <cell r="B54" t="str">
            <v>Accounts payable</v>
          </cell>
          <cell r="C54" t="str">
            <v>ACC_PAY_GQ</v>
          </cell>
          <cell r="D54" t="str">
            <v>GBP</v>
          </cell>
          <cell r="F54">
            <v>45.5</v>
          </cell>
          <cell r="G54">
            <v>46.7</v>
          </cell>
          <cell r="H54">
            <v>49.4</v>
          </cell>
          <cell r="I54">
            <v>46.9</v>
          </cell>
          <cell r="J54">
            <v>52.1</v>
          </cell>
          <cell r="K54">
            <v>62.8</v>
          </cell>
          <cell r="L54">
            <v>63.5</v>
          </cell>
          <cell r="M54">
            <v>93.3</v>
          </cell>
          <cell r="N54">
            <v>98.9</v>
          </cell>
          <cell r="O54">
            <v>95</v>
          </cell>
          <cell r="P54">
            <v>153.69999999999999</v>
          </cell>
          <cell r="Q54">
            <v>186.6</v>
          </cell>
          <cell r="R54">
            <v>198.8</v>
          </cell>
          <cell r="S54">
            <v>237.7</v>
          </cell>
          <cell r="T54">
            <v>243.3</v>
          </cell>
          <cell r="U54">
            <v>182</v>
          </cell>
          <cell r="X54">
            <v>190.4</v>
          </cell>
          <cell r="AA54">
            <v>231.2</v>
          </cell>
          <cell r="AD54">
            <v>371.4</v>
          </cell>
          <cell r="AG54">
            <v>383.9</v>
          </cell>
          <cell r="AJ54">
            <v>391.5</v>
          </cell>
          <cell r="AM54">
            <v>387.3</v>
          </cell>
          <cell r="AN54">
            <v>389</v>
          </cell>
          <cell r="AO54">
            <v>400.31843312578599</v>
          </cell>
          <cell r="AP54">
            <v>411.71349606694201</v>
          </cell>
          <cell r="AQ54">
            <v>435.63374804823098</v>
          </cell>
          <cell r="AR54">
            <v>459.419123357133</v>
          </cell>
          <cell r="AS54">
            <v>484.01829194938898</v>
          </cell>
        </row>
        <row r="55">
          <cell r="B55" t="str">
            <v>Short-term debt</v>
          </cell>
          <cell r="C55" t="str">
            <v>SHORT_T_DEBT</v>
          </cell>
          <cell r="D55" t="str">
            <v>GBP</v>
          </cell>
          <cell r="F55">
            <v>25.7</v>
          </cell>
          <cell r="G55">
            <v>26.7</v>
          </cell>
          <cell r="H55">
            <v>30.1</v>
          </cell>
          <cell r="I55">
            <v>33.9</v>
          </cell>
          <cell r="J55">
            <v>34.1</v>
          </cell>
          <cell r="K55">
            <v>39.299999999999997</v>
          </cell>
          <cell r="L55">
            <v>6.9</v>
          </cell>
          <cell r="M55">
            <v>30.8</v>
          </cell>
          <cell r="N55">
            <v>26.6</v>
          </cell>
          <cell r="O55">
            <v>52.5</v>
          </cell>
          <cell r="P55">
            <v>105.5</v>
          </cell>
          <cell r="Q55">
            <v>120.2</v>
          </cell>
          <cell r="R55">
            <v>65.599999999999994</v>
          </cell>
          <cell r="S55">
            <v>80.400000000000006</v>
          </cell>
          <cell r="T55">
            <v>116.1</v>
          </cell>
          <cell r="U55">
            <v>276.89999999999998</v>
          </cell>
          <cell r="X55">
            <v>231.2</v>
          </cell>
          <cell r="AA55">
            <v>243.1</v>
          </cell>
          <cell r="AD55">
            <v>823.9</v>
          </cell>
          <cell r="AG55">
            <v>402.8</v>
          </cell>
          <cell r="AJ55">
            <v>315.89999999999998</v>
          </cell>
          <cell r="AM55">
            <v>225.7</v>
          </cell>
          <cell r="AN55">
            <v>307.3</v>
          </cell>
          <cell r="AO55">
            <v>307.3</v>
          </cell>
          <cell r="AP55">
            <v>307.3</v>
          </cell>
          <cell r="AQ55">
            <v>307.3</v>
          </cell>
          <cell r="AR55">
            <v>307.3</v>
          </cell>
          <cell r="AS55">
            <v>307.3</v>
          </cell>
        </row>
        <row r="56">
          <cell r="B56" t="str">
            <v>Other current liabilities</v>
          </cell>
          <cell r="C56" t="str">
            <v>OTH_CUR_LIABS</v>
          </cell>
          <cell r="D56" t="str">
            <v>GBP</v>
          </cell>
          <cell r="F56">
            <v>3.7</v>
          </cell>
          <cell r="G56">
            <v>5.3</v>
          </cell>
          <cell r="H56">
            <v>7.5</v>
          </cell>
          <cell r="I56">
            <v>6.7</v>
          </cell>
          <cell r="J56">
            <v>7.5</v>
          </cell>
          <cell r="K56">
            <v>10.6</v>
          </cell>
          <cell r="L56">
            <v>11.9</v>
          </cell>
          <cell r="M56">
            <v>18.3</v>
          </cell>
          <cell r="N56">
            <v>17.399999999999999</v>
          </cell>
          <cell r="O56">
            <v>24.2</v>
          </cell>
          <cell r="P56">
            <v>24</v>
          </cell>
          <cell r="Q56">
            <v>23.5</v>
          </cell>
          <cell r="R56">
            <v>23.1</v>
          </cell>
          <cell r="S56">
            <v>33.799999999999997</v>
          </cell>
          <cell r="T56">
            <v>48.4</v>
          </cell>
          <cell r="U56">
            <v>76.599999999999994</v>
          </cell>
          <cell r="X56">
            <v>75</v>
          </cell>
          <cell r="AA56">
            <v>91.9</v>
          </cell>
          <cell r="AD56">
            <v>234.9</v>
          </cell>
          <cell r="AG56">
            <v>155.30000000000001</v>
          </cell>
          <cell r="AJ56">
            <v>179.7</v>
          </cell>
          <cell r="AM56">
            <v>182.7</v>
          </cell>
          <cell r="AN56">
            <v>126.2</v>
          </cell>
          <cell r="AO56">
            <v>126.2</v>
          </cell>
          <cell r="AP56">
            <v>126.2</v>
          </cell>
          <cell r="AQ56">
            <v>126.2</v>
          </cell>
          <cell r="AR56">
            <v>126.2</v>
          </cell>
          <cell r="AS56">
            <v>126.2</v>
          </cell>
        </row>
        <row r="57">
          <cell r="B57" t="str">
            <v>Total current liabilities</v>
          </cell>
          <cell r="C57" t="str">
            <v>SHORT_TERM_LIABS</v>
          </cell>
          <cell r="D57" t="str">
            <v>GBP</v>
          </cell>
          <cell r="F57">
            <v>74.900000000000006</v>
          </cell>
          <cell r="G57">
            <v>78.7</v>
          </cell>
          <cell r="H57">
            <v>87</v>
          </cell>
          <cell r="I57">
            <v>87.5</v>
          </cell>
          <cell r="J57">
            <v>93.7</v>
          </cell>
          <cell r="K57">
            <v>112.7</v>
          </cell>
          <cell r="L57">
            <v>82.3</v>
          </cell>
          <cell r="M57">
            <v>142.4</v>
          </cell>
          <cell r="N57">
            <v>142.9</v>
          </cell>
          <cell r="O57">
            <v>171.7</v>
          </cell>
          <cell r="P57">
            <v>283.2</v>
          </cell>
          <cell r="Q57">
            <v>330.3</v>
          </cell>
          <cell r="R57">
            <v>287.5</v>
          </cell>
          <cell r="S57">
            <v>351.9</v>
          </cell>
          <cell r="T57">
            <v>407.8</v>
          </cell>
          <cell r="U57">
            <v>535.5</v>
          </cell>
          <cell r="X57">
            <v>496.6</v>
          </cell>
          <cell r="AA57">
            <v>566.20000000000005</v>
          </cell>
          <cell r="AD57">
            <v>1430.2</v>
          </cell>
          <cell r="AG57">
            <v>942</v>
          </cell>
          <cell r="AJ57">
            <v>887.1</v>
          </cell>
          <cell r="AM57">
            <v>795.7</v>
          </cell>
          <cell r="AN57">
            <v>822.5</v>
          </cell>
          <cell r="AO57">
            <v>833.81843312578599</v>
          </cell>
          <cell r="AP57">
            <v>845.21349606694298</v>
          </cell>
          <cell r="AQ57">
            <v>869.13374804823104</v>
          </cell>
          <cell r="AR57">
            <v>892.919123357133</v>
          </cell>
          <cell r="AS57">
            <v>917.51829194938898</v>
          </cell>
        </row>
        <row r="58">
          <cell r="B58" t="str">
            <v>Long-term  debt</v>
          </cell>
          <cell r="C58" t="str">
            <v>LT_DEBT</v>
          </cell>
          <cell r="D58" t="str">
            <v>GBP</v>
          </cell>
          <cell r="F58">
            <v>16</v>
          </cell>
          <cell r="G58">
            <v>14</v>
          </cell>
          <cell r="H58">
            <v>10.6</v>
          </cell>
          <cell r="I58">
            <v>24.7</v>
          </cell>
          <cell r="J58">
            <v>33.799999999999997</v>
          </cell>
          <cell r="K58">
            <v>53.3</v>
          </cell>
          <cell r="L58">
            <v>72.400000000000006</v>
          </cell>
          <cell r="M58">
            <v>78</v>
          </cell>
          <cell r="N58">
            <v>69.8</v>
          </cell>
          <cell r="O58">
            <v>46.3</v>
          </cell>
          <cell r="P58">
            <v>74.900000000000006</v>
          </cell>
          <cell r="Q58">
            <v>131.4</v>
          </cell>
          <cell r="R58">
            <v>195.2</v>
          </cell>
          <cell r="S58">
            <v>180.2</v>
          </cell>
          <cell r="T58">
            <v>151.30000000000001</v>
          </cell>
          <cell r="U58">
            <v>151.6</v>
          </cell>
          <cell r="X58">
            <v>132.19999999999999</v>
          </cell>
          <cell r="AA58">
            <v>123.5</v>
          </cell>
          <cell r="AD58">
            <v>128.4</v>
          </cell>
          <cell r="AG58">
            <v>376.2</v>
          </cell>
          <cell r="AJ58">
            <v>483.2</v>
          </cell>
          <cell r="AM58">
            <v>352.4</v>
          </cell>
          <cell r="AN58">
            <v>316.8</v>
          </cell>
          <cell r="AO58">
            <v>316.8</v>
          </cell>
          <cell r="AP58">
            <v>316.8</v>
          </cell>
          <cell r="AQ58">
            <v>316.8</v>
          </cell>
          <cell r="AR58">
            <v>316.8</v>
          </cell>
          <cell r="AS58">
            <v>316.8</v>
          </cell>
        </row>
        <row r="59">
          <cell r="B59" t="str">
            <v>Other long-term liabilities</v>
          </cell>
          <cell r="C59" t="str">
            <v>OTH_LT_CRED_GQ</v>
          </cell>
          <cell r="D59" t="str">
            <v>GBP</v>
          </cell>
          <cell r="F59">
            <v>15.5</v>
          </cell>
          <cell r="G59">
            <v>14.2</v>
          </cell>
          <cell r="H59">
            <v>10.6</v>
          </cell>
          <cell r="I59">
            <v>14.3</v>
          </cell>
          <cell r="J59">
            <v>13.3</v>
          </cell>
          <cell r="K59">
            <v>16.8</v>
          </cell>
          <cell r="L59">
            <v>14.8</v>
          </cell>
          <cell r="M59">
            <v>20.9</v>
          </cell>
          <cell r="N59">
            <v>14.3</v>
          </cell>
          <cell r="O59">
            <v>15.2</v>
          </cell>
          <cell r="P59">
            <v>34.6</v>
          </cell>
          <cell r="Q59">
            <v>51.9</v>
          </cell>
          <cell r="R59">
            <v>43.1</v>
          </cell>
          <cell r="S59">
            <v>88.5</v>
          </cell>
          <cell r="T59">
            <v>85.8</v>
          </cell>
          <cell r="U59">
            <v>144.6</v>
          </cell>
          <cell r="X59">
            <v>90.5</v>
          </cell>
          <cell r="AA59">
            <v>97</v>
          </cell>
          <cell r="AD59">
            <v>152.19999999999999</v>
          </cell>
          <cell r="AG59">
            <v>175.6</v>
          </cell>
          <cell r="AJ59">
            <v>124.4</v>
          </cell>
          <cell r="AM59">
            <v>116.3</v>
          </cell>
          <cell r="AN59">
            <v>177.9</v>
          </cell>
          <cell r="AO59">
            <v>160.4</v>
          </cell>
          <cell r="AP59">
            <v>143.4</v>
          </cell>
          <cell r="AQ59">
            <v>126.4</v>
          </cell>
          <cell r="AR59">
            <v>126.4</v>
          </cell>
          <cell r="AS59">
            <v>126.4</v>
          </cell>
        </row>
        <row r="60">
          <cell r="B60" t="str">
            <v>Total long-term liabilities</v>
          </cell>
          <cell r="C60" t="str">
            <v>TOT_LT_LIAB</v>
          </cell>
          <cell r="D60" t="str">
            <v>GBP</v>
          </cell>
          <cell r="F60">
            <v>31.5</v>
          </cell>
          <cell r="G60">
            <v>28.2</v>
          </cell>
          <cell r="H60">
            <v>21.2</v>
          </cell>
          <cell r="I60">
            <v>39</v>
          </cell>
          <cell r="J60">
            <v>47.1</v>
          </cell>
          <cell r="K60">
            <v>70.099999999999994</v>
          </cell>
          <cell r="L60">
            <v>87.2</v>
          </cell>
          <cell r="M60">
            <v>98.9</v>
          </cell>
          <cell r="N60">
            <v>84.1</v>
          </cell>
          <cell r="O60">
            <v>61.5</v>
          </cell>
          <cell r="P60">
            <v>109.5</v>
          </cell>
          <cell r="Q60">
            <v>183.3</v>
          </cell>
          <cell r="R60">
            <v>238.3</v>
          </cell>
          <cell r="S60">
            <v>268.7</v>
          </cell>
          <cell r="T60">
            <v>237.1</v>
          </cell>
          <cell r="U60">
            <v>296.2</v>
          </cell>
          <cell r="X60">
            <v>222.7</v>
          </cell>
          <cell r="AA60">
            <v>220.5</v>
          </cell>
          <cell r="AD60">
            <v>280.60000000000002</v>
          </cell>
          <cell r="AG60">
            <v>551.79999999999995</v>
          </cell>
          <cell r="AJ60">
            <v>607.6</v>
          </cell>
          <cell r="AM60">
            <v>468.7</v>
          </cell>
          <cell r="AN60">
            <v>494.7</v>
          </cell>
          <cell r="AO60">
            <v>477.2</v>
          </cell>
          <cell r="AP60">
            <v>460.2</v>
          </cell>
          <cell r="AQ60">
            <v>443.2</v>
          </cell>
          <cell r="AR60">
            <v>443.2</v>
          </cell>
          <cell r="AS60">
            <v>443.2</v>
          </cell>
        </row>
        <row r="61">
          <cell r="B61" t="str">
            <v>Total liabilities</v>
          </cell>
          <cell r="C61" t="str">
            <v>TOT_LIAB</v>
          </cell>
          <cell r="D61" t="str">
            <v>GBP</v>
          </cell>
          <cell r="F61">
            <v>106.4</v>
          </cell>
          <cell r="G61">
            <v>106.9</v>
          </cell>
          <cell r="H61">
            <v>108.2</v>
          </cell>
          <cell r="I61">
            <v>126.5</v>
          </cell>
          <cell r="J61">
            <v>140.80000000000001</v>
          </cell>
          <cell r="K61">
            <v>182.8</v>
          </cell>
          <cell r="L61">
            <v>169.5</v>
          </cell>
          <cell r="M61">
            <v>241.3</v>
          </cell>
          <cell r="N61">
            <v>227</v>
          </cell>
          <cell r="O61">
            <v>233.2</v>
          </cell>
          <cell r="P61">
            <v>392.7</v>
          </cell>
          <cell r="Q61">
            <v>513.6</v>
          </cell>
          <cell r="R61">
            <v>525.79999999999995</v>
          </cell>
          <cell r="S61">
            <v>620.6</v>
          </cell>
          <cell r="T61">
            <v>644.9</v>
          </cell>
          <cell r="U61">
            <v>831.7</v>
          </cell>
          <cell r="X61">
            <v>719.3</v>
          </cell>
          <cell r="AA61">
            <v>786.7</v>
          </cell>
          <cell r="AD61">
            <v>1710.8</v>
          </cell>
          <cell r="AG61">
            <v>1493.8</v>
          </cell>
          <cell r="AJ61">
            <v>1494.7</v>
          </cell>
          <cell r="AM61">
            <v>1264.4000000000001</v>
          </cell>
          <cell r="AN61">
            <v>1317.2</v>
          </cell>
          <cell r="AO61">
            <v>1311.0184331257899</v>
          </cell>
          <cell r="AP61">
            <v>1305.4134960669401</v>
          </cell>
          <cell r="AQ61">
            <v>1312.3337480482301</v>
          </cell>
          <cell r="AR61">
            <v>1336.1191233571301</v>
          </cell>
          <cell r="AS61">
            <v>1360.71829194939</v>
          </cell>
        </row>
        <row r="62">
          <cell r="B62" t="str">
            <v>Preferred shares</v>
          </cell>
          <cell r="C62" t="str">
            <v>PREF_SH</v>
          </cell>
          <cell r="D62" t="str">
            <v>GBP</v>
          </cell>
          <cell r="N62">
            <v>0</v>
          </cell>
          <cell r="O62">
            <v>0</v>
          </cell>
          <cell r="P62">
            <v>0</v>
          </cell>
          <cell r="Q62">
            <v>0</v>
          </cell>
          <cell r="R62">
            <v>0</v>
          </cell>
          <cell r="S62">
            <v>0</v>
          </cell>
          <cell r="T62">
            <v>0</v>
          </cell>
          <cell r="U62">
            <v>0</v>
          </cell>
          <cell r="X62">
            <v>0</v>
          </cell>
          <cell r="AA62">
            <v>0</v>
          </cell>
        </row>
        <row r="63">
          <cell r="B63" t="str">
            <v>Total common equity</v>
          </cell>
          <cell r="C63" t="str">
            <v>ORD_SH_FUND</v>
          </cell>
          <cell r="D63" t="str">
            <v>GBP</v>
          </cell>
          <cell r="F63">
            <v>106.5</v>
          </cell>
          <cell r="G63">
            <v>116.4</v>
          </cell>
          <cell r="H63">
            <v>128.5</v>
          </cell>
          <cell r="I63">
            <v>124.6</v>
          </cell>
          <cell r="J63">
            <v>122.5</v>
          </cell>
          <cell r="K63">
            <v>120.1</v>
          </cell>
          <cell r="L63">
            <v>122</v>
          </cell>
          <cell r="M63">
            <v>102.9</v>
          </cell>
          <cell r="N63">
            <v>190.3</v>
          </cell>
          <cell r="O63">
            <v>221.5</v>
          </cell>
          <cell r="P63">
            <v>270.3</v>
          </cell>
          <cell r="Q63">
            <v>316.10000000000002</v>
          </cell>
          <cell r="R63">
            <v>359.2</v>
          </cell>
          <cell r="S63">
            <v>455.8</v>
          </cell>
          <cell r="T63">
            <v>508.6</v>
          </cell>
          <cell r="U63">
            <v>585.6</v>
          </cell>
          <cell r="X63">
            <v>714.9</v>
          </cell>
          <cell r="AA63">
            <v>803.7</v>
          </cell>
          <cell r="AD63">
            <v>848.2</v>
          </cell>
          <cell r="AG63">
            <v>948</v>
          </cell>
          <cell r="AJ63">
            <v>1075.8</v>
          </cell>
          <cell r="AM63">
            <v>1018.6</v>
          </cell>
          <cell r="AN63">
            <v>1053.8</v>
          </cell>
          <cell r="AO63">
            <v>1075.9710729517001</v>
          </cell>
          <cell r="AP63">
            <v>1118.07846988032</v>
          </cell>
          <cell r="AQ63">
            <v>1059.9284809349101</v>
          </cell>
          <cell r="AR63">
            <v>1121.9238269811101</v>
          </cell>
          <cell r="AS63">
            <v>1078.8830662033099</v>
          </cell>
        </row>
        <row r="64">
          <cell r="B64" t="str">
            <v>Minority interest</v>
          </cell>
          <cell r="C64" t="str">
            <v>MINORITIES</v>
          </cell>
          <cell r="D64" t="str">
            <v>GBP</v>
          </cell>
          <cell r="F64">
            <v>0</v>
          </cell>
          <cell r="G64">
            <v>0</v>
          </cell>
          <cell r="H64">
            <v>0</v>
          </cell>
          <cell r="I64">
            <v>0.1</v>
          </cell>
          <cell r="J64">
            <v>0</v>
          </cell>
          <cell r="K64">
            <v>0</v>
          </cell>
          <cell r="L64">
            <v>0</v>
          </cell>
          <cell r="M64">
            <v>0.1</v>
          </cell>
          <cell r="N64">
            <v>0.2</v>
          </cell>
          <cell r="O64">
            <v>0.4</v>
          </cell>
          <cell r="P64">
            <v>0.6</v>
          </cell>
          <cell r="Q64">
            <v>0.8</v>
          </cell>
          <cell r="R64">
            <v>0.8</v>
          </cell>
          <cell r="S64">
            <v>1.1000000000000001</v>
          </cell>
          <cell r="T64">
            <v>1.1000000000000001</v>
          </cell>
          <cell r="U64">
            <v>1.5</v>
          </cell>
          <cell r="X64">
            <v>0.1</v>
          </cell>
          <cell r="AA64">
            <v>0.4</v>
          </cell>
          <cell r="AD64">
            <v>0.6</v>
          </cell>
          <cell r="AG64">
            <v>0.3</v>
          </cell>
          <cell r="AJ64">
            <v>0.4</v>
          </cell>
          <cell r="AM64">
            <v>0.5</v>
          </cell>
          <cell r="AN64">
            <v>0.6</v>
          </cell>
          <cell r="AO64">
            <v>0.7</v>
          </cell>
          <cell r="AP64">
            <v>0.8</v>
          </cell>
          <cell r="AQ64">
            <v>0.9</v>
          </cell>
          <cell r="AR64">
            <v>1</v>
          </cell>
          <cell r="AS64">
            <v>1.1000000000000001</v>
          </cell>
        </row>
        <row r="65">
          <cell r="B65" t="str">
            <v>Total shareholders' equity</v>
          </cell>
          <cell r="C65" t="str">
            <v>EQ</v>
          </cell>
          <cell r="D65" t="str">
            <v>GBP</v>
          </cell>
          <cell r="F65">
            <v>106.5</v>
          </cell>
          <cell r="G65">
            <v>116.4</v>
          </cell>
          <cell r="H65">
            <v>128.5</v>
          </cell>
          <cell r="I65">
            <v>124.7</v>
          </cell>
          <cell r="J65">
            <v>122.5</v>
          </cell>
          <cell r="K65">
            <v>120.1</v>
          </cell>
          <cell r="L65">
            <v>122</v>
          </cell>
          <cell r="M65">
            <v>103</v>
          </cell>
          <cell r="N65">
            <v>190.5</v>
          </cell>
          <cell r="O65">
            <v>221.9</v>
          </cell>
          <cell r="P65">
            <v>270.89999999999998</v>
          </cell>
          <cell r="Q65">
            <v>316.89999999999998</v>
          </cell>
          <cell r="R65">
            <v>360</v>
          </cell>
          <cell r="S65">
            <v>456.9</v>
          </cell>
          <cell r="T65">
            <v>509.7</v>
          </cell>
          <cell r="U65">
            <v>587.1</v>
          </cell>
          <cell r="X65">
            <v>715</v>
          </cell>
          <cell r="AA65">
            <v>804.1</v>
          </cell>
          <cell r="AD65">
            <v>848.8</v>
          </cell>
          <cell r="AG65">
            <v>948.3</v>
          </cell>
          <cell r="AJ65">
            <v>1076.2</v>
          </cell>
          <cell r="AM65">
            <v>1019.1</v>
          </cell>
          <cell r="AN65">
            <v>1054.4000000000001</v>
          </cell>
          <cell r="AO65">
            <v>1076.6710729516999</v>
          </cell>
          <cell r="AP65">
            <v>1118.8784698803199</v>
          </cell>
          <cell r="AQ65">
            <v>1060.82848093491</v>
          </cell>
          <cell r="AR65">
            <v>1122.9238269811101</v>
          </cell>
          <cell r="AS65">
            <v>1079.98306620331</v>
          </cell>
        </row>
        <row r="66">
          <cell r="B66" t="str">
            <v>Total liabilities and equity</v>
          </cell>
          <cell r="C66" t="str">
            <v>TOT_LIAB_EQ</v>
          </cell>
          <cell r="D66" t="str">
            <v>GBP</v>
          </cell>
          <cell r="F66">
            <v>212.9</v>
          </cell>
          <cell r="G66">
            <v>223.3</v>
          </cell>
          <cell r="H66">
            <v>236.7</v>
          </cell>
          <cell r="I66">
            <v>251.2</v>
          </cell>
          <cell r="J66">
            <v>263.3</v>
          </cell>
          <cell r="K66">
            <v>302.89999999999998</v>
          </cell>
          <cell r="L66">
            <v>291.5</v>
          </cell>
          <cell r="M66">
            <v>344.3</v>
          </cell>
          <cell r="N66">
            <v>417.5</v>
          </cell>
          <cell r="O66">
            <v>455.1</v>
          </cell>
          <cell r="P66">
            <v>663.6</v>
          </cell>
          <cell r="Q66">
            <v>830.5</v>
          </cell>
          <cell r="R66">
            <v>885.8</v>
          </cell>
          <cell r="S66">
            <v>1077.5</v>
          </cell>
          <cell r="T66">
            <v>1154.5999999999999</v>
          </cell>
          <cell r="U66">
            <v>1418.8</v>
          </cell>
          <cell r="X66">
            <v>1434.3</v>
          </cell>
          <cell r="AA66">
            <v>1590.8</v>
          </cell>
          <cell r="AD66">
            <v>2559.6</v>
          </cell>
          <cell r="AG66">
            <v>2442.1</v>
          </cell>
          <cell r="AJ66">
            <v>2570.9</v>
          </cell>
          <cell r="AM66">
            <v>2283.5</v>
          </cell>
          <cell r="AN66">
            <v>2371.6</v>
          </cell>
          <cell r="AO66">
            <v>2387.68950607749</v>
          </cell>
          <cell r="AP66">
            <v>2424.29196594726</v>
          </cell>
          <cell r="AQ66">
            <v>2373.1622289831398</v>
          </cell>
          <cell r="AR66">
            <v>2459.0429503382402</v>
          </cell>
          <cell r="AS66">
            <v>2440.7013581526999</v>
          </cell>
        </row>
        <row r="67">
          <cell r="A67" t="str">
            <v>Additional Balance Sheet Items</v>
          </cell>
        </row>
        <row r="68">
          <cell r="B68" t="str">
            <v>Net debt</v>
          </cell>
          <cell r="C68" t="str">
            <v>NET_DEBT</v>
          </cell>
          <cell r="D68" t="str">
            <v>GBP</v>
          </cell>
          <cell r="F68">
            <v>-1.6</v>
          </cell>
          <cell r="G68">
            <v>7.10543E-15</v>
          </cell>
          <cell r="H68">
            <v>-6.6</v>
          </cell>
          <cell r="I68">
            <v>5.5</v>
          </cell>
          <cell r="J68">
            <v>11.9</v>
          </cell>
          <cell r="K68">
            <v>10.6</v>
          </cell>
          <cell r="L68">
            <v>15.5</v>
          </cell>
          <cell r="M68">
            <v>56.1</v>
          </cell>
          <cell r="N68">
            <v>62.7</v>
          </cell>
          <cell r="O68">
            <v>63.5</v>
          </cell>
          <cell r="P68">
            <v>151.80000000000001</v>
          </cell>
          <cell r="Q68">
            <v>207.7</v>
          </cell>
          <cell r="R68">
            <v>188.8</v>
          </cell>
          <cell r="S68">
            <v>154.4</v>
          </cell>
          <cell r="T68">
            <v>166.1</v>
          </cell>
          <cell r="U68">
            <v>168.4</v>
          </cell>
          <cell r="X68">
            <v>-0.9</v>
          </cell>
          <cell r="AA68">
            <v>-77.900000000000006</v>
          </cell>
          <cell r="AD68">
            <v>641.29999999999995</v>
          </cell>
          <cell r="AG68">
            <v>412.6</v>
          </cell>
          <cell r="AJ68">
            <v>326.10000000000002</v>
          </cell>
          <cell r="AM68">
            <v>232.5</v>
          </cell>
          <cell r="AN68">
            <v>359.9</v>
          </cell>
          <cell r="AO68">
            <v>360.18270013172202</v>
          </cell>
          <cell r="AP68">
            <v>321.21140577491701</v>
          </cell>
          <cell r="AQ68">
            <v>433.57767484857197</v>
          </cell>
          <cell r="AR68">
            <v>403.45117203975701</v>
          </cell>
          <cell r="AS68">
            <v>474.48142706545599</v>
          </cell>
        </row>
        <row r="69">
          <cell r="B69" t="str">
            <v>Capitalized leases</v>
          </cell>
          <cell r="C69" t="str">
            <v>CAP_LEASES</v>
          </cell>
          <cell r="D69" t="str">
            <v>GBP</v>
          </cell>
          <cell r="N69">
            <v>0</v>
          </cell>
          <cell r="O69">
            <v>0</v>
          </cell>
          <cell r="P69">
            <v>0</v>
          </cell>
          <cell r="Q69">
            <v>0</v>
          </cell>
          <cell r="R69">
            <v>0</v>
          </cell>
          <cell r="S69">
            <v>0</v>
          </cell>
          <cell r="T69">
            <v>0</v>
          </cell>
          <cell r="U69">
            <v>0</v>
          </cell>
          <cell r="X69">
            <v>0</v>
          </cell>
          <cell r="AA69">
            <v>0</v>
          </cell>
        </row>
        <row r="70">
          <cell r="B70" t="str">
            <v>Deferred income taxes</v>
          </cell>
          <cell r="C70" t="str">
            <v>DEF_INC_TAX</v>
          </cell>
          <cell r="D70" t="str">
            <v>GBP</v>
          </cell>
          <cell r="N70">
            <v>0</v>
          </cell>
          <cell r="O70">
            <v>0</v>
          </cell>
          <cell r="P70">
            <v>0</v>
          </cell>
          <cell r="Q70">
            <v>0</v>
          </cell>
          <cell r="R70">
            <v>0</v>
          </cell>
          <cell r="S70">
            <v>0</v>
          </cell>
          <cell r="T70">
            <v>0</v>
          </cell>
          <cell r="U70">
            <v>0</v>
          </cell>
          <cell r="X70">
            <v>0</v>
          </cell>
          <cell r="AA70">
            <v>0</v>
          </cell>
        </row>
        <row r="71">
          <cell r="B71" t="str">
            <v>Associates (mkt value) used in EV calculation</v>
          </cell>
          <cell r="C71" t="str">
            <v>MV_ASSOCIATES</v>
          </cell>
          <cell r="D71" t="str">
            <v>GBP</v>
          </cell>
          <cell r="N71">
            <v>0</v>
          </cell>
          <cell r="O71">
            <v>0</v>
          </cell>
          <cell r="P71">
            <v>0</v>
          </cell>
          <cell r="Q71">
            <v>0</v>
          </cell>
          <cell r="R71">
            <v>0</v>
          </cell>
          <cell r="S71">
            <v>0</v>
          </cell>
          <cell r="T71">
            <v>0</v>
          </cell>
          <cell r="U71">
            <v>0</v>
          </cell>
          <cell r="X71">
            <v>0</v>
          </cell>
          <cell r="AA71">
            <v>0</v>
          </cell>
        </row>
        <row r="72">
          <cell r="B72" t="str">
            <v>Net debt adjustment</v>
          </cell>
          <cell r="C72" t="str">
            <v>NET_DEBT_ADJ</v>
          </cell>
          <cell r="D72" t="str">
            <v>GBP</v>
          </cell>
          <cell r="N72">
            <v>0</v>
          </cell>
          <cell r="O72">
            <v>0</v>
          </cell>
          <cell r="P72">
            <v>0</v>
          </cell>
          <cell r="Q72">
            <v>0</v>
          </cell>
          <cell r="R72">
            <v>0</v>
          </cell>
          <cell r="S72">
            <v>0</v>
          </cell>
          <cell r="T72">
            <v>0</v>
          </cell>
          <cell r="U72">
            <v>0</v>
          </cell>
          <cell r="X72">
            <v>0</v>
          </cell>
          <cell r="AA72">
            <v>0</v>
          </cell>
        </row>
        <row r="73">
          <cell r="B73" t="str">
            <v>Company borrowing margin</v>
          </cell>
          <cell r="C73" t="str">
            <v>CO_BOR_MARGIN</v>
          </cell>
          <cell r="AG73">
            <v>9.5000000000000001E-2</v>
          </cell>
          <cell r="AJ73">
            <v>9.5000000000000001E-2</v>
          </cell>
          <cell r="AM73">
            <v>9.5000000000000001E-2</v>
          </cell>
        </row>
        <row r="74">
          <cell r="B74" t="str">
            <v>Unfunded pensions &amp; other provisions</v>
          </cell>
          <cell r="C74" t="str">
            <v>UNF_PENS</v>
          </cell>
          <cell r="D74" t="str">
            <v>GBP</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-17.22</v>
          </cell>
          <cell r="U74">
            <v>-28.35</v>
          </cell>
          <cell r="X74">
            <v>-10.36</v>
          </cell>
          <cell r="AA74">
            <v>-13.02</v>
          </cell>
          <cell r="AD74">
            <v>-17.920000000000002</v>
          </cell>
          <cell r="AG74">
            <v>-40.32</v>
          </cell>
          <cell r="AJ74">
            <v>-28.7</v>
          </cell>
          <cell r="AM74">
            <v>-24.92</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cell r="F76">
            <v>0</v>
          </cell>
          <cell r="G76">
            <v>0</v>
          </cell>
          <cell r="H76">
            <v>-0.2</v>
          </cell>
          <cell r="I76">
            <v>-4.5511235955E-2</v>
          </cell>
          <cell r="J76">
            <v>-0.3</v>
          </cell>
          <cell r="K76">
            <v>-0.4</v>
          </cell>
          <cell r="L76">
            <v>-0.7</v>
          </cell>
          <cell r="M76">
            <v>-0.65707619047599997</v>
          </cell>
          <cell r="N76">
            <v>-4.1796857593269996</v>
          </cell>
          <cell r="O76">
            <v>-2.8606826185099998</v>
          </cell>
          <cell r="P76">
            <v>-3.4483706992230001</v>
          </cell>
          <cell r="Q76">
            <v>-7.7599964568170003</v>
          </cell>
          <cell r="R76">
            <v>-12.124262583519</v>
          </cell>
          <cell r="S76">
            <v>3.6202380868800002</v>
          </cell>
          <cell r="T76">
            <v>2.5787270153359998</v>
          </cell>
          <cell r="U76">
            <v>13.792054380123</v>
          </cell>
          <cell r="X76">
            <v>-11.459542719261</v>
          </cell>
          <cell r="AA76">
            <v>-11.828645016796999</v>
          </cell>
          <cell r="AD76">
            <v>-10.828645016796999</v>
          </cell>
          <cell r="AG76">
            <v>12.771354983203</v>
          </cell>
          <cell r="AJ76">
            <v>1.4513549832029999</v>
          </cell>
          <cell r="AM76">
            <v>-1.228645016797</v>
          </cell>
          <cell r="AN76">
            <v>51.38</v>
          </cell>
          <cell r="AO76">
            <v>51.38</v>
          </cell>
          <cell r="AP76">
            <v>51.38</v>
          </cell>
          <cell r="AQ76">
            <v>51.38</v>
          </cell>
          <cell r="AR76">
            <v>51.38</v>
          </cell>
          <cell r="AS76">
            <v>51.38</v>
          </cell>
        </row>
        <row r="77">
          <cell r="B77" t="str">
            <v>Adjustment for unfunded pensions &amp; goodwill</v>
          </cell>
          <cell r="C77" t="str">
            <v>ADJ_UNF_PENS_GOOD</v>
          </cell>
          <cell r="D77" t="str">
            <v>GBP</v>
          </cell>
        </row>
        <row r="78">
          <cell r="B78" t="str">
            <v>Other GCI adjustments</v>
          </cell>
          <cell r="C78" t="str">
            <v>OTH_GCI_ADJ</v>
          </cell>
          <cell r="D78" t="str">
            <v>GBP</v>
          </cell>
          <cell r="X78">
            <v>-1</v>
          </cell>
          <cell r="AA78">
            <v>-1.2</v>
          </cell>
          <cell r="AD78">
            <v>-1.3</v>
          </cell>
          <cell r="AG78">
            <v>-1.4</v>
          </cell>
          <cell r="AJ78">
            <v>-1.7</v>
          </cell>
          <cell r="AM78">
            <v>-1.9</v>
          </cell>
          <cell r="AN78">
            <v>-3.3</v>
          </cell>
          <cell r="AO78">
            <v>-3.3</v>
          </cell>
          <cell r="AP78">
            <v>-3.3</v>
          </cell>
          <cell r="AQ78">
            <v>-3.3</v>
          </cell>
          <cell r="AR78">
            <v>-3.3</v>
          </cell>
          <cell r="AS78">
            <v>-3.3</v>
          </cell>
        </row>
        <row r="79">
          <cell r="B79" t="str">
            <v>GCI inflator</v>
          </cell>
          <cell r="C79" t="str">
            <v>GCI_INFL</v>
          </cell>
          <cell r="N79">
            <v>1</v>
          </cell>
          <cell r="O79">
            <v>1</v>
          </cell>
          <cell r="P79">
            <v>1</v>
          </cell>
          <cell r="Q79">
            <v>1</v>
          </cell>
          <cell r="R79">
            <v>1</v>
          </cell>
          <cell r="S79">
            <v>1</v>
          </cell>
          <cell r="T79">
            <v>1</v>
          </cell>
          <cell r="U79">
            <v>1</v>
          </cell>
          <cell r="X79">
            <v>1</v>
          </cell>
          <cell r="AA79">
            <v>1</v>
          </cell>
        </row>
        <row r="80">
          <cell r="B80" t="str">
            <v>Minority interest</v>
          </cell>
          <cell r="C80" t="str">
            <v>BAL_MINO_INT</v>
          </cell>
          <cell r="D80" t="str">
            <v>GBP</v>
          </cell>
          <cell r="I80">
            <v>0.154488764045</v>
          </cell>
          <cell r="M80">
            <v>0.64292380952399997</v>
          </cell>
          <cell r="N80">
            <v>0.92031424067300005</v>
          </cell>
          <cell r="O80">
            <v>1.5393173814900001</v>
          </cell>
          <cell r="P80">
            <v>2.151629300777</v>
          </cell>
          <cell r="Q80">
            <v>2.8400035431830002</v>
          </cell>
          <cell r="R80">
            <v>2.3757374164809999</v>
          </cell>
          <cell r="S80">
            <v>2.90023808688</v>
          </cell>
          <cell r="T80">
            <v>3.1837270153360002</v>
          </cell>
          <cell r="U80">
            <v>4.1420543801229996</v>
          </cell>
          <cell r="X80">
            <v>0.280457280739</v>
          </cell>
          <cell r="AA80">
            <v>1.1513549832029999</v>
          </cell>
          <cell r="AD80">
            <v>1.6016661164820001</v>
          </cell>
          <cell r="AG80">
            <v>0.72386946835400001</v>
          </cell>
          <cell r="AJ80">
            <v>0.99556193716300001</v>
          </cell>
          <cell r="AM80">
            <v>1.1108788533280001</v>
          </cell>
          <cell r="AN80">
            <v>1.3247630480170001</v>
          </cell>
          <cell r="AO80">
            <v>1.9453883242029999</v>
          </cell>
          <cell r="AP80">
            <v>2.1395703114260001</v>
          </cell>
          <cell r="AQ80">
            <v>2.5015200070839998</v>
          </cell>
          <cell r="AR80">
            <v>2.5864611620839999</v>
          </cell>
          <cell r="AS80">
            <v>2.91352039064</v>
          </cell>
        </row>
        <row r="81">
          <cell r="A81" t="str">
            <v>Cash Flow Statement</v>
          </cell>
        </row>
        <row r="82">
          <cell r="B82" t="str">
            <v>Minority interest add-back</v>
          </cell>
          <cell r="C82" t="str">
            <v>CF_INC_MINORITY</v>
          </cell>
          <cell r="D82" t="str">
            <v>GBP</v>
          </cell>
        </row>
        <row r="83">
          <cell r="B83" t="str">
            <v>Depreciation &amp; amortization add-back</v>
          </cell>
          <cell r="C83" t="str">
            <v>DEPR_AMORT</v>
          </cell>
          <cell r="D83" t="str">
            <v>GBP</v>
          </cell>
          <cell r="F83">
            <v>8.9</v>
          </cell>
          <cell r="G83">
            <v>11.4</v>
          </cell>
          <cell r="H83">
            <v>11.7</v>
          </cell>
          <cell r="I83">
            <v>12</v>
          </cell>
          <cell r="J83">
            <v>13</v>
          </cell>
          <cell r="K83">
            <v>14.4</v>
          </cell>
          <cell r="L83">
            <v>12.7</v>
          </cell>
          <cell r="M83">
            <v>14.5</v>
          </cell>
          <cell r="N83">
            <v>16.100000000000001</v>
          </cell>
          <cell r="O83">
            <v>19.3</v>
          </cell>
          <cell r="P83">
            <v>20.8</v>
          </cell>
          <cell r="Q83">
            <v>26.1</v>
          </cell>
          <cell r="R83">
            <v>26.4</v>
          </cell>
          <cell r="S83">
            <v>33.700000000000003</v>
          </cell>
          <cell r="T83">
            <v>42.5</v>
          </cell>
          <cell r="U83">
            <v>39.700000000000003</v>
          </cell>
          <cell r="X83">
            <v>36</v>
          </cell>
          <cell r="AA83">
            <v>35.299999999999997</v>
          </cell>
          <cell r="AD83">
            <v>32.6</v>
          </cell>
          <cell r="AG83">
            <v>47.4</v>
          </cell>
          <cell r="AJ83">
            <v>54.7</v>
          </cell>
          <cell r="AM83">
            <v>57.4</v>
          </cell>
          <cell r="AN83">
            <v>129.19999999999999</v>
          </cell>
          <cell r="AO83">
            <v>132.959232801675</v>
          </cell>
          <cell r="AP83">
            <v>136.74391694562701</v>
          </cell>
          <cell r="AQ83">
            <v>144.688638169233</v>
          </cell>
          <cell r="AR83">
            <v>152.58856230781899</v>
          </cell>
          <cell r="AS83">
            <v>160.758774601185</v>
          </cell>
        </row>
        <row r="84">
          <cell r="B84" t="str">
            <v>(Increase)/decrease in working capital</v>
          </cell>
          <cell r="C84" t="str">
            <v>WORK_CAP</v>
          </cell>
          <cell r="D84" t="str">
            <v>GBP</v>
          </cell>
          <cell r="F84">
            <v>6.5</v>
          </cell>
          <cell r="G84">
            <v>-8.9</v>
          </cell>
          <cell r="H84">
            <v>-7</v>
          </cell>
          <cell r="I84">
            <v>-3</v>
          </cell>
          <cell r="J84">
            <v>2.8</v>
          </cell>
          <cell r="K84">
            <v>5</v>
          </cell>
          <cell r="L84">
            <v>-1.2</v>
          </cell>
          <cell r="M84">
            <v>-10.9</v>
          </cell>
          <cell r="N84">
            <v>-28.7</v>
          </cell>
          <cell r="O84">
            <v>-8.9</v>
          </cell>
          <cell r="P84">
            <v>-12.8</v>
          </cell>
          <cell r="Q84">
            <v>-40.5</v>
          </cell>
          <cell r="R84">
            <v>-1.9</v>
          </cell>
          <cell r="S84">
            <v>-25.5</v>
          </cell>
          <cell r="T84">
            <v>-19.8</v>
          </cell>
          <cell r="U84">
            <v>-19.2</v>
          </cell>
          <cell r="X84">
            <v>-7.4</v>
          </cell>
          <cell r="AA84">
            <v>-25.4</v>
          </cell>
          <cell r="AD84">
            <v>27.7</v>
          </cell>
          <cell r="AG84">
            <v>-2.4</v>
          </cell>
          <cell r="AJ84">
            <v>-55.2</v>
          </cell>
          <cell r="AM84">
            <v>11.5</v>
          </cell>
          <cell r="AN84">
            <v>29.8</v>
          </cell>
          <cell r="AO84">
            <v>16.771960353111002</v>
          </cell>
          <cell r="AP84">
            <v>16.783957154541</v>
          </cell>
          <cell r="AQ84">
            <v>-12.313795655451999</v>
          </cell>
          <cell r="AR84">
            <v>-12.244363118380001</v>
          </cell>
          <cell r="AS84">
            <v>-12.663291991071</v>
          </cell>
        </row>
        <row r="85">
          <cell r="B85" t="str">
            <v>Other operating cash flow items</v>
          </cell>
          <cell r="C85" t="str">
            <v>OTH_OP_CF</v>
          </cell>
          <cell r="D85" t="str">
            <v>GBP</v>
          </cell>
          <cell r="F85">
            <v>-5.3</v>
          </cell>
          <cell r="G85">
            <v>0.9</v>
          </cell>
          <cell r="H85">
            <v>2.7</v>
          </cell>
          <cell r="I85">
            <v>0.4</v>
          </cell>
          <cell r="J85">
            <v>-2.9</v>
          </cell>
          <cell r="K85">
            <v>0.3</v>
          </cell>
          <cell r="L85">
            <v>-4.8</v>
          </cell>
          <cell r="M85">
            <v>7.7</v>
          </cell>
          <cell r="N85">
            <v>-4.4000000000000004</v>
          </cell>
          <cell r="O85">
            <v>6.5</v>
          </cell>
          <cell r="P85">
            <v>0.3</v>
          </cell>
          <cell r="Q85">
            <v>-6.4</v>
          </cell>
          <cell r="R85">
            <v>-7.9</v>
          </cell>
          <cell r="S85">
            <v>9.3000000000000007</v>
          </cell>
          <cell r="T85">
            <v>9.5</v>
          </cell>
          <cell r="U85">
            <v>-15.1</v>
          </cell>
          <cell r="X85">
            <v>-28.5</v>
          </cell>
          <cell r="AA85">
            <v>21.9</v>
          </cell>
          <cell r="AD85">
            <v>24.3</v>
          </cell>
          <cell r="AG85">
            <v>34</v>
          </cell>
          <cell r="AJ85">
            <v>13</v>
          </cell>
          <cell r="AM85">
            <v>12.8</v>
          </cell>
          <cell r="AN85">
            <v>-114</v>
          </cell>
          <cell r="AO85">
            <v>-142.024062482489</v>
          </cell>
          <cell r="AP85">
            <v>-105.530357451988</v>
          </cell>
          <cell r="AQ85">
            <v>-104.256090103533</v>
          </cell>
          <cell r="AR85">
            <v>-68.504020093302998</v>
          </cell>
          <cell r="AS85">
            <v>-71.975374570555999</v>
          </cell>
        </row>
        <row r="86">
          <cell r="B86" t="str">
            <v>Cash flow from operating activities</v>
          </cell>
          <cell r="C86" t="str">
            <v>CF_OPS</v>
          </cell>
          <cell r="D86" t="str">
            <v>GBP</v>
          </cell>
          <cell r="F86">
            <v>25</v>
          </cell>
          <cell r="G86">
            <v>18.399999999999999</v>
          </cell>
          <cell r="H86">
            <v>23.4</v>
          </cell>
          <cell r="I86">
            <v>23.1</v>
          </cell>
          <cell r="J86">
            <v>30.4</v>
          </cell>
          <cell r="K86">
            <v>40</v>
          </cell>
          <cell r="L86">
            <v>36.799999999999997</v>
          </cell>
          <cell r="M86">
            <v>46.9</v>
          </cell>
          <cell r="N86">
            <v>26.2</v>
          </cell>
          <cell r="O86">
            <v>67.599999999999994</v>
          </cell>
          <cell r="P86">
            <v>71.900000000000006</v>
          </cell>
          <cell r="Q86">
            <v>54.8</v>
          </cell>
          <cell r="R86">
            <v>103.7</v>
          </cell>
          <cell r="S86">
            <v>116.5</v>
          </cell>
          <cell r="T86">
            <v>137.9</v>
          </cell>
          <cell r="U86">
            <v>124</v>
          </cell>
          <cell r="X86">
            <v>131.69999999999999</v>
          </cell>
          <cell r="AA86">
            <v>180.2</v>
          </cell>
          <cell r="AD86">
            <v>260.10000000000002</v>
          </cell>
          <cell r="AG86">
            <v>293.8</v>
          </cell>
          <cell r="AJ86">
            <v>239</v>
          </cell>
          <cell r="AM86">
            <v>328.3</v>
          </cell>
          <cell r="AN86">
            <v>288.2</v>
          </cell>
          <cell r="AO86">
            <v>231.19104986827799</v>
          </cell>
          <cell r="AP86">
            <v>272.39654699352201</v>
          </cell>
          <cell r="AQ86">
            <v>264.93200165491101</v>
          </cell>
          <cell r="AR86">
            <v>327.04805093008099</v>
          </cell>
          <cell r="AS86">
            <v>341.61403642954201</v>
          </cell>
        </row>
        <row r="87">
          <cell r="B87" t="str">
            <v>Capital expenditures, Capex</v>
          </cell>
          <cell r="C87" t="str">
            <v>CAPEX</v>
          </cell>
          <cell r="D87" t="str">
            <v>GBP</v>
          </cell>
          <cell r="F87">
            <v>-16.7</v>
          </cell>
          <cell r="G87">
            <v>-11.2</v>
          </cell>
          <cell r="H87">
            <v>-11.3</v>
          </cell>
          <cell r="I87">
            <v>-7.3</v>
          </cell>
          <cell r="J87">
            <v>-18.600000000000001</v>
          </cell>
          <cell r="K87">
            <v>-15.7</v>
          </cell>
          <cell r="L87">
            <v>-15.1</v>
          </cell>
          <cell r="M87">
            <v>-21.8</v>
          </cell>
          <cell r="N87">
            <v>-28.6</v>
          </cell>
          <cell r="O87">
            <v>-23.1</v>
          </cell>
          <cell r="P87">
            <v>-38.299999999999997</v>
          </cell>
          <cell r="Q87">
            <v>-26.4</v>
          </cell>
          <cell r="R87">
            <v>-28.6</v>
          </cell>
          <cell r="S87">
            <v>-38</v>
          </cell>
          <cell r="T87">
            <v>-39.5</v>
          </cell>
          <cell r="U87">
            <v>-32.5</v>
          </cell>
          <cell r="X87">
            <v>-37.700000000000003</v>
          </cell>
          <cell r="AA87">
            <v>-41.9</v>
          </cell>
          <cell r="AD87">
            <v>-48.6</v>
          </cell>
          <cell r="AG87">
            <v>-79.900000000000006</v>
          </cell>
          <cell r="AJ87">
            <v>-68.3</v>
          </cell>
          <cell r="AM87">
            <v>-47.6</v>
          </cell>
          <cell r="AN87">
            <v>-62.4</v>
          </cell>
          <cell r="AO87">
            <v>-75</v>
          </cell>
          <cell r="AP87">
            <v>-64.804127636716998</v>
          </cell>
          <cell r="AQ87">
            <v>-68.569199895232003</v>
          </cell>
          <cell r="AR87">
            <v>-72.313042426821994</v>
          </cell>
          <cell r="AS87">
            <v>-76.184976858018004</v>
          </cell>
        </row>
        <row r="88">
          <cell r="B88" t="str">
            <v>Acquisitions</v>
          </cell>
          <cell r="C88" t="str">
            <v>ACQ</v>
          </cell>
          <cell r="D88" t="str">
            <v>GBP</v>
          </cell>
          <cell r="F88">
            <v>-5.6</v>
          </cell>
          <cell r="G88">
            <v>0</v>
          </cell>
          <cell r="H88">
            <v>-1.1000000000000001</v>
          </cell>
          <cell r="I88">
            <v>-16</v>
          </cell>
          <cell r="J88">
            <v>-15.2</v>
          </cell>
          <cell r="K88">
            <v>-9.3000000000000007</v>
          </cell>
          <cell r="L88">
            <v>-21.4</v>
          </cell>
          <cell r="M88">
            <v>-56.1</v>
          </cell>
          <cell r="N88">
            <v>-48</v>
          </cell>
          <cell r="O88">
            <v>-28.6</v>
          </cell>
          <cell r="P88">
            <v>-101.7</v>
          </cell>
          <cell r="Q88">
            <v>-61.7</v>
          </cell>
          <cell r="R88">
            <v>-37.4</v>
          </cell>
          <cell r="S88">
            <v>-134.30000000000001</v>
          </cell>
          <cell r="T88">
            <v>-69.5</v>
          </cell>
          <cell r="U88">
            <v>-191.3</v>
          </cell>
          <cell r="X88">
            <v>-23.7</v>
          </cell>
          <cell r="AA88">
            <v>-14.3</v>
          </cell>
          <cell r="AD88">
            <v>-616.6</v>
          </cell>
          <cell r="AG88">
            <v>-46.9</v>
          </cell>
          <cell r="AJ88">
            <v>-27.6</v>
          </cell>
          <cell r="AM88">
            <v>-158.4</v>
          </cell>
          <cell r="AN88">
            <v>-285.7</v>
          </cell>
          <cell r="AO88">
            <v>-60</v>
          </cell>
          <cell r="AP88">
            <v>-62.5</v>
          </cell>
          <cell r="AQ88">
            <v>-92.5</v>
          </cell>
          <cell r="AR88">
            <v>-100</v>
          </cell>
          <cell r="AS88">
            <v>-100</v>
          </cell>
        </row>
        <row r="89">
          <cell r="B89" t="str">
            <v>Divestitures</v>
          </cell>
          <cell r="C89" t="str">
            <v>DIVEST</v>
          </cell>
          <cell r="D89" t="str">
            <v>GBP</v>
          </cell>
          <cell r="F89">
            <v>0</v>
          </cell>
          <cell r="G89">
            <v>0</v>
          </cell>
          <cell r="H89">
            <v>0</v>
          </cell>
          <cell r="I89">
            <v>11</v>
          </cell>
          <cell r="J89">
            <v>-0.2</v>
          </cell>
          <cell r="K89">
            <v>0</v>
          </cell>
          <cell r="L89">
            <v>0</v>
          </cell>
          <cell r="M89">
            <v>0.3</v>
          </cell>
          <cell r="N89">
            <v>8.9</v>
          </cell>
          <cell r="O89">
            <v>0.9</v>
          </cell>
          <cell r="P89">
            <v>14</v>
          </cell>
          <cell r="Q89">
            <v>0</v>
          </cell>
          <cell r="R89">
            <v>0</v>
          </cell>
          <cell r="S89">
            <v>19.7</v>
          </cell>
          <cell r="T89">
            <v>0</v>
          </cell>
          <cell r="U89">
            <v>149.4</v>
          </cell>
          <cell r="X89">
            <v>86.4</v>
          </cell>
          <cell r="AA89">
            <v>5.0999999999999996</v>
          </cell>
          <cell r="AD89">
            <v>0</v>
          </cell>
          <cell r="AG89">
            <v>19.3</v>
          </cell>
          <cell r="AJ89">
            <v>23.2</v>
          </cell>
          <cell r="AM89">
            <v>247.3</v>
          </cell>
          <cell r="AN89">
            <v>43.9</v>
          </cell>
        </row>
        <row r="90">
          <cell r="B90" t="str">
            <v>Other investing cash flow items</v>
          </cell>
          <cell r="C90" t="str">
            <v>OTH_INV_CF</v>
          </cell>
          <cell r="D90" t="str">
            <v>GBP</v>
          </cell>
          <cell r="F90">
            <v>0</v>
          </cell>
          <cell r="G90">
            <v>0</v>
          </cell>
          <cell r="H90">
            <v>0</v>
          </cell>
          <cell r="I90">
            <v>0</v>
          </cell>
          <cell r="J90">
            <v>0</v>
          </cell>
          <cell r="K90">
            <v>0</v>
          </cell>
          <cell r="L90">
            <v>0</v>
          </cell>
          <cell r="M90">
            <v>-0.2</v>
          </cell>
          <cell r="N90">
            <v>-1.9</v>
          </cell>
          <cell r="O90">
            <v>0</v>
          </cell>
          <cell r="P90">
            <v>0</v>
          </cell>
          <cell r="Q90">
            <v>-1.1000000000000001</v>
          </cell>
          <cell r="R90">
            <v>-1.4</v>
          </cell>
          <cell r="S90">
            <v>-0.4</v>
          </cell>
          <cell r="T90">
            <v>-4.3</v>
          </cell>
          <cell r="U90">
            <v>1</v>
          </cell>
          <cell r="X90">
            <v>0</v>
          </cell>
          <cell r="AA90">
            <v>0</v>
          </cell>
          <cell r="AD90">
            <v>0</v>
          </cell>
          <cell r="AG90">
            <v>0</v>
          </cell>
          <cell r="AJ90">
            <v>0</v>
          </cell>
          <cell r="AM90">
            <v>0</v>
          </cell>
          <cell r="AN90">
            <v>-17.5</v>
          </cell>
          <cell r="AO90">
            <v>7.5</v>
          </cell>
          <cell r="AP90">
            <v>7.5</v>
          </cell>
          <cell r="AQ90">
            <v>7.5</v>
          </cell>
          <cell r="AR90">
            <v>7.5</v>
          </cell>
          <cell r="AS90">
            <v>7.5</v>
          </cell>
        </row>
        <row r="91">
          <cell r="B91" t="str">
            <v>Cash flow from investing</v>
          </cell>
          <cell r="C91" t="str">
            <v>CF_INV</v>
          </cell>
          <cell r="D91" t="str">
            <v>GBP</v>
          </cell>
          <cell r="F91">
            <v>-22.3</v>
          </cell>
          <cell r="G91">
            <v>-11.2</v>
          </cell>
          <cell r="H91">
            <v>-12.4</v>
          </cell>
          <cell r="I91">
            <v>-12.3</v>
          </cell>
          <cell r="J91">
            <v>-34</v>
          </cell>
          <cell r="K91">
            <v>-25</v>
          </cell>
          <cell r="L91">
            <v>-36.5</v>
          </cell>
          <cell r="M91">
            <v>-77.8</v>
          </cell>
          <cell r="N91">
            <v>-69.599999999999994</v>
          </cell>
          <cell r="O91">
            <v>-50.8</v>
          </cell>
          <cell r="P91">
            <v>-126</v>
          </cell>
          <cell r="Q91">
            <v>-89.2</v>
          </cell>
          <cell r="R91">
            <v>-67.400000000000006</v>
          </cell>
          <cell r="S91">
            <v>-153</v>
          </cell>
          <cell r="T91">
            <v>-113.3</v>
          </cell>
          <cell r="U91">
            <v>-73.400000000000006</v>
          </cell>
          <cell r="X91">
            <v>25</v>
          </cell>
          <cell r="AA91">
            <v>-51.1</v>
          </cell>
          <cell r="AD91">
            <v>-665.2</v>
          </cell>
          <cell r="AG91">
            <v>-107.5</v>
          </cell>
          <cell r="AJ91">
            <v>-72.7</v>
          </cell>
          <cell r="AM91">
            <v>41.3</v>
          </cell>
          <cell r="AN91">
            <v>-321.7</v>
          </cell>
          <cell r="AO91">
            <v>-127.5</v>
          </cell>
          <cell r="AP91">
            <v>-119.804127636717</v>
          </cell>
          <cell r="AQ91">
            <v>-153.569199895232</v>
          </cell>
          <cell r="AR91">
            <v>-164.81304242682199</v>
          </cell>
          <cell r="AS91">
            <v>-168.68497685801799</v>
          </cell>
        </row>
        <row r="92">
          <cell r="B92" t="str">
            <v>Dividends paid</v>
          </cell>
          <cell r="C92" t="str">
            <v>DIV_PAID</v>
          </cell>
          <cell r="D92" t="str">
            <v>GBP</v>
          </cell>
          <cell r="F92">
            <v>-4.7</v>
          </cell>
          <cell r="G92">
            <v>-4.8</v>
          </cell>
          <cell r="H92">
            <v>-5</v>
          </cell>
          <cell r="I92">
            <v>-5.5</v>
          </cell>
          <cell r="J92">
            <v>-5.8</v>
          </cell>
          <cell r="K92">
            <v>-6.7</v>
          </cell>
          <cell r="L92">
            <v>-9.3000000000000007</v>
          </cell>
          <cell r="M92">
            <v>-11.1</v>
          </cell>
          <cell r="N92">
            <v>-13.2</v>
          </cell>
          <cell r="O92">
            <v>-15.6</v>
          </cell>
          <cell r="P92">
            <v>-18.2</v>
          </cell>
          <cell r="Q92">
            <v>-21.2</v>
          </cell>
          <cell r="R92">
            <v>-24.5</v>
          </cell>
          <cell r="S92">
            <v>-27.6</v>
          </cell>
          <cell r="T92">
            <v>-32.6</v>
          </cell>
          <cell r="U92">
            <v>-35.799999999999997</v>
          </cell>
          <cell r="X92">
            <v>-39.700000000000003</v>
          </cell>
          <cell r="AA92">
            <v>-43.8</v>
          </cell>
          <cell r="AD92">
            <v>-54.9</v>
          </cell>
          <cell r="AG92">
            <v>-59</v>
          </cell>
          <cell r="AJ92">
            <v>-69.2</v>
          </cell>
          <cell r="AM92">
            <v>-69.400000000000006</v>
          </cell>
          <cell r="AN92">
            <v>-92.5</v>
          </cell>
          <cell r="AO92">
            <v>-96.473749999999995</v>
          </cell>
          <cell r="AP92">
            <v>-106.12112500000001</v>
          </cell>
          <cell r="AQ92">
            <v>-116.229070833333</v>
          </cell>
          <cell r="AR92">
            <v>-124.60850569444401</v>
          </cell>
          <cell r="AS92">
            <v>-136.459314597222</v>
          </cell>
        </row>
        <row r="93">
          <cell r="B93" t="str">
            <v>Common stock issuance/(repurchase)</v>
          </cell>
          <cell r="C93" t="str">
            <v>SH_REPUR</v>
          </cell>
          <cell r="D93" t="str">
            <v>GBP</v>
          </cell>
          <cell r="F93">
            <v>0.4</v>
          </cell>
          <cell r="G93">
            <v>0.2</v>
          </cell>
          <cell r="H93">
            <v>0.4</v>
          </cell>
          <cell r="I93">
            <v>0.7</v>
          </cell>
          <cell r="J93">
            <v>0.9</v>
          </cell>
          <cell r="K93">
            <v>2.2999999999999998</v>
          </cell>
          <cell r="L93">
            <v>1.4</v>
          </cell>
          <cell r="M93">
            <v>2</v>
          </cell>
          <cell r="N93">
            <v>50.6</v>
          </cell>
          <cell r="O93">
            <v>1.2</v>
          </cell>
          <cell r="P93">
            <v>2.7</v>
          </cell>
          <cell r="Q93">
            <v>3.3</v>
          </cell>
          <cell r="R93">
            <v>4.8</v>
          </cell>
          <cell r="S93">
            <v>107.4</v>
          </cell>
          <cell r="T93">
            <v>4.9000000000000004</v>
          </cell>
          <cell r="U93">
            <v>6.1</v>
          </cell>
          <cell r="X93">
            <v>6.9</v>
          </cell>
          <cell r="AA93">
            <v>4.7</v>
          </cell>
          <cell r="AD93">
            <v>5.2</v>
          </cell>
          <cell r="AG93">
            <v>6.8</v>
          </cell>
          <cell r="AJ93">
            <v>11.7</v>
          </cell>
          <cell r="AM93">
            <v>-159.5</v>
          </cell>
          <cell r="AN93">
            <v>-18.8</v>
          </cell>
          <cell r="AO93">
            <v>-7.5</v>
          </cell>
          <cell r="AP93">
            <v>-7.5</v>
          </cell>
          <cell r="AQ93">
            <v>-107.5</v>
          </cell>
          <cell r="AR93">
            <v>-7.5</v>
          </cell>
          <cell r="AS93">
            <v>-107.5</v>
          </cell>
        </row>
        <row r="94">
          <cell r="B94" t="str">
            <v>Increase/(decrease) in total debt</v>
          </cell>
          <cell r="C94" t="str">
            <v>CHG_LT_DEBT</v>
          </cell>
          <cell r="D94" t="str">
            <v>GBP</v>
          </cell>
          <cell r="F94">
            <v>41.7</v>
          </cell>
          <cell r="G94">
            <v>-1</v>
          </cell>
          <cell r="H94">
            <v>0</v>
          </cell>
          <cell r="I94">
            <v>17.899999999999999</v>
          </cell>
          <cell r="J94">
            <v>9.3000000000000007</v>
          </cell>
          <cell r="K94">
            <v>24.7</v>
          </cell>
          <cell r="L94">
            <v>-13.3</v>
          </cell>
          <cell r="M94">
            <v>29.5</v>
          </cell>
          <cell r="N94">
            <v>-12.4</v>
          </cell>
          <cell r="O94">
            <v>2.4</v>
          </cell>
          <cell r="P94">
            <v>81.599999999999994</v>
          </cell>
          <cell r="Q94">
            <v>71.2</v>
          </cell>
          <cell r="R94">
            <v>9.1999999999999993</v>
          </cell>
          <cell r="S94">
            <v>-0.2</v>
          </cell>
          <cell r="T94">
            <v>6.8</v>
          </cell>
          <cell r="U94">
            <v>161.1</v>
          </cell>
          <cell r="X94">
            <v>-65.099999999999994</v>
          </cell>
          <cell r="AA94">
            <v>3.2</v>
          </cell>
          <cell r="AD94">
            <v>585.70000000000005</v>
          </cell>
          <cell r="AG94">
            <v>-173.3</v>
          </cell>
          <cell r="AJ94">
            <v>20.100000000000001</v>
          </cell>
          <cell r="AM94">
            <v>-221</v>
          </cell>
          <cell r="AN94">
            <v>71.400000000000006</v>
          </cell>
        </row>
        <row r="95">
          <cell r="B95" t="str">
            <v>Other financing cash flow items</v>
          </cell>
          <cell r="C95" t="str">
            <v>OTH_FIN_CF</v>
          </cell>
          <cell r="D95" t="str">
            <v>GBP</v>
          </cell>
          <cell r="N95">
            <v>0</v>
          </cell>
          <cell r="O95">
            <v>0</v>
          </cell>
          <cell r="P95">
            <v>0</v>
          </cell>
          <cell r="Q95">
            <v>0</v>
          </cell>
          <cell r="R95">
            <v>0</v>
          </cell>
          <cell r="S95">
            <v>0</v>
          </cell>
          <cell r="T95">
            <v>0</v>
          </cell>
          <cell r="U95">
            <v>0</v>
          </cell>
          <cell r="X95">
            <v>0</v>
          </cell>
          <cell r="AA95">
            <v>0</v>
          </cell>
          <cell r="AD95">
            <v>-0.1</v>
          </cell>
          <cell r="AG95">
            <v>-0.3</v>
          </cell>
        </row>
        <row r="96">
          <cell r="B96" t="str">
            <v>Cash flow from financing</v>
          </cell>
          <cell r="C96" t="str">
            <v>CF_FIN</v>
          </cell>
          <cell r="D96" t="str">
            <v>GBP</v>
          </cell>
          <cell r="F96">
            <v>37.4</v>
          </cell>
          <cell r="G96">
            <v>-5.6</v>
          </cell>
          <cell r="H96">
            <v>-4.5999999999999996</v>
          </cell>
          <cell r="I96">
            <v>13.1</v>
          </cell>
          <cell r="J96">
            <v>4.4000000000000004</v>
          </cell>
          <cell r="K96">
            <v>20.3</v>
          </cell>
          <cell r="L96">
            <v>-21.2</v>
          </cell>
          <cell r="M96">
            <v>20.399999999999999</v>
          </cell>
          <cell r="N96">
            <v>25</v>
          </cell>
          <cell r="O96">
            <v>-12</v>
          </cell>
          <cell r="P96">
            <v>66.099999999999994</v>
          </cell>
          <cell r="Q96">
            <v>53.3</v>
          </cell>
          <cell r="R96">
            <v>-10.5</v>
          </cell>
          <cell r="S96">
            <v>79.599999999999994</v>
          </cell>
          <cell r="T96">
            <v>-20.9</v>
          </cell>
          <cell r="U96">
            <v>131.4</v>
          </cell>
          <cell r="X96">
            <v>-97.9</v>
          </cell>
          <cell r="AA96">
            <v>-35.9</v>
          </cell>
          <cell r="AD96">
            <v>536</v>
          </cell>
          <cell r="AG96">
            <v>-225.5</v>
          </cell>
          <cell r="AJ96">
            <v>-37.4</v>
          </cell>
          <cell r="AM96">
            <v>-449.9</v>
          </cell>
          <cell r="AN96">
            <v>-39.9</v>
          </cell>
          <cell r="AO96">
            <v>-103.97375</v>
          </cell>
          <cell r="AP96">
            <v>-113.62112500000001</v>
          </cell>
          <cell r="AQ96">
            <v>-223.729070833333</v>
          </cell>
          <cell r="AR96">
            <v>-132.10850569444401</v>
          </cell>
          <cell r="AS96">
            <v>-243.959314597222</v>
          </cell>
        </row>
        <row r="97">
          <cell r="B97" t="str">
            <v>Other items net cash flow</v>
          </cell>
          <cell r="C97" t="str">
            <v>OTH_ITEM_NCF</v>
          </cell>
          <cell r="D97" t="str">
            <v>GBP</v>
          </cell>
          <cell r="F97">
            <v>0</v>
          </cell>
          <cell r="G97">
            <v>-0.8</v>
          </cell>
          <cell r="H97">
            <v>-3.2</v>
          </cell>
          <cell r="I97">
            <v>-18.100000000000001</v>
          </cell>
          <cell r="J97">
            <v>2.1</v>
          </cell>
          <cell r="K97">
            <v>-9.3000000000000007</v>
          </cell>
          <cell r="L97">
            <v>2.7</v>
          </cell>
          <cell r="M97">
            <v>-0.6</v>
          </cell>
          <cell r="N97">
            <v>-0.6</v>
          </cell>
          <cell r="O97">
            <v>-3.2</v>
          </cell>
          <cell r="P97">
            <v>-18.7</v>
          </cell>
          <cell r="Q97">
            <v>-3.6</v>
          </cell>
          <cell r="R97">
            <v>2.2999999999999998</v>
          </cell>
          <cell r="S97">
            <v>-8.9</v>
          </cell>
          <cell r="T97">
            <v>-8.6</v>
          </cell>
          <cell r="U97">
            <v>-31.5</v>
          </cell>
          <cell r="X97">
            <v>53.7</v>
          </cell>
          <cell r="AA97">
            <v>-13</v>
          </cell>
          <cell r="AD97">
            <v>-264.39999999999998</v>
          </cell>
          <cell r="AG97">
            <v>94.6</v>
          </cell>
          <cell r="AJ97">
            <v>-22.3</v>
          </cell>
          <cell r="AM97">
            <v>-47.1</v>
          </cell>
          <cell r="AN97">
            <v>-8</v>
          </cell>
          <cell r="AO97">
            <v>0</v>
          </cell>
          <cell r="AP97">
            <v>0</v>
          </cell>
          <cell r="AQ97">
            <v>0</v>
          </cell>
          <cell r="AR97">
            <v>0</v>
          </cell>
          <cell r="AS97">
            <v>0</v>
          </cell>
        </row>
        <row r="98">
          <cell r="B98" t="str">
            <v>Total cash flow</v>
          </cell>
          <cell r="C98" t="str">
            <v>TOT_CF</v>
          </cell>
          <cell r="D98" t="str">
            <v>GBP</v>
          </cell>
          <cell r="F98">
            <v>40.1</v>
          </cell>
          <cell r="G98">
            <v>0.8</v>
          </cell>
          <cell r="H98">
            <v>3.2</v>
          </cell>
          <cell r="I98">
            <v>5.8</v>
          </cell>
          <cell r="J98">
            <v>2.9</v>
          </cell>
          <cell r="K98">
            <v>26</v>
          </cell>
          <cell r="L98">
            <v>-18.2</v>
          </cell>
          <cell r="M98">
            <v>-11.1</v>
          </cell>
          <cell r="N98">
            <v>-19</v>
          </cell>
          <cell r="O98">
            <v>1.6</v>
          </cell>
          <cell r="P98">
            <v>-6.7</v>
          </cell>
          <cell r="Q98">
            <v>15.3</v>
          </cell>
          <cell r="R98">
            <v>28.1</v>
          </cell>
          <cell r="S98">
            <v>34.200000000000003</v>
          </cell>
          <cell r="T98">
            <v>-4.9000000000000004</v>
          </cell>
          <cell r="U98">
            <v>150.5</v>
          </cell>
          <cell r="X98">
            <v>112.5</v>
          </cell>
          <cell r="AA98">
            <v>80.2</v>
          </cell>
          <cell r="AD98">
            <v>-133.5</v>
          </cell>
          <cell r="AG98">
            <v>55.4</v>
          </cell>
          <cell r="AJ98">
            <v>106.6</v>
          </cell>
          <cell r="AM98">
            <v>-127.4</v>
          </cell>
          <cell r="AN98">
            <v>-81.400000000000006</v>
          </cell>
          <cell r="AO98">
            <v>-0.28270013172199998</v>
          </cell>
          <cell r="AP98">
            <v>38.971294356804997</v>
          </cell>
          <cell r="AQ98">
            <v>-112.366269073655</v>
          </cell>
          <cell r="AR98">
            <v>30.126502808815001</v>
          </cell>
          <cell r="AS98">
            <v>-71.030255025699006</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cell r="X105">
            <v>1.7</v>
          </cell>
          <cell r="AA105">
            <v>5.3</v>
          </cell>
          <cell r="AD105">
            <v>6</v>
          </cell>
          <cell r="AG105">
            <v>7.1</v>
          </cell>
          <cell r="AJ105">
            <v>11.1</v>
          </cell>
          <cell r="AM105">
            <v>48.6</v>
          </cell>
          <cell r="AN105">
            <v>14</v>
          </cell>
          <cell r="AO105">
            <v>17.5</v>
          </cell>
          <cell r="AP105">
            <v>17</v>
          </cell>
          <cell r="AQ105">
            <v>17</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cell r="X111">
            <v>-0.2</v>
          </cell>
          <cell r="AA111">
            <v>-0.2</v>
          </cell>
          <cell r="AD111">
            <v>-0.1</v>
          </cell>
          <cell r="AG111">
            <v>-0.1</v>
          </cell>
          <cell r="AJ111">
            <v>-0.3</v>
          </cell>
          <cell r="AM111">
            <v>-0.2</v>
          </cell>
          <cell r="AN111">
            <v>-1.4</v>
          </cell>
          <cell r="AO111">
            <v>0</v>
          </cell>
          <cell r="AP111">
            <v>0</v>
          </cell>
          <cell r="AQ111">
            <v>0</v>
          </cell>
          <cell r="AR111">
            <v>0</v>
          </cell>
          <cell r="AS111">
            <v>0</v>
          </cell>
        </row>
        <row r="112">
          <cell r="B112" t="str">
            <v>Dividends paid to minorities</v>
          </cell>
          <cell r="C112" t="str">
            <v>DIVDS_PD_MINORITIES</v>
          </cell>
          <cell r="D112" t="str">
            <v>GBP</v>
          </cell>
        </row>
        <row r="113">
          <cell r="A113" t="str">
            <v>Other Items</v>
          </cell>
        </row>
        <row r="114">
          <cell r="B114" t="str">
            <v>Number of employees</v>
          </cell>
          <cell r="C114" t="str">
            <v>EMPLOYEES</v>
          </cell>
          <cell r="X114">
            <v>9.5090000000000003</v>
          </cell>
          <cell r="AA114">
            <v>8.99</v>
          </cell>
          <cell r="AD114">
            <v>10.706</v>
          </cell>
          <cell r="AG114">
            <v>12.044</v>
          </cell>
          <cell r="AJ114">
            <v>11.635999999999999</v>
          </cell>
          <cell r="AM114">
            <v>10.696</v>
          </cell>
          <cell r="AN114">
            <v>9.9920000000000009</v>
          </cell>
          <cell r="AO114">
            <v>9.9920000000000009</v>
          </cell>
        </row>
        <row r="115">
          <cell r="A115" t="str">
            <v>Geographical Breakdown</v>
          </cell>
        </row>
        <row r="116">
          <cell r="B116" t="str">
            <v>Sales - Total % Americas</v>
          </cell>
          <cell r="C116" t="str">
            <v>SALES_TOT_AM</v>
          </cell>
          <cell r="AD116">
            <v>0.56999999999999995</v>
          </cell>
          <cell r="AG116">
            <v>0.64</v>
          </cell>
          <cell r="AJ116">
            <v>0.60475139283099999</v>
          </cell>
          <cell r="AM116">
            <v>0.56093615185500001</v>
          </cell>
          <cell r="AN116">
            <v>0.5</v>
          </cell>
          <cell r="AO116">
            <v>0.5</v>
          </cell>
        </row>
        <row r="117">
          <cell r="B117" t="str">
            <v>Sales - % United States</v>
          </cell>
          <cell r="C117" t="str">
            <v>SALES_US</v>
          </cell>
          <cell r="AD117">
            <v>0.55000000000000004</v>
          </cell>
          <cell r="AG117">
            <v>0.62</v>
          </cell>
          <cell r="AJ117">
            <v>0.60475139283099999</v>
          </cell>
          <cell r="AM117">
            <v>0.56093615185500001</v>
          </cell>
          <cell r="AN117">
            <v>0.5</v>
          </cell>
          <cell r="AO117">
            <v>0.5</v>
          </cell>
        </row>
        <row r="119">
          <cell r="B119" t="str">
            <v>Sales - % Brazil</v>
          </cell>
          <cell r="C119" t="str">
            <v>SALES_BRAZIL</v>
          </cell>
          <cell r="AD119">
            <v>0</v>
          </cell>
          <cell r="AG119">
            <v>0</v>
          </cell>
          <cell r="AJ119">
            <v>0</v>
          </cell>
          <cell r="AM119">
            <v>0</v>
          </cell>
          <cell r="AN119">
            <v>0</v>
          </cell>
          <cell r="AO119">
            <v>0</v>
          </cell>
        </row>
        <row r="120">
          <cell r="B120" t="str">
            <v>Sales - % Other Americas</v>
          </cell>
          <cell r="C120" t="str">
            <v>SALES_OTH_AM</v>
          </cell>
          <cell r="AD120">
            <v>0.01</v>
          </cell>
          <cell r="AG120">
            <v>0.01</v>
          </cell>
          <cell r="AJ120">
            <v>0</v>
          </cell>
          <cell r="AM120">
            <v>0</v>
          </cell>
          <cell r="AN120">
            <v>0</v>
          </cell>
          <cell r="AO120">
            <v>0</v>
          </cell>
        </row>
        <row r="121">
          <cell r="B121" t="str">
            <v>Sales - Total % EMEA</v>
          </cell>
          <cell r="C121" t="str">
            <v>SALES_TOT_EMEA</v>
          </cell>
          <cell r="AD121">
            <v>0.28000000000000003</v>
          </cell>
          <cell r="AG121">
            <v>0.25</v>
          </cell>
          <cell r="AJ121">
            <v>0.21297172290499999</v>
          </cell>
          <cell r="AM121">
            <v>0.228591458154</v>
          </cell>
          <cell r="AN121">
            <v>0.27</v>
          </cell>
          <cell r="AO121">
            <v>0.27</v>
          </cell>
        </row>
        <row r="122">
          <cell r="B122" t="str">
            <v>Sales - % UK</v>
          </cell>
          <cell r="C122" t="str">
            <v>SALES_UK</v>
          </cell>
          <cell r="AD122">
            <v>0.1</v>
          </cell>
          <cell r="AG122">
            <v>0.09</v>
          </cell>
          <cell r="AJ122">
            <v>8.9088615578999997E-2</v>
          </cell>
          <cell r="AM122">
            <v>9.1997411562000003E-2</v>
          </cell>
          <cell r="AN122">
            <v>0.1</v>
          </cell>
          <cell r="AO122">
            <v>0.1</v>
          </cell>
        </row>
        <row r="123">
          <cell r="B123" t="str">
            <v>Sales - % Western Europe-Ex UK</v>
          </cell>
          <cell r="C123" t="str">
            <v>SALES_EU_EX_UK</v>
          </cell>
          <cell r="AD123">
            <v>0.15</v>
          </cell>
          <cell r="AG123">
            <v>0.13</v>
          </cell>
          <cell r="AJ123">
            <v>0.123883107327</v>
          </cell>
          <cell r="AM123">
            <v>0.136594046592</v>
          </cell>
          <cell r="AN123">
            <v>0.17</v>
          </cell>
          <cell r="AO123">
            <v>0.17</v>
          </cell>
        </row>
        <row r="128">
          <cell r="B128" t="str">
            <v>Sales - % France</v>
          </cell>
          <cell r="C128" t="str">
            <v>SALES_FRA</v>
          </cell>
          <cell r="AN128">
            <v>0</v>
          </cell>
          <cell r="AO128">
            <v>0</v>
          </cell>
        </row>
        <row r="129">
          <cell r="B129" t="str">
            <v>Sales - % Germany</v>
          </cell>
          <cell r="C129" t="str">
            <v>SALES_GER</v>
          </cell>
          <cell r="AN129">
            <v>0</v>
          </cell>
          <cell r="AO129">
            <v>0</v>
          </cell>
        </row>
        <row r="133">
          <cell r="B133" t="str">
            <v>Sales - % Italy</v>
          </cell>
          <cell r="C133" t="str">
            <v>SALES_ITA</v>
          </cell>
          <cell r="AN133">
            <v>0</v>
          </cell>
          <cell r="AO133">
            <v>0</v>
          </cell>
        </row>
        <row r="137">
          <cell r="B137" t="str">
            <v>Sales - % Spain</v>
          </cell>
          <cell r="C137" t="str">
            <v>SALES_SPA</v>
          </cell>
          <cell r="AN137">
            <v>0</v>
          </cell>
          <cell r="AO137">
            <v>0</v>
          </cell>
        </row>
        <row r="138">
          <cell r="B138" t="str">
            <v>Sales - % Other Western Europe-Ex UK</v>
          </cell>
          <cell r="C138" t="str">
            <v>SALES_OTH_EU_EX_UK</v>
          </cell>
          <cell r="AN138">
            <v>0.17</v>
          </cell>
          <cell r="AO138">
            <v>0.17</v>
          </cell>
        </row>
        <row r="141">
          <cell r="B141" t="str">
            <v>Sales - % Central &amp; Eastern Europe</v>
          </cell>
          <cell r="C141" t="str">
            <v>SALES_CEE</v>
          </cell>
          <cell r="AD141">
            <v>0.01</v>
          </cell>
          <cell r="AG141">
            <v>0.01</v>
          </cell>
          <cell r="AJ141">
            <v>0</v>
          </cell>
          <cell r="AM141">
            <v>0</v>
          </cell>
          <cell r="AN141">
            <v>0</v>
          </cell>
          <cell r="AO141">
            <v>0</v>
          </cell>
        </row>
        <row r="142">
          <cell r="B142" t="str">
            <v>Sales - % Middle East</v>
          </cell>
          <cell r="C142" t="str">
            <v>SALES_ME</v>
          </cell>
          <cell r="AD142">
            <v>0.02</v>
          </cell>
          <cell r="AG142">
            <v>0.02</v>
          </cell>
          <cell r="AJ142">
            <v>0</v>
          </cell>
          <cell r="AM142">
            <v>0</v>
          </cell>
          <cell r="AN142">
            <v>0</v>
          </cell>
          <cell r="AO142">
            <v>0</v>
          </cell>
        </row>
        <row r="143">
          <cell r="B143" t="str">
            <v>Sales - % South Africa</v>
          </cell>
          <cell r="C143" t="str">
            <v>SALES_SO_AFRICA</v>
          </cell>
          <cell r="AN143">
            <v>0</v>
          </cell>
          <cell r="AO143">
            <v>0</v>
          </cell>
        </row>
        <row r="144">
          <cell r="B144" t="str">
            <v>Sales - % Nigeria</v>
          </cell>
          <cell r="C144" t="str">
            <v>SALES_NIGERIA</v>
          </cell>
          <cell r="AN144">
            <v>0</v>
          </cell>
          <cell r="AO144">
            <v>0</v>
          </cell>
        </row>
        <row r="145">
          <cell r="B145" t="str">
            <v>Sales - % Other Africa</v>
          </cell>
          <cell r="C145" t="str">
            <v>SALES_OTH_AFRICA</v>
          </cell>
          <cell r="AN145">
            <v>0</v>
          </cell>
          <cell r="AO145">
            <v>0</v>
          </cell>
        </row>
        <row r="146">
          <cell r="B146" t="str">
            <v>Sales - % Total Africa</v>
          </cell>
          <cell r="C146" t="str">
            <v>SALES_TOT_AFRICA</v>
          </cell>
          <cell r="AN146">
            <v>0</v>
          </cell>
          <cell r="AO146">
            <v>0</v>
          </cell>
        </row>
        <row r="147">
          <cell r="B147" t="str">
            <v>Sales - % Russia</v>
          </cell>
          <cell r="C147" t="str">
            <v>SALES_RUSSIA</v>
          </cell>
          <cell r="AD147">
            <v>0</v>
          </cell>
          <cell r="AG147">
            <v>0</v>
          </cell>
          <cell r="AJ147">
            <v>0</v>
          </cell>
          <cell r="AM147">
            <v>0</v>
          </cell>
          <cell r="AN147">
            <v>0</v>
          </cell>
          <cell r="AO147">
            <v>0</v>
          </cell>
        </row>
        <row r="148">
          <cell r="B148" t="str">
            <v>Sales - % Other EMEA</v>
          </cell>
          <cell r="C148" t="str">
            <v>SALES_OTH_EMEA</v>
          </cell>
          <cell r="AD148">
            <v>0</v>
          </cell>
          <cell r="AG148">
            <v>0</v>
          </cell>
          <cell r="AJ148">
            <v>0</v>
          </cell>
          <cell r="AM148">
            <v>0</v>
          </cell>
          <cell r="AN148">
            <v>0</v>
          </cell>
          <cell r="AO148">
            <v>0</v>
          </cell>
        </row>
        <row r="149">
          <cell r="B149" t="str">
            <v>Sales - Total % Asia (incl Australia &amp; New Zealand)</v>
          </cell>
          <cell r="C149" t="str">
            <v>SALES_TOT_ASIA</v>
          </cell>
          <cell r="AD149">
            <v>0.05</v>
          </cell>
          <cell r="AG149">
            <v>0.04</v>
          </cell>
          <cell r="AJ149">
            <v>9.8864711447E-2</v>
          </cell>
          <cell r="AM149">
            <v>0.118097497843</v>
          </cell>
          <cell r="AN149">
            <v>0.13</v>
          </cell>
          <cell r="AO149">
            <v>0.13</v>
          </cell>
        </row>
        <row r="150">
          <cell r="B150" t="str">
            <v>Sales - % Japan</v>
          </cell>
          <cell r="C150" t="str">
            <v>SALES_JAPAN</v>
          </cell>
          <cell r="AD150">
            <v>0.01</v>
          </cell>
          <cell r="AG150">
            <v>0.01</v>
          </cell>
          <cell r="AJ150">
            <v>0</v>
          </cell>
          <cell r="AM150">
            <v>0</v>
          </cell>
          <cell r="AN150">
            <v>0</v>
          </cell>
          <cell r="AO150">
            <v>0</v>
          </cell>
        </row>
        <row r="151">
          <cell r="B151" t="str">
            <v>Sales - % China</v>
          </cell>
          <cell r="C151" t="str">
            <v>SALES_CHINA</v>
          </cell>
          <cell r="AD151">
            <v>0</v>
          </cell>
          <cell r="AG151">
            <v>0</v>
          </cell>
          <cell r="AJ151">
            <v>0</v>
          </cell>
          <cell r="AM151">
            <v>0</v>
          </cell>
          <cell r="AN151">
            <v>0</v>
          </cell>
          <cell r="AO151">
            <v>0</v>
          </cell>
        </row>
        <row r="152">
          <cell r="B152" t="str">
            <v>Sales - % India</v>
          </cell>
          <cell r="C152" t="str">
            <v>SALES_INDIA</v>
          </cell>
          <cell r="AD152">
            <v>0.01</v>
          </cell>
          <cell r="AG152">
            <v>0.01</v>
          </cell>
          <cell r="AJ152">
            <v>0</v>
          </cell>
          <cell r="AM152">
            <v>0</v>
          </cell>
          <cell r="AN152">
            <v>0</v>
          </cell>
          <cell r="AO152">
            <v>0</v>
          </cell>
        </row>
        <row r="156">
          <cell r="B156" t="str">
            <v>Sales - % Other Asia</v>
          </cell>
          <cell r="C156" t="str">
            <v>SALES_OTH_AEJ</v>
          </cell>
          <cell r="AD156">
            <v>0.03</v>
          </cell>
          <cell r="AG156">
            <v>0.02</v>
          </cell>
          <cell r="AJ156">
            <v>0</v>
          </cell>
          <cell r="AM156">
            <v>0</v>
          </cell>
          <cell r="AN156">
            <v>0</v>
          </cell>
          <cell r="AO156">
            <v>0</v>
          </cell>
        </row>
        <row r="157">
          <cell r="B157" t="str">
            <v>Sales - % Others</v>
          </cell>
          <cell r="C157" t="str">
            <v>SALES_OTHER</v>
          </cell>
          <cell r="AD157">
            <v>0.1</v>
          </cell>
          <cell r="AG157">
            <v>7.0000000000000007E-2</v>
          </cell>
          <cell r="AJ157">
            <v>8.3412172815999996E-2</v>
          </cell>
          <cell r="AM157">
            <v>9.2374892148000001E-2</v>
          </cell>
          <cell r="AN157">
            <v>0.1</v>
          </cell>
          <cell r="AO157">
            <v>0.1</v>
          </cell>
        </row>
        <row r="158">
          <cell r="B158" t="str">
            <v>Indirect Sales - Total % Americas</v>
          </cell>
          <cell r="C158" t="str">
            <v>IND_SALES_TOT_AM</v>
          </cell>
          <cell r="AM158">
            <v>0.56093615185500001</v>
          </cell>
          <cell r="AN158">
            <v>0.5</v>
          </cell>
          <cell r="AO158">
            <v>0.5</v>
          </cell>
        </row>
        <row r="159">
          <cell r="B159" t="str">
            <v>Indirect Sales - % United States</v>
          </cell>
          <cell r="C159" t="str">
            <v>IND_SALES_US</v>
          </cell>
          <cell r="AN159">
            <v>0.5</v>
          </cell>
          <cell r="AO159">
            <v>0.5</v>
          </cell>
        </row>
        <row r="161">
          <cell r="B161" t="str">
            <v>Indirect Sales - % Brazil</v>
          </cell>
          <cell r="C161" t="str">
            <v>IND_SALES_BRAZIL</v>
          </cell>
          <cell r="AN161">
            <v>0</v>
          </cell>
          <cell r="AO161">
            <v>0</v>
          </cell>
        </row>
        <row r="162">
          <cell r="B162" t="str">
            <v>Indirect Sales - % Other Americas</v>
          </cell>
          <cell r="C162" t="str">
            <v>IND_SALES_OTH_AM</v>
          </cell>
          <cell r="AN162">
            <v>0</v>
          </cell>
          <cell r="AO162">
            <v>0</v>
          </cell>
        </row>
        <row r="163">
          <cell r="B163" t="str">
            <v>Indirect Sales - Total % EMEA</v>
          </cell>
          <cell r="C163" t="str">
            <v>IND_SALES_TOT_EMEA</v>
          </cell>
          <cell r="AM163">
            <v>0.228591458154</v>
          </cell>
          <cell r="AN163">
            <v>0.27</v>
          </cell>
          <cell r="AO163">
            <v>0.27</v>
          </cell>
        </row>
        <row r="164">
          <cell r="B164" t="str">
            <v>Indirect Sales - % UK</v>
          </cell>
          <cell r="C164" t="str">
            <v>IND_SALES_UK</v>
          </cell>
          <cell r="AN164">
            <v>0.1</v>
          </cell>
          <cell r="AO164">
            <v>0.1</v>
          </cell>
        </row>
        <row r="165">
          <cell r="B165" t="str">
            <v>Indirect Sales - % Western Europe-Ex UK</v>
          </cell>
          <cell r="C165" t="str">
            <v>IND_SALES_EU_EX_UK</v>
          </cell>
          <cell r="AN165">
            <v>0.17</v>
          </cell>
          <cell r="AO165">
            <v>0.17</v>
          </cell>
        </row>
        <row r="170">
          <cell r="B170" t="str">
            <v>Indirect Sales - % France</v>
          </cell>
          <cell r="C170" t="str">
            <v>IND_SALES_FRA</v>
          </cell>
          <cell r="AN170">
            <v>0</v>
          </cell>
          <cell r="AO170">
            <v>0</v>
          </cell>
        </row>
        <row r="171">
          <cell r="B171" t="str">
            <v>Indirect Sales - % Germany</v>
          </cell>
          <cell r="C171" t="str">
            <v>IND_SALES_GER</v>
          </cell>
          <cell r="AN171">
            <v>0</v>
          </cell>
          <cell r="AO171">
            <v>0</v>
          </cell>
        </row>
        <row r="175">
          <cell r="B175" t="str">
            <v>Indirect Sales - % Italy</v>
          </cell>
          <cell r="C175" t="str">
            <v>IND_SALES_ITA</v>
          </cell>
          <cell r="AN175">
            <v>0</v>
          </cell>
          <cell r="AO175">
            <v>0</v>
          </cell>
        </row>
        <row r="179">
          <cell r="B179" t="str">
            <v>Indirect Sales - % Spain</v>
          </cell>
          <cell r="C179" t="str">
            <v>IND_SALES_SPA</v>
          </cell>
          <cell r="AN179">
            <v>0</v>
          </cell>
          <cell r="AO179">
            <v>0</v>
          </cell>
        </row>
        <row r="180">
          <cell r="B180" t="str">
            <v>Indirect Sales - % Other Western Europe-Ex UK</v>
          </cell>
          <cell r="C180" t="str">
            <v>IND_SALES_OTH_EU_EX_UK</v>
          </cell>
          <cell r="AN180">
            <v>0.17</v>
          </cell>
          <cell r="AO180">
            <v>0.17</v>
          </cell>
        </row>
        <row r="183">
          <cell r="B183" t="str">
            <v>Indirect Sales - % Central &amp; Eastern Europe</v>
          </cell>
          <cell r="C183" t="str">
            <v>IND_SALES_CEE</v>
          </cell>
          <cell r="AN183">
            <v>0</v>
          </cell>
          <cell r="AO183">
            <v>0</v>
          </cell>
        </row>
        <row r="184">
          <cell r="B184" t="str">
            <v>Indirect Sales - % Middle East</v>
          </cell>
          <cell r="C184" t="str">
            <v>IND_SALES_ME</v>
          </cell>
          <cell r="AN184">
            <v>0</v>
          </cell>
          <cell r="AO184">
            <v>0</v>
          </cell>
        </row>
        <row r="185">
          <cell r="B185" t="str">
            <v>Indirect Sales - % Russia</v>
          </cell>
          <cell r="C185" t="str">
            <v>IND_SALES_RUSSIA</v>
          </cell>
          <cell r="AN185">
            <v>0</v>
          </cell>
          <cell r="AO185">
            <v>0</v>
          </cell>
        </row>
        <row r="186">
          <cell r="B186" t="str">
            <v>Indirect sales - % South Africa</v>
          </cell>
          <cell r="C186" t="str">
            <v>IND_SALES_SO_AFRICA</v>
          </cell>
          <cell r="AN186">
            <v>0</v>
          </cell>
          <cell r="AO186">
            <v>0</v>
          </cell>
        </row>
        <row r="187">
          <cell r="B187" t="str">
            <v>Indirect sales - % Nigeria</v>
          </cell>
          <cell r="C187" t="str">
            <v>IND_SALES_NIGERIA</v>
          </cell>
          <cell r="AN187">
            <v>0</v>
          </cell>
          <cell r="AO187">
            <v>0</v>
          </cell>
        </row>
        <row r="188">
          <cell r="B188" t="str">
            <v>Indirect sales - % Other Africa</v>
          </cell>
          <cell r="C188" t="str">
            <v>IND_SALES_OTH_AFRICA</v>
          </cell>
          <cell r="AN188">
            <v>0</v>
          </cell>
          <cell r="AO188">
            <v>0</v>
          </cell>
        </row>
        <row r="189">
          <cell r="B189" t="str">
            <v>Indirect Sales - % Other EMEA</v>
          </cell>
          <cell r="C189" t="str">
            <v>IND_SALES_OTH_EMEA</v>
          </cell>
          <cell r="AN189">
            <v>0</v>
          </cell>
          <cell r="AO189">
            <v>0</v>
          </cell>
        </row>
        <row r="190">
          <cell r="B190" t="str">
            <v>Indirect sales - % Total Africa</v>
          </cell>
          <cell r="C190" t="str">
            <v>IND_SALES_TOT_AFRICA</v>
          </cell>
          <cell r="AN190">
            <v>0</v>
          </cell>
          <cell r="AO190">
            <v>0</v>
          </cell>
        </row>
        <row r="191">
          <cell r="B191" t="str">
            <v>Indirect Sales - Total % Asia (incl Australia &amp; New Zealand)</v>
          </cell>
          <cell r="C191" t="str">
            <v>IND_SALES_TOT_ASIA</v>
          </cell>
          <cell r="AM191">
            <v>0.118097497843</v>
          </cell>
          <cell r="AN191">
            <v>0.13</v>
          </cell>
          <cell r="AO191">
            <v>0.13</v>
          </cell>
        </row>
        <row r="192">
          <cell r="B192" t="str">
            <v>Indirect Sales - % Japan</v>
          </cell>
          <cell r="C192" t="str">
            <v>IND_SALES_JAPAN</v>
          </cell>
          <cell r="AN192">
            <v>0</v>
          </cell>
          <cell r="AO192">
            <v>0</v>
          </cell>
        </row>
        <row r="193">
          <cell r="B193" t="str">
            <v>Indirect Sales - % China</v>
          </cell>
          <cell r="C193" t="str">
            <v>IND_SALES_CHINA</v>
          </cell>
          <cell r="AN193">
            <v>0</v>
          </cell>
          <cell r="AO193">
            <v>0</v>
          </cell>
        </row>
        <row r="194">
          <cell r="B194" t="str">
            <v>Indirect Sales - % India</v>
          </cell>
          <cell r="C194" t="str">
            <v>IND_SALES_INDIA</v>
          </cell>
          <cell r="AN194">
            <v>0</v>
          </cell>
          <cell r="AO194">
            <v>0</v>
          </cell>
        </row>
        <row r="198">
          <cell r="B198" t="str">
            <v>Indirect Sales - % Other Asia</v>
          </cell>
          <cell r="C198" t="str">
            <v>IND_SALES_OTH_AEJ</v>
          </cell>
          <cell r="AN198">
            <v>0</v>
          </cell>
          <cell r="AO198">
            <v>0</v>
          </cell>
        </row>
        <row r="199">
          <cell r="B199" t="str">
            <v>Indirect Sales - % Others</v>
          </cell>
          <cell r="C199" t="str">
            <v>IND_SALES_OTHER</v>
          </cell>
          <cell r="AM199">
            <v>9.2374892148000001E-2</v>
          </cell>
          <cell r="AN199">
            <v>0.1</v>
          </cell>
          <cell r="AO199">
            <v>0.1</v>
          </cell>
        </row>
        <row r="237">
          <cell r="B237" t="str">
            <v>Sales -% Consumer (C)</v>
          </cell>
          <cell r="C237" t="str">
            <v>SALES_CONS</v>
          </cell>
          <cell r="AD237">
            <v>0</v>
          </cell>
          <cell r="AG237">
            <v>0</v>
          </cell>
          <cell r="AJ237">
            <v>0</v>
          </cell>
          <cell r="AM237">
            <v>0</v>
          </cell>
          <cell r="AN237">
            <v>0</v>
          </cell>
          <cell r="AO237">
            <v>0</v>
          </cell>
        </row>
        <row r="238">
          <cell r="B238" t="str">
            <v>Sales -% Industry (I)</v>
          </cell>
          <cell r="C238" t="str">
            <v>SALES_IND</v>
          </cell>
          <cell r="AD238">
            <v>0.28999999999999998</v>
          </cell>
          <cell r="AG238">
            <v>0.28999999999999998</v>
          </cell>
          <cell r="AJ238">
            <v>0.28999999999999998</v>
          </cell>
          <cell r="AM238">
            <v>0.28999999999999998</v>
          </cell>
          <cell r="AN238">
            <v>0.31</v>
          </cell>
          <cell r="AO238">
            <v>0.31</v>
          </cell>
        </row>
        <row r="239">
          <cell r="B239" t="str">
            <v>Sales -% Government (G)</v>
          </cell>
          <cell r="C239" t="str">
            <v>SALES_GOV</v>
          </cell>
          <cell r="AD239">
            <v>0.71</v>
          </cell>
          <cell r="AG239">
            <v>0.71</v>
          </cell>
          <cell r="AJ239">
            <v>0.71</v>
          </cell>
          <cell r="AM239">
            <v>0.71</v>
          </cell>
          <cell r="AN239">
            <v>0.69</v>
          </cell>
          <cell r="AO239">
            <v>0.69</v>
          </cell>
        </row>
        <row r="240">
          <cell r="B240" t="str">
            <v>Sales - % Industry Sub-Segment: Financial Services</v>
          </cell>
          <cell r="C240" t="str">
            <v>SALES_FINAN</v>
          </cell>
          <cell r="AN240">
            <v>0</v>
          </cell>
          <cell r="AO240">
            <v>0</v>
          </cell>
        </row>
        <row r="259">
          <cell r="B259" t="str">
            <v>Indirect Sales -% Consumer (C)</v>
          </cell>
          <cell r="C259" t="str">
            <v>IND_SALES_CONS</v>
          </cell>
          <cell r="AN259">
            <v>0</v>
          </cell>
          <cell r="AO259">
            <v>0</v>
          </cell>
        </row>
        <row r="260">
          <cell r="B260" t="str">
            <v>Indirect Sales -% Industry (I)</v>
          </cell>
          <cell r="C260" t="str">
            <v>IND_SALES_IND</v>
          </cell>
          <cell r="AN260">
            <v>0.31</v>
          </cell>
          <cell r="AO260">
            <v>0.31</v>
          </cell>
        </row>
        <row r="261">
          <cell r="B261" t="str">
            <v>Indirect Sales -% Government (G)</v>
          </cell>
          <cell r="C261" t="str">
            <v>IND_SALES_GOV</v>
          </cell>
          <cell r="AN261">
            <v>0.69</v>
          </cell>
          <cell r="AO261">
            <v>0.69</v>
          </cell>
        </row>
        <row r="262">
          <cell r="B262" t="str">
            <v>Indirect Sales -% Industry Sub-Segment: Financial Services</v>
          </cell>
          <cell r="C262" t="str">
            <v>IND_SALES_FINAN</v>
          </cell>
          <cell r="AN262">
            <v>0</v>
          </cell>
          <cell r="AO262">
            <v>0</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cell r="AN321">
            <v>0.1</v>
          </cell>
          <cell r="AO321">
            <v>0.1</v>
          </cell>
        </row>
        <row r="322">
          <cell r="B322" t="str">
            <v>Sales - % FX: Euro</v>
          </cell>
          <cell r="C322" t="str">
            <v>SALES_FX_EUR</v>
          </cell>
          <cell r="AN322">
            <v>0.17</v>
          </cell>
          <cell r="AO322">
            <v>0.17</v>
          </cell>
        </row>
        <row r="323">
          <cell r="B323" t="str">
            <v>Sales - % FX: New Russian Ruble</v>
          </cell>
          <cell r="C323" t="str">
            <v>SALES_FX_RUB</v>
          </cell>
          <cell r="AN323">
            <v>0</v>
          </cell>
          <cell r="AO323">
            <v>0</v>
          </cell>
        </row>
        <row r="324">
          <cell r="B324" t="str">
            <v>Sales - % FX: U.S. Dollar</v>
          </cell>
          <cell r="C324" t="str">
            <v>SALES_FX_USD</v>
          </cell>
          <cell r="AN324">
            <v>0.73</v>
          </cell>
          <cell r="AO324">
            <v>0.73</v>
          </cell>
        </row>
        <row r="325">
          <cell r="B325" t="str">
            <v>Sales - % FX: Brazilian Real</v>
          </cell>
          <cell r="C325" t="str">
            <v>SALES_FX_BRL</v>
          </cell>
          <cell r="AN325">
            <v>0</v>
          </cell>
          <cell r="AO325">
            <v>0</v>
          </cell>
        </row>
        <row r="326">
          <cell r="B326" t="str">
            <v>Sales - % FX: Japanese Yen</v>
          </cell>
          <cell r="C326" t="str">
            <v>SALES_FX_YEN</v>
          </cell>
          <cell r="AN326">
            <v>0</v>
          </cell>
          <cell r="AO326">
            <v>0</v>
          </cell>
        </row>
        <row r="327">
          <cell r="B327" t="str">
            <v>Sales - % FX: Chinese Renminbi</v>
          </cell>
          <cell r="C327" t="str">
            <v>SALES_FX_CNY</v>
          </cell>
          <cell r="AN327">
            <v>0</v>
          </cell>
          <cell r="AO327">
            <v>0</v>
          </cell>
        </row>
        <row r="328">
          <cell r="B328" t="str">
            <v>Sales - % FX: Indian Rupee</v>
          </cell>
          <cell r="C328" t="str">
            <v>SALES_FX_INR</v>
          </cell>
          <cell r="AN328">
            <v>0</v>
          </cell>
          <cell r="AO328">
            <v>0</v>
          </cell>
        </row>
        <row r="329">
          <cell r="B329" t="str">
            <v>Sales - % FX: South African Rand</v>
          </cell>
          <cell r="C329" t="str">
            <v>SALES_FX_ZAR</v>
          </cell>
          <cell r="AN329">
            <v>0</v>
          </cell>
          <cell r="AO329">
            <v>0</v>
          </cell>
        </row>
        <row r="330">
          <cell r="B330" t="str">
            <v>Sales - % FX: Nigerian Naira</v>
          </cell>
          <cell r="C330" t="str">
            <v>SALES_FX_NGN</v>
          </cell>
          <cell r="AN330">
            <v>0</v>
          </cell>
          <cell r="AO330">
            <v>0</v>
          </cell>
        </row>
        <row r="331">
          <cell r="B331" t="str">
            <v>Sales - % FX: Swiss Franc</v>
          </cell>
          <cell r="C331" t="str">
            <v>SALES_FX_CHF</v>
          </cell>
          <cell r="AN331">
            <v>0</v>
          </cell>
          <cell r="AO331">
            <v>0</v>
          </cell>
        </row>
        <row r="332">
          <cell r="B332" t="str">
            <v>Sales - % FX: UAE Dirham</v>
          </cell>
          <cell r="C332" t="str">
            <v>SALES_FX_AED</v>
          </cell>
          <cell r="AN332">
            <v>0</v>
          </cell>
          <cell r="AO332">
            <v>0</v>
          </cell>
        </row>
        <row r="333">
          <cell r="B333" t="str">
            <v>Sales - % FX: New Turkish Lira</v>
          </cell>
          <cell r="C333" t="str">
            <v>SALES_FX_TRY</v>
          </cell>
          <cell r="AN333">
            <v>0</v>
          </cell>
          <cell r="AO333">
            <v>0</v>
          </cell>
        </row>
        <row r="334">
          <cell r="B334" t="str">
            <v>Sales - % FX: Other Currency</v>
          </cell>
          <cell r="C334" t="str">
            <v>SALES_FX_OTH</v>
          </cell>
          <cell r="AN334">
            <v>0</v>
          </cell>
          <cell r="AO334">
            <v>0</v>
          </cell>
        </row>
        <row r="335">
          <cell r="A335" t="str">
            <v>Security: Cobham</v>
          </cell>
          <cell r="B335" t="str">
            <v>161MM</v>
          </cell>
        </row>
        <row r="336">
          <cell r="A336" t="str">
            <v>Reference Data</v>
          </cell>
        </row>
        <row r="337">
          <cell r="B337" t="str">
            <v>Ticker</v>
          </cell>
          <cell r="C337" t="str">
            <v>Ticker</v>
          </cell>
          <cell r="E337" t="str">
            <v>COB.L</v>
          </cell>
        </row>
        <row r="338">
          <cell r="B338" t="str">
            <v>Security Name</v>
          </cell>
          <cell r="C338" t="str">
            <v>Security Name</v>
          </cell>
          <cell r="E338" t="str">
            <v>Cobham</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cell r="E346" t="str">
            <v>Coverage Suspended</v>
          </cell>
        </row>
        <row r="347">
          <cell r="B347" t="str">
            <v>Target price</v>
          </cell>
          <cell r="C347" t="str">
            <v>TARGET_PRICE</v>
          </cell>
          <cell r="D347" t="str">
            <v>GBP</v>
          </cell>
          <cell r="E347">
            <v>279</v>
          </cell>
        </row>
        <row r="348">
          <cell r="B348" t="str">
            <v>Target price period</v>
          </cell>
          <cell r="C348" t="str">
            <v>TP_PERIOD</v>
          </cell>
          <cell r="E348" t="str">
            <v>12 months</v>
          </cell>
        </row>
      </sheetData>
      <sheetData sheetId="1">
        <row r="1">
          <cell r="A1" t="str">
            <v>b75a6ff3-231e-4294-858d-adae426fc569</v>
          </cell>
        </row>
        <row r="2">
          <cell r="A2" t="str">
            <v>N:\Aerospace\Chris\WIP models\Migrated models\[cleanCobham model WIP.XLSX]COB.L_Validation_Sheet</v>
          </cell>
        </row>
        <row r="3">
          <cell r="A3" t="str">
            <v>Enabled</v>
          </cell>
          <cell r="AN3" t="str">
            <v>ERROR</v>
          </cell>
        </row>
        <row r="9">
          <cell r="A9" t="str">
            <v>Vector|||208007414|||ISSR|||SALES|||False|||</v>
          </cell>
          <cell r="C9" t="str">
            <v>V_KEYWORD_ISSR_208007414_SALES</v>
          </cell>
        </row>
        <row r="10">
          <cell r="A10" t="str">
            <v>Vector|||208007414|||ISSR|||COST_GD_SD|||False|||</v>
          </cell>
          <cell r="C10" t="str">
            <v>V_KEYWORD_ISSR_208007414_COST_GD_SD</v>
          </cell>
        </row>
        <row r="11">
          <cell r="A11" t="str">
            <v>Vector|||208007414|||ISSR|||SEL_GL_AD|||False|||</v>
          </cell>
          <cell r="C11" t="str">
            <v>V_KEYWORD_ISSR_208007414_SEL_GL_AD</v>
          </cell>
        </row>
        <row r="12">
          <cell r="A12" t="str">
            <v>Vector|||208007414|||ISSR|||OP_COST|||False|||</v>
          </cell>
          <cell r="C12" t="str">
            <v>V_KEYWORD_ISSR_208007414_OP_COST</v>
          </cell>
        </row>
        <row r="13">
          <cell r="A13" t="str">
            <v>Vector|||208007414|||ISSR|||RD_EXP|||False|||</v>
          </cell>
          <cell r="C13" t="str">
            <v>V_KEYWORD_ISSR_208007414_RD_EXP</v>
          </cell>
        </row>
        <row r="14">
          <cell r="A14" t="str">
            <v>Vector|||208007414|||ISSR|||OTH_OP_INC_EXP|||False|||</v>
          </cell>
          <cell r="C14" t="str">
            <v>V_KEYWORD_ISSR_208007414_OTH_OP_INC_EXP</v>
          </cell>
        </row>
        <row r="15">
          <cell r="A15" t="str">
            <v>Vector|||208007414|||ISSR|||TOT_OPS_EXP_DDA|||False|||</v>
          </cell>
          <cell r="C15" t="str">
            <v>V_KEYWORD_ISSR_208007414_TOT_OPS_EXP_DDA</v>
          </cell>
        </row>
        <row r="16">
          <cell r="A16" t="str">
            <v>Vector|||208007414|||ISSR|||TOT_OPS_EXP|||False|||</v>
          </cell>
          <cell r="C16" t="str">
            <v>V_KEYWORD_ISSR_208007414_TOT_OPS_EXP</v>
          </cell>
        </row>
        <row r="17">
          <cell r="A17" t="str">
            <v>Vector|||208007414|||ISSR|||EBITDA_CALC|||False|||</v>
          </cell>
          <cell r="C17" t="str">
            <v>V_KEYWORD_ISSR_208007414_EBITDA_CALC</v>
          </cell>
        </row>
        <row r="18">
          <cell r="A18" t="str">
            <v>Vector|||208007414|||ISSR|||DEPREC|||False|||</v>
          </cell>
          <cell r="C18" t="str">
            <v>V_KEYWORD_ISSR_208007414_DEPREC</v>
          </cell>
        </row>
        <row r="19">
          <cell r="A19" t="str">
            <v>Vector|||208007414|||ISSR|||GOODWILL_AMORT|||False|||</v>
          </cell>
          <cell r="C19" t="str">
            <v>V_KEYWORD_ISSR_208007414_GOODWILL_AMORT</v>
          </cell>
        </row>
        <row r="20">
          <cell r="A20" t="str">
            <v>Vector|||208007414|||ISSR|||EBIT|||False|||</v>
          </cell>
          <cell r="C20" t="str">
            <v>V_KEYWORD_ISSR_208007414_EBIT</v>
          </cell>
        </row>
        <row r="21">
          <cell r="A21" t="str">
            <v>Vector|||208007414|||ISSR|||INT_INC_IND|||False|||</v>
          </cell>
          <cell r="C21" t="str">
            <v>V_KEYWORD_ISSR_208007414_INT_INC_IND</v>
          </cell>
        </row>
        <row r="22">
          <cell r="A22" t="str">
            <v>Vector|||208007414|||ISSR|||INT_EXP_IND|||False|||</v>
          </cell>
          <cell r="C22" t="str">
            <v>V_KEYWORD_ISSR_208007414_INT_EXP_IND</v>
          </cell>
        </row>
        <row r="23">
          <cell r="A23" t="str">
            <v>Vector|||208007414|||ISSR|||NET_INT_EXP|||False|||</v>
          </cell>
          <cell r="C23" t="str">
            <v>V_KEYWORD_ISSR_208007414_NET_INT_EXP</v>
          </cell>
        </row>
        <row r="24">
          <cell r="A24" t="str">
            <v>Vector|||208007414|||ISSR|||ASSOCIATE|||False|||</v>
          </cell>
          <cell r="C24" t="str">
            <v>V_KEYWORD_ISSR_208007414_ASSOCIATE</v>
          </cell>
        </row>
        <row r="25">
          <cell r="A25" t="str">
            <v>Vector|||208007414|||ISSR|||PROFIT_ON_DISP|||False|||</v>
          </cell>
          <cell r="C25" t="str">
            <v>V_KEYWORD_ISSR_208007414_PROFIT_ON_DISP</v>
          </cell>
        </row>
        <row r="26">
          <cell r="A26" t="str">
            <v>Vector|||208007414|||ISSR|||OTH_COST_INC|||False|||</v>
          </cell>
          <cell r="C26" t="str">
            <v>V_KEYWORD_ISSR_208007414_OTH_COST_INC</v>
          </cell>
        </row>
        <row r="27">
          <cell r="A27" t="str">
            <v>Vector|||208007414|||ISSR|||PT_PROF|||False|||</v>
          </cell>
          <cell r="C27" t="str">
            <v>V_KEYWORD_ISSR_208007414_PT_PROF</v>
          </cell>
        </row>
        <row r="29">
          <cell r="A29" t="str">
            <v>Vector|||208007414|||ISSR|||ORG_REV|||False|||</v>
          </cell>
          <cell r="C29" t="str">
            <v>V_KEYWORD_ISSR_208007414_ORG_REV</v>
          </cell>
        </row>
        <row r="30">
          <cell r="A30" t="str">
            <v>Vector|||208007414|||ISSR|||ORG_REV_GRTH|||False|||</v>
          </cell>
          <cell r="C30" t="str">
            <v>V_KEYWORD_ISSR_208007414_ORG_REV_GRTH</v>
          </cell>
        </row>
        <row r="31">
          <cell r="A31" t="str">
            <v>Vector|||208007414|||ISSR|||LEASE_PAY|||False|||</v>
          </cell>
          <cell r="C31" t="str">
            <v>V_KEYWORD_ISSR_208007414_LEASE_PAY</v>
          </cell>
        </row>
        <row r="32">
          <cell r="A32" t="str">
            <v>Vector|||208007414|||ISSR|||LEASE_DEEM_INT|||False|||</v>
          </cell>
          <cell r="C32" t="str">
            <v>V_KEYWORD_ISSR_208007414_LEASE_DEEM_INT</v>
          </cell>
        </row>
        <row r="33">
          <cell r="A33" t="str">
            <v>Vector|||208007414|||ISSR|||LEASE_DEEM_DEPR|||False|||</v>
          </cell>
          <cell r="C33" t="str">
            <v>V_KEYWORD_ISSR_208007414_LEASE_DEEM_DEPR</v>
          </cell>
        </row>
        <row r="34">
          <cell r="A34" t="str">
            <v>Vector|||208007414|||ISSR|||NET_INT_CH|||False|||</v>
          </cell>
          <cell r="C34" t="str">
            <v>V_KEYWORD_ISSR_208007414_NET_INT_CH</v>
          </cell>
        </row>
        <row r="35">
          <cell r="A35" t="str">
            <v>Vector|||208007414|||ISSR|||ASSOCIATE_OP|||False|||</v>
          </cell>
          <cell r="C35" t="str">
            <v>V_KEYWORD_ISSR_208007414_ASSOCIATE_OP</v>
          </cell>
        </row>
        <row r="36">
          <cell r="A36" t="str">
            <v>Vector|||208007414|||ISSR|||GW_AMORT|||False|||</v>
          </cell>
          <cell r="C36" t="str">
            <v>V_KEYWORD_ISSR_208007414_GW_AMORT</v>
          </cell>
        </row>
        <row r="37">
          <cell r="A37" t="str">
            <v>Vector|||208007414|||ISSR|||OTH_INT_AMORT|||False|||</v>
          </cell>
          <cell r="C37" t="str">
            <v>V_KEYWORD_ISSR_208007414_OTH_INT_AMORT</v>
          </cell>
        </row>
        <row r="39">
          <cell r="A39" t="str">
            <v>Vector|||208007414|||ISSR|||CASH_EQ|||False|||</v>
          </cell>
          <cell r="C39" t="str">
            <v>V_KEYWORD_ISSR_208007414_CASH_EQ</v>
          </cell>
        </row>
        <row r="40">
          <cell r="A40" t="str">
            <v>Vector|||208007414|||ISSR|||DEBTORS|||False|||</v>
          </cell>
          <cell r="C40" t="str">
            <v>V_KEYWORD_ISSR_208007414_DEBTORS</v>
          </cell>
        </row>
        <row r="41">
          <cell r="A41" t="str">
            <v>Vector|||208007414|||ISSR|||STOCKS|||False|||</v>
          </cell>
          <cell r="C41" t="str">
            <v>V_KEYWORD_ISSR_208007414_STOCKS</v>
          </cell>
        </row>
        <row r="42">
          <cell r="A42" t="str">
            <v>Vector|||208007414|||ISSR|||OTH_CUR_ASS|||False|||</v>
          </cell>
          <cell r="C42" t="str">
            <v>V_KEYWORD_ISSR_208007414_OTH_CUR_ASS</v>
          </cell>
        </row>
        <row r="43">
          <cell r="A43" t="str">
            <v>Vector|||208007414|||ISSR|||CUR_ASS|||False|||</v>
          </cell>
          <cell r="C43" t="str">
            <v>V_KEYWORD_ISSR_208007414_CUR_ASS</v>
          </cell>
        </row>
        <row r="44">
          <cell r="A44" t="str">
            <v>Vector|||208007414|||ISSR|||GR_FIX_ASS|||False|||</v>
          </cell>
          <cell r="C44" t="str">
            <v>V_KEYWORD_ISSR_208007414_GR_FIX_ASS</v>
          </cell>
        </row>
        <row r="45">
          <cell r="A45" t="str">
            <v>Vector|||208007414|||ISSR|||ACC_DDA|||False|||</v>
          </cell>
          <cell r="C45" t="str">
            <v>V_KEYWORD_ISSR_208007414_ACC_DDA</v>
          </cell>
        </row>
        <row r="46">
          <cell r="A46" t="str">
            <v>Vector|||208007414|||ISSR|||NET_FIX_ASS|||False|||</v>
          </cell>
          <cell r="C46" t="str">
            <v>V_KEYWORD_ISSR_208007414_NET_FIX_ASS</v>
          </cell>
        </row>
        <row r="47">
          <cell r="A47" t="str">
            <v>Vector|||208007414|||ISSR|||GR_INTANG|||False|||</v>
          </cell>
          <cell r="C47" t="str">
            <v>V_KEYWORD_ISSR_208007414_GR_INTANG</v>
          </cell>
        </row>
        <row r="48">
          <cell r="A48" t="str">
            <v>Vector|||208007414|||ISSR|||ACC_AMORT|||False|||</v>
          </cell>
          <cell r="C48" t="str">
            <v>V_KEYWORD_ISSR_208007414_ACC_AMORT</v>
          </cell>
        </row>
        <row r="49">
          <cell r="A49" t="str">
            <v>Vector|||208007414|||ISSR|||NET_INTANG|||False|||</v>
          </cell>
          <cell r="C49" t="str">
            <v>V_KEYWORD_ISSR_208007414_NET_INTANG</v>
          </cell>
        </row>
        <row r="50">
          <cell r="A50" t="str">
            <v>Vector|||208007414|||ISSR|||FIX_ASS_INV|||False|||</v>
          </cell>
          <cell r="C50" t="str">
            <v>V_KEYWORD_ISSR_208007414_FIX_ASS_INV</v>
          </cell>
        </row>
        <row r="51">
          <cell r="A51" t="str">
            <v>Vector|||208007414|||ISSR|||INV_SECUR|||False|||</v>
          </cell>
          <cell r="C51" t="str">
            <v>V_KEYWORD_ISSR_208007414_INV_SECUR</v>
          </cell>
        </row>
        <row r="52">
          <cell r="A52" t="str">
            <v>Vector|||208007414|||ISSR|||OTH_LT_ASS|||False|||</v>
          </cell>
          <cell r="C52" t="str">
            <v>V_KEYWORD_ISSR_208007414_OTH_LT_ASS</v>
          </cell>
        </row>
        <row r="53">
          <cell r="A53" t="str">
            <v>Vector|||208007414|||ISSR|||TOT_ASSET|||False|||</v>
          </cell>
          <cell r="C53" t="str">
            <v>V_KEYWORD_ISSR_208007414_TOT_ASSET</v>
          </cell>
        </row>
        <row r="54">
          <cell r="A54" t="str">
            <v>Vector|||208007414|||ISSR|||ACC_PAY_GQ|||False|||</v>
          </cell>
          <cell r="C54" t="str">
            <v>V_KEYWORD_ISSR_208007414_ACC_PAY_GQ</v>
          </cell>
        </row>
        <row r="55">
          <cell r="A55" t="str">
            <v>Vector|||208007414|||ISSR|||SHORT_T_DEBT|||False|||</v>
          </cell>
          <cell r="C55" t="str">
            <v>V_KEYWORD_ISSR_208007414_SHORT_T_DEBT</v>
          </cell>
        </row>
        <row r="56">
          <cell r="A56" t="str">
            <v>Vector|||208007414|||ISSR|||OTH_CUR_LIABS|||False|||</v>
          </cell>
          <cell r="C56" t="str">
            <v>V_KEYWORD_ISSR_208007414_OTH_CUR_LIABS</v>
          </cell>
        </row>
        <row r="57">
          <cell r="A57" t="str">
            <v>Vector|||208007414|||ISSR|||SHORT_TERM_LIABS|||False|||</v>
          </cell>
          <cell r="C57" t="str">
            <v>V_KEYWORD_ISSR_208007414_SHORT_TERM_LIABS</v>
          </cell>
        </row>
        <row r="58">
          <cell r="A58" t="str">
            <v>Vector|||208007414|||ISSR|||LT_DEBT|||False|||</v>
          </cell>
          <cell r="C58" t="str">
            <v>V_KEYWORD_ISSR_208007414_LT_DEBT</v>
          </cell>
        </row>
        <row r="59">
          <cell r="A59" t="str">
            <v>Vector|||208007414|||ISSR|||OTH_LT_CRED_GQ|||False|||</v>
          </cell>
          <cell r="C59" t="str">
            <v>V_KEYWORD_ISSR_208007414_OTH_LT_CRED_GQ</v>
          </cell>
        </row>
        <row r="60">
          <cell r="A60" t="str">
            <v>Vector|||208007414|||ISSR|||TOT_LT_LIAB|||False|||</v>
          </cell>
          <cell r="C60" t="str">
            <v>V_KEYWORD_ISSR_208007414_TOT_LT_LIAB</v>
          </cell>
        </row>
        <row r="61">
          <cell r="A61" t="str">
            <v>Vector|||208007414|||ISSR|||TOT_LIAB|||False|||</v>
          </cell>
          <cell r="C61" t="str">
            <v>V_KEYWORD_ISSR_208007414_TOT_LIAB</v>
          </cell>
        </row>
        <row r="62">
          <cell r="A62" t="str">
            <v>Vector|||208007414|||ISSR|||PREF_SH|||False|||</v>
          </cell>
          <cell r="C62" t="str">
            <v>V_KEYWORD_ISSR_208007414_PREF_SH</v>
          </cell>
        </row>
        <row r="63">
          <cell r="A63" t="str">
            <v>Vector|||208007414|||ISSR|||ORD_SH_FUND|||False|||</v>
          </cell>
          <cell r="C63" t="str">
            <v>V_KEYWORD_ISSR_208007414_ORD_SH_FUND</v>
          </cell>
        </row>
        <row r="64">
          <cell r="A64" t="str">
            <v>Vector|||208007414|||ISSR|||MINORITIES|||False|||</v>
          </cell>
          <cell r="C64" t="str">
            <v>V_KEYWORD_ISSR_208007414_MINORITIES</v>
          </cell>
        </row>
        <row r="65">
          <cell r="A65" t="str">
            <v>Vector|||208007414|||ISSR|||EQ|||False|||</v>
          </cell>
          <cell r="C65" t="str">
            <v>V_KEYWORD_ISSR_208007414_EQ</v>
          </cell>
        </row>
        <row r="66">
          <cell r="A66" t="str">
            <v>Vector|||208007414|||ISSR|||TOT_LIAB_EQ|||False|||</v>
          </cell>
          <cell r="C66" t="str">
            <v>V_KEYWORD_ISSR_208007414_TOT_LIAB_EQ</v>
          </cell>
        </row>
        <row r="68">
          <cell r="A68" t="str">
            <v>Vector|||208007414|||ISSR|||NET_DEBT|||False|||</v>
          </cell>
          <cell r="C68" t="str">
            <v>V_KEYWORD_ISSR_208007414_NET_DEBT</v>
          </cell>
        </row>
        <row r="69">
          <cell r="A69" t="str">
            <v>Vector|||208007414|||ISSR|||CAP_LEASES|||False|||</v>
          </cell>
          <cell r="C69" t="str">
            <v>V_KEYWORD_ISSR_208007414_CAP_LEASES</v>
          </cell>
        </row>
        <row r="70">
          <cell r="A70" t="str">
            <v>Vector|||208007414|||ISSR|||DEF_INC_TAX|||False|||</v>
          </cell>
          <cell r="C70" t="str">
            <v>V_KEYWORD_ISSR_208007414_DEF_INC_TAX</v>
          </cell>
        </row>
        <row r="71">
          <cell r="A71" t="str">
            <v>Vector|||208007414|||ISSR|||MV_ASSOCIATES|||False|||</v>
          </cell>
          <cell r="C71" t="str">
            <v>V_KEYWORD_ISSR_208007414_MV_ASSOCIATES</v>
          </cell>
        </row>
        <row r="72">
          <cell r="A72" t="str">
            <v>Vector|||208007414|||ISSR|||NET_DEBT_ADJ|||False|||</v>
          </cell>
          <cell r="C72" t="str">
            <v>V_KEYWORD_ISSR_208007414_NET_DEBT_ADJ</v>
          </cell>
        </row>
        <row r="73">
          <cell r="A73" t="str">
            <v>Vector|||208007414|||ISSR|||CO_BOR_MARGIN|||False|||</v>
          </cell>
          <cell r="C73" t="str">
            <v>V_KEYWORD_ISSR_208007414_CO_BOR_MARGIN</v>
          </cell>
        </row>
        <row r="74">
          <cell r="A74" t="str">
            <v>Vector|||208007414|||ISSR|||UNF_PENS|||False|||</v>
          </cell>
          <cell r="C74" t="str">
            <v>V_KEYWORD_ISSR_208007414_UNF_PENS</v>
          </cell>
        </row>
        <row r="75">
          <cell r="A75" t="str">
            <v>Vector|||208007414|||ISSR|||UNF_PENS_OFF|||False|||</v>
          </cell>
          <cell r="C75" t="str">
            <v>V_KEYWORD_ISSR_208007414_UNF_PENS_OFF</v>
          </cell>
        </row>
        <row r="76">
          <cell r="A76" t="str">
            <v>Vector|||208007414|||ISSR|||UNF_PENS_LIAB_OTH|||False|||</v>
          </cell>
          <cell r="C76" t="str">
            <v>V_KEYWORD_ISSR_208007414_UNF_PENS_LIAB_OTH</v>
          </cell>
        </row>
        <row r="77">
          <cell r="A77" t="str">
            <v>Vector|||208007414|||ISSR|||ADJ_UNF_PENS_GOOD|||False|||</v>
          </cell>
          <cell r="C77" t="str">
            <v>V_KEYWORD_ISSR_208007414_ADJ_UNF_PENS_GOOD</v>
          </cell>
        </row>
        <row r="78">
          <cell r="A78" t="str">
            <v>Vector|||208007414|||ISSR|||OTH_GCI_ADJ|||False|||</v>
          </cell>
          <cell r="C78" t="str">
            <v>V_KEYWORD_ISSR_208007414_OTH_GCI_ADJ</v>
          </cell>
        </row>
        <row r="79">
          <cell r="A79" t="str">
            <v>Vector|||208007414|||ISSR|||GCI_INFL|||False|||</v>
          </cell>
          <cell r="C79" t="str">
            <v>V_KEYWORD_ISSR_208007414_GCI_INFL</v>
          </cell>
        </row>
        <row r="80">
          <cell r="A80" t="str">
            <v>Vector|||208007414|||ISSR|||BAL_MINO_INT|||False|||</v>
          </cell>
          <cell r="C80" t="str">
            <v>V_KEYWORD_ISSR_208007414_BAL_MINO_INT</v>
          </cell>
        </row>
        <row r="82">
          <cell r="A82" t="str">
            <v>Vector|||208007414|||ISSR|||CF_INC_MINORITY|||False|||</v>
          </cell>
          <cell r="C82" t="str">
            <v>V_KEYWORD_ISSR_208007414_CF_INC_MINORITY</v>
          </cell>
        </row>
        <row r="83">
          <cell r="A83" t="str">
            <v>Vector|||208007414|||ISSR|||DEPR_AMORT|||False|||</v>
          </cell>
          <cell r="C83" t="str">
            <v>V_KEYWORD_ISSR_208007414_DEPR_AMORT</v>
          </cell>
        </row>
        <row r="84">
          <cell r="A84" t="str">
            <v>Vector|||208007414|||ISSR|||WORK_CAP|||False|||</v>
          </cell>
          <cell r="C84" t="str">
            <v>V_KEYWORD_ISSR_208007414_WORK_CAP</v>
          </cell>
        </row>
        <row r="85">
          <cell r="A85" t="str">
            <v>Vector|||208007414|||ISSR|||OTH_OP_CF|||False|||</v>
          </cell>
          <cell r="C85" t="str">
            <v>V_KEYWORD_ISSR_208007414_OTH_OP_CF</v>
          </cell>
        </row>
        <row r="86">
          <cell r="A86" t="str">
            <v>Vector|||208007414|||ISSR|||CF_OPS|||False|||</v>
          </cell>
          <cell r="C86" t="str">
            <v>V_KEYWORD_ISSR_208007414_CF_OPS</v>
          </cell>
        </row>
        <row r="87">
          <cell r="A87" t="str">
            <v>Vector|||208007414|||ISSR|||CAPEX|||False|||</v>
          </cell>
          <cell r="C87" t="str">
            <v>V_KEYWORD_ISSR_208007414_CAPEX</v>
          </cell>
        </row>
        <row r="88">
          <cell r="A88" t="str">
            <v>Vector|||208007414|||ISSR|||ACQ|||False|||</v>
          </cell>
          <cell r="C88" t="str">
            <v>V_KEYWORD_ISSR_208007414_ACQ</v>
          </cell>
        </row>
        <row r="89">
          <cell r="A89" t="str">
            <v>Vector|||208007414|||ISSR|||DIVEST|||False|||</v>
          </cell>
          <cell r="C89" t="str">
            <v>V_KEYWORD_ISSR_208007414_DIVEST</v>
          </cell>
        </row>
        <row r="90">
          <cell r="A90" t="str">
            <v>Vector|||208007414|||ISSR|||OTH_INV_CF|||False|||</v>
          </cell>
          <cell r="C90" t="str">
            <v>V_KEYWORD_ISSR_208007414_OTH_INV_CF</v>
          </cell>
        </row>
        <row r="91">
          <cell r="A91" t="str">
            <v>Vector|||208007414|||ISSR|||CF_INV|||False|||</v>
          </cell>
          <cell r="C91" t="str">
            <v>V_KEYWORD_ISSR_208007414_CF_INV</v>
          </cell>
        </row>
        <row r="92">
          <cell r="A92" t="str">
            <v>Vector|||208007414|||ISSR|||DIV_PAID|||False|||</v>
          </cell>
          <cell r="C92" t="str">
            <v>V_KEYWORD_ISSR_208007414_DIV_PAID</v>
          </cell>
        </row>
        <row r="93">
          <cell r="A93" t="str">
            <v>Vector|||208007414|||ISSR|||SH_REPUR|||False|||</v>
          </cell>
          <cell r="C93" t="str">
            <v>V_KEYWORD_ISSR_208007414_SH_REPUR</v>
          </cell>
        </row>
        <row r="94">
          <cell r="A94" t="str">
            <v>Vector|||208007414|||ISSR|||CHG_LT_DEBT|||False|||</v>
          </cell>
          <cell r="C94" t="str">
            <v>V_KEYWORD_ISSR_208007414_CHG_LT_DEBT</v>
          </cell>
        </row>
        <row r="95">
          <cell r="A95" t="str">
            <v>Vector|||208007414|||ISSR|||OTH_FIN_CF|||False|||</v>
          </cell>
          <cell r="C95" t="str">
            <v>V_KEYWORD_ISSR_208007414_OTH_FIN_CF</v>
          </cell>
        </row>
        <row r="96">
          <cell r="A96" t="str">
            <v>Vector|||208007414|||ISSR|||CF_FIN|||False|||</v>
          </cell>
          <cell r="C96" t="str">
            <v>V_KEYWORD_ISSR_208007414_CF_FIN</v>
          </cell>
        </row>
        <row r="97">
          <cell r="A97" t="str">
            <v>Vector|||208007414|||ISSR|||OTH_ITEM_NCF|||False|||</v>
          </cell>
          <cell r="C97" t="str">
            <v>V_KEYWORD_ISSR_208007414_OTH_ITEM_NCF</v>
          </cell>
        </row>
        <row r="98">
          <cell r="A98" t="str">
            <v>Vector|||208007414|||ISSR|||TOT_CF|||False|||</v>
          </cell>
          <cell r="C98" t="str">
            <v>V_KEYWORD_ISSR_208007414_TOT_CF</v>
          </cell>
        </row>
        <row r="100">
          <cell r="A100" t="str">
            <v>Vector|||208007414|||ISSR|||ASSOC_JV_ADDBK|||False|||</v>
          </cell>
          <cell r="C100" t="str">
            <v>V_KEYWORD_ISSR_208007414_ASSOC_JV_ADDBK</v>
          </cell>
        </row>
        <row r="101">
          <cell r="A101" t="str">
            <v>Vector|||208007414|||ISSR|||CASH_INT_INC_EXP|||False|||</v>
          </cell>
          <cell r="C101" t="str">
            <v>V_KEYWORD_ISSR_208007414_CASH_INT_INC_EXP</v>
          </cell>
        </row>
        <row r="102">
          <cell r="A102" t="str">
            <v>Vector|||208007414|||ISSR|||CASH_TAX_PD|||False|||</v>
          </cell>
          <cell r="C102" t="str">
            <v>V_KEYWORD_ISSR_208007414_CASH_TAX_PD</v>
          </cell>
        </row>
        <row r="103">
          <cell r="A103" t="str">
            <v>Vector|||208007414|||ISSR|||PL_SALE_ASSETS|||False|||</v>
          </cell>
          <cell r="C103" t="str">
            <v>V_KEYWORD_ISSR_208007414_PL_SALE_ASSETS</v>
          </cell>
        </row>
        <row r="104">
          <cell r="A104" t="str">
            <v>Vector|||208007414|||ISSR|||OTH_NONCASH_ADJ|||False|||</v>
          </cell>
          <cell r="C104" t="str">
            <v>V_KEYWORD_ISSR_208007414_OTH_NONCASH_ADJ</v>
          </cell>
        </row>
        <row r="105">
          <cell r="A105" t="str">
            <v>Vector|||208007414|||ISSR|||OTH_DACF_ADJ|||False|||</v>
          </cell>
          <cell r="C105" t="str">
            <v>V_KEYWORD_ISSR_208007414_OTH_DACF_ADJ</v>
          </cell>
        </row>
        <row r="106">
          <cell r="A106" t="str">
            <v>Vector|||208007414|||ISSR|||CASH_INT_EXP|||False|||</v>
          </cell>
          <cell r="C106" t="str">
            <v>V_KEYWORD_ISSR_208007414_CASH_INT_EXP</v>
          </cell>
        </row>
        <row r="107">
          <cell r="A107" t="str">
            <v>Vector|||208007414|||ISSR|||CASH_TAX_EXP|||False|||</v>
          </cell>
          <cell r="C107" t="str">
            <v>V_KEYWORD_ISSR_208007414_CASH_TAX_EXP</v>
          </cell>
        </row>
        <row r="108">
          <cell r="A108" t="str">
            <v>Vector|||208007414|||ISSR|||DIVDS_ASSOC_JV|||False|||</v>
          </cell>
          <cell r="C108" t="str">
            <v>V_KEYWORD_ISSR_208007414_DIVDS_ASSOC_JV</v>
          </cell>
        </row>
        <row r="109">
          <cell r="A109" t="str">
            <v>Vector|||208007414|||ISSR|||CAPEX_MAINTENANCE|||False|||</v>
          </cell>
          <cell r="C109" t="str">
            <v>V_KEYWORD_ISSR_208007414_CAPEX_MAINTENANCE</v>
          </cell>
        </row>
        <row r="110">
          <cell r="A110" t="str">
            <v>Vector|||208007414|||ISSR|||CAPEX_EXPANSION|||False|||</v>
          </cell>
          <cell r="C110" t="str">
            <v>V_KEYWORD_ISSR_208007414_CAPEX_EXPANSION</v>
          </cell>
        </row>
        <row r="111">
          <cell r="A111" t="str">
            <v>Vector|||208007414|||ISSR|||NONPPE_CAPEX|||False|||</v>
          </cell>
          <cell r="C111" t="str">
            <v>V_KEYWORD_ISSR_208007414_NONPPE_CAPEX</v>
          </cell>
        </row>
        <row r="112">
          <cell r="A112" t="str">
            <v>Vector|||208007414|||ISSR|||DIVDS_PD_MINORITIES|||False|||</v>
          </cell>
          <cell r="C112" t="str">
            <v>V_KEYWORD_ISSR_208007414_DIVDS_PD_MINORITIES</v>
          </cell>
        </row>
        <row r="114">
          <cell r="A114" t="str">
            <v>Vector|||208007414|||ISSR|||EMPLOYEES|||False|||</v>
          </cell>
          <cell r="C114" t="str">
            <v>V_KEYWORD_ISSR_208007414_EMPLOYEES</v>
          </cell>
        </row>
        <row r="116">
          <cell r="A116" t="str">
            <v>Vector|||208007414|||ISSR|||SALES_TOT_AM|||False|||</v>
          </cell>
          <cell r="C116" t="str">
            <v>V_KEYWORD_ISSR_208007414_SALES_TOT_AM</v>
          </cell>
        </row>
        <row r="117">
          <cell r="A117" t="str">
            <v>Vector|||208007414|||ISSR|||SALES_US|||False|||</v>
          </cell>
          <cell r="C117" t="str">
            <v>V_KEYWORD_ISSR_208007414_SALES_US</v>
          </cell>
        </row>
        <row r="119">
          <cell r="A119" t="str">
            <v>Vector|||208007414|||ISSR|||SALES_BRAZIL|||False|||</v>
          </cell>
          <cell r="C119" t="str">
            <v>V_KEYWORD_ISSR_208007414_SALES_BRAZIL</v>
          </cell>
        </row>
        <row r="120">
          <cell r="A120" t="str">
            <v>Vector|||208007414|||ISSR|||SALES_OTH_AM|||False|||</v>
          </cell>
          <cell r="C120" t="str">
            <v>V_KEYWORD_ISSR_208007414_SALES_OTH_AM</v>
          </cell>
        </row>
        <row r="121">
          <cell r="A121" t="str">
            <v>Vector|||208007414|||ISSR|||SALES_TOT_EMEA|||False|||</v>
          </cell>
          <cell r="C121" t="str">
            <v>V_KEYWORD_ISSR_208007414_SALES_TOT_EMEA</v>
          </cell>
        </row>
        <row r="122">
          <cell r="A122" t="str">
            <v>Vector|||208007414|||ISSR|||SALES_UK|||False|||</v>
          </cell>
          <cell r="C122" t="str">
            <v>V_KEYWORD_ISSR_208007414_SALES_UK</v>
          </cell>
        </row>
        <row r="123">
          <cell r="A123" t="str">
            <v>Vector|||208007414|||ISSR|||SALES_EU_EX_UK|||False|||</v>
          </cell>
          <cell r="C123" t="str">
            <v>V_KEYWORD_ISSR_208007414_SALES_EU_EX_UK</v>
          </cell>
        </row>
        <row r="128">
          <cell r="A128" t="str">
            <v>Vector|||208007414|||ISSR|||SALES_FRA|||False|||</v>
          </cell>
          <cell r="C128" t="str">
            <v>V_KEYWORD_ISSR_208007414_SALES_FRA</v>
          </cell>
        </row>
        <row r="129">
          <cell r="A129" t="str">
            <v>Vector|||208007414|||ISSR|||SALES_GER|||False|||</v>
          </cell>
          <cell r="C129" t="str">
            <v>V_KEYWORD_ISSR_208007414_SALES_GER</v>
          </cell>
        </row>
        <row r="133">
          <cell r="A133" t="str">
            <v>Vector|||208007414|||ISSR|||SALES_ITA|||False|||</v>
          </cell>
          <cell r="C133" t="str">
            <v>V_KEYWORD_ISSR_208007414_SALES_ITA</v>
          </cell>
        </row>
        <row r="137">
          <cell r="A137" t="str">
            <v>Vector|||208007414|||ISSR|||SALES_SPA|||False|||</v>
          </cell>
          <cell r="C137" t="str">
            <v>V_KEYWORD_ISSR_208007414_SALES_SPA</v>
          </cell>
        </row>
        <row r="138">
          <cell r="A138" t="str">
            <v>Vector|||208007414|||ISSR|||SALES_OTH_EU_EX_UK|||False|||</v>
          </cell>
          <cell r="C138" t="str">
            <v>V_KEYWORD_ISSR_208007414_SALES_OTH_EU_EX_UK</v>
          </cell>
        </row>
        <row r="141">
          <cell r="A141" t="str">
            <v>Vector|||208007414|||ISSR|||SALES_CEE|||False|||</v>
          </cell>
          <cell r="C141" t="str">
            <v>V_KEYWORD_ISSR_208007414_SALES_CEE</v>
          </cell>
        </row>
        <row r="142">
          <cell r="A142" t="str">
            <v>Vector|||208007414|||ISSR|||SALES_ME|||False|||</v>
          </cell>
          <cell r="C142" t="str">
            <v>V_KEYWORD_ISSR_208007414_SALES_ME</v>
          </cell>
        </row>
        <row r="143">
          <cell r="A143" t="str">
            <v>Vector|||208007414|||ISSR|||SALES_SO_AFRICA|||False|||</v>
          </cell>
          <cell r="C143" t="str">
            <v>V_KEYWORD_ISSR_208007414_SALES_SO_AFRICA</v>
          </cell>
        </row>
        <row r="144">
          <cell r="A144" t="str">
            <v>Vector|||208007414|||ISSR|||SALES_NIGERIA|||False|||</v>
          </cell>
          <cell r="C144" t="str">
            <v>V_KEYWORD_ISSR_208007414_SALES_NIGERIA</v>
          </cell>
        </row>
        <row r="145">
          <cell r="A145" t="str">
            <v>Vector|||208007414|||ISSR|||SALES_OTH_AFRICA|||False|||</v>
          </cell>
          <cell r="C145" t="str">
            <v>V_KEYWORD_ISSR_208007414_SALES_OTH_AFRICA</v>
          </cell>
        </row>
        <row r="146">
          <cell r="A146" t="str">
            <v>Vector|||208007414|||ISSR|||SALES_TOT_AFRICA|||False|||</v>
          </cell>
          <cell r="C146" t="str">
            <v>V_KEYWORD_ISSR_208007414_SALES_TOT_AFRICA</v>
          </cell>
        </row>
        <row r="147">
          <cell r="A147" t="str">
            <v>Vector|||208007414|||ISSR|||SALES_RUSSIA|||False|||</v>
          </cell>
          <cell r="C147" t="str">
            <v>V_KEYWORD_ISSR_208007414_SALES_RUSSIA</v>
          </cell>
        </row>
        <row r="148">
          <cell r="A148" t="str">
            <v>Vector|||208007414|||ISSR|||SALES_OTH_EMEA|||False|||</v>
          </cell>
          <cell r="C148" t="str">
            <v>V_KEYWORD_ISSR_208007414_SALES_OTH_EMEA</v>
          </cell>
        </row>
        <row r="149">
          <cell r="A149" t="str">
            <v>Vector|||208007414|||ISSR|||SALES_TOT_ASIA|||False|||</v>
          </cell>
          <cell r="C149" t="str">
            <v>V_KEYWORD_ISSR_208007414_SALES_TOT_ASIA</v>
          </cell>
        </row>
        <row r="150">
          <cell r="A150" t="str">
            <v>Vector|||208007414|||ISSR|||SALES_JAPAN|||False|||</v>
          </cell>
          <cell r="C150" t="str">
            <v>V_KEYWORD_ISSR_208007414_SALES_JAPAN</v>
          </cell>
        </row>
        <row r="151">
          <cell r="A151" t="str">
            <v>Vector|||208007414|||ISSR|||SALES_CHINA|||False|||</v>
          </cell>
          <cell r="C151" t="str">
            <v>V_KEYWORD_ISSR_208007414_SALES_CHINA</v>
          </cell>
        </row>
        <row r="152">
          <cell r="A152" t="str">
            <v>Vector|||208007414|||ISSR|||SALES_INDIA|||False|||</v>
          </cell>
          <cell r="C152" t="str">
            <v>V_KEYWORD_ISSR_208007414_SALES_INDIA</v>
          </cell>
        </row>
        <row r="156">
          <cell r="A156" t="str">
            <v>Vector|||208007414|||ISSR|||SALES_OTH_AEJ|||False|||</v>
          </cell>
          <cell r="C156" t="str">
            <v>V_KEYWORD_ISSR_208007414_SALES_OTH_AEJ</v>
          </cell>
        </row>
        <row r="157">
          <cell r="A157" t="str">
            <v>Vector|||208007414|||ISSR|||SALES_OTHER|||False|||</v>
          </cell>
          <cell r="C157" t="str">
            <v>V_KEYWORD_ISSR_208007414_SALES_OTHER</v>
          </cell>
        </row>
        <row r="158">
          <cell r="A158" t="str">
            <v>Vector|||208007414|||ISSR|||IND_SALES_TOT_AM|||False|||</v>
          </cell>
          <cell r="C158" t="str">
            <v>V_KEYWORD_ISSR_208007414_IND_SALES_TOT_AM</v>
          </cell>
        </row>
        <row r="159">
          <cell r="A159" t="str">
            <v>Vector|||208007414|||ISSR|||IND_SALES_US|||False|||</v>
          </cell>
          <cell r="C159" t="str">
            <v>V_KEYWORD_ISSR_208007414_IND_SALES_US</v>
          </cell>
        </row>
        <row r="161">
          <cell r="A161" t="str">
            <v>Vector|||208007414|||ISSR|||IND_SALES_BRAZIL|||False|||</v>
          </cell>
          <cell r="C161" t="str">
            <v>V_KEYWORD_ISSR_208007414_IND_SALES_BRAZIL</v>
          </cell>
        </row>
        <row r="162">
          <cell r="A162" t="str">
            <v>Vector|||208007414|||ISSR|||IND_SALES_OTH_AM|||False|||</v>
          </cell>
          <cell r="C162" t="str">
            <v>V_KEYWORD_ISSR_208007414_IND_SALES_OTH_AM</v>
          </cell>
        </row>
        <row r="163">
          <cell r="A163" t="str">
            <v>Vector|||208007414|||ISSR|||IND_SALES_TOT_EMEA|||False|||</v>
          </cell>
          <cell r="C163" t="str">
            <v>V_KEYWORD_ISSR_208007414_IND_SALES_TOT_EMEA</v>
          </cell>
        </row>
        <row r="164">
          <cell r="A164" t="str">
            <v>Vector|||208007414|||ISSR|||IND_SALES_UK|||False|||</v>
          </cell>
          <cell r="C164" t="str">
            <v>V_KEYWORD_ISSR_208007414_IND_SALES_UK</v>
          </cell>
        </row>
        <row r="165">
          <cell r="A165" t="str">
            <v>Vector|||208007414|||ISSR|||IND_SALES_EU_EX_UK|||False|||</v>
          </cell>
          <cell r="C165" t="str">
            <v>V_KEYWORD_ISSR_208007414_IND_SALES_EU_EX_UK</v>
          </cell>
        </row>
        <row r="170">
          <cell r="A170" t="str">
            <v>Vector|||208007414|||ISSR|||IND_SALES_FRA|||False|||</v>
          </cell>
          <cell r="C170" t="str">
            <v>V_KEYWORD_ISSR_208007414_IND_SALES_FRA</v>
          </cell>
        </row>
        <row r="171">
          <cell r="A171" t="str">
            <v>Vector|||208007414|||ISSR|||IND_SALES_GER|||False|||</v>
          </cell>
          <cell r="C171" t="str">
            <v>V_KEYWORD_ISSR_208007414_IND_SALES_GER</v>
          </cell>
        </row>
        <row r="175">
          <cell r="A175" t="str">
            <v>Vector|||208007414|||ISSR|||IND_SALES_ITA|||False|||</v>
          </cell>
          <cell r="C175" t="str">
            <v>V_KEYWORD_ISSR_208007414_IND_SALES_ITA</v>
          </cell>
        </row>
        <row r="179">
          <cell r="A179" t="str">
            <v>Vector|||208007414|||ISSR|||IND_SALES_SPA|||False|||</v>
          </cell>
          <cell r="C179" t="str">
            <v>V_KEYWORD_ISSR_208007414_IND_SALES_SPA</v>
          </cell>
        </row>
        <row r="180">
          <cell r="A180" t="str">
            <v>Vector|||208007414|||ISSR|||IND_SALES_OTH_EU_EX_UK|||False|||</v>
          </cell>
          <cell r="C180" t="str">
            <v>V_KEYWORD_ISSR_208007414_IND_SALES_OTH_EU_EX_UK</v>
          </cell>
        </row>
        <row r="183">
          <cell r="A183" t="str">
            <v>Vector|||208007414|||ISSR|||IND_SALES_CEE|||False|||</v>
          </cell>
          <cell r="C183" t="str">
            <v>V_KEYWORD_ISSR_208007414_IND_SALES_CEE</v>
          </cell>
        </row>
        <row r="184">
          <cell r="A184" t="str">
            <v>Vector|||208007414|||ISSR|||IND_SALES_ME|||False|||</v>
          </cell>
          <cell r="C184" t="str">
            <v>V_KEYWORD_ISSR_208007414_IND_SALES_ME</v>
          </cell>
        </row>
        <row r="185">
          <cell r="A185" t="str">
            <v>Vector|||208007414|||ISSR|||IND_SALES_RUSSIA|||False|||</v>
          </cell>
          <cell r="C185" t="str">
            <v>V_KEYWORD_ISSR_208007414_IND_SALES_RUSSIA</v>
          </cell>
        </row>
        <row r="186">
          <cell r="A186" t="str">
            <v>Vector|||208007414|||ISSR|||IND_SALES_SO_AFRICA|||False|||</v>
          </cell>
          <cell r="C186" t="str">
            <v>V_KEYWORD_ISSR_208007414_IND_SALES_SO_AFRICA</v>
          </cell>
        </row>
        <row r="187">
          <cell r="A187" t="str">
            <v>Vector|||208007414|||ISSR|||IND_SALES_NIGERIA|||False|||</v>
          </cell>
          <cell r="C187" t="str">
            <v>V_KEYWORD_ISSR_208007414_IND_SALES_NIGERIA</v>
          </cell>
        </row>
        <row r="188">
          <cell r="A188" t="str">
            <v>Vector|||208007414|||ISSR|||IND_SALES_OTH_AFRICA|||False|||</v>
          </cell>
          <cell r="C188" t="str">
            <v>V_KEYWORD_ISSR_208007414_IND_SALES_OTH_AFRICA</v>
          </cell>
        </row>
        <row r="189">
          <cell r="A189" t="str">
            <v>Vector|||208007414|||ISSR|||IND_SALES_OTH_EMEA|||False|||</v>
          </cell>
          <cell r="C189" t="str">
            <v>V_KEYWORD_ISSR_208007414_IND_SALES_OTH_EMEA</v>
          </cell>
        </row>
        <row r="190">
          <cell r="A190" t="str">
            <v>Vector|||208007414|||ISSR|||IND_SALES_TOT_AFRICA|||False|||</v>
          </cell>
          <cell r="C190" t="str">
            <v>V_KEYWORD_ISSR_208007414_IND_SALES_TOT_AFRICA</v>
          </cell>
        </row>
        <row r="191">
          <cell r="A191" t="str">
            <v>Vector|||208007414|||ISSR|||IND_SALES_TOT_ASIA|||False|||</v>
          </cell>
          <cell r="C191" t="str">
            <v>V_KEYWORD_ISSR_208007414_IND_SALES_TOT_ASIA</v>
          </cell>
        </row>
        <row r="192">
          <cell r="A192" t="str">
            <v>Vector|||208007414|||ISSR|||IND_SALES_JAPAN|||False|||</v>
          </cell>
          <cell r="C192" t="str">
            <v>V_KEYWORD_ISSR_208007414_IND_SALES_JAPAN</v>
          </cell>
        </row>
        <row r="193">
          <cell r="A193" t="str">
            <v>Vector|||208007414|||ISSR|||IND_SALES_CHINA|||False|||</v>
          </cell>
          <cell r="C193" t="str">
            <v>V_KEYWORD_ISSR_208007414_IND_SALES_CHINA</v>
          </cell>
        </row>
        <row r="194">
          <cell r="A194" t="str">
            <v>Vector|||208007414|||ISSR|||IND_SALES_INDIA|||False|||</v>
          </cell>
          <cell r="C194" t="str">
            <v>V_KEYWORD_ISSR_208007414_IND_SALES_INDIA</v>
          </cell>
        </row>
        <row r="198">
          <cell r="A198" t="str">
            <v>Vector|||208007414|||ISSR|||IND_SALES_OTH_AEJ|||False|||</v>
          </cell>
          <cell r="C198" t="str">
            <v>V_KEYWORD_ISSR_208007414_IND_SALES_OTH_AEJ</v>
          </cell>
        </row>
        <row r="199">
          <cell r="A199" t="str">
            <v>Vector|||208007414|||ISSR|||IND_SALES_OTHER|||False|||</v>
          </cell>
          <cell r="C199" t="str">
            <v>V_KEYWORD_ISSR_208007414_IND_SALES_OTHER</v>
          </cell>
        </row>
        <row r="237">
          <cell r="A237" t="str">
            <v>Vector|||208007414|||ISSR|||SALES_CONS|||False|||</v>
          </cell>
          <cell r="C237" t="str">
            <v>V_KEYWORD_ISSR_208007414_SALES_CONS</v>
          </cell>
        </row>
        <row r="238">
          <cell r="A238" t="str">
            <v>Vector|||208007414|||ISSR|||SALES_IND|||False|||</v>
          </cell>
          <cell r="C238" t="str">
            <v>V_KEYWORD_ISSR_208007414_SALES_IND</v>
          </cell>
        </row>
        <row r="239">
          <cell r="A239" t="str">
            <v>Vector|||208007414|||ISSR|||SALES_GOV|||False|||</v>
          </cell>
          <cell r="C239" t="str">
            <v>V_KEYWORD_ISSR_208007414_SALES_GOV</v>
          </cell>
        </row>
        <row r="240">
          <cell r="A240" t="str">
            <v>Vector|||208007414|||ISSR|||SALES_FINAN|||False|||</v>
          </cell>
          <cell r="C240" t="str">
            <v>V_KEYWORD_ISSR_208007414_SALES_FINAN</v>
          </cell>
        </row>
        <row r="259">
          <cell r="A259" t="str">
            <v>Vector|||208007414|||ISSR|||IND_SALES_CONS|||False|||</v>
          </cell>
          <cell r="C259" t="str">
            <v>V_KEYWORD_ISSR_208007414_IND_SALES_CONS</v>
          </cell>
        </row>
        <row r="260">
          <cell r="A260" t="str">
            <v>Vector|||208007414|||ISSR|||IND_SALES_IND|||False|||</v>
          </cell>
          <cell r="C260" t="str">
            <v>V_KEYWORD_ISSR_208007414_IND_SALES_IND</v>
          </cell>
        </row>
        <row r="261">
          <cell r="A261" t="str">
            <v>Vector|||208007414|||ISSR|||IND_SALES_GOV|||False|||</v>
          </cell>
          <cell r="C261" t="str">
            <v>V_KEYWORD_ISSR_208007414_IND_SALES_GOV</v>
          </cell>
        </row>
        <row r="262">
          <cell r="A262" t="str">
            <v>Vector|||208007414|||ISSR|||IND_SALES_FINAN|||False|||</v>
          </cell>
          <cell r="C262" t="str">
            <v>V_KEYWORD_ISSR_208007414_IND_SALES_FINAN</v>
          </cell>
        </row>
        <row r="300">
          <cell r="A300" t="str">
            <v>Vector|||208007414|||ISSR|||SALES_OTH_COMMODITY|||False|||</v>
          </cell>
          <cell r="C300" t="str">
            <v>V_KEYWORD_ISSR_208007414_SALES_OTH_COMMODITY</v>
          </cell>
        </row>
        <row r="301">
          <cell r="A301" t="str">
            <v>Vector|||208007414|||ISSR|||SALES_OTH_SALES_SOURCES|||False|||</v>
          </cell>
          <cell r="C301" t="str">
            <v>V_KEYWORD_ISSR_208007414_SALES_OTH_SALES_SOURCES</v>
          </cell>
        </row>
        <row r="303">
          <cell r="A303" t="str">
            <v>Vector|||208007414|||ISSR|||EXP_OIL_PETRO_FUEL|||False|||</v>
          </cell>
          <cell r="C303" t="str">
            <v>V_KEYWORD_ISSR_208007414_EXP_OIL_PETRO_FUEL</v>
          </cell>
        </row>
        <row r="304">
          <cell r="A304" t="str">
            <v>Vector|||208007414|||ISSR|||EXP_OIL_DERIV_NGLS_PLASTICS|||False|||</v>
          </cell>
          <cell r="C304" t="str">
            <v>V_KEYWORD_ISSR_208007414_EXP_OIL_DERIV_NGLS_PLASTICS</v>
          </cell>
        </row>
        <row r="305">
          <cell r="A305" t="str">
            <v>Vector|||208007414|||ISSR|||EXP_NAT_GAS|||False|||</v>
          </cell>
          <cell r="C305" t="str">
            <v>V_KEYWORD_ISSR_208007414_EXP_NAT_GAS</v>
          </cell>
        </row>
        <row r="306">
          <cell r="A306" t="str">
            <v>Vector|||208007414|||ISSR|||EXP_GOLD|||False|||</v>
          </cell>
          <cell r="C306" t="str">
            <v>V_KEYWORD_ISSR_208007414_EXP_GOLD</v>
          </cell>
        </row>
        <row r="307">
          <cell r="A307" t="str">
            <v>Vector|||208007414|||ISSR|||EXP_COPPER|||False|||</v>
          </cell>
          <cell r="C307" t="str">
            <v>V_KEYWORD_ISSR_208007414_EXP_COPPER</v>
          </cell>
        </row>
        <row r="308">
          <cell r="A308" t="str">
            <v>Vector|||208007414|||ISSR|||EXP_SILVER|||False|||</v>
          </cell>
          <cell r="C308" t="str">
            <v>V_KEYWORD_ISSR_208007414_EXP_SILVER</v>
          </cell>
        </row>
        <row r="309">
          <cell r="A309" t="str">
            <v>Vector|||208007414|||ISSR|||EXP_PLATINUM|||False|||</v>
          </cell>
          <cell r="C309" t="str">
            <v>V_KEYWORD_ISSR_208007414_EXP_PLATINUM</v>
          </cell>
        </row>
        <row r="310">
          <cell r="A310" t="str">
            <v>Vector|||208007414|||ISSR|||EXP_PALLADIUM|||False|||</v>
          </cell>
          <cell r="C310" t="str">
            <v>V_KEYWORD_ISSR_208007414_EXP_PALLADIUM</v>
          </cell>
        </row>
        <row r="311">
          <cell r="A311" t="str">
            <v>Vector|||208007414|||ISSR|||EXP_ALUMINIUM|||False|||</v>
          </cell>
          <cell r="C311" t="str">
            <v>V_KEYWORD_ISSR_208007414_EXP_ALUMINIUM</v>
          </cell>
        </row>
        <row r="312">
          <cell r="A312" t="str">
            <v>Vector|||208007414|||ISSR|||EXP_NICKEL|||False|||</v>
          </cell>
          <cell r="C312" t="str">
            <v>V_KEYWORD_ISSR_208007414_EXP_NICKEL</v>
          </cell>
        </row>
        <row r="313">
          <cell r="A313" t="str">
            <v>Vector|||208007414|||ISSR|||EXP_ZINC|||False|||</v>
          </cell>
          <cell r="C313" t="str">
            <v>V_KEYWORD_ISSR_208007414_EXP_ZINC</v>
          </cell>
        </row>
        <row r="314">
          <cell r="A314" t="str">
            <v>Vector|||208007414|||ISSR|||EXP_STEEL|||False|||</v>
          </cell>
          <cell r="C314" t="str">
            <v>V_KEYWORD_ISSR_208007414_EXP_STEEL</v>
          </cell>
        </row>
        <row r="315">
          <cell r="A315" t="str">
            <v>Vector|||208007414|||ISSR|||EXP_GLASS|||False|||</v>
          </cell>
          <cell r="C315" t="str">
            <v>V_KEYWORD_ISSR_208007414_EXP_GLASS</v>
          </cell>
        </row>
        <row r="316">
          <cell r="A316" t="str">
            <v>Vector|||208007414|||ISSR|||EXP_RUBBER|||False|||</v>
          </cell>
          <cell r="C316" t="str">
            <v>V_KEYWORD_ISSR_208007414_EXP_RUBBER</v>
          </cell>
        </row>
        <row r="317">
          <cell r="A317" t="str">
            <v>Vector|||208007414|||ISSR|||EXP_WATER|||False|||</v>
          </cell>
          <cell r="C317" t="str">
            <v>V_KEYWORD_ISSR_208007414_EXP_WATER</v>
          </cell>
        </row>
        <row r="318">
          <cell r="A318" t="str">
            <v>Vector|||208007414|||ISSR|||EXP_OTH_COMMODITY|||False|||</v>
          </cell>
          <cell r="C318" t="str">
            <v>V_KEYWORD_ISSR_208007414_EXP_OTH_COMMODITY</v>
          </cell>
        </row>
        <row r="319">
          <cell r="A319" t="str">
            <v>Vector|||208007414|||ISSR|||EXP_OTH_COST|||False|||</v>
          </cell>
          <cell r="C319" t="str">
            <v>V_KEYWORD_ISSR_208007414_EXP_OTH_COST</v>
          </cell>
        </row>
        <row r="321">
          <cell r="A321" t="str">
            <v>Vector|||208007414|||ISSR|||SALES_FX_GPB|||False|||</v>
          </cell>
          <cell r="C321" t="str">
            <v>V_KEYWORD_ISSR_208007414_SALES_FX_GPB</v>
          </cell>
        </row>
        <row r="322">
          <cell r="A322" t="str">
            <v>Vector|||208007414|||ISSR|||SALES_FX_EUR|||False|||</v>
          </cell>
          <cell r="C322" t="str">
            <v>V_KEYWORD_ISSR_208007414_SALES_FX_EUR</v>
          </cell>
        </row>
        <row r="323">
          <cell r="A323" t="str">
            <v>Vector|||208007414|||ISSR|||SALES_FX_RUB|||False|||</v>
          </cell>
          <cell r="C323" t="str">
            <v>V_KEYWORD_ISSR_208007414_SALES_FX_RUB</v>
          </cell>
        </row>
        <row r="324">
          <cell r="A324" t="str">
            <v>Vector|||208007414|||ISSR|||SALES_FX_USD|||False|||</v>
          </cell>
          <cell r="C324" t="str">
            <v>V_KEYWORD_ISSR_208007414_SALES_FX_USD</v>
          </cell>
        </row>
        <row r="325">
          <cell r="A325" t="str">
            <v>Vector|||208007414|||ISSR|||SALES_FX_BRL|||False|||</v>
          </cell>
          <cell r="C325" t="str">
            <v>V_KEYWORD_ISSR_208007414_SALES_FX_BRL</v>
          </cell>
        </row>
        <row r="326">
          <cell r="A326" t="str">
            <v>Vector|||208007414|||ISSR|||SALES_FX_YEN|||False|||</v>
          </cell>
          <cell r="C326" t="str">
            <v>V_KEYWORD_ISSR_208007414_SALES_FX_YEN</v>
          </cell>
        </row>
        <row r="327">
          <cell r="A327" t="str">
            <v>Vector|||208007414|||ISSR|||SALES_FX_CNY|||False|||</v>
          </cell>
          <cell r="C327" t="str">
            <v>V_KEYWORD_ISSR_208007414_SALES_FX_CNY</v>
          </cell>
        </row>
        <row r="328">
          <cell r="A328" t="str">
            <v>Vector|||208007414|||ISSR|||SALES_FX_INR|||False|||</v>
          </cell>
          <cell r="C328" t="str">
            <v>V_KEYWORD_ISSR_208007414_SALES_FX_INR</v>
          </cell>
        </row>
        <row r="329">
          <cell r="A329" t="str">
            <v>Vector|||208007414|||ISSR|||SALES_FX_ZAR|||False|||</v>
          </cell>
          <cell r="C329" t="str">
            <v>V_KEYWORD_ISSR_208007414_SALES_FX_ZAR</v>
          </cell>
        </row>
        <row r="330">
          <cell r="A330" t="str">
            <v>Vector|||208007414|||ISSR|||SALES_FX_NGN|||False|||</v>
          </cell>
          <cell r="C330" t="str">
            <v>V_KEYWORD_ISSR_208007414_SALES_FX_NGN</v>
          </cell>
        </row>
        <row r="331">
          <cell r="A331" t="str">
            <v>Vector|||208007414|||ISSR|||SALES_FX_CHF|||False|||</v>
          </cell>
          <cell r="C331" t="str">
            <v>V_KEYWORD_ISSR_208007414_SALES_FX_CHF</v>
          </cell>
        </row>
        <row r="332">
          <cell r="A332" t="str">
            <v>Vector|||208007414|||ISSR|||SALES_FX_AED|||False|||</v>
          </cell>
          <cell r="C332" t="str">
            <v>V_KEYWORD_ISSR_208007414_SALES_FX_AED</v>
          </cell>
        </row>
        <row r="333">
          <cell r="A333" t="str">
            <v>Vector|||208007414|||ISSR|||SALES_FX_TRY|||False|||</v>
          </cell>
          <cell r="C333" t="str">
            <v>V_KEYWORD_ISSR_208007414_SALES_FX_TRY</v>
          </cell>
        </row>
        <row r="334">
          <cell r="A334" t="str">
            <v>Vector|||208007414|||ISSR|||SALES_FX_OTH|||False|||</v>
          </cell>
          <cell r="C334" t="str">
            <v>V_KEYWORD_ISSR_208007414_SALES_FX_OTH</v>
          </cell>
        </row>
        <row r="344">
          <cell r="A344" t="str">
            <v>Scalar|||200009619|||EQTY|||EURO_LIST|||False|||</v>
          </cell>
          <cell r="C344" t="str">
            <v>V_KEYWORD_EQTY_200009619_EURO_LIST</v>
          </cell>
        </row>
        <row r="345">
          <cell r="A345" t="str">
            <v>Scalar|||200009619|||EQTY|||EURO_CONVICTION|||False|||</v>
          </cell>
          <cell r="C345" t="str">
            <v>V_KEYWORD_EQTY_200009619_EURO_CONVICTION</v>
          </cell>
        </row>
        <row r="346">
          <cell r="A346" t="str">
            <v>Scalar|||200009619|||EQTY|||LEGAL_RATING|||False|||</v>
          </cell>
          <cell r="C346" t="str">
            <v>V_KEYWORD_EQTY_200009619_LEGAL_RATING</v>
          </cell>
          <cell r="E346" t="str">
            <v>ERROR</v>
          </cell>
        </row>
        <row r="347">
          <cell r="A347" t="str">
            <v>Scalar|||200009619|||EQTY|||TARGET_PRICE|||False|||</v>
          </cell>
          <cell r="C347" t="str">
            <v>V_KEYWORD_EQTY_200009619_TARGET_PRICE</v>
          </cell>
          <cell r="E347" t="str">
            <v>ERROR</v>
          </cell>
        </row>
        <row r="348">
          <cell r="A348" t="str">
            <v>Scalar|||200009619|||EQTY|||TP_PERIOD|||False|||</v>
          </cell>
          <cell r="C348" t="str">
            <v>V_KEYWORD_EQTY_200009619_TP_PERIOD</v>
          </cell>
          <cell r="E348" t="str">
            <v>ERROR</v>
          </cell>
        </row>
      </sheetData>
      <sheetData sheetId="2">
        <row r="1">
          <cell r="A1" t="str">
            <v>Issuer: Cobham</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t="str">
            <v>2006 H1</v>
          </cell>
          <cell r="W1" t="str">
            <v>2006 H2</v>
          </cell>
          <cell r="X1">
            <v>2006</v>
          </cell>
          <cell r="Y1" t="str">
            <v>2007 H1</v>
          </cell>
          <cell r="Z1" t="str">
            <v>2007 H2</v>
          </cell>
          <cell r="AA1">
            <v>2007</v>
          </cell>
          <cell r="AB1" t="str">
            <v>2008 H1</v>
          </cell>
          <cell r="AC1" t="str">
            <v>2008 H2</v>
          </cell>
          <cell r="AD1">
            <v>2008</v>
          </cell>
          <cell r="AE1" t="str">
            <v>2009 H1</v>
          </cell>
          <cell r="AF1" t="str">
            <v>2009 H2</v>
          </cell>
          <cell r="AG1">
            <v>2009</v>
          </cell>
          <cell r="AH1" t="str">
            <v>2010 H1</v>
          </cell>
          <cell r="AI1" t="str">
            <v>2010 H2</v>
          </cell>
          <cell r="AJ1">
            <v>2010</v>
          </cell>
          <cell r="AK1" t="str">
            <v>2011 H1</v>
          </cell>
          <cell r="AL1" t="str">
            <v>2011 H2</v>
          </cell>
          <cell r="AM1">
            <v>2011</v>
          </cell>
          <cell r="AN1">
            <v>2012</v>
          </cell>
          <cell r="AO1">
            <v>2013</v>
          </cell>
          <cell r="AP1">
            <v>2014</v>
          </cell>
          <cell r="AQ1">
            <v>2015</v>
          </cell>
          <cell r="AR1">
            <v>2016</v>
          </cell>
          <cell r="AS1">
            <v>2017</v>
          </cell>
          <cell r="AT1">
            <v>2018</v>
          </cell>
          <cell r="AU1">
            <v>2019</v>
          </cell>
          <cell r="AV1">
            <v>2020</v>
          </cell>
        </row>
        <row r="4">
          <cell r="A4" t="str">
            <v>Issuer: Cobham</v>
          </cell>
        </row>
        <row r="5">
          <cell r="A5" t="str">
            <v>Reference Data</v>
          </cell>
        </row>
        <row r="6">
          <cell r="B6" t="str">
            <v>Issuer Name</v>
          </cell>
          <cell r="C6" t="str">
            <v>Issuer Name</v>
          </cell>
          <cell r="E6" t="str">
            <v>Cobham</v>
          </cell>
        </row>
        <row r="7">
          <cell r="B7" t="str">
            <v>Reporting Currency</v>
          </cell>
          <cell r="C7" t="str">
            <v>CURRENCY_ISO</v>
          </cell>
          <cell r="E7" t="str">
            <v>GBP</v>
          </cell>
        </row>
        <row r="8">
          <cell r="A8" t="str">
            <v>Income Statement</v>
          </cell>
        </row>
        <row r="9">
          <cell r="B9" t="str">
            <v>Sales, net revenue</v>
          </cell>
          <cell r="C9" t="str">
            <v>SALES</v>
          </cell>
          <cell r="D9" t="str">
            <v>GBP</v>
          </cell>
        </row>
        <row r="10">
          <cell r="B10" t="str">
            <v>Cost of goods sold, COGS</v>
          </cell>
          <cell r="C10" t="str">
            <v>COST_GD_SD</v>
          </cell>
          <cell r="D10" t="str">
            <v>GBP</v>
          </cell>
        </row>
        <row r="11">
          <cell r="B11" t="str">
            <v>SG&amp;A, selling, general and admin. expense</v>
          </cell>
          <cell r="C11" t="str">
            <v>SEL_GL_AD</v>
          </cell>
          <cell r="D11" t="str">
            <v>GBP</v>
          </cell>
        </row>
        <row r="12">
          <cell r="B12" t="str">
            <v>Total operating expense</v>
          </cell>
          <cell r="C12" t="str">
            <v>OP_COST</v>
          </cell>
          <cell r="D12" t="str">
            <v>GBP</v>
          </cell>
        </row>
        <row r="13">
          <cell r="B13" t="str">
            <v>R&amp;D expense</v>
          </cell>
          <cell r="C13" t="str">
            <v>RD_EXP</v>
          </cell>
          <cell r="D13" t="str">
            <v>GBP</v>
          </cell>
        </row>
        <row r="14">
          <cell r="B14" t="str">
            <v>Other operating income/(expense) (incl. leases)</v>
          </cell>
          <cell r="C14" t="str">
            <v>OTH_OP_INC_EXP</v>
          </cell>
          <cell r="D14" t="str">
            <v>GBP</v>
          </cell>
        </row>
        <row r="15">
          <cell r="B15" t="str">
            <v>Total operating expense (incl. D&amp;A)</v>
          </cell>
          <cell r="C15" t="str">
            <v>TOT_OPS_EXP_DDA</v>
          </cell>
          <cell r="D15" t="str">
            <v>GBP</v>
          </cell>
        </row>
        <row r="16">
          <cell r="B16" t="str">
            <v>Total operating expense (excl. D&amp;A)</v>
          </cell>
          <cell r="C16" t="str">
            <v>TOT_OPS_EXP</v>
          </cell>
          <cell r="D16" t="str">
            <v>GBP</v>
          </cell>
        </row>
        <row r="17">
          <cell r="B17" t="str">
            <v>EBITDA</v>
          </cell>
          <cell r="C17" t="str">
            <v>EBITDA_CALC</v>
          </cell>
          <cell r="D17" t="str">
            <v>GBP</v>
          </cell>
        </row>
        <row r="18">
          <cell r="B18" t="str">
            <v>Depreciation</v>
          </cell>
          <cell r="C18" t="str">
            <v>DEPREC</v>
          </cell>
          <cell r="D18" t="str">
            <v>GBP</v>
          </cell>
        </row>
        <row r="19">
          <cell r="B19" t="str">
            <v>Amortization</v>
          </cell>
          <cell r="C19" t="str">
            <v>GOODWILL_AMORT</v>
          </cell>
          <cell r="D19" t="str">
            <v>GBP</v>
          </cell>
        </row>
        <row r="20">
          <cell r="B20" t="str">
            <v>EBIT, operating profit</v>
          </cell>
          <cell r="C20" t="str">
            <v>EBIT</v>
          </cell>
          <cell r="D20" t="str">
            <v>GBP</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row>
        <row r="24">
          <cell r="B24" t="str">
            <v>Income/(loss) from unconsolidated subs &amp; associates</v>
          </cell>
          <cell r="C24" t="str">
            <v>ASSOCIATE</v>
          </cell>
          <cell r="D24" t="str">
            <v>GBP</v>
          </cell>
        </row>
        <row r="25">
          <cell r="B25" t="str">
            <v>Profit/(loss) on disposals of assets, pre-tax</v>
          </cell>
          <cell r="C25" t="str">
            <v>PROFIT_ON_DISP</v>
          </cell>
          <cell r="D25" t="str">
            <v>GBP</v>
          </cell>
        </row>
        <row r="26">
          <cell r="B26" t="str">
            <v>Other non-ops income/(expense)</v>
          </cell>
          <cell r="C26" t="str">
            <v>OTH_COST_INC</v>
          </cell>
          <cell r="D26" t="str">
            <v>GBP</v>
          </cell>
        </row>
        <row r="27">
          <cell r="B27" t="str">
            <v>Pre-tax profit</v>
          </cell>
          <cell r="C27" t="str">
            <v>PT_PROF</v>
          </cell>
          <cell r="D27" t="str">
            <v>GBP</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row>
        <row r="31">
          <cell r="B31" t="str">
            <v>Lease payments</v>
          </cell>
          <cell r="C31" t="str">
            <v>LEASE_PAY</v>
          </cell>
          <cell r="D31" t="str">
            <v>GBP</v>
          </cell>
        </row>
        <row r="32">
          <cell r="B32" t="str">
            <v>Lease payments (deemed interest portion)</v>
          </cell>
          <cell r="C32" t="str">
            <v>LEASE_DEEM_INT</v>
          </cell>
          <cell r="D32" t="str">
            <v>GBP</v>
          </cell>
        </row>
        <row r="33">
          <cell r="B33" t="str">
            <v>Lease payments (deemed depreciation portion)</v>
          </cell>
          <cell r="C33" t="str">
            <v>LEASE_DEEM_DEPR</v>
          </cell>
          <cell r="D33" t="str">
            <v>GBP</v>
          </cell>
        </row>
        <row r="34">
          <cell r="B34" t="str">
            <v>Gross interest charge</v>
          </cell>
          <cell r="C34" t="str">
            <v>NET_INT_CH</v>
          </cell>
          <cell r="D34" t="str">
            <v>GBP</v>
          </cell>
        </row>
        <row r="35">
          <cell r="B35" t="str">
            <v>Income from associates (operating)</v>
          </cell>
          <cell r="C35" t="str">
            <v>ASSOCIATE_OP</v>
          </cell>
          <cell r="D35" t="str">
            <v>GBP</v>
          </cell>
        </row>
        <row r="36">
          <cell r="B36" t="str">
            <v>Goodwill amortization</v>
          </cell>
          <cell r="C36" t="str">
            <v>GW_AMORT</v>
          </cell>
          <cell r="D36" t="str">
            <v>GBP</v>
          </cell>
        </row>
        <row r="37">
          <cell r="B37" t="str">
            <v>Other intangible amortization</v>
          </cell>
          <cell r="C37" t="str">
            <v>OTH_INT_AMORT</v>
          </cell>
          <cell r="D37" t="str">
            <v>GBP</v>
          </cell>
        </row>
        <row r="38">
          <cell r="A38" t="str">
            <v>Balance Sheet</v>
          </cell>
        </row>
        <row r="39">
          <cell r="B39" t="str">
            <v>Cash &amp; cash equivalents</v>
          </cell>
          <cell r="C39" t="str">
            <v>CASH_EQ</v>
          </cell>
          <cell r="D39" t="str">
            <v>GBP</v>
          </cell>
        </row>
        <row r="40">
          <cell r="B40" t="str">
            <v>Accounts receivable</v>
          </cell>
          <cell r="C40" t="str">
            <v>DEBTORS</v>
          </cell>
          <cell r="D40" t="str">
            <v>GBP</v>
          </cell>
        </row>
        <row r="41">
          <cell r="B41" t="str">
            <v>Inventory</v>
          </cell>
          <cell r="C41" t="str">
            <v>STOCKS</v>
          </cell>
          <cell r="D41" t="str">
            <v>GBP</v>
          </cell>
        </row>
        <row r="42">
          <cell r="B42" t="str">
            <v>Other current assets</v>
          </cell>
          <cell r="C42" t="str">
            <v>OTH_CUR_ASS</v>
          </cell>
          <cell r="D42" t="str">
            <v>GBP</v>
          </cell>
        </row>
        <row r="43">
          <cell r="B43" t="str">
            <v>Total current assets</v>
          </cell>
          <cell r="C43" t="str">
            <v>CUR_ASS</v>
          </cell>
          <cell r="D43" t="str">
            <v>GBP</v>
          </cell>
        </row>
        <row r="44">
          <cell r="B44" t="str">
            <v>Gross fixed assets, PP&amp;E</v>
          </cell>
          <cell r="C44" t="str">
            <v>GR_FIX_ASS</v>
          </cell>
          <cell r="D44" t="str">
            <v>GBP</v>
          </cell>
        </row>
        <row r="45">
          <cell r="B45" t="str">
            <v>Accumulated depreciation</v>
          </cell>
          <cell r="C45" t="str">
            <v>ACC_DDA</v>
          </cell>
          <cell r="D45" t="str">
            <v>GBP</v>
          </cell>
        </row>
        <row r="46">
          <cell r="B46" t="str">
            <v>Net PP&amp;E</v>
          </cell>
          <cell r="C46" t="str">
            <v>NET_FIX_ASS</v>
          </cell>
          <cell r="D46" t="str">
            <v>GBP</v>
          </cell>
        </row>
        <row r="47">
          <cell r="B47" t="str">
            <v>Gross intangibles</v>
          </cell>
          <cell r="C47" t="str">
            <v>GR_INTANG</v>
          </cell>
          <cell r="D47" t="str">
            <v>GBP</v>
          </cell>
        </row>
        <row r="48">
          <cell r="B48" t="str">
            <v>Accumulated amortization</v>
          </cell>
          <cell r="C48" t="str">
            <v>ACC_AMORT</v>
          </cell>
          <cell r="D48" t="str">
            <v>GBP</v>
          </cell>
        </row>
        <row r="49">
          <cell r="B49" t="str">
            <v>Net intangible assets</v>
          </cell>
          <cell r="C49" t="str">
            <v>NET_INTANG</v>
          </cell>
          <cell r="D49" t="str">
            <v>GBP</v>
          </cell>
        </row>
        <row r="50">
          <cell r="B50" t="str">
            <v>Equity method investments</v>
          </cell>
          <cell r="C50" t="str">
            <v>FIX_ASS_INV</v>
          </cell>
          <cell r="D50" t="str">
            <v>GBP</v>
          </cell>
        </row>
        <row r="51">
          <cell r="B51" t="str">
            <v>Investments in securities</v>
          </cell>
          <cell r="C51" t="str">
            <v>INV_SECUR</v>
          </cell>
          <cell r="D51" t="str">
            <v>GBP</v>
          </cell>
        </row>
        <row r="52">
          <cell r="B52" t="str">
            <v>Other long-term assets</v>
          </cell>
          <cell r="C52" t="str">
            <v>OTH_LT_ASS</v>
          </cell>
          <cell r="D52" t="str">
            <v>GBP</v>
          </cell>
        </row>
        <row r="53">
          <cell r="B53" t="str">
            <v>Total assets</v>
          </cell>
          <cell r="C53" t="str">
            <v>TOT_ASSET</v>
          </cell>
          <cell r="D53" t="str">
            <v>GBP</v>
          </cell>
        </row>
        <row r="54">
          <cell r="B54" t="str">
            <v>Accounts payable</v>
          </cell>
          <cell r="C54" t="str">
            <v>ACC_PAY_GQ</v>
          </cell>
          <cell r="D54" t="str">
            <v>GBP</v>
          </cell>
        </row>
        <row r="55">
          <cell r="B55" t="str">
            <v>Short-term debt</v>
          </cell>
          <cell r="C55" t="str">
            <v>SHORT_T_DEBT</v>
          </cell>
          <cell r="D55" t="str">
            <v>GBP</v>
          </cell>
        </row>
        <row r="56">
          <cell r="B56" t="str">
            <v>Other current liabilities</v>
          </cell>
          <cell r="C56" t="str">
            <v>OTH_CUR_LIABS</v>
          </cell>
          <cell r="D56" t="str">
            <v>GBP</v>
          </cell>
        </row>
        <row r="57">
          <cell r="B57" t="str">
            <v>Total current liabilities</v>
          </cell>
          <cell r="C57" t="str">
            <v>SHORT_TERM_LIABS</v>
          </cell>
          <cell r="D57" t="str">
            <v>GBP</v>
          </cell>
        </row>
        <row r="58">
          <cell r="B58" t="str">
            <v>Long-term  debt</v>
          </cell>
          <cell r="C58" t="str">
            <v>LT_DEBT</v>
          </cell>
          <cell r="D58" t="str">
            <v>GBP</v>
          </cell>
        </row>
        <row r="59">
          <cell r="B59" t="str">
            <v>Other long-term liabilities</v>
          </cell>
          <cell r="C59" t="str">
            <v>OTH_LT_CRED_GQ</v>
          </cell>
          <cell r="D59" t="str">
            <v>GBP</v>
          </cell>
        </row>
        <row r="60">
          <cell r="B60" t="str">
            <v>Total long-term liabilities</v>
          </cell>
          <cell r="C60" t="str">
            <v>TOT_LT_LIAB</v>
          </cell>
          <cell r="D60" t="str">
            <v>GBP</v>
          </cell>
        </row>
        <row r="61">
          <cell r="B61" t="str">
            <v>Total liabilities</v>
          </cell>
          <cell r="C61" t="str">
            <v>TOT_LIAB</v>
          </cell>
          <cell r="D61" t="str">
            <v>GBP</v>
          </cell>
        </row>
        <row r="62">
          <cell r="B62" t="str">
            <v>Preferred shares</v>
          </cell>
          <cell r="C62" t="str">
            <v>PREF_SH</v>
          </cell>
          <cell r="D62" t="str">
            <v>GBP</v>
          </cell>
        </row>
        <row r="63">
          <cell r="B63" t="str">
            <v>Total common equity</v>
          </cell>
          <cell r="C63" t="str">
            <v>ORD_SH_FUND</v>
          </cell>
          <cell r="D63" t="str">
            <v>GBP</v>
          </cell>
        </row>
        <row r="64">
          <cell r="B64" t="str">
            <v>Minority interest</v>
          </cell>
          <cell r="C64" t="str">
            <v>MINORITIES</v>
          </cell>
          <cell r="D64" t="str">
            <v>GBP</v>
          </cell>
        </row>
        <row r="65">
          <cell r="B65" t="str">
            <v>Total shareholders' equity</v>
          </cell>
          <cell r="C65" t="str">
            <v>EQ</v>
          </cell>
          <cell r="D65" t="str">
            <v>GBP</v>
          </cell>
        </row>
        <row r="66">
          <cell r="B66" t="str">
            <v>Total liabilities and equity</v>
          </cell>
          <cell r="C66" t="str">
            <v>TOT_LIAB_EQ</v>
          </cell>
          <cell r="D66" t="str">
            <v>GBP</v>
          </cell>
        </row>
        <row r="67">
          <cell r="A67" t="str">
            <v>Additional Balance Sheet Items</v>
          </cell>
        </row>
        <row r="68">
          <cell r="B68" t="str">
            <v>Net debt</v>
          </cell>
          <cell r="C68" t="str">
            <v>NET_DEBT</v>
          </cell>
          <cell r="D68" t="str">
            <v>GBP</v>
          </cell>
        </row>
        <row r="69">
          <cell r="B69" t="str">
            <v>Capitalized leases</v>
          </cell>
          <cell r="C69" t="str">
            <v>CAP_LEASES</v>
          </cell>
          <cell r="D69" t="str">
            <v>GBP</v>
          </cell>
        </row>
        <row r="70">
          <cell r="B70" t="str">
            <v>Deferred income taxes</v>
          </cell>
          <cell r="C70" t="str">
            <v>DEF_INC_TAX</v>
          </cell>
          <cell r="D70" t="str">
            <v>GBP</v>
          </cell>
        </row>
        <row r="71">
          <cell r="B71" t="str">
            <v>Associates (mkt value) used in EV calculation</v>
          </cell>
          <cell r="C71" t="str">
            <v>MV_ASSOCIATES</v>
          </cell>
          <cell r="D71" t="str">
            <v>GBP</v>
          </cell>
        </row>
        <row r="72">
          <cell r="B72" t="str">
            <v>Net debt adjustment</v>
          </cell>
          <cell r="C72" t="str">
            <v>NET_DEBT_ADJ</v>
          </cell>
          <cell r="D72" t="str">
            <v>GBP</v>
          </cell>
        </row>
        <row r="73">
          <cell r="B73" t="str">
            <v>Company borrowing margin</v>
          </cell>
          <cell r="C73" t="str">
            <v>CO_BOR_MARGIN</v>
          </cell>
        </row>
        <row r="74">
          <cell r="B74" t="str">
            <v>Unfunded pensions &amp; other provisions</v>
          </cell>
          <cell r="C74" t="str">
            <v>UNF_PENS</v>
          </cell>
          <cell r="D74" t="str">
            <v>GBP</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row>
        <row r="77">
          <cell r="B77" t="str">
            <v>Adjustment for unfunded pensions &amp; goodwill</v>
          </cell>
          <cell r="C77" t="str">
            <v>ADJ_UNF_PENS_GOOD</v>
          </cell>
          <cell r="D77" t="str">
            <v>GBP</v>
          </cell>
        </row>
        <row r="78">
          <cell r="B78" t="str">
            <v>Other GCI adjustments</v>
          </cell>
          <cell r="C78" t="str">
            <v>OTH_GCI_ADJ</v>
          </cell>
          <cell r="D78" t="str">
            <v>GBP</v>
          </cell>
        </row>
        <row r="79">
          <cell r="B79" t="str">
            <v>GCI inflator</v>
          </cell>
          <cell r="C79" t="str">
            <v>GCI_INFL</v>
          </cell>
        </row>
        <row r="80">
          <cell r="B80" t="str">
            <v>Minority interest</v>
          </cell>
          <cell r="C80" t="str">
            <v>BAL_MINO_INT</v>
          </cell>
          <cell r="D80" t="str">
            <v>GBP</v>
          </cell>
        </row>
        <row r="81">
          <cell r="A81" t="str">
            <v>Cash Flow Statement</v>
          </cell>
        </row>
        <row r="82">
          <cell r="B82" t="str">
            <v>Minority interest add-back</v>
          </cell>
          <cell r="C82" t="str">
            <v>CF_INC_MINORITY</v>
          </cell>
          <cell r="D82" t="str">
            <v>GBP</v>
          </cell>
        </row>
        <row r="83">
          <cell r="B83" t="str">
            <v>Depreciation &amp; amortization add-back</v>
          </cell>
          <cell r="C83" t="str">
            <v>DEPR_AMORT</v>
          </cell>
          <cell r="D83" t="str">
            <v>GBP</v>
          </cell>
        </row>
        <row r="84">
          <cell r="B84" t="str">
            <v>(Increase)/decrease in working capital</v>
          </cell>
          <cell r="C84" t="str">
            <v>WORK_CAP</v>
          </cell>
          <cell r="D84" t="str">
            <v>GBP</v>
          </cell>
        </row>
        <row r="85">
          <cell r="B85" t="str">
            <v>Other operating cash flow items</v>
          </cell>
          <cell r="C85" t="str">
            <v>OTH_OP_CF</v>
          </cell>
          <cell r="D85" t="str">
            <v>GBP</v>
          </cell>
        </row>
        <row r="86">
          <cell r="B86" t="str">
            <v>Cash flow from operating activities</v>
          </cell>
          <cell r="C86" t="str">
            <v>CF_OPS</v>
          </cell>
          <cell r="D86" t="str">
            <v>GBP</v>
          </cell>
        </row>
        <row r="87">
          <cell r="B87" t="str">
            <v>Capital expenditures, Capex</v>
          </cell>
          <cell r="C87" t="str">
            <v>CAPEX</v>
          </cell>
          <cell r="D87" t="str">
            <v>GBP</v>
          </cell>
        </row>
        <row r="88">
          <cell r="B88" t="str">
            <v>Acquisitions</v>
          </cell>
          <cell r="C88" t="str">
            <v>ACQ</v>
          </cell>
          <cell r="D88" t="str">
            <v>GBP</v>
          </cell>
        </row>
        <row r="89">
          <cell r="B89" t="str">
            <v>Divestitures</v>
          </cell>
          <cell r="C89" t="str">
            <v>DIVEST</v>
          </cell>
          <cell r="D89" t="str">
            <v>GBP</v>
          </cell>
        </row>
        <row r="90">
          <cell r="B90" t="str">
            <v>Other investing cash flow items</v>
          </cell>
          <cell r="C90" t="str">
            <v>OTH_INV_CF</v>
          </cell>
          <cell r="D90" t="str">
            <v>GBP</v>
          </cell>
        </row>
        <row r="91">
          <cell r="B91" t="str">
            <v>Cash flow from investing</v>
          </cell>
          <cell r="C91" t="str">
            <v>CF_INV</v>
          </cell>
          <cell r="D91" t="str">
            <v>GBP</v>
          </cell>
        </row>
        <row r="92">
          <cell r="B92" t="str">
            <v>Dividends paid</v>
          </cell>
          <cell r="C92" t="str">
            <v>DIV_PAID</v>
          </cell>
          <cell r="D92" t="str">
            <v>GBP</v>
          </cell>
        </row>
        <row r="93">
          <cell r="B93" t="str">
            <v>Common stock issuance/(repurchase)</v>
          </cell>
          <cell r="C93" t="str">
            <v>SH_REPUR</v>
          </cell>
          <cell r="D93" t="str">
            <v>GBP</v>
          </cell>
        </row>
        <row r="94">
          <cell r="B94" t="str">
            <v>Increase/(decrease) in total debt</v>
          </cell>
          <cell r="C94" t="str">
            <v>CHG_LT_DEBT</v>
          </cell>
          <cell r="D94" t="str">
            <v>GBP</v>
          </cell>
        </row>
        <row r="95">
          <cell r="B95" t="str">
            <v>Other financing cash flow items</v>
          </cell>
          <cell r="C95" t="str">
            <v>OTH_FIN_CF</v>
          </cell>
          <cell r="D95" t="str">
            <v>GBP</v>
          </cell>
        </row>
        <row r="96">
          <cell r="B96" t="str">
            <v>Cash flow from financing</v>
          </cell>
          <cell r="C96" t="str">
            <v>CF_FIN</v>
          </cell>
          <cell r="D96" t="str">
            <v>GBP</v>
          </cell>
        </row>
        <row r="97">
          <cell r="B97" t="str">
            <v>Other items net cash flow</v>
          </cell>
          <cell r="C97" t="str">
            <v>OTH_ITEM_NCF</v>
          </cell>
          <cell r="D97" t="str">
            <v>GBP</v>
          </cell>
        </row>
        <row r="98">
          <cell r="B98" t="str">
            <v>Total cash flow</v>
          </cell>
          <cell r="C98" t="str">
            <v>TOT_CF</v>
          </cell>
          <cell r="D98" t="str">
            <v>GBP</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row>
        <row r="112">
          <cell r="B112" t="str">
            <v>Dividends paid to minorities</v>
          </cell>
          <cell r="C112" t="str">
            <v>DIVDS_PD_MINORITIES</v>
          </cell>
          <cell r="D112" t="str">
            <v>GBP</v>
          </cell>
        </row>
        <row r="113">
          <cell r="A113" t="str">
            <v>Other Items</v>
          </cell>
        </row>
        <row r="114">
          <cell r="B114" t="str">
            <v>Number of employees</v>
          </cell>
          <cell r="C114" t="str">
            <v>EMPLOYEES</v>
          </cell>
        </row>
        <row r="115">
          <cell r="A115" t="str">
            <v>Geographical Breakdown</v>
          </cell>
        </row>
        <row r="116">
          <cell r="B116" t="str">
            <v>Sales - Total % Americas</v>
          </cell>
          <cell r="C116" t="str">
            <v>SALES_TOT_AM</v>
          </cell>
        </row>
        <row r="117">
          <cell r="B117" t="str">
            <v>Sales - % United States</v>
          </cell>
          <cell r="C117" t="str">
            <v>SALES_US</v>
          </cell>
        </row>
        <row r="119">
          <cell r="B119" t="str">
            <v>Sales - % Brazil</v>
          </cell>
          <cell r="C119" t="str">
            <v>SALES_BRAZIL</v>
          </cell>
        </row>
        <row r="120">
          <cell r="B120" t="str">
            <v>Sales - % Other Americas</v>
          </cell>
          <cell r="C120" t="str">
            <v>SALES_OTH_AM</v>
          </cell>
        </row>
        <row r="121">
          <cell r="B121" t="str">
            <v>Sales - Total % EMEA</v>
          </cell>
          <cell r="C121" t="str">
            <v>SALES_TOT_EMEA</v>
          </cell>
        </row>
        <row r="122">
          <cell r="B122" t="str">
            <v>Sales - % UK</v>
          </cell>
          <cell r="C122" t="str">
            <v>SALES_UK</v>
          </cell>
        </row>
        <row r="123">
          <cell r="B123" t="str">
            <v>Sales - % Western Europe-Ex UK</v>
          </cell>
          <cell r="C123" t="str">
            <v>SALES_EU_EX_UK</v>
          </cell>
        </row>
        <row r="128">
          <cell r="B128" t="str">
            <v>Sales - % France</v>
          </cell>
          <cell r="C128" t="str">
            <v>SALES_FRA</v>
          </cell>
        </row>
        <row r="129">
          <cell r="B129" t="str">
            <v>Sales - % Germany</v>
          </cell>
          <cell r="C129" t="str">
            <v>SALES_GER</v>
          </cell>
        </row>
        <row r="133">
          <cell r="B133" t="str">
            <v>Sales - % Italy</v>
          </cell>
          <cell r="C133" t="str">
            <v>SALES_ITA</v>
          </cell>
        </row>
        <row r="137">
          <cell r="B137" t="str">
            <v>Sales - % Spain</v>
          </cell>
          <cell r="C137" t="str">
            <v>SALES_SPA</v>
          </cell>
        </row>
        <row r="138">
          <cell r="B138" t="str">
            <v>Sales - % Other Western Europe-Ex UK</v>
          </cell>
          <cell r="C138" t="str">
            <v>SALES_OTH_EU_EX_UK</v>
          </cell>
        </row>
        <row r="141">
          <cell r="B141" t="str">
            <v>Sales - % Central &amp; Eastern Europe</v>
          </cell>
          <cell r="C141" t="str">
            <v>SALES_CEE</v>
          </cell>
        </row>
        <row r="142">
          <cell r="B142" t="str">
            <v>Sales - % Middle East</v>
          </cell>
          <cell r="C142" t="str">
            <v>SALES_ME</v>
          </cell>
        </row>
        <row r="143">
          <cell r="B143" t="str">
            <v>Sales - % South Africa</v>
          </cell>
          <cell r="C143" t="str">
            <v>SALES_SO_AFRICA</v>
          </cell>
        </row>
        <row r="144">
          <cell r="B144" t="str">
            <v>Sales - % Nigeria</v>
          </cell>
          <cell r="C144" t="str">
            <v>SALES_NIGERIA</v>
          </cell>
        </row>
        <row r="145">
          <cell r="B145" t="str">
            <v>Sales - % Other Africa</v>
          </cell>
          <cell r="C145" t="str">
            <v>SALES_OTH_AFRICA</v>
          </cell>
        </row>
        <row r="146">
          <cell r="B146" t="str">
            <v>Sales - % Total Africa</v>
          </cell>
          <cell r="C146" t="str">
            <v>SALES_TOT_AFRICA</v>
          </cell>
        </row>
        <row r="147">
          <cell r="B147" t="str">
            <v>Sales - % Russia</v>
          </cell>
          <cell r="C147" t="str">
            <v>SALES_RUSSIA</v>
          </cell>
        </row>
        <row r="148">
          <cell r="B148" t="str">
            <v>Sales - % Other EMEA</v>
          </cell>
          <cell r="C148" t="str">
            <v>SALES_OTH_EMEA</v>
          </cell>
        </row>
        <row r="149">
          <cell r="B149" t="str">
            <v>Sales - Total % Asia (incl Australia &amp; New Zealand)</v>
          </cell>
          <cell r="C149" t="str">
            <v>SALES_TOT_ASIA</v>
          </cell>
        </row>
        <row r="150">
          <cell r="B150" t="str">
            <v>Sales - % Japan</v>
          </cell>
          <cell r="C150" t="str">
            <v>SALES_JAPAN</v>
          </cell>
        </row>
        <row r="151">
          <cell r="B151" t="str">
            <v>Sales - % China</v>
          </cell>
          <cell r="C151" t="str">
            <v>SALES_CHINA</v>
          </cell>
        </row>
        <row r="152">
          <cell r="B152" t="str">
            <v>Sales - % India</v>
          </cell>
          <cell r="C152" t="str">
            <v>SALES_INDIA</v>
          </cell>
        </row>
        <row r="156">
          <cell r="B156" t="str">
            <v>Sales - % Other Asia</v>
          </cell>
          <cell r="C156" t="str">
            <v>SALES_OTH_AEJ</v>
          </cell>
        </row>
        <row r="157">
          <cell r="B157" t="str">
            <v>Sales - % Others</v>
          </cell>
          <cell r="C157" t="str">
            <v>SALES_OTHER</v>
          </cell>
        </row>
        <row r="158">
          <cell r="B158" t="str">
            <v>Indirect Sales - Total % Americas</v>
          </cell>
          <cell r="C158" t="str">
            <v>IND_SALES_TOT_AM</v>
          </cell>
        </row>
        <row r="159">
          <cell r="B159" t="str">
            <v>Indirect Sales - % United States</v>
          </cell>
          <cell r="C159" t="str">
            <v>IND_SALES_US</v>
          </cell>
        </row>
        <row r="161">
          <cell r="B161" t="str">
            <v>Indirect Sales - % Brazil</v>
          </cell>
          <cell r="C161" t="str">
            <v>IND_SALES_BRAZIL</v>
          </cell>
        </row>
        <row r="162">
          <cell r="B162" t="str">
            <v>Indirect Sales - % Other Americas</v>
          </cell>
          <cell r="C162" t="str">
            <v>IND_SALES_OTH_AM</v>
          </cell>
        </row>
        <row r="163">
          <cell r="B163" t="str">
            <v>Indirect Sales - Total % EMEA</v>
          </cell>
          <cell r="C163" t="str">
            <v>IND_SALES_TOT_EMEA</v>
          </cell>
        </row>
        <row r="164">
          <cell r="B164" t="str">
            <v>Indirect Sales - % UK</v>
          </cell>
          <cell r="C164" t="str">
            <v>IND_SALES_UK</v>
          </cell>
        </row>
        <row r="165">
          <cell r="B165" t="str">
            <v>Indirect Sales - % Western Europe-Ex UK</v>
          </cell>
          <cell r="C165" t="str">
            <v>IND_SALES_EU_EX_UK</v>
          </cell>
        </row>
        <row r="170">
          <cell r="B170" t="str">
            <v>Indirect Sales - % France</v>
          </cell>
          <cell r="C170" t="str">
            <v>IND_SALES_FRA</v>
          </cell>
        </row>
        <row r="171">
          <cell r="B171" t="str">
            <v>Indirect Sales - % Germany</v>
          </cell>
          <cell r="C171" t="str">
            <v>IND_SALES_GER</v>
          </cell>
        </row>
        <row r="175">
          <cell r="B175" t="str">
            <v>Indirect Sales - % Italy</v>
          </cell>
          <cell r="C175" t="str">
            <v>IND_SALES_ITA</v>
          </cell>
        </row>
        <row r="179">
          <cell r="B179" t="str">
            <v>Indirect Sales - % Spain</v>
          </cell>
          <cell r="C179" t="str">
            <v>IND_SALES_SPA</v>
          </cell>
        </row>
        <row r="180">
          <cell r="B180" t="str">
            <v>Indirect Sales - % Other Western Europe-Ex UK</v>
          </cell>
          <cell r="C180" t="str">
            <v>IND_SALES_OTH_EU_EX_UK</v>
          </cell>
        </row>
        <row r="183">
          <cell r="B183" t="str">
            <v>Indirect Sales - % Central &amp; Eastern Europe</v>
          </cell>
          <cell r="C183" t="str">
            <v>IND_SALES_CEE</v>
          </cell>
        </row>
        <row r="184">
          <cell r="B184" t="str">
            <v>Indirect Sales - % Middle East</v>
          </cell>
          <cell r="C184" t="str">
            <v>IND_SALES_ME</v>
          </cell>
        </row>
        <row r="185">
          <cell r="B185" t="str">
            <v>Indirect Sales - % Russia</v>
          </cell>
          <cell r="C185" t="str">
            <v>IND_SALES_RUSSIA</v>
          </cell>
        </row>
        <row r="186">
          <cell r="B186" t="str">
            <v>Indirect sales - % South Africa</v>
          </cell>
          <cell r="C186" t="str">
            <v>IND_SALES_SO_AFRICA</v>
          </cell>
        </row>
        <row r="187">
          <cell r="B187" t="str">
            <v>Indirect sales - % Nigeria</v>
          </cell>
          <cell r="C187" t="str">
            <v>IND_SALES_NIGERIA</v>
          </cell>
        </row>
        <row r="188">
          <cell r="B188" t="str">
            <v>Indirect sales - % Other Africa</v>
          </cell>
          <cell r="C188" t="str">
            <v>IND_SALES_OTH_AFRICA</v>
          </cell>
        </row>
        <row r="189">
          <cell r="B189" t="str">
            <v>Indirect Sales - % Other EMEA</v>
          </cell>
          <cell r="C189" t="str">
            <v>IND_SALES_OTH_EMEA</v>
          </cell>
        </row>
        <row r="190">
          <cell r="B190" t="str">
            <v>Indirect sales - % Total Africa</v>
          </cell>
          <cell r="C190" t="str">
            <v>IND_SALES_TOT_AFRICA</v>
          </cell>
        </row>
        <row r="191">
          <cell r="B191" t="str">
            <v>Indirect Sales - Total % Asia (incl Australia &amp; New Zealand)</v>
          </cell>
          <cell r="C191" t="str">
            <v>IND_SALES_TOT_ASIA</v>
          </cell>
        </row>
        <row r="192">
          <cell r="B192" t="str">
            <v>Indirect Sales - % Japan</v>
          </cell>
          <cell r="C192" t="str">
            <v>IND_SALES_JAPAN</v>
          </cell>
        </row>
        <row r="193">
          <cell r="B193" t="str">
            <v>Indirect Sales - % China</v>
          </cell>
          <cell r="C193" t="str">
            <v>IND_SALES_CHINA</v>
          </cell>
        </row>
        <row r="194">
          <cell r="B194" t="str">
            <v>Indirect Sales - % India</v>
          </cell>
          <cell r="C194" t="str">
            <v>IND_SALES_INDIA</v>
          </cell>
        </row>
        <row r="198">
          <cell r="B198" t="str">
            <v>Indirect Sales - % Other Asia</v>
          </cell>
          <cell r="C198" t="str">
            <v>IND_SALES_OTH_AEJ</v>
          </cell>
        </row>
        <row r="199">
          <cell r="B199" t="str">
            <v>Indirect Sales - % Others</v>
          </cell>
          <cell r="C199" t="str">
            <v>IND_SALES_OTHER</v>
          </cell>
        </row>
        <row r="237">
          <cell r="B237" t="str">
            <v>Sales -% Consumer (C)</v>
          </cell>
          <cell r="C237" t="str">
            <v>SALES_CONS</v>
          </cell>
        </row>
        <row r="238">
          <cell r="B238" t="str">
            <v>Sales -% Industry (I)</v>
          </cell>
          <cell r="C238" t="str">
            <v>SALES_IND</v>
          </cell>
        </row>
        <row r="239">
          <cell r="B239" t="str">
            <v>Sales -% Government (G)</v>
          </cell>
          <cell r="C239" t="str">
            <v>SALES_GOV</v>
          </cell>
        </row>
        <row r="240">
          <cell r="B240" t="str">
            <v>Sales - % Industry Sub-Segment: Financial Services</v>
          </cell>
          <cell r="C240" t="str">
            <v>SALES_FINAN</v>
          </cell>
        </row>
        <row r="259">
          <cell r="B259" t="str">
            <v>Indirect Sales -% Consumer (C)</v>
          </cell>
          <cell r="C259" t="str">
            <v>IND_SALES_CONS</v>
          </cell>
        </row>
        <row r="260">
          <cell r="B260" t="str">
            <v>Indirect Sales -% Industry (I)</v>
          </cell>
          <cell r="C260" t="str">
            <v>IND_SALES_IND</v>
          </cell>
        </row>
        <row r="261">
          <cell r="B261" t="str">
            <v>Indirect Sales -% Government (G)</v>
          </cell>
          <cell r="C261" t="str">
            <v>IND_SALES_GOV</v>
          </cell>
        </row>
        <row r="262">
          <cell r="B262" t="str">
            <v>Indirect Sales -% Industry Sub-Segment: Financial Services</v>
          </cell>
          <cell r="C262" t="str">
            <v>IND_SALES_FINAN</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row>
        <row r="322">
          <cell r="B322" t="str">
            <v>Sales - % FX: Euro</v>
          </cell>
          <cell r="C322" t="str">
            <v>SALES_FX_EUR</v>
          </cell>
        </row>
        <row r="323">
          <cell r="B323" t="str">
            <v>Sales - % FX: New Russian Ruble</v>
          </cell>
          <cell r="C323" t="str">
            <v>SALES_FX_RUB</v>
          </cell>
        </row>
        <row r="324">
          <cell r="B324" t="str">
            <v>Sales - % FX: U.S. Dollar</v>
          </cell>
          <cell r="C324" t="str">
            <v>SALES_FX_USD</v>
          </cell>
        </row>
        <row r="325">
          <cell r="B325" t="str">
            <v>Sales - % FX: Brazilian Real</v>
          </cell>
          <cell r="C325" t="str">
            <v>SALES_FX_BRL</v>
          </cell>
        </row>
        <row r="326">
          <cell r="B326" t="str">
            <v>Sales - % FX: Japanese Yen</v>
          </cell>
          <cell r="C326" t="str">
            <v>SALES_FX_YEN</v>
          </cell>
        </row>
        <row r="327">
          <cell r="B327" t="str">
            <v>Sales - % FX: Chinese Renminbi</v>
          </cell>
          <cell r="C327" t="str">
            <v>SALES_FX_CNY</v>
          </cell>
        </row>
        <row r="328">
          <cell r="B328" t="str">
            <v>Sales - % FX: Indian Rupee</v>
          </cell>
          <cell r="C328" t="str">
            <v>SALES_FX_INR</v>
          </cell>
        </row>
        <row r="329">
          <cell r="B329" t="str">
            <v>Sales - % FX: South African Rand</v>
          </cell>
          <cell r="C329" t="str">
            <v>SALES_FX_ZAR</v>
          </cell>
        </row>
        <row r="330">
          <cell r="B330" t="str">
            <v>Sales - % FX: Nigerian Naira</v>
          </cell>
          <cell r="C330" t="str">
            <v>SALES_FX_NGN</v>
          </cell>
        </row>
        <row r="331">
          <cell r="B331" t="str">
            <v>Sales - % FX: Swiss Franc</v>
          </cell>
          <cell r="C331" t="str">
            <v>SALES_FX_CHF</v>
          </cell>
        </row>
        <row r="332">
          <cell r="B332" t="str">
            <v>Sales - % FX: UAE Dirham</v>
          </cell>
          <cell r="C332" t="str">
            <v>SALES_FX_AED</v>
          </cell>
        </row>
        <row r="333">
          <cell r="B333" t="str">
            <v>Sales - % FX: New Turkish Lira</v>
          </cell>
          <cell r="C333" t="str">
            <v>SALES_FX_TRY</v>
          </cell>
        </row>
        <row r="334">
          <cell r="B334" t="str">
            <v>Sales - % FX: Other Currency</v>
          </cell>
          <cell r="C334" t="str">
            <v>SALES_FX_OTH</v>
          </cell>
        </row>
        <row r="335">
          <cell r="A335" t="str">
            <v>Security: Cobham</v>
          </cell>
        </row>
        <row r="336">
          <cell r="A336" t="str">
            <v>Reference Data</v>
          </cell>
        </row>
        <row r="337">
          <cell r="B337" t="str">
            <v>Ticker</v>
          </cell>
          <cell r="C337" t="str">
            <v>Ticker</v>
          </cell>
          <cell r="E337" t="str">
            <v>COB.L</v>
          </cell>
        </row>
        <row r="338">
          <cell r="B338" t="str">
            <v>Security Name</v>
          </cell>
          <cell r="C338" t="str">
            <v>Security Name</v>
          </cell>
          <cell r="E338" t="str">
            <v>Cobham</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row>
        <row r="347">
          <cell r="B347" t="str">
            <v>Target price</v>
          </cell>
          <cell r="C347" t="str">
            <v>TARGET_PRICE</v>
          </cell>
          <cell r="D347" t="str">
            <v>GBP</v>
          </cell>
        </row>
        <row r="348">
          <cell r="B348" t="str">
            <v>Target price period</v>
          </cell>
          <cell r="C348" t="str">
            <v>TP_PERIOD</v>
          </cell>
        </row>
      </sheetData>
      <sheetData sheetId="3">
        <row r="1">
          <cell r="A1" t="str">
            <v>Issuer: Cobham</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t="str">
            <v>2006 H1</v>
          </cell>
          <cell r="W1" t="str">
            <v>2006 H2</v>
          </cell>
          <cell r="X1">
            <v>2006</v>
          </cell>
          <cell r="Y1" t="str">
            <v>2007 H1</v>
          </cell>
          <cell r="Z1" t="str">
            <v>2007 H2</v>
          </cell>
          <cell r="AA1">
            <v>2007</v>
          </cell>
          <cell r="AB1" t="str">
            <v>2008 H1</v>
          </cell>
          <cell r="AC1" t="str">
            <v>2008 H2</v>
          </cell>
          <cell r="AD1">
            <v>2008</v>
          </cell>
          <cell r="AE1" t="str">
            <v>2009 H1</v>
          </cell>
          <cell r="AF1" t="str">
            <v>2009 H2</v>
          </cell>
          <cell r="AG1">
            <v>2009</v>
          </cell>
          <cell r="AH1" t="str">
            <v>2010 H1</v>
          </cell>
          <cell r="AI1" t="str">
            <v>2010 H2</v>
          </cell>
          <cell r="AJ1">
            <v>2010</v>
          </cell>
          <cell r="AK1" t="str">
            <v>2011 H1</v>
          </cell>
          <cell r="AL1" t="str">
            <v>2011 H2</v>
          </cell>
          <cell r="AM1">
            <v>2011</v>
          </cell>
          <cell r="AN1">
            <v>2012</v>
          </cell>
          <cell r="AO1">
            <v>2013</v>
          </cell>
          <cell r="AP1">
            <v>2014</v>
          </cell>
          <cell r="AQ1">
            <v>2015</v>
          </cell>
          <cell r="AR1" t="str">
            <v>2016</v>
          </cell>
          <cell r="AS1" t="str">
            <v>2017</v>
          </cell>
          <cell r="AT1" t="str">
            <v>2018</v>
          </cell>
          <cell r="AU1" t="str">
            <v>2019</v>
          </cell>
          <cell r="AV1" t="str">
            <v>2020</v>
          </cell>
        </row>
        <row r="2">
          <cell r="A2">
            <v>0</v>
          </cell>
          <cell r="B2">
            <v>0</v>
          </cell>
          <cell r="C2">
            <v>0</v>
          </cell>
          <cell r="D2">
            <v>0</v>
          </cell>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Estimate</v>
          </cell>
          <cell r="AP2" t="str">
            <v>Estimate</v>
          </cell>
          <cell r="AQ2" t="str">
            <v>Estimate</v>
          </cell>
          <cell r="AR2" t="str">
            <v>Estimate</v>
          </cell>
          <cell r="AS2" t="str">
            <v>Estimate</v>
          </cell>
          <cell r="AT2" t="str">
            <v>Estimate</v>
          </cell>
          <cell r="AU2" t="str">
            <v>Estimate</v>
          </cell>
          <cell r="AV2" t="str">
            <v>Estimate</v>
          </cell>
          <cell r="AW2">
            <v>0</v>
          </cell>
        </row>
        <row r="3">
          <cell r="A3">
            <v>0</v>
          </cell>
          <cell r="B3">
            <v>0</v>
          </cell>
          <cell r="C3">
            <v>0</v>
          </cell>
          <cell r="D3">
            <v>0</v>
          </cell>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38717</v>
          </cell>
          <cell r="V3">
            <v>38898</v>
          </cell>
          <cell r="W3">
            <v>39082</v>
          </cell>
          <cell r="X3">
            <v>39082</v>
          </cell>
          <cell r="Y3">
            <v>39263</v>
          </cell>
          <cell r="Z3">
            <v>39447</v>
          </cell>
          <cell r="AA3">
            <v>39447</v>
          </cell>
          <cell r="AB3">
            <v>39629</v>
          </cell>
          <cell r="AC3">
            <v>39813</v>
          </cell>
          <cell r="AD3">
            <v>39813</v>
          </cell>
          <cell r="AE3">
            <v>39994</v>
          </cell>
          <cell r="AF3">
            <v>40178</v>
          </cell>
          <cell r="AG3">
            <v>40178</v>
          </cell>
          <cell r="AH3">
            <v>40359</v>
          </cell>
          <cell r="AI3">
            <v>40543</v>
          </cell>
          <cell r="AJ3">
            <v>40543</v>
          </cell>
          <cell r="AK3">
            <v>40724</v>
          </cell>
          <cell r="AL3">
            <v>40908</v>
          </cell>
          <cell r="AM3">
            <v>40908</v>
          </cell>
          <cell r="AN3">
            <v>41274</v>
          </cell>
          <cell r="AO3">
            <v>41639</v>
          </cell>
          <cell r="AP3">
            <v>42004</v>
          </cell>
          <cell r="AQ3">
            <v>42369</v>
          </cell>
          <cell r="AR3">
            <v>42735</v>
          </cell>
          <cell r="AS3">
            <v>43100</v>
          </cell>
          <cell r="AT3">
            <v>43465</v>
          </cell>
          <cell r="AU3">
            <v>43830</v>
          </cell>
          <cell r="AV3">
            <v>44196</v>
          </cell>
          <cell r="AW3">
            <v>0</v>
          </cell>
        </row>
        <row r="4">
          <cell r="A4" t="str">
            <v>Issuer: Cobham</v>
          </cell>
          <cell r="B4">
            <v>0</v>
          </cell>
          <cell r="C4">
            <v>0</v>
          </cell>
          <cell r="D4">
            <v>0</v>
          </cell>
        </row>
        <row r="5">
          <cell r="A5" t="str">
            <v>Reference Data</v>
          </cell>
          <cell r="B5">
            <v>0</v>
          </cell>
          <cell r="C5">
            <v>0</v>
          </cell>
          <cell r="D5">
            <v>0</v>
          </cell>
          <cell r="AW5">
            <v>0</v>
          </cell>
        </row>
        <row r="6">
          <cell r="B6" t="str">
            <v>Issuer Name</v>
          </cell>
          <cell r="C6" t="str">
            <v>Issuer Name</v>
          </cell>
          <cell r="E6" t="str">
            <v>Cobham</v>
          </cell>
        </row>
        <row r="7">
          <cell r="B7" t="str">
            <v>Reporting Currency</v>
          </cell>
          <cell r="C7" t="str">
            <v>CURRENCY_ISO</v>
          </cell>
          <cell r="E7" t="str">
            <v>GBP</v>
          </cell>
        </row>
        <row r="8">
          <cell r="A8" t="str">
            <v>Income Statement</v>
          </cell>
          <cell r="B8">
            <v>0</v>
          </cell>
          <cell r="C8">
            <v>0</v>
          </cell>
          <cell r="D8">
            <v>0</v>
          </cell>
          <cell r="AW8">
            <v>0</v>
          </cell>
        </row>
        <row r="9">
          <cell r="B9" t="str">
            <v>Sales, net revenue</v>
          </cell>
          <cell r="C9" t="str">
            <v>SALES</v>
          </cell>
          <cell r="D9" t="str">
            <v>GBP</v>
          </cell>
          <cell r="F9">
            <v>169.2</v>
          </cell>
          <cell r="G9">
            <v>168.4</v>
          </cell>
          <cell r="H9">
            <v>182.8</v>
          </cell>
          <cell r="I9">
            <v>185.4</v>
          </cell>
          <cell r="J9">
            <v>211.4</v>
          </cell>
          <cell r="K9">
            <v>227.7</v>
          </cell>
          <cell r="L9">
            <v>269.60000000000002</v>
          </cell>
          <cell r="M9">
            <v>322.8</v>
          </cell>
          <cell r="N9">
            <v>384.1</v>
          </cell>
          <cell r="O9">
            <v>435.2</v>
          </cell>
          <cell r="P9">
            <v>568.4</v>
          </cell>
          <cell r="Q9">
            <v>721.8</v>
          </cell>
          <cell r="R9">
            <v>734.6</v>
          </cell>
          <cell r="S9">
            <v>832.6</v>
          </cell>
          <cell r="T9">
            <v>983</v>
          </cell>
          <cell r="U9">
            <v>970.30000000000007</v>
          </cell>
          <cell r="V9">
            <v>0</v>
          </cell>
          <cell r="W9">
            <v>0</v>
          </cell>
          <cell r="X9">
            <v>1015.7</v>
          </cell>
          <cell r="Y9">
            <v>0</v>
          </cell>
          <cell r="Z9">
            <v>0</v>
          </cell>
          <cell r="AA9">
            <v>1061.0999999999999</v>
          </cell>
          <cell r="AB9">
            <v>0</v>
          </cell>
          <cell r="AC9">
            <v>0</v>
          </cell>
          <cell r="AD9">
            <v>1466.5</v>
          </cell>
          <cell r="AE9">
            <v>0</v>
          </cell>
          <cell r="AF9">
            <v>0</v>
          </cell>
          <cell r="AG9">
            <v>1880.4</v>
          </cell>
          <cell r="AH9">
            <v>0</v>
          </cell>
          <cell r="AI9">
            <v>0</v>
          </cell>
          <cell r="AJ9">
            <v>1902.3</v>
          </cell>
          <cell r="AK9">
            <v>0</v>
          </cell>
          <cell r="AL9">
            <v>0</v>
          </cell>
          <cell r="AM9">
            <v>1853.6000000000001</v>
          </cell>
          <cell r="AN9">
            <v>1749.4</v>
          </cell>
          <cell r="AO9">
            <v>1800.3009432140093</v>
          </cell>
          <cell r="AP9">
            <v>1851.5465039061933</v>
          </cell>
          <cell r="AQ9">
            <v>1959.119997006622</v>
          </cell>
          <cell r="AR9">
            <v>2066.086926480637</v>
          </cell>
          <cell r="AS9">
            <v>2176.7136245148095</v>
          </cell>
          <cell r="AT9">
            <v>0</v>
          </cell>
          <cell r="AU9">
            <v>0</v>
          </cell>
          <cell r="AV9">
            <v>0</v>
          </cell>
        </row>
        <row r="10">
          <cell r="B10" t="str">
            <v>Cost of goods sold, COGS</v>
          </cell>
          <cell r="C10" t="str">
            <v>COST_GD_SD</v>
          </cell>
          <cell r="D10" t="str">
            <v>GBP</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row>
        <row r="11">
          <cell r="B11" t="str">
            <v>SG&amp;A, selling, general and admin. expense</v>
          </cell>
          <cell r="C11" t="str">
            <v>SEL_GL_AD</v>
          </cell>
          <cell r="D11" t="str">
            <v>GBP</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row>
        <row r="12">
          <cell r="B12" t="str">
            <v>Total operating expense</v>
          </cell>
          <cell r="C12" t="str">
            <v>OP_COST</v>
          </cell>
          <cell r="D12" t="str">
            <v>GBP</v>
          </cell>
          <cell r="F12">
            <v>-135.80000000000001</v>
          </cell>
          <cell r="G12">
            <v>-131.4</v>
          </cell>
          <cell r="H12">
            <v>-142.69999999999999</v>
          </cell>
          <cell r="I12">
            <v>-147.60000000000002</v>
          </cell>
          <cell r="J12">
            <v>-166.60000000000002</v>
          </cell>
          <cell r="K12">
            <v>-176.3</v>
          </cell>
          <cell r="L12">
            <v>-203.89999999999998</v>
          </cell>
          <cell r="M12">
            <v>-240.10000000000002</v>
          </cell>
          <cell r="N12">
            <v>-282.29999999999995</v>
          </cell>
          <cell r="O12">
            <v>-316.10000000000002</v>
          </cell>
          <cell r="P12">
            <v>-428.9</v>
          </cell>
          <cell r="Q12">
            <v>-550.29999999999995</v>
          </cell>
          <cell r="R12">
            <v>-551.1</v>
          </cell>
          <cell r="S12">
            <v>-610.79999999999995</v>
          </cell>
          <cell r="T12">
            <v>-734.90000000000009</v>
          </cell>
          <cell r="U12">
            <v>-698.7</v>
          </cell>
          <cell r="V12">
            <v>0</v>
          </cell>
          <cell r="W12">
            <v>0</v>
          </cell>
          <cell r="X12">
            <v>-735.76</v>
          </cell>
          <cell r="Y12">
            <v>0</v>
          </cell>
          <cell r="Z12">
            <v>0</v>
          </cell>
          <cell r="AA12">
            <v>-763.09999999999991</v>
          </cell>
          <cell r="AB12">
            <v>0</v>
          </cell>
          <cell r="AC12">
            <v>0</v>
          </cell>
          <cell r="AD12">
            <v>-1068.7</v>
          </cell>
          <cell r="AE12">
            <v>0</v>
          </cell>
          <cell r="AF12">
            <v>0</v>
          </cell>
          <cell r="AG12">
            <v>-1330.8000000000002</v>
          </cell>
          <cell r="AH12">
            <v>0</v>
          </cell>
          <cell r="AI12">
            <v>0</v>
          </cell>
          <cell r="AJ12">
            <v>-1362.1</v>
          </cell>
          <cell r="AK12">
            <v>0</v>
          </cell>
          <cell r="AL12">
            <v>0</v>
          </cell>
          <cell r="AM12">
            <v>-1294.5</v>
          </cell>
          <cell r="AN12">
            <v>-1219.4000000000001</v>
          </cell>
          <cell r="AO12">
            <v>-1287.3885632237925</v>
          </cell>
          <cell r="AP12">
            <v>-1331.8760966039897</v>
          </cell>
          <cell r="AQ12">
            <v>-1405.2391556306106</v>
          </cell>
          <cell r="AR12">
            <v>-1474.8426773575156</v>
          </cell>
          <cell r="AS12">
            <v>-1558.0015325381373</v>
          </cell>
          <cell r="AT12">
            <v>0</v>
          </cell>
          <cell r="AU12">
            <v>0</v>
          </cell>
          <cell r="AV12">
            <v>0</v>
          </cell>
        </row>
        <row r="13">
          <cell r="B13" t="str">
            <v>R&amp;D expense</v>
          </cell>
          <cell r="C13" t="str">
            <v>RD_EXP</v>
          </cell>
          <cell r="D13" t="str">
            <v>GBP</v>
          </cell>
          <cell r="F13">
            <v>-7.5</v>
          </cell>
          <cell r="G13">
            <v>-7.7</v>
          </cell>
          <cell r="H13">
            <v>-7.8</v>
          </cell>
          <cell r="I13">
            <v>-6.6</v>
          </cell>
          <cell r="J13">
            <v>-7</v>
          </cell>
          <cell r="K13">
            <v>-8.6999999999999993</v>
          </cell>
          <cell r="L13">
            <v>-11.3</v>
          </cell>
          <cell r="M13">
            <v>-12.7</v>
          </cell>
          <cell r="N13">
            <v>-16.5</v>
          </cell>
          <cell r="O13">
            <v>-20.100000000000001</v>
          </cell>
          <cell r="P13">
            <v>-21.6</v>
          </cell>
          <cell r="Q13">
            <v>-28.2</v>
          </cell>
          <cell r="R13">
            <v>-31.6</v>
          </cell>
          <cell r="S13">
            <v>-40.4</v>
          </cell>
          <cell r="T13">
            <v>-48.7</v>
          </cell>
          <cell r="U13">
            <v>-41.2</v>
          </cell>
          <cell r="V13">
            <v>0</v>
          </cell>
          <cell r="W13">
            <v>0</v>
          </cell>
          <cell r="X13">
            <v>-49.1</v>
          </cell>
          <cell r="Y13">
            <v>0</v>
          </cell>
          <cell r="Z13">
            <v>0</v>
          </cell>
          <cell r="AA13">
            <v>-55</v>
          </cell>
          <cell r="AB13">
            <v>0</v>
          </cell>
          <cell r="AC13">
            <v>0</v>
          </cell>
          <cell r="AD13">
            <v>-70.5</v>
          </cell>
          <cell r="AE13">
            <v>0</v>
          </cell>
          <cell r="AF13">
            <v>0</v>
          </cell>
          <cell r="AG13">
            <v>-88.3</v>
          </cell>
          <cell r="AH13">
            <v>0</v>
          </cell>
          <cell r="AI13">
            <v>0</v>
          </cell>
          <cell r="AJ13">
            <v>-73.8</v>
          </cell>
          <cell r="AK13">
            <v>0</v>
          </cell>
          <cell r="AL13">
            <v>0</v>
          </cell>
          <cell r="AM13">
            <v>-75.3</v>
          </cell>
          <cell r="AN13">
            <v>-75.400000000000006</v>
          </cell>
          <cell r="AO13">
            <v>-78.350587876770518</v>
          </cell>
          <cell r="AP13">
            <v>-80.943917455071031</v>
          </cell>
          <cell r="AQ13">
            <v>-90.041359157269468</v>
          </cell>
          <cell r="AR13">
            <v>-94.716696982149898</v>
          </cell>
          <cell r="AS13">
            <v>-99.526444375699228</v>
          </cell>
          <cell r="AT13">
            <v>0</v>
          </cell>
          <cell r="AU13">
            <v>0</v>
          </cell>
          <cell r="AV13">
            <v>0</v>
          </cell>
        </row>
        <row r="14">
          <cell r="B14" t="str">
            <v>Other operating income/(expense) (incl. leases)</v>
          </cell>
          <cell r="C14" t="str">
            <v>OTH_OP_INC_EXP</v>
          </cell>
          <cell r="D14" t="str">
            <v>GBP</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-13.000000000000002</v>
          </cell>
          <cell r="V14">
            <v>0</v>
          </cell>
          <cell r="W14">
            <v>0</v>
          </cell>
          <cell r="X14">
            <v>1.1000000000000343</v>
          </cell>
          <cell r="Y14">
            <v>0</v>
          </cell>
          <cell r="Z14">
            <v>0</v>
          </cell>
          <cell r="AA14">
            <v>5.8</v>
          </cell>
          <cell r="AB14">
            <v>0</v>
          </cell>
          <cell r="AC14">
            <v>0</v>
          </cell>
          <cell r="AD14">
            <v>6</v>
          </cell>
          <cell r="AE14">
            <v>0</v>
          </cell>
          <cell r="AF14">
            <v>0</v>
          </cell>
          <cell r="AG14">
            <v>6.1</v>
          </cell>
          <cell r="AH14">
            <v>0</v>
          </cell>
          <cell r="AI14">
            <v>0</v>
          </cell>
          <cell r="AJ14">
            <v>6.2999999999999829</v>
          </cell>
          <cell r="AK14">
            <v>0</v>
          </cell>
          <cell r="AL14">
            <v>0</v>
          </cell>
          <cell r="AM14">
            <v>10.199999999999784</v>
          </cell>
          <cell r="AN14">
            <v>7.4</v>
          </cell>
          <cell r="AO14">
            <v>7.6153120954519657</v>
          </cell>
          <cell r="AP14">
            <v>7.8320819303222997</v>
          </cell>
          <cell r="AQ14">
            <v>8.2871201428198269</v>
          </cell>
          <cell r="AR14">
            <v>8.7395925780020089</v>
          </cell>
          <cell r="AS14">
            <v>9.2075459136901738</v>
          </cell>
          <cell r="AT14">
            <v>0</v>
          </cell>
          <cell r="AU14">
            <v>0</v>
          </cell>
          <cell r="AV14">
            <v>0</v>
          </cell>
        </row>
        <row r="15">
          <cell r="B15" t="str">
            <v>Total operating expense (incl. D&amp;A)</v>
          </cell>
          <cell r="C15" t="str">
            <v>TOT_OPS_EXP_DDA</v>
          </cell>
          <cell r="D15" t="str">
            <v>GBP</v>
          </cell>
          <cell r="F15">
            <v>-152.20000000000002</v>
          </cell>
          <cell r="G15">
            <v>-150.5</v>
          </cell>
          <cell r="H15">
            <v>-162.19999999999999</v>
          </cell>
          <cell r="I15">
            <v>-166.20000000000002</v>
          </cell>
          <cell r="J15">
            <v>-186.60000000000002</v>
          </cell>
          <cell r="K15">
            <v>-199.4</v>
          </cell>
          <cell r="L15">
            <v>-227.89999999999998</v>
          </cell>
          <cell r="M15">
            <v>-267.3</v>
          </cell>
          <cell r="N15">
            <v>-314.89999999999998</v>
          </cell>
          <cell r="O15">
            <v>-355.50000000000006</v>
          </cell>
          <cell r="P15">
            <v>-471.3</v>
          </cell>
          <cell r="Q15">
            <v>-604.6</v>
          </cell>
          <cell r="R15">
            <v>-609.1</v>
          </cell>
          <cell r="S15">
            <v>-684.9</v>
          </cell>
          <cell r="T15">
            <v>-826.10000000000014</v>
          </cell>
          <cell r="U15">
            <v>-792.60000000000014</v>
          </cell>
          <cell r="V15">
            <v>0</v>
          </cell>
          <cell r="W15">
            <v>0</v>
          </cell>
          <cell r="X15">
            <v>-829.36</v>
          </cell>
          <cell r="Y15">
            <v>0</v>
          </cell>
          <cell r="Z15">
            <v>0</v>
          </cell>
          <cell r="AA15">
            <v>-862.3</v>
          </cell>
          <cell r="AB15">
            <v>0</v>
          </cell>
          <cell r="AC15">
            <v>0</v>
          </cell>
          <cell r="AD15">
            <v>-1214.9000000000001</v>
          </cell>
          <cell r="AE15">
            <v>0</v>
          </cell>
          <cell r="AF15">
            <v>0</v>
          </cell>
          <cell r="AG15">
            <v>-1543.3999999999999</v>
          </cell>
          <cell r="AH15">
            <v>0</v>
          </cell>
          <cell r="AI15">
            <v>0</v>
          </cell>
          <cell r="AJ15">
            <v>-1554.3</v>
          </cell>
          <cell r="AK15">
            <v>0</v>
          </cell>
          <cell r="AL15">
            <v>0</v>
          </cell>
          <cell r="AM15">
            <v>-1488.7</v>
          </cell>
          <cell r="AN15">
            <v>-1416.3000000000002</v>
          </cell>
          <cell r="AO15">
            <v>-1491.0830718067862</v>
          </cell>
          <cell r="AP15">
            <v>-1541.7318490743658</v>
          </cell>
          <cell r="AQ15">
            <v>-1631.6820328142926</v>
          </cell>
          <cell r="AR15">
            <v>-1713.4083440694824</v>
          </cell>
          <cell r="AS15">
            <v>-1809.0792056013318</v>
          </cell>
          <cell r="AT15">
            <v>0</v>
          </cell>
          <cell r="AU15">
            <v>0</v>
          </cell>
          <cell r="AV15">
            <v>0</v>
          </cell>
        </row>
        <row r="16">
          <cell r="B16" t="str">
            <v>Total operating expense (excl. D&amp;A)</v>
          </cell>
          <cell r="C16" t="str">
            <v>TOT_OPS_EXP</v>
          </cell>
          <cell r="D16" t="str">
            <v>GBP</v>
          </cell>
          <cell r="F16">
            <v>-143.30000000000001</v>
          </cell>
          <cell r="G16">
            <v>-139.1</v>
          </cell>
          <cell r="H16">
            <v>-150.5</v>
          </cell>
          <cell r="I16">
            <v>-154.20000000000002</v>
          </cell>
          <cell r="J16">
            <v>-173.60000000000002</v>
          </cell>
          <cell r="K16">
            <v>-185</v>
          </cell>
          <cell r="L16">
            <v>-215.2</v>
          </cell>
          <cell r="M16">
            <v>-252.8</v>
          </cell>
          <cell r="N16">
            <v>-298.79999999999995</v>
          </cell>
          <cell r="O16">
            <v>-336.20000000000005</v>
          </cell>
          <cell r="P16">
            <v>-450.5</v>
          </cell>
          <cell r="Q16">
            <v>-578.5</v>
          </cell>
          <cell r="R16">
            <v>-582.70000000000005</v>
          </cell>
          <cell r="S16">
            <v>-651.19999999999993</v>
          </cell>
          <cell r="T16">
            <v>-783.60000000000014</v>
          </cell>
          <cell r="U16">
            <v>-752.90000000000009</v>
          </cell>
          <cell r="V16">
            <v>0</v>
          </cell>
          <cell r="W16">
            <v>0</v>
          </cell>
          <cell r="X16">
            <v>-783.76</v>
          </cell>
          <cell r="Y16">
            <v>0</v>
          </cell>
          <cell r="Z16">
            <v>0</v>
          </cell>
          <cell r="AA16">
            <v>-812.3</v>
          </cell>
          <cell r="AB16">
            <v>0</v>
          </cell>
          <cell r="AC16">
            <v>0</v>
          </cell>
          <cell r="AD16">
            <v>-1133.2</v>
          </cell>
          <cell r="AE16">
            <v>0</v>
          </cell>
          <cell r="AF16">
            <v>0</v>
          </cell>
          <cell r="AG16">
            <v>-1413</v>
          </cell>
          <cell r="AH16">
            <v>0</v>
          </cell>
          <cell r="AI16">
            <v>0</v>
          </cell>
          <cell r="AJ16">
            <v>-1429.6</v>
          </cell>
          <cell r="AK16">
            <v>0</v>
          </cell>
          <cell r="AL16">
            <v>0</v>
          </cell>
          <cell r="AM16">
            <v>-1359.6000000000001</v>
          </cell>
          <cell r="AN16">
            <v>-1287.4000000000001</v>
          </cell>
          <cell r="AO16">
            <v>-1358.1238390051112</v>
          </cell>
          <cell r="AP16">
            <v>-1404.9879321287385</v>
          </cell>
          <cell r="AQ16">
            <v>-1486.9933946450601</v>
          </cell>
          <cell r="AR16">
            <v>-1560.8197817616635</v>
          </cell>
          <cell r="AS16">
            <v>-1648.3204310001465</v>
          </cell>
          <cell r="AT16">
            <v>0</v>
          </cell>
          <cell r="AU16">
            <v>0</v>
          </cell>
          <cell r="AV16">
            <v>0</v>
          </cell>
        </row>
        <row r="17">
          <cell r="B17" t="str">
            <v>EBITDA</v>
          </cell>
          <cell r="C17" t="str">
            <v>EBITDA_CALC</v>
          </cell>
          <cell r="D17" t="str">
            <v>GBP</v>
          </cell>
          <cell r="F17">
            <v>25.899999999999977</v>
          </cell>
          <cell r="G17">
            <v>29.300000000000004</v>
          </cell>
          <cell r="H17">
            <v>32.300000000000011</v>
          </cell>
          <cell r="I17">
            <v>31.2</v>
          </cell>
          <cell r="J17">
            <v>37.799999999999997</v>
          </cell>
          <cell r="K17">
            <v>42.699999999999996</v>
          </cell>
          <cell r="L17">
            <v>54.400000000000034</v>
          </cell>
          <cell r="M17">
            <v>70</v>
          </cell>
          <cell r="N17">
            <v>85.30000000000004</v>
          </cell>
          <cell r="O17">
            <v>98.999999999999986</v>
          </cell>
          <cell r="P17">
            <v>117.89999999999998</v>
          </cell>
          <cell r="Q17">
            <v>143.29999999999995</v>
          </cell>
          <cell r="R17">
            <v>151.9</v>
          </cell>
          <cell r="S17">
            <v>181.40000000000009</v>
          </cell>
          <cell r="T17">
            <v>199.39999999999998</v>
          </cell>
          <cell r="U17">
            <v>217.39999999999998</v>
          </cell>
          <cell r="V17">
            <v>0</v>
          </cell>
          <cell r="W17">
            <v>0</v>
          </cell>
          <cell r="X17">
            <v>231.94</v>
          </cell>
          <cell r="Y17">
            <v>0</v>
          </cell>
          <cell r="Z17">
            <v>0</v>
          </cell>
          <cell r="AA17">
            <v>248.79999999999995</v>
          </cell>
          <cell r="AB17">
            <v>0</v>
          </cell>
          <cell r="AC17">
            <v>0</v>
          </cell>
          <cell r="AD17">
            <v>333.3</v>
          </cell>
          <cell r="AE17">
            <v>0</v>
          </cell>
          <cell r="AF17">
            <v>0</v>
          </cell>
          <cell r="AG17">
            <v>467.40000000000003</v>
          </cell>
          <cell r="AH17">
            <v>0</v>
          </cell>
          <cell r="AI17">
            <v>0</v>
          </cell>
          <cell r="AJ17">
            <v>472.7</v>
          </cell>
          <cell r="AK17">
            <v>0</v>
          </cell>
          <cell r="AL17">
            <v>0</v>
          </cell>
          <cell r="AM17">
            <v>494.00000000000006</v>
          </cell>
          <cell r="AN17">
            <v>461.99999999999994</v>
          </cell>
          <cell r="AO17">
            <v>442.17710420889813</v>
          </cell>
          <cell r="AP17">
            <v>446.55857177745486</v>
          </cell>
          <cell r="AQ17">
            <v>472.12660236156194</v>
          </cell>
          <cell r="AR17">
            <v>505.26714471897344</v>
          </cell>
          <cell r="AS17">
            <v>528.39319351466293</v>
          </cell>
          <cell r="AT17">
            <v>0</v>
          </cell>
          <cell r="AU17">
            <v>0</v>
          </cell>
          <cell r="AV17">
            <v>0</v>
          </cell>
          <cell r="AW17" t="str">
            <v>NK: Normal GS defenition used to avoid QE checks</v>
          </cell>
        </row>
        <row r="18">
          <cell r="B18" t="str">
            <v>Depreciation</v>
          </cell>
          <cell r="C18" t="str">
            <v>DEPREC</v>
          </cell>
          <cell r="D18" t="str">
            <v>GBP</v>
          </cell>
          <cell r="F18">
            <v>-8.9</v>
          </cell>
          <cell r="G18">
            <v>-11.4</v>
          </cell>
          <cell r="H18">
            <v>-11.7</v>
          </cell>
          <cell r="I18">
            <v>-12</v>
          </cell>
          <cell r="J18">
            <v>-13</v>
          </cell>
          <cell r="K18">
            <v>-14.4</v>
          </cell>
          <cell r="L18">
            <v>-12.7</v>
          </cell>
          <cell r="M18">
            <v>-14.5</v>
          </cell>
          <cell r="N18">
            <v>-16.099999999999998</v>
          </cell>
          <cell r="O18">
            <v>-19.299999999999997</v>
          </cell>
          <cell r="P18">
            <v>-20.8</v>
          </cell>
          <cell r="Q18">
            <v>-26.099999999999998</v>
          </cell>
          <cell r="R18">
            <v>-26.400000000000002</v>
          </cell>
          <cell r="S18">
            <v>-33.700000000000003</v>
          </cell>
          <cell r="T18">
            <v>-42.5</v>
          </cell>
          <cell r="U18">
            <v>-39.700000000000003</v>
          </cell>
          <cell r="V18">
            <v>0</v>
          </cell>
          <cell r="W18">
            <v>0</v>
          </cell>
          <cell r="X18">
            <v>-36</v>
          </cell>
          <cell r="Y18">
            <v>0</v>
          </cell>
          <cell r="Z18">
            <v>0</v>
          </cell>
          <cell r="AA18">
            <v>-35.299999999999997</v>
          </cell>
          <cell r="AB18">
            <v>0</v>
          </cell>
          <cell r="AC18">
            <v>0</v>
          </cell>
          <cell r="AD18">
            <v>-33.299999999999997</v>
          </cell>
          <cell r="AE18">
            <v>0</v>
          </cell>
          <cell r="AF18">
            <v>0</v>
          </cell>
          <cell r="AG18">
            <v>-47.1</v>
          </cell>
          <cell r="AH18">
            <v>0</v>
          </cell>
          <cell r="AI18">
            <v>0</v>
          </cell>
          <cell r="AJ18">
            <v>-54.4</v>
          </cell>
          <cell r="AK18">
            <v>0</v>
          </cell>
          <cell r="AL18">
            <v>0</v>
          </cell>
          <cell r="AM18">
            <v>-57.1</v>
          </cell>
          <cell r="AN18">
            <v>-55.2</v>
          </cell>
          <cell r="AO18">
            <v>-56.806111847155201</v>
          </cell>
          <cell r="AP18">
            <v>-58.42309764240418</v>
          </cell>
          <cell r="AQ18">
            <v>-61.817436741034378</v>
          </cell>
          <cell r="AR18">
            <v>-65.192636527798768</v>
          </cell>
          <cell r="AS18">
            <v>-68.683315464283453</v>
          </cell>
          <cell r="AT18">
            <v>0</v>
          </cell>
          <cell r="AU18">
            <v>0</v>
          </cell>
          <cell r="AV18">
            <v>0</v>
          </cell>
        </row>
        <row r="19">
          <cell r="B19" t="str">
            <v>Amortization</v>
          </cell>
          <cell r="C19" t="str">
            <v>GOODWILL_AMORT</v>
          </cell>
          <cell r="D19" t="str">
            <v>GBP</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-9.6</v>
          </cell>
          <cell r="Y19">
            <v>0</v>
          </cell>
          <cell r="Z19">
            <v>0</v>
          </cell>
          <cell r="AA19">
            <v>-14.7</v>
          </cell>
          <cell r="AB19">
            <v>0</v>
          </cell>
          <cell r="AC19">
            <v>0</v>
          </cell>
          <cell r="AD19">
            <v>-48.4</v>
          </cell>
          <cell r="AE19">
            <v>0</v>
          </cell>
          <cell r="AF19">
            <v>0</v>
          </cell>
          <cell r="AG19">
            <v>-83.300000000000011</v>
          </cell>
          <cell r="AH19">
            <v>0</v>
          </cell>
          <cell r="AI19">
            <v>0</v>
          </cell>
          <cell r="AJ19">
            <v>-70.3</v>
          </cell>
          <cell r="AK19">
            <v>0</v>
          </cell>
          <cell r="AL19">
            <v>0</v>
          </cell>
          <cell r="AM19">
            <v>-72</v>
          </cell>
          <cell r="AN19">
            <v>-73.7</v>
          </cell>
          <cell r="AO19">
            <v>-76.15312095451965</v>
          </cell>
          <cell r="AP19">
            <v>-78.32081930322299</v>
          </cell>
          <cell r="AQ19">
            <v>-82.871201428198248</v>
          </cell>
          <cell r="AR19">
            <v>-87.395925780020079</v>
          </cell>
          <cell r="AS19">
            <v>-92.075459136901728</v>
          </cell>
          <cell r="AT19">
            <v>0</v>
          </cell>
          <cell r="AU19">
            <v>0</v>
          </cell>
          <cell r="AV19">
            <v>0</v>
          </cell>
        </row>
        <row r="20">
          <cell r="B20" t="str">
            <v>EBIT, operating profit</v>
          </cell>
          <cell r="C20" t="str">
            <v>EBIT</v>
          </cell>
          <cell r="D20" t="str">
            <v>GBP</v>
          </cell>
          <cell r="F20">
            <v>16.999999999999979</v>
          </cell>
          <cell r="G20">
            <v>17.900000000000006</v>
          </cell>
          <cell r="H20">
            <v>20.600000000000012</v>
          </cell>
          <cell r="I20">
            <v>19.2</v>
          </cell>
          <cell r="J20">
            <v>24.799999999999997</v>
          </cell>
          <cell r="K20">
            <v>28.299999999999997</v>
          </cell>
          <cell r="L20">
            <v>41.700000000000031</v>
          </cell>
          <cell r="M20">
            <v>55.5</v>
          </cell>
          <cell r="N20">
            <v>69.200000000000045</v>
          </cell>
          <cell r="O20">
            <v>79.699999999999989</v>
          </cell>
          <cell r="P20">
            <v>97.09999999999998</v>
          </cell>
          <cell r="Q20">
            <v>117.19999999999996</v>
          </cell>
          <cell r="R20">
            <v>125.5</v>
          </cell>
          <cell r="S20">
            <v>147.7000000000001</v>
          </cell>
          <cell r="T20">
            <v>156.89999999999998</v>
          </cell>
          <cell r="U20">
            <v>177.7</v>
          </cell>
          <cell r="V20">
            <v>0</v>
          </cell>
          <cell r="W20">
            <v>0</v>
          </cell>
          <cell r="X20">
            <v>186.34</v>
          </cell>
          <cell r="Y20">
            <v>0</v>
          </cell>
          <cell r="Z20">
            <v>0</v>
          </cell>
          <cell r="AA20">
            <v>198.79999999999998</v>
          </cell>
          <cell r="AB20">
            <v>0</v>
          </cell>
          <cell r="AC20">
            <v>0</v>
          </cell>
          <cell r="AD20">
            <v>251.60000000000002</v>
          </cell>
          <cell r="AE20">
            <v>0</v>
          </cell>
          <cell r="AF20">
            <v>0</v>
          </cell>
          <cell r="AG20">
            <v>337</v>
          </cell>
          <cell r="AH20">
            <v>0</v>
          </cell>
          <cell r="AI20">
            <v>0</v>
          </cell>
          <cell r="AJ20">
            <v>348</v>
          </cell>
          <cell r="AK20">
            <v>0</v>
          </cell>
          <cell r="AL20">
            <v>0</v>
          </cell>
          <cell r="AM20">
            <v>364.90000000000003</v>
          </cell>
          <cell r="AN20">
            <v>333.09999999999997</v>
          </cell>
          <cell r="AO20">
            <v>309.2178714072233</v>
          </cell>
          <cell r="AP20">
            <v>309.81465483182768</v>
          </cell>
          <cell r="AQ20">
            <v>327.43796419232928</v>
          </cell>
          <cell r="AR20">
            <v>352.67858241115459</v>
          </cell>
          <cell r="AS20">
            <v>367.63441891347782</v>
          </cell>
          <cell r="AT20">
            <v>0</v>
          </cell>
          <cell r="AU20">
            <v>0</v>
          </cell>
          <cell r="AV20">
            <v>0</v>
          </cell>
          <cell r="AW20" t="str">
            <v>NK: Normal GS defenition used to avoid QE checks</v>
          </cell>
          <cell r="AX20">
            <v>0</v>
          </cell>
        </row>
        <row r="21">
          <cell r="B21" t="str">
            <v>Interest income</v>
          </cell>
          <cell r="C21" t="str">
            <v>INT_INC_IND</v>
          </cell>
          <cell r="D21" t="str">
            <v>GBP</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row>
        <row r="22">
          <cell r="B22" t="str">
            <v>Interest expense</v>
          </cell>
          <cell r="C22" t="str">
            <v>INT_EXP_IND</v>
          </cell>
          <cell r="D22" t="str">
            <v>GBP</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row>
        <row r="23">
          <cell r="B23" t="str">
            <v>Net interest income/(expense)</v>
          </cell>
          <cell r="C23" t="str">
            <v>NET_INT_EXP</v>
          </cell>
          <cell r="D23" t="str">
            <v>GBP</v>
          </cell>
          <cell r="F23">
            <v>4.3</v>
          </cell>
          <cell r="G23">
            <v>3.5</v>
          </cell>
          <cell r="H23">
            <v>2.7</v>
          </cell>
          <cell r="I23">
            <v>1.8</v>
          </cell>
          <cell r="J23">
            <v>1</v>
          </cell>
          <cell r="K23">
            <v>1.5</v>
          </cell>
          <cell r="L23">
            <v>2</v>
          </cell>
          <cell r="M23">
            <v>-3.1999999999999993</v>
          </cell>
          <cell r="N23">
            <v>-6.0000000000000009</v>
          </cell>
          <cell r="O23">
            <v>-7.1000000000000005</v>
          </cell>
          <cell r="P23">
            <v>-6.8999999999999995</v>
          </cell>
          <cell r="Q23">
            <v>-13.7</v>
          </cell>
          <cell r="R23">
            <v>-10.199999999999999</v>
          </cell>
          <cell r="S23">
            <v>-12.4</v>
          </cell>
          <cell r="T23">
            <v>-10</v>
          </cell>
          <cell r="U23">
            <v>-10.7</v>
          </cell>
          <cell r="V23">
            <v>0</v>
          </cell>
          <cell r="W23">
            <v>0</v>
          </cell>
          <cell r="X23">
            <v>-3.4399999999999977</v>
          </cell>
          <cell r="Y23">
            <v>0</v>
          </cell>
          <cell r="Z23">
            <v>0</v>
          </cell>
          <cell r="AA23">
            <v>7.7000000000000171</v>
          </cell>
          <cell r="AB23">
            <v>0</v>
          </cell>
          <cell r="AC23">
            <v>0</v>
          </cell>
          <cell r="AD23">
            <v>-7.8000000000000114</v>
          </cell>
          <cell r="AE23">
            <v>0</v>
          </cell>
          <cell r="AF23">
            <v>0</v>
          </cell>
          <cell r="AG23">
            <v>-41.699999999999989</v>
          </cell>
          <cell r="AH23">
            <v>0</v>
          </cell>
          <cell r="AI23">
            <v>0</v>
          </cell>
          <cell r="AJ23">
            <v>-41.899999999999977</v>
          </cell>
          <cell r="AK23">
            <v>0</v>
          </cell>
          <cell r="AL23">
            <v>0</v>
          </cell>
          <cell r="AM23">
            <v>-37</v>
          </cell>
          <cell r="AN23">
            <v>-30.9</v>
          </cell>
          <cell r="AO23">
            <v>-29.73797241224754</v>
          </cell>
          <cell r="AP23">
            <v>-29.19086690015099</v>
          </cell>
          <cell r="AQ23">
            <v>-29.433877092124714</v>
          </cell>
          <cell r="AR23">
            <v>-29.504061102363153</v>
          </cell>
          <cell r="AS23">
            <v>-29.298204403944929</v>
          </cell>
          <cell r="AT23">
            <v>0</v>
          </cell>
          <cell r="AU23">
            <v>0</v>
          </cell>
          <cell r="AV23">
            <v>0</v>
          </cell>
        </row>
        <row r="24">
          <cell r="B24" t="str">
            <v>Income/(loss) from unconsolidated subs &amp; associates</v>
          </cell>
          <cell r="C24" t="str">
            <v>ASSOCIATE</v>
          </cell>
          <cell r="D24" t="str">
            <v>GBP</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row>
        <row r="25">
          <cell r="B25" t="str">
            <v>Profit/(loss) on disposals of assets, pre-tax</v>
          </cell>
          <cell r="C25" t="str">
            <v>PROFIT_ON_DISP</v>
          </cell>
          <cell r="D25" t="str">
            <v>GBP</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row>
        <row r="26">
          <cell r="B26" t="str">
            <v>Other non-ops income/(expense)</v>
          </cell>
          <cell r="C26" t="str">
            <v>OTH_COST_INC</v>
          </cell>
          <cell r="D26" t="str">
            <v>GBP</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row>
        <row r="27">
          <cell r="B27" t="str">
            <v>Pre-tax profit</v>
          </cell>
          <cell r="C27" t="str">
            <v>PT_PROF</v>
          </cell>
          <cell r="D27" t="str">
            <v>GBP</v>
          </cell>
          <cell r="F27">
            <v>21.299999999999979</v>
          </cell>
          <cell r="G27">
            <v>21.400000000000006</v>
          </cell>
          <cell r="H27">
            <v>23.300000000000011</v>
          </cell>
          <cell r="I27">
            <v>21</v>
          </cell>
          <cell r="J27">
            <v>25.799999999999997</v>
          </cell>
          <cell r="K27">
            <v>29.799999999999997</v>
          </cell>
          <cell r="L27">
            <v>43.700000000000031</v>
          </cell>
          <cell r="M27">
            <v>52.3</v>
          </cell>
          <cell r="N27">
            <v>63.200000000000045</v>
          </cell>
          <cell r="O27">
            <v>72.599999999999994</v>
          </cell>
          <cell r="P27">
            <v>90.199999999999974</v>
          </cell>
          <cell r="Q27">
            <v>103.49999999999996</v>
          </cell>
          <cell r="R27">
            <v>115.3</v>
          </cell>
          <cell r="S27">
            <v>135.3000000000001</v>
          </cell>
          <cell r="T27">
            <v>146.89999999999998</v>
          </cell>
          <cell r="U27">
            <v>167</v>
          </cell>
          <cell r="V27">
            <v>0</v>
          </cell>
          <cell r="W27">
            <v>0</v>
          </cell>
          <cell r="X27">
            <v>182.9</v>
          </cell>
          <cell r="Y27">
            <v>0</v>
          </cell>
          <cell r="Z27">
            <v>0</v>
          </cell>
          <cell r="AA27">
            <v>206.5</v>
          </cell>
          <cell r="AB27">
            <v>0</v>
          </cell>
          <cell r="AC27">
            <v>0</v>
          </cell>
          <cell r="AD27">
            <v>243.8</v>
          </cell>
          <cell r="AE27">
            <v>0</v>
          </cell>
          <cell r="AF27">
            <v>0</v>
          </cell>
          <cell r="AG27">
            <v>295.3</v>
          </cell>
          <cell r="AH27">
            <v>0</v>
          </cell>
          <cell r="AI27">
            <v>0</v>
          </cell>
          <cell r="AJ27">
            <v>306.10000000000002</v>
          </cell>
          <cell r="AK27">
            <v>0</v>
          </cell>
          <cell r="AL27">
            <v>0</v>
          </cell>
          <cell r="AM27">
            <v>327.90000000000003</v>
          </cell>
          <cell r="AN27">
            <v>302.2</v>
          </cell>
          <cell r="AO27">
            <v>279.47989899497577</v>
          </cell>
          <cell r="AP27">
            <v>280.6237879316767</v>
          </cell>
          <cell r="AQ27">
            <v>298.00408710020457</v>
          </cell>
          <cell r="AR27">
            <v>323.17452130879144</v>
          </cell>
          <cell r="AS27">
            <v>338.33621450953291</v>
          </cell>
          <cell r="AT27">
            <v>0</v>
          </cell>
          <cell r="AU27">
            <v>0</v>
          </cell>
          <cell r="AV27">
            <v>0</v>
          </cell>
        </row>
        <row r="28">
          <cell r="A28" t="str">
            <v>Additional Income Statement Items</v>
          </cell>
          <cell r="B28">
            <v>0</v>
          </cell>
          <cell r="C28">
            <v>0</v>
          </cell>
          <cell r="D28">
            <v>0</v>
          </cell>
          <cell r="AW28">
            <v>0</v>
          </cell>
        </row>
        <row r="29">
          <cell r="B29" t="str">
            <v>Organic revenues (excl. acquisitions)</v>
          </cell>
          <cell r="C29" t="str">
            <v>ORG_REV</v>
          </cell>
          <cell r="D29" t="str">
            <v>GBP</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row>
        <row r="30">
          <cell r="B30" t="str">
            <v>Organic sales growth (excl. acquisitions)</v>
          </cell>
          <cell r="C30" t="str">
            <v>ORG_REV_GRTH</v>
          </cell>
          <cell r="F30">
            <v>0</v>
          </cell>
          <cell r="G30">
            <v>0</v>
          </cell>
          <cell r="H30">
            <v>0</v>
          </cell>
          <cell r="I30">
            <v>0</v>
          </cell>
          <cell r="J30">
            <v>0</v>
          </cell>
          <cell r="K30">
            <v>0</v>
          </cell>
          <cell r="L30">
            <v>0</v>
          </cell>
          <cell r="M30">
            <v>0</v>
          </cell>
          <cell r="N30">
            <v>0</v>
          </cell>
          <cell r="O30">
            <v>0</v>
          </cell>
          <cell r="P30">
            <v>0.30606617647058831</v>
          </cell>
          <cell r="Q30">
            <v>0.21323011963406047</v>
          </cell>
          <cell r="R30">
            <v>1.7999999999999999E-2</v>
          </cell>
          <cell r="S30">
            <v>0.08</v>
          </cell>
          <cell r="T30">
            <v>0.107</v>
          </cell>
          <cell r="U30">
            <v>7.5999999999999998E-2</v>
          </cell>
          <cell r="V30">
            <v>0</v>
          </cell>
          <cell r="W30">
            <v>0</v>
          </cell>
          <cell r="X30">
            <v>0.04</v>
          </cell>
          <cell r="Y30">
            <v>0</v>
          </cell>
          <cell r="Z30">
            <v>0</v>
          </cell>
          <cell r="AA30">
            <v>0.106</v>
          </cell>
          <cell r="AB30">
            <v>0</v>
          </cell>
          <cell r="AC30">
            <v>0</v>
          </cell>
          <cell r="AD30">
            <v>9.5000000000000001E-2</v>
          </cell>
          <cell r="AE30">
            <v>0</v>
          </cell>
          <cell r="AF30">
            <v>0</v>
          </cell>
          <cell r="AG30">
            <v>8.9999999999999993E-3</v>
          </cell>
          <cell r="AH30">
            <v>0</v>
          </cell>
          <cell r="AI30">
            <v>0</v>
          </cell>
          <cell r="AJ30">
            <v>7.0000000000000001E-3</v>
          </cell>
          <cell r="AK30">
            <v>0</v>
          </cell>
          <cell r="AL30">
            <v>0</v>
          </cell>
          <cell r="AM30">
            <v>3.0000000000000001E-3</v>
          </cell>
          <cell r="AN30">
            <v>-8.2067613914747675E-3</v>
          </cell>
          <cell r="AO30">
            <v>-2.2616712225194832E-2</v>
          </cell>
          <cell r="AP30">
            <v>-1.1476905427991865E-2</v>
          </cell>
          <cell r="AQ30">
            <v>3.6811874309602886E-2</v>
          </cell>
          <cell r="AR30">
            <v>3.2871585566022217E-2</v>
          </cell>
          <cell r="AS30">
            <v>3.2932628063425944E-2</v>
          </cell>
          <cell r="AT30">
            <v>0</v>
          </cell>
          <cell r="AU30">
            <v>0</v>
          </cell>
          <cell r="AV30">
            <v>0</v>
          </cell>
          <cell r="AW30" t="str">
            <v xml:space="preserve">MA: Organic revenue growth of Core businesses (pre FX and M&amp;A)
</v>
          </cell>
        </row>
        <row r="31">
          <cell r="B31" t="str">
            <v>Lease payments</v>
          </cell>
          <cell r="C31" t="str">
            <v>LEASE_PAY</v>
          </cell>
          <cell r="D31" t="str">
            <v>GBP</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row>
        <row r="32">
          <cell r="B32" t="str">
            <v>Lease payments (deemed interest portion)</v>
          </cell>
          <cell r="C32" t="str">
            <v>LEASE_DEEM_INT</v>
          </cell>
          <cell r="D32" t="str">
            <v>GBP</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row>
        <row r="33">
          <cell r="B33" t="str">
            <v>Lease payments (deemed depreciation portion)</v>
          </cell>
          <cell r="C33" t="str">
            <v>LEASE_DEEM_DEPR</v>
          </cell>
          <cell r="D33" t="str">
            <v>GBP</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row>
        <row r="34">
          <cell r="B34" t="str">
            <v>Gross interest charge</v>
          </cell>
          <cell r="C34" t="str">
            <v>NET_INT_CH</v>
          </cell>
          <cell r="D34" t="str">
            <v>GBP</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row>
        <row r="35">
          <cell r="B35" t="str">
            <v>Income from associates (operating)</v>
          </cell>
          <cell r="C35" t="str">
            <v>ASSOCIATE_OP</v>
          </cell>
          <cell r="D35" t="str">
            <v>GBP</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row>
        <row r="36">
          <cell r="B36" t="str">
            <v>Goodwill amortization</v>
          </cell>
          <cell r="C36" t="str">
            <v>GW_AMORT</v>
          </cell>
          <cell r="D36" t="str">
            <v>GBP</v>
          </cell>
          <cell r="F36">
            <v>0</v>
          </cell>
          <cell r="G36">
            <v>0</v>
          </cell>
          <cell r="H36">
            <v>0</v>
          </cell>
          <cell r="I36">
            <v>0</v>
          </cell>
          <cell r="J36">
            <v>0</v>
          </cell>
          <cell r="K36">
            <v>0</v>
          </cell>
          <cell r="L36">
            <v>0</v>
          </cell>
          <cell r="M36">
            <v>0</v>
          </cell>
          <cell r="N36">
            <v>-1.3</v>
          </cell>
          <cell r="O36">
            <v>-2.9</v>
          </cell>
          <cell r="P36">
            <v>-4.9000000000000004</v>
          </cell>
          <cell r="Q36">
            <v>-11.9</v>
          </cell>
          <cell r="R36">
            <v>-12.7</v>
          </cell>
          <cell r="S36">
            <v>-15.9</v>
          </cell>
          <cell r="T36">
            <v>-21</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row>
        <row r="37">
          <cell r="B37" t="str">
            <v>Other intangible amortization</v>
          </cell>
          <cell r="C37" t="str">
            <v>OTH_INT_AMORT</v>
          </cell>
          <cell r="D37" t="str">
            <v>GBP</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row>
        <row r="38">
          <cell r="A38" t="str">
            <v>Balance Sheet</v>
          </cell>
          <cell r="B38">
            <v>0</v>
          </cell>
          <cell r="C38">
            <v>0</v>
          </cell>
          <cell r="D38">
            <v>0</v>
          </cell>
          <cell r="AW38">
            <v>0</v>
          </cell>
        </row>
        <row r="39">
          <cell r="B39" t="str">
            <v>Cash &amp; cash equivalents</v>
          </cell>
          <cell r="C39" t="str">
            <v>CASH_EQ</v>
          </cell>
          <cell r="D39" t="str">
            <v>GBP</v>
          </cell>
          <cell r="F39">
            <v>43.300000000000004</v>
          </cell>
          <cell r="G39">
            <v>44.099999999999994</v>
          </cell>
          <cell r="H39">
            <v>47.3</v>
          </cell>
          <cell r="I39">
            <v>53.1</v>
          </cell>
          <cell r="J39">
            <v>56</v>
          </cell>
          <cell r="K39">
            <v>82</v>
          </cell>
          <cell r="L39">
            <v>63.8</v>
          </cell>
          <cell r="M39">
            <v>52.699999999999996</v>
          </cell>
          <cell r="N39">
            <v>33.699999999999996</v>
          </cell>
          <cell r="O39">
            <v>35.300000000000004</v>
          </cell>
          <cell r="P39">
            <v>28.6</v>
          </cell>
          <cell r="Q39">
            <v>43.9</v>
          </cell>
          <cell r="R39">
            <v>72</v>
          </cell>
          <cell r="S39">
            <v>106.19999999999999</v>
          </cell>
          <cell r="T39">
            <v>101.3</v>
          </cell>
          <cell r="U39">
            <v>251.8</v>
          </cell>
          <cell r="V39">
            <v>0</v>
          </cell>
          <cell r="W39">
            <v>0</v>
          </cell>
          <cell r="X39">
            <v>364.3</v>
          </cell>
          <cell r="Y39">
            <v>0</v>
          </cell>
          <cell r="Z39">
            <v>0</v>
          </cell>
          <cell r="AA39">
            <v>444.5</v>
          </cell>
          <cell r="AB39">
            <v>0</v>
          </cell>
          <cell r="AC39">
            <v>0</v>
          </cell>
          <cell r="AD39">
            <v>311</v>
          </cell>
          <cell r="AE39">
            <v>0</v>
          </cell>
          <cell r="AF39">
            <v>0</v>
          </cell>
          <cell r="AG39">
            <v>366.4</v>
          </cell>
          <cell r="AH39">
            <v>0</v>
          </cell>
          <cell r="AI39">
            <v>0</v>
          </cell>
          <cell r="AJ39">
            <v>473</v>
          </cell>
          <cell r="AK39">
            <v>0</v>
          </cell>
          <cell r="AL39">
            <v>0</v>
          </cell>
          <cell r="AM39">
            <v>345.6</v>
          </cell>
          <cell r="AN39">
            <v>264.2</v>
          </cell>
          <cell r="AO39">
            <v>263.91729986827755</v>
          </cell>
          <cell r="AP39">
            <v>302.88859422508256</v>
          </cell>
          <cell r="AQ39">
            <v>190.52232515142796</v>
          </cell>
          <cell r="AR39">
            <v>220.64882796024256</v>
          </cell>
          <cell r="AS39">
            <v>149.61857293454395</v>
          </cell>
          <cell r="AT39">
            <v>0</v>
          </cell>
          <cell r="AU39">
            <v>0</v>
          </cell>
          <cell r="AV39">
            <v>0</v>
          </cell>
        </row>
        <row r="40">
          <cell r="B40" t="str">
            <v>Accounts receivable</v>
          </cell>
          <cell r="C40" t="str">
            <v>DEBTORS</v>
          </cell>
          <cell r="D40" t="str">
            <v>GBP</v>
          </cell>
          <cell r="F40">
            <v>50.3</v>
          </cell>
          <cell r="G40">
            <v>51.900000000000006</v>
          </cell>
          <cell r="H40">
            <v>57.9</v>
          </cell>
          <cell r="I40">
            <v>67.3</v>
          </cell>
          <cell r="J40">
            <v>73.7</v>
          </cell>
          <cell r="K40">
            <v>80.7</v>
          </cell>
          <cell r="L40">
            <v>76.2</v>
          </cell>
          <cell r="M40">
            <v>103.2</v>
          </cell>
          <cell r="N40">
            <v>126.1</v>
          </cell>
          <cell r="O40">
            <v>127.6</v>
          </cell>
          <cell r="P40">
            <v>153.5</v>
          </cell>
          <cell r="Q40">
            <v>197.5</v>
          </cell>
          <cell r="R40">
            <v>200</v>
          </cell>
          <cell r="S40">
            <v>190.8</v>
          </cell>
          <cell r="T40">
            <v>237.29999999999998</v>
          </cell>
          <cell r="U40">
            <v>217</v>
          </cell>
          <cell r="V40">
            <v>0</v>
          </cell>
          <cell r="W40">
            <v>0</v>
          </cell>
          <cell r="X40">
            <v>191.79999999999998</v>
          </cell>
          <cell r="Y40">
            <v>0</v>
          </cell>
          <cell r="Z40">
            <v>0</v>
          </cell>
          <cell r="AA40">
            <v>247.29999999999998</v>
          </cell>
          <cell r="AB40">
            <v>0</v>
          </cell>
          <cell r="AC40">
            <v>0</v>
          </cell>
          <cell r="AD40">
            <v>379.59999999999997</v>
          </cell>
          <cell r="AE40">
            <v>0</v>
          </cell>
          <cell r="AF40">
            <v>0</v>
          </cell>
          <cell r="AG40">
            <v>373.5</v>
          </cell>
          <cell r="AH40">
            <v>0</v>
          </cell>
          <cell r="AI40">
            <v>0</v>
          </cell>
          <cell r="AJ40">
            <v>358.3</v>
          </cell>
          <cell r="AK40">
            <v>0</v>
          </cell>
          <cell r="AL40">
            <v>0</v>
          </cell>
          <cell r="AM40">
            <v>317.5</v>
          </cell>
          <cell r="AN40">
            <v>328.1</v>
          </cell>
          <cell r="AO40">
            <v>337.64647277267431</v>
          </cell>
          <cell r="AP40">
            <v>347.25757855929004</v>
          </cell>
          <cell r="AQ40">
            <v>367.43298903502495</v>
          </cell>
          <cell r="AR40">
            <v>387.49463849222417</v>
          </cell>
          <cell r="AS40">
            <v>408.24267760564135</v>
          </cell>
          <cell r="AT40">
            <v>0</v>
          </cell>
          <cell r="AU40">
            <v>0</v>
          </cell>
          <cell r="AV40">
            <v>0</v>
          </cell>
        </row>
        <row r="41">
          <cell r="B41" t="str">
            <v>Inventory</v>
          </cell>
          <cell r="C41" t="str">
            <v>STOCKS</v>
          </cell>
          <cell r="D41" t="str">
            <v>GBP</v>
          </cell>
          <cell r="F41">
            <v>39.799999999999997</v>
          </cell>
          <cell r="G41">
            <v>48.2</v>
          </cell>
          <cell r="H41">
            <v>48.7</v>
          </cell>
          <cell r="I41">
            <v>45.5</v>
          </cell>
          <cell r="J41">
            <v>41.4</v>
          </cell>
          <cell r="K41">
            <v>42.6</v>
          </cell>
          <cell r="L41">
            <v>50.3</v>
          </cell>
          <cell r="M41">
            <v>67.7</v>
          </cell>
          <cell r="N41">
            <v>77</v>
          </cell>
          <cell r="O41">
            <v>89.1</v>
          </cell>
          <cell r="P41">
            <v>124</v>
          </cell>
          <cell r="Q41">
            <v>143.6</v>
          </cell>
          <cell r="R41">
            <v>154.80000000000001</v>
          </cell>
          <cell r="S41">
            <v>190</v>
          </cell>
          <cell r="T41">
            <v>183.9</v>
          </cell>
          <cell r="U41">
            <v>167.2</v>
          </cell>
          <cell r="V41">
            <v>0</v>
          </cell>
          <cell r="W41">
            <v>0</v>
          </cell>
          <cell r="X41">
            <v>160.19999999999999</v>
          </cell>
          <cell r="Y41">
            <v>0</v>
          </cell>
          <cell r="Z41">
            <v>0</v>
          </cell>
          <cell r="AA41">
            <v>170.1</v>
          </cell>
          <cell r="AB41">
            <v>0</v>
          </cell>
          <cell r="AC41">
            <v>0</v>
          </cell>
          <cell r="AD41">
            <v>246.8</v>
          </cell>
          <cell r="AE41">
            <v>0</v>
          </cell>
          <cell r="AF41">
            <v>0</v>
          </cell>
          <cell r="AG41">
            <v>249.8</v>
          </cell>
          <cell r="AH41">
            <v>0</v>
          </cell>
          <cell r="AI41">
            <v>0</v>
          </cell>
          <cell r="AJ41">
            <v>287.39999999999998</v>
          </cell>
          <cell r="AK41">
            <v>0</v>
          </cell>
          <cell r="AL41">
            <v>0</v>
          </cell>
          <cell r="AM41">
            <v>304.60000000000002</v>
          </cell>
          <cell r="AN41">
            <v>306.39999999999998</v>
          </cell>
          <cell r="AO41">
            <v>291.39999999999998</v>
          </cell>
          <cell r="AP41">
            <v>276.39999999999998</v>
          </cell>
          <cell r="AQ41">
            <v>292.45863716100587</v>
          </cell>
          <cell r="AR41">
            <v>308.42672613108755</v>
          </cell>
          <cell r="AS41">
            <v>324.94114760099757</v>
          </cell>
          <cell r="AT41">
            <v>0</v>
          </cell>
          <cell r="AU41">
            <v>0</v>
          </cell>
          <cell r="AV41">
            <v>0</v>
          </cell>
        </row>
        <row r="42">
          <cell r="B42" t="str">
            <v>Other current assets</v>
          </cell>
          <cell r="C42" t="str">
            <v>OTH_CUR_ASS</v>
          </cell>
          <cell r="D42" t="str">
            <v>GBP</v>
          </cell>
          <cell r="F42">
            <v>0</v>
          </cell>
          <cell r="G42">
            <v>0</v>
          </cell>
          <cell r="H42">
            <v>0</v>
          </cell>
          <cell r="I42">
            <v>0</v>
          </cell>
          <cell r="J42">
            <v>0</v>
          </cell>
          <cell r="K42">
            <v>0</v>
          </cell>
          <cell r="L42">
            <v>0</v>
          </cell>
          <cell r="M42">
            <v>0</v>
          </cell>
          <cell r="N42">
            <v>0</v>
          </cell>
          <cell r="O42">
            <v>0</v>
          </cell>
          <cell r="P42">
            <v>0</v>
          </cell>
          <cell r="Q42">
            <v>0.1</v>
          </cell>
          <cell r="R42">
            <v>0.1</v>
          </cell>
          <cell r="S42">
            <v>0</v>
          </cell>
          <cell r="T42">
            <v>0</v>
          </cell>
          <cell r="U42">
            <v>21.900000000000002</v>
          </cell>
          <cell r="V42">
            <v>0</v>
          </cell>
          <cell r="W42">
            <v>0</v>
          </cell>
          <cell r="X42">
            <v>10.200000000000017</v>
          </cell>
          <cell r="Y42">
            <v>0</v>
          </cell>
          <cell r="Z42">
            <v>0</v>
          </cell>
          <cell r="AA42">
            <v>7.7000000000000455</v>
          </cell>
          <cell r="AB42">
            <v>0</v>
          </cell>
          <cell r="AC42">
            <v>0</v>
          </cell>
          <cell r="AD42">
            <v>79.700000000000045</v>
          </cell>
          <cell r="AE42">
            <v>0</v>
          </cell>
          <cell r="AF42">
            <v>0</v>
          </cell>
          <cell r="AG42">
            <v>17.900000000000034</v>
          </cell>
          <cell r="AH42">
            <v>0</v>
          </cell>
          <cell r="AI42">
            <v>0</v>
          </cell>
          <cell r="AJ42">
            <v>23.800000000000011</v>
          </cell>
          <cell r="AK42">
            <v>0</v>
          </cell>
          <cell r="AL42">
            <v>0</v>
          </cell>
          <cell r="AM42">
            <v>32.899999999999977</v>
          </cell>
          <cell r="AN42">
            <v>26.299999999999955</v>
          </cell>
          <cell r="AO42">
            <v>26.300000000000068</v>
          </cell>
          <cell r="AP42">
            <v>26.300000000000125</v>
          </cell>
          <cell r="AQ42">
            <v>26.300000000000125</v>
          </cell>
          <cell r="AR42">
            <v>26.300000000000011</v>
          </cell>
          <cell r="AS42">
            <v>26.300000000000125</v>
          </cell>
          <cell r="AT42">
            <v>0</v>
          </cell>
          <cell r="AU42">
            <v>0</v>
          </cell>
          <cell r="AV42">
            <v>0</v>
          </cell>
        </row>
        <row r="43">
          <cell r="B43" t="str">
            <v>Total current assets</v>
          </cell>
          <cell r="C43" t="str">
            <v>CUR_ASS</v>
          </cell>
          <cell r="D43" t="str">
            <v>GBP</v>
          </cell>
          <cell r="F43">
            <v>133.39999999999998</v>
          </cell>
          <cell r="G43">
            <v>144.19999999999999</v>
          </cell>
          <cell r="H43">
            <v>153.89999999999998</v>
          </cell>
          <cell r="I43">
            <v>165.9</v>
          </cell>
          <cell r="J43">
            <v>171.1</v>
          </cell>
          <cell r="K43">
            <v>205.29999999999998</v>
          </cell>
          <cell r="L43">
            <v>190.3</v>
          </cell>
          <cell r="M43">
            <v>223.60000000000002</v>
          </cell>
          <cell r="N43">
            <v>236.79999999999998</v>
          </cell>
          <cell r="O43">
            <v>252</v>
          </cell>
          <cell r="P43">
            <v>306.10000000000002</v>
          </cell>
          <cell r="Q43">
            <v>385.1</v>
          </cell>
          <cell r="R43">
            <v>426.90000000000003</v>
          </cell>
          <cell r="S43">
            <v>487</v>
          </cell>
          <cell r="T43">
            <v>522.5</v>
          </cell>
          <cell r="U43">
            <v>657.9</v>
          </cell>
          <cell r="V43">
            <v>0</v>
          </cell>
          <cell r="W43">
            <v>0</v>
          </cell>
          <cell r="X43">
            <v>726.5</v>
          </cell>
          <cell r="Y43">
            <v>0</v>
          </cell>
          <cell r="Z43">
            <v>0</v>
          </cell>
          <cell r="AA43">
            <v>869.6</v>
          </cell>
          <cell r="AB43">
            <v>0</v>
          </cell>
          <cell r="AC43">
            <v>0</v>
          </cell>
          <cell r="AD43">
            <v>1017.1</v>
          </cell>
          <cell r="AE43">
            <v>0</v>
          </cell>
          <cell r="AF43">
            <v>0</v>
          </cell>
          <cell r="AG43">
            <v>1007.6</v>
          </cell>
          <cell r="AH43">
            <v>0</v>
          </cell>
          <cell r="AI43">
            <v>0</v>
          </cell>
          <cell r="AJ43">
            <v>1142.5</v>
          </cell>
          <cell r="AK43">
            <v>0</v>
          </cell>
          <cell r="AL43">
            <v>0</v>
          </cell>
          <cell r="AM43">
            <v>1000.6</v>
          </cell>
          <cell r="AN43">
            <v>925</v>
          </cell>
          <cell r="AO43">
            <v>919.26377264095186</v>
          </cell>
          <cell r="AP43">
            <v>952.8461727843727</v>
          </cell>
          <cell r="AQ43">
            <v>876.71395134745887</v>
          </cell>
          <cell r="AR43">
            <v>942.87019258355429</v>
          </cell>
          <cell r="AS43">
            <v>909.10239814118302</v>
          </cell>
          <cell r="AT43">
            <v>0</v>
          </cell>
          <cell r="AU43">
            <v>0</v>
          </cell>
          <cell r="AV43">
            <v>0</v>
          </cell>
        </row>
        <row r="44">
          <cell r="B44" t="str">
            <v>Gross fixed assets, PP&amp;E</v>
          </cell>
          <cell r="C44" t="str">
            <v>GR_FIX_ASS</v>
          </cell>
          <cell r="D44" t="str">
            <v>GBP</v>
          </cell>
          <cell r="F44">
            <v>79.5</v>
          </cell>
          <cell r="G44">
            <v>79.099999999999994</v>
          </cell>
          <cell r="H44">
            <v>82.6</v>
          </cell>
          <cell r="I44">
            <v>85.1</v>
          </cell>
          <cell r="J44">
            <v>91.9</v>
          </cell>
          <cell r="K44">
            <v>97.2</v>
          </cell>
          <cell r="L44">
            <v>100.5</v>
          </cell>
          <cell r="M44">
            <v>252.3</v>
          </cell>
          <cell r="N44">
            <v>265.3</v>
          </cell>
          <cell r="O44">
            <v>287.39999999999998</v>
          </cell>
          <cell r="P44">
            <v>370.3</v>
          </cell>
          <cell r="Q44">
            <v>396.6</v>
          </cell>
          <cell r="R44">
            <v>423.9</v>
          </cell>
          <cell r="S44">
            <v>483.5</v>
          </cell>
          <cell r="T44">
            <v>534.4</v>
          </cell>
          <cell r="U44">
            <v>503.6</v>
          </cell>
          <cell r="V44">
            <v>0</v>
          </cell>
          <cell r="W44">
            <v>0</v>
          </cell>
          <cell r="X44">
            <v>484.9</v>
          </cell>
          <cell r="Y44">
            <v>0</v>
          </cell>
          <cell r="Z44">
            <v>0</v>
          </cell>
          <cell r="AA44">
            <v>528.79999999999995</v>
          </cell>
          <cell r="AB44">
            <v>0</v>
          </cell>
          <cell r="AC44">
            <v>0</v>
          </cell>
          <cell r="AD44">
            <v>665.8</v>
          </cell>
          <cell r="AE44">
            <v>0</v>
          </cell>
          <cell r="AF44">
            <v>0</v>
          </cell>
          <cell r="AG44">
            <v>721</v>
          </cell>
          <cell r="AH44">
            <v>0</v>
          </cell>
          <cell r="AI44">
            <v>0</v>
          </cell>
          <cell r="AJ44">
            <v>787.5</v>
          </cell>
          <cell r="AK44">
            <v>0</v>
          </cell>
          <cell r="AL44">
            <v>0</v>
          </cell>
          <cell r="AM44">
            <v>785.8</v>
          </cell>
          <cell r="AN44">
            <v>798.4</v>
          </cell>
          <cell r="AO44">
            <v>859.6</v>
          </cell>
          <cell r="AP44">
            <v>919.87536205864444</v>
          </cell>
          <cell r="AQ44">
            <v>983.65267841919922</v>
          </cell>
          <cell r="AR44">
            <v>1050.9122029709852</v>
          </cell>
          <cell r="AS44">
            <v>1121.7730760513091</v>
          </cell>
          <cell r="AT44">
            <v>0</v>
          </cell>
          <cell r="AU44">
            <v>0</v>
          </cell>
          <cell r="AV44">
            <v>0</v>
          </cell>
        </row>
        <row r="45">
          <cell r="B45" t="str">
            <v>Accumulated depreciation</v>
          </cell>
          <cell r="C45" t="str">
            <v>ACC_DDA</v>
          </cell>
          <cell r="D45" t="str">
            <v>GBP</v>
          </cell>
          <cell r="F45">
            <v>0</v>
          </cell>
          <cell r="G45">
            <v>0</v>
          </cell>
          <cell r="H45">
            <v>0</v>
          </cell>
          <cell r="I45">
            <v>0</v>
          </cell>
          <cell r="J45">
            <v>0</v>
          </cell>
          <cell r="K45">
            <v>0</v>
          </cell>
          <cell r="L45">
            <v>0</v>
          </cell>
          <cell r="M45">
            <v>-132.9</v>
          </cell>
          <cell r="N45">
            <v>-128.80000000000001</v>
          </cell>
          <cell r="O45">
            <v>-150.89999999999998</v>
          </cell>
          <cell r="P45">
            <v>-183.70000000000002</v>
          </cell>
          <cell r="Q45">
            <v>-205.60000000000002</v>
          </cell>
          <cell r="R45">
            <v>-229.79999999999998</v>
          </cell>
          <cell r="S45">
            <v>-255.4</v>
          </cell>
          <cell r="T45">
            <v>-293.39999999999998</v>
          </cell>
          <cell r="U45">
            <v>-300.8</v>
          </cell>
          <cell r="V45">
            <v>0</v>
          </cell>
          <cell r="W45">
            <v>0</v>
          </cell>
          <cell r="X45">
            <v>-297.29999999999995</v>
          </cell>
          <cell r="Y45">
            <v>0</v>
          </cell>
          <cell r="Z45">
            <v>0</v>
          </cell>
          <cell r="AA45">
            <v>-324.99999999999994</v>
          </cell>
          <cell r="AB45">
            <v>0</v>
          </cell>
          <cell r="AC45">
            <v>0</v>
          </cell>
          <cell r="AD45">
            <v>-374.69999999999993</v>
          </cell>
          <cell r="AE45">
            <v>0</v>
          </cell>
          <cell r="AF45">
            <v>0</v>
          </cell>
          <cell r="AG45">
            <v>-402.8</v>
          </cell>
          <cell r="AH45">
            <v>0</v>
          </cell>
          <cell r="AI45">
            <v>0</v>
          </cell>
          <cell r="AJ45">
            <v>-447.8</v>
          </cell>
          <cell r="AK45">
            <v>0</v>
          </cell>
          <cell r="AL45">
            <v>0</v>
          </cell>
          <cell r="AM45">
            <v>-467.19999999999993</v>
          </cell>
          <cell r="AN45">
            <v>-493.59999999999997</v>
          </cell>
          <cell r="AO45">
            <v>-522.1042250547024</v>
          </cell>
          <cell r="AP45">
            <v>-551.04619062163488</v>
          </cell>
          <cell r="AQ45">
            <v>-569.23155189097122</v>
          </cell>
          <cell r="AR45">
            <v>-587.2543770980152</v>
          </cell>
          <cell r="AS45">
            <v>-608.76788124154393</v>
          </cell>
          <cell r="AT45">
            <v>0</v>
          </cell>
          <cell r="AU45">
            <v>0</v>
          </cell>
          <cell r="AV45">
            <v>0</v>
          </cell>
        </row>
        <row r="46">
          <cell r="B46" t="str">
            <v>Net PP&amp;E</v>
          </cell>
          <cell r="C46" t="str">
            <v>NET_FIX_ASS</v>
          </cell>
          <cell r="D46" t="str">
            <v>GBP</v>
          </cell>
          <cell r="F46">
            <v>79.5</v>
          </cell>
          <cell r="G46">
            <v>79.099999999999994</v>
          </cell>
          <cell r="H46">
            <v>82.6</v>
          </cell>
          <cell r="I46">
            <v>85.1</v>
          </cell>
          <cell r="J46">
            <v>91.9</v>
          </cell>
          <cell r="K46">
            <v>97.2</v>
          </cell>
          <cell r="L46">
            <v>100.5</v>
          </cell>
          <cell r="M46">
            <v>119.4</v>
          </cell>
          <cell r="N46">
            <v>136.5</v>
          </cell>
          <cell r="O46">
            <v>136.5</v>
          </cell>
          <cell r="P46">
            <v>186.6</v>
          </cell>
          <cell r="Q46">
            <v>191</v>
          </cell>
          <cell r="R46">
            <v>194.1</v>
          </cell>
          <cell r="S46">
            <v>228.1</v>
          </cell>
          <cell r="T46">
            <v>241</v>
          </cell>
          <cell r="U46">
            <v>202.8</v>
          </cell>
          <cell r="V46">
            <v>0</v>
          </cell>
          <cell r="W46">
            <v>0</v>
          </cell>
          <cell r="X46">
            <v>187.6</v>
          </cell>
          <cell r="Y46">
            <v>0</v>
          </cell>
          <cell r="Z46">
            <v>0</v>
          </cell>
          <cell r="AA46">
            <v>203.8</v>
          </cell>
          <cell r="AB46">
            <v>0</v>
          </cell>
          <cell r="AC46">
            <v>0</v>
          </cell>
          <cell r="AD46">
            <v>291.10000000000002</v>
          </cell>
          <cell r="AE46">
            <v>0</v>
          </cell>
          <cell r="AF46">
            <v>0</v>
          </cell>
          <cell r="AG46">
            <v>318.2</v>
          </cell>
          <cell r="AH46">
            <v>0</v>
          </cell>
          <cell r="AI46">
            <v>0</v>
          </cell>
          <cell r="AJ46">
            <v>339.7</v>
          </cell>
          <cell r="AK46">
            <v>0</v>
          </cell>
          <cell r="AL46">
            <v>0</v>
          </cell>
          <cell r="AM46">
            <v>318.60000000000002</v>
          </cell>
          <cell r="AN46">
            <v>304.8</v>
          </cell>
          <cell r="AO46">
            <v>337.49577494529763</v>
          </cell>
          <cell r="AP46">
            <v>368.82917143700951</v>
          </cell>
          <cell r="AQ46">
            <v>414.421126528228</v>
          </cell>
          <cell r="AR46">
            <v>463.65782587296997</v>
          </cell>
          <cell r="AS46">
            <v>513.00519480976516</v>
          </cell>
          <cell r="AT46">
            <v>0</v>
          </cell>
          <cell r="AU46">
            <v>0</v>
          </cell>
          <cell r="AV46">
            <v>0</v>
          </cell>
        </row>
        <row r="47">
          <cell r="B47" t="str">
            <v>Gross intangibles</v>
          </cell>
          <cell r="C47" t="str">
            <v>GR_INTANG</v>
          </cell>
          <cell r="D47" t="str">
            <v>GBP</v>
          </cell>
          <cell r="F47">
            <v>0</v>
          </cell>
          <cell r="G47">
            <v>0</v>
          </cell>
          <cell r="H47">
            <v>0</v>
          </cell>
          <cell r="I47">
            <v>0</v>
          </cell>
          <cell r="J47">
            <v>0</v>
          </cell>
          <cell r="K47">
            <v>0</v>
          </cell>
          <cell r="L47">
            <v>0</v>
          </cell>
          <cell r="M47">
            <v>0</v>
          </cell>
          <cell r="N47">
            <v>40.6</v>
          </cell>
          <cell r="O47">
            <v>66.599999999999994</v>
          </cell>
          <cell r="P47">
            <v>174.5</v>
          </cell>
          <cell r="Q47">
            <v>265.39999999999998</v>
          </cell>
          <cell r="R47">
            <v>284.89999999999998</v>
          </cell>
          <cell r="S47">
            <v>396.8</v>
          </cell>
          <cell r="T47">
            <v>446.3</v>
          </cell>
          <cell r="U47">
            <v>550.79999999999995</v>
          </cell>
          <cell r="V47">
            <v>0</v>
          </cell>
          <cell r="W47">
            <v>0</v>
          </cell>
          <cell r="X47">
            <v>511.8</v>
          </cell>
          <cell r="Y47">
            <v>0</v>
          </cell>
          <cell r="Z47">
            <v>0</v>
          </cell>
          <cell r="AA47">
            <v>519.79999999999995</v>
          </cell>
          <cell r="AB47">
            <v>0</v>
          </cell>
          <cell r="AC47">
            <v>0</v>
          </cell>
          <cell r="AD47">
            <v>1327.7</v>
          </cell>
          <cell r="AE47">
            <v>0</v>
          </cell>
          <cell r="AF47">
            <v>0</v>
          </cell>
          <cell r="AG47">
            <v>1249.5999999999999</v>
          </cell>
          <cell r="AH47">
            <v>0</v>
          </cell>
          <cell r="AI47">
            <v>0</v>
          </cell>
          <cell r="AJ47">
            <v>1270.4000000000001</v>
          </cell>
          <cell r="AK47">
            <v>0</v>
          </cell>
          <cell r="AL47">
            <v>0</v>
          </cell>
          <cell r="AM47">
            <v>1110.7</v>
          </cell>
          <cell r="AN47">
            <v>1314.8</v>
          </cell>
          <cell r="AO47">
            <v>1328.6</v>
          </cell>
          <cell r="AP47">
            <v>1333.1287655780723</v>
          </cell>
          <cell r="AQ47">
            <v>1337.9206491127493</v>
          </cell>
          <cell r="AR47">
            <v>1342.9741669877856</v>
          </cell>
          <cell r="AS47">
            <v>1348.2982707654801</v>
          </cell>
          <cell r="AT47">
            <v>0</v>
          </cell>
          <cell r="AU47">
            <v>0</v>
          </cell>
          <cell r="AV47">
            <v>0</v>
          </cell>
        </row>
        <row r="48">
          <cell r="B48" t="str">
            <v>Accumulated amortization</v>
          </cell>
          <cell r="C48" t="str">
            <v>ACC_AMORT</v>
          </cell>
          <cell r="D48" t="str">
            <v>GBP</v>
          </cell>
          <cell r="F48">
            <v>0</v>
          </cell>
          <cell r="G48">
            <v>0</v>
          </cell>
          <cell r="H48">
            <v>0</v>
          </cell>
          <cell r="I48">
            <v>0</v>
          </cell>
          <cell r="J48">
            <v>0</v>
          </cell>
          <cell r="K48">
            <v>0</v>
          </cell>
          <cell r="L48">
            <v>0</v>
          </cell>
          <cell r="M48">
            <v>0</v>
          </cell>
          <cell r="N48">
            <v>-1.5</v>
          </cell>
          <cell r="O48">
            <v>-4.3999999999999915</v>
          </cell>
          <cell r="P48">
            <v>-9.1999999999999886</v>
          </cell>
          <cell r="Q48">
            <v>-21.499999999999972</v>
          </cell>
          <cell r="R48">
            <v>-34.599999999999966</v>
          </cell>
          <cell r="S48">
            <v>-50.900000000000034</v>
          </cell>
          <cell r="T48">
            <v>-72.5</v>
          </cell>
          <cell r="U48">
            <v>-22.699999999999932</v>
          </cell>
          <cell r="V48">
            <v>0</v>
          </cell>
          <cell r="W48">
            <v>0</v>
          </cell>
          <cell r="X48">
            <v>-29.199999999999989</v>
          </cell>
          <cell r="Y48">
            <v>0</v>
          </cell>
          <cell r="Z48">
            <v>0</v>
          </cell>
          <cell r="AA48">
            <v>-43.699999999999932</v>
          </cell>
          <cell r="AB48">
            <v>0</v>
          </cell>
          <cell r="AC48">
            <v>0</v>
          </cell>
          <cell r="AD48">
            <v>-115.90000000000009</v>
          </cell>
          <cell r="AE48">
            <v>0</v>
          </cell>
          <cell r="AF48">
            <v>0</v>
          </cell>
          <cell r="AG48">
            <v>-186.59999999999991</v>
          </cell>
          <cell r="AH48">
            <v>0</v>
          </cell>
          <cell r="AI48">
            <v>0</v>
          </cell>
          <cell r="AJ48">
            <v>-222</v>
          </cell>
          <cell r="AK48">
            <v>0</v>
          </cell>
          <cell r="AL48">
            <v>0</v>
          </cell>
          <cell r="AM48">
            <v>-193.10000000000002</v>
          </cell>
          <cell r="AN48">
            <v>-212.70000000000005</v>
          </cell>
          <cell r="AO48">
            <v>-257.15500774697261</v>
          </cell>
          <cell r="AP48">
            <v>-302.45695912566725</v>
          </cell>
          <cell r="AQ48">
            <v>-336.46023602556363</v>
          </cell>
          <cell r="AR48">
            <v>-371.02597312633839</v>
          </cell>
          <cell r="AS48">
            <v>-410.27124358399487</v>
          </cell>
          <cell r="AT48">
            <v>0</v>
          </cell>
          <cell r="AU48">
            <v>0</v>
          </cell>
          <cell r="AV48">
            <v>0</v>
          </cell>
        </row>
        <row r="49">
          <cell r="B49" t="str">
            <v>Net intangible assets</v>
          </cell>
          <cell r="C49" t="str">
            <v>NET_INTANG</v>
          </cell>
          <cell r="D49" t="str">
            <v>GBP</v>
          </cell>
          <cell r="F49">
            <v>0</v>
          </cell>
          <cell r="G49">
            <v>0</v>
          </cell>
          <cell r="H49">
            <v>0</v>
          </cell>
          <cell r="I49">
            <v>0</v>
          </cell>
          <cell r="J49">
            <v>0</v>
          </cell>
          <cell r="K49">
            <v>0</v>
          </cell>
          <cell r="L49">
            <v>0</v>
          </cell>
          <cell r="M49">
            <v>0</v>
          </cell>
          <cell r="N49">
            <v>39.1</v>
          </cell>
          <cell r="O49">
            <v>62.2</v>
          </cell>
          <cell r="P49">
            <v>165.3</v>
          </cell>
          <cell r="Q49">
            <v>243.9</v>
          </cell>
          <cell r="R49">
            <v>250.3</v>
          </cell>
          <cell r="S49">
            <v>345.9</v>
          </cell>
          <cell r="T49">
            <v>373.8</v>
          </cell>
          <cell r="U49">
            <v>528.1</v>
          </cell>
          <cell r="V49">
            <v>0</v>
          </cell>
          <cell r="W49">
            <v>0</v>
          </cell>
          <cell r="X49">
            <v>482.6</v>
          </cell>
          <cell r="Y49">
            <v>0</v>
          </cell>
          <cell r="Z49">
            <v>0</v>
          </cell>
          <cell r="AA49">
            <v>476.1</v>
          </cell>
          <cell r="AB49">
            <v>0</v>
          </cell>
          <cell r="AC49">
            <v>0</v>
          </cell>
          <cell r="AD49">
            <v>1211.8</v>
          </cell>
          <cell r="AE49">
            <v>0</v>
          </cell>
          <cell r="AF49">
            <v>0</v>
          </cell>
          <cell r="AG49">
            <v>1063</v>
          </cell>
          <cell r="AH49">
            <v>0</v>
          </cell>
          <cell r="AI49">
            <v>0</v>
          </cell>
          <cell r="AJ49">
            <v>1048.4000000000001</v>
          </cell>
          <cell r="AK49">
            <v>0</v>
          </cell>
          <cell r="AL49">
            <v>0</v>
          </cell>
          <cell r="AM49">
            <v>917.6</v>
          </cell>
          <cell r="AN49">
            <v>1102.0999999999999</v>
          </cell>
          <cell r="AO49">
            <v>1071.4449922530273</v>
          </cell>
          <cell r="AP49">
            <v>1030.671806452405</v>
          </cell>
          <cell r="AQ49">
            <v>1001.4604130871857</v>
          </cell>
          <cell r="AR49">
            <v>971.94819386144718</v>
          </cell>
          <cell r="AS49">
            <v>938.02702718148521</v>
          </cell>
          <cell r="AT49">
            <v>0</v>
          </cell>
          <cell r="AU49">
            <v>0</v>
          </cell>
          <cell r="AV49">
            <v>0</v>
          </cell>
        </row>
        <row r="50">
          <cell r="B50" t="str">
            <v>Equity method investments</v>
          </cell>
          <cell r="C50" t="str">
            <v>FIX_ASS_INV</v>
          </cell>
          <cell r="D50" t="str">
            <v>GBP</v>
          </cell>
          <cell r="F50">
            <v>0</v>
          </cell>
          <cell r="G50">
            <v>0</v>
          </cell>
          <cell r="H50">
            <v>0.2</v>
          </cell>
          <cell r="I50">
            <v>0.2</v>
          </cell>
          <cell r="J50">
            <v>0.3</v>
          </cell>
          <cell r="K50">
            <v>0.4</v>
          </cell>
          <cell r="L50">
            <v>0.7</v>
          </cell>
          <cell r="M50">
            <v>1.3</v>
          </cell>
          <cell r="N50">
            <v>5.0999999999999996</v>
          </cell>
          <cell r="O50">
            <v>4.4000000000000004</v>
          </cell>
          <cell r="P50">
            <v>5.6</v>
          </cell>
          <cell r="Q50">
            <v>10.6</v>
          </cell>
          <cell r="R50">
            <v>14.5</v>
          </cell>
          <cell r="S50">
            <v>16.5</v>
          </cell>
          <cell r="T50">
            <v>17.3</v>
          </cell>
          <cell r="U50">
            <v>18.7</v>
          </cell>
          <cell r="V50">
            <v>0</v>
          </cell>
          <cell r="W50">
            <v>0</v>
          </cell>
          <cell r="X50">
            <v>22.1</v>
          </cell>
          <cell r="Y50">
            <v>0</v>
          </cell>
          <cell r="Z50">
            <v>0</v>
          </cell>
          <cell r="AA50">
            <v>26</v>
          </cell>
          <cell r="AB50">
            <v>0</v>
          </cell>
          <cell r="AC50">
            <v>0</v>
          </cell>
          <cell r="AD50">
            <v>29.9</v>
          </cell>
          <cell r="AE50">
            <v>0</v>
          </cell>
          <cell r="AF50">
            <v>0</v>
          </cell>
          <cell r="AG50">
            <v>28.7</v>
          </cell>
          <cell r="AH50">
            <v>0</v>
          </cell>
          <cell r="AI50">
            <v>0</v>
          </cell>
          <cell r="AJ50">
            <v>28.4</v>
          </cell>
          <cell r="AK50">
            <v>0</v>
          </cell>
          <cell r="AL50">
            <v>0</v>
          </cell>
          <cell r="AM50">
            <v>27.3</v>
          </cell>
          <cell r="AN50">
            <v>26.5</v>
          </cell>
          <cell r="AO50">
            <v>26.5</v>
          </cell>
          <cell r="AP50">
            <v>26.5</v>
          </cell>
          <cell r="AQ50">
            <v>26.5</v>
          </cell>
          <cell r="AR50">
            <v>26.5</v>
          </cell>
          <cell r="AS50">
            <v>26.5</v>
          </cell>
          <cell r="AT50">
            <v>0</v>
          </cell>
          <cell r="AU50">
            <v>0</v>
          </cell>
          <cell r="AV50">
            <v>0</v>
          </cell>
        </row>
        <row r="51">
          <cell r="B51" t="str">
            <v>Investments in securities</v>
          </cell>
          <cell r="C51" t="str">
            <v>INV_SECUR</v>
          </cell>
          <cell r="D51" t="str">
            <v>GBP</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t="str">
            <v>Removed the Derivative financial instruments as this is not Relevant for CROCI</v>
          </cell>
        </row>
        <row r="52">
          <cell r="B52" t="str">
            <v>Other long-term assets</v>
          </cell>
          <cell r="C52" t="str">
            <v>OTH_LT_ASS</v>
          </cell>
          <cell r="D52" t="str">
            <v>GBP</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11.3</v>
          </cell>
          <cell r="V52">
            <v>0</v>
          </cell>
          <cell r="W52">
            <v>0</v>
          </cell>
          <cell r="X52">
            <v>15.499999999999915</v>
          </cell>
          <cell r="Y52">
            <v>0</v>
          </cell>
          <cell r="Z52">
            <v>0</v>
          </cell>
          <cell r="AA52">
            <v>15.299999999999898</v>
          </cell>
          <cell r="AB52">
            <v>0</v>
          </cell>
          <cell r="AC52">
            <v>0</v>
          </cell>
          <cell r="AD52">
            <v>9.6999999999999318</v>
          </cell>
          <cell r="AE52">
            <v>0</v>
          </cell>
          <cell r="AF52">
            <v>0</v>
          </cell>
          <cell r="AG52">
            <v>24.600000000000421</v>
          </cell>
          <cell r="AH52">
            <v>0</v>
          </cell>
          <cell r="AI52">
            <v>0</v>
          </cell>
          <cell r="AJ52">
            <v>11.89999999999992</v>
          </cell>
          <cell r="AK52">
            <v>0</v>
          </cell>
          <cell r="AL52">
            <v>0</v>
          </cell>
          <cell r="AM52">
            <v>19.400000000000091</v>
          </cell>
          <cell r="AN52">
            <v>13.199999999999989</v>
          </cell>
          <cell r="AO52">
            <v>32.984966238211427</v>
          </cell>
          <cell r="AP52">
            <v>45.444815273476308</v>
          </cell>
          <cell r="AQ52">
            <v>54.066738020266712</v>
          </cell>
          <cell r="AR52">
            <v>54.066738020266371</v>
          </cell>
          <cell r="AS52">
            <v>54.066738020266371</v>
          </cell>
          <cell r="AT52">
            <v>0</v>
          </cell>
          <cell r="AU52">
            <v>0</v>
          </cell>
          <cell r="AV52">
            <v>0</v>
          </cell>
        </row>
        <row r="53">
          <cell r="B53" t="str">
            <v>Total assets</v>
          </cell>
          <cell r="C53" t="str">
            <v>TOT_ASSET</v>
          </cell>
          <cell r="D53" t="str">
            <v>GBP</v>
          </cell>
          <cell r="F53">
            <v>212.89999999999998</v>
          </cell>
          <cell r="G53">
            <v>223.29999999999998</v>
          </cell>
          <cell r="H53">
            <v>236.69999999999996</v>
          </cell>
          <cell r="I53">
            <v>251.2</v>
          </cell>
          <cell r="J53">
            <v>263.3</v>
          </cell>
          <cell r="K53">
            <v>302.89999999999998</v>
          </cell>
          <cell r="L53">
            <v>291.5</v>
          </cell>
          <cell r="M53">
            <v>344.3</v>
          </cell>
          <cell r="N53">
            <v>417.5</v>
          </cell>
          <cell r="O53">
            <v>455.09999999999997</v>
          </cell>
          <cell r="P53">
            <v>663.6</v>
          </cell>
          <cell r="Q53">
            <v>830.6</v>
          </cell>
          <cell r="R53">
            <v>885.8</v>
          </cell>
          <cell r="S53">
            <v>1077.5</v>
          </cell>
          <cell r="T53">
            <v>1154.5999999999999</v>
          </cell>
          <cell r="U53">
            <v>1418.8000000000002</v>
          </cell>
          <cell r="V53">
            <v>0</v>
          </cell>
          <cell r="W53">
            <v>0</v>
          </cell>
          <cell r="X53">
            <v>1434.3</v>
          </cell>
          <cell r="Y53">
            <v>0</v>
          </cell>
          <cell r="Z53">
            <v>0</v>
          </cell>
          <cell r="AA53">
            <v>1590.8</v>
          </cell>
          <cell r="AB53">
            <v>0</v>
          </cell>
          <cell r="AC53">
            <v>0</v>
          </cell>
          <cell r="AD53">
            <v>2559.6</v>
          </cell>
          <cell r="AE53">
            <v>0</v>
          </cell>
          <cell r="AF53">
            <v>0</v>
          </cell>
          <cell r="AG53">
            <v>2442.1000000000004</v>
          </cell>
          <cell r="AH53">
            <v>0</v>
          </cell>
          <cell r="AI53">
            <v>0</v>
          </cell>
          <cell r="AJ53">
            <v>2570.9</v>
          </cell>
          <cell r="AK53">
            <v>0</v>
          </cell>
          <cell r="AL53">
            <v>0</v>
          </cell>
          <cell r="AM53">
            <v>2283.5</v>
          </cell>
          <cell r="AN53">
            <v>2371.6</v>
          </cell>
          <cell r="AO53">
            <v>2387.6895060774882</v>
          </cell>
          <cell r="AP53">
            <v>2424.2919659472636</v>
          </cell>
          <cell r="AQ53">
            <v>2373.1622289831394</v>
          </cell>
          <cell r="AR53">
            <v>2459.0429503382379</v>
          </cell>
          <cell r="AS53">
            <v>2440.7013581526999</v>
          </cell>
          <cell r="AT53">
            <v>0</v>
          </cell>
          <cell r="AU53">
            <v>0</v>
          </cell>
          <cell r="AV53">
            <v>0</v>
          </cell>
        </row>
        <row r="54">
          <cell r="B54" t="str">
            <v>Accounts payable</v>
          </cell>
          <cell r="C54" t="str">
            <v>ACC_PAY_GQ</v>
          </cell>
          <cell r="D54" t="str">
            <v>GBP</v>
          </cell>
          <cell r="F54">
            <v>45.5</v>
          </cell>
          <cell r="G54">
            <v>46.7</v>
          </cell>
          <cell r="H54">
            <v>49.4</v>
          </cell>
          <cell r="I54">
            <v>46.9</v>
          </cell>
          <cell r="J54">
            <v>52.1</v>
          </cell>
          <cell r="K54">
            <v>62.8</v>
          </cell>
          <cell r="L54">
            <v>63.5</v>
          </cell>
          <cell r="M54">
            <v>93.3</v>
          </cell>
          <cell r="N54">
            <v>98.899999999999991</v>
          </cell>
          <cell r="O54">
            <v>95</v>
          </cell>
          <cell r="P54">
            <v>153.70000000000002</v>
          </cell>
          <cell r="Q54">
            <v>186.60000000000002</v>
          </cell>
          <cell r="R54">
            <v>198.8</v>
          </cell>
          <cell r="S54">
            <v>237.7</v>
          </cell>
          <cell r="T54">
            <v>243.30000000000004</v>
          </cell>
          <cell r="U54">
            <v>182</v>
          </cell>
          <cell r="V54">
            <v>0</v>
          </cell>
          <cell r="W54">
            <v>0</v>
          </cell>
          <cell r="X54">
            <v>190.4</v>
          </cell>
          <cell r="Y54">
            <v>0</v>
          </cell>
          <cell r="Z54">
            <v>0</v>
          </cell>
          <cell r="AA54">
            <v>231.2</v>
          </cell>
          <cell r="AB54">
            <v>0</v>
          </cell>
          <cell r="AC54">
            <v>0</v>
          </cell>
          <cell r="AD54">
            <v>371.40000000000003</v>
          </cell>
          <cell r="AE54">
            <v>0</v>
          </cell>
          <cell r="AF54">
            <v>0</v>
          </cell>
          <cell r="AG54">
            <v>383.90000000000003</v>
          </cell>
          <cell r="AH54">
            <v>0</v>
          </cell>
          <cell r="AI54">
            <v>0</v>
          </cell>
          <cell r="AJ54">
            <v>391.5</v>
          </cell>
          <cell r="AK54">
            <v>0</v>
          </cell>
          <cell r="AL54">
            <v>0</v>
          </cell>
          <cell r="AM54">
            <v>387.3</v>
          </cell>
          <cell r="AN54">
            <v>389</v>
          </cell>
          <cell r="AO54">
            <v>400.3184331257857</v>
          </cell>
          <cell r="AP54">
            <v>411.71349606694247</v>
          </cell>
          <cell r="AQ54">
            <v>435.63374804823133</v>
          </cell>
          <cell r="AR54">
            <v>459.41912335713255</v>
          </cell>
          <cell r="AS54">
            <v>484.01829194938881</v>
          </cell>
          <cell r="AT54">
            <v>0</v>
          </cell>
          <cell r="AU54">
            <v>0</v>
          </cell>
          <cell r="AV54">
            <v>0</v>
          </cell>
        </row>
        <row r="55">
          <cell r="B55" t="str">
            <v>Short-term debt</v>
          </cell>
          <cell r="C55" t="str">
            <v>SHORT_T_DEBT</v>
          </cell>
          <cell r="D55" t="str">
            <v>GBP</v>
          </cell>
          <cell r="F55">
            <v>25.700000000000003</v>
          </cell>
          <cell r="G55">
            <v>26.700000000000003</v>
          </cell>
          <cell r="H55">
            <v>30.1</v>
          </cell>
          <cell r="I55">
            <v>33.9</v>
          </cell>
          <cell r="J55">
            <v>34.1</v>
          </cell>
          <cell r="K55">
            <v>39.299999999999997</v>
          </cell>
          <cell r="L55">
            <v>6.9</v>
          </cell>
          <cell r="M55">
            <v>30.8</v>
          </cell>
          <cell r="N55">
            <v>26.6</v>
          </cell>
          <cell r="O55">
            <v>52.5</v>
          </cell>
          <cell r="P55">
            <v>105.5</v>
          </cell>
          <cell r="Q55">
            <v>120.2</v>
          </cell>
          <cell r="R55">
            <v>65.599999999999994</v>
          </cell>
          <cell r="S55">
            <v>80.400000000000006</v>
          </cell>
          <cell r="T55">
            <v>116.1</v>
          </cell>
          <cell r="U55">
            <v>276.89999999999998</v>
          </cell>
          <cell r="V55">
            <v>0</v>
          </cell>
          <cell r="W55">
            <v>0</v>
          </cell>
          <cell r="X55">
            <v>231.2</v>
          </cell>
          <cell r="Y55">
            <v>0</v>
          </cell>
          <cell r="Z55">
            <v>0</v>
          </cell>
          <cell r="AA55">
            <v>243.1</v>
          </cell>
          <cell r="AB55">
            <v>0</v>
          </cell>
          <cell r="AC55">
            <v>0</v>
          </cell>
          <cell r="AD55">
            <v>823.9</v>
          </cell>
          <cell r="AE55">
            <v>0</v>
          </cell>
          <cell r="AF55">
            <v>0</v>
          </cell>
          <cell r="AG55">
            <v>402.8</v>
          </cell>
          <cell r="AH55">
            <v>0</v>
          </cell>
          <cell r="AI55">
            <v>0</v>
          </cell>
          <cell r="AJ55">
            <v>315.89999999999998</v>
          </cell>
          <cell r="AK55">
            <v>0</v>
          </cell>
          <cell r="AL55">
            <v>0</v>
          </cell>
          <cell r="AM55">
            <v>225.7</v>
          </cell>
          <cell r="AN55">
            <v>307.3</v>
          </cell>
          <cell r="AO55">
            <v>307.3</v>
          </cell>
          <cell r="AP55">
            <v>307.3</v>
          </cell>
          <cell r="AQ55">
            <v>307.3</v>
          </cell>
          <cell r="AR55">
            <v>307.3</v>
          </cell>
          <cell r="AS55">
            <v>307.3</v>
          </cell>
          <cell r="AT55">
            <v>0</v>
          </cell>
          <cell r="AU55">
            <v>0</v>
          </cell>
          <cell r="AV55">
            <v>0</v>
          </cell>
        </row>
        <row r="56">
          <cell r="B56" t="str">
            <v>Other current liabilities</v>
          </cell>
          <cell r="C56" t="str">
            <v>OTH_CUR_LIABS</v>
          </cell>
          <cell r="D56" t="str">
            <v>GBP</v>
          </cell>
          <cell r="F56">
            <v>3.7</v>
          </cell>
          <cell r="G56">
            <v>5.3</v>
          </cell>
          <cell r="H56">
            <v>7.5</v>
          </cell>
          <cell r="I56">
            <v>6.7</v>
          </cell>
          <cell r="J56">
            <v>7.5</v>
          </cell>
          <cell r="K56">
            <v>10.6</v>
          </cell>
          <cell r="L56">
            <v>11.9</v>
          </cell>
          <cell r="M56">
            <v>18.3</v>
          </cell>
          <cell r="N56">
            <v>17.399999999999999</v>
          </cell>
          <cell r="O56">
            <v>24.2</v>
          </cell>
          <cell r="P56">
            <v>24</v>
          </cell>
          <cell r="Q56">
            <v>23.5</v>
          </cell>
          <cell r="R56">
            <v>23.1</v>
          </cell>
          <cell r="S56">
            <v>33.799999999999997</v>
          </cell>
          <cell r="T56">
            <v>48.4</v>
          </cell>
          <cell r="U56">
            <v>76.600000000000009</v>
          </cell>
          <cell r="V56">
            <v>0</v>
          </cell>
          <cell r="W56">
            <v>0</v>
          </cell>
          <cell r="X56">
            <v>77.099999999999966</v>
          </cell>
          <cell r="Y56">
            <v>0</v>
          </cell>
          <cell r="Z56">
            <v>0</v>
          </cell>
          <cell r="AA56">
            <v>86.400000000000063</v>
          </cell>
          <cell r="AB56">
            <v>0</v>
          </cell>
          <cell r="AC56">
            <v>0</v>
          </cell>
          <cell r="AD56">
            <v>147.39999999999998</v>
          </cell>
          <cell r="AE56">
            <v>0</v>
          </cell>
          <cell r="AF56">
            <v>0</v>
          </cell>
          <cell r="AG56">
            <v>116.99999999999994</v>
          </cell>
          <cell r="AH56">
            <v>0</v>
          </cell>
          <cell r="AI56">
            <v>0</v>
          </cell>
          <cell r="AJ56">
            <v>120.39999999999998</v>
          </cell>
          <cell r="AK56">
            <v>0</v>
          </cell>
          <cell r="AL56">
            <v>0</v>
          </cell>
          <cell r="AM56">
            <v>136</v>
          </cell>
          <cell r="AN56">
            <v>126.2000000000001</v>
          </cell>
          <cell r="AO56">
            <v>126.20000000000005</v>
          </cell>
          <cell r="AP56">
            <v>126.20000000000005</v>
          </cell>
          <cell r="AQ56">
            <v>126.20000000000005</v>
          </cell>
          <cell r="AR56">
            <v>126.2000000000001</v>
          </cell>
          <cell r="AS56">
            <v>126.20000000000005</v>
          </cell>
          <cell r="AT56">
            <v>0</v>
          </cell>
          <cell r="AU56">
            <v>0</v>
          </cell>
          <cell r="AV56">
            <v>0</v>
          </cell>
        </row>
        <row r="57">
          <cell r="B57" t="str">
            <v>Total current liabilities</v>
          </cell>
          <cell r="C57" t="str">
            <v>SHORT_TERM_LIABS</v>
          </cell>
          <cell r="D57" t="str">
            <v>GBP</v>
          </cell>
          <cell r="F57">
            <v>74.900000000000006</v>
          </cell>
          <cell r="G57">
            <v>78.7</v>
          </cell>
          <cell r="H57">
            <v>87</v>
          </cell>
          <cell r="I57">
            <v>87.5</v>
          </cell>
          <cell r="J57">
            <v>93.7</v>
          </cell>
          <cell r="K57">
            <v>112.69999999999999</v>
          </cell>
          <cell r="L57">
            <v>82.300000000000011</v>
          </cell>
          <cell r="M57">
            <v>142.4</v>
          </cell>
          <cell r="N57">
            <v>142.9</v>
          </cell>
          <cell r="O57">
            <v>171.7</v>
          </cell>
          <cell r="P57">
            <v>283.20000000000005</v>
          </cell>
          <cell r="Q57">
            <v>330.3</v>
          </cell>
          <cell r="R57">
            <v>287.5</v>
          </cell>
          <cell r="S57">
            <v>351.90000000000003</v>
          </cell>
          <cell r="T57">
            <v>407.8</v>
          </cell>
          <cell r="U57">
            <v>535.5</v>
          </cell>
          <cell r="V57">
            <v>0</v>
          </cell>
          <cell r="W57">
            <v>0</v>
          </cell>
          <cell r="X57">
            <v>498.7</v>
          </cell>
          <cell r="Y57">
            <v>0</v>
          </cell>
          <cell r="Z57">
            <v>0</v>
          </cell>
          <cell r="AA57">
            <v>560.70000000000005</v>
          </cell>
          <cell r="AB57">
            <v>0</v>
          </cell>
          <cell r="AC57">
            <v>0</v>
          </cell>
          <cell r="AD57">
            <v>1342.7</v>
          </cell>
          <cell r="AE57">
            <v>0</v>
          </cell>
          <cell r="AF57">
            <v>0</v>
          </cell>
          <cell r="AG57">
            <v>903.7</v>
          </cell>
          <cell r="AH57">
            <v>0</v>
          </cell>
          <cell r="AI57">
            <v>0</v>
          </cell>
          <cell r="AJ57">
            <v>827.8</v>
          </cell>
          <cell r="AK57">
            <v>0</v>
          </cell>
          <cell r="AL57">
            <v>0</v>
          </cell>
          <cell r="AM57">
            <v>749</v>
          </cell>
          <cell r="AN57">
            <v>822.50000000000011</v>
          </cell>
          <cell r="AO57">
            <v>833.81843312578576</v>
          </cell>
          <cell r="AP57">
            <v>845.21349606694253</v>
          </cell>
          <cell r="AQ57">
            <v>869.13374804823138</v>
          </cell>
          <cell r="AR57">
            <v>892.91912335713266</v>
          </cell>
          <cell r="AS57">
            <v>917.51829194938887</v>
          </cell>
          <cell r="AT57">
            <v>0</v>
          </cell>
          <cell r="AU57">
            <v>0</v>
          </cell>
          <cell r="AV57">
            <v>0</v>
          </cell>
        </row>
        <row r="58">
          <cell r="B58" t="str">
            <v>Long-term  debt</v>
          </cell>
          <cell r="C58" t="str">
            <v>LT_DEBT</v>
          </cell>
          <cell r="D58" t="str">
            <v>GBP</v>
          </cell>
          <cell r="F58">
            <v>16</v>
          </cell>
          <cell r="G58">
            <v>14</v>
          </cell>
          <cell r="H58">
            <v>10.6</v>
          </cell>
          <cell r="I58">
            <v>24.7</v>
          </cell>
          <cell r="J58">
            <v>33.799999999999997</v>
          </cell>
          <cell r="K58">
            <v>53.3</v>
          </cell>
          <cell r="L58">
            <v>72.400000000000006</v>
          </cell>
          <cell r="M58">
            <v>78</v>
          </cell>
          <cell r="N58">
            <v>69.8</v>
          </cell>
          <cell r="O58">
            <v>46.3</v>
          </cell>
          <cell r="P58">
            <v>74.900000000000006</v>
          </cell>
          <cell r="Q58">
            <v>131.4</v>
          </cell>
          <cell r="R58">
            <v>195.2</v>
          </cell>
          <cell r="S58">
            <v>180.2</v>
          </cell>
          <cell r="T58">
            <v>151.30000000000001</v>
          </cell>
          <cell r="U58">
            <v>151.6</v>
          </cell>
          <cell r="V58">
            <v>0</v>
          </cell>
          <cell r="W58">
            <v>0</v>
          </cell>
          <cell r="X58">
            <v>132.19999999999999</v>
          </cell>
          <cell r="Y58">
            <v>0</v>
          </cell>
          <cell r="Z58">
            <v>0</v>
          </cell>
          <cell r="AA58">
            <v>123.5</v>
          </cell>
          <cell r="AB58">
            <v>0</v>
          </cell>
          <cell r="AC58">
            <v>0</v>
          </cell>
          <cell r="AD58">
            <v>128.4</v>
          </cell>
          <cell r="AE58">
            <v>0</v>
          </cell>
          <cell r="AF58">
            <v>0</v>
          </cell>
          <cell r="AG58">
            <v>376.2</v>
          </cell>
          <cell r="AH58">
            <v>0</v>
          </cell>
          <cell r="AI58">
            <v>0</v>
          </cell>
          <cell r="AJ58">
            <v>483.2</v>
          </cell>
          <cell r="AK58">
            <v>0</v>
          </cell>
          <cell r="AL58">
            <v>0</v>
          </cell>
          <cell r="AM58">
            <v>352.4</v>
          </cell>
          <cell r="AN58">
            <v>316.8</v>
          </cell>
          <cell r="AO58">
            <v>316.8</v>
          </cell>
          <cell r="AP58">
            <v>316.8</v>
          </cell>
          <cell r="AQ58">
            <v>316.8</v>
          </cell>
          <cell r="AR58">
            <v>316.8</v>
          </cell>
          <cell r="AS58">
            <v>316.8</v>
          </cell>
          <cell r="AT58">
            <v>0</v>
          </cell>
          <cell r="AU58">
            <v>0</v>
          </cell>
          <cell r="AV58">
            <v>0</v>
          </cell>
        </row>
        <row r="59">
          <cell r="B59" t="str">
            <v>Other long-term liabilities</v>
          </cell>
          <cell r="C59" t="str">
            <v>OTH_LT_CRED_GQ</v>
          </cell>
          <cell r="D59" t="str">
            <v>GBP</v>
          </cell>
          <cell r="F59">
            <v>15.5</v>
          </cell>
          <cell r="G59">
            <v>14.2</v>
          </cell>
          <cell r="H59">
            <v>10.6</v>
          </cell>
          <cell r="I59">
            <v>14.299999999999999</v>
          </cell>
          <cell r="J59">
            <v>13.3</v>
          </cell>
          <cell r="K59">
            <v>16.8</v>
          </cell>
          <cell r="L59">
            <v>14.8</v>
          </cell>
          <cell r="M59">
            <v>20.900000000000002</v>
          </cell>
          <cell r="N59">
            <v>14.299999999999999</v>
          </cell>
          <cell r="O59">
            <v>15.2</v>
          </cell>
          <cell r="P59">
            <v>34.6</v>
          </cell>
          <cell r="Q59">
            <v>51.9</v>
          </cell>
          <cell r="R59">
            <v>43.1</v>
          </cell>
          <cell r="S59">
            <v>88.5</v>
          </cell>
          <cell r="T59">
            <v>85.8</v>
          </cell>
          <cell r="U59">
            <v>144.6</v>
          </cell>
          <cell r="V59">
            <v>0</v>
          </cell>
          <cell r="W59">
            <v>0</v>
          </cell>
          <cell r="X59">
            <v>88.4</v>
          </cell>
          <cell r="Y59">
            <v>0</v>
          </cell>
          <cell r="Z59">
            <v>0</v>
          </cell>
          <cell r="AA59">
            <v>102.5</v>
          </cell>
          <cell r="AB59">
            <v>0</v>
          </cell>
          <cell r="AC59">
            <v>0</v>
          </cell>
          <cell r="AD59">
            <v>239.70000000000002</v>
          </cell>
          <cell r="AE59">
            <v>0</v>
          </cell>
          <cell r="AF59">
            <v>0</v>
          </cell>
          <cell r="AG59">
            <v>213.90000000000003</v>
          </cell>
          <cell r="AH59">
            <v>0</v>
          </cell>
          <cell r="AI59">
            <v>0</v>
          </cell>
          <cell r="AJ59">
            <v>183.7</v>
          </cell>
          <cell r="AK59">
            <v>0</v>
          </cell>
          <cell r="AL59">
            <v>0</v>
          </cell>
          <cell r="AM59">
            <v>163</v>
          </cell>
          <cell r="AN59">
            <v>177.90000000000003</v>
          </cell>
          <cell r="AO59">
            <v>160.40000000000003</v>
          </cell>
          <cell r="AP59">
            <v>143.40000000000003</v>
          </cell>
          <cell r="AQ59">
            <v>126.40000000000003</v>
          </cell>
          <cell r="AR59">
            <v>126.40000000000003</v>
          </cell>
          <cell r="AS59">
            <v>126.40000000000003</v>
          </cell>
          <cell r="AT59">
            <v>0</v>
          </cell>
          <cell r="AU59">
            <v>0</v>
          </cell>
          <cell r="AV59">
            <v>0</v>
          </cell>
        </row>
        <row r="60">
          <cell r="B60" t="str">
            <v>Total long-term liabilities</v>
          </cell>
          <cell r="C60" t="str">
            <v>TOT_LT_LIAB</v>
          </cell>
          <cell r="D60" t="str">
            <v>GBP</v>
          </cell>
          <cell r="F60">
            <v>31.5</v>
          </cell>
          <cell r="G60">
            <v>28.2</v>
          </cell>
          <cell r="H60">
            <v>21.2</v>
          </cell>
          <cell r="I60">
            <v>39</v>
          </cell>
          <cell r="J60">
            <v>47.099999999999994</v>
          </cell>
          <cell r="K60">
            <v>70.099999999999994</v>
          </cell>
          <cell r="L60">
            <v>87.2</v>
          </cell>
          <cell r="M60">
            <v>98.9</v>
          </cell>
          <cell r="N60">
            <v>84.1</v>
          </cell>
          <cell r="O60">
            <v>61.5</v>
          </cell>
          <cell r="P60">
            <v>109.5</v>
          </cell>
          <cell r="Q60">
            <v>183.3</v>
          </cell>
          <cell r="R60">
            <v>238.29999999999998</v>
          </cell>
          <cell r="S60">
            <v>268.7</v>
          </cell>
          <cell r="T60">
            <v>237.10000000000002</v>
          </cell>
          <cell r="U60">
            <v>296.2</v>
          </cell>
          <cell r="V60">
            <v>0</v>
          </cell>
          <cell r="W60">
            <v>0</v>
          </cell>
          <cell r="X60">
            <v>220.6</v>
          </cell>
          <cell r="Y60">
            <v>0</v>
          </cell>
          <cell r="Z60">
            <v>0</v>
          </cell>
          <cell r="AA60">
            <v>226</v>
          </cell>
          <cell r="AB60">
            <v>0</v>
          </cell>
          <cell r="AC60">
            <v>0</v>
          </cell>
          <cell r="AD60">
            <v>368.1</v>
          </cell>
          <cell r="AE60">
            <v>0</v>
          </cell>
          <cell r="AF60">
            <v>0</v>
          </cell>
          <cell r="AG60">
            <v>590.1</v>
          </cell>
          <cell r="AH60">
            <v>0</v>
          </cell>
          <cell r="AI60">
            <v>0</v>
          </cell>
          <cell r="AJ60">
            <v>666.9</v>
          </cell>
          <cell r="AK60">
            <v>0</v>
          </cell>
          <cell r="AL60">
            <v>0</v>
          </cell>
          <cell r="AM60">
            <v>515.4</v>
          </cell>
          <cell r="AN60">
            <v>494.70000000000005</v>
          </cell>
          <cell r="AO60">
            <v>477.20000000000005</v>
          </cell>
          <cell r="AP60">
            <v>460.20000000000005</v>
          </cell>
          <cell r="AQ60">
            <v>443.20000000000005</v>
          </cell>
          <cell r="AR60">
            <v>443.20000000000005</v>
          </cell>
          <cell r="AS60">
            <v>443.20000000000005</v>
          </cell>
          <cell r="AT60">
            <v>0</v>
          </cell>
          <cell r="AU60">
            <v>0</v>
          </cell>
          <cell r="AV60">
            <v>0</v>
          </cell>
        </row>
        <row r="61">
          <cell r="B61" t="str">
            <v>Total liabilities</v>
          </cell>
          <cell r="C61" t="str">
            <v>TOT_LIAB</v>
          </cell>
          <cell r="D61" t="str">
            <v>GBP</v>
          </cell>
          <cell r="F61">
            <v>106.4</v>
          </cell>
          <cell r="G61">
            <v>106.9</v>
          </cell>
          <cell r="H61">
            <v>108.2</v>
          </cell>
          <cell r="I61">
            <v>126.5</v>
          </cell>
          <cell r="J61">
            <v>140.80000000000001</v>
          </cell>
          <cell r="K61">
            <v>182.79999999999998</v>
          </cell>
          <cell r="L61">
            <v>169.5</v>
          </cell>
          <cell r="M61">
            <v>241.3</v>
          </cell>
          <cell r="N61">
            <v>227</v>
          </cell>
          <cell r="O61">
            <v>233.2</v>
          </cell>
          <cell r="P61">
            <v>392.70000000000005</v>
          </cell>
          <cell r="Q61">
            <v>513.6</v>
          </cell>
          <cell r="R61">
            <v>525.79999999999995</v>
          </cell>
          <cell r="S61">
            <v>620.6</v>
          </cell>
          <cell r="T61">
            <v>644.90000000000009</v>
          </cell>
          <cell r="U61">
            <v>831.7</v>
          </cell>
          <cell r="V61">
            <v>0</v>
          </cell>
          <cell r="W61">
            <v>0</v>
          </cell>
          <cell r="X61">
            <v>719.3</v>
          </cell>
          <cell r="Y61">
            <v>0</v>
          </cell>
          <cell r="Z61">
            <v>0</v>
          </cell>
          <cell r="AA61">
            <v>786.7</v>
          </cell>
          <cell r="AB61">
            <v>0</v>
          </cell>
          <cell r="AC61">
            <v>0</v>
          </cell>
          <cell r="AD61">
            <v>1710.8000000000002</v>
          </cell>
          <cell r="AE61">
            <v>0</v>
          </cell>
          <cell r="AF61">
            <v>0</v>
          </cell>
          <cell r="AG61">
            <v>1493.8000000000002</v>
          </cell>
          <cell r="AH61">
            <v>0</v>
          </cell>
          <cell r="AI61">
            <v>0</v>
          </cell>
          <cell r="AJ61">
            <v>1494.6999999999998</v>
          </cell>
          <cell r="AK61">
            <v>0</v>
          </cell>
          <cell r="AL61">
            <v>0</v>
          </cell>
          <cell r="AM61">
            <v>1264.4000000000001</v>
          </cell>
          <cell r="AN61">
            <v>1317.2000000000003</v>
          </cell>
          <cell r="AO61">
            <v>1311.0184331257858</v>
          </cell>
          <cell r="AP61">
            <v>1305.4134960669426</v>
          </cell>
          <cell r="AQ61">
            <v>1312.3337480482314</v>
          </cell>
          <cell r="AR61">
            <v>1336.1191233571326</v>
          </cell>
          <cell r="AS61">
            <v>1360.7182919493889</v>
          </cell>
          <cell r="AT61">
            <v>0</v>
          </cell>
          <cell r="AU61">
            <v>0</v>
          </cell>
          <cell r="AV61">
            <v>0</v>
          </cell>
        </row>
        <row r="62">
          <cell r="B62" t="str">
            <v>Preferred shares</v>
          </cell>
          <cell r="C62" t="str">
            <v>PREF_SH</v>
          </cell>
          <cell r="D62" t="str">
            <v>GBP</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row>
        <row r="63">
          <cell r="B63" t="str">
            <v>Total common equity</v>
          </cell>
          <cell r="C63" t="str">
            <v>ORD_SH_FUND</v>
          </cell>
          <cell r="D63" t="str">
            <v>GBP</v>
          </cell>
          <cell r="F63">
            <v>106.5</v>
          </cell>
          <cell r="G63">
            <v>116.4</v>
          </cell>
          <cell r="H63">
            <v>128.5</v>
          </cell>
          <cell r="I63">
            <v>124.60000000000001</v>
          </cell>
          <cell r="J63">
            <v>122.5</v>
          </cell>
          <cell r="K63">
            <v>120.1</v>
          </cell>
          <cell r="L63">
            <v>122</v>
          </cell>
          <cell r="M63">
            <v>102.9</v>
          </cell>
          <cell r="N63">
            <v>190.3</v>
          </cell>
          <cell r="O63">
            <v>221.5</v>
          </cell>
          <cell r="P63">
            <v>270.29999999999995</v>
          </cell>
          <cell r="Q63">
            <v>316.10000000000002</v>
          </cell>
          <cell r="R63">
            <v>359.2</v>
          </cell>
          <cell r="S63">
            <v>455.8</v>
          </cell>
          <cell r="T63">
            <v>508.6</v>
          </cell>
          <cell r="U63">
            <v>585.6</v>
          </cell>
          <cell r="V63">
            <v>0</v>
          </cell>
          <cell r="W63">
            <v>0</v>
          </cell>
          <cell r="X63">
            <v>714.9</v>
          </cell>
          <cell r="Y63">
            <v>0</v>
          </cell>
          <cell r="Z63">
            <v>0</v>
          </cell>
          <cell r="AA63">
            <v>803.7</v>
          </cell>
          <cell r="AB63">
            <v>0</v>
          </cell>
          <cell r="AC63">
            <v>0</v>
          </cell>
          <cell r="AD63">
            <v>848.2</v>
          </cell>
          <cell r="AE63">
            <v>0</v>
          </cell>
          <cell r="AF63">
            <v>0</v>
          </cell>
          <cell r="AG63">
            <v>948</v>
          </cell>
          <cell r="AH63">
            <v>0</v>
          </cell>
          <cell r="AI63">
            <v>0</v>
          </cell>
          <cell r="AJ63">
            <v>1075.8</v>
          </cell>
          <cell r="AK63">
            <v>0</v>
          </cell>
          <cell r="AL63">
            <v>0</v>
          </cell>
          <cell r="AM63">
            <v>1018.5999999999999</v>
          </cell>
          <cell r="AN63">
            <v>1053.8</v>
          </cell>
          <cell r="AO63">
            <v>1075.9710729517028</v>
          </cell>
          <cell r="AP63">
            <v>1118.0784698803211</v>
          </cell>
          <cell r="AQ63">
            <v>1059.9284809349081</v>
          </cell>
          <cell r="AR63">
            <v>1121.923826981106</v>
          </cell>
          <cell r="AS63">
            <v>1078.8830662033115</v>
          </cell>
          <cell r="AT63">
            <v>0</v>
          </cell>
          <cell r="AU63">
            <v>0</v>
          </cell>
          <cell r="AV63">
            <v>0</v>
          </cell>
        </row>
        <row r="64">
          <cell r="B64" t="str">
            <v>Minority interest</v>
          </cell>
          <cell r="C64" t="str">
            <v>MINORITIES</v>
          </cell>
          <cell r="D64" t="str">
            <v>GBP</v>
          </cell>
          <cell r="F64">
            <v>0</v>
          </cell>
          <cell r="G64">
            <v>0</v>
          </cell>
          <cell r="H64">
            <v>0</v>
          </cell>
          <cell r="I64">
            <v>0.1</v>
          </cell>
          <cell r="J64">
            <v>0</v>
          </cell>
          <cell r="K64">
            <v>0</v>
          </cell>
          <cell r="L64">
            <v>0</v>
          </cell>
          <cell r="M64">
            <v>0.1</v>
          </cell>
          <cell r="N64">
            <v>0.2</v>
          </cell>
          <cell r="O64">
            <v>0.4</v>
          </cell>
          <cell r="P64">
            <v>0.6</v>
          </cell>
          <cell r="Q64">
            <v>0.8</v>
          </cell>
          <cell r="R64">
            <v>0.8</v>
          </cell>
          <cell r="S64">
            <v>1.1000000000000001</v>
          </cell>
          <cell r="T64">
            <v>1.1000000000000001</v>
          </cell>
          <cell r="U64">
            <v>1.5</v>
          </cell>
          <cell r="V64">
            <v>0</v>
          </cell>
          <cell r="W64">
            <v>0</v>
          </cell>
          <cell r="X64">
            <v>0.1</v>
          </cell>
          <cell r="Y64">
            <v>0</v>
          </cell>
          <cell r="Z64">
            <v>0</v>
          </cell>
          <cell r="AA64">
            <v>0.4</v>
          </cell>
          <cell r="AB64">
            <v>0</v>
          </cell>
          <cell r="AC64">
            <v>0</v>
          </cell>
          <cell r="AD64">
            <v>0.6</v>
          </cell>
          <cell r="AE64">
            <v>0</v>
          </cell>
          <cell r="AF64">
            <v>0</v>
          </cell>
          <cell r="AG64">
            <v>0.3</v>
          </cell>
          <cell r="AH64">
            <v>0</v>
          </cell>
          <cell r="AI64">
            <v>0</v>
          </cell>
          <cell r="AJ64">
            <v>0.4</v>
          </cell>
          <cell r="AK64">
            <v>0</v>
          </cell>
          <cell r="AL64">
            <v>0</v>
          </cell>
          <cell r="AM64">
            <v>0.5</v>
          </cell>
          <cell r="AN64">
            <v>0.6</v>
          </cell>
          <cell r="AO64">
            <v>0.7</v>
          </cell>
          <cell r="AP64">
            <v>0.79999999999999993</v>
          </cell>
          <cell r="AQ64">
            <v>0.89999999999999991</v>
          </cell>
          <cell r="AR64">
            <v>0.99999999999999989</v>
          </cell>
          <cell r="AS64">
            <v>1.0999999999999999</v>
          </cell>
          <cell r="AT64">
            <v>0</v>
          </cell>
          <cell r="AU64">
            <v>0</v>
          </cell>
          <cell r="AV64">
            <v>0</v>
          </cell>
        </row>
        <row r="65">
          <cell r="B65" t="str">
            <v>Total shareholders' equity</v>
          </cell>
          <cell r="C65" t="str">
            <v>EQ</v>
          </cell>
          <cell r="D65" t="str">
            <v>GBP</v>
          </cell>
          <cell r="F65">
            <v>106.5</v>
          </cell>
          <cell r="G65">
            <v>116.4</v>
          </cell>
          <cell r="H65">
            <v>128.5</v>
          </cell>
          <cell r="I65">
            <v>124.7</v>
          </cell>
          <cell r="J65">
            <v>122.5</v>
          </cell>
          <cell r="K65">
            <v>120.1</v>
          </cell>
          <cell r="L65">
            <v>122</v>
          </cell>
          <cell r="M65">
            <v>103</v>
          </cell>
          <cell r="N65">
            <v>190.5</v>
          </cell>
          <cell r="O65">
            <v>221.9</v>
          </cell>
          <cell r="P65">
            <v>270.89999999999998</v>
          </cell>
          <cell r="Q65">
            <v>316.90000000000003</v>
          </cell>
          <cell r="R65">
            <v>360</v>
          </cell>
          <cell r="S65">
            <v>456.90000000000003</v>
          </cell>
          <cell r="T65">
            <v>509.70000000000005</v>
          </cell>
          <cell r="U65">
            <v>587.1</v>
          </cell>
          <cell r="V65">
            <v>0</v>
          </cell>
          <cell r="W65">
            <v>0</v>
          </cell>
          <cell r="X65">
            <v>715</v>
          </cell>
          <cell r="Y65">
            <v>0</v>
          </cell>
          <cell r="Z65">
            <v>0</v>
          </cell>
          <cell r="AA65">
            <v>804.1</v>
          </cell>
          <cell r="AB65">
            <v>0</v>
          </cell>
          <cell r="AC65">
            <v>0</v>
          </cell>
          <cell r="AD65">
            <v>848.80000000000007</v>
          </cell>
          <cell r="AE65">
            <v>0</v>
          </cell>
          <cell r="AF65">
            <v>0</v>
          </cell>
          <cell r="AG65">
            <v>948.3</v>
          </cell>
          <cell r="AH65">
            <v>0</v>
          </cell>
          <cell r="AI65">
            <v>0</v>
          </cell>
          <cell r="AJ65">
            <v>1076.2</v>
          </cell>
          <cell r="AK65">
            <v>0</v>
          </cell>
          <cell r="AL65">
            <v>0</v>
          </cell>
          <cell r="AM65">
            <v>1019.0999999999999</v>
          </cell>
          <cell r="AN65">
            <v>1054.3999999999999</v>
          </cell>
          <cell r="AO65">
            <v>1076.6710729517029</v>
          </cell>
          <cell r="AP65">
            <v>1118.8784698803211</v>
          </cell>
          <cell r="AQ65">
            <v>1060.8284809349082</v>
          </cell>
          <cell r="AR65">
            <v>1122.923826981106</v>
          </cell>
          <cell r="AS65">
            <v>1079.9830662033114</v>
          </cell>
          <cell r="AT65">
            <v>0</v>
          </cell>
          <cell r="AU65">
            <v>0</v>
          </cell>
          <cell r="AV65">
            <v>0</v>
          </cell>
        </row>
        <row r="66">
          <cell r="B66" t="str">
            <v>Total liabilities and equity</v>
          </cell>
          <cell r="C66" t="str">
            <v>TOT_LIAB_EQ</v>
          </cell>
          <cell r="D66" t="str">
            <v>GBP</v>
          </cell>
          <cell r="F66">
            <v>212.9</v>
          </cell>
          <cell r="G66">
            <v>223.3</v>
          </cell>
          <cell r="H66">
            <v>236.7</v>
          </cell>
          <cell r="I66">
            <v>251.2</v>
          </cell>
          <cell r="J66">
            <v>263.3</v>
          </cell>
          <cell r="K66">
            <v>302.89999999999998</v>
          </cell>
          <cell r="L66">
            <v>291.5</v>
          </cell>
          <cell r="M66">
            <v>344.3</v>
          </cell>
          <cell r="N66">
            <v>417.5</v>
          </cell>
          <cell r="O66">
            <v>455.1</v>
          </cell>
          <cell r="P66">
            <v>663.6</v>
          </cell>
          <cell r="Q66">
            <v>830.5</v>
          </cell>
          <cell r="R66">
            <v>885.8</v>
          </cell>
          <cell r="S66">
            <v>1077.5</v>
          </cell>
          <cell r="T66">
            <v>1154.6000000000001</v>
          </cell>
          <cell r="U66">
            <v>1418.8000000000002</v>
          </cell>
          <cell r="V66">
            <v>0</v>
          </cell>
          <cell r="W66">
            <v>0</v>
          </cell>
          <cell r="X66">
            <v>1434.3</v>
          </cell>
          <cell r="Y66">
            <v>0</v>
          </cell>
          <cell r="Z66">
            <v>0</v>
          </cell>
          <cell r="AA66">
            <v>1590.8000000000002</v>
          </cell>
          <cell r="AB66">
            <v>0</v>
          </cell>
          <cell r="AC66">
            <v>0</v>
          </cell>
          <cell r="AD66">
            <v>2559.6000000000004</v>
          </cell>
          <cell r="AE66">
            <v>0</v>
          </cell>
          <cell r="AF66">
            <v>0</v>
          </cell>
          <cell r="AG66">
            <v>2442.1000000000004</v>
          </cell>
          <cell r="AH66">
            <v>0</v>
          </cell>
          <cell r="AI66">
            <v>0</v>
          </cell>
          <cell r="AJ66">
            <v>2570.8999999999996</v>
          </cell>
          <cell r="AK66">
            <v>0</v>
          </cell>
          <cell r="AL66">
            <v>0</v>
          </cell>
          <cell r="AM66">
            <v>2283.5</v>
          </cell>
          <cell r="AN66">
            <v>2371.6000000000004</v>
          </cell>
          <cell r="AO66">
            <v>2387.6895060774887</v>
          </cell>
          <cell r="AP66">
            <v>2424.2919659472636</v>
          </cell>
          <cell r="AQ66">
            <v>2373.1622289831394</v>
          </cell>
          <cell r="AR66">
            <v>2459.0429503382384</v>
          </cell>
          <cell r="AS66">
            <v>2440.7013581527003</v>
          </cell>
          <cell r="AT66">
            <v>0</v>
          </cell>
          <cell r="AU66">
            <v>0</v>
          </cell>
          <cell r="AV66">
            <v>0</v>
          </cell>
        </row>
        <row r="67">
          <cell r="A67" t="str">
            <v>Additional Balance Sheet Items</v>
          </cell>
          <cell r="B67">
            <v>0</v>
          </cell>
          <cell r="C67">
            <v>0</v>
          </cell>
          <cell r="D67">
            <v>0</v>
          </cell>
          <cell r="AW67">
            <v>0</v>
          </cell>
        </row>
        <row r="68">
          <cell r="B68" t="str">
            <v>Net debt</v>
          </cell>
          <cell r="C68" t="str">
            <v>NET_DEBT</v>
          </cell>
          <cell r="D68" t="str">
            <v>GBP</v>
          </cell>
          <cell r="F68">
            <v>-1.6000000000000014</v>
          </cell>
          <cell r="G68">
            <v>7.1054273576010019E-15</v>
          </cell>
          <cell r="H68">
            <v>-6.5999999999999943</v>
          </cell>
          <cell r="I68">
            <v>5.4999999999999929</v>
          </cell>
          <cell r="J68">
            <v>11.900000000000006</v>
          </cell>
          <cell r="K68">
            <v>10.599999999999994</v>
          </cell>
          <cell r="L68">
            <v>15.500000000000014</v>
          </cell>
          <cell r="M68">
            <v>56.1</v>
          </cell>
          <cell r="N68">
            <v>62.70000000000001</v>
          </cell>
          <cell r="O68">
            <v>63.499999999999993</v>
          </cell>
          <cell r="P68">
            <v>151.80000000000001</v>
          </cell>
          <cell r="Q68">
            <v>207.70000000000002</v>
          </cell>
          <cell r="R68">
            <v>188.79999999999995</v>
          </cell>
          <cell r="S68">
            <v>154.40000000000003</v>
          </cell>
          <cell r="T68">
            <v>166.09999999999997</v>
          </cell>
          <cell r="U68">
            <v>168.39999999999998</v>
          </cell>
          <cell r="V68">
            <v>0</v>
          </cell>
          <cell r="W68">
            <v>0</v>
          </cell>
          <cell r="X68">
            <v>-0.90000000000003411</v>
          </cell>
          <cell r="Y68">
            <v>0</v>
          </cell>
          <cell r="Z68">
            <v>0</v>
          </cell>
          <cell r="AA68">
            <v>-77.900000000000006</v>
          </cell>
          <cell r="AB68">
            <v>0</v>
          </cell>
          <cell r="AC68">
            <v>0</v>
          </cell>
          <cell r="AD68">
            <v>641.29999999999995</v>
          </cell>
          <cell r="AE68">
            <v>0</v>
          </cell>
          <cell r="AF68">
            <v>0</v>
          </cell>
          <cell r="AG68">
            <v>412.6</v>
          </cell>
          <cell r="AH68">
            <v>0</v>
          </cell>
          <cell r="AI68">
            <v>0</v>
          </cell>
          <cell r="AJ68">
            <v>326.09999999999997</v>
          </cell>
          <cell r="AK68">
            <v>0</v>
          </cell>
          <cell r="AL68">
            <v>0</v>
          </cell>
          <cell r="AM68">
            <v>232.49999999999994</v>
          </cell>
          <cell r="AN68">
            <v>359.90000000000003</v>
          </cell>
          <cell r="AO68">
            <v>360.18270013172247</v>
          </cell>
          <cell r="AP68">
            <v>321.21140577491747</v>
          </cell>
          <cell r="AQ68">
            <v>433.57767484857209</v>
          </cell>
          <cell r="AR68">
            <v>403.45117203975747</v>
          </cell>
          <cell r="AS68">
            <v>474.48142706545605</v>
          </cell>
          <cell r="AT68">
            <v>0</v>
          </cell>
          <cell r="AU68">
            <v>0</v>
          </cell>
          <cell r="AV68">
            <v>0</v>
          </cell>
        </row>
        <row r="69">
          <cell r="B69" t="str">
            <v>Capitalized leases</v>
          </cell>
          <cell r="C69" t="str">
            <v>CAP_LEASES</v>
          </cell>
          <cell r="D69" t="str">
            <v>GBP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row>
        <row r="70">
          <cell r="B70" t="str">
            <v>Deferred income taxes</v>
          </cell>
          <cell r="C70" t="str">
            <v>DEF_INC_TAX</v>
          </cell>
          <cell r="D70" t="str">
            <v>GBP</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row>
        <row r="71">
          <cell r="B71" t="str">
            <v>Associates (mkt value) used in EV calculation</v>
          </cell>
          <cell r="C71" t="str">
            <v>MV_ASSOCIATES</v>
          </cell>
          <cell r="D71" t="str">
            <v>GBP</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row>
        <row r="72">
          <cell r="B72" t="str">
            <v>Net debt adjustment</v>
          </cell>
          <cell r="C72" t="str">
            <v>NET_DEBT_ADJ</v>
          </cell>
          <cell r="D72" t="str">
            <v>GBP</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row>
        <row r="73">
          <cell r="B73" t="str">
            <v>Company borrowing margin</v>
          </cell>
          <cell r="C73" t="str">
            <v>CO_BOR_MARGIN</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B74" t="str">
            <v>Unfunded pensions &amp; other provisions</v>
          </cell>
          <cell r="C74" t="str">
            <v>UNF_PENS</v>
          </cell>
          <cell r="D74" t="str">
            <v>GBP</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-17.220000000000002</v>
          </cell>
          <cell r="U74">
            <v>-28.35</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row>
        <row r="75">
          <cell r="B75" t="str">
            <v>Unfunded pension liabilities (off balance sheet)</v>
          </cell>
          <cell r="C75" t="str">
            <v>UNF_PENS_OFF</v>
          </cell>
          <cell r="D75" t="str">
            <v>GBP</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row>
        <row r="76">
          <cell r="B76" t="str">
            <v>Unfunded pension liabilities &amp; other, used in EV</v>
          </cell>
          <cell r="C76" t="str">
            <v>UNF_PENS_LIAB_OTH</v>
          </cell>
          <cell r="D76" t="str">
            <v>GBP</v>
          </cell>
          <cell r="F76">
            <v>0</v>
          </cell>
          <cell r="G76">
            <v>0</v>
          </cell>
          <cell r="H76">
            <v>0</v>
          </cell>
          <cell r="I76">
            <v>0</v>
          </cell>
          <cell r="J76">
            <v>0</v>
          </cell>
          <cell r="K76">
            <v>0</v>
          </cell>
          <cell r="L76">
            <v>0</v>
          </cell>
          <cell r="M76">
            <v>0</v>
          </cell>
          <cell r="N76">
            <v>0</v>
          </cell>
          <cell r="O76">
            <v>0</v>
          </cell>
          <cell r="P76">
            <v>0</v>
          </cell>
          <cell r="Q76">
            <v>0</v>
          </cell>
          <cell r="R76">
            <v>0</v>
          </cell>
          <cell r="S76">
            <v>17.220000000000002</v>
          </cell>
          <cell r="T76">
            <v>16.695</v>
          </cell>
          <cell r="U76">
            <v>28.35</v>
          </cell>
          <cell r="V76">
            <v>0</v>
          </cell>
          <cell r="W76">
            <v>0</v>
          </cell>
          <cell r="X76">
            <v>20.72</v>
          </cell>
          <cell r="Y76">
            <v>0</v>
          </cell>
          <cell r="Z76">
            <v>0</v>
          </cell>
          <cell r="AA76">
            <v>26.040000000000003</v>
          </cell>
          <cell r="AB76">
            <v>0</v>
          </cell>
          <cell r="AC76">
            <v>0</v>
          </cell>
          <cell r="AD76">
            <v>35.840000000000003</v>
          </cell>
          <cell r="AE76">
            <v>0</v>
          </cell>
          <cell r="AF76">
            <v>0</v>
          </cell>
          <cell r="AG76">
            <v>80.64</v>
          </cell>
          <cell r="AH76">
            <v>0</v>
          </cell>
          <cell r="AI76">
            <v>0</v>
          </cell>
          <cell r="AJ76">
            <v>57.400000000000006</v>
          </cell>
          <cell r="AK76">
            <v>0</v>
          </cell>
          <cell r="AL76">
            <v>0</v>
          </cell>
          <cell r="AM76">
            <v>49.84</v>
          </cell>
          <cell r="AN76">
            <v>51.38000000000001</v>
          </cell>
          <cell r="AO76">
            <v>51.38000000000001</v>
          </cell>
          <cell r="AP76">
            <v>51.38000000000001</v>
          </cell>
          <cell r="AQ76">
            <v>51.38000000000001</v>
          </cell>
          <cell r="AR76">
            <v>51.38000000000001</v>
          </cell>
          <cell r="AS76">
            <v>51.38000000000001</v>
          </cell>
          <cell r="AT76">
            <v>0</v>
          </cell>
          <cell r="AU76">
            <v>0</v>
          </cell>
          <cell r="AV76">
            <v>0</v>
          </cell>
        </row>
        <row r="77">
          <cell r="B77" t="str">
            <v>Adjustment for unfunded pensions &amp; goodwill</v>
          </cell>
          <cell r="C77" t="str">
            <v>ADJ_UNF_PENS_GOOD</v>
          </cell>
          <cell r="D77" t="str">
            <v>GBP</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B78" t="str">
            <v>Other GCI adjustments</v>
          </cell>
          <cell r="C78" t="str">
            <v>OTH_GCI_ADJ</v>
          </cell>
          <cell r="D78" t="str">
            <v>GBP</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-1</v>
          </cell>
          <cell r="Y78">
            <v>0</v>
          </cell>
          <cell r="Z78">
            <v>0</v>
          </cell>
          <cell r="AA78">
            <v>-1.2</v>
          </cell>
          <cell r="AB78">
            <v>0</v>
          </cell>
          <cell r="AC78">
            <v>0</v>
          </cell>
          <cell r="AD78">
            <v>-1.3</v>
          </cell>
          <cell r="AE78">
            <v>0</v>
          </cell>
          <cell r="AF78">
            <v>0</v>
          </cell>
          <cell r="AG78">
            <v>-1.4000000000000001</v>
          </cell>
          <cell r="AH78">
            <v>0</v>
          </cell>
          <cell r="AI78">
            <v>0</v>
          </cell>
          <cell r="AJ78">
            <v>-1.7000000000000002</v>
          </cell>
          <cell r="AK78">
            <v>0</v>
          </cell>
          <cell r="AL78">
            <v>0</v>
          </cell>
          <cell r="AM78">
            <v>-1.9000000000000001</v>
          </cell>
          <cell r="AN78">
            <v>-3.3</v>
          </cell>
          <cell r="AO78">
            <v>-3.3</v>
          </cell>
          <cell r="AP78">
            <v>-3.3</v>
          </cell>
          <cell r="AQ78">
            <v>-3.3</v>
          </cell>
          <cell r="AR78">
            <v>-3.3</v>
          </cell>
          <cell r="AS78">
            <v>-3.3</v>
          </cell>
          <cell r="AT78">
            <v>0</v>
          </cell>
          <cell r="AU78">
            <v>0</v>
          </cell>
          <cell r="AV78">
            <v>0</v>
          </cell>
        </row>
        <row r="79">
          <cell r="B79" t="str">
            <v>GCI inflator</v>
          </cell>
          <cell r="C79" t="str">
            <v>GCI_INFL</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B80" t="str">
            <v>Minority interest</v>
          </cell>
          <cell r="C80" t="str">
            <v>BAL_MINO_INT</v>
          </cell>
          <cell r="D80" t="str">
            <v>GBP</v>
          </cell>
          <cell r="F80">
            <v>0</v>
          </cell>
          <cell r="G80">
            <v>0</v>
          </cell>
          <cell r="H80">
            <v>0</v>
          </cell>
          <cell r="I80">
            <v>0.15448876404494383</v>
          </cell>
          <cell r="J80">
            <v>0</v>
          </cell>
          <cell r="K80">
            <v>0</v>
          </cell>
          <cell r="L80">
            <v>0</v>
          </cell>
          <cell r="M80">
            <v>0.64292380952380956</v>
          </cell>
          <cell r="N80">
            <v>0.92031424067262224</v>
          </cell>
          <cell r="O80">
            <v>1.539317381489842</v>
          </cell>
          <cell r="P80">
            <v>2.1516293007769147</v>
          </cell>
          <cell r="Q80">
            <v>2.8400035431825374</v>
          </cell>
          <cell r="R80">
            <v>2.3757374164810696</v>
          </cell>
          <cell r="S80">
            <v>2.9002380868802109</v>
          </cell>
          <cell r="T80">
            <v>3.1837270153362169</v>
          </cell>
          <cell r="U80">
            <v>4.1420543801229499</v>
          </cell>
          <cell r="V80">
            <v>0</v>
          </cell>
          <cell r="W80">
            <v>0</v>
          </cell>
          <cell r="X80">
            <v>0.2804572807385648</v>
          </cell>
          <cell r="Y80">
            <v>0</v>
          </cell>
          <cell r="Z80">
            <v>0</v>
          </cell>
          <cell r="AA80">
            <v>1.1513549832026875</v>
          </cell>
          <cell r="AB80">
            <v>0</v>
          </cell>
          <cell r="AC80">
            <v>0</v>
          </cell>
          <cell r="AD80">
            <v>1.6016661164819614</v>
          </cell>
          <cell r="AE80">
            <v>0</v>
          </cell>
          <cell r="AF80">
            <v>0</v>
          </cell>
          <cell r="AG80">
            <v>0.72386946835443045</v>
          </cell>
          <cell r="AH80">
            <v>0</v>
          </cell>
          <cell r="AI80">
            <v>0</v>
          </cell>
          <cell r="AJ80">
            <v>0.99556193716304175</v>
          </cell>
          <cell r="AK80">
            <v>0</v>
          </cell>
          <cell r="AL80">
            <v>0</v>
          </cell>
          <cell r="AM80">
            <v>1.1108788533280975</v>
          </cell>
          <cell r="AN80">
            <v>1.3247630480167014</v>
          </cell>
          <cell r="AO80">
            <v>1.9453883242026124</v>
          </cell>
          <cell r="AP80">
            <v>2.1395703114255133</v>
          </cell>
          <cell r="AQ80">
            <v>2.5015200070835655</v>
          </cell>
          <cell r="AR80">
            <v>2.5864611620837774</v>
          </cell>
          <cell r="AS80">
            <v>2.9135203906404139</v>
          </cell>
          <cell r="AT80">
            <v>0</v>
          </cell>
          <cell r="AU80">
            <v>0</v>
          </cell>
          <cell r="AV80">
            <v>0</v>
          </cell>
        </row>
        <row r="81">
          <cell r="A81" t="str">
            <v>Cash Flow Statement</v>
          </cell>
          <cell r="B81">
            <v>0</v>
          </cell>
          <cell r="C81">
            <v>0</v>
          </cell>
          <cell r="D81">
            <v>0</v>
          </cell>
          <cell r="AW81">
            <v>0</v>
          </cell>
        </row>
        <row r="82">
          <cell r="B82" t="str">
            <v>Minority interest add-back</v>
          </cell>
          <cell r="C82" t="str">
            <v>CF_INC_MINORITY</v>
          </cell>
          <cell r="D82" t="str">
            <v>GBP</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B83" t="str">
            <v>Depreciation &amp; amortization add-back</v>
          </cell>
          <cell r="C83" t="str">
            <v>DEPR_AMORT</v>
          </cell>
          <cell r="D83" t="str">
            <v>GBP</v>
          </cell>
          <cell r="F83">
            <v>8.9</v>
          </cell>
          <cell r="G83">
            <v>11.4</v>
          </cell>
          <cell r="H83">
            <v>11.7</v>
          </cell>
          <cell r="I83">
            <v>12</v>
          </cell>
          <cell r="J83">
            <v>13</v>
          </cell>
          <cell r="K83">
            <v>14.4</v>
          </cell>
          <cell r="L83">
            <v>12.7</v>
          </cell>
          <cell r="M83">
            <v>14.5</v>
          </cell>
          <cell r="N83">
            <v>16.100000000000001</v>
          </cell>
          <cell r="O83">
            <v>19.3</v>
          </cell>
          <cell r="P83">
            <v>20.8</v>
          </cell>
          <cell r="Q83">
            <v>26.1</v>
          </cell>
          <cell r="R83">
            <v>26.4</v>
          </cell>
          <cell r="S83">
            <v>33.700000000000003</v>
          </cell>
          <cell r="T83">
            <v>42.5</v>
          </cell>
          <cell r="U83">
            <v>39.700000000000003</v>
          </cell>
          <cell r="V83">
            <v>0</v>
          </cell>
          <cell r="W83">
            <v>0</v>
          </cell>
          <cell r="X83">
            <v>45.6</v>
          </cell>
          <cell r="Y83">
            <v>0</v>
          </cell>
          <cell r="Z83">
            <v>0</v>
          </cell>
          <cell r="AA83">
            <v>50</v>
          </cell>
          <cell r="AB83">
            <v>0</v>
          </cell>
          <cell r="AC83">
            <v>0</v>
          </cell>
          <cell r="AD83">
            <v>81</v>
          </cell>
          <cell r="AE83">
            <v>0</v>
          </cell>
          <cell r="AF83">
            <v>0</v>
          </cell>
          <cell r="AG83">
            <v>130.69999999999999</v>
          </cell>
          <cell r="AH83">
            <v>0</v>
          </cell>
          <cell r="AI83">
            <v>0</v>
          </cell>
          <cell r="AJ83">
            <v>123</v>
          </cell>
          <cell r="AK83">
            <v>0</v>
          </cell>
          <cell r="AL83">
            <v>0</v>
          </cell>
          <cell r="AM83">
            <v>129.4</v>
          </cell>
          <cell r="AN83">
            <v>129.19999999999999</v>
          </cell>
          <cell r="AO83">
            <v>132.95923280167486</v>
          </cell>
          <cell r="AP83">
            <v>136.74391694562718</v>
          </cell>
          <cell r="AQ83">
            <v>144.68863816923263</v>
          </cell>
          <cell r="AR83">
            <v>152.58856230781885</v>
          </cell>
          <cell r="AS83">
            <v>160.75877460118517</v>
          </cell>
          <cell r="AT83">
            <v>0</v>
          </cell>
          <cell r="AU83">
            <v>0</v>
          </cell>
          <cell r="AV83">
            <v>0</v>
          </cell>
        </row>
        <row r="84">
          <cell r="B84" t="str">
            <v>(Increase)/decrease in working capital</v>
          </cell>
          <cell r="C84" t="str">
            <v>WORK_CAP</v>
          </cell>
          <cell r="D84" t="str">
            <v>GBP</v>
          </cell>
          <cell r="F84">
            <v>6.5</v>
          </cell>
          <cell r="G84">
            <v>-8.9</v>
          </cell>
          <cell r="H84">
            <v>-7</v>
          </cell>
          <cell r="I84">
            <v>-3.0000000000000004</v>
          </cell>
          <cell r="J84">
            <v>2.8000000000000007</v>
          </cell>
          <cell r="K84">
            <v>5</v>
          </cell>
          <cell r="L84">
            <v>-1.2000000000000002</v>
          </cell>
          <cell r="M84">
            <v>-10.899999999999999</v>
          </cell>
          <cell r="N84">
            <v>-28.700000000000003</v>
          </cell>
          <cell r="O84">
            <v>-8.9</v>
          </cell>
          <cell r="P84">
            <v>-12.800000000000004</v>
          </cell>
          <cell r="Q84">
            <v>-40.5</v>
          </cell>
          <cell r="R84">
            <v>-1.9000000000000012</v>
          </cell>
          <cell r="S84">
            <v>-25.5</v>
          </cell>
          <cell r="T84">
            <v>-19.800000000000004</v>
          </cell>
          <cell r="U84">
            <v>-19.2</v>
          </cell>
          <cell r="V84">
            <v>0</v>
          </cell>
          <cell r="W84">
            <v>0</v>
          </cell>
          <cell r="X84">
            <v>-7.4000000000000021</v>
          </cell>
          <cell r="Y84">
            <v>0</v>
          </cell>
          <cell r="Z84">
            <v>0</v>
          </cell>
          <cell r="AA84">
            <v>-25.400000000000002</v>
          </cell>
          <cell r="AB84">
            <v>0</v>
          </cell>
          <cell r="AC84">
            <v>0</v>
          </cell>
          <cell r="AD84">
            <v>27.700000000000003</v>
          </cell>
          <cell r="AE84">
            <v>0</v>
          </cell>
          <cell r="AF84">
            <v>0</v>
          </cell>
          <cell r="AG84">
            <v>-2.4000000000000004</v>
          </cell>
          <cell r="AH84">
            <v>0</v>
          </cell>
          <cell r="AI84">
            <v>0</v>
          </cell>
          <cell r="AJ84">
            <v>-55.2</v>
          </cell>
          <cell r="AK84">
            <v>0</v>
          </cell>
          <cell r="AL84">
            <v>0</v>
          </cell>
          <cell r="AM84">
            <v>4</v>
          </cell>
          <cell r="AN84">
            <v>29.799999999999997</v>
          </cell>
          <cell r="AO84">
            <v>16.77196035311141</v>
          </cell>
          <cell r="AP84">
            <v>16.783957154541042</v>
          </cell>
          <cell r="AQ84">
            <v>-12.313795655451941</v>
          </cell>
          <cell r="AR84">
            <v>-12.244363118379681</v>
          </cell>
          <cell r="AS84">
            <v>-12.663291991070935</v>
          </cell>
          <cell r="AT84">
            <v>0</v>
          </cell>
          <cell r="AU84">
            <v>0</v>
          </cell>
          <cell r="AV84">
            <v>0</v>
          </cell>
        </row>
        <row r="85">
          <cell r="B85" t="str">
            <v>Other operating cash flow items</v>
          </cell>
          <cell r="C85" t="str">
            <v>OTH_OP_CF</v>
          </cell>
          <cell r="D85" t="str">
            <v>GBP</v>
          </cell>
          <cell r="F85">
            <v>-5.3000000000000007</v>
          </cell>
          <cell r="G85">
            <v>0.90000000000000568</v>
          </cell>
          <cell r="H85">
            <v>2.7000000000000028</v>
          </cell>
          <cell r="I85">
            <v>0.39999999999999858</v>
          </cell>
          <cell r="J85">
            <v>-2.899999999999995</v>
          </cell>
          <cell r="K85">
            <v>0.29999999999999361</v>
          </cell>
          <cell r="L85">
            <v>-4.7999999999999865</v>
          </cell>
          <cell r="M85">
            <v>7.7000000000000028</v>
          </cell>
          <cell r="N85">
            <v>-4.4000000000000128</v>
          </cell>
          <cell r="O85">
            <v>6.5</v>
          </cell>
          <cell r="P85">
            <v>0.30000000000001847</v>
          </cell>
          <cell r="Q85">
            <v>-6.3999999999999915</v>
          </cell>
          <cell r="R85">
            <v>-7.9000000000000199</v>
          </cell>
          <cell r="S85">
            <v>9.2999999999999829</v>
          </cell>
          <cell r="T85">
            <v>9.4999999999999858</v>
          </cell>
          <cell r="U85">
            <v>-15.100000000000009</v>
          </cell>
          <cell r="V85">
            <v>0</v>
          </cell>
          <cell r="W85">
            <v>0</v>
          </cell>
          <cell r="X85">
            <v>-30.899999999999977</v>
          </cell>
          <cell r="Y85">
            <v>0</v>
          </cell>
          <cell r="Z85">
            <v>0</v>
          </cell>
          <cell r="AA85">
            <v>4</v>
          </cell>
          <cell r="AB85">
            <v>0</v>
          </cell>
          <cell r="AC85">
            <v>0</v>
          </cell>
          <cell r="AD85">
            <v>-33</v>
          </cell>
          <cell r="AE85">
            <v>0</v>
          </cell>
          <cell r="AF85">
            <v>0</v>
          </cell>
          <cell r="AG85">
            <v>-48.999999999999972</v>
          </cell>
          <cell r="AH85">
            <v>0</v>
          </cell>
          <cell r="AI85">
            <v>0</v>
          </cell>
          <cell r="AJ85">
            <v>-72.899999999999977</v>
          </cell>
          <cell r="AK85">
            <v>0</v>
          </cell>
          <cell r="AL85">
            <v>0</v>
          </cell>
          <cell r="AM85">
            <v>-99.200000000000045</v>
          </cell>
          <cell r="AN85">
            <v>-114</v>
          </cell>
          <cell r="AO85">
            <v>-142.02406248248934</v>
          </cell>
          <cell r="AP85">
            <v>-105.53035745198781</v>
          </cell>
          <cell r="AQ85">
            <v>-104.25609010353278</v>
          </cell>
          <cell r="AR85">
            <v>-68.504020093303012</v>
          </cell>
          <cell r="AS85">
            <v>-71.975374570555516</v>
          </cell>
          <cell r="AT85">
            <v>0</v>
          </cell>
          <cell r="AU85">
            <v>0</v>
          </cell>
          <cell r="AV85">
            <v>0</v>
          </cell>
        </row>
        <row r="86">
          <cell r="B86" t="str">
            <v>Cash flow from operating activities</v>
          </cell>
          <cell r="C86" t="str">
            <v>CF_OPS</v>
          </cell>
          <cell r="D86" t="str">
            <v>GBP</v>
          </cell>
          <cell r="F86">
            <v>24.999999999999975</v>
          </cell>
          <cell r="G86">
            <v>18.400000000000009</v>
          </cell>
          <cell r="H86">
            <v>23.400000000000009</v>
          </cell>
          <cell r="I86">
            <v>23.099999999999998</v>
          </cell>
          <cell r="J86">
            <v>30.4</v>
          </cell>
          <cell r="K86">
            <v>39.999999999999986</v>
          </cell>
          <cell r="L86">
            <v>36.80000000000004</v>
          </cell>
          <cell r="M86">
            <v>46.900000000000013</v>
          </cell>
          <cell r="N86">
            <v>26.200000000000035</v>
          </cell>
          <cell r="O86">
            <v>67.59999999999998</v>
          </cell>
          <cell r="P86">
            <v>71.899999999999991</v>
          </cell>
          <cell r="Q86">
            <v>54.799999999999962</v>
          </cell>
          <cell r="R86">
            <v>103.69999999999999</v>
          </cell>
          <cell r="S86">
            <v>116.50000000000007</v>
          </cell>
          <cell r="T86">
            <v>137.89999999999995</v>
          </cell>
          <cell r="U86">
            <v>123.99999999999999</v>
          </cell>
          <cell r="V86">
            <v>0</v>
          </cell>
          <cell r="W86">
            <v>0</v>
          </cell>
          <cell r="X86">
            <v>138.9</v>
          </cell>
          <cell r="Y86">
            <v>0</v>
          </cell>
          <cell r="Z86">
            <v>0</v>
          </cell>
          <cell r="AA86">
            <v>177</v>
          </cell>
          <cell r="AB86">
            <v>0</v>
          </cell>
          <cell r="AC86">
            <v>0</v>
          </cell>
          <cell r="AD86">
            <v>251.2</v>
          </cell>
          <cell r="AE86">
            <v>0</v>
          </cell>
          <cell r="AF86">
            <v>0</v>
          </cell>
          <cell r="AG86">
            <v>294.10000000000002</v>
          </cell>
          <cell r="AH86">
            <v>0</v>
          </cell>
          <cell r="AI86">
            <v>0</v>
          </cell>
          <cell r="AJ86">
            <v>221.4</v>
          </cell>
          <cell r="AK86">
            <v>0</v>
          </cell>
          <cell r="AL86">
            <v>0</v>
          </cell>
          <cell r="AM86">
            <v>280.8</v>
          </cell>
          <cell r="AN86">
            <v>288.2</v>
          </cell>
          <cell r="AO86">
            <v>231.19104986827756</v>
          </cell>
          <cell r="AP86">
            <v>272.39654699352178</v>
          </cell>
          <cell r="AQ86">
            <v>264.93200165491055</v>
          </cell>
          <cell r="AR86">
            <v>327.04805093008139</v>
          </cell>
          <cell r="AS86">
            <v>341.61403642954201</v>
          </cell>
          <cell r="AT86">
            <v>0</v>
          </cell>
          <cell r="AU86">
            <v>0</v>
          </cell>
          <cell r="AV86">
            <v>0</v>
          </cell>
        </row>
        <row r="87">
          <cell r="B87" t="str">
            <v>Capital expenditures, Capex</v>
          </cell>
          <cell r="C87" t="str">
            <v>CAPEX</v>
          </cell>
          <cell r="D87" t="str">
            <v>GBP</v>
          </cell>
          <cell r="F87">
            <v>-16.7</v>
          </cell>
          <cell r="G87">
            <v>-11.2</v>
          </cell>
          <cell r="H87">
            <v>-11.3</v>
          </cell>
          <cell r="I87">
            <v>-7.3</v>
          </cell>
          <cell r="J87">
            <v>-18.600000000000001</v>
          </cell>
          <cell r="K87">
            <v>-15.7</v>
          </cell>
          <cell r="L87">
            <v>-15.1</v>
          </cell>
          <cell r="M87">
            <v>-21.8</v>
          </cell>
          <cell r="N87">
            <v>-28.599999999999998</v>
          </cell>
          <cell r="O87">
            <v>-23.1</v>
          </cell>
          <cell r="P87">
            <v>-38.300000000000004</v>
          </cell>
          <cell r="Q87">
            <v>-26.400000000000002</v>
          </cell>
          <cell r="R87">
            <v>-28.6</v>
          </cell>
          <cell r="S87">
            <v>-38</v>
          </cell>
          <cell r="T87">
            <v>-39.5</v>
          </cell>
          <cell r="U87">
            <v>-32.5</v>
          </cell>
          <cell r="V87">
            <v>0</v>
          </cell>
          <cell r="W87">
            <v>0</v>
          </cell>
          <cell r="X87">
            <v>-39.399999999999991</v>
          </cell>
          <cell r="Y87">
            <v>0</v>
          </cell>
          <cell r="Z87">
            <v>0</v>
          </cell>
          <cell r="AA87">
            <v>-42.600000000000009</v>
          </cell>
          <cell r="AB87">
            <v>0</v>
          </cell>
          <cell r="AC87">
            <v>0</v>
          </cell>
          <cell r="AD87">
            <v>-55</v>
          </cell>
          <cell r="AE87">
            <v>0</v>
          </cell>
          <cell r="AF87">
            <v>0</v>
          </cell>
          <cell r="AG87">
            <v>-76.999999999999986</v>
          </cell>
          <cell r="AH87">
            <v>0</v>
          </cell>
          <cell r="AI87">
            <v>0</v>
          </cell>
          <cell r="AJ87">
            <v>-57.100000000000009</v>
          </cell>
          <cell r="AK87">
            <v>0</v>
          </cell>
          <cell r="AL87">
            <v>0</v>
          </cell>
          <cell r="AM87">
            <v>-49.800000000000004</v>
          </cell>
          <cell r="AN87">
            <v>-62.4</v>
          </cell>
          <cell r="AO87">
            <v>-75</v>
          </cell>
          <cell r="AP87">
            <v>-64.804127636716771</v>
          </cell>
          <cell r="AQ87">
            <v>-68.569199895231776</v>
          </cell>
          <cell r="AR87">
            <v>-72.313042426822307</v>
          </cell>
          <cell r="AS87">
            <v>-76.184976858018345</v>
          </cell>
          <cell r="AT87">
            <v>0</v>
          </cell>
          <cell r="AU87">
            <v>0</v>
          </cell>
          <cell r="AV87">
            <v>0</v>
          </cell>
          <cell r="AW87" t="str">
            <v>CH: Net investment in PPE and Intangibles</v>
          </cell>
        </row>
        <row r="88">
          <cell r="B88" t="str">
            <v>Acquisitions</v>
          </cell>
          <cell r="C88" t="str">
            <v>ACQ</v>
          </cell>
          <cell r="D88" t="str">
            <v>GBP</v>
          </cell>
          <cell r="F88">
            <v>-5.6</v>
          </cell>
          <cell r="G88">
            <v>0</v>
          </cell>
          <cell r="H88">
            <v>-1.1000000000000001</v>
          </cell>
          <cell r="I88">
            <v>-16</v>
          </cell>
          <cell r="J88">
            <v>-15.2</v>
          </cell>
          <cell r="K88">
            <v>-9.3000000000000007</v>
          </cell>
          <cell r="L88">
            <v>-21.4</v>
          </cell>
          <cell r="M88">
            <v>-56.099999999999994</v>
          </cell>
          <cell r="N88">
            <v>-48</v>
          </cell>
          <cell r="O88">
            <v>-28.6</v>
          </cell>
          <cell r="P88">
            <v>-101.7</v>
          </cell>
          <cell r="Q88">
            <v>-61.7</v>
          </cell>
          <cell r="R88">
            <v>-37.4</v>
          </cell>
          <cell r="S88">
            <v>-134.30000000000001</v>
          </cell>
          <cell r="T88">
            <v>-69.5</v>
          </cell>
          <cell r="U88">
            <v>-191.3</v>
          </cell>
          <cell r="V88">
            <v>0</v>
          </cell>
          <cell r="W88">
            <v>0</v>
          </cell>
          <cell r="X88">
            <v>-19.5</v>
          </cell>
          <cell r="Y88">
            <v>0</v>
          </cell>
          <cell r="Z88">
            <v>0</v>
          </cell>
          <cell r="AA88">
            <v>-9.1999999999999993</v>
          </cell>
          <cell r="AB88">
            <v>0</v>
          </cell>
          <cell r="AC88">
            <v>0</v>
          </cell>
          <cell r="AD88">
            <v>-605.4</v>
          </cell>
          <cell r="AE88">
            <v>0</v>
          </cell>
          <cell r="AF88">
            <v>0</v>
          </cell>
          <cell r="AG88">
            <v>-40.599999999999994</v>
          </cell>
          <cell r="AH88">
            <v>0</v>
          </cell>
          <cell r="AI88">
            <v>0</v>
          </cell>
          <cell r="AJ88">
            <v>-21.5</v>
          </cell>
          <cell r="AK88">
            <v>0</v>
          </cell>
          <cell r="AL88">
            <v>0</v>
          </cell>
          <cell r="AM88">
            <v>-150.4</v>
          </cell>
          <cell r="AN88">
            <v>-285.7</v>
          </cell>
          <cell r="AO88">
            <v>-60</v>
          </cell>
          <cell r="AP88">
            <v>-62.5</v>
          </cell>
          <cell r="AQ88">
            <v>-92.5</v>
          </cell>
          <cell r="AR88">
            <v>-100</v>
          </cell>
          <cell r="AS88">
            <v>-100</v>
          </cell>
          <cell r="AT88">
            <v>0</v>
          </cell>
          <cell r="AU88">
            <v>0</v>
          </cell>
          <cell r="AV88">
            <v>0</v>
          </cell>
        </row>
        <row r="89">
          <cell r="B89" t="str">
            <v>Divestitures</v>
          </cell>
          <cell r="C89" t="str">
            <v>DIVEST</v>
          </cell>
          <cell r="D89" t="str">
            <v>GBP</v>
          </cell>
          <cell r="F89">
            <v>0</v>
          </cell>
          <cell r="G89">
            <v>0</v>
          </cell>
          <cell r="H89">
            <v>0</v>
          </cell>
          <cell r="I89">
            <v>11</v>
          </cell>
          <cell r="J89">
            <v>-0.19999999999999996</v>
          </cell>
          <cell r="K89">
            <v>0</v>
          </cell>
          <cell r="L89">
            <v>0</v>
          </cell>
          <cell r="M89">
            <v>0.3</v>
          </cell>
          <cell r="N89">
            <v>8.9</v>
          </cell>
          <cell r="O89">
            <v>0.9</v>
          </cell>
          <cell r="P89">
            <v>14</v>
          </cell>
          <cell r="Q89">
            <v>0</v>
          </cell>
          <cell r="R89">
            <v>0</v>
          </cell>
          <cell r="S89">
            <v>19.7</v>
          </cell>
          <cell r="T89">
            <v>0</v>
          </cell>
          <cell r="U89">
            <v>149.4</v>
          </cell>
          <cell r="V89">
            <v>0</v>
          </cell>
          <cell r="W89">
            <v>0</v>
          </cell>
          <cell r="X89">
            <v>83.5</v>
          </cell>
          <cell r="Y89">
            <v>0</v>
          </cell>
          <cell r="Z89">
            <v>0</v>
          </cell>
          <cell r="AA89">
            <v>0</v>
          </cell>
          <cell r="AB89">
            <v>0</v>
          </cell>
          <cell r="AC89">
            <v>0</v>
          </cell>
          <cell r="AD89">
            <v>0</v>
          </cell>
          <cell r="AE89">
            <v>0</v>
          </cell>
          <cell r="AF89">
            <v>0</v>
          </cell>
          <cell r="AG89">
            <v>0</v>
          </cell>
          <cell r="AH89">
            <v>0</v>
          </cell>
          <cell r="AI89">
            <v>0</v>
          </cell>
          <cell r="AJ89">
            <v>6.4</v>
          </cell>
          <cell r="AK89">
            <v>0</v>
          </cell>
          <cell r="AL89">
            <v>0</v>
          </cell>
          <cell r="AM89">
            <v>230.4</v>
          </cell>
          <cell r="AN89">
            <v>43.9</v>
          </cell>
          <cell r="AO89">
            <v>0</v>
          </cell>
          <cell r="AP89">
            <v>0</v>
          </cell>
          <cell r="AQ89">
            <v>0</v>
          </cell>
          <cell r="AR89">
            <v>0</v>
          </cell>
          <cell r="AS89">
            <v>0</v>
          </cell>
          <cell r="AT89">
            <v>0</v>
          </cell>
          <cell r="AU89">
            <v>0</v>
          </cell>
          <cell r="AV89">
            <v>0</v>
          </cell>
        </row>
        <row r="90">
          <cell r="B90" t="str">
            <v>Other investing cash flow items</v>
          </cell>
          <cell r="C90" t="str">
            <v>OTH_INV_CF</v>
          </cell>
          <cell r="D90" t="str">
            <v>GBP</v>
          </cell>
          <cell r="F90">
            <v>0</v>
          </cell>
          <cell r="G90">
            <v>0</v>
          </cell>
          <cell r="H90">
            <v>0</v>
          </cell>
          <cell r="I90">
            <v>0</v>
          </cell>
          <cell r="J90">
            <v>0</v>
          </cell>
          <cell r="K90">
            <v>0</v>
          </cell>
          <cell r="L90">
            <v>0</v>
          </cell>
          <cell r="M90">
            <v>-0.2</v>
          </cell>
          <cell r="N90">
            <v>-1.9</v>
          </cell>
          <cell r="O90">
            <v>0</v>
          </cell>
          <cell r="P90">
            <v>0</v>
          </cell>
          <cell r="Q90">
            <v>-1.1000000000000001</v>
          </cell>
          <cell r="R90">
            <v>-1.4</v>
          </cell>
          <cell r="S90">
            <v>-0.4</v>
          </cell>
          <cell r="T90">
            <v>-4.3</v>
          </cell>
          <cell r="U90">
            <v>1</v>
          </cell>
          <cell r="V90">
            <v>0</v>
          </cell>
          <cell r="W90">
            <v>0</v>
          </cell>
          <cell r="X90">
            <v>-8.5</v>
          </cell>
          <cell r="Y90">
            <v>0</v>
          </cell>
          <cell r="Z90">
            <v>0</v>
          </cell>
          <cell r="AA90">
            <v>-8.9999999999999893</v>
          </cell>
          <cell r="AB90">
            <v>0</v>
          </cell>
          <cell r="AC90">
            <v>0</v>
          </cell>
          <cell r="AD90">
            <v>-4.5</v>
          </cell>
          <cell r="AE90">
            <v>0</v>
          </cell>
          <cell r="AF90">
            <v>0</v>
          </cell>
          <cell r="AG90">
            <v>4.8999999999999773</v>
          </cell>
          <cell r="AH90">
            <v>0</v>
          </cell>
          <cell r="AI90">
            <v>0</v>
          </cell>
          <cell r="AJ90">
            <v>21.300000000000011</v>
          </cell>
          <cell r="AK90">
            <v>0</v>
          </cell>
          <cell r="AL90">
            <v>0</v>
          </cell>
          <cell r="AM90">
            <v>17.000000000000028</v>
          </cell>
          <cell r="AN90">
            <v>-17.500000000000078</v>
          </cell>
          <cell r="AO90">
            <v>7.5</v>
          </cell>
          <cell r="AP90">
            <v>7.5</v>
          </cell>
          <cell r="AQ90">
            <v>7.5</v>
          </cell>
          <cell r="AR90">
            <v>7.5</v>
          </cell>
          <cell r="AS90">
            <v>7.5000000000000142</v>
          </cell>
          <cell r="AT90">
            <v>0</v>
          </cell>
          <cell r="AU90">
            <v>0</v>
          </cell>
          <cell r="AV90">
            <v>0</v>
          </cell>
        </row>
        <row r="91">
          <cell r="B91" t="str">
            <v>Cash flow from investing</v>
          </cell>
          <cell r="C91" t="str">
            <v>CF_INV</v>
          </cell>
          <cell r="D91" t="str">
            <v>GBP</v>
          </cell>
          <cell r="F91">
            <v>-22.299999999999997</v>
          </cell>
          <cell r="G91">
            <v>-11.2</v>
          </cell>
          <cell r="H91">
            <v>-12.4</v>
          </cell>
          <cell r="I91">
            <v>-12.3</v>
          </cell>
          <cell r="J91">
            <v>-34</v>
          </cell>
          <cell r="K91">
            <v>-25</v>
          </cell>
          <cell r="L91">
            <v>-36.5</v>
          </cell>
          <cell r="M91">
            <v>-77.8</v>
          </cell>
          <cell r="N91">
            <v>-69.599999999999994</v>
          </cell>
          <cell r="O91">
            <v>-50.800000000000004</v>
          </cell>
          <cell r="P91">
            <v>-126</v>
          </cell>
          <cell r="Q91">
            <v>-89.2</v>
          </cell>
          <cell r="R91">
            <v>-67.400000000000006</v>
          </cell>
          <cell r="S91">
            <v>-153.00000000000003</v>
          </cell>
          <cell r="T91">
            <v>-113.3</v>
          </cell>
          <cell r="U91">
            <v>-73.400000000000006</v>
          </cell>
          <cell r="V91">
            <v>0</v>
          </cell>
          <cell r="W91">
            <v>0</v>
          </cell>
          <cell r="X91">
            <v>16.100000000000001</v>
          </cell>
          <cell r="Y91">
            <v>0</v>
          </cell>
          <cell r="Z91">
            <v>0</v>
          </cell>
          <cell r="AA91">
            <v>-60.8</v>
          </cell>
          <cell r="AB91">
            <v>0</v>
          </cell>
          <cell r="AC91">
            <v>0</v>
          </cell>
          <cell r="AD91">
            <v>-664.9</v>
          </cell>
          <cell r="AE91">
            <v>0</v>
          </cell>
          <cell r="AF91">
            <v>0</v>
          </cell>
          <cell r="AG91">
            <v>-112.7</v>
          </cell>
          <cell r="AH91">
            <v>0</v>
          </cell>
          <cell r="AI91">
            <v>0</v>
          </cell>
          <cell r="AJ91">
            <v>-50.9</v>
          </cell>
          <cell r="AK91">
            <v>0</v>
          </cell>
          <cell r="AL91">
            <v>0</v>
          </cell>
          <cell r="AM91">
            <v>47.20000000000001</v>
          </cell>
          <cell r="AN91">
            <v>-321.70000000000005</v>
          </cell>
          <cell r="AO91">
            <v>-127.5</v>
          </cell>
          <cell r="AP91">
            <v>-119.80412763671677</v>
          </cell>
          <cell r="AQ91">
            <v>-153.56919989523178</v>
          </cell>
          <cell r="AR91">
            <v>-164.81304242682231</v>
          </cell>
          <cell r="AS91">
            <v>-168.68497685801833</v>
          </cell>
          <cell r="AT91">
            <v>0</v>
          </cell>
          <cell r="AU91">
            <v>0</v>
          </cell>
          <cell r="AV91">
            <v>0</v>
          </cell>
        </row>
        <row r="92">
          <cell r="B92" t="str">
            <v>Dividends paid</v>
          </cell>
          <cell r="C92" t="str">
            <v>DIV_PAID</v>
          </cell>
          <cell r="D92" t="str">
            <v>GBP</v>
          </cell>
          <cell r="F92">
            <v>-4.7</v>
          </cell>
          <cell r="G92">
            <v>-4.8</v>
          </cell>
          <cell r="H92">
            <v>-5</v>
          </cell>
          <cell r="I92">
            <v>-5.5</v>
          </cell>
          <cell r="J92">
            <v>-5.8</v>
          </cell>
          <cell r="K92">
            <v>-6.7</v>
          </cell>
          <cell r="L92">
            <v>-9.3000000000000007</v>
          </cell>
          <cell r="M92">
            <v>-11.1</v>
          </cell>
          <cell r="N92">
            <v>-13.2</v>
          </cell>
          <cell r="O92">
            <v>-15.6</v>
          </cell>
          <cell r="P92">
            <v>-18.2</v>
          </cell>
          <cell r="Q92">
            <v>-21.2</v>
          </cell>
          <cell r="R92">
            <v>-24.5</v>
          </cell>
          <cell r="S92">
            <v>-27.6</v>
          </cell>
          <cell r="T92">
            <v>-32.599999999999994</v>
          </cell>
          <cell r="U92">
            <v>-35.799999999999997</v>
          </cell>
          <cell r="V92">
            <v>0</v>
          </cell>
          <cell r="W92">
            <v>0</v>
          </cell>
          <cell r="X92">
            <v>-39.700000000000003</v>
          </cell>
          <cell r="Y92">
            <v>0</v>
          </cell>
          <cell r="Z92">
            <v>0</v>
          </cell>
          <cell r="AA92">
            <v>-43.8</v>
          </cell>
          <cell r="AB92">
            <v>0</v>
          </cell>
          <cell r="AC92">
            <v>0</v>
          </cell>
          <cell r="AD92">
            <v>-52.7</v>
          </cell>
          <cell r="AE92">
            <v>0</v>
          </cell>
          <cell r="AF92">
            <v>0</v>
          </cell>
          <cell r="AG92">
            <v>-58.2</v>
          </cell>
          <cell r="AH92">
            <v>0</v>
          </cell>
          <cell r="AI92">
            <v>0</v>
          </cell>
          <cell r="AJ92">
            <v>-64.599999999999994</v>
          </cell>
          <cell r="AK92">
            <v>0</v>
          </cell>
          <cell r="AL92">
            <v>0</v>
          </cell>
          <cell r="AM92">
            <v>-69.400000000000006</v>
          </cell>
          <cell r="AN92">
            <v>-92.5</v>
          </cell>
          <cell r="AO92">
            <v>-96.473749999999995</v>
          </cell>
          <cell r="AP92">
            <v>-106.12112500000001</v>
          </cell>
          <cell r="AQ92">
            <v>-116.22907083333337</v>
          </cell>
          <cell r="AR92">
            <v>-124.60850569444449</v>
          </cell>
          <cell r="AS92">
            <v>-136.45931459722229</v>
          </cell>
          <cell r="AT92">
            <v>0</v>
          </cell>
          <cell r="AU92">
            <v>0</v>
          </cell>
          <cell r="AV92">
            <v>0</v>
          </cell>
        </row>
        <row r="93">
          <cell r="B93" t="str">
            <v>Common stock issuance/(repurchase)</v>
          </cell>
          <cell r="C93" t="str">
            <v>SH_REPUR</v>
          </cell>
          <cell r="D93" t="str">
            <v>GBP</v>
          </cell>
          <cell r="F93">
            <v>0.4</v>
          </cell>
          <cell r="G93">
            <v>0.2</v>
          </cell>
          <cell r="H93">
            <v>0.4</v>
          </cell>
          <cell r="I93">
            <v>0.7</v>
          </cell>
          <cell r="J93">
            <v>0.9</v>
          </cell>
          <cell r="K93">
            <v>2.2999999999999998</v>
          </cell>
          <cell r="L93">
            <v>1.4</v>
          </cell>
          <cell r="M93">
            <v>2</v>
          </cell>
          <cell r="N93">
            <v>50.6</v>
          </cell>
          <cell r="O93">
            <v>1.2</v>
          </cell>
          <cell r="P93">
            <v>2.7</v>
          </cell>
          <cell r="Q93">
            <v>3.3</v>
          </cell>
          <cell r="R93">
            <v>4.8</v>
          </cell>
          <cell r="S93">
            <v>107.4</v>
          </cell>
          <cell r="T93">
            <v>4.9000000000000004</v>
          </cell>
          <cell r="U93">
            <v>6.1</v>
          </cell>
          <cell r="V93">
            <v>0</v>
          </cell>
          <cell r="W93">
            <v>0</v>
          </cell>
          <cell r="X93">
            <v>6.9</v>
          </cell>
          <cell r="Y93">
            <v>0</v>
          </cell>
          <cell r="Z93">
            <v>0</v>
          </cell>
          <cell r="AA93">
            <v>4.7</v>
          </cell>
          <cell r="AB93">
            <v>0</v>
          </cell>
          <cell r="AC93">
            <v>0</v>
          </cell>
          <cell r="AD93">
            <v>4.0999999999999996</v>
          </cell>
          <cell r="AE93">
            <v>0</v>
          </cell>
          <cell r="AF93">
            <v>0</v>
          </cell>
          <cell r="AG93">
            <v>6.1</v>
          </cell>
          <cell r="AH93">
            <v>0</v>
          </cell>
          <cell r="AI93">
            <v>0</v>
          </cell>
          <cell r="AJ93">
            <v>7.1</v>
          </cell>
          <cell r="AK93">
            <v>0</v>
          </cell>
          <cell r="AL93">
            <v>0</v>
          </cell>
          <cell r="AM93">
            <v>-159.5</v>
          </cell>
          <cell r="AN93">
            <v>-18.8</v>
          </cell>
          <cell r="AO93">
            <v>-7.5</v>
          </cell>
          <cell r="AP93">
            <v>-7.5</v>
          </cell>
          <cell r="AQ93">
            <v>-107.5</v>
          </cell>
          <cell r="AR93">
            <v>-7.5</v>
          </cell>
          <cell r="AS93">
            <v>-107.5</v>
          </cell>
          <cell r="AT93">
            <v>0</v>
          </cell>
          <cell r="AU93">
            <v>0</v>
          </cell>
          <cell r="AV93">
            <v>0</v>
          </cell>
        </row>
        <row r="94">
          <cell r="B94" t="str">
            <v>Increase/(decrease) in total debt</v>
          </cell>
          <cell r="C94" t="str">
            <v>CHG_LT_DEBT</v>
          </cell>
          <cell r="D94" t="str">
            <v>GBP</v>
          </cell>
          <cell r="F94">
            <v>41.7</v>
          </cell>
          <cell r="G94">
            <v>-1</v>
          </cell>
          <cell r="H94">
            <v>0</v>
          </cell>
          <cell r="I94">
            <v>17.899999999999999</v>
          </cell>
          <cell r="J94">
            <v>9.3000000000000007</v>
          </cell>
          <cell r="K94">
            <v>24.699999999999996</v>
          </cell>
          <cell r="L94">
            <v>-13.29999999999999</v>
          </cell>
          <cell r="M94">
            <v>29.5</v>
          </cell>
          <cell r="N94">
            <v>-12.400000000000006</v>
          </cell>
          <cell r="O94">
            <v>2.3999999999999915</v>
          </cell>
          <cell r="P94">
            <v>81.600000000000009</v>
          </cell>
          <cell r="Q94">
            <v>71.200000000000017</v>
          </cell>
          <cell r="R94">
            <v>9.1999999999999602</v>
          </cell>
          <cell r="S94">
            <v>-0.19999999999998863</v>
          </cell>
          <cell r="T94">
            <v>6.8000000000000114</v>
          </cell>
          <cell r="U94">
            <v>161.09999999999997</v>
          </cell>
          <cell r="V94">
            <v>0</v>
          </cell>
          <cell r="W94">
            <v>0</v>
          </cell>
          <cell r="X94">
            <v>-3.3000000000000114</v>
          </cell>
          <cell r="Y94">
            <v>0</v>
          </cell>
          <cell r="Z94">
            <v>0</v>
          </cell>
          <cell r="AA94">
            <v>-7.4000000000000057</v>
          </cell>
          <cell r="AB94">
            <v>0</v>
          </cell>
          <cell r="AC94">
            <v>0</v>
          </cell>
          <cell r="AD94">
            <v>339.6</v>
          </cell>
          <cell r="AE94">
            <v>0</v>
          </cell>
          <cell r="AF94">
            <v>0</v>
          </cell>
          <cell r="AG94">
            <v>-70.599999999999966</v>
          </cell>
          <cell r="AH94">
            <v>0</v>
          </cell>
          <cell r="AI94">
            <v>0</v>
          </cell>
          <cell r="AJ94">
            <v>-15.900000000000006</v>
          </cell>
          <cell r="AK94">
            <v>0</v>
          </cell>
          <cell r="AL94">
            <v>0</v>
          </cell>
          <cell r="AM94">
            <v>-239.39999999999998</v>
          </cell>
          <cell r="AN94">
            <v>71.400000000000006</v>
          </cell>
          <cell r="AO94">
            <v>0</v>
          </cell>
          <cell r="AP94">
            <v>0</v>
          </cell>
          <cell r="AQ94">
            <v>0</v>
          </cell>
          <cell r="AR94">
            <v>0</v>
          </cell>
          <cell r="AS94">
            <v>0</v>
          </cell>
          <cell r="AT94">
            <v>0</v>
          </cell>
          <cell r="AU94">
            <v>0</v>
          </cell>
          <cell r="AV94">
            <v>0</v>
          </cell>
        </row>
        <row r="95">
          <cell r="B95" t="str">
            <v>Other financing cash flow items</v>
          </cell>
          <cell r="C95" t="str">
            <v>OTH_FIN_CF</v>
          </cell>
          <cell r="D95" t="str">
            <v>GBP</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-0.1999999999999833</v>
          </cell>
          <cell r="Y95">
            <v>0</v>
          </cell>
          <cell r="Z95">
            <v>0</v>
          </cell>
          <cell r="AA95">
            <v>-0.29999999999999449</v>
          </cell>
          <cell r="AB95">
            <v>0</v>
          </cell>
          <cell r="AC95">
            <v>0</v>
          </cell>
          <cell r="AD95">
            <v>-0.10000000000007958</v>
          </cell>
          <cell r="AE95">
            <v>0</v>
          </cell>
          <cell r="AF95">
            <v>0</v>
          </cell>
          <cell r="AG95">
            <v>-0.30000000000002558</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row>
        <row r="96">
          <cell r="B96" t="str">
            <v>Cash flow from financing</v>
          </cell>
          <cell r="C96" t="str">
            <v>CF_FIN</v>
          </cell>
          <cell r="D96" t="str">
            <v>GBP</v>
          </cell>
          <cell r="F96">
            <v>37.400000000000006</v>
          </cell>
          <cell r="G96">
            <v>-5.6</v>
          </cell>
          <cell r="H96">
            <v>-4.5999999999999996</v>
          </cell>
          <cell r="I96">
            <v>13.099999999999998</v>
          </cell>
          <cell r="J96">
            <v>4.4000000000000012</v>
          </cell>
          <cell r="K96">
            <v>20.299999999999997</v>
          </cell>
          <cell r="L96">
            <v>-21.199999999999989</v>
          </cell>
          <cell r="M96">
            <v>20.399999999999999</v>
          </cell>
          <cell r="N96">
            <v>25</v>
          </cell>
          <cell r="O96">
            <v>-12.000000000000009</v>
          </cell>
          <cell r="P96">
            <v>66.100000000000009</v>
          </cell>
          <cell r="Q96">
            <v>53.300000000000018</v>
          </cell>
          <cell r="R96">
            <v>-10.500000000000039</v>
          </cell>
          <cell r="S96">
            <v>79.600000000000023</v>
          </cell>
          <cell r="T96">
            <v>-20.899999999999984</v>
          </cell>
          <cell r="U96">
            <v>131.39999999999998</v>
          </cell>
          <cell r="V96">
            <v>0</v>
          </cell>
          <cell r="W96">
            <v>0</v>
          </cell>
          <cell r="X96">
            <v>-36.299999999999997</v>
          </cell>
          <cell r="Y96">
            <v>0</v>
          </cell>
          <cell r="Z96">
            <v>0</v>
          </cell>
          <cell r="AA96">
            <v>-46.8</v>
          </cell>
          <cell r="AB96">
            <v>0</v>
          </cell>
          <cell r="AC96">
            <v>0</v>
          </cell>
          <cell r="AD96">
            <v>290.89999999999998</v>
          </cell>
          <cell r="AE96">
            <v>0</v>
          </cell>
          <cell r="AF96">
            <v>0</v>
          </cell>
          <cell r="AG96">
            <v>-123</v>
          </cell>
          <cell r="AH96">
            <v>0</v>
          </cell>
          <cell r="AI96">
            <v>0</v>
          </cell>
          <cell r="AJ96">
            <v>-73.400000000000006</v>
          </cell>
          <cell r="AK96">
            <v>0</v>
          </cell>
          <cell r="AL96">
            <v>0</v>
          </cell>
          <cell r="AM96">
            <v>-468.29999999999995</v>
          </cell>
          <cell r="AN96">
            <v>-39.899999999999991</v>
          </cell>
          <cell r="AO96">
            <v>-103.97375</v>
          </cell>
          <cell r="AP96">
            <v>-113.62112500000001</v>
          </cell>
          <cell r="AQ96">
            <v>-223.72907083333337</v>
          </cell>
          <cell r="AR96">
            <v>-132.10850569444449</v>
          </cell>
          <cell r="AS96">
            <v>-243.95931459722229</v>
          </cell>
          <cell r="AT96">
            <v>0</v>
          </cell>
          <cell r="AU96">
            <v>0</v>
          </cell>
          <cell r="AV96">
            <v>0</v>
          </cell>
        </row>
        <row r="97">
          <cell r="B97" t="str">
            <v>Other items net cash flow</v>
          </cell>
          <cell r="C97" t="str">
            <v>OTH_ITEM_NCF</v>
          </cell>
          <cell r="D97" t="str">
            <v>GBP</v>
          </cell>
          <cell r="F97">
            <v>0</v>
          </cell>
          <cell r="G97">
            <v>-0.80000000000002025</v>
          </cell>
          <cell r="H97">
            <v>-3.2000000000000064</v>
          </cell>
          <cell r="I97">
            <v>-18.099999999999991</v>
          </cell>
          <cell r="J97">
            <v>2.0999999999999988</v>
          </cell>
          <cell r="K97">
            <v>-9.2999999999999829</v>
          </cell>
          <cell r="L97">
            <v>2.699999999999946</v>
          </cell>
          <cell r="M97">
            <v>-0.60000000000001563</v>
          </cell>
          <cell r="N97">
            <v>-0.60000000000003695</v>
          </cell>
          <cell r="O97">
            <v>-3.1999999999999584</v>
          </cell>
          <cell r="P97">
            <v>-18.700000000000003</v>
          </cell>
          <cell r="Q97">
            <v>-3.5999999999999801</v>
          </cell>
          <cell r="R97">
            <v>2.3000000000000504</v>
          </cell>
          <cell r="S97">
            <v>-8.9000000000000767</v>
          </cell>
          <cell r="T97">
            <v>-8.599999999999973</v>
          </cell>
          <cell r="U97">
            <v>-31.499999999999957</v>
          </cell>
          <cell r="V97">
            <v>0</v>
          </cell>
          <cell r="W97">
            <v>0</v>
          </cell>
          <cell r="X97">
            <v>-6.1999999999999886</v>
          </cell>
          <cell r="Y97">
            <v>0</v>
          </cell>
          <cell r="Z97">
            <v>0</v>
          </cell>
          <cell r="AA97">
            <v>10.799999999999983</v>
          </cell>
          <cell r="AB97">
            <v>0</v>
          </cell>
          <cell r="AC97">
            <v>0</v>
          </cell>
          <cell r="AD97">
            <v>-10.699999999999989</v>
          </cell>
          <cell r="AE97">
            <v>0</v>
          </cell>
          <cell r="AF97">
            <v>0</v>
          </cell>
          <cell r="AG97">
            <v>-3.0000000000000568</v>
          </cell>
          <cell r="AH97">
            <v>0</v>
          </cell>
          <cell r="AI97">
            <v>0</v>
          </cell>
          <cell r="AJ97">
            <v>9.5000000000000284</v>
          </cell>
          <cell r="AK97">
            <v>0</v>
          </cell>
          <cell r="AL97">
            <v>0</v>
          </cell>
          <cell r="AM97">
            <v>12.899999999999977</v>
          </cell>
          <cell r="AN97">
            <v>-8</v>
          </cell>
          <cell r="AO97">
            <v>0</v>
          </cell>
          <cell r="AP97">
            <v>0</v>
          </cell>
          <cell r="AQ97">
            <v>0</v>
          </cell>
          <cell r="AR97">
            <v>0</v>
          </cell>
          <cell r="AS97">
            <v>0</v>
          </cell>
          <cell r="AT97">
            <v>0</v>
          </cell>
          <cell r="AU97">
            <v>0</v>
          </cell>
          <cell r="AV97">
            <v>0</v>
          </cell>
        </row>
        <row r="98">
          <cell r="B98" t="str">
            <v>Total cash flow</v>
          </cell>
          <cell r="C98" t="str">
            <v>TOT_CF</v>
          </cell>
          <cell r="D98" t="str">
            <v>GBP</v>
          </cell>
          <cell r="F98">
            <v>40.09999999999998</v>
          </cell>
          <cell r="G98">
            <v>0.79999999999999005</v>
          </cell>
          <cell r="H98">
            <v>3.2000000000000028</v>
          </cell>
          <cell r="I98">
            <v>5.8000000000000043</v>
          </cell>
          <cell r="J98">
            <v>2.8999999999999986</v>
          </cell>
          <cell r="K98">
            <v>26</v>
          </cell>
          <cell r="L98">
            <v>-18.200000000000003</v>
          </cell>
          <cell r="M98">
            <v>-11.100000000000001</v>
          </cell>
          <cell r="N98">
            <v>-19</v>
          </cell>
          <cell r="O98">
            <v>1.6000000000000085</v>
          </cell>
          <cell r="P98">
            <v>-6.7000000000000028</v>
          </cell>
          <cell r="Q98">
            <v>15.299999999999997</v>
          </cell>
          <cell r="R98">
            <v>28.1</v>
          </cell>
          <cell r="S98">
            <v>34.199999999999989</v>
          </cell>
          <cell r="T98">
            <v>-4.8999999999999915</v>
          </cell>
          <cell r="U98">
            <v>150.5</v>
          </cell>
          <cell r="V98">
            <v>0</v>
          </cell>
          <cell r="W98">
            <v>0</v>
          </cell>
          <cell r="X98">
            <v>112.5</v>
          </cell>
          <cell r="Y98">
            <v>0</v>
          </cell>
          <cell r="Z98">
            <v>0</v>
          </cell>
          <cell r="AA98">
            <v>80.199999999999989</v>
          </cell>
          <cell r="AB98">
            <v>0</v>
          </cell>
          <cell r="AC98">
            <v>0</v>
          </cell>
          <cell r="AD98">
            <v>-133.5</v>
          </cell>
          <cell r="AE98">
            <v>0</v>
          </cell>
          <cell r="AF98">
            <v>0</v>
          </cell>
          <cell r="AG98">
            <v>55.399999999999977</v>
          </cell>
          <cell r="AH98">
            <v>0</v>
          </cell>
          <cell r="AI98">
            <v>0</v>
          </cell>
          <cell r="AJ98">
            <v>106.60000000000002</v>
          </cell>
          <cell r="AK98">
            <v>0</v>
          </cell>
          <cell r="AL98">
            <v>0</v>
          </cell>
          <cell r="AM98">
            <v>-127.39999999999998</v>
          </cell>
          <cell r="AN98">
            <v>-81.400000000000034</v>
          </cell>
          <cell r="AO98">
            <v>-0.2827001317224358</v>
          </cell>
          <cell r="AP98">
            <v>38.971294356805004</v>
          </cell>
          <cell r="AQ98">
            <v>-112.36626907365459</v>
          </cell>
          <cell r="AR98">
            <v>30.126502808814593</v>
          </cell>
          <cell r="AS98">
            <v>-71.030255025698608</v>
          </cell>
          <cell r="AT98">
            <v>0</v>
          </cell>
          <cell r="AU98">
            <v>0</v>
          </cell>
          <cell r="AV98">
            <v>0</v>
          </cell>
        </row>
        <row r="99">
          <cell r="A99" t="str">
            <v>Additional Cash Flow Items</v>
          </cell>
          <cell r="B99">
            <v>0</v>
          </cell>
          <cell r="C99">
            <v>0</v>
          </cell>
          <cell r="D99">
            <v>0</v>
          </cell>
          <cell r="AW99">
            <v>0</v>
          </cell>
        </row>
        <row r="100">
          <cell r="B100" t="str">
            <v>Associate and JV add-back</v>
          </cell>
          <cell r="C100" t="str">
            <v>ASSOC_JV_ADDBK</v>
          </cell>
          <cell r="D100" t="str">
            <v>GBP</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row>
        <row r="101">
          <cell r="B101" t="str">
            <v>Cash interest income/(expense)</v>
          </cell>
          <cell r="C101" t="str">
            <v>CASH_INT_INC_EXP</v>
          </cell>
          <cell r="D101" t="str">
            <v>GBP</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row>
        <row r="102">
          <cell r="B102" t="str">
            <v>Cash taxes paid</v>
          </cell>
          <cell r="C102" t="str">
            <v>CASH_TAX_PD</v>
          </cell>
          <cell r="D102" t="str">
            <v>GBP</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row>
        <row r="103">
          <cell r="B103" t="str">
            <v>Profit/(loss) on sale of assets</v>
          </cell>
          <cell r="C103" t="str">
            <v>PL_SALE_ASSETS</v>
          </cell>
          <cell r="D103" t="str">
            <v>GBP</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row>
        <row r="104">
          <cell r="B104" t="str">
            <v>Other non-cash adjustments</v>
          </cell>
          <cell r="C104" t="str">
            <v>OTH_NONCASH_ADJ</v>
          </cell>
          <cell r="D104" t="str">
            <v>GBP</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row>
        <row r="105">
          <cell r="B105" t="str">
            <v>Other DACF adjustments</v>
          </cell>
          <cell r="C105" t="str">
            <v>OTH_DACF_ADJ</v>
          </cell>
          <cell r="D105" t="str">
            <v>GBP</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1.7</v>
          </cell>
          <cell r="Y105">
            <v>0</v>
          </cell>
          <cell r="Z105">
            <v>0</v>
          </cell>
          <cell r="AA105">
            <v>5.3</v>
          </cell>
          <cell r="AB105">
            <v>0</v>
          </cell>
          <cell r="AC105">
            <v>0</v>
          </cell>
          <cell r="AD105">
            <v>6</v>
          </cell>
          <cell r="AE105">
            <v>0</v>
          </cell>
          <cell r="AF105">
            <v>0</v>
          </cell>
          <cell r="AG105">
            <v>7.1000000000000005</v>
          </cell>
          <cell r="AH105">
            <v>0</v>
          </cell>
          <cell r="AI105">
            <v>0</v>
          </cell>
          <cell r="AJ105">
            <v>11.1</v>
          </cell>
          <cell r="AK105">
            <v>0</v>
          </cell>
          <cell r="AL105">
            <v>0</v>
          </cell>
          <cell r="AM105">
            <v>48.599999999999994</v>
          </cell>
          <cell r="AN105">
            <v>14</v>
          </cell>
          <cell r="AO105">
            <v>17.5</v>
          </cell>
          <cell r="AP105">
            <v>17</v>
          </cell>
          <cell r="AQ105">
            <v>17</v>
          </cell>
          <cell r="AR105">
            <v>0</v>
          </cell>
          <cell r="AS105">
            <v>0</v>
          </cell>
          <cell r="AT105">
            <v>0</v>
          </cell>
          <cell r="AU105">
            <v>0</v>
          </cell>
          <cell r="AV105">
            <v>0</v>
          </cell>
        </row>
        <row r="106">
          <cell r="B106" t="str">
            <v>Cash interest expense</v>
          </cell>
          <cell r="C106" t="str">
            <v>CASH_INT_EXP</v>
          </cell>
          <cell r="D106" t="str">
            <v>GBP</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row>
        <row r="107">
          <cell r="B107" t="str">
            <v>Cash tax expense</v>
          </cell>
          <cell r="C107" t="str">
            <v>CASH_TAX_EXP</v>
          </cell>
          <cell r="D107" t="str">
            <v>GBP</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row>
        <row r="108">
          <cell r="B108" t="str">
            <v>Dividends received from associates/JVs</v>
          </cell>
          <cell r="C108" t="str">
            <v>DIVDS_ASSOC_JV</v>
          </cell>
          <cell r="D108" t="str">
            <v>GBP</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row>
        <row r="109">
          <cell r="B109" t="str">
            <v>Capex maintenance</v>
          </cell>
          <cell r="C109" t="str">
            <v>CAPEX_MAINTENANCE</v>
          </cell>
          <cell r="D109" t="str">
            <v>GBP</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row>
        <row r="110">
          <cell r="B110" t="str">
            <v>Capex expansion</v>
          </cell>
          <cell r="C110" t="str">
            <v>CAPEX_EXPANSION</v>
          </cell>
          <cell r="D110" t="str">
            <v>GBP</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row>
        <row r="111">
          <cell r="B111" t="str">
            <v>Non-PP&amp;E capex</v>
          </cell>
          <cell r="C111" t="str">
            <v>NONPPE_CAPEX</v>
          </cell>
          <cell r="D111" t="str">
            <v>GBP</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-0.2</v>
          </cell>
          <cell r="Y111">
            <v>0</v>
          </cell>
          <cell r="Z111">
            <v>0</v>
          </cell>
          <cell r="AA111">
            <v>-0.2</v>
          </cell>
          <cell r="AB111">
            <v>0</v>
          </cell>
          <cell r="AC111">
            <v>0</v>
          </cell>
          <cell r="AD111">
            <v>-0.1</v>
          </cell>
          <cell r="AE111">
            <v>0</v>
          </cell>
          <cell r="AF111">
            <v>0</v>
          </cell>
          <cell r="AG111">
            <v>-0.1</v>
          </cell>
          <cell r="AH111">
            <v>0</v>
          </cell>
          <cell r="AI111">
            <v>0</v>
          </cell>
          <cell r="AJ111">
            <v>-0.3</v>
          </cell>
          <cell r="AK111">
            <v>0</v>
          </cell>
          <cell r="AL111">
            <v>0</v>
          </cell>
          <cell r="AM111">
            <v>-0.2</v>
          </cell>
          <cell r="AN111">
            <v>-1.4</v>
          </cell>
          <cell r="AO111">
            <v>0</v>
          </cell>
          <cell r="AP111">
            <v>0</v>
          </cell>
          <cell r="AQ111">
            <v>0</v>
          </cell>
          <cell r="AR111">
            <v>0</v>
          </cell>
          <cell r="AS111">
            <v>0</v>
          </cell>
          <cell r="AT111">
            <v>0</v>
          </cell>
          <cell r="AU111">
            <v>0</v>
          </cell>
          <cell r="AV111">
            <v>0</v>
          </cell>
          <cell r="AW111" t="str">
            <v>MA: linking to capitalized R&amp;D</v>
          </cell>
        </row>
        <row r="112">
          <cell r="B112" t="str">
            <v>Dividends paid to minorities</v>
          </cell>
          <cell r="C112" t="str">
            <v>DIVDS_PD_MINORITIES</v>
          </cell>
          <cell r="D112" t="str">
            <v>GBP</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row>
        <row r="113">
          <cell r="A113" t="str">
            <v>Other Items</v>
          </cell>
          <cell r="B113">
            <v>0</v>
          </cell>
          <cell r="C113">
            <v>0</v>
          </cell>
          <cell r="D113">
            <v>0</v>
          </cell>
          <cell r="AW113">
            <v>0</v>
          </cell>
        </row>
        <row r="114">
          <cell r="B114" t="str">
            <v>Number of employees</v>
          </cell>
          <cell r="C114" t="str">
            <v>EMPLOYEES</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9.5090000000000003</v>
          </cell>
          <cell r="AA114">
            <v>8.99</v>
          </cell>
          <cell r="AD114">
            <v>10.706</v>
          </cell>
          <cell r="AG114">
            <v>12.044</v>
          </cell>
          <cell r="AJ114">
            <v>11.635999999999999</v>
          </cell>
          <cell r="AM114">
            <v>10.696</v>
          </cell>
          <cell r="AN114">
            <v>9.9920000000000009</v>
          </cell>
          <cell r="AO114">
            <v>9.9920000000000009</v>
          </cell>
          <cell r="AP114">
            <v>0</v>
          </cell>
          <cell r="AQ114">
            <v>0</v>
          </cell>
          <cell r="AR114">
            <v>0</v>
          </cell>
          <cell r="AS114">
            <v>0</v>
          </cell>
          <cell r="AT114">
            <v>0</v>
          </cell>
          <cell r="AU114">
            <v>0</v>
          </cell>
          <cell r="AV114">
            <v>0</v>
          </cell>
        </row>
        <row r="115">
          <cell r="A115" t="str">
            <v>Geographical Breakdown</v>
          </cell>
          <cell r="B115">
            <v>0</v>
          </cell>
          <cell r="C115">
            <v>0</v>
          </cell>
          <cell r="D115">
            <v>0</v>
          </cell>
          <cell r="AW115">
            <v>0</v>
          </cell>
        </row>
        <row r="116">
          <cell r="B116" t="str">
            <v>Sales - Total % Americas</v>
          </cell>
          <cell r="C116" t="str">
            <v>SALES_TOT_AM</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0.5</v>
          </cell>
          <cell r="AO116">
            <v>0.5</v>
          </cell>
          <cell r="AP116">
            <v>0</v>
          </cell>
          <cell r="AQ116">
            <v>0</v>
          </cell>
          <cell r="AR116">
            <v>0</v>
          </cell>
          <cell r="AS116">
            <v>0</v>
          </cell>
          <cell r="AT116">
            <v>0</v>
          </cell>
          <cell r="AU116">
            <v>0</v>
          </cell>
          <cell r="AV116">
            <v>0</v>
          </cell>
          <cell r="AW116">
            <v>0</v>
          </cell>
        </row>
        <row r="117">
          <cell r="B117" t="str">
            <v>Sales - % United States</v>
          </cell>
          <cell r="C117" t="str">
            <v>SALES_US</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0.5</v>
          </cell>
          <cell r="AO117">
            <v>0.5</v>
          </cell>
          <cell r="AP117">
            <v>0</v>
          </cell>
          <cell r="AQ117">
            <v>0</v>
          </cell>
          <cell r="AR117">
            <v>0</v>
          </cell>
          <cell r="AS117">
            <v>0</v>
          </cell>
          <cell r="AT117">
            <v>0</v>
          </cell>
          <cell r="AU117">
            <v>0</v>
          </cell>
          <cell r="AV117">
            <v>0</v>
          </cell>
        </row>
        <row r="118">
          <cell r="A118">
            <v>0</v>
          </cell>
          <cell r="B118" t="str">
            <v>Sales - % Canada</v>
          </cell>
          <cell r="C118" t="str">
            <v>SALES_CANADA</v>
          </cell>
          <cell r="D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row>
        <row r="119">
          <cell r="B119" t="str">
            <v>Sales - % Brazil</v>
          </cell>
          <cell r="C119" t="str">
            <v>SALES_BRAZIL</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row>
        <row r="120">
          <cell r="B120" t="str">
            <v>Sales - % Other Americas</v>
          </cell>
          <cell r="C120" t="str">
            <v>SALES_OTH_AM</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row>
        <row r="121">
          <cell r="B121" t="str">
            <v>Sales - Total % EMEA</v>
          </cell>
          <cell r="C121" t="str">
            <v>SALES_TOT_EMEA</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0.27</v>
          </cell>
          <cell r="AO121">
            <v>0.27</v>
          </cell>
          <cell r="AP121">
            <v>0</v>
          </cell>
          <cell r="AQ121">
            <v>0</v>
          </cell>
          <cell r="AR121">
            <v>0</v>
          </cell>
          <cell r="AS121">
            <v>0</v>
          </cell>
          <cell r="AT121">
            <v>0</v>
          </cell>
          <cell r="AU121">
            <v>0</v>
          </cell>
          <cell r="AV121">
            <v>0</v>
          </cell>
        </row>
        <row r="122">
          <cell r="B122" t="str">
            <v>Sales - % UK</v>
          </cell>
          <cell r="C122" t="str">
            <v>SALES_UK</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0.1</v>
          </cell>
          <cell r="AO122">
            <v>0.1</v>
          </cell>
          <cell r="AP122">
            <v>0</v>
          </cell>
          <cell r="AQ122">
            <v>0</v>
          </cell>
          <cell r="AR122">
            <v>0</v>
          </cell>
          <cell r="AS122">
            <v>0</v>
          </cell>
          <cell r="AT122">
            <v>0</v>
          </cell>
          <cell r="AU122">
            <v>0</v>
          </cell>
          <cell r="AV122">
            <v>0</v>
          </cell>
        </row>
        <row r="123">
          <cell r="B123" t="str">
            <v>Sales - % Western Europe-Ex UK</v>
          </cell>
          <cell r="C123" t="str">
            <v>SALES_EU_EX_UK</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0.17</v>
          </cell>
          <cell r="AO123">
            <v>0.17</v>
          </cell>
          <cell r="AP123">
            <v>0</v>
          </cell>
          <cell r="AQ123">
            <v>0</v>
          </cell>
          <cell r="AR123">
            <v>0</v>
          </cell>
          <cell r="AS123">
            <v>0</v>
          </cell>
          <cell r="AT123">
            <v>0</v>
          </cell>
          <cell r="AU123">
            <v>0</v>
          </cell>
          <cell r="AV123">
            <v>0</v>
          </cell>
          <cell r="AW123">
            <v>0</v>
          </cell>
        </row>
        <row r="124">
          <cell r="A124">
            <v>0</v>
          </cell>
          <cell r="B124" t="str">
            <v>Sales - % Austria</v>
          </cell>
          <cell r="C124" t="str">
            <v>SALES_AUSTRIA</v>
          </cell>
          <cell r="D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row>
        <row r="125">
          <cell r="A125">
            <v>0</v>
          </cell>
          <cell r="B125" t="str">
            <v>Sales - % Belgium</v>
          </cell>
          <cell r="C125" t="str">
            <v>SALES_BEL</v>
          </cell>
          <cell r="D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row>
        <row r="126">
          <cell r="A126">
            <v>0</v>
          </cell>
          <cell r="B126" t="str">
            <v>Sales - % Denmark</v>
          </cell>
          <cell r="C126" t="str">
            <v>SALES_DEN</v>
          </cell>
          <cell r="D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row>
        <row r="127">
          <cell r="A127">
            <v>0</v>
          </cell>
          <cell r="B127" t="str">
            <v>Sales - % Finland</v>
          </cell>
          <cell r="C127" t="str">
            <v>SALES_FIN</v>
          </cell>
          <cell r="D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row>
        <row r="128">
          <cell r="B128" t="str">
            <v>Sales - % France</v>
          </cell>
          <cell r="C128" t="str">
            <v>SALES_FRA</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row>
        <row r="129">
          <cell r="B129" t="str">
            <v>Sales - % Germany</v>
          </cell>
          <cell r="C129" t="str">
            <v>SALES_GER</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row>
        <row r="130">
          <cell r="A130">
            <v>0</v>
          </cell>
          <cell r="B130" t="str">
            <v>Sales - % Greece</v>
          </cell>
          <cell r="C130" t="str">
            <v>SALES_GRE</v>
          </cell>
          <cell r="D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row>
        <row r="131">
          <cell r="A131">
            <v>0</v>
          </cell>
          <cell r="B131" t="str">
            <v>Sales - % Iceland</v>
          </cell>
          <cell r="C131" t="str">
            <v>SALES_ICE</v>
          </cell>
          <cell r="D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row>
        <row r="132">
          <cell r="A132">
            <v>0</v>
          </cell>
          <cell r="B132" t="str">
            <v>Sales - % Ireland</v>
          </cell>
          <cell r="C132" t="str">
            <v>SALES_IRE</v>
          </cell>
          <cell r="D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row>
        <row r="133">
          <cell r="B133" t="str">
            <v>Sales - % Italy</v>
          </cell>
          <cell r="C133" t="str">
            <v>SALES_ITA</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row>
        <row r="134">
          <cell r="A134">
            <v>0</v>
          </cell>
          <cell r="B134" t="str">
            <v>Sales - % Netherlands</v>
          </cell>
          <cell r="C134" t="str">
            <v>SALES_NETH</v>
          </cell>
          <cell r="D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row>
        <row r="135">
          <cell r="A135">
            <v>0</v>
          </cell>
          <cell r="B135" t="str">
            <v>Sales - % Norway</v>
          </cell>
          <cell r="C135" t="str">
            <v>SALES_NOR</v>
          </cell>
          <cell r="D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row>
        <row r="136">
          <cell r="A136">
            <v>0</v>
          </cell>
          <cell r="B136" t="str">
            <v>Sales - % Portugal</v>
          </cell>
          <cell r="C136" t="str">
            <v>SALES_POR</v>
          </cell>
          <cell r="D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row>
        <row r="137">
          <cell r="B137" t="str">
            <v>Sales - % Spain</v>
          </cell>
          <cell r="C137" t="str">
            <v>SALES_SPA</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row>
        <row r="138">
          <cell r="B138" t="str">
            <v>Sales - % Other Western Europe-Ex UK</v>
          </cell>
          <cell r="C138" t="str">
            <v>SALES_OTH_EU_EX_UK</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0.17</v>
          </cell>
          <cell r="AO138">
            <v>0.17</v>
          </cell>
          <cell r="AP138">
            <v>0</v>
          </cell>
          <cell r="AQ138">
            <v>0</v>
          </cell>
          <cell r="AR138">
            <v>0</v>
          </cell>
          <cell r="AS138">
            <v>0</v>
          </cell>
          <cell r="AT138">
            <v>0</v>
          </cell>
          <cell r="AU138">
            <v>0</v>
          </cell>
          <cell r="AV138">
            <v>0</v>
          </cell>
          <cell r="AW138">
            <v>0</v>
          </cell>
        </row>
        <row r="139">
          <cell r="A139">
            <v>0</v>
          </cell>
          <cell r="B139" t="str">
            <v>Sales - % Sweden</v>
          </cell>
          <cell r="C139" t="str">
            <v>SALES_SWE</v>
          </cell>
          <cell r="D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row>
        <row r="140">
          <cell r="A140">
            <v>0</v>
          </cell>
          <cell r="B140" t="str">
            <v>Sales - % Switzerland</v>
          </cell>
          <cell r="C140" t="str">
            <v>SALES_SWIT</v>
          </cell>
          <cell r="D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row>
        <row r="141">
          <cell r="B141" t="str">
            <v>Sales - % Central &amp; Eastern Europe</v>
          </cell>
          <cell r="C141" t="str">
            <v>SALES_CEE</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row>
        <row r="142">
          <cell r="B142" t="str">
            <v>Sales - % Middle East</v>
          </cell>
          <cell r="C142" t="str">
            <v>SALES_ME</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row>
        <row r="143">
          <cell r="B143" t="str">
            <v>Sales - % South Africa</v>
          </cell>
          <cell r="C143" t="str">
            <v>SALES_SO_AFRICA</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row>
        <row r="144">
          <cell r="B144" t="str">
            <v>Sales - % Nigeria</v>
          </cell>
          <cell r="C144" t="str">
            <v>SALES_NIGERIA</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row>
        <row r="145">
          <cell r="B145" t="str">
            <v>Sales - % Other Africa</v>
          </cell>
          <cell r="C145" t="str">
            <v>SALES_OTH_AFRICA</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row>
        <row r="146">
          <cell r="B146" t="str">
            <v>Sales - % Total Africa</v>
          </cell>
          <cell r="C146" t="str">
            <v>SALES_TOT_AFRICA</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row>
        <row r="147">
          <cell r="B147" t="str">
            <v>Sales - % Russia</v>
          </cell>
          <cell r="C147" t="str">
            <v>SALES_RUSSIA</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row>
        <row r="148">
          <cell r="B148" t="str">
            <v>Sales - % Other EMEA</v>
          </cell>
          <cell r="C148" t="str">
            <v>SALES_OTH_EMEA</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row>
        <row r="149">
          <cell r="B149" t="str">
            <v>Sales - Total % Asia (incl Australia &amp; New Zealand)</v>
          </cell>
          <cell r="C149" t="str">
            <v>SALES_TOT_ASIA</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0.13</v>
          </cell>
          <cell r="AO149">
            <v>0.13</v>
          </cell>
          <cell r="AP149">
            <v>0</v>
          </cell>
          <cell r="AQ149">
            <v>0</v>
          </cell>
          <cell r="AR149">
            <v>0</v>
          </cell>
          <cell r="AS149">
            <v>0</v>
          </cell>
          <cell r="AT149">
            <v>0</v>
          </cell>
          <cell r="AU149">
            <v>0</v>
          </cell>
          <cell r="AV149">
            <v>0</v>
          </cell>
        </row>
        <row r="150">
          <cell r="B150" t="str">
            <v>Sales - % Japan</v>
          </cell>
          <cell r="C150" t="str">
            <v>SALES_JAPAN</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row>
        <row r="151">
          <cell r="B151" t="str">
            <v>Sales - % China</v>
          </cell>
          <cell r="C151" t="str">
            <v>SALES_CHINA</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row>
        <row r="152">
          <cell r="B152" t="str">
            <v>Sales - % India</v>
          </cell>
          <cell r="C152" t="str">
            <v>SALES_INDIA</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row>
        <row r="153">
          <cell r="A153">
            <v>0</v>
          </cell>
          <cell r="B153" t="str">
            <v>Sales - % South Korea</v>
          </cell>
          <cell r="C153" t="str">
            <v>SALES_SK</v>
          </cell>
          <cell r="D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row>
        <row r="154">
          <cell r="A154">
            <v>0</v>
          </cell>
          <cell r="B154" t="str">
            <v>Sales - % Australia</v>
          </cell>
          <cell r="C154" t="str">
            <v>SALES_AUSTRA</v>
          </cell>
          <cell r="D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0.13</v>
          </cell>
          <cell r="AO154">
            <v>0.13</v>
          </cell>
          <cell r="AP154">
            <v>0</v>
          </cell>
          <cell r="AQ154">
            <v>0</v>
          </cell>
          <cell r="AR154">
            <v>0</v>
          </cell>
          <cell r="AS154">
            <v>0</v>
          </cell>
          <cell r="AT154">
            <v>0</v>
          </cell>
          <cell r="AU154">
            <v>0</v>
          </cell>
          <cell r="AV154">
            <v>0</v>
          </cell>
          <cell r="AW154">
            <v>0</v>
          </cell>
        </row>
        <row r="155">
          <cell r="A155">
            <v>0</v>
          </cell>
          <cell r="B155" t="str">
            <v>Sales - % New Zealand</v>
          </cell>
          <cell r="C155" t="str">
            <v>SALES_NZ</v>
          </cell>
          <cell r="D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row>
        <row r="156">
          <cell r="B156" t="str">
            <v>Sales - % Other Asia</v>
          </cell>
          <cell r="C156" t="str">
            <v>SALES_OTH_AEJ</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row>
        <row r="157">
          <cell r="B157" t="str">
            <v>Sales - % Others</v>
          </cell>
          <cell r="C157" t="str">
            <v>SALES_OTHER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0.1</v>
          </cell>
          <cell r="AO157">
            <v>0.1</v>
          </cell>
          <cell r="AP157">
            <v>0</v>
          </cell>
          <cell r="AQ157">
            <v>0</v>
          </cell>
          <cell r="AR157">
            <v>0</v>
          </cell>
          <cell r="AS157">
            <v>0</v>
          </cell>
          <cell r="AT157">
            <v>0</v>
          </cell>
          <cell r="AU157">
            <v>0</v>
          </cell>
          <cell r="AV157">
            <v>0</v>
          </cell>
        </row>
        <row r="158">
          <cell r="B158" t="str">
            <v>Indirect Sales - Total % Americas</v>
          </cell>
          <cell r="C158" t="str">
            <v>IND_SALES_TOT_AM</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0.5</v>
          </cell>
          <cell r="AO158">
            <v>0.5</v>
          </cell>
          <cell r="AP158">
            <v>0</v>
          </cell>
          <cell r="AQ158">
            <v>0</v>
          </cell>
          <cell r="AR158">
            <v>0</v>
          </cell>
          <cell r="AS158">
            <v>0</v>
          </cell>
          <cell r="AT158">
            <v>0</v>
          </cell>
          <cell r="AU158">
            <v>0</v>
          </cell>
          <cell r="AV158">
            <v>0</v>
          </cell>
          <cell r="AW158">
            <v>0</v>
          </cell>
        </row>
        <row r="159">
          <cell r="B159" t="str">
            <v>Indirect Sales - % United States</v>
          </cell>
          <cell r="C159" t="str">
            <v>IND_SALES_US</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0.5</v>
          </cell>
          <cell r="AO159">
            <v>0.5</v>
          </cell>
          <cell r="AP159">
            <v>0</v>
          </cell>
          <cell r="AQ159">
            <v>0</v>
          </cell>
          <cell r="AR159">
            <v>0</v>
          </cell>
          <cell r="AS159">
            <v>0</v>
          </cell>
          <cell r="AT159">
            <v>0</v>
          </cell>
          <cell r="AU159">
            <v>0</v>
          </cell>
          <cell r="AV159">
            <v>0</v>
          </cell>
        </row>
        <row r="160">
          <cell r="A160">
            <v>0</v>
          </cell>
          <cell r="B160" t="str">
            <v>Indirect Sales - % Canada</v>
          </cell>
          <cell r="C160" t="str">
            <v>IND_SALES_CANADA</v>
          </cell>
          <cell r="D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row>
        <row r="161">
          <cell r="B161" t="str">
            <v>Indirect Sales - % Brazil</v>
          </cell>
          <cell r="C161" t="str">
            <v>IND_SALES_BRAZIL</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row>
        <row r="162">
          <cell r="B162" t="str">
            <v>Indirect Sales - % Other Americas</v>
          </cell>
          <cell r="C162" t="str">
            <v>IND_SALES_OTH_AM</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row>
        <row r="163">
          <cell r="B163" t="str">
            <v>Indirect Sales - Total % EMEA</v>
          </cell>
          <cell r="C163" t="str">
            <v>IND_SALES_TOT_EMEA</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0.27</v>
          </cell>
          <cell r="AO163">
            <v>0.27</v>
          </cell>
          <cell r="AP163">
            <v>0</v>
          </cell>
          <cell r="AQ163">
            <v>0</v>
          </cell>
          <cell r="AR163">
            <v>0</v>
          </cell>
          <cell r="AS163">
            <v>0</v>
          </cell>
          <cell r="AT163">
            <v>0</v>
          </cell>
          <cell r="AU163">
            <v>0</v>
          </cell>
          <cell r="AV163">
            <v>0</v>
          </cell>
        </row>
        <row r="164">
          <cell r="B164" t="str">
            <v>Indirect Sales - % UK</v>
          </cell>
          <cell r="C164" t="str">
            <v>IND_SALES_UK</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0.1</v>
          </cell>
          <cell r="AO164">
            <v>0.1</v>
          </cell>
          <cell r="AP164">
            <v>0</v>
          </cell>
          <cell r="AQ164">
            <v>0</v>
          </cell>
          <cell r="AR164">
            <v>0</v>
          </cell>
          <cell r="AS164">
            <v>0</v>
          </cell>
          <cell r="AT164">
            <v>0</v>
          </cell>
          <cell r="AU164">
            <v>0</v>
          </cell>
          <cell r="AV164">
            <v>0</v>
          </cell>
        </row>
        <row r="165">
          <cell r="B165" t="str">
            <v>Indirect Sales - % Western Europe-Ex UK</v>
          </cell>
          <cell r="C165" t="str">
            <v>IND_SALES_EU_EX_UK</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0.17</v>
          </cell>
          <cell r="AO165">
            <v>0.17</v>
          </cell>
          <cell r="AP165">
            <v>0</v>
          </cell>
          <cell r="AQ165">
            <v>0</v>
          </cell>
          <cell r="AR165">
            <v>0</v>
          </cell>
          <cell r="AS165">
            <v>0</v>
          </cell>
          <cell r="AT165">
            <v>0</v>
          </cell>
          <cell r="AU165">
            <v>0</v>
          </cell>
          <cell r="AV165">
            <v>0</v>
          </cell>
          <cell r="AW165">
            <v>0</v>
          </cell>
        </row>
        <row r="166">
          <cell r="A166">
            <v>0</v>
          </cell>
          <cell r="B166" t="str">
            <v>Indirect Sales - % Austria</v>
          </cell>
          <cell r="C166" t="str">
            <v>IND_SALES_AUSTRIA</v>
          </cell>
          <cell r="D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row>
        <row r="167">
          <cell r="A167">
            <v>0</v>
          </cell>
          <cell r="B167" t="str">
            <v>Indirect Sales - % Belgium</v>
          </cell>
          <cell r="C167" t="str">
            <v>IND_SALES_BEL</v>
          </cell>
          <cell r="D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row>
        <row r="168">
          <cell r="A168">
            <v>0</v>
          </cell>
          <cell r="B168" t="str">
            <v>Indirect Sales - % Denmark</v>
          </cell>
          <cell r="C168" t="str">
            <v>IND_SALES_DEN</v>
          </cell>
          <cell r="D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row>
        <row r="169">
          <cell r="A169">
            <v>0</v>
          </cell>
          <cell r="B169" t="str">
            <v>Indirect Sales - % Finland</v>
          </cell>
          <cell r="C169" t="str">
            <v>IND_SALES_FIN</v>
          </cell>
          <cell r="D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row>
        <row r="170">
          <cell r="B170" t="str">
            <v>Indirect Sales - % France</v>
          </cell>
          <cell r="C170" t="str">
            <v>IND_SALES_FRA</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row>
        <row r="171">
          <cell r="B171" t="str">
            <v>Indirect Sales - % Germany</v>
          </cell>
          <cell r="C171" t="str">
            <v>IND_SALES_GER</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row>
        <row r="172">
          <cell r="A172">
            <v>0</v>
          </cell>
          <cell r="B172" t="str">
            <v>Indirect Sales - % Greece</v>
          </cell>
          <cell r="C172" t="str">
            <v>IND_SALES_GRE</v>
          </cell>
          <cell r="D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row>
        <row r="173">
          <cell r="A173">
            <v>0</v>
          </cell>
          <cell r="B173" t="str">
            <v>Indirect Sales - % Iceland</v>
          </cell>
          <cell r="C173" t="str">
            <v>IND_SALES_ICE</v>
          </cell>
          <cell r="D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row>
        <row r="174">
          <cell r="A174">
            <v>0</v>
          </cell>
          <cell r="B174" t="str">
            <v>Indirect Sales - % Ireland</v>
          </cell>
          <cell r="C174" t="str">
            <v>IND_SALES_IRE</v>
          </cell>
          <cell r="D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row>
        <row r="175">
          <cell r="B175" t="str">
            <v>Indirect Sales - % Italy</v>
          </cell>
          <cell r="C175" t="str">
            <v>IND_SALES_ITA</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row>
        <row r="176">
          <cell r="A176">
            <v>0</v>
          </cell>
          <cell r="B176" t="str">
            <v>Indirect Sales - % Netherlands</v>
          </cell>
          <cell r="C176" t="str">
            <v>IND_SALES_NETH</v>
          </cell>
          <cell r="D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row>
        <row r="177">
          <cell r="A177">
            <v>0</v>
          </cell>
          <cell r="B177" t="str">
            <v>Indirect Sales - % Norway</v>
          </cell>
          <cell r="C177" t="str">
            <v>IND_SALES_NOR</v>
          </cell>
          <cell r="D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row>
        <row r="178">
          <cell r="A178">
            <v>0</v>
          </cell>
          <cell r="B178" t="str">
            <v>Indirect Sales - % Portugal</v>
          </cell>
          <cell r="C178" t="str">
            <v>IND_SALES_POR</v>
          </cell>
          <cell r="D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row>
        <row r="179">
          <cell r="B179" t="str">
            <v>Indirect Sales - % Spain</v>
          </cell>
          <cell r="C179" t="str">
            <v>IND_SALES_SPA</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row>
        <row r="180">
          <cell r="B180" t="str">
            <v>Indirect Sales - % Other Western Europe-Ex UK</v>
          </cell>
          <cell r="C180" t="str">
            <v>IND_SALES_OTH_EU_EX_UK</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0.17</v>
          </cell>
          <cell r="AO180">
            <v>0.17</v>
          </cell>
          <cell r="AP180">
            <v>0</v>
          </cell>
          <cell r="AQ180">
            <v>0</v>
          </cell>
          <cell r="AR180">
            <v>0</v>
          </cell>
          <cell r="AS180">
            <v>0</v>
          </cell>
          <cell r="AT180">
            <v>0</v>
          </cell>
          <cell r="AU180">
            <v>0</v>
          </cell>
          <cell r="AV180">
            <v>0</v>
          </cell>
          <cell r="AW180">
            <v>0</v>
          </cell>
        </row>
        <row r="181">
          <cell r="A181">
            <v>0</v>
          </cell>
          <cell r="B181" t="str">
            <v>Indirect Sales - % Sweden</v>
          </cell>
          <cell r="C181" t="str">
            <v>IND_SALES_SWE</v>
          </cell>
          <cell r="D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row>
        <row r="182">
          <cell r="A182">
            <v>0</v>
          </cell>
          <cell r="B182" t="str">
            <v>Indirect Sales - % Switzerland</v>
          </cell>
          <cell r="C182" t="str">
            <v>IND_SALES_SWIT</v>
          </cell>
          <cell r="D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row>
        <row r="183">
          <cell r="B183" t="str">
            <v>Indirect Sales - % Central &amp; Eastern Europe</v>
          </cell>
          <cell r="C183" t="str">
            <v>IND_SALES_CEE</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row>
        <row r="184">
          <cell r="B184" t="str">
            <v>Indirect Sales - % Middle East</v>
          </cell>
          <cell r="C184" t="str">
            <v>IND_SALES_ME</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row>
        <row r="185">
          <cell r="B185" t="str">
            <v>Indirect Sales - % Russia</v>
          </cell>
          <cell r="C185" t="str">
            <v>IND_SALES_RUSSIA</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row>
        <row r="186">
          <cell r="B186" t="str">
            <v>Indirect sales - % South Africa</v>
          </cell>
          <cell r="C186" t="str">
            <v>IND_SALES_SO_AFRICA</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row>
        <row r="187">
          <cell r="B187" t="str">
            <v>Indirect sales - % Nigeria</v>
          </cell>
          <cell r="C187" t="str">
            <v>IND_SALES_NIGERIA</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row>
        <row r="188">
          <cell r="B188" t="str">
            <v>Indirect sales - % Other Africa</v>
          </cell>
          <cell r="C188" t="str">
            <v>IND_SALES_OTH_AFRICA</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row>
        <row r="189">
          <cell r="B189" t="str">
            <v>Indirect Sales - % Other EMEA</v>
          </cell>
          <cell r="C189" t="str">
            <v>IND_SALES_OTH_EMEA</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row>
        <row r="190">
          <cell r="B190" t="str">
            <v>Indirect sales - % Total Africa</v>
          </cell>
          <cell r="C190" t="str">
            <v>IND_SALES_TOT_AFRICA</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row>
        <row r="191">
          <cell r="B191" t="str">
            <v>Indirect Sales - Total % Asia (incl Australia &amp; New Zealand)</v>
          </cell>
          <cell r="C191" t="str">
            <v>IND_SALES_TOT_ASIA</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0.13</v>
          </cell>
          <cell r="AO191">
            <v>0.13</v>
          </cell>
          <cell r="AP191">
            <v>0</v>
          </cell>
          <cell r="AQ191">
            <v>0</v>
          </cell>
          <cell r="AR191">
            <v>0</v>
          </cell>
          <cell r="AS191">
            <v>0</v>
          </cell>
          <cell r="AT191">
            <v>0</v>
          </cell>
          <cell r="AU191">
            <v>0</v>
          </cell>
          <cell r="AV191">
            <v>0</v>
          </cell>
        </row>
        <row r="192">
          <cell r="B192" t="str">
            <v>Indirect Sales - % Japan</v>
          </cell>
          <cell r="C192" t="str">
            <v>IND_SALES_JAPAN</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row>
        <row r="193">
          <cell r="B193" t="str">
            <v>Indirect Sales - % China</v>
          </cell>
          <cell r="C193" t="str">
            <v>IND_SALES_CHINA</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row>
        <row r="194">
          <cell r="B194" t="str">
            <v>Indirect Sales - % India</v>
          </cell>
          <cell r="C194" t="str">
            <v>IND_SALES_INDIA</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row>
        <row r="195">
          <cell r="A195">
            <v>0</v>
          </cell>
          <cell r="B195" t="str">
            <v>Indirect Sales - % South Korea</v>
          </cell>
          <cell r="C195" t="str">
            <v>IND_SALES_SK</v>
          </cell>
          <cell r="D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row>
        <row r="196">
          <cell r="A196">
            <v>0</v>
          </cell>
          <cell r="B196" t="str">
            <v>Indirect Sales - % Australia</v>
          </cell>
          <cell r="C196" t="str">
            <v>IND_SALES_AUSTRA</v>
          </cell>
          <cell r="D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0.13</v>
          </cell>
          <cell r="AO196">
            <v>0.13</v>
          </cell>
          <cell r="AP196">
            <v>0</v>
          </cell>
          <cell r="AQ196">
            <v>0</v>
          </cell>
          <cell r="AR196">
            <v>0</v>
          </cell>
          <cell r="AS196">
            <v>0</v>
          </cell>
          <cell r="AT196">
            <v>0</v>
          </cell>
          <cell r="AU196">
            <v>0</v>
          </cell>
          <cell r="AV196">
            <v>0</v>
          </cell>
          <cell r="AW196">
            <v>0</v>
          </cell>
        </row>
        <row r="197">
          <cell r="A197">
            <v>0</v>
          </cell>
          <cell r="B197" t="str">
            <v>Indirect Sales - % New Zealand</v>
          </cell>
          <cell r="C197" t="str">
            <v>IND_SALES_NZ</v>
          </cell>
          <cell r="D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row>
        <row r="198">
          <cell r="B198" t="str">
            <v>Indirect Sales - % Other Asia</v>
          </cell>
          <cell r="C198" t="str">
            <v>IND_SALES_OTH_AEJ</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row>
        <row r="199">
          <cell r="B199" t="str">
            <v>Indirect Sales - % Others</v>
          </cell>
          <cell r="C199" t="str">
            <v>IND_SALES_OTHER</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0.1</v>
          </cell>
          <cell r="AO199">
            <v>0.1</v>
          </cell>
          <cell r="AP199">
            <v>0</v>
          </cell>
          <cell r="AQ199">
            <v>0</v>
          </cell>
          <cell r="AR199">
            <v>0</v>
          </cell>
          <cell r="AS199">
            <v>0</v>
          </cell>
          <cell r="AT199">
            <v>0</v>
          </cell>
          <cell r="AU199">
            <v>0</v>
          </cell>
          <cell r="AV199">
            <v>0</v>
          </cell>
        </row>
        <row r="200">
          <cell r="A200">
            <v>0</v>
          </cell>
          <cell r="B200" t="str">
            <v>Operating Profit - % Total Americas</v>
          </cell>
          <cell r="C200" t="str">
            <v>OP_TOT_AM</v>
          </cell>
          <cell r="D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row>
        <row r="201">
          <cell r="A201">
            <v>0</v>
          </cell>
          <cell r="B201" t="str">
            <v>Operating Profit - % United States</v>
          </cell>
          <cell r="C201" t="str">
            <v>OP_US</v>
          </cell>
          <cell r="D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row>
        <row r="202">
          <cell r="A202">
            <v>0</v>
          </cell>
          <cell r="B202" t="str">
            <v>Operating Profit - % Canada</v>
          </cell>
          <cell r="C202" t="str">
            <v>OP_CANADA</v>
          </cell>
          <cell r="D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row>
        <row r="203">
          <cell r="A203">
            <v>0</v>
          </cell>
          <cell r="B203" t="str">
            <v>Operating Profit - % Brazil</v>
          </cell>
          <cell r="C203" t="str">
            <v>OP_BRAZIL</v>
          </cell>
          <cell r="D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row>
        <row r="204">
          <cell r="A204">
            <v>0</v>
          </cell>
          <cell r="B204" t="str">
            <v>Operating Profit - % Other Americas</v>
          </cell>
          <cell r="C204" t="str">
            <v>OP_OTH_AM</v>
          </cell>
          <cell r="D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row>
        <row r="205">
          <cell r="A205">
            <v>0</v>
          </cell>
          <cell r="B205" t="str">
            <v>Operating Profit - Total % EMEA</v>
          </cell>
          <cell r="C205" t="str">
            <v>OP_TOT_EMEA</v>
          </cell>
          <cell r="D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row>
        <row r="206">
          <cell r="A206">
            <v>0</v>
          </cell>
          <cell r="B206" t="str">
            <v>Operating Profit - % UK</v>
          </cell>
          <cell r="C206" t="str">
            <v>OP_UK</v>
          </cell>
          <cell r="D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row>
        <row r="207">
          <cell r="A207">
            <v>0</v>
          </cell>
          <cell r="B207" t="str">
            <v>Operating Profit - % Europe-Ex UK</v>
          </cell>
          <cell r="C207" t="str">
            <v>OP_EU_EX_UK</v>
          </cell>
          <cell r="D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row>
        <row r="208">
          <cell r="A208">
            <v>0</v>
          </cell>
          <cell r="B208" t="str">
            <v>Operating Profit - % Austria</v>
          </cell>
          <cell r="C208" t="str">
            <v>OP_AUSTRIA</v>
          </cell>
          <cell r="D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row>
        <row r="209">
          <cell r="A209">
            <v>0</v>
          </cell>
          <cell r="B209" t="str">
            <v>Operating Profit - % Belgium</v>
          </cell>
          <cell r="C209" t="str">
            <v>OP_BEL</v>
          </cell>
          <cell r="D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row>
        <row r="210">
          <cell r="A210">
            <v>0</v>
          </cell>
          <cell r="B210" t="str">
            <v>Operating Profit - % Denmark</v>
          </cell>
          <cell r="C210" t="str">
            <v>OP_DEN</v>
          </cell>
          <cell r="D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row>
        <row r="211">
          <cell r="A211">
            <v>0</v>
          </cell>
          <cell r="B211" t="str">
            <v>Operating Profit - % Finland</v>
          </cell>
          <cell r="C211" t="str">
            <v>OP_FIN</v>
          </cell>
          <cell r="D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row>
        <row r="212">
          <cell r="A212">
            <v>0</v>
          </cell>
          <cell r="B212" t="str">
            <v>Operating Profit - % France</v>
          </cell>
          <cell r="C212" t="str">
            <v>OP_FRA</v>
          </cell>
          <cell r="D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row>
        <row r="213">
          <cell r="A213">
            <v>0</v>
          </cell>
          <cell r="B213" t="str">
            <v>Operating Profit - % Germany</v>
          </cell>
          <cell r="C213" t="str">
            <v>OP_GER</v>
          </cell>
          <cell r="D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row>
        <row r="214">
          <cell r="A214">
            <v>0</v>
          </cell>
          <cell r="B214" t="str">
            <v>Operating Profit - % Greece</v>
          </cell>
          <cell r="C214" t="str">
            <v>OP_GRE</v>
          </cell>
          <cell r="D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row>
        <row r="215">
          <cell r="A215">
            <v>0</v>
          </cell>
          <cell r="B215" t="str">
            <v>Operating Profit - % Iceland</v>
          </cell>
          <cell r="C215" t="str">
            <v>OP_ICE</v>
          </cell>
          <cell r="D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row>
        <row r="216">
          <cell r="A216">
            <v>0</v>
          </cell>
          <cell r="B216" t="str">
            <v>Operating Profit - % Ireland</v>
          </cell>
          <cell r="C216" t="str">
            <v>OP_IRE</v>
          </cell>
          <cell r="D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row>
        <row r="217">
          <cell r="A217">
            <v>0</v>
          </cell>
          <cell r="B217" t="str">
            <v>Operating Profit - % Italy</v>
          </cell>
          <cell r="C217" t="str">
            <v>OP_ITA</v>
          </cell>
          <cell r="D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row>
        <row r="218">
          <cell r="A218">
            <v>0</v>
          </cell>
          <cell r="B218" t="str">
            <v>Operating Profit - % Netherlands</v>
          </cell>
          <cell r="C218" t="str">
            <v>OP_NETH</v>
          </cell>
          <cell r="D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row>
        <row r="219">
          <cell r="A219">
            <v>0</v>
          </cell>
          <cell r="B219" t="str">
            <v>Operating Profit - % Norway</v>
          </cell>
          <cell r="C219" t="str">
            <v>OP_NOR</v>
          </cell>
          <cell r="D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row>
        <row r="220">
          <cell r="A220">
            <v>0</v>
          </cell>
          <cell r="B220" t="str">
            <v>Operating Profit - % Portugal</v>
          </cell>
          <cell r="C220" t="str">
            <v>OP_POR</v>
          </cell>
          <cell r="D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row>
        <row r="221">
          <cell r="A221">
            <v>0</v>
          </cell>
          <cell r="B221" t="str">
            <v>Operating Profit - % Spain</v>
          </cell>
          <cell r="C221" t="str">
            <v>OP_SPA</v>
          </cell>
          <cell r="D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row>
        <row r="222">
          <cell r="A222">
            <v>0</v>
          </cell>
          <cell r="B222" t="str">
            <v>Operating Profit - % Sweden</v>
          </cell>
          <cell r="C222" t="str">
            <v>OP_SWE</v>
          </cell>
          <cell r="D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row>
        <row r="223">
          <cell r="A223">
            <v>0</v>
          </cell>
          <cell r="B223" t="str">
            <v>Operating Profit - % Switzerland</v>
          </cell>
          <cell r="C223" t="str">
            <v>OP_SWIT</v>
          </cell>
          <cell r="D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row>
        <row r="224">
          <cell r="A224">
            <v>0</v>
          </cell>
          <cell r="B224" t="str">
            <v>Operating Profit - % Central &amp; Eastern Europe</v>
          </cell>
          <cell r="C224" t="str">
            <v>OP_CEE</v>
          </cell>
          <cell r="D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row>
        <row r="225">
          <cell r="A225">
            <v>0</v>
          </cell>
          <cell r="B225" t="str">
            <v>Operating Profit - % Middle East</v>
          </cell>
          <cell r="C225" t="str">
            <v>OP_ME</v>
          </cell>
          <cell r="D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row>
        <row r="226">
          <cell r="A226">
            <v>0</v>
          </cell>
          <cell r="B226" t="str">
            <v>Operating Profit - % Russia</v>
          </cell>
          <cell r="C226" t="str">
            <v>OP_RUSSIA</v>
          </cell>
          <cell r="D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row>
        <row r="227">
          <cell r="A227">
            <v>0</v>
          </cell>
          <cell r="B227" t="str">
            <v>Operating Profit - % Other EMEA</v>
          </cell>
          <cell r="C227" t="str">
            <v>OP_OTH_EMEA</v>
          </cell>
          <cell r="D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row>
        <row r="228">
          <cell r="A228">
            <v>0</v>
          </cell>
          <cell r="B228" t="str">
            <v>Operating Profit - Total % Asia (incl Australia &amp; New Zealand)</v>
          </cell>
          <cell r="C228" t="str">
            <v>OP_TOT_ASIA</v>
          </cell>
          <cell r="D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row>
        <row r="229">
          <cell r="A229">
            <v>0</v>
          </cell>
          <cell r="B229" t="str">
            <v>Operating Profit - % Japan</v>
          </cell>
          <cell r="C229" t="str">
            <v>OP_JAPAN</v>
          </cell>
          <cell r="D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row>
        <row r="230">
          <cell r="A230">
            <v>0</v>
          </cell>
          <cell r="B230" t="str">
            <v>Operating Profit - % Greater China (incl HK)</v>
          </cell>
          <cell r="C230" t="str">
            <v>OP_CHINA</v>
          </cell>
          <cell r="D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row>
        <row r="231">
          <cell r="A231">
            <v>0</v>
          </cell>
          <cell r="B231" t="str">
            <v>Operating Profit - % India</v>
          </cell>
          <cell r="C231" t="str">
            <v>OP_INDIA</v>
          </cell>
          <cell r="D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row>
        <row r="232">
          <cell r="A232">
            <v>0</v>
          </cell>
          <cell r="B232" t="str">
            <v>Operating Profit - % South Korea</v>
          </cell>
          <cell r="C232" t="str">
            <v>OP_SK</v>
          </cell>
          <cell r="D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row>
        <row r="233">
          <cell r="A233">
            <v>0</v>
          </cell>
          <cell r="B233" t="str">
            <v>Operating Profit - % Australia</v>
          </cell>
          <cell r="C233" t="str">
            <v>OP_AUSTRA</v>
          </cell>
          <cell r="D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row>
        <row r="234">
          <cell r="A234">
            <v>0</v>
          </cell>
          <cell r="B234" t="str">
            <v>Operating Profit - % New Zealand</v>
          </cell>
          <cell r="C234" t="str">
            <v>OP_NZ</v>
          </cell>
          <cell r="D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row>
        <row r="235">
          <cell r="A235">
            <v>0</v>
          </cell>
          <cell r="B235" t="str">
            <v>Operating Profit - % Other AEJ (incl Taiwan)</v>
          </cell>
          <cell r="C235" t="str">
            <v>OP_OTH_AEJ</v>
          </cell>
          <cell r="D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row>
        <row r="236">
          <cell r="A236">
            <v>0</v>
          </cell>
          <cell r="B236" t="str">
            <v>Operating Profit - % Others</v>
          </cell>
          <cell r="C236" t="str">
            <v>OP_OTHER</v>
          </cell>
          <cell r="D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row>
        <row r="237">
          <cell r="B237" t="str">
            <v>Sales -% Consumer (C)</v>
          </cell>
          <cell r="C237" t="str">
            <v>SALES_CONS</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row>
        <row r="238">
          <cell r="B238" t="str">
            <v>Sales -% Industry (I)</v>
          </cell>
          <cell r="C238" t="str">
            <v>SALES_IND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0.31</v>
          </cell>
          <cell r="AO238">
            <v>0.31</v>
          </cell>
          <cell r="AP238">
            <v>0</v>
          </cell>
          <cell r="AQ238">
            <v>0</v>
          </cell>
          <cell r="AR238">
            <v>0</v>
          </cell>
          <cell r="AS238">
            <v>0</v>
          </cell>
          <cell r="AT238">
            <v>0</v>
          </cell>
          <cell r="AU238">
            <v>0</v>
          </cell>
          <cell r="AV238">
            <v>0</v>
          </cell>
        </row>
        <row r="239">
          <cell r="B239" t="str">
            <v>Sales -% Government (G)</v>
          </cell>
          <cell r="C239" t="str">
            <v>SALES_GOV</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0.69</v>
          </cell>
          <cell r="AO239">
            <v>0.69</v>
          </cell>
          <cell r="AP239">
            <v>0</v>
          </cell>
          <cell r="AQ239">
            <v>0</v>
          </cell>
          <cell r="AR239">
            <v>0</v>
          </cell>
          <cell r="AS239">
            <v>0</v>
          </cell>
          <cell r="AT239">
            <v>0</v>
          </cell>
          <cell r="AU239">
            <v>0</v>
          </cell>
          <cell r="AV239">
            <v>0</v>
          </cell>
        </row>
        <row r="240">
          <cell r="B240" t="str">
            <v>Sales - % Industry Sub-Segment: Financial Services</v>
          </cell>
          <cell r="C240" t="str">
            <v>SALES_FINAN</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row>
        <row r="241">
          <cell r="A241">
            <v>0</v>
          </cell>
          <cell r="B241" t="str">
            <v>Operating Profit - % Consumer (C)</v>
          </cell>
          <cell r="C241" t="str">
            <v>OP_CONS</v>
          </cell>
          <cell r="D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row>
        <row r="242">
          <cell r="A242">
            <v>0</v>
          </cell>
          <cell r="B242" t="str">
            <v>Operating Profit - % Industry (I)</v>
          </cell>
          <cell r="C242" t="str">
            <v>OP_IND</v>
          </cell>
          <cell r="D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row>
        <row r="243">
          <cell r="A243">
            <v>0</v>
          </cell>
          <cell r="B243" t="str">
            <v>Operating Profit - % Government (G)</v>
          </cell>
          <cell r="C243" t="str">
            <v>OP_GOV</v>
          </cell>
          <cell r="D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row>
        <row r="244">
          <cell r="A244">
            <v>0</v>
          </cell>
          <cell r="B244" t="str">
            <v>Net Income - % Consumer (C)</v>
          </cell>
          <cell r="C244" t="str">
            <v>NI_CON</v>
          </cell>
          <cell r="D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row>
        <row r="245">
          <cell r="A245">
            <v>0</v>
          </cell>
          <cell r="B245" t="str">
            <v>Net Income - % Industry (I)</v>
          </cell>
          <cell r="C245" t="str">
            <v>NI_IND</v>
          </cell>
          <cell r="D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row>
        <row r="246">
          <cell r="A246">
            <v>0</v>
          </cell>
          <cell r="B246" t="str">
            <v>Net Income - % Government (G)</v>
          </cell>
          <cell r="C246" t="str">
            <v>NI_GOV</v>
          </cell>
          <cell r="D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row>
        <row r="247">
          <cell r="A247">
            <v>0</v>
          </cell>
          <cell r="B247" t="str">
            <v>Sales US - % Consumer (C)</v>
          </cell>
          <cell r="C247" t="str">
            <v>SALES_US_CONS</v>
          </cell>
          <cell r="D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row>
        <row r="248">
          <cell r="A248">
            <v>0</v>
          </cell>
          <cell r="B248" t="str">
            <v>Sales US - % Industry (I)</v>
          </cell>
          <cell r="C248" t="str">
            <v>SALES_US_IND</v>
          </cell>
          <cell r="D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row>
        <row r="249">
          <cell r="A249">
            <v>0</v>
          </cell>
          <cell r="B249" t="str">
            <v>Sales US - % Government (G)</v>
          </cell>
          <cell r="C249" t="str">
            <v>SALES_US_GOV</v>
          </cell>
          <cell r="D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row>
        <row r="250">
          <cell r="A250">
            <v>0</v>
          </cell>
          <cell r="B250" t="str">
            <v>Sales UK - % Consumer (C)</v>
          </cell>
          <cell r="C250" t="str">
            <v>SALES_UK_CONS</v>
          </cell>
          <cell r="D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row>
        <row r="251">
          <cell r="A251">
            <v>0</v>
          </cell>
          <cell r="B251" t="str">
            <v>Sales UK - % Industry (I)</v>
          </cell>
          <cell r="C251" t="str">
            <v>SALES_UK_IND</v>
          </cell>
          <cell r="D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row>
        <row r="252">
          <cell r="A252">
            <v>0</v>
          </cell>
          <cell r="B252" t="str">
            <v>Sales UK - % Government (G)</v>
          </cell>
          <cell r="C252" t="str">
            <v>SALES_UK_GOV</v>
          </cell>
          <cell r="D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row>
        <row r="253">
          <cell r="A253">
            <v>0</v>
          </cell>
          <cell r="B253" t="str">
            <v>Sales Dev. EU ex UK - % Consumer (C)</v>
          </cell>
          <cell r="C253" t="str">
            <v>SALES_EU_EX_UK_CONS</v>
          </cell>
          <cell r="D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row>
        <row r="254">
          <cell r="A254">
            <v>0</v>
          </cell>
          <cell r="B254" t="str">
            <v>Sales Dev. EU ex UK - % Industry (I)</v>
          </cell>
          <cell r="C254" t="str">
            <v>SALES_EU_EX_UK_IND</v>
          </cell>
          <cell r="D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row>
        <row r="255">
          <cell r="A255">
            <v>0</v>
          </cell>
          <cell r="B255" t="str">
            <v>Sales Dev. EU ex UK - % Government (G)</v>
          </cell>
          <cell r="C255" t="str">
            <v>SALES_EU_EX_UK_GOV</v>
          </cell>
          <cell r="D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row>
        <row r="256">
          <cell r="A256">
            <v>0</v>
          </cell>
          <cell r="B256" t="str">
            <v>Sales BRICs/other - % Consumer (C)</v>
          </cell>
          <cell r="C256" t="str">
            <v>SALES_BRICS_CONS</v>
          </cell>
          <cell r="D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row>
        <row r="257">
          <cell r="A257">
            <v>0</v>
          </cell>
          <cell r="B257" t="str">
            <v>Sales BRICs/other - % Industry (I)</v>
          </cell>
          <cell r="C257" t="str">
            <v>SALES_BRICS_IND</v>
          </cell>
          <cell r="D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row>
        <row r="258">
          <cell r="A258">
            <v>0</v>
          </cell>
          <cell r="B258" t="str">
            <v>Sales BRICs/other - % Government (G)</v>
          </cell>
          <cell r="C258" t="str">
            <v>SALES_BRICS_GOV</v>
          </cell>
          <cell r="D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row>
        <row r="259">
          <cell r="B259" t="str">
            <v>Indirect Sales -% Consumer (C)</v>
          </cell>
          <cell r="C259" t="str">
            <v>IND_SALES_CONS</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row>
        <row r="260">
          <cell r="B260" t="str">
            <v>Indirect Sales -% Industry (I)</v>
          </cell>
          <cell r="C260" t="str">
            <v>IND_SALES_IND</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0.31</v>
          </cell>
          <cell r="AO260">
            <v>0.31</v>
          </cell>
          <cell r="AP260">
            <v>0</v>
          </cell>
          <cell r="AQ260">
            <v>0</v>
          </cell>
          <cell r="AR260">
            <v>0</v>
          </cell>
          <cell r="AS260">
            <v>0</v>
          </cell>
          <cell r="AT260">
            <v>0</v>
          </cell>
          <cell r="AU260">
            <v>0</v>
          </cell>
          <cell r="AV260">
            <v>0</v>
          </cell>
        </row>
        <row r="261">
          <cell r="B261" t="str">
            <v>Indirect Sales -% Government (G)</v>
          </cell>
          <cell r="C261" t="str">
            <v>IND_SALES_GOV</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0.69</v>
          </cell>
          <cell r="AO261">
            <v>0.69</v>
          </cell>
          <cell r="AP261">
            <v>0</v>
          </cell>
          <cell r="AQ261">
            <v>0</v>
          </cell>
          <cell r="AR261">
            <v>0</v>
          </cell>
          <cell r="AS261">
            <v>0</v>
          </cell>
          <cell r="AT261">
            <v>0</v>
          </cell>
          <cell r="AU261">
            <v>0</v>
          </cell>
          <cell r="AV261">
            <v>0</v>
          </cell>
        </row>
        <row r="262">
          <cell r="B262" t="str">
            <v>Indirect Sales -% Industry Sub-Segment: Financial Services</v>
          </cell>
          <cell r="C262" t="str">
            <v>IND_SALES_FINAN</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row>
        <row r="263">
          <cell r="A263">
            <v>0</v>
          </cell>
          <cell r="B263" t="str">
            <v>Indirect Sales US - % Consumer (C)</v>
          </cell>
          <cell r="C263" t="str">
            <v>IND_SALES_US_CONS</v>
          </cell>
          <cell r="D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row>
        <row r="264">
          <cell r="A264">
            <v>0</v>
          </cell>
          <cell r="B264" t="str">
            <v>Indirect Sales US - % Industry (I)</v>
          </cell>
          <cell r="C264" t="str">
            <v>IND_SALES_US_IND</v>
          </cell>
          <cell r="D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row>
        <row r="265">
          <cell r="A265">
            <v>0</v>
          </cell>
          <cell r="B265" t="str">
            <v>Indirect Sales US - % Government (G)</v>
          </cell>
          <cell r="C265" t="str">
            <v>IND_SALES_US_GOV</v>
          </cell>
          <cell r="D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row>
        <row r="266">
          <cell r="A266">
            <v>0</v>
          </cell>
          <cell r="B266" t="str">
            <v>Indirect Sales UK - % Consumer (C)</v>
          </cell>
          <cell r="C266" t="str">
            <v>IND_SALES_UK_CONS</v>
          </cell>
          <cell r="D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row>
        <row r="267">
          <cell r="A267">
            <v>0</v>
          </cell>
          <cell r="B267" t="str">
            <v>Indirect Sales UK - % Industry (I)</v>
          </cell>
          <cell r="C267" t="str">
            <v>IND_SALES_UK_IND</v>
          </cell>
          <cell r="D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row>
        <row r="268">
          <cell r="A268">
            <v>0</v>
          </cell>
          <cell r="B268" t="str">
            <v>Indirect Sales UK - % Government (G)</v>
          </cell>
          <cell r="C268" t="str">
            <v>IND_SALES_UK_GOV</v>
          </cell>
          <cell r="D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row>
        <row r="269">
          <cell r="A269">
            <v>0</v>
          </cell>
          <cell r="B269" t="str">
            <v>Indirect Sales Dev. EU ex UK - % Consumer (C)</v>
          </cell>
          <cell r="C269" t="str">
            <v>IND_SALES_EU_EX_UK_CONS</v>
          </cell>
          <cell r="D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row>
        <row r="270">
          <cell r="A270">
            <v>0</v>
          </cell>
          <cell r="B270" t="str">
            <v>Indirect Sales Dev. EU ex UK - % Industry (I)</v>
          </cell>
          <cell r="C270" t="str">
            <v>IND_SALES_EU_EX_UK_IND</v>
          </cell>
          <cell r="D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row>
        <row r="271">
          <cell r="A271">
            <v>0</v>
          </cell>
          <cell r="B271" t="str">
            <v>Indirect Sales Dev. EU ex UK - % Government (G)</v>
          </cell>
          <cell r="C271" t="str">
            <v>IND_SALES_EU_EX_UK_GOV</v>
          </cell>
          <cell r="D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row>
        <row r="272">
          <cell r="A272">
            <v>0</v>
          </cell>
          <cell r="B272" t="str">
            <v>Indirect Sales BRICs/other - % Consumer (C)</v>
          </cell>
          <cell r="C272" t="str">
            <v>IND_SALES_BRICS_CONS</v>
          </cell>
          <cell r="D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row>
        <row r="273">
          <cell r="A273">
            <v>0</v>
          </cell>
          <cell r="B273" t="str">
            <v>Indirect Sales BRICs/other - % Industry (I)</v>
          </cell>
          <cell r="C273" t="str">
            <v>IND_SALES_BRICS_IND</v>
          </cell>
          <cell r="D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row>
        <row r="274">
          <cell r="A274">
            <v>0</v>
          </cell>
          <cell r="B274" t="str">
            <v>Indirect Sales BRICs/other - % Government (G)</v>
          </cell>
          <cell r="C274" t="str">
            <v>IND_SALES_BRICS_GOV</v>
          </cell>
          <cell r="D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row>
        <row r="275">
          <cell r="A275">
            <v>0</v>
          </cell>
          <cell r="B275" t="str">
            <v>Operating Profit US - % Consumer (C)</v>
          </cell>
          <cell r="C275" t="str">
            <v>OP_US_CONS</v>
          </cell>
          <cell r="D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row>
        <row r="276">
          <cell r="A276">
            <v>0</v>
          </cell>
          <cell r="B276" t="str">
            <v>Operating Profit US - % Industry (I)</v>
          </cell>
          <cell r="C276" t="str">
            <v>OP_US_IND</v>
          </cell>
          <cell r="D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row>
        <row r="277">
          <cell r="A277">
            <v>0</v>
          </cell>
          <cell r="B277" t="str">
            <v>Operating Profit US - % Government (G)</v>
          </cell>
          <cell r="C277" t="str">
            <v>OP_US_GOV</v>
          </cell>
          <cell r="D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row>
        <row r="278">
          <cell r="A278">
            <v>0</v>
          </cell>
          <cell r="B278" t="str">
            <v>Operating Profit UK - % Consumer (C)</v>
          </cell>
          <cell r="C278" t="str">
            <v>OP_UK_CONS</v>
          </cell>
          <cell r="D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row>
        <row r="279">
          <cell r="A279">
            <v>0</v>
          </cell>
          <cell r="B279" t="str">
            <v>Operating Profit UK - % Industry (I)</v>
          </cell>
          <cell r="C279" t="str">
            <v>OP_UK_IND</v>
          </cell>
          <cell r="D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row>
        <row r="280">
          <cell r="A280">
            <v>0</v>
          </cell>
          <cell r="B280" t="str">
            <v>Operating Profit UK - % Government (G)</v>
          </cell>
          <cell r="C280" t="str">
            <v>OP_UK_GOV</v>
          </cell>
          <cell r="D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row>
        <row r="281">
          <cell r="A281">
            <v>0</v>
          </cell>
          <cell r="B281" t="str">
            <v>Operating Profit Dev, EU ex-UK% Consumer (C)</v>
          </cell>
          <cell r="C281" t="str">
            <v>OP_EU_EX_UK_CONS</v>
          </cell>
          <cell r="D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row>
        <row r="282">
          <cell r="A282">
            <v>0</v>
          </cell>
          <cell r="B282" t="str">
            <v>Operating Profit Dev, EU ex-UK% Industry (I)</v>
          </cell>
          <cell r="C282" t="str">
            <v>OP_EU_EX_UK_IND</v>
          </cell>
          <cell r="D282">
            <v>0</v>
          </cell>
          <cell r="F282" t="str">
            <v/>
          </cell>
          <cell r="G282" t="str">
            <v/>
          </cell>
          <cell r="H282" t="str">
            <v/>
          </cell>
          <cell r="I282" t="str">
            <v/>
          </cell>
          <cell r="J282" t="str">
            <v/>
          </cell>
          <cell r="K282" t="str">
            <v/>
          </cell>
          <cell r="L282" t="str">
            <v/>
          </cell>
          <cell r="M282" t="str">
            <v/>
          </cell>
          <cell r="N282" t="str">
            <v/>
          </cell>
          <cell r="O282" t="str">
            <v/>
          </cell>
          <cell r="P282" t="str">
            <v/>
          </cell>
          <cell r="Q282" t="str">
            <v/>
          </cell>
          <cell r="R282" t="str">
            <v/>
          </cell>
          <cell r="S282" t="str">
            <v/>
          </cell>
          <cell r="T282" t="str">
            <v/>
          </cell>
          <cell r="U282" t="str">
            <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row>
        <row r="283">
          <cell r="A283">
            <v>0</v>
          </cell>
          <cell r="B283" t="str">
            <v>Operating Profit Dev, EU ex-UK% Government (G)</v>
          </cell>
          <cell r="C283" t="str">
            <v>OP_EU_EX_UK_GOV</v>
          </cell>
          <cell r="D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row>
        <row r="284">
          <cell r="A284">
            <v>0</v>
          </cell>
          <cell r="B284" t="str">
            <v>Operating Profit BRICs/other - % Consumer (C)</v>
          </cell>
          <cell r="C284" t="str">
            <v>OP_BRICS_CONS</v>
          </cell>
          <cell r="D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row>
        <row r="285">
          <cell r="A285">
            <v>0</v>
          </cell>
          <cell r="B285" t="str">
            <v>Operating Profit BRICs/other - % Industry (I)</v>
          </cell>
          <cell r="C285" t="str">
            <v>OP_BRICS_IND</v>
          </cell>
          <cell r="D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row>
        <row r="286">
          <cell r="A286">
            <v>0</v>
          </cell>
          <cell r="B286" t="str">
            <v>Operating Profit BRICs/other - % Government (G)</v>
          </cell>
          <cell r="C286" t="str">
            <v>OP_BRICS_GOV</v>
          </cell>
          <cell r="D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row>
        <row r="287">
          <cell r="A287">
            <v>0</v>
          </cell>
          <cell r="B287" t="str">
            <v>Net Income  US - % Consumer (C)</v>
          </cell>
          <cell r="C287" t="str">
            <v>NI_US_CONS</v>
          </cell>
          <cell r="D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row>
        <row r="288">
          <cell r="A288">
            <v>0</v>
          </cell>
          <cell r="B288" t="str">
            <v>Net Income  US - % Industry (I)</v>
          </cell>
          <cell r="C288" t="str">
            <v>NI_US_IND</v>
          </cell>
          <cell r="D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row>
        <row r="289">
          <cell r="A289">
            <v>0</v>
          </cell>
          <cell r="B289" t="str">
            <v>Net Income  US - % Government (G)</v>
          </cell>
          <cell r="C289" t="str">
            <v>NI_US_GOV</v>
          </cell>
          <cell r="D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row>
        <row r="290">
          <cell r="A290">
            <v>0</v>
          </cell>
          <cell r="B290" t="str">
            <v>Net Income  UK - % Consumer (C)</v>
          </cell>
          <cell r="C290" t="str">
            <v>NI_UK_CONS</v>
          </cell>
          <cell r="D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row>
        <row r="291">
          <cell r="A291">
            <v>0</v>
          </cell>
          <cell r="B291" t="str">
            <v>Net Income  UK - % Industry (I)</v>
          </cell>
          <cell r="C291" t="str">
            <v>NI_UK_IND</v>
          </cell>
          <cell r="D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row>
        <row r="292">
          <cell r="A292">
            <v>0</v>
          </cell>
          <cell r="B292" t="str">
            <v>Net Income  UK - % Government (G)</v>
          </cell>
          <cell r="C292" t="str">
            <v>NI_UK_GOV</v>
          </cell>
          <cell r="D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row>
        <row r="293">
          <cell r="A293">
            <v>0</v>
          </cell>
          <cell r="B293" t="str">
            <v>Net Income  Dev, EU ex-UK% Consumer (C)</v>
          </cell>
          <cell r="C293" t="str">
            <v>NI_EU_EX_UK_CONS</v>
          </cell>
          <cell r="D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row>
        <row r="294">
          <cell r="A294">
            <v>0</v>
          </cell>
          <cell r="B294" t="str">
            <v>Net Income  Dev, EU ex-UK% Industry (I)</v>
          </cell>
          <cell r="C294" t="str">
            <v>NI_EU_EX_UK_IND</v>
          </cell>
          <cell r="D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row>
        <row r="295">
          <cell r="A295">
            <v>0</v>
          </cell>
          <cell r="B295" t="str">
            <v>Net Income  Dev, EU ex-UK% Government (G)</v>
          </cell>
          <cell r="C295" t="str">
            <v>NI_EU_EX_UK_GOV</v>
          </cell>
          <cell r="D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row>
        <row r="296">
          <cell r="A296">
            <v>0</v>
          </cell>
          <cell r="B296" t="str">
            <v>Net Income  BRICs/other - % Consumer (C)</v>
          </cell>
          <cell r="C296" t="str">
            <v>NI_BRICS_CONS</v>
          </cell>
          <cell r="D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row>
        <row r="297">
          <cell r="A297">
            <v>0</v>
          </cell>
          <cell r="B297" t="str">
            <v>Net Income  BRICs/other - % Industry (I)</v>
          </cell>
          <cell r="C297" t="str">
            <v>NI_BRICS_IND</v>
          </cell>
          <cell r="D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row>
        <row r="298">
          <cell r="A298">
            <v>0</v>
          </cell>
          <cell r="B298" t="str">
            <v>Net Income  BRICs/other - % Government (G)</v>
          </cell>
          <cell r="C298" t="str">
            <v>NI_BRICS_GOV</v>
          </cell>
          <cell r="D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row>
        <row r="299">
          <cell r="A299" t="str">
            <v>Commodities Exposure - Sales</v>
          </cell>
          <cell r="B299">
            <v>0</v>
          </cell>
          <cell r="C299">
            <v>0</v>
          </cell>
          <cell r="D299">
            <v>0</v>
          </cell>
        </row>
        <row r="300">
          <cell r="B300" t="str">
            <v>Sales - % Other commodity</v>
          </cell>
          <cell r="C300" t="str">
            <v>SALES_OTH_COMMODITY</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row>
        <row r="301">
          <cell r="B301" t="str">
            <v>Sales - % Other (Non-Commodity) sales sources</v>
          </cell>
          <cell r="C301" t="str">
            <v>SALES_OTH_SALES_SOURCES</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row>
        <row r="302">
          <cell r="A302" t="str">
            <v>Commodities Exposure - Expense</v>
          </cell>
          <cell r="B302">
            <v>0</v>
          </cell>
          <cell r="C302">
            <v>0</v>
          </cell>
          <cell r="D302">
            <v>0</v>
          </cell>
        </row>
        <row r="303">
          <cell r="B303" t="str">
            <v>Expense - % Oil/Petrol/Fuel</v>
          </cell>
          <cell r="C303" t="str">
            <v>EXP_OIL_PETRO_FUEL</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row>
        <row r="304">
          <cell r="B304" t="str">
            <v>Expense - % Oil derivatives/NGLs/plastics</v>
          </cell>
          <cell r="C304" t="str">
            <v>EXP_OIL_DERIV_NGLS_PLASTICS</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row>
        <row r="305">
          <cell r="B305" t="str">
            <v>Expense - % Nat Gas</v>
          </cell>
          <cell r="C305" t="str">
            <v>EXP_NAT_GAS</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row>
        <row r="306">
          <cell r="B306" t="str">
            <v>Expense - % Gold</v>
          </cell>
          <cell r="C306" t="str">
            <v>EXP_GOLD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row>
        <row r="307">
          <cell r="B307" t="str">
            <v>Expense - % Copper</v>
          </cell>
          <cell r="C307" t="str">
            <v>EXP_COPPER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row>
        <row r="308">
          <cell r="B308" t="str">
            <v>Expense - % Silver</v>
          </cell>
          <cell r="C308" t="str">
            <v>EXP_SILVER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row>
        <row r="309">
          <cell r="B309" t="str">
            <v>Expense - % Platinum</v>
          </cell>
          <cell r="C309" t="str">
            <v>EXP_PLATINUM</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row>
        <row r="310">
          <cell r="B310" t="str">
            <v>Expense - % Palladium</v>
          </cell>
          <cell r="C310" t="str">
            <v>EXP_PALLADIUM</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row>
        <row r="311">
          <cell r="B311" t="str">
            <v>Expense - % Aluminium</v>
          </cell>
          <cell r="C311" t="str">
            <v>EXP_ALUMINIUM</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row>
        <row r="312">
          <cell r="B312" t="str">
            <v>Expense - % Nickel</v>
          </cell>
          <cell r="C312" t="str">
            <v>EXP_NICKEL</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row>
        <row r="313">
          <cell r="B313" t="str">
            <v>Expense - % Zinc</v>
          </cell>
          <cell r="C313" t="str">
            <v>EXP_ZINC</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row>
        <row r="314">
          <cell r="B314" t="str">
            <v>Expense - % Steel</v>
          </cell>
          <cell r="C314" t="str">
            <v>EXP_STEEL</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row>
        <row r="315">
          <cell r="B315" t="str">
            <v>Expense - % Glass</v>
          </cell>
          <cell r="C315" t="str">
            <v>EXP_GLASS</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row>
        <row r="316">
          <cell r="B316" t="str">
            <v>Expense - % Rubber</v>
          </cell>
          <cell r="C316" t="str">
            <v>EXP_RUBBER</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row>
        <row r="317">
          <cell r="B317" t="str">
            <v>Expense - % Water</v>
          </cell>
          <cell r="C317" t="str">
            <v>EXP_WATER</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row>
        <row r="318">
          <cell r="B318" t="str">
            <v>Expense - % Other commodity</v>
          </cell>
          <cell r="C318" t="str">
            <v>EXP_OTH_COMMODITY</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row>
        <row r="319">
          <cell r="B319" t="str">
            <v>Expense - % Other (Non-Commodity) cost</v>
          </cell>
          <cell r="C319" t="str">
            <v>EXP_OTH_COST</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row>
        <row r="320">
          <cell r="A320" t="str">
            <v>FX Exposure - Sales</v>
          </cell>
          <cell r="B320">
            <v>0</v>
          </cell>
          <cell r="C320">
            <v>0</v>
          </cell>
          <cell r="D320">
            <v>0</v>
          </cell>
        </row>
        <row r="321">
          <cell r="B321" t="str">
            <v>Sales - % FX: British Pounds/Pence</v>
          </cell>
          <cell r="C321" t="str">
            <v>SALES_FX_GPB</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0.1</v>
          </cell>
          <cell r="AO321">
            <v>0.1</v>
          </cell>
          <cell r="AP321">
            <v>0</v>
          </cell>
          <cell r="AQ321">
            <v>0</v>
          </cell>
          <cell r="AR321">
            <v>0</v>
          </cell>
          <cell r="AS321">
            <v>0</v>
          </cell>
          <cell r="AT321">
            <v>0</v>
          </cell>
          <cell r="AU321">
            <v>0</v>
          </cell>
          <cell r="AV321">
            <v>0</v>
          </cell>
          <cell r="AW321">
            <v>0</v>
          </cell>
        </row>
        <row r="322">
          <cell r="B322" t="str">
            <v>Sales - % FX: Euro</v>
          </cell>
          <cell r="C322" t="str">
            <v>SALES_FX_EUR</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0.17</v>
          </cell>
          <cell r="AO322">
            <v>0.17</v>
          </cell>
          <cell r="AP322">
            <v>0</v>
          </cell>
          <cell r="AQ322">
            <v>0</v>
          </cell>
          <cell r="AR322">
            <v>0</v>
          </cell>
          <cell r="AS322">
            <v>0</v>
          </cell>
          <cell r="AT322">
            <v>0</v>
          </cell>
          <cell r="AU322">
            <v>0</v>
          </cell>
          <cell r="AV322">
            <v>0</v>
          </cell>
          <cell r="AW322">
            <v>0</v>
          </cell>
        </row>
        <row r="323">
          <cell r="B323" t="str">
            <v>Sales - % FX: New Russian Ruble</v>
          </cell>
          <cell r="C323" t="str">
            <v>SALES_FX_RUB</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row>
        <row r="324">
          <cell r="B324" t="str">
            <v>Sales - % FX: U.S. Dollar</v>
          </cell>
          <cell r="C324" t="str">
            <v>SALES_FX_USD</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0.73</v>
          </cell>
          <cell r="AO324">
            <v>0.73</v>
          </cell>
          <cell r="AP324">
            <v>0</v>
          </cell>
          <cell r="AQ324">
            <v>0</v>
          </cell>
          <cell r="AR324">
            <v>0</v>
          </cell>
          <cell r="AS324">
            <v>0</v>
          </cell>
          <cell r="AT324">
            <v>0</v>
          </cell>
          <cell r="AU324">
            <v>0</v>
          </cell>
          <cell r="AV324">
            <v>0</v>
          </cell>
          <cell r="AW324">
            <v>0</v>
          </cell>
        </row>
        <row r="325">
          <cell r="B325" t="str">
            <v>Sales - % FX: Brazilian Real</v>
          </cell>
          <cell r="C325" t="str">
            <v>SALES_FX_BRL</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row>
        <row r="326">
          <cell r="B326" t="str">
            <v>Sales - % FX: Japanese Yen</v>
          </cell>
          <cell r="C326" t="str">
            <v>SALES_FX_YEN</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row>
        <row r="327">
          <cell r="B327" t="str">
            <v>Sales - % FX: Chinese Renminbi</v>
          </cell>
          <cell r="C327" t="str">
            <v>SALES_FX_CNY</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row>
        <row r="328">
          <cell r="B328" t="str">
            <v>Sales - % FX: Indian Rupee</v>
          </cell>
          <cell r="C328" t="str">
            <v>SALES_FX_INR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row>
        <row r="329">
          <cell r="B329" t="str">
            <v>Sales - % FX: South African Rand</v>
          </cell>
          <cell r="C329" t="str">
            <v>SALES_FX_ZAR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row>
        <row r="330">
          <cell r="B330" t="str">
            <v>Sales - % FX: Nigerian Naira</v>
          </cell>
          <cell r="C330" t="str">
            <v>SALES_FX_NGN</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row>
        <row r="331">
          <cell r="B331" t="str">
            <v>Sales - % FX: Swiss Franc</v>
          </cell>
          <cell r="C331" t="str">
            <v>SALES_FX_CHF</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row>
        <row r="332">
          <cell r="B332" t="str">
            <v>Sales - % FX: UAE Dirham</v>
          </cell>
          <cell r="C332" t="str">
            <v>SALES_FX_AED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row>
        <row r="333">
          <cell r="B333" t="str">
            <v>Sales - % FX: New Turkish Lira</v>
          </cell>
          <cell r="C333" t="str">
            <v>SALES_FX_TRY</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row>
        <row r="334">
          <cell r="B334" t="str">
            <v>Sales - % FX: Other Currency</v>
          </cell>
          <cell r="C334" t="str">
            <v>SALES_FX_OTH</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row>
        <row r="335">
          <cell r="A335" t="str">
            <v>Security: Cobham</v>
          </cell>
          <cell r="B335">
            <v>0</v>
          </cell>
          <cell r="C335">
            <v>0</v>
          </cell>
          <cell r="D335">
            <v>0</v>
          </cell>
          <cell r="AW335">
            <v>0</v>
          </cell>
        </row>
        <row r="336">
          <cell r="A336" t="str">
            <v>Reference Data</v>
          </cell>
          <cell r="B336">
            <v>0</v>
          </cell>
          <cell r="C336">
            <v>0</v>
          </cell>
          <cell r="D336">
            <v>0</v>
          </cell>
          <cell r="AW336">
            <v>0</v>
          </cell>
        </row>
        <row r="337">
          <cell r="B337" t="str">
            <v>Ticker</v>
          </cell>
          <cell r="C337" t="str">
            <v>Ticker</v>
          </cell>
          <cell r="E337" t="str">
            <v>COB.L</v>
          </cell>
        </row>
        <row r="338">
          <cell r="B338" t="str">
            <v>Security Name</v>
          </cell>
          <cell r="C338" t="str">
            <v>Security Name</v>
          </cell>
          <cell r="E338" t="str">
            <v>Cobham</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cell r="B343">
            <v>0</v>
          </cell>
          <cell r="C343">
            <v>0</v>
          </cell>
          <cell r="D343">
            <v>0</v>
          </cell>
          <cell r="AW343">
            <v>0</v>
          </cell>
        </row>
        <row r="344">
          <cell r="B344" t="str">
            <v>Pan Europe Investment List</v>
          </cell>
          <cell r="C344" t="str">
            <v>EURO_LIST</v>
          </cell>
          <cell r="E344">
            <v>0</v>
          </cell>
        </row>
        <row r="345">
          <cell r="B345" t="str">
            <v>Pan Europe Conviction List</v>
          </cell>
          <cell r="C345" t="str">
            <v>EURO_CONVICTION</v>
          </cell>
          <cell r="E345">
            <v>0</v>
          </cell>
        </row>
        <row r="346">
          <cell r="B346" t="str">
            <v>Legal rating</v>
          </cell>
          <cell r="C346" t="str">
            <v>LEGAL_RATING</v>
          </cell>
          <cell r="E346">
            <v>0</v>
          </cell>
        </row>
        <row r="347">
          <cell r="B347" t="str">
            <v>Target price</v>
          </cell>
          <cell r="C347" t="str">
            <v>TARGET_PRICE</v>
          </cell>
          <cell r="D347" t="str">
            <v>GBP</v>
          </cell>
          <cell r="E347">
            <v>279</v>
          </cell>
        </row>
        <row r="348">
          <cell r="B348" t="str">
            <v>Target price period</v>
          </cell>
          <cell r="C348" t="str">
            <v>TP_PERIOD</v>
          </cell>
          <cell r="E348" t="str">
            <v>12 months</v>
          </cell>
        </row>
      </sheetData>
      <sheetData sheetId="4" refreshError="1"/>
      <sheetData sheetId="5" refreshError="1"/>
      <sheetData sheetId="6" refreshError="1"/>
      <sheetData sheetId="7" refreshError="1"/>
      <sheetData sheetId="8" refreshError="1"/>
      <sheetData sheetId="9" refreshError="1"/>
      <sheetData sheetId="10">
        <row r="139">
          <cell r="B139">
            <v>225.19999999999996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ATCOa.ST"/>
      <sheetName val="ATCOa.ST_Live_Sheet"/>
      <sheetName val="ATCOa.ST_Validation_Sheet"/>
      <sheetName val="ATCOa.ST_Annotation_Sheet"/>
      <sheetName val="Cover Page"/>
      <sheetName val="Atlas Copco Snapshot"/>
      <sheetName val="ATCOa.ST_Exchange_Sheet"/>
      <sheetName val="Core &gt;&gt;"/>
      <sheetName val="OpMod"/>
      <sheetName val="Interim"/>
      <sheetName val="Acq &amp; Disp"/>
      <sheetName val="SOTP"/>
      <sheetName val="ROIC"/>
      <sheetName val="DCF"/>
      <sheetName val="10 Yr Val"/>
      <sheetName val="Normalization"/>
      <sheetName val="Analysis &gt;&gt;"/>
      <sheetName val="Quarterly output"/>
      <sheetName val="New vs Old"/>
      <sheetName val="GS vs. Cons"/>
      <sheetName val="Consensus"/>
      <sheetName val="Output financials"/>
      <sheetName val="OSG &amp; margins (Y)"/>
      <sheetName val="OSG &amp; margins (Q)"/>
      <sheetName val="Charts"/>
      <sheetName val="EVEBIT act"/>
      <sheetName val="Edwards"/>
      <sheetName val="ISRA"/>
      <sheetName val="Bridges"/>
      <sheetName val="Other &gt;&gt;"/>
      <sheetName val="Summary"/>
      <sheetName val="Q out NEW"/>
      <sheetName val="Charts New"/>
      <sheetName val="Forecasting &gt;&gt;&gt;"/>
      <sheetName val="Compressor Technique"/>
      <sheetName val="Mining &amp; Rock Excavation"/>
      <sheetName val="Vacuum Technique"/>
      <sheetName val="Power Technique"/>
      <sheetName val="Industrial Technique"/>
      <sheetName val="Other &gt;&gt;&gt;"/>
      <sheetName val="Correlations"/>
      <sheetName val="Bull vs Bear"/>
      <sheetName val="Equipment Calc"/>
      <sheetName val="Aftermarket"/>
      <sheetName val="Director's Cut"/>
      <sheetName val="Mining"/>
      <sheetName val="Growth from Acquistions"/>
      <sheetName val="EBITDA from Acquistions"/>
      <sheetName val="MRE Aftermarket Sensitivity"/>
      <sheetName val="Raw Materials"/>
      <sheetName val="Steel Prices"/>
      <sheetName val="Output"/>
      <sheetName val="Output OLD"/>
      <sheetName val="Q data"/>
      <sheetName val="Schematics"/>
      <sheetName val="MRE Margins"/>
      <sheetName val="Use of Cash &amp; Leverage"/>
      <sheetName val="Pricing and recievables"/>
      <sheetName val="Implied OSG"/>
      <sheetName val="Market Share"/>
      <sheetName val="Shares by segment"/>
      <sheetName val="Org vs. Acquired Growth"/>
      <sheetName val="Vacuum Structural Growth"/>
      <sheetName val="NewCo Capacit"/>
      <sheetName val="End Markets"/>
      <sheetName val="Sheet2"/>
      <sheetName val="Sheet1 (2)"/>
      <sheetName val="Sheet1"/>
      <sheetName val="Val"/>
      <sheetName val="Driven by China"/>
      <sheetName val="Atlas vs. Market"/>
      <sheetName val="Estimate Changes"/>
      <sheetName val="QP_ATCOa.ST"/>
      <sheetName val="M&amp;A"/>
      <sheetName val="Output &gt;&gt;"/>
      <sheetName val="SOTP_old"/>
      <sheetName val="Client tabs"/>
    </sheetNames>
    <sheetDataSet>
      <sheetData sheetId="0"/>
      <sheetData sheetId="1">
        <row r="1">
          <cell r="A1" t="str">
            <v>Issuer: Atlas Copco</v>
          </cell>
          <cell r="C1">
            <v>1188226360</v>
          </cell>
          <cell r="F1">
            <v>1994</v>
          </cell>
          <cell r="G1">
            <v>1995</v>
          </cell>
          <cell r="H1">
            <v>1996</v>
          </cell>
          <cell r="I1">
            <v>1997</v>
          </cell>
          <cell r="J1">
            <v>1998</v>
          </cell>
          <cell r="K1">
            <v>1999</v>
          </cell>
          <cell r="L1">
            <v>2000</v>
          </cell>
          <cell r="M1">
            <v>2001</v>
          </cell>
          <cell r="N1">
            <v>2002</v>
          </cell>
          <cell r="O1">
            <v>2003</v>
          </cell>
          <cell r="P1">
            <v>2004</v>
          </cell>
          <cell r="Q1">
            <v>2005</v>
          </cell>
          <cell r="R1">
            <v>2006</v>
          </cell>
          <cell r="S1">
            <v>2007</v>
          </cell>
          <cell r="T1">
            <v>2008</v>
          </cell>
          <cell r="U1">
            <v>2009</v>
          </cell>
          <cell r="V1">
            <v>2010</v>
          </cell>
          <cell r="W1">
            <v>2011</v>
          </cell>
          <cell r="X1">
            <v>2012</v>
          </cell>
          <cell r="Y1">
            <v>2013</v>
          </cell>
          <cell r="Z1">
            <v>2014</v>
          </cell>
          <cell r="AA1">
            <v>2015</v>
          </cell>
          <cell r="AB1">
            <v>2016</v>
          </cell>
          <cell r="AC1">
            <v>2017</v>
          </cell>
          <cell r="AD1">
            <v>2018</v>
          </cell>
          <cell r="AE1">
            <v>2019</v>
          </cell>
          <cell r="AF1">
            <v>2020</v>
          </cell>
          <cell r="AG1">
            <v>2021</v>
          </cell>
          <cell r="AH1">
            <v>2022</v>
          </cell>
          <cell r="AI1">
            <v>2023</v>
          </cell>
          <cell r="AJ1">
            <v>2024</v>
          </cell>
          <cell r="AK1">
            <v>2025</v>
          </cell>
          <cell r="AL1">
            <v>2026</v>
          </cell>
          <cell r="AM1">
            <v>2027</v>
          </cell>
          <cell r="AN1">
            <v>2028</v>
          </cell>
          <cell r="AO1">
            <v>2029</v>
          </cell>
          <cell r="AP1">
            <v>2030</v>
          </cell>
          <cell r="AR1" t="str">
            <v>2004 Q1</v>
          </cell>
          <cell r="AS1" t="str">
            <v>2004 Q2</v>
          </cell>
          <cell r="AT1" t="str">
            <v>2004 Q3</v>
          </cell>
          <cell r="AU1" t="str">
            <v>2004 Q4</v>
          </cell>
          <cell r="AV1" t="str">
            <v>2005 Q1</v>
          </cell>
          <cell r="AW1" t="str">
            <v>2005 Q2</v>
          </cell>
          <cell r="AX1" t="str">
            <v>2005 Q3</v>
          </cell>
          <cell r="AY1" t="str">
            <v>2005 Q4</v>
          </cell>
          <cell r="AZ1" t="str">
            <v>2006 Q1</v>
          </cell>
          <cell r="BA1" t="str">
            <v>2006 Q2</v>
          </cell>
          <cell r="BB1" t="str">
            <v>2006 Q3</v>
          </cell>
          <cell r="BC1" t="str">
            <v>2006 Q4</v>
          </cell>
          <cell r="BD1" t="str">
            <v>2007 Q1</v>
          </cell>
          <cell r="BE1" t="str">
            <v>2007 Q2</v>
          </cell>
          <cell r="BF1" t="str">
            <v>2007 Q3</v>
          </cell>
          <cell r="BG1" t="str">
            <v>2007 Q4</v>
          </cell>
          <cell r="BH1" t="str">
            <v>2008 Q1</v>
          </cell>
          <cell r="BI1" t="str">
            <v>2008 Q2</v>
          </cell>
          <cell r="BJ1" t="str">
            <v>2008 Q3</v>
          </cell>
          <cell r="BK1" t="str">
            <v>2008 Q4</v>
          </cell>
          <cell r="BL1" t="str">
            <v>2009 Q1</v>
          </cell>
          <cell r="BM1" t="str">
            <v>2009 Q2</v>
          </cell>
          <cell r="BN1" t="str">
            <v>2009 Q3</v>
          </cell>
          <cell r="BO1" t="str">
            <v>2009 Q4</v>
          </cell>
          <cell r="BP1" t="str">
            <v>2010 Q1</v>
          </cell>
          <cell r="BQ1" t="str">
            <v>2010 Q2</v>
          </cell>
          <cell r="BR1" t="str">
            <v>2010 Q3</v>
          </cell>
          <cell r="BS1" t="str">
            <v>2010 Q4</v>
          </cell>
          <cell r="BT1" t="str">
            <v>2011 Q1</v>
          </cell>
          <cell r="BU1" t="str">
            <v>2011 Q2</v>
          </cell>
          <cell r="BV1" t="str">
            <v>2011 Q3</v>
          </cell>
          <cell r="BW1" t="str">
            <v>2011 Q4</v>
          </cell>
          <cell r="BX1" t="str">
            <v>2012 Q1</v>
          </cell>
          <cell r="BY1" t="str">
            <v>2012 Q2</v>
          </cell>
          <cell r="BZ1" t="str">
            <v>2012 Q3</v>
          </cell>
          <cell r="CA1" t="str">
            <v>2012 Q4</v>
          </cell>
          <cell r="CB1" t="str">
            <v>2013 Q1</v>
          </cell>
          <cell r="CC1" t="str">
            <v>2013 Q2</v>
          </cell>
          <cell r="CD1" t="str">
            <v>2013 Q3</v>
          </cell>
          <cell r="CE1" t="str">
            <v>2013 Q4</v>
          </cell>
          <cell r="CF1" t="str">
            <v>2014 Q1</v>
          </cell>
          <cell r="CG1" t="str">
            <v>2014 Q2</v>
          </cell>
          <cell r="CH1" t="str">
            <v>2014 Q3</v>
          </cell>
          <cell r="CI1" t="str">
            <v>2014 Q4</v>
          </cell>
          <cell r="CJ1" t="str">
            <v>2015 Q1</v>
          </cell>
          <cell r="CK1" t="str">
            <v>2015 Q2</v>
          </cell>
          <cell r="CL1" t="str">
            <v>2015 Q3</v>
          </cell>
          <cell r="CM1" t="str">
            <v>2015 Q4</v>
          </cell>
          <cell r="CN1" t="str">
            <v>2016 Q1</v>
          </cell>
          <cell r="CO1" t="str">
            <v>2016 Q2</v>
          </cell>
          <cell r="CP1" t="str">
            <v>2016 Q3</v>
          </cell>
          <cell r="CQ1" t="str">
            <v>2016 Q4</v>
          </cell>
          <cell r="CR1" t="str">
            <v>2017 Q1</v>
          </cell>
          <cell r="CS1" t="str">
            <v>2017 Q2</v>
          </cell>
          <cell r="CT1" t="str">
            <v>2017 Q3</v>
          </cell>
          <cell r="CU1" t="str">
            <v>2017 Q4</v>
          </cell>
          <cell r="CV1" t="str">
            <v>2018 Q1</v>
          </cell>
          <cell r="CW1" t="str">
            <v>2018 Q2</v>
          </cell>
          <cell r="CX1" t="str">
            <v>2018 Q3</v>
          </cell>
          <cell r="CY1" t="str">
            <v>2018 Q4</v>
          </cell>
          <cell r="CZ1" t="str">
            <v>2019 Q1</v>
          </cell>
          <cell r="DA1" t="str">
            <v>2019 Q2</v>
          </cell>
          <cell r="DB1" t="str">
            <v>2019 Q3</v>
          </cell>
          <cell r="DC1" t="str">
            <v>2019 Q4</v>
          </cell>
          <cell r="DD1" t="str">
            <v>2020 Q1</v>
          </cell>
          <cell r="DE1" t="str">
            <v>2020 Q2</v>
          </cell>
          <cell r="DF1" t="str">
            <v>2020 Q3</v>
          </cell>
          <cell r="DG1" t="str">
            <v>2020 Q4</v>
          </cell>
          <cell r="DH1" t="str">
            <v>2021 Q1</v>
          </cell>
          <cell r="DI1" t="str">
            <v>2021 Q2</v>
          </cell>
          <cell r="DJ1" t="str">
            <v>2021 Q3</v>
          </cell>
          <cell r="DK1" t="str">
            <v>2021 Q4</v>
          </cell>
          <cell r="DL1" t="str">
            <v>2022 Q1</v>
          </cell>
          <cell r="DM1" t="str">
            <v>2022 Q2</v>
          </cell>
          <cell r="DN1" t="str">
            <v>2022 Q3</v>
          </cell>
          <cell r="DO1" t="str">
            <v>2022 Q4</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Estimate</v>
          </cell>
          <cell r="AI2" t="str">
            <v>Estimate</v>
          </cell>
          <cell r="AJ2" t="str">
            <v>Estimate</v>
          </cell>
          <cell r="AK2" t="str">
            <v>Estimate</v>
          </cell>
          <cell r="AL2" t="str">
            <v>Estimate</v>
          </cell>
          <cell r="AM2" t="str">
            <v>Estimate</v>
          </cell>
          <cell r="AN2" t="str">
            <v>Estimate</v>
          </cell>
          <cell r="AO2" t="str">
            <v>Estimate</v>
          </cell>
          <cell r="AP2" t="str">
            <v>Estimate</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Actual</v>
          </cell>
          <cell r="CJ2" t="str">
            <v>Actual</v>
          </cell>
          <cell r="CK2" t="str">
            <v>Actual</v>
          </cell>
          <cell r="CL2" t="str">
            <v>Actual</v>
          </cell>
          <cell r="CM2" t="str">
            <v>Actual</v>
          </cell>
          <cell r="CN2" t="str">
            <v>Actual</v>
          </cell>
          <cell r="CO2" t="str">
            <v>Actual</v>
          </cell>
          <cell r="CP2" t="str">
            <v>Actual</v>
          </cell>
          <cell r="CQ2" t="str">
            <v>Actual</v>
          </cell>
          <cell r="CR2" t="str">
            <v>Actual</v>
          </cell>
          <cell r="CS2" t="str">
            <v>Actual</v>
          </cell>
          <cell r="CT2" t="str">
            <v>Actual</v>
          </cell>
          <cell r="CU2" t="str">
            <v>Actual</v>
          </cell>
          <cell r="CV2" t="str">
            <v>Actual</v>
          </cell>
          <cell r="CW2" t="str">
            <v>Actual</v>
          </cell>
          <cell r="CX2" t="str">
            <v>Actual</v>
          </cell>
          <cell r="CY2" t="str">
            <v>Actual</v>
          </cell>
          <cell r="CZ2" t="str">
            <v>Actual</v>
          </cell>
          <cell r="DA2" t="str">
            <v>Actual</v>
          </cell>
          <cell r="DB2" t="str">
            <v>Actual</v>
          </cell>
          <cell r="DC2" t="str">
            <v>Actual</v>
          </cell>
          <cell r="DD2" t="str">
            <v>Actual</v>
          </cell>
          <cell r="DE2" t="str">
            <v>Actual</v>
          </cell>
          <cell r="DF2" t="str">
            <v>Actual</v>
          </cell>
          <cell r="DG2" t="str">
            <v>Actual</v>
          </cell>
          <cell r="DH2" t="str">
            <v>Actual</v>
          </cell>
          <cell r="DI2" t="str">
            <v>Actual</v>
          </cell>
          <cell r="DJ2" t="str">
            <v>Actual</v>
          </cell>
          <cell r="DK2" t="str">
            <v>Actual</v>
          </cell>
          <cell r="DL2" t="str">
            <v>Actual</v>
          </cell>
          <cell r="DM2" t="str">
            <v>Actual</v>
          </cell>
          <cell r="DN2" t="str">
            <v>Estimate</v>
          </cell>
          <cell r="DO2" t="str">
            <v>Estimate</v>
          </cell>
          <cell r="DP2" t="str">
            <v>Estimate</v>
          </cell>
          <cell r="DQ2" t="str">
            <v>Estimate</v>
          </cell>
          <cell r="DR2" t="str">
            <v>Estimate</v>
          </cell>
          <cell r="DS2" t="str">
            <v>Estimate</v>
          </cell>
        </row>
        <row r="3">
          <cell r="F3">
            <v>34699</v>
          </cell>
          <cell r="G3">
            <v>35064</v>
          </cell>
          <cell r="H3">
            <v>35430</v>
          </cell>
          <cell r="I3">
            <v>35795</v>
          </cell>
          <cell r="J3">
            <v>36160</v>
          </cell>
          <cell r="K3">
            <v>36525</v>
          </cell>
          <cell r="L3">
            <v>36891</v>
          </cell>
          <cell r="M3">
            <v>37256</v>
          </cell>
          <cell r="N3">
            <v>37621</v>
          </cell>
          <cell r="O3">
            <v>37986</v>
          </cell>
          <cell r="P3">
            <v>38352</v>
          </cell>
          <cell r="Q3">
            <v>38717</v>
          </cell>
          <cell r="R3">
            <v>39082</v>
          </cell>
          <cell r="S3">
            <v>39447</v>
          </cell>
          <cell r="T3">
            <v>39813</v>
          </cell>
          <cell r="U3">
            <v>40178</v>
          </cell>
          <cell r="V3">
            <v>40543</v>
          </cell>
          <cell r="W3">
            <v>40908</v>
          </cell>
          <cell r="X3">
            <v>41274</v>
          </cell>
          <cell r="Y3">
            <v>41639</v>
          </cell>
          <cell r="Z3">
            <v>42004</v>
          </cell>
          <cell r="AA3">
            <v>42369</v>
          </cell>
          <cell r="AB3">
            <v>42735</v>
          </cell>
          <cell r="AC3">
            <v>43100</v>
          </cell>
          <cell r="AD3">
            <v>43465</v>
          </cell>
          <cell r="AE3">
            <v>43830</v>
          </cell>
          <cell r="AF3">
            <v>44196</v>
          </cell>
          <cell r="AG3">
            <v>44561</v>
          </cell>
          <cell r="AH3">
            <v>44926</v>
          </cell>
          <cell r="AI3">
            <v>45291</v>
          </cell>
          <cell r="AJ3">
            <v>45657</v>
          </cell>
          <cell r="AK3">
            <v>46022</v>
          </cell>
          <cell r="AL3">
            <v>46387</v>
          </cell>
          <cell r="AM3">
            <v>46752</v>
          </cell>
          <cell r="AN3">
            <v>47118</v>
          </cell>
          <cell r="AO3">
            <v>47483</v>
          </cell>
          <cell r="AP3">
            <v>47848</v>
          </cell>
          <cell r="AR3">
            <v>38077</v>
          </cell>
          <cell r="AS3">
            <v>38168</v>
          </cell>
          <cell r="AT3">
            <v>38260</v>
          </cell>
          <cell r="AU3">
            <v>38352</v>
          </cell>
          <cell r="AV3">
            <v>38442</v>
          </cell>
          <cell r="AW3">
            <v>38533</v>
          </cell>
          <cell r="AX3">
            <v>38625</v>
          </cell>
          <cell r="AY3">
            <v>38717</v>
          </cell>
          <cell r="AZ3">
            <v>38807</v>
          </cell>
          <cell r="BA3">
            <v>38898</v>
          </cell>
          <cell r="BB3">
            <v>38990</v>
          </cell>
          <cell r="BC3">
            <v>39082</v>
          </cell>
          <cell r="BD3">
            <v>39172</v>
          </cell>
          <cell r="BE3">
            <v>39263</v>
          </cell>
          <cell r="BF3">
            <v>39355</v>
          </cell>
          <cell r="BG3">
            <v>39447</v>
          </cell>
          <cell r="BH3">
            <v>39538</v>
          </cell>
          <cell r="BI3">
            <v>39629</v>
          </cell>
          <cell r="BJ3">
            <v>39721</v>
          </cell>
          <cell r="BK3">
            <v>39813</v>
          </cell>
          <cell r="BL3">
            <v>39903</v>
          </cell>
          <cell r="BM3">
            <v>39994</v>
          </cell>
          <cell r="BN3">
            <v>40086</v>
          </cell>
          <cell r="BO3">
            <v>40178</v>
          </cell>
          <cell r="BP3">
            <v>40268</v>
          </cell>
          <cell r="BQ3">
            <v>40359</v>
          </cell>
          <cell r="BR3">
            <v>40451</v>
          </cell>
          <cell r="BS3">
            <v>40543</v>
          </cell>
          <cell r="BT3">
            <v>40633</v>
          </cell>
          <cell r="BU3">
            <v>40724</v>
          </cell>
          <cell r="BV3">
            <v>40816</v>
          </cell>
          <cell r="BW3">
            <v>40908</v>
          </cell>
          <cell r="BX3">
            <v>40999</v>
          </cell>
          <cell r="BY3">
            <v>41090</v>
          </cell>
          <cell r="BZ3">
            <v>41182</v>
          </cell>
          <cell r="CA3">
            <v>41274</v>
          </cell>
          <cell r="CB3">
            <v>41364</v>
          </cell>
          <cell r="CC3">
            <v>41455</v>
          </cell>
          <cell r="CD3">
            <v>41547</v>
          </cell>
          <cell r="CE3">
            <v>41639</v>
          </cell>
          <cell r="CF3">
            <v>41729</v>
          </cell>
          <cell r="CG3">
            <v>41820</v>
          </cell>
          <cell r="CH3">
            <v>41912</v>
          </cell>
          <cell r="CI3">
            <v>42004</v>
          </cell>
          <cell r="CJ3">
            <v>42094</v>
          </cell>
          <cell r="CK3">
            <v>42185</v>
          </cell>
          <cell r="CL3">
            <v>42277</v>
          </cell>
          <cell r="CM3">
            <v>42369</v>
          </cell>
          <cell r="CN3">
            <v>42460</v>
          </cell>
          <cell r="CO3">
            <v>42551</v>
          </cell>
          <cell r="CP3">
            <v>42643</v>
          </cell>
          <cell r="CQ3">
            <v>42735</v>
          </cell>
          <cell r="CR3">
            <v>42825</v>
          </cell>
          <cell r="CS3">
            <v>42916</v>
          </cell>
          <cell r="CT3">
            <v>43008</v>
          </cell>
          <cell r="CU3">
            <v>43100</v>
          </cell>
          <cell r="CV3">
            <v>43190</v>
          </cell>
          <cell r="CW3">
            <v>43281</v>
          </cell>
          <cell r="CX3">
            <v>43373</v>
          </cell>
          <cell r="CY3">
            <v>43465</v>
          </cell>
          <cell r="CZ3">
            <v>43555</v>
          </cell>
          <cell r="DA3">
            <v>43646</v>
          </cell>
          <cell r="DB3">
            <v>43738</v>
          </cell>
          <cell r="DC3">
            <v>43830</v>
          </cell>
          <cell r="DD3">
            <v>43921</v>
          </cell>
          <cell r="DE3">
            <v>44012</v>
          </cell>
          <cell r="DF3">
            <v>44104</v>
          </cell>
          <cell r="DG3">
            <v>44196</v>
          </cell>
          <cell r="DH3">
            <v>44286</v>
          </cell>
          <cell r="DI3">
            <v>44377</v>
          </cell>
          <cell r="DJ3">
            <v>44469</v>
          </cell>
          <cell r="DK3">
            <v>44561</v>
          </cell>
          <cell r="DL3">
            <v>44651</v>
          </cell>
          <cell r="DM3">
            <v>44742</v>
          </cell>
          <cell r="DN3">
            <v>44834</v>
          </cell>
          <cell r="DO3">
            <v>44926</v>
          </cell>
          <cell r="DP3">
            <v>45016</v>
          </cell>
          <cell r="DQ3">
            <v>45107</v>
          </cell>
          <cell r="DR3">
            <v>45199</v>
          </cell>
          <cell r="DS3">
            <v>45291</v>
          </cell>
        </row>
        <row r="4">
          <cell r="A4" t="str">
            <v>Issuer: Atlas Copco</v>
          </cell>
          <cell r="B4" t="str">
            <v>15Z67G</v>
          </cell>
        </row>
        <row r="5">
          <cell r="A5" t="str">
            <v>Reference Data</v>
          </cell>
        </row>
        <row r="6">
          <cell r="B6" t="str">
            <v>Issuer Name</v>
          </cell>
          <cell r="C6" t="str">
            <v>Issuer Name</v>
          </cell>
          <cell r="E6" t="str">
            <v>Atlas Copco</v>
          </cell>
        </row>
        <row r="7">
          <cell r="B7" t="str">
            <v>Reporting Currency</v>
          </cell>
          <cell r="C7" t="str">
            <v>CURRENCY_ISO</v>
          </cell>
          <cell r="E7" t="str">
            <v>SEK</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D11" t="str">
            <v>SEK</v>
          </cell>
          <cell r="F11">
            <v>20914</v>
          </cell>
          <cell r="G11">
            <v>24454</v>
          </cell>
          <cell r="H11">
            <v>25121</v>
          </cell>
          <cell r="I11">
            <v>30032</v>
          </cell>
          <cell r="J11">
            <v>33740</v>
          </cell>
          <cell r="K11">
            <v>36234</v>
          </cell>
          <cell r="L11">
            <v>46527</v>
          </cell>
          <cell r="M11">
            <v>51139</v>
          </cell>
          <cell r="N11">
            <v>47562</v>
          </cell>
          <cell r="O11">
            <v>44619</v>
          </cell>
          <cell r="P11">
            <v>43192</v>
          </cell>
          <cell r="Q11">
            <v>42205</v>
          </cell>
          <cell r="R11">
            <v>50512</v>
          </cell>
          <cell r="S11">
            <v>63355</v>
          </cell>
          <cell r="T11">
            <v>74177</v>
          </cell>
          <cell r="U11">
            <v>63762</v>
          </cell>
          <cell r="V11">
            <v>69875</v>
          </cell>
          <cell r="W11">
            <v>81203</v>
          </cell>
          <cell r="X11">
            <v>90533</v>
          </cell>
          <cell r="Y11">
            <v>83888</v>
          </cell>
          <cell r="Z11">
            <v>93721</v>
          </cell>
          <cell r="AA11">
            <v>98973</v>
          </cell>
          <cell r="AB11">
            <v>101356</v>
          </cell>
          <cell r="AC11">
            <v>116421</v>
          </cell>
          <cell r="AD11">
            <v>95363</v>
          </cell>
          <cell r="AE11">
            <v>103756</v>
          </cell>
          <cell r="AF11">
            <v>99787</v>
          </cell>
          <cell r="AG11">
            <v>110912</v>
          </cell>
          <cell r="AH11">
            <v>137046.393071789</v>
          </cell>
          <cell r="AI11">
            <v>154570.424699361</v>
          </cell>
          <cell r="AJ11">
            <v>171263.071232963</v>
          </cell>
          <cell r="AK11">
            <v>193430.87661431701</v>
          </cell>
          <cell r="AL11">
            <v>213055.16147747799</v>
          </cell>
          <cell r="AM11">
            <v>232769.755224344</v>
          </cell>
          <cell r="AN11">
            <v>254390.31030961001</v>
          </cell>
          <cell r="AO11">
            <v>278106.84199475398</v>
          </cell>
          <cell r="AP11">
            <v>304128.72626623901</v>
          </cell>
          <cell r="AR11">
            <v>10858</v>
          </cell>
          <cell r="AS11">
            <v>10680</v>
          </cell>
          <cell r="AT11">
            <v>11325</v>
          </cell>
          <cell r="AU11">
            <v>11592</v>
          </cell>
          <cell r="AV11">
            <v>9010</v>
          </cell>
          <cell r="AW11">
            <v>10539</v>
          </cell>
          <cell r="AX11">
            <v>10674</v>
          </cell>
          <cell r="AY11">
            <v>11982</v>
          </cell>
          <cell r="AZ11">
            <v>11948</v>
          </cell>
          <cell r="BA11">
            <v>12444</v>
          </cell>
          <cell r="BB11">
            <v>12538</v>
          </cell>
          <cell r="BC11">
            <v>13582</v>
          </cell>
          <cell r="BD11">
            <v>13390</v>
          </cell>
          <cell r="BE11">
            <v>15985</v>
          </cell>
          <cell r="BF11">
            <v>16431</v>
          </cell>
          <cell r="BG11">
            <v>17549</v>
          </cell>
          <cell r="BH11">
            <v>17122</v>
          </cell>
          <cell r="BI11">
            <v>18884</v>
          </cell>
          <cell r="BJ11">
            <v>18440</v>
          </cell>
          <cell r="BK11">
            <v>19731</v>
          </cell>
          <cell r="BL11">
            <v>16577</v>
          </cell>
          <cell r="BM11">
            <v>16155</v>
          </cell>
          <cell r="BN11">
            <v>15088</v>
          </cell>
          <cell r="BO11">
            <v>15942</v>
          </cell>
          <cell r="BP11">
            <v>15301</v>
          </cell>
          <cell r="BQ11">
            <v>17430</v>
          </cell>
          <cell r="BR11">
            <v>17743</v>
          </cell>
          <cell r="BS11">
            <v>19401</v>
          </cell>
          <cell r="BT11">
            <v>18223</v>
          </cell>
          <cell r="BU11">
            <v>19951</v>
          </cell>
          <cell r="BV11">
            <v>20739</v>
          </cell>
          <cell r="BW11">
            <v>22290</v>
          </cell>
          <cell r="BX11">
            <v>22254</v>
          </cell>
          <cell r="BY11">
            <v>23437</v>
          </cell>
          <cell r="BZ11">
            <v>22094</v>
          </cell>
          <cell r="CA11">
            <v>22748</v>
          </cell>
          <cell r="CB11">
            <v>20180</v>
          </cell>
          <cell r="CC11">
            <v>21843</v>
          </cell>
          <cell r="CD11">
            <v>20552</v>
          </cell>
          <cell r="CE11">
            <v>21266</v>
          </cell>
          <cell r="CF11">
            <v>21423</v>
          </cell>
          <cell r="CG11">
            <v>23348</v>
          </cell>
          <cell r="CH11">
            <v>23590</v>
          </cell>
          <cell r="CI11">
            <v>25360</v>
          </cell>
          <cell r="CJ11">
            <v>23957</v>
          </cell>
          <cell r="CK11">
            <v>25091</v>
          </cell>
          <cell r="CL11">
            <v>24922</v>
          </cell>
          <cell r="CM11">
            <v>25003</v>
          </cell>
          <cell r="CN11">
            <v>23137</v>
          </cell>
          <cell r="CO11">
            <v>25438</v>
          </cell>
          <cell r="CP11">
            <v>26528</v>
          </cell>
          <cell r="CQ11">
            <v>28495</v>
          </cell>
          <cell r="CR11">
            <v>27460</v>
          </cell>
          <cell r="CS11">
            <v>28554</v>
          </cell>
          <cell r="CT11">
            <v>28149</v>
          </cell>
          <cell r="CU11">
            <v>30656</v>
          </cell>
          <cell r="CV11">
            <v>21906</v>
          </cell>
          <cell r="CW11">
            <v>24461</v>
          </cell>
          <cell r="CX11">
            <v>23675</v>
          </cell>
          <cell r="CY11">
            <v>25321</v>
          </cell>
          <cell r="CZ11">
            <v>24181</v>
          </cell>
          <cell r="DA11">
            <v>25580</v>
          </cell>
          <cell r="DB11">
            <v>26676</v>
          </cell>
          <cell r="DC11">
            <v>27319</v>
          </cell>
          <cell r="DD11">
            <v>25098</v>
          </cell>
          <cell r="DE11">
            <v>24102</v>
          </cell>
          <cell r="DF11">
            <v>24849</v>
          </cell>
          <cell r="DG11">
            <v>25738</v>
          </cell>
          <cell r="DH11">
            <v>26021</v>
          </cell>
          <cell r="DI11">
            <v>27534</v>
          </cell>
          <cell r="DJ11">
            <v>27824</v>
          </cell>
          <cell r="DK11">
            <v>29533</v>
          </cell>
          <cell r="DL11">
            <v>30086</v>
          </cell>
          <cell r="DM11">
            <v>33111</v>
          </cell>
          <cell r="DN11">
            <v>35811.913655049997</v>
          </cell>
          <cell r="DO11">
            <v>38037.479416739101</v>
          </cell>
          <cell r="DP11">
            <v>39569.270033786401</v>
          </cell>
          <cell r="DQ11">
            <v>41613.599801498502</v>
          </cell>
        </row>
        <row r="12">
          <cell r="B12" t="str">
            <v>Cost of goods sold, COGS</v>
          </cell>
          <cell r="C12" t="str">
            <v>COST_GD_SD</v>
          </cell>
          <cell r="D12" t="str">
            <v>SEK</v>
          </cell>
          <cell r="F12">
            <v>-13713</v>
          </cell>
          <cell r="G12">
            <v>-16105</v>
          </cell>
          <cell r="H12">
            <v>-16840</v>
          </cell>
          <cell r="I12">
            <v>-19903</v>
          </cell>
          <cell r="J12">
            <v>-22460</v>
          </cell>
          <cell r="K12">
            <v>-24636</v>
          </cell>
          <cell r="L12">
            <v>-31805</v>
          </cell>
          <cell r="M12">
            <v>-35847</v>
          </cell>
          <cell r="N12">
            <v>-40403</v>
          </cell>
          <cell r="O12">
            <v>-31103</v>
          </cell>
          <cell r="P12">
            <v>-28510</v>
          </cell>
          <cell r="Q12">
            <v>-26681</v>
          </cell>
          <cell r="R12">
            <v>-31516</v>
          </cell>
          <cell r="S12">
            <v>-39896</v>
          </cell>
          <cell r="T12">
            <v>-47786</v>
          </cell>
          <cell r="U12">
            <v>-42631</v>
          </cell>
          <cell r="V12">
            <v>-43468</v>
          </cell>
          <cell r="W12">
            <v>-50051</v>
          </cell>
          <cell r="X12">
            <v>-55779</v>
          </cell>
          <cell r="Y12">
            <v>-51766</v>
          </cell>
          <cell r="Z12">
            <v>-58669</v>
          </cell>
          <cell r="AA12">
            <v>-59348</v>
          </cell>
          <cell r="AB12">
            <v>-61237</v>
          </cell>
          <cell r="AC12">
            <v>-68105</v>
          </cell>
          <cell r="AD12">
            <v>-54142</v>
          </cell>
          <cell r="AE12">
            <v>-59024</v>
          </cell>
          <cell r="AF12">
            <v>-58607</v>
          </cell>
          <cell r="AG12">
            <v>-64383</v>
          </cell>
          <cell r="AH12">
            <v>-80308.894123039398</v>
          </cell>
          <cell r="AI12">
            <v>-91634.569052133505</v>
          </cell>
          <cell r="AJ12">
            <v>-101127.365534083</v>
          </cell>
          <cell r="AK12">
            <v>-113025.99497001</v>
          </cell>
          <cell r="AL12">
            <v>-123975.396726412</v>
          </cell>
          <cell r="AM12">
            <v>-134061.265480706</v>
          </cell>
          <cell r="AN12">
            <v>-146201.50439251401</v>
          </cell>
          <cell r="AO12">
            <v>-159513.227156162</v>
          </cell>
          <cell r="AP12">
            <v>-174113.03864007199</v>
          </cell>
        </row>
        <row r="13">
          <cell r="B13" t="str">
            <v>SG&amp;A, selling, general and admin. expense</v>
          </cell>
          <cell r="C13" t="str">
            <v>SEL_GL_AD</v>
          </cell>
          <cell r="D13" t="str">
            <v>SEK</v>
          </cell>
          <cell r="F13">
            <v>-4559</v>
          </cell>
          <cell r="G13">
            <v>-4778</v>
          </cell>
          <cell r="H13">
            <v>-4892</v>
          </cell>
          <cell r="I13">
            <v>-5702</v>
          </cell>
          <cell r="J13">
            <v>-6305</v>
          </cell>
          <cell r="K13">
            <v>-6412</v>
          </cell>
          <cell r="L13">
            <v>-7392</v>
          </cell>
          <cell r="M13">
            <v>-7985</v>
          </cell>
          <cell r="N13">
            <v>-8159</v>
          </cell>
          <cell r="O13">
            <v>-7551</v>
          </cell>
          <cell r="P13">
            <v>-7048</v>
          </cell>
          <cell r="Q13">
            <v>-7788</v>
          </cell>
          <cell r="R13">
            <v>-8530</v>
          </cell>
          <cell r="S13">
            <v>-10067</v>
          </cell>
          <cell r="T13">
            <v>-11328</v>
          </cell>
          <cell r="U13">
            <v>-10651</v>
          </cell>
          <cell r="V13">
            <v>-11087</v>
          </cell>
          <cell r="W13">
            <v>-11959</v>
          </cell>
          <cell r="X13">
            <v>-13641</v>
          </cell>
          <cell r="Y13">
            <v>-13139</v>
          </cell>
          <cell r="Z13">
            <v>-15493</v>
          </cell>
          <cell r="AA13">
            <v>-16901</v>
          </cell>
          <cell r="AB13">
            <v>-17868</v>
          </cell>
          <cell r="AC13">
            <v>-20142</v>
          </cell>
          <cell r="AD13">
            <v>-17211</v>
          </cell>
          <cell r="AE13">
            <v>-19344</v>
          </cell>
          <cell r="AF13">
            <v>-17827</v>
          </cell>
          <cell r="AG13">
            <v>-19461</v>
          </cell>
          <cell r="AH13">
            <v>-21847.5239363482</v>
          </cell>
          <cell r="AI13">
            <v>-24641.1523702183</v>
          </cell>
          <cell r="AJ13">
            <v>-27302.243892071401</v>
          </cell>
          <cell r="AK13">
            <v>-30836.168775681599</v>
          </cell>
          <cell r="AL13">
            <v>-33964.613265694999</v>
          </cell>
          <cell r="AM13">
            <v>-37107.454526423397</v>
          </cell>
          <cell r="AN13">
            <v>-40554.138413207998</v>
          </cell>
          <cell r="AO13">
            <v>-44334.956587728702</v>
          </cell>
          <cell r="AP13">
            <v>-48483.287140232598</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row>
        <row r="14">
          <cell r="B14" t="str">
            <v>Total operating expense</v>
          </cell>
          <cell r="C14" t="str">
            <v>OP_COST</v>
          </cell>
          <cell r="D14" t="str">
            <v>SEK</v>
          </cell>
          <cell r="F14">
            <v>-18272</v>
          </cell>
          <cell r="G14">
            <v>-20883</v>
          </cell>
          <cell r="H14">
            <v>-21732</v>
          </cell>
          <cell r="I14">
            <v>-25605</v>
          </cell>
          <cell r="J14">
            <v>-28765</v>
          </cell>
          <cell r="K14">
            <v>-31048</v>
          </cell>
          <cell r="L14">
            <v>-39197</v>
          </cell>
          <cell r="M14">
            <v>-43832</v>
          </cell>
          <cell r="N14">
            <v>-48562</v>
          </cell>
          <cell r="O14">
            <v>-38654</v>
          </cell>
          <cell r="P14">
            <v>-35558</v>
          </cell>
          <cell r="Q14">
            <v>-34469</v>
          </cell>
          <cell r="R14">
            <v>-40046</v>
          </cell>
          <cell r="S14">
            <v>-49963</v>
          </cell>
          <cell r="T14">
            <v>-59114</v>
          </cell>
          <cell r="U14">
            <v>-53282</v>
          </cell>
          <cell r="V14">
            <v>-54555</v>
          </cell>
          <cell r="W14">
            <v>-62010</v>
          </cell>
          <cell r="X14">
            <v>-69420</v>
          </cell>
          <cell r="Y14">
            <v>-64905</v>
          </cell>
          <cell r="Z14">
            <v>-74162</v>
          </cell>
          <cell r="AA14">
            <v>-76249</v>
          </cell>
          <cell r="AB14">
            <v>-79105</v>
          </cell>
          <cell r="AC14">
            <v>-88247</v>
          </cell>
          <cell r="AD14">
            <v>-71353</v>
          </cell>
          <cell r="AE14">
            <v>-78368</v>
          </cell>
          <cell r="AF14">
            <v>-76434</v>
          </cell>
          <cell r="AG14">
            <v>-83844</v>
          </cell>
          <cell r="AH14">
            <v>-102156.418059388</v>
          </cell>
          <cell r="AI14">
            <v>-116275.721422352</v>
          </cell>
          <cell r="AJ14">
            <v>-128429.609426154</v>
          </cell>
          <cell r="AK14">
            <v>-143862.16374569101</v>
          </cell>
          <cell r="AL14">
            <v>-157940.00999210699</v>
          </cell>
          <cell r="AM14">
            <v>-171168.72000713</v>
          </cell>
          <cell r="AN14">
            <v>-186755.642805721</v>
          </cell>
          <cell r="AO14">
            <v>-203848.18374389</v>
          </cell>
          <cell r="AP14">
            <v>-222596.325780304</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row>
        <row r="15">
          <cell r="B15" t="str">
            <v>R&amp;D expense</v>
          </cell>
          <cell r="C15" t="str">
            <v>RD_EXP</v>
          </cell>
          <cell r="D15" t="str">
            <v>SEK</v>
          </cell>
          <cell r="F15">
            <v>-620</v>
          </cell>
          <cell r="G15">
            <v>-718</v>
          </cell>
          <cell r="H15">
            <v>-770</v>
          </cell>
          <cell r="I15">
            <v>-808</v>
          </cell>
          <cell r="J15">
            <v>-945</v>
          </cell>
          <cell r="K15">
            <v>-943</v>
          </cell>
          <cell r="L15">
            <v>-969</v>
          </cell>
          <cell r="M15">
            <v>-1107</v>
          </cell>
          <cell r="N15">
            <v>-900</v>
          </cell>
          <cell r="O15">
            <v>-878</v>
          </cell>
          <cell r="P15">
            <v>-849</v>
          </cell>
          <cell r="Q15">
            <v>-978</v>
          </cell>
          <cell r="R15">
            <v>-1111</v>
          </cell>
          <cell r="S15">
            <v>-1286</v>
          </cell>
          <cell r="T15">
            <v>-1473</v>
          </cell>
          <cell r="U15">
            <v>-1410</v>
          </cell>
          <cell r="V15">
            <v>-1517</v>
          </cell>
          <cell r="W15">
            <v>-1805</v>
          </cell>
          <cell r="X15">
            <v>-2042</v>
          </cell>
          <cell r="Y15">
            <v>-2117</v>
          </cell>
          <cell r="Z15">
            <v>-2933</v>
          </cell>
          <cell r="AA15">
            <v>-3151</v>
          </cell>
          <cell r="AB15">
            <v>-3096</v>
          </cell>
          <cell r="AC15">
            <v>-3723</v>
          </cell>
          <cell r="AD15">
            <v>-3166</v>
          </cell>
          <cell r="AE15">
            <v>-3631</v>
          </cell>
          <cell r="AF15">
            <v>-3762</v>
          </cell>
          <cell r="AG15">
            <v>-4125</v>
          </cell>
          <cell r="AH15">
            <v>-5096.9811329804697</v>
          </cell>
          <cell r="AI15">
            <v>-5748.7287388637997</v>
          </cell>
          <cell r="AJ15">
            <v>-6369.55576345187</v>
          </cell>
          <cell r="AK15">
            <v>-7194.01296554075</v>
          </cell>
          <cell r="AL15">
            <v>-7923.8724492805004</v>
          </cell>
          <cell r="AM15">
            <v>-8657.0906691829496</v>
          </cell>
          <cell r="AN15">
            <v>-9461.1947312025895</v>
          </cell>
          <cell r="AO15">
            <v>-10343.251615951</v>
          </cell>
          <cell r="AP15">
            <v>-11311.0483612976</v>
          </cell>
        </row>
        <row r="16">
          <cell r="B16" t="str">
            <v>Other operating income/(expense) (incl. leases)</v>
          </cell>
          <cell r="C16" t="str">
            <v>OTH_OP_INC_EXP</v>
          </cell>
          <cell r="D16" t="str">
            <v>SEK</v>
          </cell>
          <cell r="F16">
            <v>-66</v>
          </cell>
          <cell r="G16">
            <v>-99</v>
          </cell>
          <cell r="H16">
            <v>312</v>
          </cell>
          <cell r="I16">
            <v>194</v>
          </cell>
          <cell r="J16">
            <v>315</v>
          </cell>
          <cell r="K16">
            <v>227</v>
          </cell>
          <cell r="L16">
            <v>31</v>
          </cell>
          <cell r="M16">
            <v>-70</v>
          </cell>
          <cell r="N16">
            <v>211</v>
          </cell>
          <cell r="O16">
            <v>223</v>
          </cell>
          <cell r="P16">
            <v>-134</v>
          </cell>
          <cell r="Q16">
            <v>180</v>
          </cell>
          <cell r="R16">
            <v>-152</v>
          </cell>
          <cell r="S16">
            <v>-40</v>
          </cell>
          <cell r="T16">
            <v>216</v>
          </cell>
          <cell r="U16">
            <v>20</v>
          </cell>
          <cell r="V16">
            <v>112</v>
          </cell>
          <cell r="W16">
            <v>172</v>
          </cell>
          <cell r="X16">
            <v>157</v>
          </cell>
          <cell r="Y16">
            <v>190</v>
          </cell>
          <cell r="Z16">
            <v>389</v>
          </cell>
          <cell r="AA16">
            <v>199</v>
          </cell>
          <cell r="AB16">
            <v>643</v>
          </cell>
          <cell r="AC16">
            <v>-251</v>
          </cell>
          <cell r="AD16">
            <v>343</v>
          </cell>
          <cell r="AE16">
            <v>140</v>
          </cell>
          <cell r="AF16">
            <v>-445</v>
          </cell>
          <cell r="AG16">
            <v>616</v>
          </cell>
          <cell r="AH16">
            <v>750</v>
          </cell>
          <cell r="AI16">
            <v>845.90200388414303</v>
          </cell>
          <cell r="AJ16">
            <v>937.25417025341198</v>
          </cell>
          <cell r="AK16">
            <v>1058.56968730832</v>
          </cell>
          <cell r="AL16">
            <v>1165.96553565919</v>
          </cell>
          <cell r="AM16">
            <v>951.53827942101395</v>
          </cell>
          <cell r="AN16">
            <v>991.84593530521704</v>
          </cell>
          <cell r="AO16">
            <v>1021.03472158943</v>
          </cell>
          <cell r="AP16">
            <v>1037.7908318566399</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row>
        <row r="17">
          <cell r="B17" t="str">
            <v>Total operating expense (incl. D&amp;A)</v>
          </cell>
          <cell r="C17" t="str">
            <v>TOT_OPS_EXP_DDA</v>
          </cell>
          <cell r="D17" t="str">
            <v>SEK</v>
          </cell>
          <cell r="F17">
            <v>-18958</v>
          </cell>
          <cell r="G17">
            <v>-21700</v>
          </cell>
          <cell r="H17">
            <v>-22190</v>
          </cell>
          <cell r="I17">
            <v>-26219</v>
          </cell>
          <cell r="J17">
            <v>-29395</v>
          </cell>
          <cell r="K17">
            <v>-31764</v>
          </cell>
          <cell r="L17">
            <v>-40135</v>
          </cell>
          <cell r="M17">
            <v>-45009</v>
          </cell>
          <cell r="N17">
            <v>-49251</v>
          </cell>
          <cell r="O17">
            <v>-39309</v>
          </cell>
          <cell r="P17">
            <v>-36541</v>
          </cell>
          <cell r="Q17">
            <v>-35267</v>
          </cell>
          <cell r="R17">
            <v>-41309</v>
          </cell>
          <cell r="S17">
            <v>-51289</v>
          </cell>
          <cell r="T17">
            <v>-60371</v>
          </cell>
          <cell r="U17">
            <v>-54672</v>
          </cell>
          <cell r="V17">
            <v>-55960</v>
          </cell>
          <cell r="W17">
            <v>-63643</v>
          </cell>
          <cell r="X17">
            <v>-71305</v>
          </cell>
          <cell r="Y17">
            <v>-66832</v>
          </cell>
          <cell r="Z17">
            <v>-76706</v>
          </cell>
          <cell r="AA17">
            <v>-79201</v>
          </cell>
          <cell r="AB17">
            <v>-81558</v>
          </cell>
          <cell r="AC17">
            <v>-92221</v>
          </cell>
          <cell r="AD17">
            <v>-74176</v>
          </cell>
          <cell r="AE17">
            <v>-81859</v>
          </cell>
          <cell r="AF17">
            <v>-80641</v>
          </cell>
          <cell r="AG17">
            <v>-87353</v>
          </cell>
          <cell r="AH17">
            <v>-106503.399192368</v>
          </cell>
          <cell r="AI17">
            <v>-121178.548157331</v>
          </cell>
          <cell r="AJ17">
            <v>-133861.911019352</v>
          </cell>
          <cell r="AK17">
            <v>-149997.60702392401</v>
          </cell>
          <cell r="AL17">
            <v>-164697.91690572901</v>
          </cell>
          <cell r="AM17">
            <v>-178874.27239689199</v>
          </cell>
          <cell r="AN17">
            <v>-195224.991601619</v>
          </cell>
          <cell r="AO17">
            <v>-213170.400638252</v>
          </cell>
          <cell r="AP17">
            <v>-232869.58330974501</v>
          </cell>
        </row>
        <row r="18">
          <cell r="B18" t="str">
            <v>Total operating expense (excl. D&amp;A)</v>
          </cell>
          <cell r="C18" t="str">
            <v>TOT_OPS_EXP</v>
          </cell>
          <cell r="D18" t="str">
            <v>SEK</v>
          </cell>
          <cell r="F18">
            <v>-18071</v>
          </cell>
          <cell r="G18">
            <v>-20988</v>
          </cell>
          <cell r="H18">
            <v>-21419</v>
          </cell>
          <cell r="I18">
            <v>-25155</v>
          </cell>
          <cell r="J18">
            <v>-28187</v>
          </cell>
          <cell r="K18">
            <v>-30421</v>
          </cell>
          <cell r="L18">
            <v>-38568</v>
          </cell>
          <cell r="M18">
            <v>-43327</v>
          </cell>
          <cell r="N18">
            <v>-40678</v>
          </cell>
          <cell r="O18">
            <v>-37956</v>
          </cell>
          <cell r="P18">
            <v>-35299</v>
          </cell>
          <cell r="Q18">
            <v>-34188</v>
          </cell>
          <cell r="R18">
            <v>-40306</v>
          </cell>
          <cell r="S18">
            <v>-50077</v>
          </cell>
          <cell r="T18">
            <v>-58876</v>
          </cell>
          <cell r="U18">
            <v>-52922</v>
          </cell>
          <cell r="V18">
            <v>-54142</v>
          </cell>
          <cell r="W18">
            <v>-61837</v>
          </cell>
          <cell r="X18">
            <v>-69322</v>
          </cell>
          <cell r="Y18">
            <v>-64824</v>
          </cell>
          <cell r="Z18">
            <v>-73892</v>
          </cell>
          <cell r="AA18">
            <v>-75860</v>
          </cell>
          <cell r="AB18">
            <v>-78154</v>
          </cell>
          <cell r="AC18">
            <v>-88757</v>
          </cell>
          <cell r="AD18">
            <v>-70258</v>
          </cell>
          <cell r="AE18">
            <v>-78936</v>
          </cell>
          <cell r="AF18">
            <v>-77351</v>
          </cell>
          <cell r="AG18">
            <v>-83741</v>
          </cell>
          <cell r="AH18">
            <v>-102504.40454028299</v>
          </cell>
          <cell r="AI18">
            <v>-116901.624203869</v>
          </cell>
          <cell r="AJ18">
            <v>-129271.047084051</v>
          </cell>
          <cell r="AK18">
            <v>-145406.743088622</v>
          </cell>
          <cell r="AL18">
            <v>-160107.052970427</v>
          </cell>
          <cell r="AM18">
            <v>-174283.40846159001</v>
          </cell>
          <cell r="AN18">
            <v>-190634.12766631701</v>
          </cell>
          <cell r="AO18">
            <v>-208579.53670295101</v>
          </cell>
          <cell r="AP18">
            <v>-228278.71937444399</v>
          </cell>
        </row>
        <row r="19">
          <cell r="B19" t="str">
            <v>EBITDA</v>
          </cell>
          <cell r="C19" t="str">
            <v>EBITDA_CALC</v>
          </cell>
          <cell r="D19" t="str">
            <v>SEK</v>
          </cell>
          <cell r="F19">
            <v>2843</v>
          </cell>
          <cell r="G19">
            <v>3466</v>
          </cell>
          <cell r="H19">
            <v>3702</v>
          </cell>
          <cell r="I19">
            <v>4877</v>
          </cell>
          <cell r="J19">
            <v>5553</v>
          </cell>
          <cell r="K19">
            <v>5813</v>
          </cell>
          <cell r="L19">
            <v>7959</v>
          </cell>
          <cell r="M19">
            <v>7812</v>
          </cell>
          <cell r="N19">
            <v>6884</v>
          </cell>
          <cell r="O19">
            <v>6663</v>
          </cell>
          <cell r="P19">
            <v>7893</v>
          </cell>
          <cell r="Q19">
            <v>8017</v>
          </cell>
          <cell r="R19">
            <v>10206</v>
          </cell>
          <cell r="S19">
            <v>13278</v>
          </cell>
          <cell r="T19">
            <v>15301</v>
          </cell>
          <cell r="U19">
            <v>10840</v>
          </cell>
          <cell r="V19">
            <v>15733</v>
          </cell>
          <cell r="W19">
            <v>19366</v>
          </cell>
          <cell r="X19">
            <v>21211</v>
          </cell>
          <cell r="Y19">
            <v>19064</v>
          </cell>
          <cell r="Z19">
            <v>19829</v>
          </cell>
          <cell r="AA19">
            <v>23113</v>
          </cell>
          <cell r="AB19">
            <v>23202</v>
          </cell>
          <cell r="AC19">
            <v>27664</v>
          </cell>
          <cell r="AD19">
            <v>25105</v>
          </cell>
          <cell r="AE19">
            <v>24820</v>
          </cell>
          <cell r="AF19">
            <v>22436</v>
          </cell>
          <cell r="AG19">
            <v>27171</v>
          </cell>
          <cell r="AH19">
            <v>34541.988531505798</v>
          </cell>
          <cell r="AI19">
            <v>37668.800495491603</v>
          </cell>
          <cell r="AJ19">
            <v>41992.024148912496</v>
          </cell>
          <cell r="AK19">
            <v>48024.133525694197</v>
          </cell>
          <cell r="AL19">
            <v>52948.1085070513</v>
          </cell>
          <cell r="AM19">
            <v>58486.346762753703</v>
          </cell>
          <cell r="AN19">
            <v>63756.182643292799</v>
          </cell>
          <cell r="AO19">
            <v>69527.305291803001</v>
          </cell>
          <cell r="AP19">
            <v>75850.006891795201</v>
          </cell>
        </row>
        <row r="20">
          <cell r="B20" t="str">
            <v>Depreciation</v>
          </cell>
          <cell r="C20" t="str">
            <v>DEPREC</v>
          </cell>
          <cell r="D20" t="str">
            <v>SEK</v>
          </cell>
          <cell r="F20">
            <v>-887</v>
          </cell>
          <cell r="G20">
            <v>-712</v>
          </cell>
          <cell r="H20">
            <v>-771</v>
          </cell>
          <cell r="I20">
            <v>-1064</v>
          </cell>
          <cell r="J20">
            <v>-1208</v>
          </cell>
          <cell r="K20">
            <v>-1343</v>
          </cell>
          <cell r="L20">
            <v>-1567</v>
          </cell>
          <cell r="M20">
            <v>-1682</v>
          </cell>
          <cell r="N20">
            <v>-8573</v>
          </cell>
          <cell r="O20">
            <v>-1353</v>
          </cell>
          <cell r="P20">
            <v>-1242</v>
          </cell>
          <cell r="Q20">
            <v>-1079</v>
          </cell>
          <cell r="R20">
            <v>-1003</v>
          </cell>
          <cell r="S20">
            <v>-1212</v>
          </cell>
          <cell r="T20">
            <v>-1495</v>
          </cell>
          <cell r="U20">
            <v>-1750</v>
          </cell>
          <cell r="V20">
            <v>-1818</v>
          </cell>
          <cell r="W20">
            <v>-1806</v>
          </cell>
          <cell r="X20">
            <v>-1983</v>
          </cell>
          <cell r="Y20">
            <v>-2008</v>
          </cell>
          <cell r="Z20">
            <v>-2814</v>
          </cell>
          <cell r="AA20">
            <v>-3341</v>
          </cell>
          <cell r="AB20">
            <v>-3404</v>
          </cell>
          <cell r="AC20">
            <v>-3464</v>
          </cell>
          <cell r="AD20">
            <v>-3918</v>
          </cell>
          <cell r="AE20">
            <v>-2923</v>
          </cell>
          <cell r="AF20">
            <v>-3290</v>
          </cell>
          <cell r="AG20">
            <v>-3612</v>
          </cell>
          <cell r="AH20">
            <v>-3998.9946520847702</v>
          </cell>
          <cell r="AI20">
            <v>-4276.9239534624803</v>
          </cell>
          <cell r="AJ20">
            <v>-4590.8639353014896</v>
          </cell>
          <cell r="AK20">
            <v>-4590.8639353014896</v>
          </cell>
          <cell r="AL20">
            <v>-4590.8639353014896</v>
          </cell>
          <cell r="AM20">
            <v>-4590.8639353014896</v>
          </cell>
          <cell r="AN20">
            <v>-4590.8639353014896</v>
          </cell>
          <cell r="AO20">
            <v>-4590.8639353014896</v>
          </cell>
          <cell r="AP20">
            <v>-4590.8639353014896</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row>
        <row r="21">
          <cell r="B21" t="str">
            <v>Amortization</v>
          </cell>
          <cell r="C21" t="str">
            <v>GOODWILL_AMORT</v>
          </cell>
          <cell r="D21" t="str">
            <v>SEK</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row>
        <row r="22">
          <cell r="B22" t="str">
            <v>EBIT, operating profit</v>
          </cell>
          <cell r="C22" t="str">
            <v>EBIT</v>
          </cell>
          <cell r="D22" t="str">
            <v>SEK</v>
          </cell>
          <cell r="F22">
            <v>1956</v>
          </cell>
          <cell r="G22">
            <v>2754</v>
          </cell>
          <cell r="H22">
            <v>2931</v>
          </cell>
          <cell r="I22">
            <v>3813</v>
          </cell>
          <cell r="J22">
            <v>4345</v>
          </cell>
          <cell r="K22">
            <v>4470</v>
          </cell>
          <cell r="L22">
            <v>6392</v>
          </cell>
          <cell r="M22">
            <v>6130</v>
          </cell>
          <cell r="N22">
            <v>-1689</v>
          </cell>
          <cell r="O22">
            <v>5310</v>
          </cell>
          <cell r="P22">
            <v>6651</v>
          </cell>
          <cell r="Q22">
            <v>6938</v>
          </cell>
          <cell r="R22">
            <v>9203</v>
          </cell>
          <cell r="S22">
            <v>12066</v>
          </cell>
          <cell r="T22">
            <v>13806</v>
          </cell>
          <cell r="U22">
            <v>9090</v>
          </cell>
          <cell r="V22">
            <v>13915</v>
          </cell>
          <cell r="W22">
            <v>17560</v>
          </cell>
          <cell r="X22">
            <v>19228</v>
          </cell>
          <cell r="Y22">
            <v>17056</v>
          </cell>
          <cell r="Z22">
            <v>17015</v>
          </cell>
          <cell r="AA22">
            <v>19772</v>
          </cell>
          <cell r="AB22">
            <v>19798</v>
          </cell>
          <cell r="AC22">
            <v>24200</v>
          </cell>
          <cell r="AD22">
            <v>21187</v>
          </cell>
          <cell r="AE22">
            <v>21897</v>
          </cell>
          <cell r="AF22">
            <v>19146</v>
          </cell>
          <cell r="AG22">
            <v>23559</v>
          </cell>
          <cell r="AH22">
            <v>30542.993879421101</v>
          </cell>
          <cell r="AI22">
            <v>33391.876542029102</v>
          </cell>
          <cell r="AJ22">
            <v>37401.160213611001</v>
          </cell>
          <cell r="AK22">
            <v>43433.269590392803</v>
          </cell>
          <cell r="AL22">
            <v>48357.244571749798</v>
          </cell>
          <cell r="AM22">
            <v>53895.482827452302</v>
          </cell>
          <cell r="AN22">
            <v>59165.318707991297</v>
          </cell>
          <cell r="AO22">
            <v>64936.441356501498</v>
          </cell>
          <cell r="AP22">
            <v>71259.142956493699</v>
          </cell>
          <cell r="AR22">
            <v>1321</v>
          </cell>
          <cell r="AS22">
            <v>1594</v>
          </cell>
          <cell r="AT22">
            <v>1962</v>
          </cell>
          <cell r="AU22">
            <v>1784</v>
          </cell>
          <cell r="AV22">
            <v>1344</v>
          </cell>
          <cell r="AW22">
            <v>1667</v>
          </cell>
          <cell r="AX22">
            <v>1781</v>
          </cell>
          <cell r="AY22">
            <v>2146</v>
          </cell>
          <cell r="AZ22">
            <v>2096</v>
          </cell>
          <cell r="BA22">
            <v>2337</v>
          </cell>
          <cell r="BB22">
            <v>2306</v>
          </cell>
          <cell r="BC22">
            <v>2464</v>
          </cell>
          <cell r="BD22">
            <v>2541</v>
          </cell>
          <cell r="BE22">
            <v>3037</v>
          </cell>
          <cell r="BF22">
            <v>3127</v>
          </cell>
          <cell r="BG22">
            <v>3361</v>
          </cell>
          <cell r="BH22">
            <v>3248</v>
          </cell>
          <cell r="BI22">
            <v>3630</v>
          </cell>
          <cell r="BJ22">
            <v>3640</v>
          </cell>
          <cell r="BK22">
            <v>3288</v>
          </cell>
          <cell r="BL22">
            <v>2172</v>
          </cell>
          <cell r="BM22">
            <v>2066</v>
          </cell>
          <cell r="BN22">
            <v>2402</v>
          </cell>
          <cell r="BO22">
            <v>2450</v>
          </cell>
          <cell r="BP22">
            <v>2627</v>
          </cell>
          <cell r="BQ22">
            <v>3499</v>
          </cell>
          <cell r="BR22">
            <v>3782</v>
          </cell>
          <cell r="BS22">
            <v>4007</v>
          </cell>
          <cell r="BT22">
            <v>3987</v>
          </cell>
          <cell r="BU22">
            <v>4177</v>
          </cell>
          <cell r="BV22">
            <v>4800</v>
          </cell>
          <cell r="BW22">
            <v>4596</v>
          </cell>
          <cell r="BX22">
            <v>4604</v>
          </cell>
          <cell r="BY22">
            <v>5019</v>
          </cell>
          <cell r="BZ22">
            <v>4918</v>
          </cell>
          <cell r="CA22">
            <v>4687</v>
          </cell>
          <cell r="CB22">
            <v>4156</v>
          </cell>
          <cell r="CC22">
            <v>4533</v>
          </cell>
          <cell r="CD22">
            <v>4312</v>
          </cell>
          <cell r="CE22">
            <v>4148</v>
          </cell>
          <cell r="CF22">
            <v>3760</v>
          </cell>
          <cell r="CG22">
            <v>4339</v>
          </cell>
          <cell r="CH22">
            <v>4145</v>
          </cell>
          <cell r="CI22">
            <v>4771</v>
          </cell>
          <cell r="CJ22">
            <v>4519</v>
          </cell>
          <cell r="CK22">
            <v>5137</v>
          </cell>
          <cell r="CL22">
            <v>5313</v>
          </cell>
          <cell r="CM22">
            <v>4934</v>
          </cell>
          <cell r="CN22">
            <v>4170</v>
          </cell>
          <cell r="CO22">
            <v>4775</v>
          </cell>
          <cell r="CP22">
            <v>5023</v>
          </cell>
          <cell r="CQ22">
            <v>5785</v>
          </cell>
          <cell r="CR22">
            <v>5711</v>
          </cell>
          <cell r="CS22">
            <v>5988</v>
          </cell>
          <cell r="CT22">
            <v>6268</v>
          </cell>
          <cell r="CU22">
            <v>6233</v>
          </cell>
          <cell r="CV22">
            <v>4849</v>
          </cell>
          <cell r="CW22">
            <v>5430</v>
          </cell>
          <cell r="CX22">
            <v>5263</v>
          </cell>
          <cell r="CY22">
            <v>5527.299</v>
          </cell>
          <cell r="CZ22">
            <v>5048</v>
          </cell>
          <cell r="DA22">
            <v>5379</v>
          </cell>
          <cell r="DB22">
            <v>5843</v>
          </cell>
          <cell r="DC22">
            <v>5627</v>
          </cell>
          <cell r="DD22">
            <v>5124</v>
          </cell>
          <cell r="DE22">
            <v>3889</v>
          </cell>
          <cell r="DF22">
            <v>4760</v>
          </cell>
          <cell r="DG22">
            <v>5373</v>
          </cell>
          <cell r="DH22">
            <v>5387</v>
          </cell>
          <cell r="DI22">
            <v>5924</v>
          </cell>
          <cell r="DJ22">
            <v>6000</v>
          </cell>
          <cell r="DK22">
            <v>6248</v>
          </cell>
          <cell r="DL22">
            <v>6749</v>
          </cell>
          <cell r="DM22">
            <v>7279</v>
          </cell>
          <cell r="DN22">
            <v>7633.6201828167495</v>
          </cell>
          <cell r="DO22">
            <v>8095.6296686455498</v>
          </cell>
          <cell r="DP22">
            <v>8417.5257168848293</v>
          </cell>
          <cell r="DQ22">
            <v>9034.6001808025703</v>
          </cell>
        </row>
        <row r="23">
          <cell r="B23" t="str">
            <v>Interest income</v>
          </cell>
          <cell r="C23" t="str">
            <v>INT_INC_IND</v>
          </cell>
          <cell r="D23" t="str">
            <v>SEK</v>
          </cell>
          <cell r="F23">
            <v>341</v>
          </cell>
          <cell r="G23">
            <v>456</v>
          </cell>
          <cell r="H23">
            <v>460</v>
          </cell>
          <cell r="I23">
            <v>351</v>
          </cell>
          <cell r="J23">
            <v>220</v>
          </cell>
          <cell r="K23">
            <v>151</v>
          </cell>
          <cell r="L23">
            <v>81</v>
          </cell>
          <cell r="M23">
            <v>164</v>
          </cell>
          <cell r="N23">
            <v>311</v>
          </cell>
          <cell r="O23">
            <v>359</v>
          </cell>
          <cell r="P23">
            <v>513</v>
          </cell>
          <cell r="Q23">
            <v>575</v>
          </cell>
          <cell r="R23">
            <v>666</v>
          </cell>
          <cell r="S23">
            <v>688</v>
          </cell>
          <cell r="T23">
            <v>2741</v>
          </cell>
          <cell r="U23">
            <v>0</v>
          </cell>
          <cell r="V23">
            <v>0</v>
          </cell>
          <cell r="W23">
            <v>0</v>
          </cell>
          <cell r="X23">
            <v>0</v>
          </cell>
          <cell r="Y23">
            <v>394</v>
          </cell>
          <cell r="Z23">
            <v>313</v>
          </cell>
          <cell r="AA23">
            <v>427</v>
          </cell>
          <cell r="AB23">
            <v>300</v>
          </cell>
          <cell r="AC23">
            <v>309</v>
          </cell>
          <cell r="AD23">
            <v>309</v>
          </cell>
          <cell r="AE23">
            <v>161</v>
          </cell>
          <cell r="AF23">
            <v>159.01846153846199</v>
          </cell>
          <cell r="AG23">
            <v>243</v>
          </cell>
          <cell r="AH23">
            <v>250</v>
          </cell>
          <cell r="AI23">
            <v>250</v>
          </cell>
          <cell r="AJ23">
            <v>250</v>
          </cell>
          <cell r="AK23">
            <v>250</v>
          </cell>
          <cell r="AL23">
            <v>250</v>
          </cell>
          <cell r="AM23">
            <v>250</v>
          </cell>
          <cell r="AN23">
            <v>250</v>
          </cell>
          <cell r="AO23">
            <v>250</v>
          </cell>
          <cell r="AP23">
            <v>250</v>
          </cell>
        </row>
        <row r="24">
          <cell r="B24" t="str">
            <v>Interest expense</v>
          </cell>
          <cell r="C24" t="str">
            <v>INT_EXP_IND</v>
          </cell>
          <cell r="D24" t="str">
            <v>SEK</v>
          </cell>
          <cell r="F24">
            <v>-342</v>
          </cell>
          <cell r="G24">
            <v>-370</v>
          </cell>
          <cell r="H24">
            <v>-321</v>
          </cell>
          <cell r="I24">
            <v>-644</v>
          </cell>
          <cell r="J24">
            <v>-928</v>
          </cell>
          <cell r="K24">
            <v>-1209</v>
          </cell>
          <cell r="L24">
            <v>-1784</v>
          </cell>
          <cell r="M24">
            <v>-1594</v>
          </cell>
          <cell r="N24">
            <v>-1091</v>
          </cell>
          <cell r="O24">
            <v>-756</v>
          </cell>
          <cell r="P24">
            <v>-782</v>
          </cell>
          <cell r="Q24">
            <v>-650</v>
          </cell>
          <cell r="R24">
            <v>-1174</v>
          </cell>
          <cell r="S24">
            <v>-2220</v>
          </cell>
          <cell r="T24">
            <v>-3435</v>
          </cell>
          <cell r="U24">
            <v>-819</v>
          </cell>
          <cell r="V24">
            <v>-420</v>
          </cell>
          <cell r="W24">
            <v>-284</v>
          </cell>
          <cell r="X24">
            <v>-690</v>
          </cell>
          <cell r="Y24">
            <v>-1184</v>
          </cell>
          <cell r="Z24">
            <v>-1237</v>
          </cell>
          <cell r="AA24">
            <v>-1324</v>
          </cell>
          <cell r="AB24">
            <v>-1293</v>
          </cell>
          <cell r="AC24">
            <v>-1380</v>
          </cell>
          <cell r="AD24">
            <v>-386</v>
          </cell>
          <cell r="AE24">
            <v>-486</v>
          </cell>
          <cell r="AF24">
            <v>-480.01846153846202</v>
          </cell>
          <cell r="AG24">
            <v>-392</v>
          </cell>
          <cell r="AH24">
            <v>-420</v>
          </cell>
          <cell r="AI24">
            <v>-508.596</v>
          </cell>
          <cell r="AJ24">
            <v>-577.95000000000005</v>
          </cell>
          <cell r="AK24">
            <v>-577.95000000000005</v>
          </cell>
          <cell r="AL24">
            <v>-577.95000000000005</v>
          </cell>
          <cell r="AM24">
            <v>-462.36</v>
          </cell>
          <cell r="AN24">
            <v>-462.36</v>
          </cell>
          <cell r="AO24">
            <v>-462.36</v>
          </cell>
          <cell r="AP24">
            <v>-462.36</v>
          </cell>
        </row>
        <row r="25">
          <cell r="B25" t="str">
            <v>Net interest income/(expense)</v>
          </cell>
          <cell r="C25" t="str">
            <v>NET_INT_EXP</v>
          </cell>
          <cell r="D25" t="str">
            <v>SEK</v>
          </cell>
          <cell r="F25">
            <v>-1</v>
          </cell>
          <cell r="G25">
            <v>86</v>
          </cell>
          <cell r="H25">
            <v>139</v>
          </cell>
          <cell r="I25">
            <v>-293</v>
          </cell>
          <cell r="J25">
            <v>-708</v>
          </cell>
          <cell r="K25">
            <v>-1058</v>
          </cell>
          <cell r="L25">
            <v>-1703</v>
          </cell>
          <cell r="M25">
            <v>-1430</v>
          </cell>
          <cell r="N25">
            <v>-780</v>
          </cell>
          <cell r="O25">
            <v>-397</v>
          </cell>
          <cell r="P25">
            <v>-269</v>
          </cell>
          <cell r="Q25">
            <v>-75</v>
          </cell>
          <cell r="R25">
            <v>-508</v>
          </cell>
          <cell r="S25">
            <v>-1532</v>
          </cell>
          <cell r="T25">
            <v>-694</v>
          </cell>
          <cell r="U25">
            <v>-819</v>
          </cell>
          <cell r="V25">
            <v>-420</v>
          </cell>
          <cell r="W25">
            <v>-284</v>
          </cell>
          <cell r="X25">
            <v>-690</v>
          </cell>
          <cell r="Y25">
            <v>-790</v>
          </cell>
          <cell r="Z25">
            <v>-924</v>
          </cell>
          <cell r="AA25">
            <v>-897</v>
          </cell>
          <cell r="AB25">
            <v>-993</v>
          </cell>
          <cell r="AC25">
            <v>-1071</v>
          </cell>
          <cell r="AD25">
            <v>-77</v>
          </cell>
          <cell r="AE25">
            <v>-325</v>
          </cell>
          <cell r="AF25">
            <v>-321</v>
          </cell>
          <cell r="AG25">
            <v>-149</v>
          </cell>
          <cell r="AH25">
            <v>-170</v>
          </cell>
          <cell r="AI25">
            <v>-258.596</v>
          </cell>
          <cell r="AJ25">
            <v>-327.95</v>
          </cell>
          <cell r="AK25">
            <v>-327.95</v>
          </cell>
          <cell r="AL25">
            <v>-327.95</v>
          </cell>
          <cell r="AM25">
            <v>-212.36</v>
          </cell>
          <cell r="AN25">
            <v>-212.36</v>
          </cell>
          <cell r="AO25">
            <v>-212.36</v>
          </cell>
          <cell r="AP25">
            <v>-212.36</v>
          </cell>
        </row>
        <row r="26">
          <cell r="B26" t="str">
            <v>Income/(loss) from unconsolidated subs &amp; associates</v>
          </cell>
          <cell r="C26" t="str">
            <v>ASSOCIATE</v>
          </cell>
          <cell r="D26" t="str">
            <v>SEK</v>
          </cell>
          <cell r="F26">
            <v>66</v>
          </cell>
          <cell r="G26">
            <v>89</v>
          </cell>
          <cell r="H26">
            <v>0</v>
          </cell>
          <cell r="I26">
            <v>0</v>
          </cell>
          <cell r="J26">
            <v>0</v>
          </cell>
          <cell r="K26">
            <v>0</v>
          </cell>
          <cell r="L26">
            <v>0</v>
          </cell>
          <cell r="M26">
            <v>0</v>
          </cell>
          <cell r="N26">
            <v>0</v>
          </cell>
          <cell r="O26">
            <v>0</v>
          </cell>
          <cell r="P26">
            <v>3</v>
          </cell>
          <cell r="Q26">
            <v>4</v>
          </cell>
          <cell r="R26">
            <v>17</v>
          </cell>
          <cell r="S26">
            <v>3</v>
          </cell>
          <cell r="T26">
            <v>14</v>
          </cell>
          <cell r="U26">
            <v>0</v>
          </cell>
          <cell r="V26">
            <v>0</v>
          </cell>
          <cell r="W26">
            <v>0</v>
          </cell>
          <cell r="X26">
            <v>0</v>
          </cell>
          <cell r="Y26">
            <v>7</v>
          </cell>
          <cell r="Z26">
            <v>7</v>
          </cell>
          <cell r="AA26">
            <v>0</v>
          </cell>
          <cell r="AC26">
            <v>3</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row>
        <row r="27">
          <cell r="B27" t="str">
            <v>Profit/(loss) on disposals of assets, pre-tax</v>
          </cell>
          <cell r="C27" t="str">
            <v>PROFIT_ON_DISP</v>
          </cell>
          <cell r="D27" t="str">
            <v>SEK</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row>
        <row r="28">
          <cell r="B28" t="str">
            <v>Other non-ops income/(expense)</v>
          </cell>
          <cell r="C28" t="str">
            <v>OTH_COST_INC</v>
          </cell>
          <cell r="D28" t="str">
            <v>SEK</v>
          </cell>
          <cell r="U28">
            <v>0</v>
          </cell>
          <cell r="V28">
            <v>0</v>
          </cell>
          <cell r="W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row>
        <row r="29">
          <cell r="B29" t="str">
            <v>Pre-tax profit</v>
          </cell>
          <cell r="C29" t="str">
            <v>PT_PROF</v>
          </cell>
          <cell r="D29" t="str">
            <v>SEK</v>
          </cell>
          <cell r="F29">
            <v>1955</v>
          </cell>
          <cell r="G29">
            <v>2840</v>
          </cell>
          <cell r="H29">
            <v>3070</v>
          </cell>
          <cell r="I29">
            <v>3520</v>
          </cell>
          <cell r="J29">
            <v>3637</v>
          </cell>
          <cell r="K29">
            <v>3412</v>
          </cell>
          <cell r="L29">
            <v>4689</v>
          </cell>
          <cell r="M29">
            <v>4700</v>
          </cell>
          <cell r="N29">
            <v>-2469</v>
          </cell>
          <cell r="O29">
            <v>4913</v>
          </cell>
          <cell r="P29">
            <v>6382</v>
          </cell>
          <cell r="Q29">
            <v>6863</v>
          </cell>
          <cell r="R29">
            <v>8695</v>
          </cell>
          <cell r="S29">
            <v>10534</v>
          </cell>
          <cell r="T29">
            <v>13112</v>
          </cell>
          <cell r="U29">
            <v>8271</v>
          </cell>
          <cell r="V29">
            <v>13495</v>
          </cell>
          <cell r="W29">
            <v>17276</v>
          </cell>
          <cell r="X29">
            <v>18538</v>
          </cell>
          <cell r="Y29">
            <v>16266</v>
          </cell>
          <cell r="Z29">
            <v>16091</v>
          </cell>
          <cell r="AA29">
            <v>18875</v>
          </cell>
          <cell r="AB29">
            <v>18805</v>
          </cell>
          <cell r="AC29">
            <v>23129</v>
          </cell>
          <cell r="AD29">
            <v>21110</v>
          </cell>
          <cell r="AE29">
            <v>21572</v>
          </cell>
          <cell r="AF29">
            <v>18825</v>
          </cell>
          <cell r="AG29">
            <v>23410</v>
          </cell>
          <cell r="AH29">
            <v>30372.993879421101</v>
          </cell>
          <cell r="AI29">
            <v>33133.280542029097</v>
          </cell>
          <cell r="AJ29">
            <v>37073.210213610997</v>
          </cell>
          <cell r="AK29">
            <v>43105.319590392799</v>
          </cell>
          <cell r="AL29">
            <v>48029.294571749801</v>
          </cell>
          <cell r="AM29">
            <v>53683.122827452302</v>
          </cell>
          <cell r="AN29">
            <v>58952.958707991304</v>
          </cell>
          <cell r="AO29">
            <v>64724.081356501498</v>
          </cell>
          <cell r="AP29">
            <v>71046.782956493698</v>
          </cell>
        </row>
        <row r="30">
          <cell r="A30" t="str">
            <v>Additional Income Statement Items</v>
          </cell>
        </row>
        <row r="31">
          <cell r="B31" t="str">
            <v>Organic revenues (excl. acquisitions)</v>
          </cell>
          <cell r="C31" t="str">
            <v>ORG_REV</v>
          </cell>
          <cell r="D31" t="str">
            <v>SEK</v>
          </cell>
        </row>
        <row r="32">
          <cell r="B32" t="str">
            <v>Organic sales growth (excl. acquisitions)</v>
          </cell>
          <cell r="C32" t="str">
            <v>ORG_REV_GRTH</v>
          </cell>
          <cell r="F32">
            <v>8.9380619908999995E-2</v>
          </cell>
          <cell r="G32">
            <v>0.13307353925599999</v>
          </cell>
          <cell r="H32">
            <v>2.9989776724000002E-2</v>
          </cell>
          <cell r="I32">
            <v>5.7789304675E-2</v>
          </cell>
          <cell r="J32">
            <v>3.8169037383000003E-2</v>
          </cell>
          <cell r="K32">
            <v>-1.7872851214999999E-2</v>
          </cell>
          <cell r="L32">
            <v>0.119079593752</v>
          </cell>
          <cell r="M32">
            <v>-2.8647881880000002E-3</v>
          </cell>
          <cell r="N32">
            <v>-2.6279130463999999E-2</v>
          </cell>
          <cell r="O32">
            <v>0.03</v>
          </cell>
          <cell r="P32">
            <v>0.1</v>
          </cell>
          <cell r="Q32">
            <v>0.15</v>
          </cell>
          <cell r="R32">
            <v>0.17</v>
          </cell>
          <cell r="S32">
            <v>0.18</v>
          </cell>
          <cell r="T32">
            <v>0.12</v>
          </cell>
          <cell r="U32">
            <v>-0.22</v>
          </cell>
          <cell r="V32">
            <v>0.118009002227</v>
          </cell>
          <cell r="W32">
            <v>0.225381610018</v>
          </cell>
          <cell r="X32">
            <v>8.7957095181000006E-2</v>
          </cell>
          <cell r="Y32">
            <v>-3.6485480432999998E-2</v>
          </cell>
          <cell r="Z32">
            <v>-2.4984208904999999E-2</v>
          </cell>
          <cell r="AA32">
            <v>-6.6323449390000002E-3</v>
          </cell>
          <cell r="AB32">
            <v>1.2172006507E-2</v>
          </cell>
          <cell r="AC32">
            <v>0.101387880343</v>
          </cell>
          <cell r="AD32">
            <v>0.08</v>
          </cell>
          <cell r="AE32">
            <v>0.02</v>
          </cell>
          <cell r="AF32">
            <v>-0.03</v>
          </cell>
          <cell r="AG32">
            <v>0.143584988434</v>
          </cell>
          <cell r="AH32">
            <v>0.12045269925</v>
          </cell>
          <cell r="AI32">
            <v>7.3341874794000006E-2</v>
          </cell>
          <cell r="AJ32">
            <v>7.2918499072000001E-2</v>
          </cell>
          <cell r="AK32">
            <v>9.3978062419999994E-2</v>
          </cell>
          <cell r="AL32">
            <v>6.5669695276000001E-2</v>
          </cell>
          <cell r="AM32">
            <v>5.6479832153000002E-2</v>
          </cell>
          <cell r="AN32">
            <v>5.673789882E-2</v>
          </cell>
          <cell r="AO32">
            <v>5.6993325062E-2</v>
          </cell>
          <cell r="AP32">
            <v>5.7246086008999997E-2</v>
          </cell>
          <cell r="AV32">
            <v>0.13</v>
          </cell>
          <cell r="AW32">
            <v>0.13</v>
          </cell>
          <cell r="AX32">
            <v>0.13</v>
          </cell>
          <cell r="AY32">
            <v>0.15</v>
          </cell>
          <cell r="AZ32">
            <v>0.2</v>
          </cell>
          <cell r="BA32">
            <v>0.14000000000000001</v>
          </cell>
          <cell r="BB32">
            <v>0.17</v>
          </cell>
          <cell r="BC32">
            <v>0.18</v>
          </cell>
          <cell r="BD32">
            <v>0.17</v>
          </cell>
          <cell r="BE32">
            <v>0.2</v>
          </cell>
          <cell r="BF32">
            <v>0.19</v>
          </cell>
          <cell r="BG32">
            <v>0.18</v>
          </cell>
          <cell r="BH32">
            <v>0.18</v>
          </cell>
          <cell r="BI32">
            <v>0.15</v>
          </cell>
          <cell r="BJ32">
            <v>0.13</v>
          </cell>
          <cell r="BK32">
            <v>0.03</v>
          </cell>
          <cell r="BL32">
            <v>-0.17</v>
          </cell>
          <cell r="BM32">
            <v>-0.27</v>
          </cell>
          <cell r="BN32">
            <v>-0.25</v>
          </cell>
          <cell r="BO32">
            <v>-0.18</v>
          </cell>
          <cell r="BP32">
            <v>-0.03</v>
          </cell>
          <cell r="BQ32">
            <v>0.09</v>
          </cell>
          <cell r="BR32">
            <v>0.18</v>
          </cell>
          <cell r="BS32">
            <v>0.23</v>
          </cell>
          <cell r="BT32">
            <v>0.27</v>
          </cell>
          <cell r="BU32">
            <v>0.27</v>
          </cell>
          <cell r="BV32">
            <v>0.21</v>
          </cell>
          <cell r="BW32">
            <v>0.16679243337999999</v>
          </cell>
          <cell r="BX32">
            <v>0.17</v>
          </cell>
          <cell r="BY32">
            <v>0.09</v>
          </cell>
          <cell r="BZ32">
            <v>0.06</v>
          </cell>
          <cell r="CA32">
            <v>0.04</v>
          </cell>
          <cell r="CB32">
            <v>-0.05</v>
          </cell>
          <cell r="CC32">
            <v>-0.02</v>
          </cell>
          <cell r="CD32">
            <v>-0.04</v>
          </cell>
          <cell r="CE32">
            <v>-0.04</v>
          </cell>
          <cell r="CF32">
            <v>-0.02</v>
          </cell>
          <cell r="CG32">
            <v>-0.03</v>
          </cell>
          <cell r="CH32">
            <v>-0.02</v>
          </cell>
          <cell r="CI32">
            <v>-0.03</v>
          </cell>
          <cell r="CJ32">
            <v>-0.02</v>
          </cell>
          <cell r="CK32">
            <v>-0.03</v>
          </cell>
          <cell r="CL32">
            <v>0</v>
          </cell>
          <cell r="CM32">
            <v>-0.02</v>
          </cell>
          <cell r="CN32">
            <v>-0.03</v>
          </cell>
          <cell r="CO32">
            <v>1.055214724E-3</v>
          </cell>
          <cell r="CP32">
            <v>-2.9805813629999998E-3</v>
          </cell>
          <cell r="CQ32">
            <v>2.0976172481000002E-2</v>
          </cell>
          <cell r="CR32">
            <v>0.111343349732</v>
          </cell>
          <cell r="CS32">
            <v>7.2418173727000004E-2</v>
          </cell>
          <cell r="CT32">
            <v>0.10348338857599999</v>
          </cell>
          <cell r="CU32">
            <v>0.114926796883</v>
          </cell>
          <cell r="CV32">
            <v>0.09</v>
          </cell>
          <cell r="CW32">
            <v>0.11</v>
          </cell>
          <cell r="CX32">
            <v>0.06</v>
          </cell>
          <cell r="CY32">
            <v>7.0000000000000007E-2</v>
          </cell>
          <cell r="CZ32">
            <v>0.04</v>
          </cell>
          <cell r="DA32">
            <v>0.01</v>
          </cell>
          <cell r="DB32">
            <v>0.04</v>
          </cell>
          <cell r="DC32">
            <v>0.01</v>
          </cell>
          <cell r="DD32">
            <v>-0.03</v>
          </cell>
          <cell r="DE32">
            <v>-0.08</v>
          </cell>
          <cell r="DF32">
            <v>-0.02</v>
          </cell>
          <cell r="DG32">
            <v>0</v>
          </cell>
          <cell r="DH32">
            <v>0.13</v>
          </cell>
          <cell r="DI32">
            <v>0.21</v>
          </cell>
          <cell r="DJ32">
            <v>0.12</v>
          </cell>
          <cell r="DK32">
            <v>0.12</v>
          </cell>
          <cell r="DL32">
            <v>7.0000000000000007E-2</v>
          </cell>
          <cell r="DM32">
            <v>0.08</v>
          </cell>
          <cell r="DN32">
            <v>0.145505842833</v>
          </cell>
          <cell r="DO32">
            <v>0.179488466072</v>
          </cell>
          <cell r="DP32">
            <v>0.22006970828200001</v>
          </cell>
          <cell r="DQ32">
            <v>0.193955165575</v>
          </cell>
        </row>
        <row r="33">
          <cell r="B33" t="str">
            <v>Growth from acquisitions</v>
          </cell>
          <cell r="C33" t="str">
            <v>ACQ_GRTH</v>
          </cell>
          <cell r="F33">
            <v>1.6626467788000001E-2</v>
          </cell>
          <cell r="G33">
            <v>6.078703261E-2</v>
          </cell>
          <cell r="H33">
            <v>6.2346446388999999E-2</v>
          </cell>
          <cell r="I33">
            <v>7.0384712133999994E-2</v>
          </cell>
          <cell r="J33">
            <v>7.1406513847999994E-2</v>
          </cell>
          <cell r="K33">
            <v>6.4875222287999995E-2</v>
          </cell>
          <cell r="L33">
            <v>0.120977810896</v>
          </cell>
          <cell r="M33">
            <v>5.0000000000000001E-3</v>
          </cell>
          <cell r="N33">
            <v>0.01</v>
          </cell>
          <cell r="O33">
            <v>0.01</v>
          </cell>
          <cell r="P33">
            <v>3.6646047648000002E-2</v>
          </cell>
          <cell r="Q33">
            <v>5.3442072606E-2</v>
          </cell>
          <cell r="R33">
            <v>2.1851977400999999E-2</v>
          </cell>
          <cell r="S33">
            <v>0.114231667723</v>
          </cell>
          <cell r="T33">
            <v>4.6885328703000002E-2</v>
          </cell>
          <cell r="U33">
            <v>0</v>
          </cell>
          <cell r="V33">
            <v>0.02</v>
          </cell>
          <cell r="W33">
            <v>0.02</v>
          </cell>
          <cell r="X33">
            <v>2.5012888644999998E-2</v>
          </cell>
          <cell r="Y33">
            <v>4.8883260679999999E-3</v>
          </cell>
          <cell r="Z33">
            <v>0.120662995486</v>
          </cell>
          <cell r="AA33">
            <v>0.02</v>
          </cell>
          <cell r="AB33">
            <v>0.03</v>
          </cell>
          <cell r="AC33">
            <v>0.03</v>
          </cell>
          <cell r="AD33">
            <v>0.03</v>
          </cell>
          <cell r="AE33">
            <v>0.02</v>
          </cell>
          <cell r="AF33">
            <v>0.03</v>
          </cell>
          <cell r="AG33">
            <v>2.1162459121E-2</v>
          </cell>
          <cell r="AH33">
            <v>9.9191405679999994E-3</v>
          </cell>
          <cell r="AI33">
            <v>3.5159599446000001E-2</v>
          </cell>
          <cell r="AJ33">
            <v>3.5103109621000002E-2</v>
          </cell>
          <cell r="AK33">
            <v>3.5501117178000002E-2</v>
          </cell>
          <cell r="AL33">
            <v>3.5805105545999999E-2</v>
          </cell>
          <cell r="AM33">
            <v>3.6080654564000003E-2</v>
          </cell>
          <cell r="AN33">
            <v>3.6172782307000002E-2</v>
          </cell>
          <cell r="AO33">
            <v>3.6261554469E-2</v>
          </cell>
          <cell r="AP33">
            <v>3.6346990225E-2</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2.6592379582999998E-2</v>
          </cell>
          <cell r="BU33">
            <v>9.1543316119999992E-3</v>
          </cell>
          <cell r="BV33">
            <v>2.3750211351E-2</v>
          </cell>
          <cell r="BW33">
            <v>2.9523220453000001E-2</v>
          </cell>
          <cell r="BX33">
            <v>3.2026011085E-2</v>
          </cell>
          <cell r="BY33">
            <v>3.6596160592999999E-2</v>
          </cell>
          <cell r="BZ33">
            <v>2.2555571627999999E-2</v>
          </cell>
          <cell r="CA33">
            <v>1.3790937640000001E-2</v>
          </cell>
          <cell r="CB33">
            <v>7.5222431919999997E-3</v>
          </cell>
          <cell r="CC33">
            <v>8.5155949990000004E-3</v>
          </cell>
          <cell r="CD33">
            <v>9.5573458859999991E-3</v>
          </cell>
          <cell r="CE33">
            <v>8.1730262000000008E-3</v>
          </cell>
          <cell r="CF33">
            <v>0.1</v>
          </cell>
          <cell r="CG33">
            <v>0.1</v>
          </cell>
          <cell r="CH33">
            <v>0.11</v>
          </cell>
          <cell r="CI33">
            <v>0.14000000000000001</v>
          </cell>
          <cell r="CJ33">
            <v>0.03</v>
          </cell>
          <cell r="CK33">
            <v>0.02</v>
          </cell>
          <cell r="CL33">
            <v>0.01</v>
          </cell>
          <cell r="CM33">
            <v>0</v>
          </cell>
          <cell r="CN33">
            <v>0.01</v>
          </cell>
          <cell r="CO33">
            <v>0.01</v>
          </cell>
          <cell r="CP33">
            <v>0.03</v>
          </cell>
          <cell r="CQ33">
            <v>7.0000000000000007E-2</v>
          </cell>
          <cell r="CR33">
            <v>7.0000000000000007E-2</v>
          </cell>
          <cell r="CS33">
            <v>0.06</v>
          </cell>
          <cell r="CT33">
            <v>0.03</v>
          </cell>
          <cell r="CU33">
            <v>0.04</v>
          </cell>
          <cell r="CV33">
            <v>0.01</v>
          </cell>
          <cell r="CW33">
            <v>0.01</v>
          </cell>
          <cell r="CX33">
            <v>3.8474640419999999E-3</v>
          </cell>
          <cell r="CY33">
            <v>0</v>
          </cell>
          <cell r="CZ33">
            <v>-8.3446650300000001E-4</v>
          </cell>
          <cell r="DA33">
            <v>0</v>
          </cell>
          <cell r="DB33">
            <v>0.02</v>
          </cell>
          <cell r="DC33">
            <v>2.6427589458E-2</v>
          </cell>
          <cell r="DD33">
            <v>3.8620661360000003E-2</v>
          </cell>
          <cell r="DE33">
            <v>2.8909726266999999E-2</v>
          </cell>
          <cell r="DF33">
            <v>0.02</v>
          </cell>
          <cell r="DG33">
            <v>0.02</v>
          </cell>
          <cell r="DH33">
            <v>0.02</v>
          </cell>
          <cell r="DI33">
            <v>0.03</v>
          </cell>
          <cell r="DJ33">
            <v>0.02</v>
          </cell>
          <cell r="DK33">
            <v>0.02</v>
          </cell>
          <cell r="DL33">
            <v>0.02</v>
          </cell>
          <cell r="DM33">
            <v>0.01</v>
          </cell>
          <cell r="DN33">
            <v>1.0781873518E-2</v>
          </cell>
          <cell r="DO33">
            <v>9.0214682610000006E-3</v>
          </cell>
          <cell r="DP33">
            <v>3.7195838427E-2</v>
          </cell>
          <cell r="DQ33">
            <v>3.2223315704E-2</v>
          </cell>
        </row>
        <row r="34">
          <cell r="B34" t="str">
            <v>Growth from foreign exchange</v>
          </cell>
          <cell r="C34" t="str">
            <v>FOREX_GRTH</v>
          </cell>
          <cell r="G34">
            <v>-2.8919384145000001E-2</v>
          </cell>
          <cell r="H34">
            <v>-6.5825222867000002E-2</v>
          </cell>
          <cell r="I34">
            <v>6.8015315854999994E-2</v>
          </cell>
          <cell r="J34">
            <v>1.4765571535000001E-2</v>
          </cell>
          <cell r="K34">
            <v>2.6535566093999999E-2</v>
          </cell>
          <cell r="L34">
            <v>4.1404205994E-2</v>
          </cell>
          <cell r="M34">
            <v>9.2863928472000007E-2</v>
          </cell>
          <cell r="N34">
            <v>-0.05</v>
          </cell>
          <cell r="O34">
            <v>-0.1</v>
          </cell>
          <cell r="P34">
            <v>-2.9924695756999999E-2</v>
          </cell>
          <cell r="Q34">
            <v>2.4110946471999999E-2</v>
          </cell>
          <cell r="R34">
            <v>-3.8930320150000002E-3</v>
          </cell>
          <cell r="S34">
            <v>-4.2339444092000002E-2</v>
          </cell>
          <cell r="T34">
            <v>8.9148449199999999E-4</v>
          </cell>
          <cell r="U34">
            <v>6.7767097617999997E-2</v>
          </cell>
          <cell r="V34">
            <v>-4.1571468899999998E-2</v>
          </cell>
          <cell r="W34">
            <v>-8.4555563506000006E-2</v>
          </cell>
          <cell r="X34">
            <v>1.0611676910000001E-3</v>
          </cell>
          <cell r="Y34">
            <v>-4.4432858737000001E-2</v>
          </cell>
          <cell r="Z34">
            <v>2.9071520781999999E-2</v>
          </cell>
          <cell r="AA34">
            <v>0.09</v>
          </cell>
          <cell r="AB34">
            <v>-0.01</v>
          </cell>
          <cell r="AC34">
            <v>0.01</v>
          </cell>
          <cell r="AD34">
            <v>0.03</v>
          </cell>
          <cell r="AE34">
            <v>0.05</v>
          </cell>
          <cell r="AF34">
            <v>-0.04</v>
          </cell>
          <cell r="AG34">
            <v>-5.4155350897E-2</v>
          </cell>
          <cell r="AH34">
            <v>0.105262653321</v>
          </cell>
          <cell r="AI34">
            <v>1.9496547425E-2</v>
          </cell>
          <cell r="AJ34">
            <v>0</v>
          </cell>
          <cell r="AK34">
            <v>0</v>
          </cell>
          <cell r="AL34">
            <v>0</v>
          </cell>
          <cell r="AM34">
            <v>0</v>
          </cell>
          <cell r="AN34">
            <v>0</v>
          </cell>
          <cell r="AO34">
            <v>0</v>
          </cell>
          <cell r="AP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-9.3938304685999993E-2</v>
          </cell>
          <cell r="BU34">
            <v>-0.13802524383199999</v>
          </cell>
          <cell r="BV34">
            <v>-6.6502846192999995E-2</v>
          </cell>
          <cell r="BW34">
            <v>-4.2099376320999998E-2</v>
          </cell>
          <cell r="BX34">
            <v>1.4867475169E-2</v>
          </cell>
          <cell r="BY34">
            <v>4.6687885318999998E-2</v>
          </cell>
          <cell r="BZ34">
            <v>-2.5491103718000001E-2</v>
          </cell>
          <cell r="CA34">
            <v>-2.8938986092000001E-2</v>
          </cell>
          <cell r="CB34">
            <v>-5.0366226296000002E-2</v>
          </cell>
          <cell r="CC34">
            <v>-5.4239450442000001E-2</v>
          </cell>
          <cell r="CD34">
            <v>-4.1785552639000002E-2</v>
          </cell>
          <cell r="CE34">
            <v>-3.7922015121999997E-2</v>
          </cell>
          <cell r="CF34">
            <v>-0.02</v>
          </cell>
          <cell r="CG34">
            <v>0</v>
          </cell>
          <cell r="CH34">
            <v>0.06</v>
          </cell>
          <cell r="CI34">
            <v>0.08</v>
          </cell>
          <cell r="CJ34">
            <v>0.15</v>
          </cell>
          <cell r="CK34">
            <v>0.13</v>
          </cell>
          <cell r="CL34">
            <v>0.08</v>
          </cell>
          <cell r="CM34">
            <v>0.03</v>
          </cell>
          <cell r="CN34">
            <v>-0.04</v>
          </cell>
          <cell r="CO34">
            <v>-0.04</v>
          </cell>
          <cell r="CP34">
            <v>0</v>
          </cell>
          <cell r="CQ34">
            <v>0.05</v>
          </cell>
          <cell r="CR34">
            <v>7.0000000000000007E-2</v>
          </cell>
          <cell r="CS34">
            <v>0.05</v>
          </cell>
          <cell r="CT34">
            <v>-0.03</v>
          </cell>
          <cell r="CU34">
            <v>0.01</v>
          </cell>
          <cell r="CV34">
            <v>-0.04</v>
          </cell>
          <cell r="CW34">
            <v>0.02</v>
          </cell>
          <cell r="CX34">
            <v>7.0000000000000007E-2</v>
          </cell>
          <cell r="CY34">
            <v>0.05</v>
          </cell>
          <cell r="CZ34">
            <v>0.06</v>
          </cell>
          <cell r="DA34">
            <v>0.04</v>
          </cell>
          <cell r="DB34">
            <v>7.0000000000000007E-2</v>
          </cell>
          <cell r="DC34">
            <v>0.04</v>
          </cell>
          <cell r="DD34">
            <v>0.03</v>
          </cell>
          <cell r="DE34">
            <v>-0.01</v>
          </cell>
          <cell r="DF34">
            <v>-7.0000000000000007E-2</v>
          </cell>
          <cell r="DG34">
            <v>-0.08</v>
          </cell>
          <cell r="DH34">
            <v>-0.11</v>
          </cell>
          <cell r="DI34">
            <v>-0.1</v>
          </cell>
          <cell r="DJ34">
            <v>-0.02</v>
          </cell>
          <cell r="DK34">
            <v>0.02</v>
          </cell>
          <cell r="DL34">
            <v>0.08</v>
          </cell>
          <cell r="DM34">
            <v>0.11</v>
          </cell>
          <cell r="DN34">
            <v>0.129561322531</v>
          </cell>
          <cell r="DO34">
            <v>0.100154467646</v>
          </cell>
          <cell r="DP34">
            <v>5.6034200021999998E-2</v>
          </cell>
          <cell r="DQ34">
            <v>2.9323646298000001E-2</v>
          </cell>
        </row>
        <row r="35">
          <cell r="B35" t="str">
            <v>Operating lease cost</v>
          </cell>
          <cell r="C35" t="str">
            <v>LEASE_PAY</v>
          </cell>
          <cell r="D35" t="str">
            <v>SEK</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row>
        <row r="36">
          <cell r="B36" t="str">
            <v>Lease payments (deemed interest portion)</v>
          </cell>
          <cell r="C36" t="str">
            <v>LEASE_DEEM_INT</v>
          </cell>
          <cell r="D36" t="str">
            <v>SEK</v>
          </cell>
        </row>
        <row r="37">
          <cell r="B37" t="str">
            <v>Lease payments (deemed depreciation portion)</v>
          </cell>
          <cell r="C37" t="str">
            <v>LEASE_DEEM_DEPR</v>
          </cell>
          <cell r="D37" t="str">
            <v>SEK</v>
          </cell>
        </row>
        <row r="38">
          <cell r="B38" t="str">
            <v>Gross interest charge</v>
          </cell>
          <cell r="C38" t="str">
            <v>NET_INT_CH</v>
          </cell>
          <cell r="D38" t="str">
            <v>SEK</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row>
        <row r="39">
          <cell r="B39" t="str">
            <v>Income from associates (operating)</v>
          </cell>
          <cell r="C39" t="str">
            <v>ASSOCIATE_OP</v>
          </cell>
          <cell r="D39" t="str">
            <v>SEK</v>
          </cell>
          <cell r="F39">
            <v>66</v>
          </cell>
          <cell r="G39">
            <v>89</v>
          </cell>
          <cell r="H39">
            <v>0</v>
          </cell>
          <cell r="I39">
            <v>0</v>
          </cell>
          <cell r="J39">
            <v>0</v>
          </cell>
          <cell r="K39">
            <v>0</v>
          </cell>
          <cell r="L39">
            <v>0</v>
          </cell>
          <cell r="M39">
            <v>0</v>
          </cell>
          <cell r="N39">
            <v>0</v>
          </cell>
          <cell r="O39">
            <v>0</v>
          </cell>
          <cell r="P39">
            <v>3</v>
          </cell>
          <cell r="Q39">
            <v>4</v>
          </cell>
          <cell r="R39">
            <v>17</v>
          </cell>
          <cell r="S39">
            <v>3</v>
          </cell>
          <cell r="T39">
            <v>14</v>
          </cell>
          <cell r="U39">
            <v>0</v>
          </cell>
          <cell r="V39">
            <v>0</v>
          </cell>
          <cell r="W39">
            <v>0</v>
          </cell>
          <cell r="X39">
            <v>0</v>
          </cell>
          <cell r="Y39">
            <v>7</v>
          </cell>
          <cell r="Z39">
            <v>7</v>
          </cell>
          <cell r="AA39">
            <v>0</v>
          </cell>
          <cell r="AC39">
            <v>3</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row>
        <row r="40">
          <cell r="B40" t="str">
            <v>Goodwill amortization</v>
          </cell>
          <cell r="C40" t="str">
            <v>GW_AMORT</v>
          </cell>
          <cell r="D40" t="str">
            <v>SEK</v>
          </cell>
        </row>
        <row r="41">
          <cell r="B41" t="str">
            <v>Other intangible amortization</v>
          </cell>
          <cell r="C41" t="str">
            <v>OTH_INT_AMORT</v>
          </cell>
          <cell r="D41" t="str">
            <v>SEK</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row>
        <row r="42">
          <cell r="B42" t="str">
            <v>Depreciation ROU assets   (applicable to IFRS cos.)</v>
          </cell>
          <cell r="C42" t="str">
            <v>DEPR_ROU_ASSETS</v>
          </cell>
          <cell r="D42" t="str">
            <v>SEK</v>
          </cell>
          <cell r="AE42">
            <v>-1041</v>
          </cell>
          <cell r="AF42">
            <v>-1164</v>
          </cell>
          <cell r="AG42">
            <v>-1147</v>
          </cell>
          <cell r="AH42">
            <v>-1147</v>
          </cell>
          <cell r="AI42">
            <v>-1147</v>
          </cell>
          <cell r="AJ42">
            <v>-1147</v>
          </cell>
          <cell r="AK42">
            <v>-1147</v>
          </cell>
          <cell r="AL42">
            <v>-1147</v>
          </cell>
          <cell r="AM42">
            <v>-1147</v>
          </cell>
          <cell r="AN42">
            <v>-1147</v>
          </cell>
          <cell r="AO42">
            <v>-1147</v>
          </cell>
          <cell r="AP42">
            <v>-1147</v>
          </cell>
        </row>
        <row r="43">
          <cell r="B43" t="str">
            <v>Lease interest charge  (applicable to IFRS cos.)</v>
          </cell>
          <cell r="C43" t="str">
            <v>LEASE_INT_CHG</v>
          </cell>
          <cell r="D43" t="str">
            <v>SEK</v>
          </cell>
        </row>
        <row r="44">
          <cell r="B44" t="str">
            <v>Lease standard adopted (US GAAP ASC 842/ IFRS 16)</v>
          </cell>
          <cell r="C44" t="str">
            <v>LEASE_ADOPT</v>
          </cell>
          <cell r="E44" t="str">
            <v>Y</v>
          </cell>
        </row>
        <row r="45">
          <cell r="A45" t="str">
            <v>Balance Sheet</v>
          </cell>
        </row>
        <row r="46">
          <cell r="B46" t="str">
            <v>Cash &amp; cash equivalents</v>
          </cell>
          <cell r="C46" t="str">
            <v>CASH_EQ</v>
          </cell>
          <cell r="D46" t="str">
            <v>SEK</v>
          </cell>
          <cell r="F46">
            <v>2964</v>
          </cell>
          <cell r="G46">
            <v>851</v>
          </cell>
          <cell r="H46">
            <v>1388</v>
          </cell>
          <cell r="I46">
            <v>1390</v>
          </cell>
          <cell r="J46">
            <v>1717</v>
          </cell>
          <cell r="K46">
            <v>1044</v>
          </cell>
          <cell r="L46">
            <v>941</v>
          </cell>
          <cell r="M46">
            <v>1030</v>
          </cell>
          <cell r="N46">
            <v>1079</v>
          </cell>
          <cell r="O46">
            <v>3647</v>
          </cell>
          <cell r="P46">
            <v>2386</v>
          </cell>
          <cell r="Q46">
            <v>3727</v>
          </cell>
          <cell r="R46">
            <v>20135</v>
          </cell>
          <cell r="S46">
            <v>3473</v>
          </cell>
          <cell r="T46">
            <v>5455</v>
          </cell>
          <cell r="U46">
            <v>12165</v>
          </cell>
          <cell r="V46">
            <v>14264</v>
          </cell>
          <cell r="W46">
            <v>5716</v>
          </cell>
          <cell r="X46">
            <v>12416</v>
          </cell>
          <cell r="Y46">
            <v>17633</v>
          </cell>
          <cell r="Z46">
            <v>9404</v>
          </cell>
          <cell r="AA46">
            <v>8861</v>
          </cell>
          <cell r="AB46">
            <v>11458</v>
          </cell>
          <cell r="AC46">
            <v>24496</v>
          </cell>
          <cell r="AD46">
            <v>16414</v>
          </cell>
          <cell r="AE46">
            <v>15005</v>
          </cell>
          <cell r="AF46">
            <v>11655</v>
          </cell>
          <cell r="AG46">
            <v>18990</v>
          </cell>
          <cell r="AH46">
            <v>16523.307296874402</v>
          </cell>
          <cell r="AI46">
            <v>22438.373547616</v>
          </cell>
          <cell r="AJ46">
            <v>14840.0588750181</v>
          </cell>
          <cell r="AK46">
            <v>20153.923261739499</v>
          </cell>
          <cell r="AL46">
            <v>26045.653097726401</v>
          </cell>
          <cell r="AM46">
            <v>32567.3128528548</v>
          </cell>
          <cell r="AN46">
            <v>39287.662311847002</v>
          </cell>
          <cell r="AO46">
            <v>46567.624275171198</v>
          </cell>
          <cell r="AP46">
            <v>54453.933120782502</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row>
        <row r="47">
          <cell r="B47" t="str">
            <v>Accounts receivable</v>
          </cell>
          <cell r="C47" t="str">
            <v>DEBTORS</v>
          </cell>
          <cell r="D47" t="str">
            <v>SEK</v>
          </cell>
          <cell r="F47">
            <v>5103</v>
          </cell>
          <cell r="G47">
            <v>5316</v>
          </cell>
          <cell r="H47">
            <v>5345</v>
          </cell>
          <cell r="I47">
            <v>6507</v>
          </cell>
          <cell r="J47">
            <v>7137</v>
          </cell>
          <cell r="K47">
            <v>8656</v>
          </cell>
          <cell r="L47">
            <v>10592</v>
          </cell>
          <cell r="M47">
            <v>10908</v>
          </cell>
          <cell r="N47">
            <v>9376</v>
          </cell>
          <cell r="O47">
            <v>9956</v>
          </cell>
          <cell r="P47">
            <v>8404</v>
          </cell>
          <cell r="Q47">
            <v>10910</v>
          </cell>
          <cell r="R47">
            <v>9976</v>
          </cell>
          <cell r="S47">
            <v>13116</v>
          </cell>
          <cell r="T47">
            <v>15404</v>
          </cell>
          <cell r="U47">
            <v>9234</v>
          </cell>
          <cell r="V47">
            <v>13318</v>
          </cell>
          <cell r="W47">
            <v>16783</v>
          </cell>
          <cell r="X47">
            <v>15960</v>
          </cell>
          <cell r="Y47">
            <v>16619</v>
          </cell>
          <cell r="Z47">
            <v>19903</v>
          </cell>
          <cell r="AA47">
            <v>19552</v>
          </cell>
          <cell r="AB47">
            <v>21353</v>
          </cell>
          <cell r="AC47">
            <v>22853</v>
          </cell>
          <cell r="AD47">
            <v>18906</v>
          </cell>
          <cell r="AE47">
            <v>27861</v>
          </cell>
          <cell r="AF47">
            <v>25777</v>
          </cell>
          <cell r="AG47">
            <v>30363</v>
          </cell>
          <cell r="AH47">
            <v>34261.598267947302</v>
          </cell>
          <cell r="AI47">
            <v>34005.493433859301</v>
          </cell>
          <cell r="AJ47">
            <v>37677.875671251997</v>
          </cell>
          <cell r="AK47">
            <v>42554.792855149601</v>
          </cell>
          <cell r="AL47">
            <v>46872.135525045298</v>
          </cell>
          <cell r="AM47">
            <v>51209.346149355697</v>
          </cell>
          <cell r="AN47">
            <v>55965.868268114202</v>
          </cell>
          <cell r="AO47">
            <v>61183.505238845799</v>
          </cell>
          <cell r="AP47">
            <v>66908.319778572593</v>
          </cell>
        </row>
        <row r="48">
          <cell r="B48" t="str">
            <v>Inventory</v>
          </cell>
          <cell r="C48" t="str">
            <v>STOCKS</v>
          </cell>
          <cell r="D48" t="str">
            <v>SEK</v>
          </cell>
          <cell r="F48">
            <v>4434</v>
          </cell>
          <cell r="G48">
            <v>5100</v>
          </cell>
          <cell r="H48">
            <v>4473</v>
          </cell>
          <cell r="I48">
            <v>5231</v>
          </cell>
          <cell r="J48">
            <v>5383</v>
          </cell>
          <cell r="K48">
            <v>5348</v>
          </cell>
          <cell r="L48">
            <v>5881</v>
          </cell>
          <cell r="M48">
            <v>5987</v>
          </cell>
          <cell r="N48">
            <v>5782</v>
          </cell>
          <cell r="O48">
            <v>5412</v>
          </cell>
          <cell r="P48">
            <v>5634</v>
          </cell>
          <cell r="Q48">
            <v>7215</v>
          </cell>
          <cell r="R48">
            <v>8487</v>
          </cell>
          <cell r="S48">
            <v>12725</v>
          </cell>
          <cell r="T48">
            <v>17106</v>
          </cell>
          <cell r="U48">
            <v>11377</v>
          </cell>
          <cell r="V48">
            <v>12939</v>
          </cell>
          <cell r="W48">
            <v>17579</v>
          </cell>
          <cell r="X48">
            <v>17653</v>
          </cell>
          <cell r="Y48">
            <v>16826</v>
          </cell>
          <cell r="Z48">
            <v>18364</v>
          </cell>
          <cell r="AA48">
            <v>16906</v>
          </cell>
          <cell r="AB48">
            <v>16912</v>
          </cell>
          <cell r="AC48">
            <v>18810</v>
          </cell>
          <cell r="AD48">
            <v>12718</v>
          </cell>
          <cell r="AE48">
            <v>14501</v>
          </cell>
          <cell r="AF48">
            <v>13450</v>
          </cell>
          <cell r="AG48">
            <v>17801</v>
          </cell>
          <cell r="AH48">
            <v>21927.422891486302</v>
          </cell>
          <cell r="AI48">
            <v>22412.7115814073</v>
          </cell>
          <cell r="AJ48">
            <v>22264.199260285201</v>
          </cell>
          <cell r="AK48">
            <v>25146.013959861099</v>
          </cell>
          <cell r="AL48">
            <v>27697.170992072199</v>
          </cell>
          <cell r="AM48">
            <v>30260.0681791647</v>
          </cell>
          <cell r="AN48">
            <v>33070.7403402493</v>
          </cell>
          <cell r="AO48">
            <v>36153.889459318001</v>
          </cell>
          <cell r="AP48">
            <v>39536.734414611099</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row>
        <row r="49">
          <cell r="B49" t="str">
            <v>Other current assets</v>
          </cell>
          <cell r="C49" t="str">
            <v>OTH_CUR_ASS</v>
          </cell>
          <cell r="D49" t="str">
            <v>SEK</v>
          </cell>
          <cell r="F49">
            <v>5103</v>
          </cell>
          <cell r="G49">
            <v>1840</v>
          </cell>
          <cell r="H49">
            <v>1783</v>
          </cell>
          <cell r="I49">
            <v>817</v>
          </cell>
          <cell r="J49">
            <v>921</v>
          </cell>
          <cell r="K49">
            <v>1049</v>
          </cell>
          <cell r="L49">
            <v>1225</v>
          </cell>
          <cell r="M49">
            <v>1010</v>
          </cell>
          <cell r="N49">
            <v>1455</v>
          </cell>
          <cell r="O49">
            <v>703</v>
          </cell>
          <cell r="P49">
            <v>8454</v>
          </cell>
          <cell r="Q49">
            <v>2719</v>
          </cell>
          <cell r="R49">
            <v>3441</v>
          </cell>
          <cell r="S49">
            <v>4635</v>
          </cell>
          <cell r="T49">
            <v>7901</v>
          </cell>
          <cell r="U49">
            <v>7796</v>
          </cell>
          <cell r="V49">
            <v>5969</v>
          </cell>
          <cell r="W49">
            <v>7041</v>
          </cell>
          <cell r="X49">
            <v>6529</v>
          </cell>
          <cell r="Y49">
            <v>6806</v>
          </cell>
          <cell r="Z49">
            <v>8273</v>
          </cell>
          <cell r="AA49">
            <v>8020</v>
          </cell>
          <cell r="AB49">
            <v>11278</v>
          </cell>
          <cell r="AC49">
            <v>8629</v>
          </cell>
          <cell r="AD49">
            <v>5700</v>
          </cell>
          <cell r="AE49">
            <v>126</v>
          </cell>
          <cell r="AF49">
            <v>63</v>
          </cell>
          <cell r="AG49">
            <v>852</v>
          </cell>
          <cell r="AH49">
            <v>852</v>
          </cell>
          <cell r="AI49">
            <v>852</v>
          </cell>
          <cell r="AJ49">
            <v>852</v>
          </cell>
          <cell r="AK49">
            <v>852</v>
          </cell>
          <cell r="AL49">
            <v>852</v>
          </cell>
          <cell r="AM49">
            <v>852</v>
          </cell>
          <cell r="AN49">
            <v>852</v>
          </cell>
          <cell r="AO49">
            <v>852</v>
          </cell>
          <cell r="AP49">
            <v>852</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row>
        <row r="50">
          <cell r="B50" t="str">
            <v>Total current assets</v>
          </cell>
          <cell r="C50" t="str">
            <v>CUR_ASS</v>
          </cell>
          <cell r="D50" t="str">
            <v>SEK</v>
          </cell>
          <cell r="F50">
            <v>17604</v>
          </cell>
          <cell r="G50">
            <v>13107</v>
          </cell>
          <cell r="H50">
            <v>12989</v>
          </cell>
          <cell r="I50">
            <v>13945</v>
          </cell>
          <cell r="J50">
            <v>15158</v>
          </cell>
          <cell r="K50">
            <v>16097</v>
          </cell>
          <cell r="L50">
            <v>18639</v>
          </cell>
          <cell r="M50">
            <v>18935</v>
          </cell>
          <cell r="N50">
            <v>17692</v>
          </cell>
          <cell r="O50">
            <v>19718</v>
          </cell>
          <cell r="P50">
            <v>24878</v>
          </cell>
          <cell r="Q50">
            <v>24571</v>
          </cell>
          <cell r="R50">
            <v>42039</v>
          </cell>
          <cell r="S50">
            <v>33949</v>
          </cell>
          <cell r="T50">
            <v>45866</v>
          </cell>
          <cell r="U50">
            <v>40572</v>
          </cell>
          <cell r="V50">
            <v>46490</v>
          </cell>
          <cell r="W50">
            <v>47119</v>
          </cell>
          <cell r="X50">
            <v>52558</v>
          </cell>
          <cell r="Y50">
            <v>57884</v>
          </cell>
          <cell r="Z50">
            <v>55944</v>
          </cell>
          <cell r="AA50">
            <v>53339</v>
          </cell>
          <cell r="AB50">
            <v>61001</v>
          </cell>
          <cell r="AC50">
            <v>74788</v>
          </cell>
          <cell r="AD50">
            <v>53738</v>
          </cell>
          <cell r="AE50">
            <v>57493</v>
          </cell>
          <cell r="AF50">
            <v>50945</v>
          </cell>
          <cell r="AG50">
            <v>68006</v>
          </cell>
          <cell r="AH50">
            <v>73564.328456307907</v>
          </cell>
          <cell r="AI50">
            <v>79708.578562882496</v>
          </cell>
          <cell r="AJ50">
            <v>75634.133806555299</v>
          </cell>
          <cell r="AK50">
            <v>88706.730076750202</v>
          </cell>
          <cell r="AL50">
            <v>101466.959614844</v>
          </cell>
          <cell r="AM50">
            <v>114888.727181375</v>
          </cell>
          <cell r="AN50">
            <v>129176.270920211</v>
          </cell>
          <cell r="AO50">
            <v>144757.01897333501</v>
          </cell>
          <cell r="AP50">
            <v>161750.987313966</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row>
        <row r="51">
          <cell r="B51" t="str">
            <v>Gross fixed assets, PP&amp;E</v>
          </cell>
          <cell r="C51" t="str">
            <v>GR_FIX_ASS</v>
          </cell>
          <cell r="D51" t="str">
            <v>SEK</v>
          </cell>
          <cell r="F51">
            <v>10003</v>
          </cell>
          <cell r="G51">
            <v>9249</v>
          </cell>
          <cell r="H51">
            <v>10215</v>
          </cell>
          <cell r="I51">
            <v>14573</v>
          </cell>
          <cell r="J51">
            <v>16658</v>
          </cell>
          <cell r="K51">
            <v>24366</v>
          </cell>
          <cell r="L51">
            <v>30514</v>
          </cell>
          <cell r="M51">
            <v>34060</v>
          </cell>
          <cell r="N51">
            <v>29182</v>
          </cell>
          <cell r="O51">
            <v>25940</v>
          </cell>
          <cell r="P51">
            <v>24300</v>
          </cell>
          <cell r="Q51">
            <v>31081</v>
          </cell>
          <cell r="R51">
            <v>13067</v>
          </cell>
          <cell r="S51">
            <v>15041</v>
          </cell>
          <cell r="T51">
            <v>18170</v>
          </cell>
          <cell r="U51">
            <v>18048</v>
          </cell>
          <cell r="V51">
            <v>17676</v>
          </cell>
          <cell r="W51">
            <v>19497</v>
          </cell>
          <cell r="X51">
            <v>20099</v>
          </cell>
          <cell r="Y51">
            <v>21466</v>
          </cell>
          <cell r="Z51">
            <v>26599</v>
          </cell>
          <cell r="AA51">
            <v>26485</v>
          </cell>
          <cell r="AB51">
            <v>28804</v>
          </cell>
          <cell r="AC51">
            <v>28993</v>
          </cell>
          <cell r="AD51">
            <v>23171</v>
          </cell>
          <cell r="AE51">
            <v>24898</v>
          </cell>
          <cell r="AF51">
            <v>24898</v>
          </cell>
          <cell r="AG51">
            <v>27106</v>
          </cell>
          <cell r="AH51">
            <v>30885.689468371598</v>
          </cell>
          <cell r="AI51">
            <v>35211.846011802001</v>
          </cell>
          <cell r="AJ51">
            <v>38343.765874074998</v>
          </cell>
          <cell r="AK51">
            <v>41570.4233639335</v>
          </cell>
          <cell r="AL51">
            <v>44880.948343559903</v>
          </cell>
          <cell r="AM51">
            <v>48275.726762273298</v>
          </cell>
          <cell r="AN51">
            <v>51762.904047749696</v>
          </cell>
          <cell r="AO51">
            <v>55351.437687982601</v>
          </cell>
          <cell r="AP51">
            <v>59051.179972408099</v>
          </cell>
        </row>
        <row r="52">
          <cell r="B52" t="str">
            <v>Accumulated depreciation</v>
          </cell>
          <cell r="C52" t="str">
            <v>ACC_DDA</v>
          </cell>
          <cell r="D52" t="str">
            <v>SEK</v>
          </cell>
          <cell r="F52">
            <v>-4306</v>
          </cell>
          <cell r="G52">
            <v>-4326</v>
          </cell>
          <cell r="H52">
            <v>-5119</v>
          </cell>
          <cell r="I52">
            <v>-5762</v>
          </cell>
          <cell r="J52">
            <v>-6919</v>
          </cell>
          <cell r="K52">
            <v>-7785</v>
          </cell>
          <cell r="L52">
            <v>-10381</v>
          </cell>
          <cell r="M52">
            <v>-13867</v>
          </cell>
          <cell r="N52">
            <v>-13441</v>
          </cell>
          <cell r="O52">
            <v>-12842</v>
          </cell>
          <cell r="P52">
            <v>-11432</v>
          </cell>
          <cell r="Q52">
            <v>-13122</v>
          </cell>
          <cell r="R52">
            <v>-7311</v>
          </cell>
          <cell r="S52">
            <v>-8241</v>
          </cell>
          <cell r="T52">
            <v>-9535</v>
          </cell>
          <cell r="U52">
            <v>-9999</v>
          </cell>
          <cell r="V52">
            <v>-10131</v>
          </cell>
          <cell r="W52">
            <v>-11937</v>
          </cell>
          <cell r="X52">
            <v>-13920</v>
          </cell>
          <cell r="Y52">
            <v>-15928</v>
          </cell>
          <cell r="Z52">
            <v>-18742</v>
          </cell>
          <cell r="AA52">
            <v>-22083</v>
          </cell>
          <cell r="AB52">
            <v>-25487</v>
          </cell>
          <cell r="AC52">
            <v>-28951</v>
          </cell>
          <cell r="AD52">
            <v>-32869</v>
          </cell>
          <cell r="AE52">
            <v>-35792</v>
          </cell>
          <cell r="AF52">
            <v>-39082</v>
          </cell>
          <cell r="AG52">
            <v>-42694</v>
          </cell>
          <cell r="AH52">
            <v>-46692.994652084803</v>
          </cell>
          <cell r="AI52">
            <v>-50969.918605547296</v>
          </cell>
          <cell r="AJ52">
            <v>-55560.782540848697</v>
          </cell>
          <cell r="AK52">
            <v>-60151.646476150199</v>
          </cell>
          <cell r="AL52">
            <v>-64742.510411451702</v>
          </cell>
          <cell r="AM52">
            <v>-69333.374346753204</v>
          </cell>
          <cell r="AN52">
            <v>-73924.238282054706</v>
          </cell>
          <cell r="AO52">
            <v>-78515.102217356194</v>
          </cell>
          <cell r="AP52">
            <v>-83105.966152657697</v>
          </cell>
        </row>
        <row r="53">
          <cell r="B53" t="str">
            <v>Net PP&amp;E</v>
          </cell>
          <cell r="C53" t="str">
            <v>NET_FIX_ASS</v>
          </cell>
          <cell r="D53" t="str">
            <v>SEK</v>
          </cell>
          <cell r="F53">
            <v>5697</v>
          </cell>
          <cell r="G53">
            <v>4923</v>
          </cell>
          <cell r="H53">
            <v>5096</v>
          </cell>
          <cell r="I53">
            <v>8811</v>
          </cell>
          <cell r="J53">
            <v>9739</v>
          </cell>
          <cell r="K53">
            <v>16581</v>
          </cell>
          <cell r="L53">
            <v>20133</v>
          </cell>
          <cell r="M53">
            <v>20193</v>
          </cell>
          <cell r="N53">
            <v>15741</v>
          </cell>
          <cell r="O53">
            <v>13098</v>
          </cell>
          <cell r="P53">
            <v>12868</v>
          </cell>
          <cell r="Q53">
            <v>17959</v>
          </cell>
          <cell r="R53">
            <v>5756</v>
          </cell>
          <cell r="S53">
            <v>6800</v>
          </cell>
          <cell r="T53">
            <v>8635</v>
          </cell>
          <cell r="U53">
            <v>8049</v>
          </cell>
          <cell r="V53">
            <v>7545</v>
          </cell>
          <cell r="W53">
            <v>8655</v>
          </cell>
          <cell r="X53">
            <v>8876</v>
          </cell>
          <cell r="Y53">
            <v>9327</v>
          </cell>
          <cell r="Z53">
            <v>12610</v>
          </cell>
          <cell r="AA53">
            <v>12023</v>
          </cell>
          <cell r="AB53">
            <v>12888</v>
          </cell>
          <cell r="AC53">
            <v>12457</v>
          </cell>
          <cell r="AD53">
            <v>10387</v>
          </cell>
          <cell r="AE53">
            <v>10879</v>
          </cell>
          <cell r="AF53">
            <v>10130</v>
          </cell>
          <cell r="AG53">
            <v>11333</v>
          </cell>
          <cell r="AH53">
            <v>12680.022801704899</v>
          </cell>
          <cell r="AI53">
            <v>14375.5126784687</v>
          </cell>
          <cell r="AJ53">
            <v>14645.4325407417</v>
          </cell>
          <cell r="AK53">
            <v>15010.0900306002</v>
          </cell>
          <cell r="AL53">
            <v>15458.6150102266</v>
          </cell>
          <cell r="AM53">
            <v>15991.39342894</v>
          </cell>
          <cell r="AN53">
            <v>16616.570714416401</v>
          </cell>
          <cell r="AO53">
            <v>17343.104354649298</v>
          </cell>
          <cell r="AP53">
            <v>18180.846639074702</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row>
        <row r="54">
          <cell r="B54" t="str">
            <v>Gross intangibles</v>
          </cell>
          <cell r="C54" t="str">
            <v>GR_INTANG</v>
          </cell>
          <cell r="D54" t="str">
            <v>SEK</v>
          </cell>
          <cell r="F54">
            <v>706</v>
          </cell>
          <cell r="G54">
            <v>4536</v>
          </cell>
          <cell r="H54">
            <v>4760</v>
          </cell>
          <cell r="I54">
            <v>12201</v>
          </cell>
          <cell r="J54">
            <v>12885</v>
          </cell>
          <cell r="K54">
            <v>20907</v>
          </cell>
          <cell r="L54">
            <v>23601</v>
          </cell>
          <cell r="M54">
            <v>26314</v>
          </cell>
          <cell r="N54">
            <v>22917</v>
          </cell>
          <cell r="O54">
            <v>20152</v>
          </cell>
          <cell r="P54">
            <v>9018</v>
          </cell>
          <cell r="Q54">
            <v>11327</v>
          </cell>
          <cell r="R54">
            <v>5346</v>
          </cell>
          <cell r="S54">
            <v>13223</v>
          </cell>
          <cell r="T54">
            <v>15301</v>
          </cell>
          <cell r="U54">
            <v>15610</v>
          </cell>
          <cell r="V54">
            <v>16840</v>
          </cell>
          <cell r="W54">
            <v>19519</v>
          </cell>
          <cell r="X54">
            <v>20615</v>
          </cell>
          <cell r="Y54">
            <v>22836</v>
          </cell>
          <cell r="Z54">
            <v>40373</v>
          </cell>
          <cell r="AA54">
            <v>41864</v>
          </cell>
          <cell r="AB54">
            <v>47236</v>
          </cell>
          <cell r="AC54">
            <v>46121</v>
          </cell>
          <cell r="AD54">
            <v>40124</v>
          </cell>
          <cell r="AE54">
            <v>48271</v>
          </cell>
          <cell r="AF54">
            <v>58479</v>
          </cell>
          <cell r="AG54">
            <v>65846</v>
          </cell>
          <cell r="AH54">
            <v>67371</v>
          </cell>
          <cell r="AI54">
            <v>75368.248488732002</v>
          </cell>
          <cell r="AJ54">
            <v>84418.1139633805</v>
          </cell>
          <cell r="AK54">
            <v>94593.897214164594</v>
          </cell>
          <cell r="AL54">
            <v>106196.31274324701</v>
          </cell>
          <cell r="AM54">
            <v>119539.711547037</v>
          </cell>
          <cell r="AN54">
            <v>134032.51281167101</v>
          </cell>
          <cell r="AO54">
            <v>149787.515541487</v>
          </cell>
          <cell r="AP54">
            <v>166928.818399838</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row>
        <row r="55">
          <cell r="B55" t="str">
            <v>Accumulated amortization</v>
          </cell>
          <cell r="C55" t="str">
            <v>ACC_AMORT</v>
          </cell>
          <cell r="D55" t="str">
            <v>SEK</v>
          </cell>
          <cell r="F55">
            <v>-706</v>
          </cell>
          <cell r="G55">
            <v>-790</v>
          </cell>
          <cell r="H55">
            <v>-979</v>
          </cell>
          <cell r="I55">
            <v>-1150</v>
          </cell>
          <cell r="J55">
            <v>-1574</v>
          </cell>
          <cell r="K55">
            <v>-2056</v>
          </cell>
          <cell r="L55">
            <v>-2809</v>
          </cell>
          <cell r="M55">
            <v>-3714</v>
          </cell>
          <cell r="N55">
            <v>-9961</v>
          </cell>
          <cell r="O55">
            <v>-8876</v>
          </cell>
          <cell r="P55">
            <v>-421</v>
          </cell>
          <cell r="Q55">
            <v>-720</v>
          </cell>
          <cell r="R55">
            <v>-1047</v>
          </cell>
          <cell r="S55">
            <v>-1558</v>
          </cell>
          <cell r="T55">
            <v>-2385</v>
          </cell>
          <cell r="U55">
            <v>-2913</v>
          </cell>
          <cell r="V55">
            <v>-3376</v>
          </cell>
          <cell r="W55">
            <v>-3376</v>
          </cell>
          <cell r="X55">
            <v>-3376</v>
          </cell>
          <cell r="Y55">
            <v>-3376</v>
          </cell>
          <cell r="Z55">
            <v>-3376</v>
          </cell>
          <cell r="AA55">
            <v>-3376</v>
          </cell>
          <cell r="AB55">
            <v>-3376</v>
          </cell>
          <cell r="AC55">
            <v>-3376</v>
          </cell>
          <cell r="AD55">
            <v>-3376</v>
          </cell>
          <cell r="AE55">
            <v>-3376</v>
          </cell>
          <cell r="AF55">
            <v>-3376</v>
          </cell>
          <cell r="AG55">
            <v>-3376</v>
          </cell>
          <cell r="AH55">
            <v>-3376</v>
          </cell>
          <cell r="AI55">
            <v>-3376</v>
          </cell>
          <cell r="AJ55">
            <v>-3376</v>
          </cell>
          <cell r="AK55">
            <v>-3376</v>
          </cell>
          <cell r="AL55">
            <v>-3376</v>
          </cell>
          <cell r="AM55">
            <v>-3376</v>
          </cell>
          <cell r="AN55">
            <v>-3376</v>
          </cell>
          <cell r="AO55">
            <v>-3376</v>
          </cell>
          <cell r="AP55">
            <v>-3376</v>
          </cell>
        </row>
        <row r="56">
          <cell r="B56" t="str">
            <v>Net intangible assets</v>
          </cell>
          <cell r="C56" t="str">
            <v>NET_INTANG</v>
          </cell>
          <cell r="D56" t="str">
            <v>SEK</v>
          </cell>
          <cell r="F56">
            <v>0</v>
          </cell>
          <cell r="G56">
            <v>3746</v>
          </cell>
          <cell r="H56">
            <v>3781</v>
          </cell>
          <cell r="I56">
            <v>11051</v>
          </cell>
          <cell r="J56">
            <v>11311</v>
          </cell>
          <cell r="K56">
            <v>18851</v>
          </cell>
          <cell r="L56">
            <v>20792</v>
          </cell>
          <cell r="M56">
            <v>22600</v>
          </cell>
          <cell r="N56">
            <v>12956</v>
          </cell>
          <cell r="O56">
            <v>11276</v>
          </cell>
          <cell r="P56">
            <v>8597</v>
          </cell>
          <cell r="Q56">
            <v>10607</v>
          </cell>
          <cell r="R56">
            <v>4299</v>
          </cell>
          <cell r="S56">
            <v>11665</v>
          </cell>
          <cell r="T56">
            <v>12916</v>
          </cell>
          <cell r="U56">
            <v>12697</v>
          </cell>
          <cell r="V56">
            <v>13464</v>
          </cell>
          <cell r="W56">
            <v>15352</v>
          </cell>
          <cell r="X56">
            <v>15879</v>
          </cell>
          <cell r="Y56">
            <v>17279</v>
          </cell>
          <cell r="Z56">
            <v>33197</v>
          </cell>
          <cell r="AA56">
            <v>33520</v>
          </cell>
          <cell r="AB56">
            <v>37828</v>
          </cell>
          <cell r="AC56">
            <v>35151</v>
          </cell>
          <cell r="AD56">
            <v>30025</v>
          </cell>
          <cell r="AE56">
            <v>36549</v>
          </cell>
          <cell r="AF56">
            <v>45840</v>
          </cell>
          <cell r="AG56">
            <v>50348</v>
          </cell>
          <cell r="AH56">
            <v>49599.672014581898</v>
          </cell>
          <cell r="AI56">
            <v>55243.6632165181</v>
          </cell>
          <cell r="AJ56">
            <v>61857.664755865102</v>
          </cell>
          <cell r="AK56">
            <v>69597.584071347694</v>
          </cell>
          <cell r="AL56">
            <v>78764.135665128895</v>
          </cell>
          <cell r="AM56">
            <v>89671.670533616707</v>
          </cell>
          <cell r="AN56">
            <v>101728.60786295</v>
          </cell>
          <cell r="AO56">
            <v>115047.746657464</v>
          </cell>
          <cell r="AP56">
            <v>129753.185580513</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row>
        <row r="57">
          <cell r="B57" t="str">
            <v>Equity method investments</v>
          </cell>
          <cell r="C57" t="str">
            <v>FIX_ASS_INV</v>
          </cell>
          <cell r="D57" t="str">
            <v>SEK</v>
          </cell>
          <cell r="F57">
            <v>0</v>
          </cell>
          <cell r="G57">
            <v>0</v>
          </cell>
          <cell r="H57">
            <v>746</v>
          </cell>
          <cell r="I57">
            <v>339</v>
          </cell>
          <cell r="J57">
            <v>300</v>
          </cell>
          <cell r="K57">
            <v>307</v>
          </cell>
          <cell r="L57">
            <v>330</v>
          </cell>
          <cell r="M57">
            <v>389</v>
          </cell>
          <cell r="N57">
            <v>363</v>
          </cell>
          <cell r="O57">
            <v>336</v>
          </cell>
          <cell r="P57">
            <v>362</v>
          </cell>
          <cell r="Q57">
            <v>868</v>
          </cell>
          <cell r="R57">
            <v>2459</v>
          </cell>
          <cell r="S57">
            <v>3331</v>
          </cell>
          <cell r="T57">
            <v>5119</v>
          </cell>
          <cell r="U57">
            <v>4007</v>
          </cell>
          <cell r="V57">
            <v>2701</v>
          </cell>
          <cell r="W57">
            <v>2713</v>
          </cell>
          <cell r="X57">
            <v>2581</v>
          </cell>
          <cell r="Y57">
            <v>2316</v>
          </cell>
          <cell r="Z57">
            <v>1810</v>
          </cell>
          <cell r="AA57">
            <v>2129</v>
          </cell>
          <cell r="AB57">
            <v>2102</v>
          </cell>
          <cell r="AC57">
            <v>1803</v>
          </cell>
          <cell r="AD57">
            <v>676</v>
          </cell>
          <cell r="AE57">
            <v>0</v>
          </cell>
          <cell r="AF57">
            <v>0</v>
          </cell>
          <cell r="AG57">
            <v>0</v>
          </cell>
          <cell r="AH57">
            <v>0</v>
          </cell>
          <cell r="AI57">
            <v>0</v>
          </cell>
          <cell r="AJ57">
            <v>0</v>
          </cell>
          <cell r="AK57">
            <v>0</v>
          </cell>
          <cell r="AL57">
            <v>0</v>
          </cell>
          <cell r="AM57">
            <v>0</v>
          </cell>
          <cell r="AN57">
            <v>0</v>
          </cell>
          <cell r="AO57">
            <v>0</v>
          </cell>
          <cell r="AP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row>
        <row r="58">
          <cell r="B58" t="str">
            <v>Investments in securities</v>
          </cell>
          <cell r="C58" t="str">
            <v>INV_SECUR</v>
          </cell>
          <cell r="D58" t="str">
            <v>SEK</v>
          </cell>
          <cell r="F58">
            <v>0</v>
          </cell>
          <cell r="G58">
            <v>0</v>
          </cell>
          <cell r="H58">
            <v>0</v>
          </cell>
          <cell r="I58">
            <v>0</v>
          </cell>
          <cell r="J58">
            <v>0</v>
          </cell>
          <cell r="K58">
            <v>0</v>
          </cell>
          <cell r="L58">
            <v>0</v>
          </cell>
          <cell r="M58">
            <v>0</v>
          </cell>
          <cell r="N58">
            <v>0</v>
          </cell>
          <cell r="O58">
            <v>0</v>
          </cell>
          <cell r="P58">
            <v>73</v>
          </cell>
          <cell r="Q58">
            <v>83</v>
          </cell>
          <cell r="R58">
            <v>77</v>
          </cell>
          <cell r="S58">
            <v>71</v>
          </cell>
          <cell r="T58">
            <v>121</v>
          </cell>
          <cell r="U58">
            <v>121</v>
          </cell>
          <cell r="V58">
            <v>108</v>
          </cell>
          <cell r="W58">
            <v>124</v>
          </cell>
          <cell r="X58">
            <v>107</v>
          </cell>
          <cell r="Y58">
            <v>101</v>
          </cell>
          <cell r="Z58">
            <v>115</v>
          </cell>
          <cell r="AA58">
            <v>125</v>
          </cell>
          <cell r="AB58">
            <v>138</v>
          </cell>
          <cell r="AC58">
            <v>212</v>
          </cell>
          <cell r="AD58">
            <v>133</v>
          </cell>
          <cell r="AE58">
            <v>1795</v>
          </cell>
          <cell r="AF58">
            <v>1706</v>
          </cell>
          <cell r="AG58">
            <v>1962</v>
          </cell>
          <cell r="AH58">
            <v>1962</v>
          </cell>
          <cell r="AI58">
            <v>1962</v>
          </cell>
          <cell r="AJ58">
            <v>1962</v>
          </cell>
          <cell r="AK58">
            <v>1962</v>
          </cell>
          <cell r="AL58">
            <v>1962</v>
          </cell>
          <cell r="AM58">
            <v>1962</v>
          </cell>
          <cell r="AN58">
            <v>1962</v>
          </cell>
          <cell r="AO58">
            <v>1962</v>
          </cell>
          <cell r="AP58">
            <v>1962</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row>
        <row r="59">
          <cell r="B59" t="str">
            <v>Other long-term assets</v>
          </cell>
          <cell r="C59" t="str">
            <v>OTH_LT_ASS</v>
          </cell>
          <cell r="D59" t="str">
            <v>SEK</v>
          </cell>
          <cell r="F59">
            <v>0</v>
          </cell>
          <cell r="G59">
            <v>503</v>
          </cell>
          <cell r="H59">
            <v>563</v>
          </cell>
          <cell r="I59">
            <v>644</v>
          </cell>
          <cell r="J59">
            <v>658</v>
          </cell>
          <cell r="K59">
            <v>1814</v>
          </cell>
          <cell r="L59">
            <v>1794</v>
          </cell>
          <cell r="M59">
            <v>2240</v>
          </cell>
          <cell r="N59">
            <v>1916</v>
          </cell>
          <cell r="O59">
            <v>1434</v>
          </cell>
          <cell r="P59">
            <v>1390</v>
          </cell>
          <cell r="Q59">
            <v>867</v>
          </cell>
          <cell r="R59">
            <v>625</v>
          </cell>
          <cell r="S59">
            <v>843</v>
          </cell>
          <cell r="T59">
            <v>2737</v>
          </cell>
          <cell r="U59">
            <v>2428</v>
          </cell>
          <cell r="V59">
            <v>1314</v>
          </cell>
          <cell r="W59">
            <v>1146</v>
          </cell>
          <cell r="X59">
            <v>1148</v>
          </cell>
          <cell r="Y59">
            <v>984</v>
          </cell>
          <cell r="Z59">
            <v>1605</v>
          </cell>
          <cell r="AA59">
            <v>1874</v>
          </cell>
          <cell r="AB59">
            <v>1935</v>
          </cell>
          <cell r="AC59">
            <v>1620</v>
          </cell>
          <cell r="AD59">
            <v>1711</v>
          </cell>
          <cell r="AE59">
            <v>1449</v>
          </cell>
          <cell r="AF59">
            <v>1484</v>
          </cell>
          <cell r="AG59">
            <v>1790</v>
          </cell>
          <cell r="AH59">
            <v>1790</v>
          </cell>
          <cell r="AI59">
            <v>1790</v>
          </cell>
          <cell r="AJ59">
            <v>1790</v>
          </cell>
          <cell r="AK59">
            <v>1790</v>
          </cell>
          <cell r="AL59">
            <v>1790</v>
          </cell>
          <cell r="AM59">
            <v>1790</v>
          </cell>
          <cell r="AN59">
            <v>1790</v>
          </cell>
          <cell r="AO59">
            <v>1790</v>
          </cell>
          <cell r="AP59">
            <v>1790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row>
        <row r="60">
          <cell r="B60" t="str">
            <v>Total assets</v>
          </cell>
          <cell r="C60" t="str">
            <v>TOT_ASSET</v>
          </cell>
          <cell r="D60" t="str">
            <v>SEK</v>
          </cell>
          <cell r="F60">
            <v>23301</v>
          </cell>
          <cell r="G60">
            <v>22279</v>
          </cell>
          <cell r="H60">
            <v>23175</v>
          </cell>
          <cell r="I60">
            <v>34790</v>
          </cell>
          <cell r="J60">
            <v>37166</v>
          </cell>
          <cell r="K60">
            <v>53650</v>
          </cell>
          <cell r="L60">
            <v>61688</v>
          </cell>
          <cell r="M60">
            <v>64357</v>
          </cell>
          <cell r="N60">
            <v>48668</v>
          </cell>
          <cell r="O60">
            <v>45862</v>
          </cell>
          <cell r="P60">
            <v>48168</v>
          </cell>
          <cell r="Q60">
            <v>54955</v>
          </cell>
          <cell r="R60">
            <v>55255</v>
          </cell>
          <cell r="S60">
            <v>56659</v>
          </cell>
          <cell r="T60">
            <v>75394</v>
          </cell>
          <cell r="U60">
            <v>67874</v>
          </cell>
          <cell r="V60">
            <v>71622</v>
          </cell>
          <cell r="W60">
            <v>75109</v>
          </cell>
          <cell r="X60">
            <v>81149</v>
          </cell>
          <cell r="Y60">
            <v>87891</v>
          </cell>
          <cell r="Z60">
            <v>105281</v>
          </cell>
          <cell r="AA60">
            <v>103010</v>
          </cell>
          <cell r="AB60">
            <v>115892</v>
          </cell>
          <cell r="AC60">
            <v>126031</v>
          </cell>
          <cell r="AD60">
            <v>96670</v>
          </cell>
          <cell r="AE60">
            <v>111722</v>
          </cell>
          <cell r="AF60">
            <v>113366</v>
          </cell>
          <cell r="AG60">
            <v>136683</v>
          </cell>
          <cell r="AH60">
            <v>142840.02327259499</v>
          </cell>
          <cell r="AI60">
            <v>156323.75445786901</v>
          </cell>
          <cell r="AJ60">
            <v>159133.23110316199</v>
          </cell>
          <cell r="AK60">
            <v>180310.40417869799</v>
          </cell>
          <cell r="AL60">
            <v>202685.710290199</v>
          </cell>
          <cell r="AM60">
            <v>227547.791143932</v>
          </cell>
          <cell r="AN60">
            <v>254517.44949757599</v>
          </cell>
          <cell r="AO60">
            <v>284143.86998544802</v>
          </cell>
          <cell r="AP60">
            <v>316681.01953355398</v>
          </cell>
        </row>
        <row r="61">
          <cell r="B61" t="str">
            <v>Accounts payable</v>
          </cell>
          <cell r="C61" t="str">
            <v>ACC_PAY_GQ</v>
          </cell>
          <cell r="D61" t="str">
            <v>SEK</v>
          </cell>
          <cell r="F61">
            <v>4868</v>
          </cell>
          <cell r="G61">
            <v>4793</v>
          </cell>
          <cell r="H61">
            <v>4823</v>
          </cell>
          <cell r="I61">
            <v>6666</v>
          </cell>
          <cell r="J61">
            <v>6420</v>
          </cell>
          <cell r="K61">
            <v>7754</v>
          </cell>
          <cell r="L61">
            <v>9372</v>
          </cell>
          <cell r="M61">
            <v>9941</v>
          </cell>
          <cell r="N61">
            <v>8361</v>
          </cell>
          <cell r="O61">
            <v>8075</v>
          </cell>
          <cell r="P61">
            <v>4181</v>
          </cell>
          <cell r="Q61">
            <v>5985</v>
          </cell>
          <cell r="R61">
            <v>4108</v>
          </cell>
          <cell r="S61">
            <v>5591</v>
          </cell>
          <cell r="T61">
            <v>6415</v>
          </cell>
          <cell r="U61">
            <v>6415</v>
          </cell>
          <cell r="V61">
            <v>6398</v>
          </cell>
          <cell r="W61">
            <v>7696</v>
          </cell>
          <cell r="X61">
            <v>6700</v>
          </cell>
          <cell r="Y61">
            <v>6418</v>
          </cell>
          <cell r="Z61">
            <v>7876</v>
          </cell>
          <cell r="AA61">
            <v>7873</v>
          </cell>
          <cell r="AB61">
            <v>10283</v>
          </cell>
          <cell r="AC61">
            <v>14206</v>
          </cell>
          <cell r="AD61">
            <v>12529</v>
          </cell>
          <cell r="AE61">
            <v>11898</v>
          </cell>
          <cell r="AF61">
            <v>11202</v>
          </cell>
          <cell r="AG61">
            <v>15159</v>
          </cell>
          <cell r="AH61">
            <v>17130.7991339736</v>
          </cell>
          <cell r="AI61">
            <v>17002.746716929702</v>
          </cell>
          <cell r="AJ61">
            <v>18838.937835625999</v>
          </cell>
          <cell r="AK61">
            <v>21277.3964275748</v>
          </cell>
          <cell r="AL61">
            <v>23436.067762522602</v>
          </cell>
          <cell r="AM61">
            <v>25604.673074677801</v>
          </cell>
          <cell r="AN61">
            <v>27982.934134057101</v>
          </cell>
          <cell r="AO61">
            <v>30591.752619422899</v>
          </cell>
          <cell r="AP61">
            <v>33454.159889286297</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row>
        <row r="62">
          <cell r="B62" t="str">
            <v>Short-term debt</v>
          </cell>
          <cell r="C62" t="str">
            <v>SHORT_T_DEBT</v>
          </cell>
          <cell r="D62" t="str">
            <v>SEK</v>
          </cell>
          <cell r="F62">
            <v>1356</v>
          </cell>
          <cell r="G62">
            <v>2561</v>
          </cell>
          <cell r="H62">
            <v>1889</v>
          </cell>
          <cell r="I62">
            <v>7610</v>
          </cell>
          <cell r="J62">
            <v>4922</v>
          </cell>
          <cell r="K62">
            <v>8192</v>
          </cell>
          <cell r="L62">
            <v>9987</v>
          </cell>
          <cell r="M62">
            <v>8091</v>
          </cell>
          <cell r="N62">
            <v>2450</v>
          </cell>
          <cell r="O62">
            <v>3042</v>
          </cell>
          <cell r="P62">
            <v>712</v>
          </cell>
          <cell r="Q62">
            <v>1867</v>
          </cell>
          <cell r="R62">
            <v>5977</v>
          </cell>
          <cell r="S62">
            <v>2743</v>
          </cell>
          <cell r="T62">
            <v>1485</v>
          </cell>
          <cell r="U62">
            <v>2959</v>
          </cell>
          <cell r="V62">
            <v>499</v>
          </cell>
          <cell r="W62">
            <v>3422</v>
          </cell>
          <cell r="X62">
            <v>902</v>
          </cell>
          <cell r="Y62">
            <v>5595</v>
          </cell>
          <cell r="Z62">
            <v>2284</v>
          </cell>
          <cell r="AA62">
            <v>1101</v>
          </cell>
          <cell r="AB62">
            <v>1574</v>
          </cell>
          <cell r="AC62">
            <v>1513</v>
          </cell>
          <cell r="AD62">
            <v>5966</v>
          </cell>
          <cell r="AE62">
            <v>2282</v>
          </cell>
          <cell r="AF62">
            <v>2008</v>
          </cell>
          <cell r="AG62">
            <v>2960</v>
          </cell>
          <cell r="AH62">
            <v>2960</v>
          </cell>
          <cell r="AI62">
            <v>2960</v>
          </cell>
          <cell r="AJ62">
            <v>2960</v>
          </cell>
          <cell r="AK62">
            <v>2960</v>
          </cell>
          <cell r="AL62">
            <v>2960</v>
          </cell>
          <cell r="AM62">
            <v>2960</v>
          </cell>
          <cell r="AN62">
            <v>2960</v>
          </cell>
          <cell r="AO62">
            <v>2960</v>
          </cell>
          <cell r="AP62">
            <v>2960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row>
        <row r="63">
          <cell r="B63" t="str">
            <v>Current lease liabilities (op lease: US GAAP)</v>
          </cell>
          <cell r="C63" t="str">
            <v>ST_LEASE_LIAB</v>
          </cell>
          <cell r="D63" t="str">
            <v>SEK</v>
          </cell>
          <cell r="AE63">
            <v>973</v>
          </cell>
          <cell r="AF63">
            <v>969</v>
          </cell>
          <cell r="AG63">
            <v>1021</v>
          </cell>
          <cell r="AH63">
            <v>1021</v>
          </cell>
          <cell r="AI63">
            <v>1021</v>
          </cell>
          <cell r="AJ63">
            <v>1021</v>
          </cell>
          <cell r="AK63">
            <v>1021</v>
          </cell>
          <cell r="AL63">
            <v>1021</v>
          </cell>
          <cell r="AM63">
            <v>1021</v>
          </cell>
          <cell r="AN63">
            <v>1021</v>
          </cell>
          <cell r="AO63">
            <v>1021</v>
          </cell>
          <cell r="AP63">
            <v>1021</v>
          </cell>
        </row>
        <row r="64">
          <cell r="B64" t="str">
            <v>Other current liabilities</v>
          </cell>
          <cell r="C64" t="str">
            <v>OTH_CUR_LIABS</v>
          </cell>
          <cell r="D64" t="str">
            <v>SEK</v>
          </cell>
          <cell r="F64">
            <v>0</v>
          </cell>
          <cell r="G64">
            <v>0</v>
          </cell>
          <cell r="H64">
            <v>0</v>
          </cell>
          <cell r="I64">
            <v>0</v>
          </cell>
          <cell r="J64">
            <v>0</v>
          </cell>
          <cell r="K64">
            <v>0</v>
          </cell>
          <cell r="L64">
            <v>0</v>
          </cell>
          <cell r="M64">
            <v>0</v>
          </cell>
          <cell r="N64">
            <v>0</v>
          </cell>
          <cell r="O64">
            <v>562</v>
          </cell>
          <cell r="P64">
            <v>8478</v>
          </cell>
          <cell r="Q64">
            <v>7847</v>
          </cell>
          <cell r="R64">
            <v>8412</v>
          </cell>
          <cell r="S64">
            <v>10640</v>
          </cell>
          <cell r="T64">
            <v>13992</v>
          </cell>
          <cell r="U64">
            <v>8806</v>
          </cell>
          <cell r="V64">
            <v>12002</v>
          </cell>
          <cell r="W64">
            <v>14206</v>
          </cell>
          <cell r="X64">
            <v>13895</v>
          </cell>
          <cell r="Y64">
            <v>12572</v>
          </cell>
          <cell r="Z64">
            <v>16570</v>
          </cell>
          <cell r="AA64">
            <v>20081</v>
          </cell>
          <cell r="AB64">
            <v>21186</v>
          </cell>
          <cell r="AC64">
            <v>20884</v>
          </cell>
          <cell r="AD64">
            <v>16550</v>
          </cell>
          <cell r="AE64">
            <v>17279</v>
          </cell>
          <cell r="AF64">
            <v>17287</v>
          </cell>
          <cell r="AG64">
            <v>21663</v>
          </cell>
          <cell r="AH64">
            <v>21193</v>
          </cell>
          <cell r="AI64">
            <v>20893</v>
          </cell>
          <cell r="AJ64">
            <v>20593</v>
          </cell>
          <cell r="AK64">
            <v>20293</v>
          </cell>
          <cell r="AL64">
            <v>19993</v>
          </cell>
          <cell r="AM64">
            <v>19693</v>
          </cell>
          <cell r="AN64">
            <v>19393</v>
          </cell>
          <cell r="AO64">
            <v>19093</v>
          </cell>
          <cell r="AP64">
            <v>18793</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row>
        <row r="65">
          <cell r="B65" t="str">
            <v>Total current liabilities</v>
          </cell>
          <cell r="C65" t="str">
            <v>SHORT_TERM_LIABS</v>
          </cell>
          <cell r="D65" t="str">
            <v>SEK</v>
          </cell>
          <cell r="F65">
            <v>6224</v>
          </cell>
          <cell r="G65">
            <v>7354</v>
          </cell>
          <cell r="H65">
            <v>6712</v>
          </cell>
          <cell r="I65">
            <v>14276</v>
          </cell>
          <cell r="J65">
            <v>11342</v>
          </cell>
          <cell r="K65">
            <v>15946</v>
          </cell>
          <cell r="L65">
            <v>19359</v>
          </cell>
          <cell r="M65">
            <v>18032</v>
          </cell>
          <cell r="N65">
            <v>10811</v>
          </cell>
          <cell r="O65">
            <v>11679</v>
          </cell>
          <cell r="P65">
            <v>13371</v>
          </cell>
          <cell r="Q65">
            <v>15699</v>
          </cell>
          <cell r="R65">
            <v>18497</v>
          </cell>
          <cell r="S65">
            <v>18974</v>
          </cell>
          <cell r="T65">
            <v>21892</v>
          </cell>
          <cell r="U65">
            <v>18180</v>
          </cell>
          <cell r="V65">
            <v>18899</v>
          </cell>
          <cell r="W65">
            <v>25324</v>
          </cell>
          <cell r="X65">
            <v>21497</v>
          </cell>
          <cell r="Y65">
            <v>24585</v>
          </cell>
          <cell r="Z65">
            <v>26730</v>
          </cell>
          <cell r="AA65">
            <v>29055</v>
          </cell>
          <cell r="AB65">
            <v>33043</v>
          </cell>
          <cell r="AC65">
            <v>36603</v>
          </cell>
          <cell r="AD65">
            <v>35045</v>
          </cell>
          <cell r="AE65">
            <v>32432</v>
          </cell>
          <cell r="AF65">
            <v>31466</v>
          </cell>
          <cell r="AG65">
            <v>40803</v>
          </cell>
          <cell r="AH65">
            <v>42304.799133973604</v>
          </cell>
          <cell r="AI65">
            <v>41876.746716929702</v>
          </cell>
          <cell r="AJ65">
            <v>43412.937835625999</v>
          </cell>
          <cell r="AK65">
            <v>45551.3964275748</v>
          </cell>
          <cell r="AL65">
            <v>47410.067762522602</v>
          </cell>
          <cell r="AM65">
            <v>49278.673074677798</v>
          </cell>
          <cell r="AN65">
            <v>51356.934134057097</v>
          </cell>
          <cell r="AO65">
            <v>53665.752619422899</v>
          </cell>
          <cell r="AP65">
            <v>56228.159889286297</v>
          </cell>
        </row>
        <row r="66">
          <cell r="B66" t="str">
            <v>Long-term  debt</v>
          </cell>
          <cell r="C66" t="str">
            <v>LT_DEBT</v>
          </cell>
          <cell r="D66" t="str">
            <v>SEK</v>
          </cell>
          <cell r="F66">
            <v>90</v>
          </cell>
          <cell r="G66">
            <v>556</v>
          </cell>
          <cell r="H66">
            <v>571</v>
          </cell>
          <cell r="I66">
            <v>2201</v>
          </cell>
          <cell r="J66">
            <v>5308</v>
          </cell>
          <cell r="K66">
            <v>10969</v>
          </cell>
          <cell r="L66">
            <v>11999</v>
          </cell>
          <cell r="M66">
            <v>11594</v>
          </cell>
          <cell r="N66">
            <v>10822</v>
          </cell>
          <cell r="O66">
            <v>6957</v>
          </cell>
          <cell r="P66">
            <v>6950</v>
          </cell>
          <cell r="Q66">
            <v>7652</v>
          </cell>
          <cell r="R66">
            <v>1163</v>
          </cell>
          <cell r="S66">
            <v>19926</v>
          </cell>
          <cell r="T66">
            <v>26997</v>
          </cell>
          <cell r="U66">
            <v>21008</v>
          </cell>
          <cell r="V66">
            <v>19615</v>
          </cell>
          <cell r="W66">
            <v>17013</v>
          </cell>
          <cell r="X66">
            <v>20150</v>
          </cell>
          <cell r="Y66">
            <v>19997</v>
          </cell>
          <cell r="Z66">
            <v>22182</v>
          </cell>
          <cell r="AA66">
            <v>21888</v>
          </cell>
          <cell r="AB66">
            <v>23148</v>
          </cell>
          <cell r="AC66">
            <v>23635</v>
          </cell>
          <cell r="AD66">
            <v>14415</v>
          </cell>
          <cell r="AE66">
            <v>17730</v>
          </cell>
          <cell r="AF66">
            <v>19269</v>
          </cell>
          <cell r="AG66">
            <v>18542</v>
          </cell>
          <cell r="AH66">
            <v>20158</v>
          </cell>
          <cell r="AI66">
            <v>20158</v>
          </cell>
          <cell r="AJ66">
            <v>20158</v>
          </cell>
          <cell r="AK66">
            <v>20158</v>
          </cell>
          <cell r="AL66">
            <v>20158</v>
          </cell>
          <cell r="AM66">
            <v>20158</v>
          </cell>
          <cell r="AN66">
            <v>20158</v>
          </cell>
          <cell r="AO66">
            <v>20158</v>
          </cell>
          <cell r="AP66">
            <v>20158</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row>
        <row r="67">
          <cell r="B67" t="str">
            <v>Non-current lease liabilities (op lease: US GAAP)</v>
          </cell>
          <cell r="C67" t="str">
            <v>LT_LEASE_LIAB</v>
          </cell>
          <cell r="D67" t="str">
            <v>SEK</v>
          </cell>
          <cell r="AE67">
            <v>2670</v>
          </cell>
          <cell r="AF67">
            <v>2400</v>
          </cell>
          <cell r="AG67">
            <v>2351</v>
          </cell>
          <cell r="AH67">
            <v>2351</v>
          </cell>
          <cell r="AI67">
            <v>2351</v>
          </cell>
          <cell r="AJ67">
            <v>2351</v>
          </cell>
          <cell r="AK67">
            <v>2351</v>
          </cell>
          <cell r="AL67">
            <v>2351</v>
          </cell>
          <cell r="AM67">
            <v>2351</v>
          </cell>
          <cell r="AN67">
            <v>2351</v>
          </cell>
          <cell r="AO67">
            <v>2351</v>
          </cell>
          <cell r="AP67">
            <v>2351</v>
          </cell>
        </row>
        <row r="68">
          <cell r="B68" t="str">
            <v>Other long-term liabilities</v>
          </cell>
          <cell r="C68" t="str">
            <v>OTH_LT_CRED_GQ</v>
          </cell>
          <cell r="D68" t="str">
            <v>SEK</v>
          </cell>
          <cell r="F68">
            <v>2581</v>
          </cell>
          <cell r="G68">
            <v>3770</v>
          </cell>
          <cell r="H68">
            <v>3887</v>
          </cell>
          <cell r="I68">
            <v>4678</v>
          </cell>
          <cell r="J68">
            <v>5051</v>
          </cell>
          <cell r="K68">
            <v>5658</v>
          </cell>
          <cell r="L68">
            <v>6129</v>
          </cell>
          <cell r="M68">
            <v>6942</v>
          </cell>
          <cell r="N68">
            <v>6681</v>
          </cell>
          <cell r="O68">
            <v>6158</v>
          </cell>
          <cell r="P68">
            <v>5246</v>
          </cell>
          <cell r="Q68">
            <v>5796</v>
          </cell>
          <cell r="R68">
            <v>2887</v>
          </cell>
          <cell r="S68">
            <v>3119</v>
          </cell>
          <cell r="T68">
            <v>2737</v>
          </cell>
          <cell r="U68">
            <v>3015</v>
          </cell>
          <cell r="V68">
            <v>3787</v>
          </cell>
          <cell r="W68">
            <v>3933</v>
          </cell>
          <cell r="X68">
            <v>4370</v>
          </cell>
          <cell r="Y68">
            <v>3515</v>
          </cell>
          <cell r="Z68">
            <v>5616</v>
          </cell>
          <cell r="AA68">
            <v>5317</v>
          </cell>
          <cell r="AB68">
            <v>6524</v>
          </cell>
          <cell r="AC68">
            <v>5192</v>
          </cell>
          <cell r="AD68">
            <v>4738</v>
          </cell>
          <cell r="AE68">
            <v>5600</v>
          </cell>
          <cell r="AF68">
            <v>6697</v>
          </cell>
          <cell r="AG68">
            <v>7353</v>
          </cell>
          <cell r="AH68">
            <v>7353</v>
          </cell>
          <cell r="AI68">
            <v>7353</v>
          </cell>
          <cell r="AJ68">
            <v>7353</v>
          </cell>
          <cell r="AK68">
            <v>7353</v>
          </cell>
          <cell r="AL68">
            <v>7353</v>
          </cell>
          <cell r="AM68">
            <v>7353</v>
          </cell>
          <cell r="AN68">
            <v>7353</v>
          </cell>
          <cell r="AO68">
            <v>7353</v>
          </cell>
          <cell r="AP68">
            <v>7353</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row>
        <row r="69">
          <cell r="B69" t="str">
            <v>Total long-term liabilities</v>
          </cell>
          <cell r="C69" t="str">
            <v>TOT_LT_LIAB</v>
          </cell>
          <cell r="D69" t="str">
            <v>SEK</v>
          </cell>
          <cell r="F69">
            <v>2671</v>
          </cell>
          <cell r="G69">
            <v>4326</v>
          </cell>
          <cell r="H69">
            <v>4458</v>
          </cell>
          <cell r="I69">
            <v>6879</v>
          </cell>
          <cell r="J69">
            <v>10359</v>
          </cell>
          <cell r="K69">
            <v>16627</v>
          </cell>
          <cell r="L69">
            <v>18128</v>
          </cell>
          <cell r="M69">
            <v>18536</v>
          </cell>
          <cell r="N69">
            <v>17503</v>
          </cell>
          <cell r="O69">
            <v>13115</v>
          </cell>
          <cell r="P69">
            <v>12196</v>
          </cell>
          <cell r="Q69">
            <v>13448</v>
          </cell>
          <cell r="R69">
            <v>4050</v>
          </cell>
          <cell r="S69">
            <v>23045</v>
          </cell>
          <cell r="T69">
            <v>29734</v>
          </cell>
          <cell r="U69">
            <v>24023</v>
          </cell>
          <cell r="V69">
            <v>23402</v>
          </cell>
          <cell r="W69">
            <v>20946</v>
          </cell>
          <cell r="X69">
            <v>24520</v>
          </cell>
          <cell r="Y69">
            <v>23512</v>
          </cell>
          <cell r="Z69">
            <v>27798</v>
          </cell>
          <cell r="AA69">
            <v>27205</v>
          </cell>
          <cell r="AB69">
            <v>29672</v>
          </cell>
          <cell r="AC69">
            <v>28827</v>
          </cell>
          <cell r="AD69">
            <v>19153</v>
          </cell>
          <cell r="AE69">
            <v>26000</v>
          </cell>
          <cell r="AF69">
            <v>28366</v>
          </cell>
          <cell r="AG69">
            <v>28246</v>
          </cell>
          <cell r="AH69">
            <v>29862</v>
          </cell>
          <cell r="AI69">
            <v>29862</v>
          </cell>
          <cell r="AJ69">
            <v>29862</v>
          </cell>
          <cell r="AK69">
            <v>29862</v>
          </cell>
          <cell r="AL69">
            <v>29862</v>
          </cell>
          <cell r="AM69">
            <v>29862</v>
          </cell>
          <cell r="AN69">
            <v>29862</v>
          </cell>
          <cell r="AO69">
            <v>29862</v>
          </cell>
          <cell r="AP69">
            <v>29862</v>
          </cell>
        </row>
        <row r="70">
          <cell r="B70" t="str">
            <v>Total liabilities</v>
          </cell>
          <cell r="C70" t="str">
            <v>TOT_LIAB</v>
          </cell>
          <cell r="D70" t="str">
            <v>SEK</v>
          </cell>
          <cell r="F70">
            <v>8895</v>
          </cell>
          <cell r="G70">
            <v>11680</v>
          </cell>
          <cell r="H70">
            <v>11170</v>
          </cell>
          <cell r="I70">
            <v>21155</v>
          </cell>
          <cell r="J70">
            <v>21701</v>
          </cell>
          <cell r="K70">
            <v>32573</v>
          </cell>
          <cell r="L70">
            <v>37487</v>
          </cell>
          <cell r="M70">
            <v>36568</v>
          </cell>
          <cell r="N70">
            <v>28314</v>
          </cell>
          <cell r="O70">
            <v>24794</v>
          </cell>
          <cell r="P70">
            <v>25567</v>
          </cell>
          <cell r="Q70">
            <v>29147</v>
          </cell>
          <cell r="R70">
            <v>22547</v>
          </cell>
          <cell r="S70">
            <v>42019</v>
          </cell>
          <cell r="T70">
            <v>51626</v>
          </cell>
          <cell r="U70">
            <v>42203</v>
          </cell>
          <cell r="V70">
            <v>42301</v>
          </cell>
          <cell r="W70">
            <v>46270</v>
          </cell>
          <cell r="X70">
            <v>46017</v>
          </cell>
          <cell r="Y70">
            <v>48097</v>
          </cell>
          <cell r="Z70">
            <v>54528</v>
          </cell>
          <cell r="AA70">
            <v>56260</v>
          </cell>
          <cell r="AB70">
            <v>62715</v>
          </cell>
          <cell r="AC70">
            <v>65430</v>
          </cell>
          <cell r="AD70">
            <v>54198</v>
          </cell>
          <cell r="AE70">
            <v>58432</v>
          </cell>
          <cell r="AF70">
            <v>59832</v>
          </cell>
          <cell r="AG70">
            <v>69049</v>
          </cell>
          <cell r="AH70">
            <v>72166.799133973604</v>
          </cell>
          <cell r="AI70">
            <v>71738.746716929702</v>
          </cell>
          <cell r="AJ70">
            <v>73274.937835625999</v>
          </cell>
          <cell r="AK70">
            <v>75413.3964275748</v>
          </cell>
          <cell r="AL70">
            <v>77272.067762522594</v>
          </cell>
          <cell r="AM70">
            <v>79140.673074677805</v>
          </cell>
          <cell r="AN70">
            <v>81218.934134057097</v>
          </cell>
          <cell r="AO70">
            <v>83527.752619422899</v>
          </cell>
          <cell r="AP70">
            <v>86090.159889286297</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row>
        <row r="71">
          <cell r="B71" t="str">
            <v>Preferred shares</v>
          </cell>
          <cell r="C71" t="str">
            <v>PREF_SH</v>
          </cell>
          <cell r="D71" t="str">
            <v>SEK</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row>
        <row r="72">
          <cell r="B72" t="str">
            <v>Total common equity</v>
          </cell>
          <cell r="C72" t="str">
            <v>ORD_SH_FUND</v>
          </cell>
          <cell r="D72" t="str">
            <v>SEK</v>
          </cell>
          <cell r="F72">
            <v>9183</v>
          </cell>
          <cell r="G72">
            <v>10474</v>
          </cell>
          <cell r="H72">
            <v>11851</v>
          </cell>
          <cell r="I72">
            <v>13453</v>
          </cell>
          <cell r="J72">
            <v>15270</v>
          </cell>
          <cell r="K72">
            <v>20885</v>
          </cell>
          <cell r="L72">
            <v>23982</v>
          </cell>
          <cell r="M72">
            <v>27568</v>
          </cell>
          <cell r="N72">
            <v>20194</v>
          </cell>
          <cell r="O72">
            <v>21015</v>
          </cell>
          <cell r="P72">
            <v>22536</v>
          </cell>
          <cell r="Q72">
            <v>25716</v>
          </cell>
          <cell r="R72">
            <v>32616</v>
          </cell>
          <cell r="S72">
            <v>14524</v>
          </cell>
          <cell r="T72">
            <v>23627</v>
          </cell>
          <cell r="U72">
            <v>25509</v>
          </cell>
          <cell r="V72">
            <v>29141</v>
          </cell>
          <cell r="W72">
            <v>28776</v>
          </cell>
          <cell r="X72">
            <v>35078</v>
          </cell>
          <cell r="Y72">
            <v>39647</v>
          </cell>
          <cell r="Z72">
            <v>50575</v>
          </cell>
          <cell r="AA72">
            <v>46591</v>
          </cell>
          <cell r="AB72">
            <v>53105</v>
          </cell>
          <cell r="AC72">
            <v>60517</v>
          </cell>
          <cell r="AD72">
            <v>42425</v>
          </cell>
          <cell r="AE72">
            <v>53231</v>
          </cell>
          <cell r="AF72">
            <v>53215</v>
          </cell>
          <cell r="AG72">
            <v>67633</v>
          </cell>
          <cell r="AH72">
            <v>70672.224138621095</v>
          </cell>
          <cell r="AI72">
            <v>84584.007740939604</v>
          </cell>
          <cell r="AJ72">
            <v>85857.293267536093</v>
          </cell>
          <cell r="AK72">
            <v>104896.007751123</v>
          </cell>
          <cell r="AL72">
            <v>125412.642527677</v>
          </cell>
          <cell r="AM72">
            <v>148406.11806925401</v>
          </cell>
          <cell r="AN72">
            <v>173297.51536351899</v>
          </cell>
          <cell r="AO72">
            <v>200615.11736602499</v>
          </cell>
          <cell r="AP72">
            <v>230589.859644268</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row>
        <row r="73">
          <cell r="B73" t="str">
            <v>Minority interest</v>
          </cell>
          <cell r="C73" t="str">
            <v>MINORITIES</v>
          </cell>
          <cell r="D73" t="str">
            <v>SEK</v>
          </cell>
          <cell r="F73">
            <v>120</v>
          </cell>
          <cell r="G73">
            <v>125</v>
          </cell>
          <cell r="H73">
            <v>154</v>
          </cell>
          <cell r="I73">
            <v>182</v>
          </cell>
          <cell r="J73">
            <v>195</v>
          </cell>
          <cell r="K73">
            <v>192</v>
          </cell>
          <cell r="L73">
            <v>219</v>
          </cell>
          <cell r="M73">
            <v>221</v>
          </cell>
          <cell r="N73">
            <v>160</v>
          </cell>
          <cell r="O73">
            <v>53</v>
          </cell>
          <cell r="P73">
            <v>65</v>
          </cell>
          <cell r="Q73">
            <v>92</v>
          </cell>
          <cell r="R73">
            <v>92</v>
          </cell>
          <cell r="S73">
            <v>116</v>
          </cell>
          <cell r="T73">
            <v>141</v>
          </cell>
          <cell r="U73">
            <v>162</v>
          </cell>
          <cell r="V73">
            <v>180</v>
          </cell>
          <cell r="W73">
            <v>63</v>
          </cell>
          <cell r="X73">
            <v>54</v>
          </cell>
          <cell r="Y73">
            <v>147</v>
          </cell>
          <cell r="Z73">
            <v>178</v>
          </cell>
          <cell r="AA73">
            <v>159</v>
          </cell>
          <cell r="AB73">
            <v>72</v>
          </cell>
          <cell r="AC73">
            <v>84</v>
          </cell>
          <cell r="AD73">
            <v>47</v>
          </cell>
          <cell r="AE73">
            <v>59</v>
          </cell>
          <cell r="AF73">
            <v>319</v>
          </cell>
          <cell r="AG73">
            <v>1</v>
          </cell>
          <cell r="AH73">
            <v>1</v>
          </cell>
          <cell r="AI73">
            <v>1</v>
          </cell>
          <cell r="AJ73">
            <v>1</v>
          </cell>
          <cell r="AK73">
            <v>1</v>
          </cell>
          <cell r="AL73">
            <v>1</v>
          </cell>
          <cell r="AM73">
            <v>1</v>
          </cell>
          <cell r="AN73">
            <v>1</v>
          </cell>
          <cell r="AO73">
            <v>1</v>
          </cell>
          <cell r="AP73">
            <v>1</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row>
        <row r="74">
          <cell r="B74" t="str">
            <v>Total shareholders' equity</v>
          </cell>
          <cell r="C74" t="str">
            <v>EQ</v>
          </cell>
          <cell r="D74" t="str">
            <v>SEK</v>
          </cell>
          <cell r="F74">
            <v>9303</v>
          </cell>
          <cell r="G74">
            <v>10599</v>
          </cell>
          <cell r="H74">
            <v>12005</v>
          </cell>
          <cell r="I74">
            <v>13635</v>
          </cell>
          <cell r="J74">
            <v>15465</v>
          </cell>
          <cell r="K74">
            <v>21077</v>
          </cell>
          <cell r="L74">
            <v>24201</v>
          </cell>
          <cell r="M74">
            <v>27789</v>
          </cell>
          <cell r="N74">
            <v>20354</v>
          </cell>
          <cell r="O74">
            <v>21068</v>
          </cell>
          <cell r="P74">
            <v>22601</v>
          </cell>
          <cell r="Q74">
            <v>25808</v>
          </cell>
          <cell r="R74">
            <v>32708</v>
          </cell>
          <cell r="S74">
            <v>14640</v>
          </cell>
          <cell r="T74">
            <v>23768</v>
          </cell>
          <cell r="U74">
            <v>25671</v>
          </cell>
          <cell r="V74">
            <v>29321</v>
          </cell>
          <cell r="W74">
            <v>28839</v>
          </cell>
          <cell r="X74">
            <v>35132</v>
          </cell>
          <cell r="Y74">
            <v>39794</v>
          </cell>
          <cell r="Z74">
            <v>50753</v>
          </cell>
          <cell r="AA74">
            <v>46750</v>
          </cell>
          <cell r="AB74">
            <v>53177</v>
          </cell>
          <cell r="AC74">
            <v>60601</v>
          </cell>
          <cell r="AD74">
            <v>42472</v>
          </cell>
          <cell r="AE74">
            <v>53290</v>
          </cell>
          <cell r="AF74">
            <v>53534</v>
          </cell>
          <cell r="AG74">
            <v>67634</v>
          </cell>
          <cell r="AH74">
            <v>70673.224138621095</v>
          </cell>
          <cell r="AI74">
            <v>84585.007740939604</v>
          </cell>
          <cell r="AJ74">
            <v>85858.293267536093</v>
          </cell>
          <cell r="AK74">
            <v>104897.007751123</v>
          </cell>
          <cell r="AL74">
            <v>125413.642527677</v>
          </cell>
          <cell r="AM74">
            <v>148407.11806925401</v>
          </cell>
          <cell r="AN74">
            <v>173298.51536351899</v>
          </cell>
          <cell r="AO74">
            <v>200616.11736602499</v>
          </cell>
          <cell r="AP74">
            <v>230590.859644268</v>
          </cell>
        </row>
        <row r="75">
          <cell r="B75" t="str">
            <v>Total liabilities and equity</v>
          </cell>
          <cell r="C75" t="str">
            <v>TOT_LIAB_EQ</v>
          </cell>
          <cell r="D75" t="str">
            <v>SEK</v>
          </cell>
          <cell r="F75">
            <v>18198</v>
          </cell>
          <cell r="G75">
            <v>22279</v>
          </cell>
          <cell r="H75">
            <v>23175</v>
          </cell>
          <cell r="I75">
            <v>34790</v>
          </cell>
          <cell r="J75">
            <v>37166</v>
          </cell>
          <cell r="K75">
            <v>53650</v>
          </cell>
          <cell r="L75">
            <v>61688</v>
          </cell>
          <cell r="M75">
            <v>64357</v>
          </cell>
          <cell r="N75">
            <v>48668</v>
          </cell>
          <cell r="O75">
            <v>45862</v>
          </cell>
          <cell r="P75">
            <v>48168</v>
          </cell>
          <cell r="Q75">
            <v>54955</v>
          </cell>
          <cell r="R75">
            <v>55255</v>
          </cell>
          <cell r="S75">
            <v>56659</v>
          </cell>
          <cell r="T75">
            <v>75394</v>
          </cell>
          <cell r="U75">
            <v>67874</v>
          </cell>
          <cell r="V75">
            <v>71622</v>
          </cell>
          <cell r="W75">
            <v>75109</v>
          </cell>
          <cell r="X75">
            <v>81149</v>
          </cell>
          <cell r="Y75">
            <v>87891</v>
          </cell>
          <cell r="Z75">
            <v>105281</v>
          </cell>
          <cell r="AA75">
            <v>103010</v>
          </cell>
          <cell r="AB75">
            <v>115892</v>
          </cell>
          <cell r="AC75">
            <v>126031</v>
          </cell>
          <cell r="AD75">
            <v>96670</v>
          </cell>
          <cell r="AE75">
            <v>111722</v>
          </cell>
          <cell r="AF75">
            <v>113366</v>
          </cell>
          <cell r="AG75">
            <v>136683</v>
          </cell>
          <cell r="AH75">
            <v>142840.02327259499</v>
          </cell>
          <cell r="AI75">
            <v>156323.75445786901</v>
          </cell>
          <cell r="AJ75">
            <v>159133.23110316199</v>
          </cell>
          <cell r="AK75">
            <v>180310.40417869799</v>
          </cell>
          <cell r="AL75">
            <v>202685.710290199</v>
          </cell>
          <cell r="AM75">
            <v>227547.791143932</v>
          </cell>
          <cell r="AN75">
            <v>254517.44949757599</v>
          </cell>
          <cell r="AO75">
            <v>284143.86998544802</v>
          </cell>
          <cell r="AP75">
            <v>316681.01953355398</v>
          </cell>
        </row>
        <row r="76">
          <cell r="A76" t="str">
            <v>Additional Balance Sheet Items</v>
          </cell>
        </row>
        <row r="77">
          <cell r="B77" t="str">
            <v>Total US$ debt (in US$)</v>
          </cell>
          <cell r="C77" t="str">
            <v>TOT_USD_DEBT</v>
          </cell>
          <cell r="Z77">
            <v>1197</v>
          </cell>
          <cell r="AA77">
            <v>983</v>
          </cell>
          <cell r="AB77">
            <v>184</v>
          </cell>
          <cell r="AC77">
            <v>164</v>
          </cell>
          <cell r="AD77">
            <v>108</v>
          </cell>
          <cell r="AE77">
            <v>968</v>
          </cell>
        </row>
        <row r="78">
          <cell r="B78" t="str">
            <v>% US$ debt hedged (principal)</v>
          </cell>
          <cell r="C78" t="str">
            <v>TOT_PCT_USD_DEBT_HEDGED</v>
          </cell>
          <cell r="Z78">
            <v>0.8</v>
          </cell>
          <cell r="AA78">
            <v>0.8</v>
          </cell>
          <cell r="AB78">
            <v>0.8</v>
          </cell>
          <cell r="AC78">
            <v>0.8</v>
          </cell>
          <cell r="AD78">
            <v>0.8</v>
          </cell>
          <cell r="AE78">
            <v>0.8</v>
          </cell>
        </row>
        <row r="79">
          <cell r="B79" t="str">
            <v>% Floating debt (local currency debt)</v>
          </cell>
          <cell r="C79" t="str">
            <v>FLOATING_PCT_LOCAL_DEBT</v>
          </cell>
          <cell r="Z79">
            <v>0.21758232197999999</v>
          </cell>
          <cell r="AA79">
            <v>0.21758232197999999</v>
          </cell>
          <cell r="AB79">
            <v>0.26207426583600002</v>
          </cell>
          <cell r="AC79">
            <v>0.25986161921399997</v>
          </cell>
          <cell r="AD79">
            <v>0.243805505127</v>
          </cell>
          <cell r="AE79">
            <v>0.21982667512199999</v>
          </cell>
        </row>
        <row r="80">
          <cell r="B80" t="str">
            <v>% floating debt hedged (rates)</v>
          </cell>
          <cell r="C80" t="str">
            <v>FLOATING_PCT_LOCAL_DEBT_HEDGED</v>
          </cell>
          <cell r="Z80">
            <v>0.179184299499</v>
          </cell>
          <cell r="AA80">
            <v>0.179184299499</v>
          </cell>
          <cell r="AB80">
            <v>0.39674725567000002</v>
          </cell>
          <cell r="AC80">
            <v>6.8032581509999995E-2</v>
          </cell>
          <cell r="AD80">
            <v>0.189292544989</v>
          </cell>
          <cell r="AE80">
            <v>0.189292544989</v>
          </cell>
        </row>
        <row r="81">
          <cell r="B81" t="str">
            <v>Net debt</v>
          </cell>
          <cell r="C81" t="str">
            <v>NET_DEBT</v>
          </cell>
          <cell r="D81" t="str">
            <v>SEK</v>
          </cell>
          <cell r="F81">
            <v>-875.16337285426005</v>
          </cell>
          <cell r="G81">
            <v>1812.9132748028001</v>
          </cell>
          <cell r="H81">
            <v>585.51730973359599</v>
          </cell>
          <cell r="I81">
            <v>9114.5004187974901</v>
          </cell>
          <cell r="J81">
            <v>9091.0932614264893</v>
          </cell>
          <cell r="K81">
            <v>19288.3442790597</v>
          </cell>
          <cell r="L81">
            <v>22374.0956549232</v>
          </cell>
          <cell r="M81">
            <v>20037.4072277249</v>
          </cell>
          <cell r="N81">
            <v>13198.099522335</v>
          </cell>
          <cell r="O81">
            <v>7029.1788504423803</v>
          </cell>
          <cell r="P81">
            <v>5471.9276278424104</v>
          </cell>
          <cell r="Q81">
            <v>6850.72292368543</v>
          </cell>
          <cell r="R81">
            <v>-12810</v>
          </cell>
          <cell r="S81">
            <v>19595</v>
          </cell>
          <cell r="T81">
            <v>21696</v>
          </cell>
          <cell r="U81">
            <v>11059</v>
          </cell>
          <cell r="V81">
            <v>5990</v>
          </cell>
          <cell r="W81">
            <v>14736</v>
          </cell>
          <cell r="X81">
            <v>9124</v>
          </cell>
          <cell r="Y81">
            <v>8159</v>
          </cell>
          <cell r="Z81">
            <v>15720</v>
          </cell>
          <cell r="AA81">
            <v>15646</v>
          </cell>
          <cell r="AB81">
            <v>13997</v>
          </cell>
          <cell r="AC81">
            <v>2654</v>
          </cell>
          <cell r="AD81">
            <v>7124</v>
          </cell>
          <cell r="AE81">
            <v>8525</v>
          </cell>
          <cell r="AF81">
            <v>12933</v>
          </cell>
          <cell r="AG81">
            <v>5037</v>
          </cell>
          <cell r="AH81">
            <v>9119.69270312564</v>
          </cell>
          <cell r="AI81">
            <v>3204.62645238405</v>
          </cell>
          <cell r="AJ81">
            <v>10802.9411249819</v>
          </cell>
          <cell r="AK81">
            <v>5489.07673826054</v>
          </cell>
          <cell r="AL81">
            <v>-402.65309772639</v>
          </cell>
          <cell r="AM81">
            <v>-6924.3128528548395</v>
          </cell>
          <cell r="AN81">
            <v>-13644.662311847</v>
          </cell>
          <cell r="AO81">
            <v>-20924.624275171202</v>
          </cell>
          <cell r="AP81">
            <v>-28810.933120782502</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row>
        <row r="82">
          <cell r="B82" t="str">
            <v>Capitalized operating leases (off-balance sheet)</v>
          </cell>
          <cell r="C82" t="str">
            <v>CAP_LEASES</v>
          </cell>
          <cell r="D82" t="str">
            <v>SEK</v>
          </cell>
          <cell r="F82">
            <v>613.83662714573995</v>
          </cell>
          <cell r="G82">
            <v>586.91327480279597</v>
          </cell>
          <cell r="H82">
            <v>610.51730973359599</v>
          </cell>
          <cell r="I82">
            <v>916.50041879749006</v>
          </cell>
          <cell r="J82">
            <v>979.09326142648797</v>
          </cell>
          <cell r="K82">
            <v>1413.34427905965</v>
          </cell>
          <cell r="L82">
            <v>1625.0956549232401</v>
          </cell>
          <cell r="M82">
            <v>1695.4072277249199</v>
          </cell>
          <cell r="N82">
            <v>1282.0995223350501</v>
          </cell>
          <cell r="O82">
            <v>1208.1788504423801</v>
          </cell>
          <cell r="P82">
            <v>1268.9276278424099</v>
          </cell>
          <cell r="Q82">
            <v>1447.72292368543</v>
          </cell>
          <cell r="R82">
            <v>1201</v>
          </cell>
          <cell r="S82">
            <v>1548</v>
          </cell>
          <cell r="T82">
            <v>1932</v>
          </cell>
          <cell r="U82">
            <v>1921</v>
          </cell>
          <cell r="V82">
            <v>2058</v>
          </cell>
          <cell r="W82">
            <v>2046</v>
          </cell>
          <cell r="X82">
            <v>2011</v>
          </cell>
          <cell r="Y82">
            <v>2069</v>
          </cell>
          <cell r="Z82">
            <v>2823</v>
          </cell>
          <cell r="AA82">
            <v>3066</v>
          </cell>
          <cell r="AB82">
            <v>3075</v>
          </cell>
          <cell r="AC82">
            <v>3041</v>
          </cell>
          <cell r="AD82">
            <v>3259</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row>
        <row r="83">
          <cell r="B83" t="str">
            <v>Deferred income taxes</v>
          </cell>
          <cell r="C83" t="str">
            <v>DEF_INC_TAX</v>
          </cell>
          <cell r="D83" t="str">
            <v>SEK</v>
          </cell>
          <cell r="F83">
            <v>-651</v>
          </cell>
          <cell r="G83">
            <v>-494</v>
          </cell>
          <cell r="H83">
            <v>-595</v>
          </cell>
          <cell r="I83">
            <v>-993</v>
          </cell>
          <cell r="J83">
            <v>-1425</v>
          </cell>
          <cell r="K83">
            <v>-1217</v>
          </cell>
          <cell r="L83">
            <v>-1448</v>
          </cell>
          <cell r="M83">
            <v>-1702</v>
          </cell>
          <cell r="N83">
            <v>-1550</v>
          </cell>
          <cell r="O83">
            <v>-1641</v>
          </cell>
          <cell r="P83">
            <v>-1581</v>
          </cell>
          <cell r="Q83">
            <v>-2489</v>
          </cell>
          <cell r="R83">
            <v>-29</v>
          </cell>
          <cell r="S83">
            <v>9</v>
          </cell>
          <cell r="T83">
            <v>2535</v>
          </cell>
          <cell r="U83">
            <v>1792</v>
          </cell>
          <cell r="V83">
            <v>142</v>
          </cell>
          <cell r="W83">
            <v>-338</v>
          </cell>
          <cell r="X83">
            <v>-766</v>
          </cell>
          <cell r="Y83">
            <v>-66</v>
          </cell>
          <cell r="Z83">
            <v>422</v>
          </cell>
          <cell r="AA83">
            <v>326</v>
          </cell>
          <cell r="AB83">
            <v>861</v>
          </cell>
          <cell r="AC83">
            <v>1099</v>
          </cell>
          <cell r="AD83">
            <v>1000</v>
          </cell>
          <cell r="AE83">
            <v>747</v>
          </cell>
          <cell r="AF83">
            <v>-252</v>
          </cell>
          <cell r="AG83">
            <v>-435</v>
          </cell>
          <cell r="AH83">
            <v>-435</v>
          </cell>
          <cell r="AI83">
            <v>-435</v>
          </cell>
          <cell r="AJ83">
            <v>-435</v>
          </cell>
          <cell r="AK83">
            <v>-435</v>
          </cell>
          <cell r="AL83">
            <v>-435</v>
          </cell>
          <cell r="AM83">
            <v>-435</v>
          </cell>
          <cell r="AN83">
            <v>-435</v>
          </cell>
          <cell r="AO83">
            <v>-435</v>
          </cell>
          <cell r="AP83">
            <v>-435</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row>
        <row r="84">
          <cell r="B84" t="str">
            <v>Associates (mkt value) used in EV calculation</v>
          </cell>
          <cell r="C84" t="str">
            <v>MV_ASSOCIATES</v>
          </cell>
          <cell r="D84" t="str">
            <v>SEK</v>
          </cell>
          <cell r="F84">
            <v>0</v>
          </cell>
          <cell r="Q84">
            <v>0</v>
          </cell>
          <cell r="R84">
            <v>0</v>
          </cell>
          <cell r="S84">
            <v>0</v>
          </cell>
          <cell r="T84">
            <v>0</v>
          </cell>
          <cell r="U84">
            <v>0</v>
          </cell>
          <cell r="V84">
            <v>0</v>
          </cell>
          <cell r="W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row>
        <row r="85">
          <cell r="B85" t="str">
            <v>Net debt adjustment</v>
          </cell>
          <cell r="C85" t="str">
            <v>NET_DEBT_ADJ</v>
          </cell>
          <cell r="D85" t="str">
            <v>SEK</v>
          </cell>
          <cell r="F85">
            <v>29</v>
          </cell>
          <cell r="G85">
            <v>-1040</v>
          </cell>
          <cell r="H85">
            <v>-1097</v>
          </cell>
          <cell r="I85">
            <v>-223</v>
          </cell>
          <cell r="J85">
            <v>-401</v>
          </cell>
          <cell r="K85">
            <v>-242</v>
          </cell>
          <cell r="L85">
            <v>-296</v>
          </cell>
          <cell r="M85">
            <v>-313</v>
          </cell>
          <cell r="N85">
            <v>-277</v>
          </cell>
          <cell r="O85">
            <v>-531</v>
          </cell>
          <cell r="P85">
            <v>-1073</v>
          </cell>
          <cell r="Q85">
            <v>-389</v>
          </cell>
          <cell r="R85">
            <v>-1016</v>
          </cell>
          <cell r="S85">
            <v>-1149</v>
          </cell>
          <cell r="T85">
            <v>-3263</v>
          </cell>
          <cell r="U85">
            <v>-2664</v>
          </cell>
          <cell r="V85">
            <v>-1918</v>
          </cell>
          <cell r="W85">
            <v>-2029</v>
          </cell>
          <cell r="X85">
            <v>-1523</v>
          </cell>
          <cell r="Y85">
            <v>-1869</v>
          </cell>
          <cell r="Z85">
            <v>-2165</v>
          </cell>
          <cell r="AA85">
            <v>-1548</v>
          </cell>
          <cell r="AB85">
            <v>-2342</v>
          </cell>
          <cell r="AC85">
            <v>-1039</v>
          </cell>
          <cell r="AD85">
            <v>-102</v>
          </cell>
          <cell r="AE85">
            <v>-125</v>
          </cell>
          <cell r="AF85">
            <v>-58</v>
          </cell>
          <cell r="AG85">
            <v>-846.99999999999704</v>
          </cell>
          <cell r="AH85">
            <v>-847</v>
          </cell>
          <cell r="AI85">
            <v>-847</v>
          </cell>
          <cell r="AJ85">
            <v>-847</v>
          </cell>
          <cell r="AK85">
            <v>-847</v>
          </cell>
          <cell r="AL85">
            <v>-847</v>
          </cell>
          <cell r="AM85">
            <v>-846.99999999999898</v>
          </cell>
          <cell r="AN85">
            <v>-847</v>
          </cell>
          <cell r="AO85">
            <v>-847.00000000000398</v>
          </cell>
          <cell r="AP85">
            <v>-847</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row>
        <row r="86">
          <cell r="B86" t="str">
            <v>Company borrowing margin</v>
          </cell>
          <cell r="C86" t="str">
            <v>CO_BOR_MARGIN</v>
          </cell>
          <cell r="F86">
            <v>0.02</v>
          </cell>
          <cell r="G86">
            <v>0.02</v>
          </cell>
          <cell r="H86">
            <v>0.02</v>
          </cell>
          <cell r="I86">
            <v>0.02</v>
          </cell>
          <cell r="J86">
            <v>0.02</v>
          </cell>
          <cell r="K86">
            <v>0.02</v>
          </cell>
          <cell r="L86">
            <v>0.02</v>
          </cell>
          <cell r="M86">
            <v>0.02</v>
          </cell>
          <cell r="N86">
            <v>0.02</v>
          </cell>
          <cell r="O86">
            <v>0.02</v>
          </cell>
          <cell r="P86">
            <v>0.02</v>
          </cell>
          <cell r="Q86">
            <v>0.02</v>
          </cell>
          <cell r="R86">
            <v>0.02</v>
          </cell>
          <cell r="S86">
            <v>0.02</v>
          </cell>
          <cell r="T86">
            <v>0.02</v>
          </cell>
          <cell r="U86">
            <v>0.02</v>
          </cell>
          <cell r="V86">
            <v>0.02</v>
          </cell>
          <cell r="W86">
            <v>0.02</v>
          </cell>
          <cell r="X86">
            <v>0.02</v>
          </cell>
          <cell r="Y86">
            <v>0.02</v>
          </cell>
          <cell r="Z86">
            <v>0.02</v>
          </cell>
          <cell r="AA86">
            <v>0.02</v>
          </cell>
          <cell r="AB86">
            <v>0.02</v>
          </cell>
          <cell r="AC86">
            <v>0.02</v>
          </cell>
          <cell r="AD86">
            <v>0.02</v>
          </cell>
          <cell r="AE86">
            <v>0.02</v>
          </cell>
          <cell r="AF86">
            <v>0.02</v>
          </cell>
          <cell r="AG86">
            <v>0.02</v>
          </cell>
          <cell r="AH86">
            <v>0.02</v>
          </cell>
          <cell r="AI86">
            <v>0.02</v>
          </cell>
          <cell r="AJ86">
            <v>0.02</v>
          </cell>
          <cell r="AK86">
            <v>0.02</v>
          </cell>
          <cell r="AL86">
            <v>0.02</v>
          </cell>
          <cell r="AM86">
            <v>0.02</v>
          </cell>
          <cell r="AN86">
            <v>0.02</v>
          </cell>
          <cell r="AO86">
            <v>0.02</v>
          </cell>
          <cell r="AP86">
            <v>0.02</v>
          </cell>
        </row>
        <row r="87">
          <cell r="B87" t="str">
            <v>Unfunded pensions &amp; other provisions</v>
          </cell>
          <cell r="C87" t="str">
            <v>UNF_PENS</v>
          </cell>
          <cell r="D87" t="str">
            <v>SEK</v>
          </cell>
          <cell r="F87">
            <v>-1840</v>
          </cell>
          <cell r="G87">
            <v>-1940</v>
          </cell>
          <cell r="H87">
            <v>-1924</v>
          </cell>
          <cell r="I87">
            <v>-2016</v>
          </cell>
          <cell r="J87">
            <v>-1940</v>
          </cell>
          <cell r="K87">
            <v>-1450</v>
          </cell>
          <cell r="L87">
            <v>-1521</v>
          </cell>
          <cell r="M87">
            <v>-1736</v>
          </cell>
          <cell r="N87">
            <v>-1778</v>
          </cell>
          <cell r="O87">
            <v>-1792</v>
          </cell>
          <cell r="P87">
            <v>-2776</v>
          </cell>
          <cell r="Q87">
            <v>-1826</v>
          </cell>
          <cell r="R87">
            <v>-1647</v>
          </cell>
          <cell r="S87">
            <v>-1728</v>
          </cell>
          <cell r="T87">
            <v>-1922</v>
          </cell>
          <cell r="U87">
            <v>-1768</v>
          </cell>
          <cell r="V87">
            <v>-1578</v>
          </cell>
          <cell r="W87">
            <v>-1504</v>
          </cell>
          <cell r="X87">
            <v>-1401</v>
          </cell>
          <cell r="Y87">
            <v>-1414</v>
          </cell>
          <cell r="Z87">
            <v>-2531</v>
          </cell>
          <cell r="AA87">
            <v>-2225</v>
          </cell>
          <cell r="AB87">
            <v>-3907</v>
          </cell>
          <cell r="AC87">
            <v>-2853</v>
          </cell>
          <cell r="AD87">
            <v>-2837</v>
          </cell>
          <cell r="AE87">
            <v>-3488</v>
          </cell>
          <cell r="AF87">
            <v>-3488</v>
          </cell>
          <cell r="AG87">
            <v>-3114</v>
          </cell>
          <cell r="AH87">
            <v>-3114</v>
          </cell>
          <cell r="AI87">
            <v>-3114</v>
          </cell>
          <cell r="AJ87">
            <v>-3114</v>
          </cell>
          <cell r="AK87">
            <v>-3114</v>
          </cell>
          <cell r="AL87">
            <v>-3114</v>
          </cell>
          <cell r="AM87">
            <v>-3114</v>
          </cell>
          <cell r="AN87">
            <v>-3114</v>
          </cell>
          <cell r="AO87">
            <v>-3114</v>
          </cell>
          <cell r="AP87">
            <v>-3114</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row>
        <row r="88">
          <cell r="B88" t="str">
            <v>Unfunded pension liabilities (off balance sheet)</v>
          </cell>
          <cell r="C88" t="str">
            <v>UNF_PENS_OFF</v>
          </cell>
          <cell r="D88" t="str">
            <v>SEK</v>
          </cell>
        </row>
        <row r="89">
          <cell r="B89" t="str">
            <v>Unfunded pension liabilities &amp; other, used in EV</v>
          </cell>
          <cell r="C89" t="str">
            <v>UNF_PENS_LIAB_OTH</v>
          </cell>
          <cell r="D89" t="str">
            <v>SEK</v>
          </cell>
          <cell r="F89">
            <v>1840</v>
          </cell>
          <cell r="G89">
            <v>1940</v>
          </cell>
          <cell r="H89">
            <v>1924</v>
          </cell>
          <cell r="I89">
            <v>2016</v>
          </cell>
          <cell r="J89">
            <v>1940</v>
          </cell>
          <cell r="K89">
            <v>1450</v>
          </cell>
          <cell r="L89">
            <v>1521</v>
          </cell>
          <cell r="M89">
            <v>1736</v>
          </cell>
          <cell r="N89">
            <v>1778</v>
          </cell>
          <cell r="O89">
            <v>1792</v>
          </cell>
          <cell r="P89">
            <v>2776</v>
          </cell>
          <cell r="Q89">
            <v>1826</v>
          </cell>
          <cell r="R89">
            <v>1647</v>
          </cell>
          <cell r="S89">
            <v>1728</v>
          </cell>
          <cell r="T89">
            <v>1922</v>
          </cell>
          <cell r="U89">
            <v>1768</v>
          </cell>
          <cell r="V89">
            <v>1578</v>
          </cell>
          <cell r="W89">
            <v>1504</v>
          </cell>
          <cell r="X89">
            <v>1401</v>
          </cell>
          <cell r="Y89">
            <v>1414</v>
          </cell>
          <cell r="Z89">
            <v>2531</v>
          </cell>
          <cell r="AA89">
            <v>2225</v>
          </cell>
          <cell r="AB89">
            <v>3907</v>
          </cell>
          <cell r="AC89">
            <v>2853</v>
          </cell>
          <cell r="AD89">
            <v>2837</v>
          </cell>
          <cell r="AE89">
            <v>3488</v>
          </cell>
          <cell r="AF89">
            <v>3488</v>
          </cell>
          <cell r="AG89">
            <v>3114</v>
          </cell>
          <cell r="AH89">
            <v>3114</v>
          </cell>
          <cell r="AI89">
            <v>3114</v>
          </cell>
          <cell r="AJ89">
            <v>3114</v>
          </cell>
          <cell r="AK89">
            <v>3114</v>
          </cell>
          <cell r="AL89">
            <v>3114</v>
          </cell>
          <cell r="AM89">
            <v>3114</v>
          </cell>
          <cell r="AN89">
            <v>3114</v>
          </cell>
          <cell r="AO89">
            <v>3114</v>
          </cell>
          <cell r="AP89">
            <v>3114</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row>
        <row r="90">
          <cell r="B90" t="str">
            <v>Adjustment for unfunded pensions &amp; goodwill</v>
          </cell>
          <cell r="C90" t="str">
            <v>ADJ_UNF_PENS_GOOD</v>
          </cell>
          <cell r="D90" t="str">
            <v>SEK</v>
          </cell>
          <cell r="AR90">
            <v>0</v>
          </cell>
          <cell r="AS90">
            <v>0</v>
          </cell>
          <cell r="AT90">
            <v>0</v>
          </cell>
        </row>
        <row r="91">
          <cell r="B91" t="str">
            <v>Other GCI adjustments</v>
          </cell>
          <cell r="C91" t="str">
            <v>OTH_GCI_ADJ</v>
          </cell>
          <cell r="D91" t="str">
            <v>SEK</v>
          </cell>
        </row>
        <row r="92">
          <cell r="B92" t="str">
            <v>GCI inflator</v>
          </cell>
          <cell r="C92" t="str">
            <v>GCI_INFL</v>
          </cell>
        </row>
        <row r="93">
          <cell r="B93" t="str">
            <v>Minority interest</v>
          </cell>
          <cell r="C93" t="str">
            <v>BAL_MINO_INT</v>
          </cell>
          <cell r="D93" t="str">
            <v>SEK</v>
          </cell>
          <cell r="F93">
            <v>120</v>
          </cell>
          <cell r="G93">
            <v>125</v>
          </cell>
          <cell r="H93">
            <v>154</v>
          </cell>
          <cell r="I93">
            <v>182</v>
          </cell>
          <cell r="J93">
            <v>195</v>
          </cell>
          <cell r="K93">
            <v>192</v>
          </cell>
          <cell r="L93">
            <v>219</v>
          </cell>
          <cell r="M93">
            <v>221</v>
          </cell>
          <cell r="N93">
            <v>160</v>
          </cell>
          <cell r="O93">
            <v>53</v>
          </cell>
          <cell r="P93">
            <v>65</v>
          </cell>
          <cell r="Q93">
            <v>92</v>
          </cell>
          <cell r="R93">
            <v>92</v>
          </cell>
          <cell r="S93">
            <v>116</v>
          </cell>
          <cell r="T93">
            <v>141</v>
          </cell>
          <cell r="U93">
            <v>162</v>
          </cell>
          <cell r="V93">
            <v>180</v>
          </cell>
          <cell r="W93">
            <v>63</v>
          </cell>
          <cell r="X93">
            <v>54</v>
          </cell>
          <cell r="Y93">
            <v>147</v>
          </cell>
          <cell r="Z93">
            <v>178</v>
          </cell>
          <cell r="AA93">
            <v>159</v>
          </cell>
          <cell r="AB93">
            <v>72</v>
          </cell>
          <cell r="AC93">
            <v>84</v>
          </cell>
          <cell r="AD93">
            <v>47</v>
          </cell>
          <cell r="AE93">
            <v>59</v>
          </cell>
          <cell r="AF93">
            <v>319</v>
          </cell>
          <cell r="AG93">
            <v>1</v>
          </cell>
          <cell r="AH93">
            <v>1</v>
          </cell>
          <cell r="AI93">
            <v>1</v>
          </cell>
          <cell r="AJ93">
            <v>1</v>
          </cell>
          <cell r="AK93">
            <v>1</v>
          </cell>
          <cell r="AL93">
            <v>1</v>
          </cell>
          <cell r="AM93">
            <v>1</v>
          </cell>
          <cell r="AN93">
            <v>1</v>
          </cell>
          <cell r="AO93">
            <v>1</v>
          </cell>
          <cell r="AP93">
            <v>1</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row>
        <row r="94">
          <cell r="B94" t="str">
            <v>Right-of-use assets (op lease assets under US GAAP)</v>
          </cell>
          <cell r="C94" t="str">
            <v>ROU_ASSET</v>
          </cell>
          <cell r="D94" t="str">
            <v>SEK</v>
          </cell>
          <cell r="AE94">
            <v>3557</v>
          </cell>
          <cell r="AF94">
            <v>3261</v>
          </cell>
          <cell r="AG94">
            <v>3244</v>
          </cell>
          <cell r="AH94">
            <v>3244</v>
          </cell>
          <cell r="AI94">
            <v>3244</v>
          </cell>
          <cell r="AJ94">
            <v>3244</v>
          </cell>
          <cell r="AK94">
            <v>3244</v>
          </cell>
          <cell r="AL94">
            <v>3244</v>
          </cell>
          <cell r="AM94">
            <v>3244</v>
          </cell>
          <cell r="AN94">
            <v>3244</v>
          </cell>
          <cell r="AO94">
            <v>3244</v>
          </cell>
          <cell r="AP94">
            <v>3244</v>
          </cell>
        </row>
        <row r="95">
          <cell r="A95" t="str">
            <v>Cash Flow Statement</v>
          </cell>
        </row>
        <row r="96">
          <cell r="B96" t="str">
            <v>Minority interest add-back</v>
          </cell>
          <cell r="C96" t="str">
            <v>CF_INC_MINORITY</v>
          </cell>
          <cell r="D96" t="str">
            <v>SEK</v>
          </cell>
          <cell r="F96">
            <v>24</v>
          </cell>
          <cell r="G96">
            <v>27</v>
          </cell>
          <cell r="H96">
            <v>25</v>
          </cell>
          <cell r="I96">
            <v>32</v>
          </cell>
          <cell r="J96">
            <v>32</v>
          </cell>
          <cell r="K96">
            <v>28</v>
          </cell>
          <cell r="L96">
            <v>42</v>
          </cell>
          <cell r="M96">
            <v>11</v>
          </cell>
          <cell r="N96">
            <v>59</v>
          </cell>
          <cell r="O96">
            <v>20</v>
          </cell>
          <cell r="P96">
            <v>14</v>
          </cell>
          <cell r="Q96">
            <v>21</v>
          </cell>
          <cell r="R96">
            <v>24</v>
          </cell>
          <cell r="S96">
            <v>30</v>
          </cell>
          <cell r="T96">
            <v>33</v>
          </cell>
          <cell r="U96">
            <v>32</v>
          </cell>
          <cell r="V96">
            <v>23</v>
          </cell>
          <cell r="W96">
            <v>25</v>
          </cell>
          <cell r="X96">
            <v>13</v>
          </cell>
          <cell r="Y96">
            <v>10</v>
          </cell>
          <cell r="Z96">
            <v>6</v>
          </cell>
          <cell r="AA96">
            <v>6</v>
          </cell>
          <cell r="AB96">
            <v>17</v>
          </cell>
          <cell r="AC96">
            <v>22</v>
          </cell>
          <cell r="AD96">
            <v>271</v>
          </cell>
          <cell r="AE96">
            <v>21</v>
          </cell>
          <cell r="AF96">
            <v>4</v>
          </cell>
          <cell r="AG96">
            <v>4</v>
          </cell>
          <cell r="AH96">
            <v>0</v>
          </cell>
          <cell r="AI96">
            <v>0</v>
          </cell>
          <cell r="AJ96">
            <v>0</v>
          </cell>
          <cell r="AK96">
            <v>0</v>
          </cell>
          <cell r="AL96">
            <v>0</v>
          </cell>
          <cell r="AM96">
            <v>0</v>
          </cell>
          <cell r="AN96">
            <v>0</v>
          </cell>
          <cell r="AO96">
            <v>0</v>
          </cell>
          <cell r="AP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row>
        <row r="97">
          <cell r="B97" t="str">
            <v>Depreciation &amp; amortization add-back</v>
          </cell>
          <cell r="C97" t="str">
            <v>DEPR_AMORT</v>
          </cell>
          <cell r="D97" t="str">
            <v>SEK</v>
          </cell>
          <cell r="F97">
            <v>887</v>
          </cell>
          <cell r="G97">
            <v>712</v>
          </cell>
          <cell r="H97">
            <v>771</v>
          </cell>
          <cell r="I97">
            <v>1064</v>
          </cell>
          <cell r="J97">
            <v>1208</v>
          </cell>
          <cell r="K97">
            <v>1343</v>
          </cell>
          <cell r="L97">
            <v>1567</v>
          </cell>
          <cell r="M97">
            <v>1682</v>
          </cell>
          <cell r="N97">
            <v>8573</v>
          </cell>
          <cell r="O97">
            <v>1353</v>
          </cell>
          <cell r="P97">
            <v>1242</v>
          </cell>
          <cell r="Q97">
            <v>1079</v>
          </cell>
          <cell r="R97">
            <v>1003</v>
          </cell>
          <cell r="S97">
            <v>1212</v>
          </cell>
          <cell r="T97">
            <v>1495</v>
          </cell>
          <cell r="U97">
            <v>1750</v>
          </cell>
          <cell r="V97">
            <v>1818</v>
          </cell>
          <cell r="W97">
            <v>1806</v>
          </cell>
          <cell r="X97">
            <v>1983</v>
          </cell>
          <cell r="Y97">
            <v>2008</v>
          </cell>
          <cell r="Z97">
            <v>2814</v>
          </cell>
          <cell r="AA97">
            <v>3341</v>
          </cell>
          <cell r="AB97">
            <v>3404</v>
          </cell>
          <cell r="AC97">
            <v>3464</v>
          </cell>
          <cell r="AD97">
            <v>3918</v>
          </cell>
          <cell r="AE97">
            <v>2923</v>
          </cell>
          <cell r="AF97">
            <v>3290</v>
          </cell>
          <cell r="AG97">
            <v>3612</v>
          </cell>
          <cell r="AH97">
            <v>3998.9946520847702</v>
          </cell>
          <cell r="AI97">
            <v>4276.9239534624803</v>
          </cell>
          <cell r="AJ97">
            <v>4590.8639353014896</v>
          </cell>
          <cell r="AK97">
            <v>4590.8639353014896</v>
          </cell>
          <cell r="AL97">
            <v>4590.8639353014896</v>
          </cell>
          <cell r="AM97">
            <v>4590.8639353014896</v>
          </cell>
          <cell r="AN97">
            <v>4590.8639353014896</v>
          </cell>
          <cell r="AO97">
            <v>4590.8639353014896</v>
          </cell>
          <cell r="AP97">
            <v>4590.8639353014896</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row>
        <row r="98">
          <cell r="B98" t="str">
            <v>(Increase)/decrease in working capital</v>
          </cell>
          <cell r="C98" t="str">
            <v>WORK_CAP</v>
          </cell>
          <cell r="D98" t="str">
            <v>SEK</v>
          </cell>
          <cell r="F98">
            <v>-63</v>
          </cell>
          <cell r="G98">
            <v>-576</v>
          </cell>
          <cell r="H98">
            <v>261</v>
          </cell>
          <cell r="I98">
            <v>251</v>
          </cell>
          <cell r="J98">
            <v>-557</v>
          </cell>
          <cell r="K98">
            <v>20</v>
          </cell>
          <cell r="L98">
            <v>-402</v>
          </cell>
          <cell r="M98">
            <v>385</v>
          </cell>
          <cell r="N98">
            <v>377</v>
          </cell>
          <cell r="O98">
            <v>863</v>
          </cell>
          <cell r="P98">
            <v>-445</v>
          </cell>
          <cell r="Q98">
            <v>-231</v>
          </cell>
          <cell r="R98">
            <v>-2353</v>
          </cell>
          <cell r="S98">
            <v>-2326</v>
          </cell>
          <cell r="T98">
            <v>-2991</v>
          </cell>
          <cell r="U98">
            <v>6715</v>
          </cell>
          <cell r="V98">
            <v>-1730</v>
          </cell>
          <cell r="W98">
            <v>-6115</v>
          </cell>
          <cell r="X98">
            <v>-1366</v>
          </cell>
          <cell r="Y98">
            <v>-538</v>
          </cell>
          <cell r="Z98">
            <v>2056</v>
          </cell>
          <cell r="AA98">
            <v>1599</v>
          </cell>
          <cell r="AB98">
            <v>2875</v>
          </cell>
          <cell r="AC98">
            <v>1215</v>
          </cell>
          <cell r="AD98">
            <v>-3391</v>
          </cell>
          <cell r="AE98">
            <v>-2971</v>
          </cell>
          <cell r="AF98">
            <v>2166</v>
          </cell>
          <cell r="AG98">
            <v>-244</v>
          </cell>
          <cell r="AH98">
            <v>-6053.2220254598897</v>
          </cell>
          <cell r="AI98">
            <v>-357.23627287703499</v>
          </cell>
          <cell r="AJ98">
            <v>-1687.6787975743</v>
          </cell>
          <cell r="AK98">
            <v>-5320.2732915247398</v>
          </cell>
          <cell r="AL98">
            <v>-4709.8283671588797</v>
          </cell>
          <cell r="AM98">
            <v>-4731.5024992477402</v>
          </cell>
          <cell r="AN98">
            <v>-5188.9332204638704</v>
          </cell>
          <cell r="AO98">
            <v>-5691.9676044344196</v>
          </cell>
          <cell r="AP98">
            <v>-6245.2522251565197</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row>
        <row r="99">
          <cell r="B99" t="str">
            <v>Other operating cash flow items</v>
          </cell>
          <cell r="C99" t="str">
            <v>OTH_OP_CF</v>
          </cell>
          <cell r="D99" t="str">
            <v>SEK</v>
          </cell>
          <cell r="F99">
            <v>-160</v>
          </cell>
          <cell r="G99">
            <v>177</v>
          </cell>
          <cell r="H99">
            <v>-384</v>
          </cell>
          <cell r="I99">
            <v>583</v>
          </cell>
          <cell r="J99">
            <v>-398</v>
          </cell>
          <cell r="K99">
            <v>-526</v>
          </cell>
          <cell r="L99">
            <v>-2179</v>
          </cell>
          <cell r="M99">
            <v>1405</v>
          </cell>
          <cell r="N99">
            <v>1437</v>
          </cell>
          <cell r="O99">
            <v>977</v>
          </cell>
          <cell r="P99">
            <v>583</v>
          </cell>
          <cell r="Q99">
            <v>155</v>
          </cell>
          <cell r="R99">
            <v>-299</v>
          </cell>
          <cell r="S99">
            <v>935</v>
          </cell>
          <cell r="T99">
            <v>-366</v>
          </cell>
          <cell r="U99">
            <v>-138</v>
          </cell>
          <cell r="V99">
            <v>793</v>
          </cell>
          <cell r="W99">
            <v>-258</v>
          </cell>
          <cell r="X99">
            <v>-708</v>
          </cell>
          <cell r="Y99">
            <v>-1685</v>
          </cell>
          <cell r="Z99">
            <v>-658</v>
          </cell>
          <cell r="AA99">
            <v>1395</v>
          </cell>
          <cell r="AB99">
            <v>-1783</v>
          </cell>
          <cell r="AC99">
            <v>-61</v>
          </cell>
          <cell r="AD99">
            <v>-315</v>
          </cell>
          <cell r="AE99">
            <v>-344</v>
          </cell>
          <cell r="AF99">
            <v>1965</v>
          </cell>
          <cell r="AG99">
            <v>1650</v>
          </cell>
          <cell r="AH99">
            <v>798.31053162842704</v>
          </cell>
          <cell r="AI99">
            <v>893.41880673418996</v>
          </cell>
          <cell r="AJ99">
            <v>822.08013772698598</v>
          </cell>
          <cell r="AK99">
            <v>727.34251014149504</v>
          </cell>
          <cell r="AL99">
            <v>643.47502037358299</v>
          </cell>
          <cell r="AM99">
            <v>559.22158128660601</v>
          </cell>
          <cell r="AN99">
            <v>466.82271452362397</v>
          </cell>
          <cell r="AO99">
            <v>365.46635976708501</v>
          </cell>
          <cell r="AP99">
            <v>254.25771557452799</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row>
        <row r="100">
          <cell r="B100" t="str">
            <v>Cash flow from operating activities</v>
          </cell>
          <cell r="C100" t="str">
            <v>CF_OPS</v>
          </cell>
          <cell r="D100" t="str">
            <v>SEK</v>
          </cell>
          <cell r="F100">
            <v>1882</v>
          </cell>
          <cell r="G100">
            <v>2163</v>
          </cell>
          <cell r="H100">
            <v>2611</v>
          </cell>
          <cell r="I100">
            <v>4138</v>
          </cell>
          <cell r="J100">
            <v>2568</v>
          </cell>
          <cell r="K100">
            <v>3112</v>
          </cell>
          <cell r="L100">
            <v>1952</v>
          </cell>
          <cell r="M100">
            <v>6550</v>
          </cell>
          <cell r="N100">
            <v>6557</v>
          </cell>
          <cell r="O100">
            <v>6487</v>
          </cell>
          <cell r="P100">
            <v>5810</v>
          </cell>
          <cell r="Q100">
            <v>5967</v>
          </cell>
          <cell r="R100">
            <v>4611</v>
          </cell>
          <cell r="S100">
            <v>7237</v>
          </cell>
          <cell r="T100">
            <v>8144</v>
          </cell>
          <cell r="U100">
            <v>14603</v>
          </cell>
          <cell r="V100">
            <v>10825</v>
          </cell>
          <cell r="W100">
            <v>8421</v>
          </cell>
          <cell r="X100">
            <v>13823</v>
          </cell>
          <cell r="Y100">
            <v>11867</v>
          </cell>
          <cell r="Z100">
            <v>16387</v>
          </cell>
          <cell r="AA100">
            <v>18112</v>
          </cell>
          <cell r="AB100">
            <v>18281</v>
          </cell>
          <cell r="AC100">
            <v>21380</v>
          </cell>
          <cell r="AD100">
            <v>16814</v>
          </cell>
          <cell r="AE100">
            <v>16151</v>
          </cell>
          <cell r="AF100">
            <v>22204</v>
          </cell>
          <cell r="AG100">
            <v>23152</v>
          </cell>
          <cell r="AH100">
            <v>22287.0770376744</v>
          </cell>
          <cell r="AI100">
            <v>30496.387029348702</v>
          </cell>
          <cell r="AJ100">
            <v>32458.4754890652</v>
          </cell>
          <cell r="AK100">
            <v>33403.252744311001</v>
          </cell>
          <cell r="AL100">
            <v>37743.805160265998</v>
          </cell>
          <cell r="AM100">
            <v>42021.705844792603</v>
          </cell>
          <cell r="AN100">
            <v>45561.712137352602</v>
          </cell>
          <cell r="AO100">
            <v>49428.444047135701</v>
          </cell>
          <cell r="AP100">
            <v>53656.6523822132</v>
          </cell>
        </row>
        <row r="101">
          <cell r="B101" t="str">
            <v>Capital expenditures, Capex</v>
          </cell>
          <cell r="C101" t="str">
            <v>CAPEX</v>
          </cell>
          <cell r="D101" t="str">
            <v>SEK</v>
          </cell>
          <cell r="F101">
            <v>-632</v>
          </cell>
          <cell r="G101">
            <v>-711</v>
          </cell>
          <cell r="H101">
            <v>-822</v>
          </cell>
          <cell r="I101">
            <v>-840</v>
          </cell>
          <cell r="J101">
            <v>-853</v>
          </cell>
          <cell r="K101">
            <v>-939</v>
          </cell>
          <cell r="L101">
            <v>-923</v>
          </cell>
          <cell r="M101">
            <v>-958</v>
          </cell>
          <cell r="N101">
            <v>-1277</v>
          </cell>
          <cell r="O101">
            <v>-1037</v>
          </cell>
          <cell r="P101">
            <v>-1151</v>
          </cell>
          <cell r="Q101">
            <v>-1209</v>
          </cell>
          <cell r="R101">
            <v>-1722</v>
          </cell>
          <cell r="S101">
            <v>-1861</v>
          </cell>
          <cell r="T101">
            <v>-2387</v>
          </cell>
          <cell r="U101">
            <v>-1611</v>
          </cell>
          <cell r="V101">
            <v>-1385</v>
          </cell>
          <cell r="W101">
            <v>-2347</v>
          </cell>
          <cell r="X101">
            <v>-2592</v>
          </cell>
          <cell r="Y101">
            <v>-2264</v>
          </cell>
          <cell r="Z101">
            <v>-2735</v>
          </cell>
          <cell r="AA101">
            <v>-2873</v>
          </cell>
          <cell r="AB101">
            <v>-2667</v>
          </cell>
          <cell r="AC101">
            <v>-2584</v>
          </cell>
          <cell r="AD101">
            <v>-2768</v>
          </cell>
          <cell r="AE101">
            <v>-1960</v>
          </cell>
          <cell r="AF101">
            <v>-2757</v>
          </cell>
          <cell r="AG101">
            <v>-3359</v>
          </cell>
          <cell r="AH101">
            <v>-3959</v>
          </cell>
          <cell r="AI101">
            <v>-4559</v>
          </cell>
          <cell r="AJ101">
            <v>-5159</v>
          </cell>
          <cell r="AK101">
            <v>-5759</v>
          </cell>
          <cell r="AL101">
            <v>-6359</v>
          </cell>
          <cell r="AM101">
            <v>-4590.8639353014896</v>
          </cell>
          <cell r="AN101">
            <v>-4590.8639353014896</v>
          </cell>
          <cell r="AO101">
            <v>-4590.8639353014896</v>
          </cell>
          <cell r="AP101">
            <v>-4590.8639353014896</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row>
        <row r="102">
          <cell r="B102" t="str">
            <v>Acquisitions</v>
          </cell>
          <cell r="C102" t="str">
            <v>ACQ</v>
          </cell>
          <cell r="D102" t="str">
            <v>SEK</v>
          </cell>
          <cell r="F102">
            <v>0</v>
          </cell>
          <cell r="G102">
            <v>-4242</v>
          </cell>
          <cell r="H102">
            <v>-39</v>
          </cell>
          <cell r="I102">
            <v>-10639</v>
          </cell>
          <cell r="J102">
            <v>-873</v>
          </cell>
          <cell r="K102">
            <v>-13894</v>
          </cell>
          <cell r="L102">
            <v>-372</v>
          </cell>
          <cell r="M102">
            <v>-300</v>
          </cell>
          <cell r="N102">
            <v>-712</v>
          </cell>
          <cell r="O102">
            <v>-770</v>
          </cell>
          <cell r="P102">
            <v>-2530</v>
          </cell>
          <cell r="Q102">
            <v>-632</v>
          </cell>
          <cell r="R102">
            <v>-1333</v>
          </cell>
          <cell r="S102">
            <v>-6614</v>
          </cell>
          <cell r="T102">
            <v>-382</v>
          </cell>
          <cell r="U102">
            <v>-196</v>
          </cell>
          <cell r="V102">
            <v>-1710</v>
          </cell>
          <cell r="W102">
            <v>-2298</v>
          </cell>
          <cell r="X102">
            <v>-1195</v>
          </cell>
          <cell r="Y102">
            <v>-1493</v>
          </cell>
          <cell r="Z102">
            <v>-8415</v>
          </cell>
          <cell r="AA102">
            <v>-1852</v>
          </cell>
          <cell r="AB102">
            <v>-4716</v>
          </cell>
          <cell r="AC102">
            <v>-520</v>
          </cell>
          <cell r="AD102">
            <v>-1575</v>
          </cell>
          <cell r="AE102">
            <v>-7706</v>
          </cell>
          <cell r="AF102">
            <v>-13583</v>
          </cell>
          <cell r="AG102">
            <v>-2334</v>
          </cell>
          <cell r="AH102">
            <v>-1183</v>
          </cell>
          <cell r="AI102">
            <v>-7555.2484887319897</v>
          </cell>
          <cell r="AJ102">
            <v>-8507.8654746484699</v>
          </cell>
          <cell r="AK102">
            <v>-9533.7832507841595</v>
          </cell>
          <cell r="AL102">
            <v>-10860.4155290827</v>
          </cell>
          <cell r="AM102">
            <v>-12054.534868487801</v>
          </cell>
          <cell r="AN102">
            <v>-13203.937329332801</v>
          </cell>
          <cell r="AO102">
            <v>-14466.1387945143</v>
          </cell>
          <cell r="AP102">
            <v>-15852.4389230496</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row>
        <row r="103">
          <cell r="B103" t="str">
            <v>Divestitures</v>
          </cell>
          <cell r="C103" t="str">
            <v>DIVEST</v>
          </cell>
          <cell r="D103" t="str">
            <v>SEK</v>
          </cell>
          <cell r="F103">
            <v>257</v>
          </cell>
          <cell r="G103">
            <v>0</v>
          </cell>
          <cell r="H103">
            <v>0</v>
          </cell>
          <cell r="I103">
            <v>0</v>
          </cell>
          <cell r="J103">
            <v>0</v>
          </cell>
          <cell r="K103">
            <v>0</v>
          </cell>
          <cell r="L103">
            <v>0</v>
          </cell>
          <cell r="M103">
            <v>0</v>
          </cell>
          <cell r="N103">
            <v>0</v>
          </cell>
          <cell r="O103">
            <v>0</v>
          </cell>
          <cell r="P103">
            <v>125</v>
          </cell>
          <cell r="Q103">
            <v>4114</v>
          </cell>
          <cell r="R103">
            <v>22969</v>
          </cell>
          <cell r="S103">
            <v>172</v>
          </cell>
          <cell r="T103">
            <v>159</v>
          </cell>
          <cell r="U103">
            <v>25</v>
          </cell>
          <cell r="V103">
            <v>216</v>
          </cell>
          <cell r="W103">
            <v>92</v>
          </cell>
          <cell r="X103">
            <v>0</v>
          </cell>
          <cell r="Y103">
            <v>-56</v>
          </cell>
          <cell r="Z103">
            <v>0</v>
          </cell>
          <cell r="AA103">
            <v>58</v>
          </cell>
          <cell r="AC103">
            <v>1560</v>
          </cell>
          <cell r="AD103">
            <v>166</v>
          </cell>
          <cell r="AG103">
            <v>-7</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row>
        <row r="104">
          <cell r="B104" t="str">
            <v>Other investing cash flow items</v>
          </cell>
          <cell r="C104" t="str">
            <v>OTH_INV_CF</v>
          </cell>
          <cell r="D104" t="str">
            <v>SEK</v>
          </cell>
          <cell r="F104">
            <v>126</v>
          </cell>
          <cell r="G104">
            <v>78</v>
          </cell>
          <cell r="H104">
            <v>131</v>
          </cell>
          <cell r="I104">
            <v>580</v>
          </cell>
          <cell r="J104">
            <v>434</v>
          </cell>
          <cell r="K104">
            <v>240</v>
          </cell>
          <cell r="L104">
            <v>247</v>
          </cell>
          <cell r="M104">
            <v>152</v>
          </cell>
          <cell r="N104">
            <v>319</v>
          </cell>
          <cell r="O104">
            <v>159</v>
          </cell>
          <cell r="P104">
            <v>38</v>
          </cell>
          <cell r="Q104">
            <v>-237</v>
          </cell>
          <cell r="R104">
            <v>-783</v>
          </cell>
          <cell r="S104">
            <v>-959</v>
          </cell>
          <cell r="T104">
            <v>-1044</v>
          </cell>
          <cell r="U104">
            <v>768</v>
          </cell>
          <cell r="V104">
            <v>61</v>
          </cell>
          <cell r="W104">
            <v>218</v>
          </cell>
          <cell r="X104">
            <v>1002</v>
          </cell>
          <cell r="Y104">
            <v>-659</v>
          </cell>
          <cell r="Z104">
            <v>585</v>
          </cell>
          <cell r="AA104">
            <v>814</v>
          </cell>
          <cell r="AB104">
            <v>235</v>
          </cell>
          <cell r="AC104">
            <v>786</v>
          </cell>
          <cell r="AD104">
            <v>-124</v>
          </cell>
          <cell r="AE104">
            <v>-17</v>
          </cell>
          <cell r="AF104">
            <v>54</v>
          </cell>
          <cell r="AG104">
            <v>-421</v>
          </cell>
          <cell r="AH104">
            <v>-724</v>
          </cell>
          <cell r="AI104">
            <v>-695.575350164621</v>
          </cell>
          <cell r="AJ104">
            <v>1070</v>
          </cell>
          <cell r="AK104">
            <v>1570</v>
          </cell>
          <cell r="AL104">
            <v>2070</v>
          </cell>
          <cell r="AM104">
            <v>-245</v>
          </cell>
          <cell r="AN104">
            <v>-245.00000000000199</v>
          </cell>
          <cell r="AO104">
            <v>-244.99999999999801</v>
          </cell>
          <cell r="AP104">
            <v>-245.00000000000199</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row>
        <row r="105">
          <cell r="B105" t="str">
            <v>Cash flow from investing</v>
          </cell>
          <cell r="C105" t="str">
            <v>CF_INV</v>
          </cell>
          <cell r="D105" t="str">
            <v>SEK</v>
          </cell>
          <cell r="F105">
            <v>-249</v>
          </cell>
          <cell r="G105">
            <v>-4875</v>
          </cell>
          <cell r="H105">
            <v>-730</v>
          </cell>
          <cell r="I105">
            <v>-10899</v>
          </cell>
          <cell r="J105">
            <v>-1292</v>
          </cell>
          <cell r="K105">
            <v>-14593</v>
          </cell>
          <cell r="L105">
            <v>-1048</v>
          </cell>
          <cell r="M105">
            <v>-1106</v>
          </cell>
          <cell r="N105">
            <v>-1670</v>
          </cell>
          <cell r="O105">
            <v>-1648</v>
          </cell>
          <cell r="P105">
            <v>-3518</v>
          </cell>
          <cell r="Q105">
            <v>2036</v>
          </cell>
          <cell r="R105">
            <v>19131</v>
          </cell>
          <cell r="S105">
            <v>-9262</v>
          </cell>
          <cell r="T105">
            <v>-3654</v>
          </cell>
          <cell r="U105">
            <v>-1014</v>
          </cell>
          <cell r="V105">
            <v>-2818</v>
          </cell>
          <cell r="W105">
            <v>-4335</v>
          </cell>
          <cell r="X105">
            <v>-2785</v>
          </cell>
          <cell r="Y105">
            <v>-4472</v>
          </cell>
          <cell r="Z105">
            <v>-10565</v>
          </cell>
          <cell r="AA105">
            <v>-3853</v>
          </cell>
          <cell r="AB105">
            <v>-7148</v>
          </cell>
          <cell r="AC105">
            <v>-758</v>
          </cell>
          <cell r="AD105">
            <v>-4301</v>
          </cell>
          <cell r="AE105">
            <v>-9683</v>
          </cell>
          <cell r="AF105">
            <v>-16286</v>
          </cell>
          <cell r="AG105">
            <v>-6121</v>
          </cell>
          <cell r="AH105">
            <v>-5866</v>
          </cell>
          <cell r="AI105">
            <v>-12809.8238388966</v>
          </cell>
          <cell r="AJ105">
            <v>-12596.865474648501</v>
          </cell>
          <cell r="AK105">
            <v>-13722.783250784199</v>
          </cell>
          <cell r="AL105">
            <v>-15149.4155290827</v>
          </cell>
          <cell r="AM105">
            <v>-16890.3988037893</v>
          </cell>
          <cell r="AN105">
            <v>-18039.801264634301</v>
          </cell>
          <cell r="AO105">
            <v>-19302.002729815798</v>
          </cell>
          <cell r="AP105">
            <v>-20688.3028583511</v>
          </cell>
        </row>
        <row r="106">
          <cell r="B106" t="str">
            <v>Dividends paid</v>
          </cell>
          <cell r="C106" t="str">
            <v>DIV_PAID</v>
          </cell>
          <cell r="D106" t="str">
            <v>SEK</v>
          </cell>
          <cell r="F106">
            <v>-342</v>
          </cell>
          <cell r="G106">
            <v>-431</v>
          </cell>
          <cell r="H106">
            <v>-559</v>
          </cell>
          <cell r="I106">
            <v>-698</v>
          </cell>
          <cell r="J106">
            <v>-787</v>
          </cell>
          <cell r="K106">
            <v>-832</v>
          </cell>
          <cell r="L106">
            <v>-1007</v>
          </cell>
          <cell r="M106">
            <v>-1125</v>
          </cell>
          <cell r="N106">
            <v>-1165</v>
          </cell>
          <cell r="O106">
            <v>-1219</v>
          </cell>
          <cell r="P106">
            <v>-1575</v>
          </cell>
          <cell r="Q106">
            <v>-6082</v>
          </cell>
          <cell r="R106">
            <v>-2676</v>
          </cell>
          <cell r="S106">
            <v>-27319</v>
          </cell>
          <cell r="T106">
            <v>-3667</v>
          </cell>
          <cell r="U106">
            <v>-3652</v>
          </cell>
          <cell r="V106">
            <v>-3266</v>
          </cell>
          <cell r="W106">
            <v>-10920</v>
          </cell>
          <cell r="X106">
            <v>-6070</v>
          </cell>
          <cell r="Y106">
            <v>-6669</v>
          </cell>
          <cell r="Z106">
            <v>-6682</v>
          </cell>
          <cell r="AA106">
            <v>-14639</v>
          </cell>
          <cell r="AB106">
            <v>-7687</v>
          </cell>
          <cell r="AC106">
            <v>-7023</v>
          </cell>
          <cell r="AD106">
            <v>-17556</v>
          </cell>
          <cell r="AE106">
            <v>-5479</v>
          </cell>
          <cell r="AF106">
            <v>-8506</v>
          </cell>
          <cell r="AG106">
            <v>-8889</v>
          </cell>
          <cell r="AH106">
            <v>-19003.769740799999</v>
          </cell>
          <cell r="AI106">
            <v>-11771.4969397105</v>
          </cell>
          <cell r="AJ106">
            <v>-27459.924687014602</v>
          </cell>
          <cell r="AK106">
            <v>-14366.6051068055</v>
          </cell>
          <cell r="AL106">
            <v>-16702.6597951964</v>
          </cell>
          <cell r="AM106">
            <v>-18609.6472858749</v>
          </cell>
          <cell r="AN106">
            <v>-20801.5614137261</v>
          </cell>
          <cell r="AO106">
            <v>-22846.479353995699</v>
          </cell>
          <cell r="AP106">
            <v>-25082.0406782508</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row>
        <row r="107">
          <cell r="B107" t="str">
            <v>Common stock issuance/(repurchase)</v>
          </cell>
          <cell r="C107" t="str">
            <v>SH_REPUR</v>
          </cell>
          <cell r="D107" t="str">
            <v>SEK</v>
          </cell>
          <cell r="F107">
            <v>0</v>
          </cell>
          <cell r="G107">
            <v>0</v>
          </cell>
          <cell r="H107">
            <v>0</v>
          </cell>
          <cell r="I107">
            <v>0</v>
          </cell>
          <cell r="J107">
            <v>0</v>
          </cell>
          <cell r="K107">
            <v>4125</v>
          </cell>
          <cell r="L107">
            <v>0</v>
          </cell>
          <cell r="M107">
            <v>0</v>
          </cell>
          <cell r="N107">
            <v>0</v>
          </cell>
          <cell r="O107">
            <v>0</v>
          </cell>
          <cell r="P107">
            <v>2</v>
          </cell>
          <cell r="Q107">
            <v>0</v>
          </cell>
          <cell r="R107">
            <v>-3776</v>
          </cell>
          <cell r="S107">
            <v>-25</v>
          </cell>
          <cell r="T107">
            <v>-453</v>
          </cell>
          <cell r="U107">
            <v>0</v>
          </cell>
          <cell r="V107">
            <v>0</v>
          </cell>
          <cell r="W107">
            <v>-1005</v>
          </cell>
          <cell r="X107">
            <v>271</v>
          </cell>
          <cell r="Y107">
            <v>24</v>
          </cell>
          <cell r="Z107">
            <v>890</v>
          </cell>
          <cell r="AA107">
            <v>-453</v>
          </cell>
          <cell r="AB107">
            <v>-470</v>
          </cell>
          <cell r="AC107">
            <v>-1468</v>
          </cell>
          <cell r="AD107">
            <v>-843</v>
          </cell>
          <cell r="AE107">
            <v>-897</v>
          </cell>
          <cell r="AF107">
            <v>-274</v>
          </cell>
          <cell r="AG107">
            <v>1034</v>
          </cell>
          <cell r="AH107">
            <v>-1500</v>
          </cell>
          <cell r="AJ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row>
        <row r="108">
          <cell r="B108" t="str">
            <v>Increase/(decrease) in total debt</v>
          </cell>
          <cell r="C108" t="str">
            <v>CHG_LT_DEBT</v>
          </cell>
          <cell r="D108" t="str">
            <v>SEK</v>
          </cell>
          <cell r="F108">
            <v>0</v>
          </cell>
          <cell r="G108">
            <v>0</v>
          </cell>
          <cell r="H108">
            <v>-713</v>
          </cell>
          <cell r="I108">
            <v>6536</v>
          </cell>
          <cell r="J108">
            <v>-56</v>
          </cell>
          <cell r="K108">
            <v>7378</v>
          </cell>
          <cell r="L108">
            <v>15</v>
          </cell>
          <cell r="M108">
            <v>-4280</v>
          </cell>
          <cell r="N108">
            <v>-3568</v>
          </cell>
          <cell r="O108">
            <v>-676</v>
          </cell>
          <cell r="P108">
            <v>-1722</v>
          </cell>
          <cell r="Q108">
            <v>-1234</v>
          </cell>
          <cell r="R108">
            <v>-736</v>
          </cell>
          <cell r="S108">
            <v>12464</v>
          </cell>
          <cell r="T108">
            <v>1481</v>
          </cell>
          <cell r="U108">
            <v>-3152</v>
          </cell>
          <cell r="V108">
            <v>-1425</v>
          </cell>
          <cell r="W108">
            <v>181</v>
          </cell>
          <cell r="X108">
            <v>1636</v>
          </cell>
          <cell r="Y108">
            <v>4113</v>
          </cell>
          <cell r="Z108">
            <v>-8566</v>
          </cell>
          <cell r="AA108">
            <v>595</v>
          </cell>
          <cell r="AB108">
            <v>-766</v>
          </cell>
          <cell r="AC108">
            <v>-123</v>
          </cell>
          <cell r="AD108">
            <v>1364</v>
          </cell>
          <cell r="AE108">
            <v>-981</v>
          </cell>
          <cell r="AF108">
            <v>444</v>
          </cell>
          <cell r="AG108">
            <v>-1645</v>
          </cell>
          <cell r="AH108">
            <v>1616</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row>
        <row r="109">
          <cell r="B109" t="str">
            <v>Lease principal payments  (applicable to IFRS cos.)</v>
          </cell>
          <cell r="C109" t="str">
            <v>LEASE_PRINCIPAL_CASH</v>
          </cell>
          <cell r="D109" t="str">
            <v>SEK</v>
          </cell>
          <cell r="AE109">
            <v>-1034</v>
          </cell>
        </row>
        <row r="110">
          <cell r="B110" t="str">
            <v>Other financing cash flow items</v>
          </cell>
          <cell r="C110" t="str">
            <v>OTH_FIN_CF</v>
          </cell>
          <cell r="D110" t="str">
            <v>SEK</v>
          </cell>
          <cell r="F110">
            <v>-450</v>
          </cell>
          <cell r="G110">
            <v>1030</v>
          </cell>
          <cell r="H110">
            <v>-72</v>
          </cell>
          <cell r="I110">
            <v>925</v>
          </cell>
          <cell r="J110">
            <v>-106</v>
          </cell>
          <cell r="K110">
            <v>137</v>
          </cell>
          <cell r="L110">
            <v>-15</v>
          </cell>
          <cell r="M110">
            <v>50</v>
          </cell>
          <cell r="N110">
            <v>-105</v>
          </cell>
          <cell r="O110">
            <v>-376</v>
          </cell>
          <cell r="P110">
            <v>-258</v>
          </cell>
          <cell r="Q110">
            <v>654</v>
          </cell>
          <cell r="R110">
            <v>-146</v>
          </cell>
          <cell r="S110">
            <v>243</v>
          </cell>
          <cell r="T110">
            <v>131</v>
          </cell>
          <cell r="U110">
            <v>-75</v>
          </cell>
          <cell r="V110">
            <v>-1217</v>
          </cell>
          <cell r="W110">
            <v>-890</v>
          </cell>
          <cell r="X110">
            <v>-175</v>
          </cell>
          <cell r="Y110">
            <v>354</v>
          </cell>
          <cell r="Z110">
            <v>307</v>
          </cell>
          <cell r="AA110">
            <v>-305</v>
          </cell>
          <cell r="AB110">
            <v>387</v>
          </cell>
          <cell r="AC110">
            <v>996</v>
          </cell>
          <cell r="AD110">
            <v>-3560</v>
          </cell>
          <cell r="AE110">
            <v>-667</v>
          </cell>
          <cell r="AF110">
            <v>-216</v>
          </cell>
          <cell r="AG110">
            <v>-823</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row>
        <row r="111">
          <cell r="B111" t="str">
            <v>Cash flow from financing</v>
          </cell>
          <cell r="C111" t="str">
            <v>CF_FIN</v>
          </cell>
          <cell r="D111" t="str">
            <v>SEK</v>
          </cell>
          <cell r="F111">
            <v>-792</v>
          </cell>
          <cell r="G111">
            <v>599</v>
          </cell>
          <cell r="H111">
            <v>-1344</v>
          </cell>
          <cell r="I111">
            <v>6763</v>
          </cell>
          <cell r="J111">
            <v>-949</v>
          </cell>
          <cell r="K111">
            <v>10808</v>
          </cell>
          <cell r="L111">
            <v>-1007</v>
          </cell>
          <cell r="M111">
            <v>-5355</v>
          </cell>
          <cell r="N111">
            <v>-4838</v>
          </cell>
          <cell r="O111">
            <v>-2271</v>
          </cell>
          <cell r="P111">
            <v>-3553</v>
          </cell>
          <cell r="Q111">
            <v>-6662</v>
          </cell>
          <cell r="R111">
            <v>-7334</v>
          </cell>
          <cell r="S111">
            <v>-14637</v>
          </cell>
          <cell r="T111">
            <v>-2508</v>
          </cell>
          <cell r="U111">
            <v>-6879</v>
          </cell>
          <cell r="V111">
            <v>-5908</v>
          </cell>
          <cell r="W111">
            <v>-12634</v>
          </cell>
          <cell r="X111">
            <v>-4338</v>
          </cell>
          <cell r="Y111">
            <v>-2178</v>
          </cell>
          <cell r="Z111">
            <v>-14051</v>
          </cell>
          <cell r="AA111">
            <v>-14802</v>
          </cell>
          <cell r="AB111">
            <v>-8536</v>
          </cell>
          <cell r="AC111">
            <v>-7618</v>
          </cell>
          <cell r="AD111">
            <v>-20595</v>
          </cell>
          <cell r="AE111">
            <v>-8024</v>
          </cell>
          <cell r="AF111">
            <v>-8552</v>
          </cell>
          <cell r="AG111">
            <v>-10323</v>
          </cell>
          <cell r="AH111">
            <v>-18887.769740799999</v>
          </cell>
          <cell r="AI111">
            <v>-11771.4969397105</v>
          </cell>
          <cell r="AJ111">
            <v>-27459.924687014602</v>
          </cell>
          <cell r="AK111">
            <v>-14366.6051068055</v>
          </cell>
          <cell r="AL111">
            <v>-16702.6597951964</v>
          </cell>
          <cell r="AM111">
            <v>-18609.6472858749</v>
          </cell>
          <cell r="AN111">
            <v>-20801.5614137261</v>
          </cell>
          <cell r="AO111">
            <v>-22846.479353995699</v>
          </cell>
          <cell r="AP111">
            <v>-25082.0406782508</v>
          </cell>
        </row>
        <row r="112">
          <cell r="B112" t="str">
            <v>Other items net cash flow</v>
          </cell>
          <cell r="C112" t="str">
            <v>OTH_ITEM_NCF</v>
          </cell>
          <cell r="D112" t="str">
            <v>SEK</v>
          </cell>
          <cell r="AE112">
            <v>147</v>
          </cell>
          <cell r="AF112">
            <v>-716</v>
          </cell>
          <cell r="AG112">
            <v>627</v>
          </cell>
          <cell r="AH112">
            <v>0</v>
          </cell>
          <cell r="AI112">
            <v>0</v>
          </cell>
          <cell r="AJ112">
            <v>0</v>
          </cell>
          <cell r="AK112">
            <v>0</v>
          </cell>
          <cell r="AL112">
            <v>0</v>
          </cell>
          <cell r="AM112">
            <v>0</v>
          </cell>
          <cell r="AN112">
            <v>0</v>
          </cell>
          <cell r="AO112">
            <v>0</v>
          </cell>
          <cell r="AP112">
            <v>0</v>
          </cell>
        </row>
        <row r="113">
          <cell r="B113" t="str">
            <v>Total cash flow</v>
          </cell>
          <cell r="C113" t="str">
            <v>TOT_CF</v>
          </cell>
          <cell r="D113" t="str">
            <v>SEK</v>
          </cell>
          <cell r="F113">
            <v>841</v>
          </cell>
          <cell r="G113">
            <v>-2113</v>
          </cell>
          <cell r="H113">
            <v>537</v>
          </cell>
          <cell r="I113">
            <v>2</v>
          </cell>
          <cell r="J113">
            <v>327</v>
          </cell>
          <cell r="K113">
            <v>-673</v>
          </cell>
          <cell r="L113">
            <v>-103</v>
          </cell>
          <cell r="M113">
            <v>89</v>
          </cell>
          <cell r="N113">
            <v>49</v>
          </cell>
          <cell r="O113">
            <v>2568</v>
          </cell>
          <cell r="P113">
            <v>-1261</v>
          </cell>
          <cell r="Q113">
            <v>1341</v>
          </cell>
          <cell r="R113">
            <v>16408</v>
          </cell>
          <cell r="S113">
            <v>-16662</v>
          </cell>
          <cell r="T113">
            <v>1982</v>
          </cell>
          <cell r="U113">
            <v>6710</v>
          </cell>
          <cell r="V113">
            <v>2099</v>
          </cell>
          <cell r="W113">
            <v>-8548</v>
          </cell>
          <cell r="X113">
            <v>6700</v>
          </cell>
          <cell r="Y113">
            <v>5217</v>
          </cell>
          <cell r="Z113">
            <v>-8229</v>
          </cell>
          <cell r="AA113">
            <v>-543</v>
          </cell>
          <cell r="AB113">
            <v>2597</v>
          </cell>
          <cell r="AC113">
            <v>13004</v>
          </cell>
          <cell r="AD113">
            <v>-8082</v>
          </cell>
          <cell r="AE113">
            <v>-1409</v>
          </cell>
          <cell r="AF113">
            <v>-3350</v>
          </cell>
          <cell r="AG113">
            <v>7335</v>
          </cell>
          <cell r="AH113">
            <v>-2466.69270312564</v>
          </cell>
          <cell r="AI113">
            <v>5915.06625074159</v>
          </cell>
          <cell r="AJ113">
            <v>-7598.3146725978504</v>
          </cell>
          <cell r="AK113">
            <v>5313.8643867213596</v>
          </cell>
          <cell r="AL113">
            <v>5891.7298359869301</v>
          </cell>
          <cell r="AM113">
            <v>6521.6597551284503</v>
          </cell>
          <cell r="AN113">
            <v>6720.3494589921502</v>
          </cell>
          <cell r="AO113">
            <v>7279.96196332421</v>
          </cell>
          <cell r="AP113">
            <v>7886.3088456112901</v>
          </cell>
        </row>
        <row r="114">
          <cell r="A114" t="str">
            <v>Additional Cash Flow Items</v>
          </cell>
        </row>
        <row r="115">
          <cell r="B115" t="str">
            <v>Associate and JV add-back</v>
          </cell>
          <cell r="C115" t="str">
            <v>ASSOC_JV_ADDBK</v>
          </cell>
          <cell r="D115" t="str">
            <v>SEK</v>
          </cell>
        </row>
        <row r="116">
          <cell r="B116" t="str">
            <v>Cash interest income/(expense)</v>
          </cell>
          <cell r="C116" t="str">
            <v>CASH_INT_INC_EXP</v>
          </cell>
          <cell r="D116" t="str">
            <v>SEK</v>
          </cell>
        </row>
        <row r="117">
          <cell r="B117" t="str">
            <v>Cash taxes paid</v>
          </cell>
          <cell r="C117" t="str">
            <v>CASH_TAX_PD</v>
          </cell>
          <cell r="D117" t="str">
            <v>SEK</v>
          </cell>
          <cell r="F117">
            <v>-626</v>
          </cell>
          <cell r="G117">
            <v>-852</v>
          </cell>
          <cell r="H117">
            <v>-985</v>
          </cell>
          <cell r="I117">
            <v>-1041</v>
          </cell>
          <cell r="J117">
            <v>-965</v>
          </cell>
          <cell r="K117">
            <v>-963</v>
          </cell>
          <cell r="L117">
            <v>-1612</v>
          </cell>
          <cell r="M117">
            <v>-1541</v>
          </cell>
          <cell r="N117">
            <v>-1255</v>
          </cell>
          <cell r="O117">
            <v>-1307</v>
          </cell>
          <cell r="P117">
            <v>-1328</v>
          </cell>
          <cell r="Q117">
            <v>-2042</v>
          </cell>
          <cell r="R117">
            <v>-3775</v>
          </cell>
          <cell r="S117">
            <v>-3346</v>
          </cell>
          <cell r="T117">
            <v>-3975</v>
          </cell>
          <cell r="U117">
            <v>-1759</v>
          </cell>
          <cell r="V117">
            <v>-2813</v>
          </cell>
          <cell r="W117">
            <v>-3307</v>
          </cell>
          <cell r="X117">
            <v>-5053</v>
          </cell>
          <cell r="Y117">
            <v>-4622</v>
          </cell>
          <cell r="Z117">
            <v>-3828</v>
          </cell>
          <cell r="AA117">
            <v>-4238</v>
          </cell>
          <cell r="AB117">
            <v>-7132</v>
          </cell>
          <cell r="AC117">
            <v>-7306</v>
          </cell>
          <cell r="AD117">
            <v>-5896</v>
          </cell>
          <cell r="AE117">
            <v>-5501</v>
          </cell>
          <cell r="AF117">
            <v>-4531</v>
          </cell>
          <cell r="AG117">
            <v>-5211</v>
          </cell>
          <cell r="AH117">
            <v>-6830</v>
          </cell>
          <cell r="AI117">
            <v>-7450</v>
          </cell>
          <cell r="AJ117">
            <v>-8340</v>
          </cell>
          <cell r="AK117">
            <v>-9700</v>
          </cell>
          <cell r="AL117">
            <v>-10810</v>
          </cell>
          <cell r="AM117">
            <v>-12080</v>
          </cell>
          <cell r="AN117">
            <v>-13260</v>
          </cell>
          <cell r="AO117">
            <v>-14560</v>
          </cell>
          <cell r="AP117">
            <v>-15990</v>
          </cell>
        </row>
        <row r="118">
          <cell r="B118" t="str">
            <v>Profit/(loss) on sale of assets</v>
          </cell>
          <cell r="C118" t="str">
            <v>PL_SALE_ASSETS</v>
          </cell>
          <cell r="D118" t="str">
            <v>SEK</v>
          </cell>
        </row>
        <row r="119">
          <cell r="B119" t="str">
            <v>Other non-cash adjustments</v>
          </cell>
          <cell r="C119" t="str">
            <v>OTH_NONCASH_ADJ</v>
          </cell>
          <cell r="D119" t="str">
            <v>SEK</v>
          </cell>
        </row>
        <row r="120">
          <cell r="B120" t="str">
            <v>Other DACF adjustments</v>
          </cell>
          <cell r="C120" t="str">
            <v>OTH_DACF_ADJ</v>
          </cell>
          <cell r="D120" t="str">
            <v>SEK</v>
          </cell>
        </row>
        <row r="121">
          <cell r="B121" t="str">
            <v>Cash interest expense</v>
          </cell>
          <cell r="C121" t="str">
            <v>CASH_INT_EXP</v>
          </cell>
          <cell r="D121" t="str">
            <v>SEK</v>
          </cell>
        </row>
        <row r="122">
          <cell r="B122" t="str">
            <v>Cash tax expense</v>
          </cell>
          <cell r="C122" t="str">
            <v>CASH_TAX_EXP</v>
          </cell>
          <cell r="D122" t="str">
            <v>SEK</v>
          </cell>
          <cell r="F122">
            <v>-737</v>
          </cell>
          <cell r="G122">
            <v>-990</v>
          </cell>
          <cell r="H122">
            <v>-1107</v>
          </cell>
          <cell r="I122">
            <v>-1280</v>
          </cell>
          <cell r="J122">
            <v>-1322</v>
          </cell>
          <cell r="K122">
            <v>-1137</v>
          </cell>
          <cell r="L122">
            <v>-1723</v>
          </cell>
          <cell r="M122">
            <v>-1622</v>
          </cell>
          <cell r="N122">
            <v>-1361</v>
          </cell>
          <cell r="O122">
            <v>-1619</v>
          </cell>
          <cell r="P122">
            <v>-1952</v>
          </cell>
          <cell r="Q122">
            <v>-1899</v>
          </cell>
          <cell r="R122">
            <v>-2435</v>
          </cell>
          <cell r="S122">
            <v>-3118</v>
          </cell>
          <cell r="T122">
            <v>-3106</v>
          </cell>
          <cell r="U122">
            <v>-1995</v>
          </cell>
          <cell r="V122">
            <v>-3551</v>
          </cell>
          <cell r="W122">
            <v>-4288</v>
          </cell>
          <cell r="X122">
            <v>-4624</v>
          </cell>
          <cell r="Y122">
            <v>-4184</v>
          </cell>
          <cell r="Z122">
            <v>-3916</v>
          </cell>
          <cell r="AA122">
            <v>-7098</v>
          </cell>
          <cell r="AB122">
            <v>-5020</v>
          </cell>
          <cell r="AC122">
            <v>-6367</v>
          </cell>
          <cell r="AD122">
            <v>-4508</v>
          </cell>
          <cell r="AE122">
            <v>-5029</v>
          </cell>
          <cell r="AF122">
            <v>-4042</v>
          </cell>
          <cell r="AG122">
            <v>-5276</v>
          </cell>
          <cell r="AH122">
            <v>-6830</v>
          </cell>
          <cell r="AI122">
            <v>-7450</v>
          </cell>
          <cell r="AJ122">
            <v>-8340</v>
          </cell>
          <cell r="AK122">
            <v>-9700</v>
          </cell>
          <cell r="AL122">
            <v>-10810</v>
          </cell>
          <cell r="AM122">
            <v>-12080</v>
          </cell>
          <cell r="AN122">
            <v>-13260</v>
          </cell>
          <cell r="AO122">
            <v>-14560</v>
          </cell>
          <cell r="AP122">
            <v>-15990</v>
          </cell>
        </row>
        <row r="123">
          <cell r="B123" t="str">
            <v>Dividends received from associates/JVs</v>
          </cell>
          <cell r="C123" t="str">
            <v>DIVDS_ASSOC_JV</v>
          </cell>
          <cell r="D123" t="str">
            <v>SEK</v>
          </cell>
        </row>
        <row r="124">
          <cell r="B124" t="str">
            <v>Capex maintenance</v>
          </cell>
          <cell r="C124" t="str">
            <v>CAPEX_MAINTENANCE</v>
          </cell>
          <cell r="D124" t="str">
            <v>SEK</v>
          </cell>
        </row>
        <row r="125">
          <cell r="B125" t="str">
            <v>Capex expansion</v>
          </cell>
          <cell r="C125" t="str">
            <v>CAPEX_EXPANSION</v>
          </cell>
          <cell r="D125" t="str">
            <v>SEK</v>
          </cell>
        </row>
        <row r="126">
          <cell r="B126" t="str">
            <v>Non-PP&amp;E capex</v>
          </cell>
          <cell r="C126" t="str">
            <v>NONPPE_CAPEX</v>
          </cell>
          <cell r="D126" t="str">
            <v>SEK</v>
          </cell>
        </row>
        <row r="127">
          <cell r="B127" t="str">
            <v>Dividends paid to minorities</v>
          </cell>
          <cell r="C127" t="str">
            <v>DIVDS_PD_MINORITIES</v>
          </cell>
          <cell r="D127" t="str">
            <v>SEK</v>
          </cell>
        </row>
        <row r="128">
          <cell r="A128" t="str">
            <v>Company Metrics</v>
          </cell>
        </row>
        <row r="129">
          <cell r="B129" t="str">
            <v>Group sales % - &gt;50% bigger than number 2</v>
          </cell>
          <cell r="C129" t="str">
            <v>GROUP_SALES_PCT_BIG_NO_TWO</v>
          </cell>
          <cell r="E129">
            <v>0.39</v>
          </cell>
        </row>
        <row r="130">
          <cell r="B130" t="str">
            <v>Group sales % -  number 1/shared number one</v>
          </cell>
          <cell r="C130" t="str">
            <v>GROUP_SALES_PCT_SHRD_NO_ONE</v>
          </cell>
          <cell r="E130">
            <v>0.33</v>
          </cell>
        </row>
        <row r="131">
          <cell r="B131" t="str">
            <v>Group sales % -  top 3</v>
          </cell>
          <cell r="C131" t="str">
            <v>GROUP_SALES_PCT_TOP_THREE</v>
          </cell>
          <cell r="E131">
            <v>0.09</v>
          </cell>
        </row>
        <row r="132">
          <cell r="B132" t="str">
            <v>Aftermarket - % Global sales</v>
          </cell>
          <cell r="C132" t="str">
            <v>AMKT_PCT_GROUP_SALES</v>
          </cell>
          <cell r="X132">
            <v>0.4</v>
          </cell>
          <cell r="Z132">
            <v>0.43</v>
          </cell>
        </row>
        <row r="133">
          <cell r="B133" t="str">
            <v>Distribution score</v>
          </cell>
          <cell r="C133" t="str">
            <v>DISTR_SCORE</v>
          </cell>
          <cell r="E133">
            <v>7</v>
          </cell>
        </row>
        <row r="134">
          <cell r="B134" t="str">
            <v>Structural growth outlook by product category</v>
          </cell>
          <cell r="C134" t="str">
            <v>STRCTL_GRTH_PROD_CTGRY</v>
          </cell>
          <cell r="E134">
            <v>3.7999999999999999E-2</v>
          </cell>
        </row>
        <row r="135">
          <cell r="B135" t="str">
            <v>Cyclical growth outlook by end market</v>
          </cell>
          <cell r="C135" t="str">
            <v>CYCL_GRTH_EMKT</v>
          </cell>
          <cell r="E135">
            <v>5</v>
          </cell>
        </row>
        <row r="136">
          <cell r="B136" t="str">
            <v>Cycle adjusted CROCI</v>
          </cell>
          <cell r="C136" t="str">
            <v>CYCL_ADJ_CROCI</v>
          </cell>
          <cell r="X136">
            <v>0</v>
          </cell>
        </row>
        <row r="137">
          <cell r="B137" t="str">
            <v>Degree of customer concentration (High/Medium/Low)</v>
          </cell>
          <cell r="C137" t="str">
            <v>DGR_CUST_CONCTR</v>
          </cell>
          <cell r="X137">
            <v>0</v>
          </cell>
        </row>
        <row r="138">
          <cell r="B138" t="str">
            <v>Sales % represented by project business</v>
          </cell>
          <cell r="C138" t="str">
            <v>SALES_PCT_PROJ_BUS</v>
          </cell>
          <cell r="X138">
            <v>0</v>
          </cell>
        </row>
        <row r="139">
          <cell r="B139" t="str">
            <v>Sales % represented by service contracts or aftermarket/captive sales</v>
          </cell>
          <cell r="C139" t="str">
            <v>SALES_PCT_REC</v>
          </cell>
          <cell r="P139">
            <v>0.5</v>
          </cell>
          <cell r="Q139">
            <v>0.5</v>
          </cell>
          <cell r="R139">
            <v>0.4</v>
          </cell>
          <cell r="S139">
            <v>0.4</v>
          </cell>
          <cell r="T139">
            <v>0.4</v>
          </cell>
          <cell r="U139">
            <v>0.4</v>
          </cell>
          <cell r="V139">
            <v>0.4</v>
          </cell>
          <cell r="W139">
            <v>0.4</v>
          </cell>
          <cell r="X139">
            <v>0.4</v>
          </cell>
          <cell r="Y139">
            <v>0.43</v>
          </cell>
          <cell r="Z139">
            <v>0.43</v>
          </cell>
          <cell r="AA139">
            <v>0.4083</v>
          </cell>
          <cell r="AB139">
            <v>0.54556217688099995</v>
          </cell>
          <cell r="AC139">
            <v>0.55260726157700002</v>
          </cell>
          <cell r="AD139">
            <v>0.35</v>
          </cell>
        </row>
        <row r="140">
          <cell r="A140" t="str">
            <v>Other Items</v>
          </cell>
        </row>
        <row r="141">
          <cell r="B141" t="str">
            <v>Number of employees</v>
          </cell>
          <cell r="C141" t="str">
            <v>EMPLOYEES</v>
          </cell>
          <cell r="F141">
            <v>18.103999999999999</v>
          </cell>
          <cell r="G141">
            <v>19.751000000000001</v>
          </cell>
          <cell r="H141">
            <v>21.085000000000001</v>
          </cell>
          <cell r="I141">
            <v>22.295999999999999</v>
          </cell>
          <cell r="J141">
            <v>23.856999999999999</v>
          </cell>
          <cell r="K141">
            <v>24.248999999999999</v>
          </cell>
          <cell r="L141">
            <v>26.391999999999999</v>
          </cell>
          <cell r="M141">
            <v>26.201000000000001</v>
          </cell>
          <cell r="N141">
            <v>25.786999999999999</v>
          </cell>
          <cell r="O141">
            <v>25.707000000000001</v>
          </cell>
          <cell r="P141">
            <v>26.827999999999999</v>
          </cell>
          <cell r="Q141">
            <v>26.257999999999999</v>
          </cell>
          <cell r="R141">
            <v>24.378</v>
          </cell>
          <cell r="S141">
            <v>32.947000000000003</v>
          </cell>
          <cell r="T141">
            <v>34.042999999999999</v>
          </cell>
          <cell r="U141">
            <v>29802</v>
          </cell>
          <cell r="V141">
            <v>32790</v>
          </cell>
          <cell r="W141">
            <v>37579</v>
          </cell>
          <cell r="X141">
            <v>39811</v>
          </cell>
          <cell r="Y141">
            <v>40241</v>
          </cell>
          <cell r="Z141">
            <v>44056</v>
          </cell>
          <cell r="AA141">
            <v>39811</v>
          </cell>
          <cell r="AB141">
            <v>40241</v>
          </cell>
          <cell r="AC141">
            <v>44056</v>
          </cell>
          <cell r="AD141">
            <v>43114</v>
          </cell>
          <cell r="AE141">
            <v>44695</v>
          </cell>
          <cell r="AF141">
            <v>47599</v>
          </cell>
          <cell r="AG141">
            <v>36862</v>
          </cell>
          <cell r="AH141">
            <v>38774</v>
          </cell>
          <cell r="AI141">
            <v>40160</v>
          </cell>
          <cell r="AJ141">
            <v>42862</v>
          </cell>
          <cell r="AK141">
            <v>0</v>
          </cell>
          <cell r="AL141">
            <v>0</v>
          </cell>
          <cell r="AM141">
            <v>0</v>
          </cell>
          <cell r="AN141">
            <v>0</v>
          </cell>
          <cell r="AO141">
            <v>0</v>
          </cell>
          <cell r="AP141">
            <v>0</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cell r="X169">
            <v>0</v>
          </cell>
        </row>
        <row r="170">
          <cell r="B170" t="str">
            <v>Regional exposure as % of revenues - EMEA</v>
          </cell>
          <cell r="C170" t="str">
            <v>SALES_EXPOSURE_EMEA</v>
          </cell>
          <cell r="X170">
            <v>0</v>
          </cell>
        </row>
        <row r="171">
          <cell r="B171" t="str">
            <v>Regional exposure as % of revenues - APAC</v>
          </cell>
          <cell r="C171" t="str">
            <v>SALES_EXPOSURE_APAC</v>
          </cell>
          <cell r="X171">
            <v>0</v>
          </cell>
        </row>
        <row r="172">
          <cell r="B172" t="str">
            <v>Regional exposure as % of revenues - China</v>
          </cell>
          <cell r="C172" t="str">
            <v>SALES_EXPOSURE_CHINA</v>
          </cell>
          <cell r="X172">
            <v>0</v>
          </cell>
        </row>
        <row r="173">
          <cell r="B173" t="str">
            <v>Regional exposure as % of revenues - ROW</v>
          </cell>
          <cell r="C173" t="str">
            <v>SALES_EXPOSURE_ROW</v>
          </cell>
          <cell r="X173">
            <v>0</v>
          </cell>
        </row>
        <row r="174">
          <cell r="B174" t="str">
            <v>Regional exposure as % of revenues - Developed Markets</v>
          </cell>
          <cell r="C174" t="str">
            <v>SALES_EXPOSURE_DEV_MKT</v>
          </cell>
          <cell r="X174">
            <v>0</v>
          </cell>
        </row>
        <row r="175">
          <cell r="B175" t="str">
            <v>Regional exposure as % of revenues - Emerging Markets</v>
          </cell>
          <cell r="C175" t="str">
            <v>SALES_EXPOSURE_EMER_MKT</v>
          </cell>
          <cell r="X175">
            <v>0</v>
          </cell>
        </row>
        <row r="176">
          <cell r="A176" t="str">
            <v>End Markets</v>
          </cell>
        </row>
        <row r="177">
          <cell r="B177" t="str">
            <v>Sales to the construction end market - % Global</v>
          </cell>
          <cell r="C177" t="str">
            <v>SALES_CONSRT_EMKT_GLOBAL</v>
          </cell>
          <cell r="X177">
            <v>0.22</v>
          </cell>
        </row>
        <row r="178">
          <cell r="B178" t="str">
            <v>Sales to the construction end market - % No. America</v>
          </cell>
          <cell r="C178" t="str">
            <v>SALES_CONSRT_EMKT_NO_AMERICA</v>
          </cell>
          <cell r="X178">
            <v>3.5200000000000002E-2</v>
          </cell>
        </row>
        <row r="179">
          <cell r="B179" t="str">
            <v>Sales to the construction end market - % EAME</v>
          </cell>
          <cell r="C179" t="str">
            <v>SALES_CONSRT_EMKT_EAME</v>
          </cell>
          <cell r="X179">
            <v>0.10340000000000001</v>
          </cell>
        </row>
        <row r="180">
          <cell r="B180" t="str">
            <v>Sales to the construction end market - % So. America</v>
          </cell>
          <cell r="C180" t="str">
            <v>SALES_CONSRT_EMKT_SO_AMERICA</v>
          </cell>
          <cell r="X180">
            <v>2.86E-2</v>
          </cell>
        </row>
        <row r="181">
          <cell r="B181" t="str">
            <v>Sales to the construction end market - % China</v>
          </cell>
          <cell r="C181" t="str">
            <v>SALES_CONSRT_EMKT_CHINA</v>
          </cell>
          <cell r="X181">
            <v>2.4199999999999999E-2</v>
          </cell>
        </row>
        <row r="182">
          <cell r="B182" t="str">
            <v>Sales to the construction end market - % Asia ex-China</v>
          </cell>
          <cell r="C182" t="str">
            <v>SALES_CONSRT_EMKT_ASIAEXCHINA</v>
          </cell>
          <cell r="X182">
            <v>2.86E-2</v>
          </cell>
        </row>
        <row r="183">
          <cell r="B183" t="str">
            <v>Sales to the transmission &amp; distribution end market - % Global</v>
          </cell>
          <cell r="C183" t="str">
            <v>SALES_TRN_DIST_EMKT_GLOBAL</v>
          </cell>
          <cell r="X183">
            <v>0</v>
          </cell>
        </row>
        <row r="184">
          <cell r="B184" t="str">
            <v>Sales to the transmission &amp; distribution end market - % No. America</v>
          </cell>
          <cell r="C184" t="str">
            <v>SALES_TRN_DIST_EMKT_NO_AMERICA</v>
          </cell>
          <cell r="X184">
            <v>0</v>
          </cell>
        </row>
        <row r="185">
          <cell r="B185" t="str">
            <v>Sales to the transmission &amp; distribution end market - % EAME</v>
          </cell>
          <cell r="C185" t="str">
            <v>SALES_TRN_DIST_EMKT_EAME</v>
          </cell>
          <cell r="X185">
            <v>0</v>
          </cell>
        </row>
        <row r="186">
          <cell r="B186" t="str">
            <v>Sales to the transmission &amp; distribution end market - % So. America</v>
          </cell>
          <cell r="C186" t="str">
            <v>SALES_TRN_DIST_EMKT_SO_AMERICA</v>
          </cell>
          <cell r="X186">
            <v>0</v>
          </cell>
        </row>
        <row r="187">
          <cell r="B187" t="str">
            <v>Sales to the transmission &amp; distribution end market - % China</v>
          </cell>
          <cell r="C187" t="str">
            <v>SALES_TRN_DIST_EMKT_CHINA</v>
          </cell>
          <cell r="X187">
            <v>0</v>
          </cell>
        </row>
        <row r="188">
          <cell r="B188" t="str">
            <v>Sales to the transmission &amp; distribution end market - % Asia ex-China</v>
          </cell>
          <cell r="C188" t="str">
            <v>SALES_TRN_DIST_EMKT_ASIAEXCHINA</v>
          </cell>
          <cell r="X188">
            <v>0</v>
          </cell>
        </row>
        <row r="189">
          <cell r="B189" t="str">
            <v>Sales to the power generation end market - % Global</v>
          </cell>
          <cell r="C189" t="str">
            <v>SALES_PWR_GEN_EMKT_GLOBAL</v>
          </cell>
          <cell r="X189">
            <v>0</v>
          </cell>
        </row>
        <row r="190">
          <cell r="B190" t="str">
            <v>Sales to the power generation end market - % No. America</v>
          </cell>
          <cell r="C190" t="str">
            <v>SALES_PWR_GEN_EMKT_NO_AMERICA</v>
          </cell>
          <cell r="X190">
            <v>0</v>
          </cell>
        </row>
        <row r="191">
          <cell r="B191" t="str">
            <v>Sales to the power generation end market - % EAME</v>
          </cell>
          <cell r="C191" t="str">
            <v>SALES_PWR_GEN_EMKT_EAME</v>
          </cell>
          <cell r="X191">
            <v>0</v>
          </cell>
        </row>
        <row r="192">
          <cell r="B192" t="str">
            <v>Sales to the power generation end market - % So. America</v>
          </cell>
          <cell r="C192" t="str">
            <v>SALES_PWR_GEN_EMKT_SO_AMERICA</v>
          </cell>
          <cell r="X192">
            <v>0</v>
          </cell>
        </row>
        <row r="193">
          <cell r="B193" t="str">
            <v>Sales to the power generation end market - % China</v>
          </cell>
          <cell r="C193" t="str">
            <v>SALES_PWR_GEN_EMKT_CHINA</v>
          </cell>
          <cell r="X193">
            <v>0</v>
          </cell>
        </row>
        <row r="194">
          <cell r="B194" t="str">
            <v>Sales to the power generation end market - % Asia ex-China</v>
          </cell>
          <cell r="C194" t="str">
            <v>SALES_PWR_GEN_EMKT_ASIAEXCHINA</v>
          </cell>
          <cell r="X194">
            <v>0</v>
          </cell>
        </row>
        <row r="195">
          <cell r="B195" t="str">
            <v>Sales to the mining end market - % Global</v>
          </cell>
          <cell r="C195" t="str">
            <v>SALES_MINING_EMKT_GLOBAL</v>
          </cell>
          <cell r="X195">
            <v>0.26</v>
          </cell>
        </row>
        <row r="196">
          <cell r="B196" t="str">
            <v>Sales to the mining end market - % No. America</v>
          </cell>
          <cell r="C196" t="str">
            <v>SALES_MINING_EMKT_NO_AMERICA</v>
          </cell>
          <cell r="X196">
            <v>5.7200000000000001E-2</v>
          </cell>
        </row>
        <row r="197">
          <cell r="B197" t="str">
            <v>Sales to the mining end market - % EAME</v>
          </cell>
          <cell r="C197" t="str">
            <v>SALES_MINING_EMKT_EAME</v>
          </cell>
          <cell r="X197">
            <v>9.6199999999999994E-2</v>
          </cell>
        </row>
        <row r="198">
          <cell r="B198" t="str">
            <v>Sales to the mining end market - % So. America</v>
          </cell>
          <cell r="C198" t="str">
            <v>SALES_MINING_EMKT_SO_AMERICA</v>
          </cell>
          <cell r="X198">
            <v>3.3799999999999997E-2</v>
          </cell>
        </row>
        <row r="199">
          <cell r="B199" t="str">
            <v>Sales to the mining end market - % China</v>
          </cell>
          <cell r="C199" t="str">
            <v>SALES_MINING_EMKT_CHINA</v>
          </cell>
          <cell r="X199">
            <v>1.8200000000000001E-2</v>
          </cell>
        </row>
        <row r="200">
          <cell r="B200" t="str">
            <v>Sales to the mining end market - % Asia ex-China</v>
          </cell>
          <cell r="C200" t="str">
            <v>SALES_MINING_EMKT_ASIAEXCHINA</v>
          </cell>
          <cell r="X200">
            <v>5.4600000000000003E-2</v>
          </cell>
        </row>
        <row r="201">
          <cell r="B201" t="str">
            <v>Sales to the oil &amp; gas end market - % Global</v>
          </cell>
          <cell r="C201" t="str">
            <v>SALES_OIL_GAS_EMKT_GLOBAL</v>
          </cell>
          <cell r="X201">
            <v>0</v>
          </cell>
        </row>
        <row r="202">
          <cell r="B202" t="str">
            <v>Sales to the oil &amp; gas end market - % No. America</v>
          </cell>
          <cell r="C202" t="str">
            <v>SALES_OIL_GAS_EMKT_NO_AMERICA</v>
          </cell>
          <cell r="X202">
            <v>0</v>
          </cell>
        </row>
        <row r="203">
          <cell r="B203" t="str">
            <v>Sales to the oil &amp; gas end market - % EAME</v>
          </cell>
          <cell r="C203" t="str">
            <v>SALES_OIL_GAS_EMKT_EAME</v>
          </cell>
          <cell r="X203">
            <v>0</v>
          </cell>
        </row>
        <row r="204">
          <cell r="B204" t="str">
            <v>Sales to the oil &amp; gas end market - % So. America</v>
          </cell>
          <cell r="C204" t="str">
            <v>SALES_OIL_GAS_EMKT_SO_AMERICA</v>
          </cell>
          <cell r="X204">
            <v>0</v>
          </cell>
        </row>
        <row r="205">
          <cell r="B205" t="str">
            <v>Sales to the oil &amp; gas end market - % China</v>
          </cell>
          <cell r="C205" t="str">
            <v>SALES_OIL_GAS_EMKT_CHINA</v>
          </cell>
          <cell r="X205">
            <v>0</v>
          </cell>
        </row>
        <row r="206">
          <cell r="B206" t="str">
            <v>Sales to the oil &amp; gas end market - % Asia ex-China</v>
          </cell>
          <cell r="C206" t="str">
            <v>SALES_OIL_GAS_EMKT_ASIAEXCHINA</v>
          </cell>
          <cell r="X206">
            <v>0</v>
          </cell>
        </row>
        <row r="207">
          <cell r="B207" t="str">
            <v>Sales to the automotive end market - % Global</v>
          </cell>
          <cell r="C207" t="str">
            <v>SALES_AUTOMTV_EMKT_GLOBAL</v>
          </cell>
          <cell r="X207">
            <v>0</v>
          </cell>
        </row>
        <row r="208">
          <cell r="B208" t="str">
            <v>Sales to the automotive end market - % No. America</v>
          </cell>
          <cell r="C208" t="str">
            <v>SALES_AUTOMTV_EMKT_NO_AMERICA</v>
          </cell>
          <cell r="X208">
            <v>0</v>
          </cell>
        </row>
        <row r="209">
          <cell r="B209" t="str">
            <v>Sales to the automotive end market - % EAME</v>
          </cell>
          <cell r="C209" t="str">
            <v>SALES_AUTOMTV_EMKT_EAME</v>
          </cell>
          <cell r="X209">
            <v>0</v>
          </cell>
        </row>
        <row r="210">
          <cell r="B210" t="str">
            <v>Sales to the automotive end market - % So. America</v>
          </cell>
          <cell r="C210" t="str">
            <v>SALES_AUTOMTV_EMKT_SO_AMERICA</v>
          </cell>
          <cell r="X210">
            <v>0</v>
          </cell>
        </row>
        <row r="211">
          <cell r="B211" t="str">
            <v>Sales to the automotive end market - % China</v>
          </cell>
          <cell r="C211" t="str">
            <v>SALES_AUTOMTV_EMKT_CHINA</v>
          </cell>
          <cell r="X211">
            <v>0</v>
          </cell>
        </row>
        <row r="212">
          <cell r="B212" t="str">
            <v>Sales to the automotive end market - % Asia ex-China</v>
          </cell>
          <cell r="C212" t="str">
            <v>SALES_AUTOMTV_EMKT_ASIAEXCHINA</v>
          </cell>
          <cell r="X212">
            <v>0</v>
          </cell>
        </row>
        <row r="213">
          <cell r="B213" t="str">
            <v>Sales to the rail end market - % Global</v>
          </cell>
          <cell r="C213" t="str">
            <v>SALES_RAIL_EMKT_GLOBAL</v>
          </cell>
          <cell r="X213">
            <v>0</v>
          </cell>
        </row>
        <row r="214">
          <cell r="B214" t="str">
            <v>Sales to the rail end market - % No. America</v>
          </cell>
          <cell r="C214" t="str">
            <v>SALES_RAIL_EMKT_NO_AMERICA</v>
          </cell>
          <cell r="X214">
            <v>0</v>
          </cell>
        </row>
        <row r="215">
          <cell r="B215" t="str">
            <v>Sales to the rail end market - % EAME</v>
          </cell>
          <cell r="C215" t="str">
            <v>SALES_RAIL_EMKT_EAME</v>
          </cell>
          <cell r="X215">
            <v>0</v>
          </cell>
        </row>
        <row r="216">
          <cell r="B216" t="str">
            <v>Sales to the rail end market - % So. America</v>
          </cell>
          <cell r="C216" t="str">
            <v>SALES_RAIL_EMKT_SO_AMERICA</v>
          </cell>
          <cell r="X216">
            <v>0</v>
          </cell>
        </row>
        <row r="217">
          <cell r="B217" t="str">
            <v>Sales to the rail end market - % China</v>
          </cell>
          <cell r="C217" t="str">
            <v>SALES_RAIL_EMKT_CHINA</v>
          </cell>
          <cell r="X217">
            <v>0</v>
          </cell>
        </row>
        <row r="218">
          <cell r="B218" t="str">
            <v>Sales to the rail end market - % Asia ex-China</v>
          </cell>
          <cell r="C218" t="str">
            <v>SALES_RAIL_EMKT_ASIAEXCHINA</v>
          </cell>
          <cell r="X218">
            <v>0</v>
          </cell>
        </row>
        <row r="219">
          <cell r="B219" t="str">
            <v>Sales to the consumer end market - % Global</v>
          </cell>
          <cell r="C219" t="str">
            <v>SALES_CONS_EMKT_GLOBAL</v>
          </cell>
          <cell r="X219">
            <v>0</v>
          </cell>
        </row>
        <row r="220">
          <cell r="B220" t="str">
            <v>Sales to the consumer end market - % No. America</v>
          </cell>
          <cell r="C220" t="str">
            <v>SALES_CONS_EMKT_NO_AMERICA</v>
          </cell>
          <cell r="X220">
            <v>0</v>
          </cell>
        </row>
        <row r="221">
          <cell r="B221" t="str">
            <v>Sales to the consumer end market - % EAME</v>
          </cell>
          <cell r="C221" t="str">
            <v>SALES_CONS_EMKT_EAME</v>
          </cell>
          <cell r="X221">
            <v>0</v>
          </cell>
        </row>
        <row r="222">
          <cell r="B222" t="str">
            <v>Sales to the consumer end market - % So. America</v>
          </cell>
          <cell r="C222" t="str">
            <v>SALES_CONS_EMKT_SO_AMERICA</v>
          </cell>
          <cell r="X222">
            <v>0</v>
          </cell>
        </row>
        <row r="223">
          <cell r="B223" t="str">
            <v>Sales to the consumer end market - % China</v>
          </cell>
          <cell r="C223" t="str">
            <v>SALES_CONS_EMKT_CHINA</v>
          </cell>
          <cell r="X223">
            <v>0</v>
          </cell>
        </row>
        <row r="224">
          <cell r="B224" t="str">
            <v>Sales to the consumer end market - % Asia ex-China</v>
          </cell>
          <cell r="C224" t="str">
            <v>SALES_CONS_EMKT_ASIAEXCHINA</v>
          </cell>
          <cell r="X224">
            <v>0</v>
          </cell>
        </row>
        <row r="225">
          <cell r="B225" t="str">
            <v>Sales to the tech end market - % Global</v>
          </cell>
          <cell r="C225" t="str">
            <v>SALES_TECH_EMKT_GLOBAL</v>
          </cell>
          <cell r="X225">
            <v>0</v>
          </cell>
        </row>
        <row r="226">
          <cell r="B226" t="str">
            <v>Sales to the tech end market - % No. America</v>
          </cell>
          <cell r="C226" t="str">
            <v>SALES_TECH_EMKT_NO_AMERICA</v>
          </cell>
          <cell r="X226">
            <v>0</v>
          </cell>
        </row>
        <row r="227">
          <cell r="B227" t="str">
            <v>Sales to the tech end market - % EAME</v>
          </cell>
          <cell r="C227" t="str">
            <v>SALES_TECH_EMKT_EAME</v>
          </cell>
          <cell r="X227">
            <v>0</v>
          </cell>
        </row>
        <row r="228">
          <cell r="B228" t="str">
            <v>Sales to the tech end market - % So. America</v>
          </cell>
          <cell r="C228" t="str">
            <v>SALES_TECH_EMKT_SO_AMERICA</v>
          </cell>
          <cell r="X228">
            <v>0</v>
          </cell>
        </row>
        <row r="229">
          <cell r="B229" t="str">
            <v>Sales to the tech end market - % China</v>
          </cell>
          <cell r="C229" t="str">
            <v>SALES_TECH_EMKT_CHINA</v>
          </cell>
          <cell r="X229">
            <v>0</v>
          </cell>
        </row>
        <row r="230">
          <cell r="B230" t="str">
            <v>Sales to the tech end market - % Asia ex-China</v>
          </cell>
          <cell r="C230" t="str">
            <v>SALES_TECH_EMKT_ASIAEXCHINA</v>
          </cell>
          <cell r="X230">
            <v>0</v>
          </cell>
        </row>
        <row r="231">
          <cell r="B231" t="str">
            <v>Sales to the agriculture end market - % Global</v>
          </cell>
          <cell r="C231" t="str">
            <v>SALES_AGRI_EMKT_GLOBAL</v>
          </cell>
          <cell r="X231">
            <v>0</v>
          </cell>
        </row>
        <row r="232">
          <cell r="B232" t="str">
            <v>Sales to the agriculture end market - % No. America</v>
          </cell>
          <cell r="C232" t="str">
            <v>SALES_AGRI_EMKT_NO_AMERICA</v>
          </cell>
          <cell r="X232">
            <v>0</v>
          </cell>
        </row>
        <row r="233">
          <cell r="B233" t="str">
            <v>Sales to the agriculture end market - % EAME</v>
          </cell>
          <cell r="C233" t="str">
            <v>SALES_AGRI_EMKT_EAME</v>
          </cell>
          <cell r="X233">
            <v>0</v>
          </cell>
        </row>
        <row r="234">
          <cell r="B234" t="str">
            <v>Sales to the agriculture end market - % So. America</v>
          </cell>
          <cell r="C234" t="str">
            <v>SALES_AGRI_EMKT_SO_AMERICA</v>
          </cell>
          <cell r="X234">
            <v>0</v>
          </cell>
        </row>
        <row r="235">
          <cell r="B235" t="str">
            <v>Sales to the agriculture end market - % China</v>
          </cell>
          <cell r="C235" t="str">
            <v>SALES_AGRI_EMKT_CHINA</v>
          </cell>
          <cell r="X235">
            <v>0</v>
          </cell>
        </row>
        <row r="236">
          <cell r="B236" t="str">
            <v>Sales to the agriculture end market - % Asia ex-China</v>
          </cell>
          <cell r="C236" t="str">
            <v>SALES_AGRI_EMKT_ASIAEXCHINA</v>
          </cell>
          <cell r="X236">
            <v>0</v>
          </cell>
        </row>
        <row r="237">
          <cell r="B237" t="str">
            <v>Sales to the general industrial end market - % Global</v>
          </cell>
          <cell r="C237" t="str">
            <v>SALES_GNRL_IND_EMKT_GLOBAL</v>
          </cell>
          <cell r="X237">
            <v>0.52</v>
          </cell>
        </row>
        <row r="238">
          <cell r="B238" t="str">
            <v>Sales to the general industrial end market - % No. America</v>
          </cell>
          <cell r="C238" t="str">
            <v>SALES_GNRL_IND_EMKT_NO_AMERICA</v>
          </cell>
          <cell r="X238">
            <v>0.104</v>
          </cell>
        </row>
        <row r="239">
          <cell r="B239" t="str">
            <v>Sales to the general industrial end market - % EAME</v>
          </cell>
          <cell r="C239" t="str">
            <v>SALES_GNRL_IND_EMKT_EAME</v>
          </cell>
          <cell r="X239">
            <v>0.21840000000000001</v>
          </cell>
        </row>
        <row r="240">
          <cell r="B240" t="str">
            <v>Sales to the general industrial end market - % So. America</v>
          </cell>
          <cell r="C240" t="str">
            <v>SALES_GNRL_IND_EMKT_SO_AMERICA</v>
          </cell>
          <cell r="X240">
            <v>5.1999999999999998E-2</v>
          </cell>
        </row>
        <row r="241">
          <cell r="B241" t="str">
            <v>Sales to the general industrial end market - % China</v>
          </cell>
          <cell r="C241" t="str">
            <v>SALES_GNRL_IND_EMKT_CHINA</v>
          </cell>
          <cell r="X241">
            <v>5.7200000000000001E-2</v>
          </cell>
        </row>
        <row r="242">
          <cell r="B242" t="str">
            <v>Sales to the general industrial end market - % Asia ex-China</v>
          </cell>
          <cell r="C242" t="str">
            <v>SALES_GNRL_IND_EMKT_ASIAEXCHINA</v>
          </cell>
          <cell r="X242">
            <v>8.8400000000000006E-2</v>
          </cell>
        </row>
        <row r="243">
          <cell r="B243" t="str">
            <v>Sales to the aftermarket end market - % Global</v>
          </cell>
          <cell r="C243" t="str">
            <v>SALES_AMKT_EMKT_GLOBAL</v>
          </cell>
          <cell r="X243">
            <v>0.4</v>
          </cell>
          <cell r="Z243">
            <v>0.43</v>
          </cell>
        </row>
        <row r="244">
          <cell r="B244" t="str">
            <v>End market exposure as % of revenues - Aerospace</v>
          </cell>
          <cell r="C244" t="str">
            <v>SALES_EMKT_AEROSPC</v>
          </cell>
          <cell r="X244">
            <v>0</v>
          </cell>
          <cell r="AA244">
            <v>0.01</v>
          </cell>
          <cell r="AB244">
            <v>0.01</v>
          </cell>
          <cell r="AC244">
            <v>0.01</v>
          </cell>
          <cell r="AD244">
            <v>0.01</v>
          </cell>
          <cell r="AE244">
            <v>0.01</v>
          </cell>
          <cell r="AF244">
            <v>0.01</v>
          </cell>
          <cell r="AG244">
            <v>0.01</v>
          </cell>
          <cell r="AH244">
            <v>0</v>
          </cell>
          <cell r="AI244">
            <v>0</v>
          </cell>
          <cell r="AJ244">
            <v>0</v>
          </cell>
        </row>
        <row r="245">
          <cell r="B245" t="str">
            <v>End market exposure as % of revenues - Agriculture</v>
          </cell>
          <cell r="C245" t="str">
            <v>SALES_EMRKT_AGRI</v>
          </cell>
        </row>
        <row r="246">
          <cell r="B246" t="str">
            <v>End market exposure as % of revenues - Chemicals</v>
          </cell>
          <cell r="C246" t="str">
            <v>SALES_EMRKT_CHEM</v>
          </cell>
          <cell r="AF246">
            <v>0</v>
          </cell>
          <cell r="AG246">
            <v>0.06</v>
          </cell>
          <cell r="AH246">
            <v>0</v>
          </cell>
          <cell r="AI246">
            <v>0</v>
          </cell>
          <cell r="AJ246">
            <v>0</v>
          </cell>
        </row>
        <row r="247">
          <cell r="B247" t="str">
            <v>End market exposure as % of revenues - Consumer</v>
          </cell>
          <cell r="C247" t="str">
            <v>SALES_EMKT_CONS</v>
          </cell>
          <cell r="X247">
            <v>0</v>
          </cell>
          <cell r="AA247">
            <v>0.01</v>
          </cell>
          <cell r="AB247">
            <v>0.01</v>
          </cell>
          <cell r="AC247">
            <v>0.01</v>
          </cell>
          <cell r="AD247">
            <v>0.01</v>
          </cell>
          <cell r="AE247">
            <v>0.01</v>
          </cell>
          <cell r="AF247">
            <v>0.01</v>
          </cell>
          <cell r="AG247">
            <v>0.01</v>
          </cell>
          <cell r="AH247">
            <v>0</v>
          </cell>
          <cell r="AI247">
            <v>0</v>
          </cell>
          <cell r="AJ247">
            <v>0</v>
          </cell>
        </row>
        <row r="248">
          <cell r="B248" t="str">
            <v>End market exposure as % of revenues - Electronics</v>
          </cell>
          <cell r="C248" t="str">
            <v>SALES_EMRKT_ELEC</v>
          </cell>
        </row>
        <row r="249">
          <cell r="B249" t="str">
            <v>End market exposure as % of revenues - General Industrial</v>
          </cell>
          <cell r="C249" t="str">
            <v>SALES_EMKT_GNRL_IND</v>
          </cell>
          <cell r="X249">
            <v>0</v>
          </cell>
          <cell r="AA249">
            <v>0.375</v>
          </cell>
          <cell r="AB249">
            <v>0.36</v>
          </cell>
          <cell r="AC249">
            <v>0.52</v>
          </cell>
          <cell r="AD249">
            <v>0.52666666666700002</v>
          </cell>
          <cell r="AE249">
            <v>0.33333333333300003</v>
          </cell>
          <cell r="AF249">
            <v>0.53666666666700003</v>
          </cell>
          <cell r="AG249">
            <v>0.36</v>
          </cell>
          <cell r="AH249">
            <v>0</v>
          </cell>
          <cell r="AI249">
            <v>0</v>
          </cell>
          <cell r="AJ249">
            <v>0</v>
          </cell>
        </row>
        <row r="250">
          <cell r="B250" t="str">
            <v>End market exposure as % of revenues - Marine (ex. O&amp;G)</v>
          </cell>
          <cell r="C250" t="str">
            <v>SALES_EMRKT_MARINE</v>
          </cell>
        </row>
        <row r="251">
          <cell r="B251" t="str">
            <v>End market exposure as % of revenues - Not classified</v>
          </cell>
          <cell r="C251" t="str">
            <v>SALES_EMRKT_NC</v>
          </cell>
        </row>
        <row r="252">
          <cell r="B252" t="str">
            <v>End market exposure as % of revenues - Medical</v>
          </cell>
          <cell r="C252" t="str">
            <v>SALES_EMKT_MED</v>
          </cell>
          <cell r="X252">
            <v>0</v>
          </cell>
        </row>
        <row r="253">
          <cell r="B253" t="str">
            <v>End market exposure as % of revenues - Mining</v>
          </cell>
          <cell r="C253" t="str">
            <v>SALES_EMKT_MINING</v>
          </cell>
          <cell r="X253">
            <v>0</v>
          </cell>
          <cell r="AA253">
            <v>0.19</v>
          </cell>
          <cell r="AB253">
            <v>0.19</v>
          </cell>
          <cell r="AC253">
            <v>0</v>
          </cell>
          <cell r="AD253">
            <v>0</v>
          </cell>
          <cell r="AE253">
            <v>0</v>
          </cell>
          <cell r="AF253">
            <v>0</v>
          </cell>
          <cell r="AG253">
            <v>0.06</v>
          </cell>
          <cell r="AH253">
            <v>0</v>
          </cell>
          <cell r="AI253">
            <v>0</v>
          </cell>
          <cell r="AJ253">
            <v>0</v>
          </cell>
        </row>
        <row r="254">
          <cell r="B254" t="str">
            <v>End market exposure as % of revenues - Non-res construction</v>
          </cell>
          <cell r="C254" t="str">
            <v>SALES_EMKT_NRES_CONSRT</v>
          </cell>
          <cell r="X254">
            <v>0</v>
          </cell>
          <cell r="AA254">
            <v>0.19</v>
          </cell>
          <cell r="AB254">
            <v>0.17</v>
          </cell>
          <cell r="AC254">
            <v>0.11</v>
          </cell>
          <cell r="AD254">
            <v>0.13</v>
          </cell>
          <cell r="AE254">
            <v>0.12</v>
          </cell>
          <cell r="AF254">
            <v>0.11</v>
          </cell>
          <cell r="AG254">
            <v>0.11</v>
          </cell>
          <cell r="AH254">
            <v>0</v>
          </cell>
          <cell r="AI254">
            <v>0</v>
          </cell>
          <cell r="AJ254">
            <v>0</v>
          </cell>
        </row>
        <row r="255">
          <cell r="B255" t="str">
            <v>End market exposure as % of revenues - O&amp;G</v>
          </cell>
          <cell r="C255" t="str">
            <v>SALES_EMKT_OIL_GAS</v>
          </cell>
          <cell r="X255">
            <v>0</v>
          </cell>
          <cell r="AA255">
            <v>0.05</v>
          </cell>
          <cell r="AB255">
            <v>0.05</v>
          </cell>
          <cell r="AC255">
            <v>0.06</v>
          </cell>
          <cell r="AD255">
            <v>6.3333333332999994E-2</v>
          </cell>
          <cell r="AE255">
            <v>6.6666666666999996E-2</v>
          </cell>
          <cell r="AF255">
            <v>4.3333333332999997E-2</v>
          </cell>
          <cell r="AG255">
            <v>0.06</v>
          </cell>
          <cell r="AH255">
            <v>0</v>
          </cell>
          <cell r="AI255">
            <v>0</v>
          </cell>
          <cell r="AJ255">
            <v>0</v>
          </cell>
        </row>
        <row r="256">
          <cell r="B256" t="str">
            <v>End market exposure as % of revenues - Power Gen</v>
          </cell>
          <cell r="C256" t="str">
            <v>SALES_EMKT_PWR_GEN</v>
          </cell>
          <cell r="X256">
            <v>0</v>
          </cell>
        </row>
        <row r="257">
          <cell r="B257" t="str">
            <v>End market exposure as % of revenues - Pulp &amp; paper</v>
          </cell>
          <cell r="C257" t="str">
            <v>SALES_EMRKT_PULP</v>
          </cell>
        </row>
        <row r="258">
          <cell r="B258" t="str">
            <v>End market exposure as % of revenues - Rail</v>
          </cell>
          <cell r="C258" t="str">
            <v>SALES_EMKT_RAIL</v>
          </cell>
          <cell r="X258">
            <v>0</v>
          </cell>
        </row>
        <row r="259">
          <cell r="B259" t="str">
            <v>End market exposure as % of revenues - Res construction</v>
          </cell>
          <cell r="C259" t="str">
            <v>SALES_EMKT_RES_CONSRT</v>
          </cell>
          <cell r="X259">
            <v>0</v>
          </cell>
        </row>
        <row r="260">
          <cell r="B260" t="str">
            <v>End market exposure as % of revenues - T&amp;D</v>
          </cell>
          <cell r="C260" t="str">
            <v>SALES_EMKT_TRN_DIST</v>
          </cell>
          <cell r="X260">
            <v>0</v>
          </cell>
        </row>
        <row r="261">
          <cell r="B261" t="str">
            <v>End market exposure as % of revenues - Tech/telecom</v>
          </cell>
          <cell r="C261" t="str">
            <v>SALES_EMKT_TECH_TELCO</v>
          </cell>
          <cell r="X261">
            <v>0</v>
          </cell>
          <cell r="AA261">
            <v>0.1</v>
          </cell>
          <cell r="AB261">
            <v>0.08</v>
          </cell>
          <cell r="AC261">
            <v>0.17</v>
          </cell>
          <cell r="AD261">
            <v>0.15</v>
          </cell>
          <cell r="AE261">
            <v>0.16</v>
          </cell>
          <cell r="AF261">
            <v>0.19</v>
          </cell>
          <cell r="AG261">
            <v>0.24</v>
          </cell>
          <cell r="AH261">
            <v>0</v>
          </cell>
          <cell r="AI261">
            <v>0</v>
          </cell>
          <cell r="AJ261">
            <v>0</v>
          </cell>
        </row>
        <row r="262">
          <cell r="B262" t="str">
            <v>End market exposure as % of revenues - Vehicle</v>
          </cell>
          <cell r="C262" t="str">
            <v>SALES_EMKT_VHCLE</v>
          </cell>
          <cell r="X262">
            <v>0</v>
          </cell>
          <cell r="AA262">
            <v>7.4999999999999997E-2</v>
          </cell>
          <cell r="AB262">
            <v>0.13</v>
          </cell>
          <cell r="AC262">
            <v>0.12</v>
          </cell>
          <cell r="AD262">
            <v>0.11</v>
          </cell>
          <cell r="AE262">
            <v>0.1</v>
          </cell>
          <cell r="AF262">
            <v>0.1</v>
          </cell>
          <cell r="AG262">
            <v>0.09</v>
          </cell>
          <cell r="AH262">
            <v>0</v>
          </cell>
          <cell r="AI262">
            <v>0</v>
          </cell>
          <cell r="AJ262">
            <v>0</v>
          </cell>
        </row>
        <row r="263">
          <cell r="A263" t="str">
            <v>Geographical Breakdown</v>
          </cell>
        </row>
        <row r="264">
          <cell r="B264" t="str">
            <v>Sales - % Canada</v>
          </cell>
          <cell r="C264" t="str">
            <v>SALES_CANADA</v>
          </cell>
          <cell r="U264">
            <v>0</v>
          </cell>
          <cell r="Y264">
            <v>3.6161377345000002E-2</v>
          </cell>
          <cell r="Z264">
            <v>3.6161377345000002E-2</v>
          </cell>
          <cell r="AA264">
            <v>3.6161377345000002E-2</v>
          </cell>
          <cell r="AB264">
            <v>3.3226099313000003E-2</v>
          </cell>
          <cell r="AC264">
            <v>1.5774049294999998E-2</v>
          </cell>
          <cell r="AD264">
            <v>1.4617828718000001E-2</v>
          </cell>
          <cell r="AE264">
            <v>1.5661744863E-2</v>
          </cell>
          <cell r="AF264">
            <v>1.5661744863E-2</v>
          </cell>
          <cell r="AG264">
            <v>1.5661744863E-2</v>
          </cell>
          <cell r="AH264">
            <v>1.5661744863E-2</v>
          </cell>
          <cell r="AI264">
            <v>1.5661744863E-2</v>
          </cell>
          <cell r="AJ264">
            <v>1.5661744863E-2</v>
          </cell>
          <cell r="AK264">
            <v>1.5661744863E-2</v>
          </cell>
          <cell r="AL264">
            <v>1.5661744863E-2</v>
          </cell>
          <cell r="AM264">
            <v>1.5661744863E-2</v>
          </cell>
          <cell r="AN264">
            <v>1.5661744863E-2</v>
          </cell>
          <cell r="AO264">
            <v>1.5661744863E-2</v>
          </cell>
          <cell r="AP264">
            <v>1.5661744863E-2</v>
          </cell>
        </row>
        <row r="265">
          <cell r="B265" t="str">
            <v>Sales - % United States</v>
          </cell>
          <cell r="C265" t="str">
            <v>SALES_US</v>
          </cell>
          <cell r="Q265">
            <v>0.10424704369399999</v>
          </cell>
          <cell r="R265">
            <v>0.10424704369399999</v>
          </cell>
          <cell r="S265">
            <v>0.10424704369399999</v>
          </cell>
          <cell r="T265">
            <v>0.10424704369399999</v>
          </cell>
          <cell r="U265">
            <v>0.10424704369399999</v>
          </cell>
          <cell r="V265">
            <v>0.116450805009</v>
          </cell>
          <cell r="W265">
            <v>0.117003066389</v>
          </cell>
          <cell r="X265">
            <v>0.117003066389</v>
          </cell>
          <cell r="Y265">
            <v>0.18191830095100001</v>
          </cell>
          <cell r="Z265">
            <v>0.18191830095100001</v>
          </cell>
          <cell r="AA265">
            <v>0.18191830095100001</v>
          </cell>
          <cell r="AB265">
            <v>0.18124851977600001</v>
          </cell>
          <cell r="AC265">
            <v>0.20475906920299999</v>
          </cell>
          <cell r="AD265">
            <v>0.20482786825099999</v>
          </cell>
          <cell r="AE265">
            <v>0.21605497513399999</v>
          </cell>
          <cell r="AF265">
            <v>0.21605497513399999</v>
          </cell>
          <cell r="AG265">
            <v>0.2</v>
          </cell>
          <cell r="AH265">
            <v>0.2</v>
          </cell>
          <cell r="AI265">
            <v>0.2</v>
          </cell>
          <cell r="AJ265">
            <v>0.2</v>
          </cell>
          <cell r="AK265">
            <v>0.2</v>
          </cell>
          <cell r="AL265">
            <v>0.2</v>
          </cell>
          <cell r="AM265">
            <v>0.2</v>
          </cell>
          <cell r="AN265">
            <v>0.2</v>
          </cell>
          <cell r="AO265">
            <v>0.2</v>
          </cell>
          <cell r="AP265">
            <v>0.2</v>
          </cell>
        </row>
        <row r="266">
          <cell r="B266" t="str">
            <v>Sales - % Other North Americas</v>
          </cell>
          <cell r="C266" t="str">
            <v>SALES_OTH_NO_AMER</v>
          </cell>
          <cell r="Y266">
            <v>2.1920321704E-2</v>
          </cell>
          <cell r="Z266">
            <v>2.1920321704E-2</v>
          </cell>
          <cell r="AA266">
            <v>2.1920321704E-2</v>
          </cell>
          <cell r="AB266">
            <v>2.5525380911000001E-2</v>
          </cell>
          <cell r="AC266">
            <v>1.9466881501999999E-2</v>
          </cell>
          <cell r="AD266">
            <v>2.0554303031999999E-2</v>
          </cell>
          <cell r="AE266">
            <v>1.7598982228E-2</v>
          </cell>
          <cell r="AF266">
            <v>1.7598982228E-2</v>
          </cell>
          <cell r="AG266">
            <v>1.7499680411000001E-2</v>
          </cell>
          <cell r="AH266">
            <v>1.7499680411000001E-2</v>
          </cell>
          <cell r="AI266">
            <v>1.7499680411000001E-2</v>
          </cell>
          <cell r="AJ266">
            <v>1.7499680411000001E-2</v>
          </cell>
          <cell r="AK266">
            <v>1.7499680411000001E-2</v>
          </cell>
          <cell r="AL266">
            <v>1.7499680411000001E-2</v>
          </cell>
          <cell r="AM266">
            <v>1.7499680411000001E-2</v>
          </cell>
          <cell r="AN266">
            <v>1.7499680411000001E-2</v>
          </cell>
          <cell r="AO266">
            <v>1.7499680411000001E-2</v>
          </cell>
          <cell r="AP266">
            <v>1.7499680411000001E-2</v>
          </cell>
        </row>
        <row r="267">
          <cell r="B267" t="str">
            <v>Sales - % Argentina</v>
          </cell>
          <cell r="C267" t="str">
            <v>SALES_ARGENTINA</v>
          </cell>
        </row>
        <row r="268">
          <cell r="B268" t="str">
            <v>Sales - % Brazil</v>
          </cell>
          <cell r="C268" t="str">
            <v>SALES_BRAZIL</v>
          </cell>
          <cell r="Q268">
            <v>4.4321068975000003E-2</v>
          </cell>
          <cell r="R268">
            <v>4.4321068975000003E-2</v>
          </cell>
          <cell r="S268">
            <v>4.4321068975000003E-2</v>
          </cell>
          <cell r="T268">
            <v>4.4321068975000003E-2</v>
          </cell>
          <cell r="U268">
            <v>4.4321068975000003E-2</v>
          </cell>
          <cell r="V268">
            <v>5.7745974955000001E-2</v>
          </cell>
          <cell r="W268">
            <v>4.9160745292999998E-2</v>
          </cell>
          <cell r="X268">
            <v>4.9160745292999998E-2</v>
          </cell>
          <cell r="Y268">
            <v>2.7815666898999999E-2</v>
          </cell>
          <cell r="Z268">
            <v>2.7815666898999999E-2</v>
          </cell>
          <cell r="AA268">
            <v>2.7815666898999999E-2</v>
          </cell>
          <cell r="AB268">
            <v>2.3397410593999999E-2</v>
          </cell>
          <cell r="AC268">
            <v>2.3725291020000001E-2</v>
          </cell>
          <cell r="AD268">
            <v>2.3499680169E-2</v>
          </cell>
          <cell r="AE268">
            <v>2.4201010062000001E-2</v>
          </cell>
          <cell r="AF268">
            <v>2.4201010062000001E-2</v>
          </cell>
          <cell r="AG268">
            <v>2.4201010062000001E-2</v>
          </cell>
          <cell r="AH268">
            <v>2.4201010062000001E-2</v>
          </cell>
          <cell r="AI268">
            <v>2.4201010062000001E-2</v>
          </cell>
          <cell r="AJ268">
            <v>2.4201010062000001E-2</v>
          </cell>
          <cell r="AK268">
            <v>2.4201010062000001E-2</v>
          </cell>
          <cell r="AL268">
            <v>2.4201010062000001E-2</v>
          </cell>
          <cell r="AM268">
            <v>2.4201010062000001E-2</v>
          </cell>
          <cell r="AN268">
            <v>2.4201010062000001E-2</v>
          </cell>
          <cell r="AO268">
            <v>2.4201010062000001E-2</v>
          </cell>
          <cell r="AP268">
            <v>2.4201010062000001E-2</v>
          </cell>
        </row>
        <row r="269">
          <cell r="B269" t="str">
            <v>Sales - % Chile</v>
          </cell>
          <cell r="C269" t="str">
            <v>SALES_CHILE</v>
          </cell>
          <cell r="Y269">
            <v>2.2773887828000001E-2</v>
          </cell>
          <cell r="Z269">
            <v>2.2773887828000001E-2</v>
          </cell>
          <cell r="AA269">
            <v>2.2773887828000001E-2</v>
          </cell>
          <cell r="AB269">
            <v>1.9045551433000001E-2</v>
          </cell>
          <cell r="AC269">
            <v>5.3708828099999998E-3</v>
          </cell>
          <cell r="AD269">
            <v>5.2850686319999996E-3</v>
          </cell>
          <cell r="AE269">
            <v>5.7924361000000002E-3</v>
          </cell>
          <cell r="AF269">
            <v>5.7924361000000002E-3</v>
          </cell>
          <cell r="AG269">
            <v>5.7924361000000002E-3</v>
          </cell>
          <cell r="AH269">
            <v>5.7924361000000002E-3</v>
          </cell>
          <cell r="AI269">
            <v>5.7924361000000002E-3</v>
          </cell>
          <cell r="AJ269">
            <v>5.7924361000000002E-3</v>
          </cell>
          <cell r="AK269">
            <v>5.7924361000000002E-3</v>
          </cell>
          <cell r="AL269">
            <v>5.7924361000000002E-3</v>
          </cell>
          <cell r="AM269">
            <v>5.7924361000000002E-3</v>
          </cell>
          <cell r="AN269">
            <v>5.7924361000000002E-3</v>
          </cell>
          <cell r="AO269">
            <v>5.7924361000000002E-3</v>
          </cell>
          <cell r="AP269">
            <v>5.7924361000000002E-3</v>
          </cell>
        </row>
        <row r="270">
          <cell r="B270" t="str">
            <v>Sales - % Colombia</v>
          </cell>
          <cell r="C270" t="str">
            <v>SALES_COLOMBIA</v>
          </cell>
        </row>
        <row r="271">
          <cell r="B271" t="str">
            <v>Sales - % Mexico</v>
          </cell>
          <cell r="C271" t="str">
            <v>SALES_MEXICO</v>
          </cell>
        </row>
        <row r="272">
          <cell r="B272" t="str">
            <v>Sales - % Venezuela</v>
          </cell>
          <cell r="C272" t="str">
            <v>SALES_VENEZUELA</v>
          </cell>
        </row>
        <row r="273">
          <cell r="B273" t="str">
            <v>Sales - % Other Latin Americas</v>
          </cell>
          <cell r="C273" t="str">
            <v>SALES_OTH_LATAM</v>
          </cell>
          <cell r="Y273">
            <v>2.9410445273000001E-2</v>
          </cell>
          <cell r="Z273">
            <v>2.9410445273000001E-2</v>
          </cell>
          <cell r="AA273">
            <v>2.9410445273000001E-2</v>
          </cell>
          <cell r="AB273">
            <v>2.7557037973E-2</v>
          </cell>
          <cell r="AC273">
            <v>4.0903826169999997E-2</v>
          </cell>
          <cell r="AD273">
            <v>1.1215251198000001E-2</v>
          </cell>
          <cell r="AE273">
            <v>9.5319788740000008E-3</v>
          </cell>
          <cell r="AF273">
            <v>9.5319788740000008E-3</v>
          </cell>
          <cell r="AG273">
            <v>8.2530916340000007E-3</v>
          </cell>
          <cell r="AH273">
            <v>8.2530916340000007E-3</v>
          </cell>
          <cell r="AI273">
            <v>8.2530916340000007E-3</v>
          </cell>
          <cell r="AJ273">
            <v>8.2530916340000007E-3</v>
          </cell>
          <cell r="AK273">
            <v>8.2530916340000007E-3</v>
          </cell>
          <cell r="AL273">
            <v>8.2530916340000007E-3</v>
          </cell>
          <cell r="AM273">
            <v>8.2530916340000007E-3</v>
          </cell>
          <cell r="AN273">
            <v>8.2530916340000007E-3</v>
          </cell>
          <cell r="AO273">
            <v>8.2530916340000007E-3</v>
          </cell>
          <cell r="AP273">
            <v>8.2530916340000007E-3</v>
          </cell>
        </row>
        <row r="274">
          <cell r="B274" t="str">
            <v>Sales - % Austria</v>
          </cell>
          <cell r="C274" t="str">
            <v>SALES_AUSTRIA</v>
          </cell>
        </row>
        <row r="275">
          <cell r="B275" t="str">
            <v>Sales - % Belgium</v>
          </cell>
          <cell r="C275" t="str">
            <v>SALES_BEL</v>
          </cell>
          <cell r="Y275">
            <v>9.4167096079999998E-3</v>
          </cell>
          <cell r="Z275">
            <v>9.4167096079999998E-3</v>
          </cell>
          <cell r="AA275">
            <v>9.4167096079999998E-3</v>
          </cell>
          <cell r="AB275">
            <v>9.5227757159999996E-3</v>
          </cell>
          <cell r="AC275">
            <v>1.2668277932E-2</v>
          </cell>
          <cell r="AD275">
            <v>1.2289881819999999E-2</v>
          </cell>
          <cell r="AE275">
            <v>1.1170438336E-2</v>
          </cell>
          <cell r="AF275">
            <v>1.1170438336E-2</v>
          </cell>
          <cell r="AG275">
            <v>9.8005626079999998E-3</v>
          </cell>
          <cell r="AH275">
            <v>9.8005626079999998E-3</v>
          </cell>
          <cell r="AI275">
            <v>9.8005626079999998E-3</v>
          </cell>
          <cell r="AJ275">
            <v>9.8005626079999998E-3</v>
          </cell>
          <cell r="AK275">
            <v>9.8005626079999998E-3</v>
          </cell>
          <cell r="AL275">
            <v>9.8005626079999998E-3</v>
          </cell>
          <cell r="AM275">
            <v>9.8005626079999998E-3</v>
          </cell>
          <cell r="AN275">
            <v>9.8005626079999998E-3</v>
          </cell>
          <cell r="AO275">
            <v>9.8005626079999998E-3</v>
          </cell>
          <cell r="AP275">
            <v>9.8005626079999998E-3</v>
          </cell>
        </row>
        <row r="276">
          <cell r="B276" t="str">
            <v>Sales - % France</v>
          </cell>
          <cell r="C276" t="str">
            <v>SALES_FRA</v>
          </cell>
          <cell r="Y276">
            <v>2.7512553929000001E-2</v>
          </cell>
          <cell r="Z276">
            <v>2.7512553929000001E-2</v>
          </cell>
          <cell r="AA276">
            <v>2.7512553929000001E-2</v>
          </cell>
          <cell r="AB276">
            <v>3.0699850003999999E-2</v>
          </cell>
          <cell r="AC276">
            <v>3.5634639858999999E-2</v>
          </cell>
          <cell r="AD276">
            <v>3.4468294831000001E-2</v>
          </cell>
          <cell r="AE276">
            <v>3.4744978603999999E-2</v>
          </cell>
          <cell r="AF276">
            <v>3.4744978603999999E-2</v>
          </cell>
          <cell r="AG276">
            <v>2.9500865551E-2</v>
          </cell>
          <cell r="AH276">
            <v>2.9500865551E-2</v>
          </cell>
          <cell r="AI276">
            <v>2.9500865551E-2</v>
          </cell>
          <cell r="AJ276">
            <v>2.9500865551E-2</v>
          </cell>
          <cell r="AK276">
            <v>2.9500865551E-2</v>
          </cell>
          <cell r="AL276">
            <v>2.9500865551E-2</v>
          </cell>
          <cell r="AM276">
            <v>2.9500865551E-2</v>
          </cell>
          <cell r="AN276">
            <v>2.9500865551E-2</v>
          </cell>
          <cell r="AO276">
            <v>2.9500865551E-2</v>
          </cell>
          <cell r="AP276">
            <v>2.9500865551E-2</v>
          </cell>
        </row>
        <row r="277">
          <cell r="B277" t="str">
            <v>Sales - % Germany</v>
          </cell>
          <cell r="C277" t="str">
            <v>SALES_GER</v>
          </cell>
          <cell r="Y277">
            <v>4.3759409132E-2</v>
          </cell>
          <cell r="Z277">
            <v>4.3759409132E-2</v>
          </cell>
          <cell r="AA277">
            <v>4.3759409132E-2</v>
          </cell>
          <cell r="AB277">
            <v>4.7870450778E-2</v>
          </cell>
          <cell r="AC277">
            <v>6.2337268089000003E-2</v>
          </cell>
          <cell r="AD277">
            <v>6.2351226367000002E-2</v>
          </cell>
          <cell r="AE277">
            <v>6.0690466094000001E-2</v>
          </cell>
          <cell r="AF277">
            <v>6.0690466094000001E-2</v>
          </cell>
          <cell r="AG277">
            <v>5.8316503174000001E-2</v>
          </cell>
          <cell r="AH277">
            <v>5.8316503174000001E-2</v>
          </cell>
          <cell r="AI277">
            <v>5.8316503174000001E-2</v>
          </cell>
          <cell r="AJ277">
            <v>5.8316503174000001E-2</v>
          </cell>
          <cell r="AK277">
            <v>5.8316503174000001E-2</v>
          </cell>
          <cell r="AL277">
            <v>5.8316503174000001E-2</v>
          </cell>
          <cell r="AM277">
            <v>5.8316503174000001E-2</v>
          </cell>
          <cell r="AN277">
            <v>5.8316503174000001E-2</v>
          </cell>
          <cell r="AO277">
            <v>5.8316503174000001E-2</v>
          </cell>
          <cell r="AP277">
            <v>5.8316503174000001E-2</v>
          </cell>
        </row>
        <row r="278">
          <cell r="B278" t="str">
            <v>Sales - % Greece</v>
          </cell>
          <cell r="C278" t="str">
            <v>SALES_GRE</v>
          </cell>
        </row>
        <row r="279">
          <cell r="B279" t="str">
            <v>Sales - % Ireland</v>
          </cell>
          <cell r="C279" t="str">
            <v>SALES_IRE</v>
          </cell>
        </row>
        <row r="280">
          <cell r="B280" t="str">
            <v>Sales - % Italy</v>
          </cell>
          <cell r="C280" t="str">
            <v>SALES_ITA</v>
          </cell>
          <cell r="Y280">
            <v>2.0894587413000001E-2</v>
          </cell>
          <cell r="Z280">
            <v>2.0894587413000001E-2</v>
          </cell>
          <cell r="AA280">
            <v>2.0894587413000001E-2</v>
          </cell>
          <cell r="AB280">
            <v>2.235138549E-2</v>
          </cell>
          <cell r="AC280">
            <v>2.7181337350000001E-2</v>
          </cell>
          <cell r="AD280">
            <v>2.5534012142999999E-2</v>
          </cell>
          <cell r="AE280">
            <v>2.7391187016000001E-2</v>
          </cell>
          <cell r="AF280">
            <v>2.7391187016000001E-2</v>
          </cell>
          <cell r="AG280">
            <v>2.6642743797000001E-2</v>
          </cell>
          <cell r="AH280">
            <v>2.6642743797000001E-2</v>
          </cell>
          <cell r="AI280">
            <v>2.6642743797000001E-2</v>
          </cell>
          <cell r="AJ280">
            <v>2.6642743797000001E-2</v>
          </cell>
          <cell r="AK280">
            <v>2.6642743797000001E-2</v>
          </cell>
          <cell r="AL280">
            <v>2.6642743797000001E-2</v>
          </cell>
          <cell r="AM280">
            <v>2.6642743797000001E-2</v>
          </cell>
          <cell r="AN280">
            <v>2.6642743797000001E-2</v>
          </cell>
          <cell r="AO280">
            <v>2.6642743797000001E-2</v>
          </cell>
          <cell r="AP280">
            <v>2.6642743797000001E-2</v>
          </cell>
        </row>
        <row r="281">
          <cell r="B281" t="str">
            <v>Sales - % Netherlands</v>
          </cell>
          <cell r="C281" t="str">
            <v>SALES_NETH</v>
          </cell>
        </row>
        <row r="282">
          <cell r="B282" t="str">
            <v>Sales - % Norway</v>
          </cell>
          <cell r="C282" t="str">
            <v>SALES_NOR</v>
          </cell>
        </row>
        <row r="283">
          <cell r="B283" t="str">
            <v>Sales - % Portugal</v>
          </cell>
          <cell r="C283" t="str">
            <v>SALES_POR</v>
          </cell>
        </row>
        <row r="284">
          <cell r="B284" t="str">
            <v>Sales - % Spain</v>
          </cell>
          <cell r="C284" t="str">
            <v>SALES_SPA</v>
          </cell>
          <cell r="AA284">
            <v>0</v>
          </cell>
          <cell r="AB284">
            <v>0</v>
          </cell>
          <cell r="AC284">
            <v>0</v>
          </cell>
          <cell r="AD284">
            <v>0</v>
          </cell>
          <cell r="AE284">
            <v>0</v>
          </cell>
          <cell r="AF284">
            <v>0</v>
          </cell>
        </row>
        <row r="285">
          <cell r="B285" t="str">
            <v>Sales - % Sweden</v>
          </cell>
          <cell r="C285" t="str">
            <v>SALES_SWE</v>
          </cell>
          <cell r="Y285">
            <v>1.8661655199E-2</v>
          </cell>
          <cell r="Z285">
            <v>1.8661655199E-2</v>
          </cell>
          <cell r="AA285">
            <v>1.8661655199E-2</v>
          </cell>
          <cell r="AB285">
            <v>1.9292255466999999E-2</v>
          </cell>
          <cell r="AC285">
            <v>1.2341354630000001E-2</v>
          </cell>
          <cell r="AD285">
            <v>1.5247003554999999E-2</v>
          </cell>
          <cell r="AE285">
            <v>1.4302787309E-2</v>
          </cell>
          <cell r="AF285">
            <v>1.4302787309E-2</v>
          </cell>
          <cell r="AG285">
            <v>1.4047172533E-2</v>
          </cell>
          <cell r="AH285">
            <v>1.4047172533E-2</v>
          </cell>
          <cell r="AI285">
            <v>1.4047172533E-2</v>
          </cell>
          <cell r="AJ285">
            <v>1.4047172533E-2</v>
          </cell>
          <cell r="AK285">
            <v>1.4047172533E-2</v>
          </cell>
          <cell r="AL285">
            <v>1.4047172533E-2</v>
          </cell>
          <cell r="AM285">
            <v>1.4047172533E-2</v>
          </cell>
          <cell r="AN285">
            <v>1.4047172533E-2</v>
          </cell>
          <cell r="AO285">
            <v>1.4047172533E-2</v>
          </cell>
          <cell r="AP285">
            <v>1.4047172533E-2</v>
          </cell>
        </row>
        <row r="286">
          <cell r="B286" t="str">
            <v>Sales - % Switzerland</v>
          </cell>
          <cell r="C286" t="str">
            <v>SALES_SWIT</v>
          </cell>
        </row>
        <row r="287">
          <cell r="B287" t="str">
            <v>Sales - % UK</v>
          </cell>
          <cell r="C287" t="str">
            <v>SALES_UK</v>
          </cell>
          <cell r="Q287">
            <v>0</v>
          </cell>
          <cell r="R287">
            <v>0</v>
          </cell>
          <cell r="S287">
            <v>0</v>
          </cell>
          <cell r="T287">
            <v>0</v>
          </cell>
          <cell r="U287">
            <v>0</v>
          </cell>
          <cell r="V287">
            <v>0</v>
          </cell>
          <cell r="W287">
            <v>0</v>
          </cell>
          <cell r="X287">
            <v>0</v>
          </cell>
          <cell r="Y287">
            <v>3.3696058521000001E-2</v>
          </cell>
          <cell r="Z287">
            <v>3.3696058521000001E-2</v>
          </cell>
          <cell r="AA287">
            <v>3.3696058521000001E-2</v>
          </cell>
          <cell r="AB287">
            <v>2.5973000711000001E-2</v>
          </cell>
          <cell r="AC287">
            <v>2.8745898863999999E-2</v>
          </cell>
          <cell r="AD287">
            <v>2.7578830363999999E-2</v>
          </cell>
          <cell r="AE287">
            <v>2.5694899572E-2</v>
          </cell>
          <cell r="AF287">
            <v>2.5694899572E-2</v>
          </cell>
          <cell r="AG287">
            <v>2.5560804962E-2</v>
          </cell>
          <cell r="AH287">
            <v>2.5560804962E-2</v>
          </cell>
          <cell r="AI287">
            <v>2.5560804962E-2</v>
          </cell>
          <cell r="AJ287">
            <v>2.5560804962E-2</v>
          </cell>
          <cell r="AK287">
            <v>2.5560804962E-2</v>
          </cell>
          <cell r="AL287">
            <v>2.5560804962E-2</v>
          </cell>
          <cell r="AM287">
            <v>2.5560804962E-2</v>
          </cell>
          <cell r="AN287">
            <v>2.5560804962E-2</v>
          </cell>
          <cell r="AO287">
            <v>2.5560804962E-2</v>
          </cell>
          <cell r="AP287">
            <v>2.5560804962E-2</v>
          </cell>
        </row>
        <row r="288">
          <cell r="B288" t="str">
            <v>Sales - % Other Western Europe</v>
          </cell>
          <cell r="C288" t="str">
            <v>SALES_OTH_WEST_EURO</v>
          </cell>
          <cell r="Y288">
            <v>0.11272943125900001</v>
          </cell>
          <cell r="Z288">
            <v>0.11272943125900001</v>
          </cell>
          <cell r="AA288">
            <v>0.11272943125900001</v>
          </cell>
          <cell r="AB288">
            <v>0.118731743901</v>
          </cell>
          <cell r="AC288">
            <v>9.4850140693999996E-2</v>
          </cell>
          <cell r="AD288">
            <v>0.11742006857999999</v>
          </cell>
          <cell r="AE288">
            <v>0.11739080149599999</v>
          </cell>
          <cell r="AF288">
            <v>0.11739080149599999</v>
          </cell>
          <cell r="AG288">
            <v>0.12303447778399999</v>
          </cell>
          <cell r="AH288">
            <v>0.12303447778399999</v>
          </cell>
          <cell r="AI288">
            <v>0.12303447778399999</v>
          </cell>
          <cell r="AJ288">
            <v>0.12303447778399999</v>
          </cell>
          <cell r="AK288">
            <v>0.12303447778399999</v>
          </cell>
          <cell r="AL288">
            <v>0.12303447778399999</v>
          </cell>
          <cell r="AM288">
            <v>0.12303447778399999</v>
          </cell>
          <cell r="AN288">
            <v>0.12303447778399999</v>
          </cell>
          <cell r="AO288">
            <v>0.12303447778399999</v>
          </cell>
          <cell r="AP288">
            <v>0.12303447778399999</v>
          </cell>
        </row>
        <row r="289">
          <cell r="B289" t="str">
            <v>Sales - % Poland</v>
          </cell>
          <cell r="C289" t="str">
            <v>SALES_POLAND</v>
          </cell>
        </row>
        <row r="290">
          <cell r="B290" t="str">
            <v>Sales - % Russia</v>
          </cell>
          <cell r="C290" t="str">
            <v>SALES_RUSSIA</v>
          </cell>
          <cell r="Q290">
            <v>1.5914515856000001E-2</v>
          </cell>
          <cell r="R290">
            <v>1.5914515856000001E-2</v>
          </cell>
          <cell r="S290">
            <v>1.5914515856000001E-2</v>
          </cell>
          <cell r="T290">
            <v>1.5914515856000001E-2</v>
          </cell>
          <cell r="U290">
            <v>1.5914515856000001E-2</v>
          </cell>
          <cell r="V290">
            <v>3.2858676208000002E-2</v>
          </cell>
          <cell r="W290">
            <v>4.2202874277999999E-2</v>
          </cell>
          <cell r="X290">
            <v>4.2202874277999999E-2</v>
          </cell>
          <cell r="Y290">
            <v>2.332959494E-2</v>
          </cell>
          <cell r="Z290">
            <v>2.332959494E-2</v>
          </cell>
          <cell r="AA290">
            <v>2.332959494E-2</v>
          </cell>
          <cell r="AB290">
            <v>2.5558537932999999E-2</v>
          </cell>
          <cell r="AC290">
            <v>1.6241082582999999E-2</v>
          </cell>
          <cell r="AD290">
            <v>1.5110682340000001E-2</v>
          </cell>
          <cell r="AE290">
            <v>1.4919619106000001E-2</v>
          </cell>
          <cell r="AF290">
            <v>1.4919619106000001E-2</v>
          </cell>
          <cell r="AG290">
            <v>0</v>
          </cell>
          <cell r="AH290">
            <v>0</v>
          </cell>
          <cell r="AI290">
            <v>0</v>
          </cell>
          <cell r="AJ290">
            <v>0</v>
          </cell>
          <cell r="AK290">
            <v>0</v>
          </cell>
          <cell r="AL290">
            <v>0</v>
          </cell>
          <cell r="AM290">
            <v>0</v>
          </cell>
          <cell r="AN290">
            <v>0</v>
          </cell>
          <cell r="AO290">
            <v>0</v>
          </cell>
          <cell r="AP290">
            <v>0</v>
          </cell>
        </row>
        <row r="291">
          <cell r="B291" t="str">
            <v>Sales - % Turkey</v>
          </cell>
          <cell r="C291" t="str">
            <v>SALES_TURKEY</v>
          </cell>
        </row>
        <row r="292">
          <cell r="B292" t="str">
            <v>Sales - % Other CEE</v>
          </cell>
          <cell r="C292" t="str">
            <v>SALES_OTH_CEE</v>
          </cell>
          <cell r="Z292">
            <v>0</v>
          </cell>
          <cell r="AA292">
            <v>0</v>
          </cell>
          <cell r="AB292">
            <v>0</v>
          </cell>
          <cell r="AC292">
            <v>0</v>
          </cell>
          <cell r="AD292">
            <v>0</v>
          </cell>
          <cell r="AE292">
            <v>0</v>
          </cell>
          <cell r="AF292">
            <v>0</v>
          </cell>
        </row>
        <row r="293">
          <cell r="B293" t="str">
            <v>Sales - % Saudi Arabia</v>
          </cell>
          <cell r="C293" t="str">
            <v>SALES_SAUDI_ARABIA</v>
          </cell>
          <cell r="Y293">
            <v>7.8297111333000005E-2</v>
          </cell>
          <cell r="Z293">
            <v>7.8297111333000005E-2</v>
          </cell>
          <cell r="AA293">
            <v>7.8297111333000005E-2</v>
          </cell>
          <cell r="AB293">
            <v>7.1319570538000004E-2</v>
          </cell>
          <cell r="AC293">
            <v>7.3192989829999999E-2</v>
          </cell>
          <cell r="AD293">
            <v>5.3666306639000003E-2</v>
          </cell>
          <cell r="AE293">
            <v>4.777555033E-2</v>
          </cell>
          <cell r="AF293">
            <v>4.777555033E-2</v>
          </cell>
          <cell r="AG293">
            <v>4.777555033E-2</v>
          </cell>
          <cell r="AH293">
            <v>4.777555033E-2</v>
          </cell>
          <cell r="AI293">
            <v>4.777555033E-2</v>
          </cell>
          <cell r="AJ293">
            <v>4.777555033E-2</v>
          </cell>
          <cell r="AK293">
            <v>4.777555033E-2</v>
          </cell>
          <cell r="AL293">
            <v>4.777555033E-2</v>
          </cell>
          <cell r="AM293">
            <v>4.777555033E-2</v>
          </cell>
          <cell r="AN293">
            <v>4.777555033E-2</v>
          </cell>
          <cell r="AO293">
            <v>4.777555033E-2</v>
          </cell>
          <cell r="AP293">
            <v>4.777555033E-2</v>
          </cell>
        </row>
        <row r="294">
          <cell r="B294" t="str">
            <v>Sales - % United Arab Emirates</v>
          </cell>
          <cell r="C294" t="str">
            <v>SALES_UAE</v>
          </cell>
        </row>
        <row r="295">
          <cell r="B295" t="str">
            <v>Sales - % Other Middle East</v>
          </cell>
          <cell r="C295" t="str">
            <v>SALES_OTH_ME</v>
          </cell>
        </row>
        <row r="296">
          <cell r="B296" t="str">
            <v>Sales - % Nigeria</v>
          </cell>
          <cell r="C296" t="str">
            <v>SALES_NIGERIA</v>
          </cell>
          <cell r="AB296">
            <v>0</v>
          </cell>
          <cell r="AC296">
            <v>0</v>
          </cell>
          <cell r="AD296">
            <v>0</v>
          </cell>
          <cell r="AE296">
            <v>0</v>
          </cell>
          <cell r="AF296">
            <v>0</v>
          </cell>
        </row>
        <row r="297">
          <cell r="B297" t="str">
            <v>Sales - % South Africa</v>
          </cell>
          <cell r="C297" t="str">
            <v>SALES_SO_AFRICA</v>
          </cell>
          <cell r="Y297">
            <v>2.1702888667E-2</v>
          </cell>
          <cell r="Z297">
            <v>2.1702888667E-2</v>
          </cell>
          <cell r="AA297">
            <v>2.1702888667E-2</v>
          </cell>
          <cell r="AB297">
            <v>1.8680429461999999E-2</v>
          </cell>
          <cell r="AC297">
            <v>6.8070101699999998E-3</v>
          </cell>
          <cell r="AD297">
            <v>6.3336933610000003E-3</v>
          </cell>
          <cell r="AE297">
            <v>6.4670958790000004E-3</v>
          </cell>
          <cell r="AF297">
            <v>6.4670958790000004E-3</v>
          </cell>
          <cell r="AG297">
            <v>6.4014714370000001E-3</v>
          </cell>
          <cell r="AH297">
            <v>6.4014714370000001E-3</v>
          </cell>
          <cell r="AI297">
            <v>6.4014714370000001E-3</v>
          </cell>
          <cell r="AJ297">
            <v>6.4014714370000001E-3</v>
          </cell>
          <cell r="AK297">
            <v>6.4014714370000001E-3</v>
          </cell>
          <cell r="AL297">
            <v>6.4014714370000001E-3</v>
          </cell>
          <cell r="AM297">
            <v>6.4014714370000001E-3</v>
          </cell>
          <cell r="AN297">
            <v>6.4014714370000001E-3</v>
          </cell>
          <cell r="AO297">
            <v>6.4014714370000001E-3</v>
          </cell>
          <cell r="AP297">
            <v>6.4014714370000001E-3</v>
          </cell>
        </row>
        <row r="298">
          <cell r="B298" t="str">
            <v>Sales - % Other Africa</v>
          </cell>
          <cell r="C298" t="str">
            <v>SALES_OTH_AFRICA</v>
          </cell>
          <cell r="Z298">
            <v>0</v>
          </cell>
          <cell r="AA298">
            <v>0</v>
          </cell>
          <cell r="AB298">
            <v>0</v>
          </cell>
          <cell r="AC298">
            <v>0</v>
          </cell>
          <cell r="AD298">
            <v>0</v>
          </cell>
          <cell r="AE298">
            <v>0</v>
          </cell>
          <cell r="AF298">
            <v>0</v>
          </cell>
        </row>
        <row r="299">
          <cell r="B299" t="str">
            <v>Sales - % Hong Kong</v>
          </cell>
          <cell r="C299" t="str">
            <v>SALES_HONG_KONG</v>
          </cell>
        </row>
        <row r="300">
          <cell r="B300" t="str">
            <v>Sales - % Japan</v>
          </cell>
          <cell r="C300" t="str">
            <v>SALES_JAPAN</v>
          </cell>
          <cell r="Q300">
            <v>0</v>
          </cell>
          <cell r="R300">
            <v>0</v>
          </cell>
          <cell r="S300">
            <v>0</v>
          </cell>
          <cell r="T300">
            <v>0</v>
          </cell>
          <cell r="U300">
            <v>0</v>
          </cell>
          <cell r="V300">
            <v>0</v>
          </cell>
          <cell r="W300">
            <v>0</v>
          </cell>
          <cell r="X300">
            <v>0</v>
          </cell>
          <cell r="Y300">
            <v>0</v>
          </cell>
          <cell r="Z300">
            <v>0</v>
          </cell>
          <cell r="AA300">
            <v>2.0894587413000001E-2</v>
          </cell>
          <cell r="AB300">
            <v>2.2242835714999999E-2</v>
          </cell>
          <cell r="AC300">
            <v>2.6305649935000001E-2</v>
          </cell>
          <cell r="AD300">
            <v>2.8291895179E-2</v>
          </cell>
          <cell r="AE300">
            <v>2.8258606730999999E-2</v>
          </cell>
          <cell r="AF300">
            <v>2.8258606730999999E-2</v>
          </cell>
          <cell r="AG300">
            <v>2.2405150028999999E-2</v>
          </cell>
          <cell r="AH300">
            <v>2.2405150028999999E-2</v>
          </cell>
          <cell r="AI300">
            <v>2.2405150028999999E-2</v>
          </cell>
          <cell r="AJ300">
            <v>2.2405150028999999E-2</v>
          </cell>
          <cell r="AK300">
            <v>2.2405150028999999E-2</v>
          </cell>
          <cell r="AL300">
            <v>2.2405150028999999E-2</v>
          </cell>
          <cell r="AM300">
            <v>2.2405150028999999E-2</v>
          </cell>
          <cell r="AN300">
            <v>2.2405150028999999E-2</v>
          </cell>
          <cell r="AO300">
            <v>2.2405150028999999E-2</v>
          </cell>
          <cell r="AP300">
            <v>2.2405150028999999E-2</v>
          </cell>
        </row>
        <row r="301">
          <cell r="B301" t="str">
            <v>Sales - % Singapore</v>
          </cell>
          <cell r="C301" t="str">
            <v>SALES_SINGAPORE</v>
          </cell>
        </row>
        <row r="302">
          <cell r="B302" t="str">
            <v>Sales - % South Korea</v>
          </cell>
          <cell r="C302" t="str">
            <v>SALES_SK</v>
          </cell>
          <cell r="U302">
            <v>0</v>
          </cell>
          <cell r="V302">
            <v>0</v>
          </cell>
          <cell r="W302">
            <v>0</v>
          </cell>
          <cell r="X302">
            <v>0</v>
          </cell>
          <cell r="Y302">
            <v>0</v>
          </cell>
          <cell r="Z302">
            <v>0</v>
          </cell>
          <cell r="AA302">
            <v>2.7876289493E-2</v>
          </cell>
          <cell r="AB302">
            <v>3.8061498382E-2</v>
          </cell>
          <cell r="AC302">
            <v>6.5186171143999994E-2</v>
          </cell>
          <cell r="AD302">
            <v>4.9925023332000003E-2</v>
          </cell>
          <cell r="AE302">
            <v>4.1693974324000002E-2</v>
          </cell>
          <cell r="AF302">
            <v>4.1693974324000002E-2</v>
          </cell>
          <cell r="AG302">
            <v>4.1693974324000002E-2</v>
          </cell>
          <cell r="AH302">
            <v>4.1693974324000002E-2</v>
          </cell>
          <cell r="AI302">
            <v>4.1693974324000002E-2</v>
          </cell>
          <cell r="AJ302">
            <v>4.1693974324000002E-2</v>
          </cell>
          <cell r="AK302">
            <v>4.1693974324000002E-2</v>
          </cell>
          <cell r="AL302">
            <v>4.1693974324000002E-2</v>
          </cell>
          <cell r="AM302">
            <v>4.1693974324000002E-2</v>
          </cell>
          <cell r="AN302">
            <v>4.1693974324000002E-2</v>
          </cell>
          <cell r="AO302">
            <v>4.1693974324000002E-2</v>
          </cell>
          <cell r="AP302">
            <v>4.1693974324000002E-2</v>
          </cell>
        </row>
        <row r="303">
          <cell r="B303" t="str">
            <v>Sales - % Taiwan</v>
          </cell>
          <cell r="C303" t="str">
            <v>SALES_TAIWAN</v>
          </cell>
        </row>
        <row r="304">
          <cell r="B304" t="str">
            <v>Sales - % Other Developed Asia</v>
          </cell>
          <cell r="C304" t="str">
            <v>SALES_OTH_DEV_ASIA</v>
          </cell>
        </row>
        <row r="305">
          <cell r="B305" t="str">
            <v>Sales - % China</v>
          </cell>
          <cell r="C305" t="str">
            <v>SALES_CHINA</v>
          </cell>
          <cell r="Q305">
            <v>0.10658385872499999</v>
          </cell>
          <cell r="R305">
            <v>0.10658385872499999</v>
          </cell>
          <cell r="S305">
            <v>0.10658385872499999</v>
          </cell>
          <cell r="T305">
            <v>0.10658385872499999</v>
          </cell>
          <cell r="U305">
            <v>0.10658385872499999</v>
          </cell>
          <cell r="V305">
            <v>0.112057245081</v>
          </cell>
          <cell r="W305">
            <v>0.117310936788</v>
          </cell>
          <cell r="X305">
            <v>0.117310936788</v>
          </cell>
          <cell r="Y305">
            <v>0.122518262556</v>
          </cell>
          <cell r="Z305">
            <v>0.122518262556</v>
          </cell>
          <cell r="AA305">
            <v>0.122518262556</v>
          </cell>
          <cell r="AB305">
            <v>0.122947422436</v>
          </cell>
          <cell r="AC305">
            <v>0.16128994594099999</v>
          </cell>
          <cell r="AD305">
            <v>0.18191541792900001</v>
          </cell>
          <cell r="AE305">
            <v>0.18766143644700001</v>
          </cell>
          <cell r="AF305">
            <v>0.18766143644700001</v>
          </cell>
          <cell r="AG305">
            <v>0.23</v>
          </cell>
          <cell r="AH305">
            <v>0.23</v>
          </cell>
          <cell r="AI305">
            <v>0.23</v>
          </cell>
          <cell r="AJ305">
            <v>0.23</v>
          </cell>
          <cell r="AK305">
            <v>0.23</v>
          </cell>
          <cell r="AL305">
            <v>0.23</v>
          </cell>
          <cell r="AM305">
            <v>0.23</v>
          </cell>
          <cell r="AN305">
            <v>0.23</v>
          </cell>
          <cell r="AO305">
            <v>0.23</v>
          </cell>
          <cell r="AP305">
            <v>0.23</v>
          </cell>
        </row>
        <row r="306">
          <cell r="B306" t="str">
            <v>Sales - % India</v>
          </cell>
          <cell r="C306" t="str">
            <v>SALES_INDIA</v>
          </cell>
          <cell r="Q306">
            <v>3.8863272795999999E-2</v>
          </cell>
          <cell r="R306">
            <v>3.8863272795999999E-2</v>
          </cell>
          <cell r="S306">
            <v>3.8863272795999999E-2</v>
          </cell>
          <cell r="T306">
            <v>3.8863272795999999E-2</v>
          </cell>
          <cell r="U306">
            <v>3.8863272795999999E-2</v>
          </cell>
          <cell r="V306">
            <v>4.1302325580999999E-2</v>
          </cell>
          <cell r="W306">
            <v>3.7215373816E-2</v>
          </cell>
          <cell r="X306">
            <v>3.7215373816E-2</v>
          </cell>
          <cell r="Y306">
            <v>3.442352965E-2</v>
          </cell>
          <cell r="Z306">
            <v>3.442352965E-2</v>
          </cell>
          <cell r="AA306">
            <v>3.442352965E-2</v>
          </cell>
          <cell r="AB306">
            <v>3.8801610484E-2</v>
          </cell>
          <cell r="AC306">
            <v>3.7140822211999998E-2</v>
          </cell>
          <cell r="AD306">
            <v>3.3524532576E-2</v>
          </cell>
          <cell r="AE306">
            <v>3.9294113111999998E-2</v>
          </cell>
          <cell r="AF306">
            <v>3.9294113111999998E-2</v>
          </cell>
          <cell r="AG306">
            <v>3.9294113111999998E-2</v>
          </cell>
          <cell r="AH306">
            <v>3.9294113111999998E-2</v>
          </cell>
          <cell r="AI306">
            <v>3.9294113111999998E-2</v>
          </cell>
          <cell r="AJ306">
            <v>3.9294113111999998E-2</v>
          </cell>
          <cell r="AK306">
            <v>3.9294113111999998E-2</v>
          </cell>
          <cell r="AL306">
            <v>3.9294113111999998E-2</v>
          </cell>
          <cell r="AM306">
            <v>3.9294113111999998E-2</v>
          </cell>
          <cell r="AN306">
            <v>3.9294113111999998E-2</v>
          </cell>
          <cell r="AO306">
            <v>3.9294113111999998E-2</v>
          </cell>
          <cell r="AP306">
            <v>3.9294113111999998E-2</v>
          </cell>
        </row>
        <row r="307">
          <cell r="B307" t="str">
            <v>Sales - % Indonesia</v>
          </cell>
          <cell r="C307" t="str">
            <v>SALES_INDONESIA</v>
          </cell>
        </row>
        <row r="308">
          <cell r="B308" t="str">
            <v>Sales - % Thailand</v>
          </cell>
          <cell r="C308" t="str">
            <v>SALES_THAILAND</v>
          </cell>
        </row>
        <row r="309">
          <cell r="B309" t="str">
            <v>Sales - % Other Emerging Asia</v>
          </cell>
          <cell r="C309" t="str">
            <v>SALES_OTH_EMERG_ASIA</v>
          </cell>
          <cell r="Y309">
            <v>4.8742283248999999E-2</v>
          </cell>
          <cell r="Z309">
            <v>4.8742283248999999E-2</v>
          </cell>
          <cell r="AA309">
            <v>4.8742283248999999E-2</v>
          </cell>
          <cell r="AB309">
            <v>4.4740269993000001E-2</v>
          </cell>
          <cell r="AC309">
            <v>1.8728501873999999E-2</v>
          </cell>
          <cell r="AD309">
            <v>4.5143818882000003E-2</v>
          </cell>
          <cell r="AE309">
            <v>4.2898723929000002E-2</v>
          </cell>
          <cell r="AF309">
            <v>4.2898723929000002E-2</v>
          </cell>
          <cell r="AG309">
            <v>4.2898723929000002E-2</v>
          </cell>
          <cell r="AH309">
            <v>4.2898723929000002E-2</v>
          </cell>
          <cell r="AI309">
            <v>4.2898723929000002E-2</v>
          </cell>
          <cell r="AJ309">
            <v>4.2898723929000002E-2</v>
          </cell>
          <cell r="AK309">
            <v>4.2898723929000002E-2</v>
          </cell>
          <cell r="AL309">
            <v>4.2898723929000002E-2</v>
          </cell>
          <cell r="AM309">
            <v>4.2898723929000002E-2</v>
          </cell>
          <cell r="AN309">
            <v>4.2898723929000002E-2</v>
          </cell>
          <cell r="AO309">
            <v>4.2898723929000002E-2</v>
          </cell>
          <cell r="AP309">
            <v>4.2898723929000002E-2</v>
          </cell>
        </row>
        <row r="310">
          <cell r="B310" t="str">
            <v>Sales - % Australia</v>
          </cell>
          <cell r="C310" t="str">
            <v>SALES_AUSTRA</v>
          </cell>
          <cell r="Y310">
            <v>3.5545047639000002E-2</v>
          </cell>
          <cell r="Z310">
            <v>3.5545047639000002E-2</v>
          </cell>
          <cell r="AA310">
            <v>3.5545047639000002E-2</v>
          </cell>
          <cell r="AB310">
            <v>3.3206362990000002E-2</v>
          </cell>
          <cell r="AC310">
            <v>1.1348908893E-2</v>
          </cell>
          <cell r="AD310">
            <v>1.1199312102E-2</v>
          </cell>
          <cell r="AE310">
            <v>1.0804194456E-2</v>
          </cell>
          <cell r="AF310">
            <v>1.0804194456E-2</v>
          </cell>
          <cell r="AG310">
            <v>1.0804194456E-2</v>
          </cell>
          <cell r="AH310">
            <v>1.0804194456E-2</v>
          </cell>
          <cell r="AI310">
            <v>1.0804194456E-2</v>
          </cell>
          <cell r="AJ310">
            <v>1.0804194456E-2</v>
          </cell>
          <cell r="AK310">
            <v>1.0804194456E-2</v>
          </cell>
          <cell r="AL310">
            <v>1.0804194456E-2</v>
          </cell>
          <cell r="AM310">
            <v>1.0804194456E-2</v>
          </cell>
          <cell r="AN310">
            <v>1.0804194456E-2</v>
          </cell>
          <cell r="AO310">
            <v>1.0804194456E-2</v>
          </cell>
          <cell r="AP310">
            <v>1.0804194456E-2</v>
          </cell>
        </row>
        <row r="311">
          <cell r="B311" t="str">
            <v>Sales - % New Zealand</v>
          </cell>
          <cell r="C311" t="str">
            <v>SALES_NZ</v>
          </cell>
        </row>
        <row r="312">
          <cell r="B312" t="str">
            <v>Sales - % Others</v>
          </cell>
          <cell r="C312" t="str">
            <v>SALES_OTHER</v>
          </cell>
          <cell r="Q312">
            <v>0</v>
          </cell>
          <cell r="R312">
            <v>0</v>
          </cell>
          <cell r="S312">
            <v>0</v>
          </cell>
          <cell r="T312">
            <v>0</v>
          </cell>
          <cell r="U312">
            <v>0</v>
          </cell>
          <cell r="V312">
            <v>0</v>
          </cell>
          <cell r="W312">
            <v>0</v>
          </cell>
          <cell r="X312">
            <v>0</v>
          </cell>
          <cell r="Y312">
            <v>4.8770876906000002E-2</v>
          </cell>
          <cell r="Z312">
            <v>4.8770876906000002E-2</v>
          </cell>
          <cell r="AA312">
            <v>0</v>
          </cell>
          <cell r="AB312">
            <v>0</v>
          </cell>
          <cell r="AC312">
            <v>0</v>
          </cell>
          <cell r="AD312">
            <v>0</v>
          </cell>
          <cell r="AE312">
            <v>0</v>
          </cell>
          <cell r="AF312">
            <v>0</v>
          </cell>
          <cell r="AG312">
            <v>4.1572890399999999E-4</v>
          </cell>
          <cell r="AH312">
            <v>4.1572890399999999E-4</v>
          </cell>
          <cell r="AI312">
            <v>4.1572890399999999E-4</v>
          </cell>
          <cell r="AJ312">
            <v>4.1572890399999999E-4</v>
          </cell>
          <cell r="AK312">
            <v>4.1572890399999999E-4</v>
          </cell>
          <cell r="AL312">
            <v>4.1572890399999999E-4</v>
          </cell>
          <cell r="AM312">
            <v>4.1572890399999999E-4</v>
          </cell>
          <cell r="AN312">
            <v>4.1572890399999999E-4</v>
          </cell>
          <cell r="AO312">
            <v>4.1572890399999999E-4</v>
          </cell>
          <cell r="AP312">
            <v>4.1572890399999999E-4</v>
          </cell>
        </row>
        <row r="313">
          <cell r="B313" t="str">
            <v>% of CoGS from U.S. (GS estimate)</v>
          </cell>
          <cell r="C313" t="str">
            <v>COGS_PCT_US</v>
          </cell>
          <cell r="Z313">
            <v>0.13263929492599999</v>
          </cell>
          <cell r="AA313">
            <v>0.13263929492599999</v>
          </cell>
          <cell r="AB313">
            <v>0.13263929492599999</v>
          </cell>
          <cell r="AC313">
            <v>0.13263929492599999</v>
          </cell>
          <cell r="AD313">
            <v>0.13263929492599999</v>
          </cell>
          <cell r="AE313">
            <v>0.13263929492599999</v>
          </cell>
          <cell r="AF313">
            <v>0.13263929492599999</v>
          </cell>
        </row>
        <row r="314">
          <cell r="B314" t="str">
            <v>% of CoGS from non-U.S. (GS estimate)</v>
          </cell>
          <cell r="C314" t="str">
            <v>COGS_PCT_ROW</v>
          </cell>
          <cell r="Z314">
            <v>0.86736070507399998</v>
          </cell>
          <cell r="AA314">
            <v>0.86736070507399998</v>
          </cell>
          <cell r="AB314">
            <v>0.86736070507399998</v>
          </cell>
          <cell r="AC314">
            <v>0.86736070507399998</v>
          </cell>
          <cell r="AD314">
            <v>0.86736070507399998</v>
          </cell>
          <cell r="AE314">
            <v>0.86736070507399998</v>
          </cell>
          <cell r="AF314">
            <v>0.86736070507399998</v>
          </cell>
        </row>
        <row r="315">
          <cell r="B315" t="str">
            <v>% of SG&amp;A from U.S. (GS estimate)</v>
          </cell>
          <cell r="C315" t="str">
            <v>SGA_PCT_US</v>
          </cell>
          <cell r="Z315">
            <v>0.18118460077699999</v>
          </cell>
          <cell r="AA315">
            <v>0.18118460077699999</v>
          </cell>
          <cell r="AB315">
            <v>0.18118460077699999</v>
          </cell>
          <cell r="AC315">
            <v>0.18118460077699999</v>
          </cell>
          <cell r="AD315">
            <v>0.18118460077699999</v>
          </cell>
          <cell r="AE315">
            <v>0.18118460077699999</v>
          </cell>
          <cell r="AF315">
            <v>0.18118460077699999</v>
          </cell>
        </row>
        <row r="316">
          <cell r="B316" t="str">
            <v>% of SG&amp;A from non-U.S. (GS estimate)</v>
          </cell>
          <cell r="C316" t="str">
            <v>SGA_PCT_ROW</v>
          </cell>
          <cell r="Z316">
            <v>0.81881539922299995</v>
          </cell>
          <cell r="AA316">
            <v>0.81881539922299995</v>
          </cell>
          <cell r="AB316">
            <v>0.81881539922299995</v>
          </cell>
          <cell r="AC316">
            <v>0.81881539922299995</v>
          </cell>
          <cell r="AD316">
            <v>0.81881539922299995</v>
          </cell>
          <cell r="AE316">
            <v>0.81881539922299995</v>
          </cell>
          <cell r="AF316">
            <v>0.81881539922299995</v>
          </cell>
        </row>
        <row r="317">
          <cell r="B317" t="str">
            <v>Sales -% Consumer (C)</v>
          </cell>
          <cell r="C317" t="str">
            <v>SALES_CONS</v>
          </cell>
          <cell r="U317">
            <v>0.06</v>
          </cell>
          <cell r="V317">
            <v>0.06</v>
          </cell>
          <cell r="W317">
            <v>0.06</v>
          </cell>
          <cell r="X317">
            <v>0.06</v>
          </cell>
          <cell r="Y317">
            <v>0.06</v>
          </cell>
          <cell r="Z317">
            <v>0.06</v>
          </cell>
          <cell r="AA317">
            <v>0.06</v>
          </cell>
          <cell r="AB317">
            <v>0.06</v>
          </cell>
          <cell r="AC317">
            <v>0.06</v>
          </cell>
          <cell r="AD317">
            <v>0.06</v>
          </cell>
          <cell r="AE317">
            <v>0.06</v>
          </cell>
          <cell r="AF317">
            <v>0.06</v>
          </cell>
          <cell r="AG317">
            <v>0.06</v>
          </cell>
          <cell r="AH317">
            <v>0.06</v>
          </cell>
          <cell r="AI317">
            <v>0.06</v>
          </cell>
          <cell r="AJ317">
            <v>0.06</v>
          </cell>
          <cell r="AK317">
            <v>0.06</v>
          </cell>
          <cell r="AL317">
            <v>0.06</v>
          </cell>
          <cell r="AM317">
            <v>0.06</v>
          </cell>
          <cell r="AN317">
            <v>0.06</v>
          </cell>
          <cell r="AO317">
            <v>0.06</v>
          </cell>
          <cell r="AP317">
            <v>0.06</v>
          </cell>
        </row>
        <row r="318">
          <cell r="B318" t="str">
            <v>Sales -% Industry (I)</v>
          </cell>
          <cell r="C318" t="str">
            <v>SALES_IND</v>
          </cell>
          <cell r="U318">
            <v>0.94</v>
          </cell>
          <cell r="V318">
            <v>0.94</v>
          </cell>
          <cell r="W318">
            <v>0.94</v>
          </cell>
          <cell r="X318">
            <v>0.94</v>
          </cell>
          <cell r="Y318">
            <v>0.94</v>
          </cell>
          <cell r="Z318">
            <v>0.94</v>
          </cell>
          <cell r="AA318">
            <v>0.94</v>
          </cell>
          <cell r="AB318">
            <v>0.94</v>
          </cell>
          <cell r="AC318">
            <v>0.94</v>
          </cell>
          <cell r="AD318">
            <v>0.94</v>
          </cell>
          <cell r="AE318">
            <v>0.94</v>
          </cell>
          <cell r="AF318">
            <v>0.94</v>
          </cell>
          <cell r="AG318">
            <v>0.94</v>
          </cell>
          <cell r="AH318">
            <v>0.94</v>
          </cell>
          <cell r="AI318">
            <v>0.94</v>
          </cell>
          <cell r="AJ318">
            <v>0.94</v>
          </cell>
          <cell r="AK318">
            <v>0.94</v>
          </cell>
          <cell r="AL318">
            <v>0.94</v>
          </cell>
          <cell r="AM318">
            <v>0.94</v>
          </cell>
          <cell r="AN318">
            <v>0.94</v>
          </cell>
          <cell r="AO318">
            <v>0.94</v>
          </cell>
          <cell r="AP318">
            <v>0.94</v>
          </cell>
        </row>
        <row r="319">
          <cell r="B319" t="str">
            <v>Sales -% Government (G)</v>
          </cell>
          <cell r="C319" t="str">
            <v>SALES_GOV</v>
          </cell>
          <cell r="U319">
            <v>0</v>
          </cell>
          <cell r="V319">
            <v>0</v>
          </cell>
          <cell r="W319">
            <v>0</v>
          </cell>
          <cell r="X319">
            <v>0</v>
          </cell>
          <cell r="Y319">
            <v>0</v>
          </cell>
          <cell r="Z319">
            <v>0</v>
          </cell>
          <cell r="AA319">
            <v>0</v>
          </cell>
          <cell r="AB319">
            <v>0</v>
          </cell>
          <cell r="AC319">
            <v>0</v>
          </cell>
          <cell r="AD319">
            <v>0</v>
          </cell>
          <cell r="AE319">
            <v>0</v>
          </cell>
          <cell r="AF319">
            <v>0</v>
          </cell>
        </row>
        <row r="320">
          <cell r="B320" t="str">
            <v>Sales - % Industry Sub-Segment: Financial Services</v>
          </cell>
          <cell r="C320" t="str">
            <v>SALES_FINAN</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cell r="X323">
            <v>0</v>
          </cell>
        </row>
        <row r="324">
          <cell r="B324" t="str">
            <v>Sales - % Oil derivatives/NGLs/plastics</v>
          </cell>
          <cell r="C324" t="str">
            <v>SALES_OIL_DERIV_NGLS_PLASTICS</v>
          </cell>
          <cell r="X324">
            <v>0</v>
          </cell>
        </row>
        <row r="325">
          <cell r="B325" t="str">
            <v>Sales - % Nat Gas</v>
          </cell>
          <cell r="C325" t="str">
            <v>SALES_NAT_GAS</v>
          </cell>
          <cell r="X325">
            <v>0</v>
          </cell>
        </row>
        <row r="326">
          <cell r="B326" t="str">
            <v>Sales - % Gold</v>
          </cell>
          <cell r="C326" t="str">
            <v>SALES_GOLD</v>
          </cell>
          <cell r="X326">
            <v>8.3699999999999997E-2</v>
          </cell>
        </row>
        <row r="327">
          <cell r="B327" t="str">
            <v>Sales - % Copper</v>
          </cell>
          <cell r="C327" t="str">
            <v>SALES_COPPER</v>
          </cell>
          <cell r="X327">
            <v>4.3200000000000002E-2</v>
          </cell>
        </row>
        <row r="328">
          <cell r="B328" t="str">
            <v>Sales - % Silver</v>
          </cell>
          <cell r="C328" t="str">
            <v>SALES_SILVER</v>
          </cell>
          <cell r="X328">
            <v>0</v>
          </cell>
        </row>
        <row r="329">
          <cell r="B329" t="str">
            <v>Sales - % Platinum</v>
          </cell>
          <cell r="C329" t="str">
            <v>SALES_PLATINUM</v>
          </cell>
          <cell r="X329">
            <v>1.35E-2</v>
          </cell>
        </row>
        <row r="330">
          <cell r="B330" t="str">
            <v>Sales - % Palladium</v>
          </cell>
          <cell r="C330" t="str">
            <v>SALES_PALLADIUM</v>
          </cell>
          <cell r="X330">
            <v>0</v>
          </cell>
        </row>
        <row r="331">
          <cell r="B331" t="str">
            <v>Sales - % Aluminium</v>
          </cell>
          <cell r="C331" t="str">
            <v>SALES_ALUMINIUM</v>
          </cell>
          <cell r="X331">
            <v>0</v>
          </cell>
        </row>
        <row r="332">
          <cell r="B332" t="str">
            <v>Sales - % Nickel</v>
          </cell>
          <cell r="C332" t="str">
            <v>SALES_NICKEL</v>
          </cell>
          <cell r="X332">
            <v>1.35E-2</v>
          </cell>
        </row>
        <row r="333">
          <cell r="B333" t="str">
            <v>Sales - % Zinc</v>
          </cell>
          <cell r="C333" t="str">
            <v>SALES_ZINC</v>
          </cell>
          <cell r="X333">
            <v>1.6199999999999999E-2</v>
          </cell>
        </row>
        <row r="334">
          <cell r="B334" t="str">
            <v>Sales - % Steel</v>
          </cell>
          <cell r="C334" t="str">
            <v>SALES_STEEL</v>
          </cell>
          <cell r="X334">
            <v>0</v>
          </cell>
        </row>
        <row r="335">
          <cell r="B335" t="str">
            <v>Sales - % Tin</v>
          </cell>
          <cell r="C335" t="str">
            <v>SALES_TIN</v>
          </cell>
          <cell r="X335">
            <v>0</v>
          </cell>
        </row>
        <row r="336">
          <cell r="B336" t="str">
            <v>Sales - % Iron Ore</v>
          </cell>
          <cell r="C336" t="str">
            <v>SALES_IRON_ORE</v>
          </cell>
          <cell r="X336">
            <v>3.78E-2</v>
          </cell>
        </row>
        <row r="337">
          <cell r="B337" t="str">
            <v>Sales - % Ferrochrome</v>
          </cell>
          <cell r="C337" t="str">
            <v>SALES_FERROCHROME</v>
          </cell>
          <cell r="X337">
            <v>0</v>
          </cell>
        </row>
        <row r="338">
          <cell r="B338" t="str">
            <v>Sales - % Diamonds</v>
          </cell>
          <cell r="C338" t="str">
            <v>SALES_DIAMONDS</v>
          </cell>
          <cell r="X338">
            <v>0</v>
          </cell>
        </row>
        <row r="339">
          <cell r="B339" t="str">
            <v>Sales - % Coal: thermal</v>
          </cell>
          <cell r="C339" t="str">
            <v>SALES_COAL_THERMAL</v>
          </cell>
          <cell r="X339">
            <v>1.6199999999999999E-2</v>
          </cell>
        </row>
        <row r="340">
          <cell r="B340" t="str">
            <v>Sales - % Coal: Metallurgical</v>
          </cell>
          <cell r="C340" t="str">
            <v>SALES_COAL_MET</v>
          </cell>
          <cell r="X340">
            <v>1.6199999999999999E-2</v>
          </cell>
        </row>
        <row r="341">
          <cell r="B341" t="str">
            <v>Sales - % Paper/pulp</v>
          </cell>
          <cell r="C341" t="str">
            <v>SALES_PAPER_PULP</v>
          </cell>
          <cell r="X341">
            <v>0</v>
          </cell>
        </row>
        <row r="342">
          <cell r="B342" t="str">
            <v>Sales - % Glass</v>
          </cell>
          <cell r="C342" t="str">
            <v>SALES_GLASS</v>
          </cell>
          <cell r="X342">
            <v>0</v>
          </cell>
        </row>
        <row r="343">
          <cell r="B343" t="str">
            <v>Sales - % Cement</v>
          </cell>
          <cell r="C343" t="str">
            <v>SALES_CEMENT</v>
          </cell>
          <cell r="X343">
            <v>0</v>
          </cell>
        </row>
        <row r="344">
          <cell r="B344" t="str">
            <v>Sales - % Palm oil</v>
          </cell>
          <cell r="C344" t="str">
            <v>SALES_PALM_OIL</v>
          </cell>
          <cell r="X344">
            <v>0</v>
          </cell>
        </row>
        <row r="345">
          <cell r="B345" t="str">
            <v>Sales - % Other commodity</v>
          </cell>
          <cell r="C345" t="str">
            <v>SALES_OTH_COMMODITY</v>
          </cell>
          <cell r="X345">
            <v>2.9700000000000001E-2</v>
          </cell>
        </row>
        <row r="346">
          <cell r="B346" t="str">
            <v>Sales - % Other (Non-Commodity) sales sources</v>
          </cell>
          <cell r="C346" t="str">
            <v>SALES_OTH_SALES_SOURCES</v>
          </cell>
          <cell r="X346">
            <v>0</v>
          </cell>
        </row>
        <row r="347">
          <cell r="A347" t="str">
            <v>Commodities Exposure - Expense</v>
          </cell>
        </row>
        <row r="348">
          <cell r="B348" t="str">
            <v>Expense - % Oil/Petrol/Fuel</v>
          </cell>
          <cell r="C348" t="str">
            <v>EXP_OIL_PETRO_FUEL</v>
          </cell>
          <cell r="X348">
            <v>0</v>
          </cell>
          <cell r="Y348">
            <v>0.05</v>
          </cell>
          <cell r="Z348">
            <v>0.05</v>
          </cell>
          <cell r="AA348">
            <v>0.05</v>
          </cell>
          <cell r="AB348">
            <v>0.05</v>
          </cell>
          <cell r="AC348">
            <v>0.05</v>
          </cell>
          <cell r="AD348">
            <v>0.05</v>
          </cell>
          <cell r="AE348">
            <v>0.05</v>
          </cell>
          <cell r="AF348">
            <v>0.05</v>
          </cell>
          <cell r="AG348">
            <v>0.05</v>
          </cell>
          <cell r="AH348">
            <v>0.05</v>
          </cell>
          <cell r="AI348">
            <v>0.05</v>
          </cell>
          <cell r="AJ348">
            <v>0.05</v>
          </cell>
          <cell r="AK348">
            <v>0.05</v>
          </cell>
          <cell r="AL348">
            <v>0.05</v>
          </cell>
          <cell r="AM348">
            <v>0.05</v>
          </cell>
          <cell r="AN348">
            <v>0.05</v>
          </cell>
          <cell r="AO348">
            <v>0.05</v>
          </cell>
          <cell r="AP348">
            <v>0.05</v>
          </cell>
        </row>
        <row r="349">
          <cell r="B349" t="str">
            <v>Expense - % Oil derivatives/NGLs/plastics</v>
          </cell>
          <cell r="C349" t="str">
            <v>EXP_OIL_DERIV_NGLS_PLASTICS</v>
          </cell>
          <cell r="X349">
            <v>0</v>
          </cell>
          <cell r="Y349">
            <v>0.05</v>
          </cell>
          <cell r="Z349">
            <v>0.05</v>
          </cell>
          <cell r="AA349">
            <v>0.05</v>
          </cell>
          <cell r="AB349">
            <v>0.05</v>
          </cell>
          <cell r="AC349">
            <v>0.05</v>
          </cell>
          <cell r="AD349">
            <v>0.05</v>
          </cell>
          <cell r="AE349">
            <v>0.05</v>
          </cell>
          <cell r="AF349">
            <v>0.05</v>
          </cell>
          <cell r="AG349">
            <v>0.05</v>
          </cell>
          <cell r="AH349">
            <v>0.05</v>
          </cell>
          <cell r="AI349">
            <v>0.05</v>
          </cell>
          <cell r="AJ349">
            <v>0.05</v>
          </cell>
          <cell r="AK349">
            <v>0.05</v>
          </cell>
          <cell r="AL349">
            <v>0.05</v>
          </cell>
          <cell r="AM349">
            <v>0.05</v>
          </cell>
          <cell r="AN349">
            <v>0.05</v>
          </cell>
          <cell r="AO349">
            <v>0.05</v>
          </cell>
          <cell r="AP349">
            <v>0.05</v>
          </cell>
        </row>
        <row r="350">
          <cell r="B350" t="str">
            <v>Expense - % Nat Gas</v>
          </cell>
          <cell r="C350" t="str">
            <v>EXP_NAT_GAS</v>
          </cell>
          <cell r="X350">
            <v>0</v>
          </cell>
        </row>
        <row r="351">
          <cell r="B351" t="str">
            <v>Expense - % Gold</v>
          </cell>
          <cell r="C351" t="str">
            <v>EXP_GOLD</v>
          </cell>
          <cell r="X351">
            <v>0</v>
          </cell>
        </row>
        <row r="352">
          <cell r="B352" t="str">
            <v>Expense - % Copper</v>
          </cell>
          <cell r="C352" t="str">
            <v>EXP_COPPER</v>
          </cell>
          <cell r="X352">
            <v>0</v>
          </cell>
        </row>
        <row r="353">
          <cell r="B353" t="str">
            <v>Expense - % Silver</v>
          </cell>
          <cell r="C353" t="str">
            <v>EXP_SILVER</v>
          </cell>
          <cell r="X353">
            <v>0</v>
          </cell>
        </row>
        <row r="354">
          <cell r="B354" t="str">
            <v>Expense - % Platinum</v>
          </cell>
          <cell r="C354" t="str">
            <v>EXP_PLATINUM</v>
          </cell>
          <cell r="X354">
            <v>0</v>
          </cell>
        </row>
        <row r="355">
          <cell r="B355" t="str">
            <v>Expense - % Palladium</v>
          </cell>
          <cell r="C355" t="str">
            <v>EXP_PALLADIUM</v>
          </cell>
          <cell r="X355">
            <v>0</v>
          </cell>
        </row>
        <row r="356">
          <cell r="B356" t="str">
            <v>Expense - % Aluminium</v>
          </cell>
          <cell r="C356" t="str">
            <v>EXP_ALUMINIUM</v>
          </cell>
          <cell r="X356">
            <v>0</v>
          </cell>
        </row>
        <row r="357">
          <cell r="B357" t="str">
            <v>Expense - % Nickel</v>
          </cell>
          <cell r="C357" t="str">
            <v>EXP_NICKEL</v>
          </cell>
          <cell r="X357">
            <v>0</v>
          </cell>
        </row>
        <row r="358">
          <cell r="B358" t="str">
            <v>Expense - % Zinc</v>
          </cell>
          <cell r="C358" t="str">
            <v>EXP_ZINC</v>
          </cell>
          <cell r="X358">
            <v>0</v>
          </cell>
        </row>
        <row r="359">
          <cell r="B359" t="str">
            <v>Expense - % Steel</v>
          </cell>
          <cell r="C359" t="str">
            <v>EXP_STEEL</v>
          </cell>
          <cell r="X359">
            <v>0</v>
          </cell>
        </row>
        <row r="360">
          <cell r="B360" t="str">
            <v>Expense - % Tin</v>
          </cell>
          <cell r="C360" t="str">
            <v>EXP_TIN</v>
          </cell>
          <cell r="X360">
            <v>0</v>
          </cell>
        </row>
        <row r="361">
          <cell r="B361" t="str">
            <v>Expense - % Iron Ore</v>
          </cell>
          <cell r="C361" t="str">
            <v>EXP_IRON_ORE</v>
          </cell>
          <cell r="X361">
            <v>0</v>
          </cell>
        </row>
        <row r="362">
          <cell r="B362" t="str">
            <v>Expense - % Ferrochrome</v>
          </cell>
          <cell r="C362" t="str">
            <v>EXP_FERROCHROME</v>
          </cell>
          <cell r="X362">
            <v>0</v>
          </cell>
        </row>
        <row r="363">
          <cell r="B363" t="str">
            <v>Expense - % Diamonds</v>
          </cell>
          <cell r="C363" t="str">
            <v>EXP_DIAMONDS</v>
          </cell>
          <cell r="X363">
            <v>0</v>
          </cell>
        </row>
        <row r="364">
          <cell r="B364" t="str">
            <v>Expense - % Paper/pulp</v>
          </cell>
          <cell r="C364" t="str">
            <v>EXP_PAPER_PULP</v>
          </cell>
          <cell r="X364">
            <v>0</v>
          </cell>
        </row>
        <row r="365">
          <cell r="B365" t="str">
            <v>Expense - % Lumber</v>
          </cell>
          <cell r="C365" t="str">
            <v>EXP_LUMBER</v>
          </cell>
          <cell r="X365">
            <v>0</v>
          </cell>
        </row>
        <row r="366">
          <cell r="B366" t="str">
            <v>Expense - % Glass</v>
          </cell>
          <cell r="C366" t="str">
            <v>EXP_GLASS</v>
          </cell>
          <cell r="X366">
            <v>0</v>
          </cell>
        </row>
        <row r="367">
          <cell r="B367" t="str">
            <v>Expense - % Cement</v>
          </cell>
          <cell r="C367" t="str">
            <v>EXP_CEMENT</v>
          </cell>
          <cell r="X367">
            <v>0</v>
          </cell>
        </row>
        <row r="368">
          <cell r="B368" t="str">
            <v>Expense - % Rubber</v>
          </cell>
          <cell r="C368" t="str">
            <v>EXP_RUBBER</v>
          </cell>
          <cell r="X368">
            <v>0</v>
          </cell>
        </row>
        <row r="369">
          <cell r="B369" t="str">
            <v>Expense - % Water</v>
          </cell>
          <cell r="C369" t="str">
            <v>EXP_WATER</v>
          </cell>
          <cell r="X369">
            <v>0</v>
          </cell>
        </row>
        <row r="370">
          <cell r="B370" t="str">
            <v>Expense - % Other commodity</v>
          </cell>
          <cell r="C370" t="str">
            <v>EXP_OTH_COMMODITY</v>
          </cell>
          <cell r="X370">
            <v>0</v>
          </cell>
        </row>
        <row r="371">
          <cell r="B371" t="str">
            <v>Expense - % Other (Non-Commodity) cost</v>
          </cell>
          <cell r="C371" t="str">
            <v>EXP_OTH_COST</v>
          </cell>
          <cell r="X371">
            <v>0</v>
          </cell>
        </row>
        <row r="372">
          <cell r="A372" t="str">
            <v>FX Exposure - Sales</v>
          </cell>
        </row>
        <row r="373">
          <cell r="B373" t="str">
            <v>Sales - % FX: British Pounds/Pence</v>
          </cell>
          <cell r="C373" t="str">
            <v>SALES_FX_GPB</v>
          </cell>
          <cell r="X373">
            <v>0</v>
          </cell>
          <cell r="Y373">
            <v>3.3696058521000001E-2</v>
          </cell>
          <cell r="Z373">
            <v>3.3696058521000001E-2</v>
          </cell>
          <cell r="AA373">
            <v>3.3696058521000001E-2</v>
          </cell>
          <cell r="AB373">
            <v>2.5973000711000001E-2</v>
          </cell>
          <cell r="AC373">
            <v>2.8745898863999999E-2</v>
          </cell>
          <cell r="AD373">
            <v>2.7578830363999999E-2</v>
          </cell>
          <cell r="AE373">
            <v>2.5694899572E-2</v>
          </cell>
          <cell r="AF373">
            <v>2.5694899572E-2</v>
          </cell>
          <cell r="AG373">
            <v>2.5560804962E-2</v>
          </cell>
          <cell r="AH373">
            <v>2.5560804962E-2</v>
          </cell>
          <cell r="AI373">
            <v>2.5560804962E-2</v>
          </cell>
          <cell r="AJ373">
            <v>2.5560804962E-2</v>
          </cell>
          <cell r="AK373">
            <v>2.5560804962E-2</v>
          </cell>
          <cell r="AL373">
            <v>2.5560804962E-2</v>
          </cell>
          <cell r="AM373">
            <v>2.5560804962E-2</v>
          </cell>
          <cell r="AN373">
            <v>2.5560804962E-2</v>
          </cell>
          <cell r="AO373">
            <v>2.5560804962E-2</v>
          </cell>
          <cell r="AP373">
            <v>2.5560804962E-2</v>
          </cell>
        </row>
        <row r="374">
          <cell r="B374" t="str">
            <v>Sales - % FX: Euro</v>
          </cell>
          <cell r="C374" t="str">
            <v>SALES_FX_EUR</v>
          </cell>
          <cell r="X374">
            <v>0.24066586209900001</v>
          </cell>
          <cell r="Y374">
            <v>0.382847428032</v>
          </cell>
          <cell r="Z374">
            <v>0.26114662150899998</v>
          </cell>
          <cell r="AA374">
            <v>0.26099565357999999</v>
          </cell>
          <cell r="AB374">
            <v>0.26099565357999999</v>
          </cell>
          <cell r="AC374">
            <v>0.26099565357999999</v>
          </cell>
          <cell r="AD374">
            <v>0.26099565357999999</v>
          </cell>
          <cell r="AE374">
            <v>0.26099565357999999</v>
          </cell>
          <cell r="AF374">
            <v>0.26099565357999999</v>
          </cell>
          <cell r="AG374">
            <v>0.26099565357999999</v>
          </cell>
          <cell r="AH374">
            <v>0.26099565357999999</v>
          </cell>
          <cell r="AI374">
            <v>0.26099565357999999</v>
          </cell>
          <cell r="AJ374">
            <v>0.26099565357999999</v>
          </cell>
          <cell r="AK374">
            <v>0.26099565357999999</v>
          </cell>
          <cell r="AL374">
            <v>0.26099565357999999</v>
          </cell>
          <cell r="AM374">
            <v>0.26099565357999999</v>
          </cell>
          <cell r="AN374">
            <v>0.26099565357999999</v>
          </cell>
          <cell r="AO374">
            <v>0.26099565357999999</v>
          </cell>
          <cell r="AP374">
            <v>0.26099565357999999</v>
          </cell>
        </row>
        <row r="375">
          <cell r="B375" t="str">
            <v>Sales - % FX: New Russian Ruble</v>
          </cell>
          <cell r="C375" t="str">
            <v>SALES_FX_RUB</v>
          </cell>
          <cell r="X375">
            <v>4.2202874277999999E-2</v>
          </cell>
          <cell r="Y375">
            <v>2.332959494E-2</v>
          </cell>
          <cell r="Z375">
            <v>2.332959494E-2</v>
          </cell>
          <cell r="AA375">
            <v>2.332959494E-2</v>
          </cell>
          <cell r="AB375">
            <v>2.5558537932999999E-2</v>
          </cell>
          <cell r="AC375">
            <v>1.6241082582999999E-2</v>
          </cell>
          <cell r="AD375">
            <v>1.5110682340000001E-2</v>
          </cell>
          <cell r="AE375">
            <v>1.4919619106000001E-2</v>
          </cell>
          <cell r="AF375">
            <v>1.4919619106000001E-2</v>
          </cell>
          <cell r="AG375">
            <v>0</v>
          </cell>
          <cell r="AH375">
            <v>0</v>
          </cell>
          <cell r="AI375">
            <v>0</v>
          </cell>
          <cell r="AJ375">
            <v>0</v>
          </cell>
          <cell r="AK375">
            <v>0</v>
          </cell>
          <cell r="AL375">
            <v>0</v>
          </cell>
          <cell r="AM375">
            <v>0</v>
          </cell>
          <cell r="AN375">
            <v>0</v>
          </cell>
          <cell r="AO375">
            <v>0</v>
          </cell>
          <cell r="AP375">
            <v>0</v>
          </cell>
        </row>
        <row r="376">
          <cell r="B376" t="str">
            <v>Sales - % FX: U.S. Dollar</v>
          </cell>
          <cell r="C376" t="str">
            <v>SALES_FX_USD</v>
          </cell>
          <cell r="X376">
            <v>0.41589596443499999</v>
          </cell>
          <cell r="Y376">
            <v>0.462864473449</v>
          </cell>
          <cell r="Z376">
            <v>0.42759913806099997</v>
          </cell>
          <cell r="AA376">
            <v>0.42255844422400002</v>
          </cell>
          <cell r="AB376">
            <v>0.42188866304900002</v>
          </cell>
          <cell r="AC376">
            <v>0.44539921247600001</v>
          </cell>
          <cell r="AD376">
            <v>0.44546801152400001</v>
          </cell>
          <cell r="AE376">
            <v>0.456695118407</v>
          </cell>
          <cell r="AF376">
            <v>0.456695118407</v>
          </cell>
          <cell r="AG376">
            <v>0.440640143273</v>
          </cell>
          <cell r="AH376">
            <v>0.440640143273</v>
          </cell>
          <cell r="AI376">
            <v>0.440640143273</v>
          </cell>
          <cell r="AJ376">
            <v>0.440640143273</v>
          </cell>
          <cell r="AK376">
            <v>0.440640143273</v>
          </cell>
          <cell r="AL376">
            <v>0.440640143273</v>
          </cell>
          <cell r="AM376">
            <v>0.440640143273</v>
          </cell>
          <cell r="AN376">
            <v>0.440640143273</v>
          </cell>
          <cell r="AO376">
            <v>0.440640143273</v>
          </cell>
          <cell r="AP376">
            <v>0.440640143273</v>
          </cell>
        </row>
        <row r="377">
          <cell r="B377" t="str">
            <v>Sales - % FX: Brazilian Real</v>
          </cell>
          <cell r="C377" t="str">
            <v>SALES_FX_BRL</v>
          </cell>
          <cell r="X377">
            <v>4.9160745292999998E-2</v>
          </cell>
          <cell r="Y377">
            <v>2.7815666898999999E-2</v>
          </cell>
          <cell r="Z377">
            <v>2.7815666898999999E-2</v>
          </cell>
          <cell r="AA377">
            <v>2.7815666898999999E-2</v>
          </cell>
          <cell r="AB377">
            <v>2.3397410593999999E-2</v>
          </cell>
          <cell r="AC377">
            <v>2.3725291020000001E-2</v>
          </cell>
          <cell r="AD377">
            <v>2.3499680169E-2</v>
          </cell>
          <cell r="AE377">
            <v>2.4201010062000001E-2</v>
          </cell>
          <cell r="AF377">
            <v>2.4201010062000001E-2</v>
          </cell>
          <cell r="AG377">
            <v>2.4201010062000001E-2</v>
          </cell>
          <cell r="AH377">
            <v>2.4201010062000001E-2</v>
          </cell>
          <cell r="AI377">
            <v>2.4201010062000001E-2</v>
          </cell>
          <cell r="AJ377">
            <v>2.4201010062000001E-2</v>
          </cell>
          <cell r="AK377">
            <v>2.4201010062000001E-2</v>
          </cell>
          <cell r="AL377">
            <v>2.4201010062000001E-2</v>
          </cell>
          <cell r="AM377">
            <v>2.4201010062000001E-2</v>
          </cell>
          <cell r="AN377">
            <v>2.4201010062000001E-2</v>
          </cell>
          <cell r="AO377">
            <v>2.4201010062000001E-2</v>
          </cell>
          <cell r="AP377">
            <v>2.4201010062000001E-2</v>
          </cell>
        </row>
        <row r="378">
          <cell r="B378" t="str">
            <v>Sales - % FX: Japanese Yen</v>
          </cell>
          <cell r="C378" t="str">
            <v>SALES_FX_YEN</v>
          </cell>
          <cell r="X378">
            <v>0</v>
          </cell>
          <cell r="Y378">
            <v>0</v>
          </cell>
          <cell r="Z378">
            <v>0</v>
          </cell>
          <cell r="AA378">
            <v>2.0894587413000001E-2</v>
          </cell>
          <cell r="AB378">
            <v>2.2242835714999999E-2</v>
          </cell>
          <cell r="AC378">
            <v>2.6305649935000001E-2</v>
          </cell>
          <cell r="AD378">
            <v>2.8291895179E-2</v>
          </cell>
          <cell r="AE378">
            <v>2.8258606730999999E-2</v>
          </cell>
          <cell r="AF378">
            <v>2.8258606730999999E-2</v>
          </cell>
          <cell r="AG378">
            <v>2.2405150028999999E-2</v>
          </cell>
          <cell r="AH378">
            <v>2.2405150028999999E-2</v>
          </cell>
          <cell r="AI378">
            <v>2.2405150028999999E-2</v>
          </cell>
          <cell r="AJ378">
            <v>2.2405150028999999E-2</v>
          </cell>
          <cell r="AK378">
            <v>2.2405150028999999E-2</v>
          </cell>
          <cell r="AL378">
            <v>2.2405150028999999E-2</v>
          </cell>
          <cell r="AM378">
            <v>2.2405150028999999E-2</v>
          </cell>
          <cell r="AN378">
            <v>2.2405150028999999E-2</v>
          </cell>
          <cell r="AO378">
            <v>2.2405150028999999E-2</v>
          </cell>
          <cell r="AP378">
            <v>2.2405150028999999E-2</v>
          </cell>
        </row>
        <row r="379">
          <cell r="B379" t="str">
            <v>Sales - % FX: Chinese Renminbi</v>
          </cell>
          <cell r="C379" t="str">
            <v>SALES_FX_CNY</v>
          </cell>
          <cell r="X379">
            <v>0.117310936788</v>
          </cell>
          <cell r="Y379">
            <v>0.122518262556</v>
          </cell>
          <cell r="Z379">
            <v>0.122518262556</v>
          </cell>
          <cell r="AA379">
            <v>0.122518262556</v>
          </cell>
          <cell r="AB379">
            <v>0.122947422436</v>
          </cell>
          <cell r="AC379">
            <v>0.16128994594099999</v>
          </cell>
          <cell r="AD379">
            <v>0.18191541792900001</v>
          </cell>
          <cell r="AE379">
            <v>0.18766143644700001</v>
          </cell>
          <cell r="AF379">
            <v>0.18766143644700001</v>
          </cell>
          <cell r="AG379">
            <v>0.23</v>
          </cell>
          <cell r="AH379">
            <v>0.23</v>
          </cell>
          <cell r="AI379">
            <v>0.23</v>
          </cell>
          <cell r="AJ379">
            <v>0.23</v>
          </cell>
          <cell r="AK379">
            <v>0.23</v>
          </cell>
          <cell r="AL379">
            <v>0.23</v>
          </cell>
          <cell r="AM379">
            <v>0.23</v>
          </cell>
          <cell r="AN379">
            <v>0.23</v>
          </cell>
          <cell r="AO379">
            <v>0.23</v>
          </cell>
          <cell r="AP379">
            <v>0.23</v>
          </cell>
        </row>
        <row r="380">
          <cell r="B380" t="str">
            <v>Sales - % FX: Indian Rupee</v>
          </cell>
          <cell r="C380" t="str">
            <v>SALES_FX_INR</v>
          </cell>
          <cell r="X380">
            <v>3.7215373816E-2</v>
          </cell>
          <cell r="Y380">
            <v>3.442352965E-2</v>
          </cell>
          <cell r="Z380">
            <v>3.442352965E-2</v>
          </cell>
          <cell r="AA380">
            <v>3.442352965E-2</v>
          </cell>
          <cell r="AB380">
            <v>3.8801610484E-2</v>
          </cell>
          <cell r="AC380">
            <v>3.7140822211999998E-2</v>
          </cell>
          <cell r="AD380">
            <v>3.3524532576E-2</v>
          </cell>
          <cell r="AE380">
            <v>3.9294113111999998E-2</v>
          </cell>
          <cell r="AF380">
            <v>3.9294113111999998E-2</v>
          </cell>
          <cell r="AG380">
            <v>3.9294113111999998E-2</v>
          </cell>
          <cell r="AH380">
            <v>3.9294113111999998E-2</v>
          </cell>
          <cell r="AI380">
            <v>3.9294113111999998E-2</v>
          </cell>
          <cell r="AJ380">
            <v>3.9294113111999998E-2</v>
          </cell>
          <cell r="AK380">
            <v>3.9294113111999998E-2</v>
          </cell>
          <cell r="AL380">
            <v>3.9294113111999998E-2</v>
          </cell>
          <cell r="AM380">
            <v>3.9294113111999998E-2</v>
          </cell>
          <cell r="AN380">
            <v>3.9294113111999998E-2</v>
          </cell>
          <cell r="AO380">
            <v>3.9294113111999998E-2</v>
          </cell>
          <cell r="AP380">
            <v>3.9294113111999998E-2</v>
          </cell>
        </row>
        <row r="381">
          <cell r="B381" t="str">
            <v>Sales - % FX: South African Rand</v>
          </cell>
          <cell r="C381" t="str">
            <v>SALES_FX_ZAR</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B382" t="str">
            <v>Sales - % FX: Nigerian Naira</v>
          </cell>
          <cell r="C382" t="str">
            <v>SALES_FX_NGN</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B383" t="str">
            <v>Sales - % FX: Swiss Franc</v>
          </cell>
          <cell r="C383" t="str">
            <v>SALES_FX_CHF</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B384" t="str">
            <v>Sales - % FX: UAE Dirham</v>
          </cell>
          <cell r="C384" t="str">
            <v>SALES_FX_AED</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row>
        <row r="385">
          <cell r="B385" t="str">
            <v>Sales - % FX: New Turkish Lira</v>
          </cell>
          <cell r="C385" t="str">
            <v>SALES_FX_TRY</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B386" t="str">
            <v>Sales - % FX: Other Currency</v>
          </cell>
          <cell r="C386" t="str">
            <v>SALES_FX_OTH</v>
          </cell>
          <cell r="X386">
            <v>9.7548243292E-2</v>
          </cell>
          <cell r="Y386">
            <v>-8.7495014048000003E-2</v>
          </cell>
          <cell r="Z386">
            <v>6.9471127864000004E-2</v>
          </cell>
          <cell r="AA386">
            <v>5.3768202217000002E-2</v>
          </cell>
          <cell r="AB386">
            <v>5.8194865497000002E-2</v>
          </cell>
          <cell r="AC386">
            <v>1.56443388E-4</v>
          </cell>
          <cell r="AD386">
            <v>-1.6384703662E-2</v>
          </cell>
          <cell r="AE386">
            <v>-3.7720457018000003E-2</v>
          </cell>
          <cell r="AF386">
            <v>-3.7720457018000003E-2</v>
          </cell>
          <cell r="AG386">
            <v>-4.3096875019000003E-2</v>
          </cell>
          <cell r="AH386">
            <v>-4.3096875019000003E-2</v>
          </cell>
          <cell r="AI386">
            <v>-4.3096875019000003E-2</v>
          </cell>
          <cell r="AJ386">
            <v>-4.3096875019000003E-2</v>
          </cell>
          <cell r="AK386">
            <v>-4.3096875019000003E-2</v>
          </cell>
          <cell r="AL386">
            <v>-4.3096875019000003E-2</v>
          </cell>
          <cell r="AM386">
            <v>-4.3096875019000003E-2</v>
          </cell>
          <cell r="AN386">
            <v>-4.3096875019000003E-2</v>
          </cell>
          <cell r="AO386">
            <v>-4.3096875019000003E-2</v>
          </cell>
          <cell r="AP386">
            <v>-4.3096875019000003E-2</v>
          </cell>
        </row>
        <row r="387">
          <cell r="A387" t="str">
            <v>Items to be removed</v>
          </cell>
        </row>
        <row r="388">
          <cell r="B388" t="str">
            <v>Sales - Total % Americas</v>
          </cell>
          <cell r="C388" t="str">
            <v>SALES_TOT_AM</v>
          </cell>
          <cell r="Q388">
            <v>0.25225055675800001</v>
          </cell>
          <cell r="R388">
            <v>0.25225055675800001</v>
          </cell>
          <cell r="S388">
            <v>0.25225055675800001</v>
          </cell>
          <cell r="T388">
            <v>0.25225055675800001</v>
          </cell>
          <cell r="U388">
            <v>0.25225055675800001</v>
          </cell>
          <cell r="V388">
            <v>0.28734168157399997</v>
          </cell>
          <cell r="W388">
            <v>0.29282169378</v>
          </cell>
          <cell r="X388">
            <v>0.29282169378</v>
          </cell>
          <cell r="Y388">
            <v>0.30061510585500001</v>
          </cell>
          <cell r="Z388">
            <v>0.31913352453499999</v>
          </cell>
          <cell r="AA388">
            <v>0.31913352453499999</v>
          </cell>
          <cell r="AB388">
            <v>0.31913352453499999</v>
          </cell>
          <cell r="AC388">
            <v>0.31913352453499999</v>
          </cell>
          <cell r="AD388">
            <v>0.31913352453499999</v>
          </cell>
          <cell r="AE388">
            <v>0.31913352453499999</v>
          </cell>
          <cell r="AF388">
            <v>0.31913352453499999</v>
          </cell>
          <cell r="AG388">
            <v>0.31913352453499999</v>
          </cell>
          <cell r="AH388">
            <v>0.31913352453499999</v>
          </cell>
          <cell r="AI388">
            <v>0.31913352453499999</v>
          </cell>
          <cell r="AJ388">
            <v>0.31913352453499999</v>
          </cell>
          <cell r="AK388">
            <v>0.31913352453499999</v>
          </cell>
          <cell r="AL388">
            <v>0.31913352453499999</v>
          </cell>
          <cell r="AM388">
            <v>0.31913352453499999</v>
          </cell>
          <cell r="AN388">
            <v>0.31913352453499999</v>
          </cell>
          <cell r="AO388">
            <v>0.31913352453499999</v>
          </cell>
          <cell r="AP388">
            <v>0.31913352453499999</v>
          </cell>
        </row>
        <row r="389">
          <cell r="B389" t="str">
            <v>Sales - % Other Americas</v>
          </cell>
          <cell r="C389" t="str">
            <v>SALES_OTH_AM</v>
          </cell>
          <cell r="Q389">
            <v>0.103682444089</v>
          </cell>
          <cell r="R389">
            <v>0.103682444089</v>
          </cell>
          <cell r="S389">
            <v>0.103682444089</v>
          </cell>
          <cell r="T389">
            <v>0.103682444089</v>
          </cell>
          <cell r="U389">
            <v>0.103682444089</v>
          </cell>
          <cell r="V389">
            <v>5.2851520572000002E-2</v>
          </cell>
          <cell r="W389">
            <v>5.6906764528000003E-2</v>
          </cell>
          <cell r="X389">
            <v>5.6906764528000003E-2</v>
          </cell>
          <cell r="Y389">
            <v>9.0881138006000006E-2</v>
          </cell>
          <cell r="Z389">
            <v>5.1898473977000002E-2</v>
          </cell>
          <cell r="AA389">
            <v>0.109399556685</v>
          </cell>
          <cell r="AB389">
            <v>0.109399556685</v>
          </cell>
          <cell r="AC389">
            <v>0.109399556685</v>
          </cell>
          <cell r="AD389">
            <v>0.109399556685</v>
          </cell>
          <cell r="AE389">
            <v>0.109399556685</v>
          </cell>
          <cell r="AF389">
            <v>0.109399556685</v>
          </cell>
          <cell r="AG389">
            <v>0.109399556685</v>
          </cell>
          <cell r="AH389">
            <v>0.109399556685</v>
          </cell>
          <cell r="AI389">
            <v>0.109399556685</v>
          </cell>
          <cell r="AJ389">
            <v>0.109399556685</v>
          </cell>
          <cell r="AK389">
            <v>0.109399556685</v>
          </cell>
          <cell r="AL389">
            <v>0.109399556685</v>
          </cell>
          <cell r="AM389">
            <v>0.109399556685</v>
          </cell>
          <cell r="AN389">
            <v>0.109399556685</v>
          </cell>
          <cell r="AO389">
            <v>0.109399556685</v>
          </cell>
          <cell r="AP389">
            <v>0.109399556685</v>
          </cell>
        </row>
        <row r="390">
          <cell r="B390" t="str">
            <v>Sales - Total % EMEA</v>
          </cell>
          <cell r="C390" t="str">
            <v>SALES_TOT_EMEA</v>
          </cell>
          <cell r="Q390">
            <v>0.48721809228099999</v>
          </cell>
          <cell r="R390">
            <v>0.48721809228099999</v>
          </cell>
          <cell r="S390">
            <v>0.48721809228099999</v>
          </cell>
          <cell r="T390">
            <v>0.48721809228099999</v>
          </cell>
          <cell r="U390">
            <v>0.48721809228099999</v>
          </cell>
          <cell r="V390">
            <v>0.43437567084099998</v>
          </cell>
          <cell r="W390">
            <v>0.41696735342300001</v>
          </cell>
          <cell r="X390">
            <v>0.41696735342300001</v>
          </cell>
          <cell r="Y390">
            <v>0.416543486553</v>
          </cell>
          <cell r="Z390">
            <v>0.39268409667100002</v>
          </cell>
          <cell r="AA390">
            <v>0.39268409667100002</v>
          </cell>
          <cell r="AB390">
            <v>0.39268409667100002</v>
          </cell>
          <cell r="AC390">
            <v>0.39268409667100002</v>
          </cell>
          <cell r="AD390">
            <v>0.39268409667100002</v>
          </cell>
          <cell r="AE390">
            <v>0.39268409667100002</v>
          </cell>
          <cell r="AF390">
            <v>0.39268409667100002</v>
          </cell>
          <cell r="AG390">
            <v>0.39268409667100002</v>
          </cell>
          <cell r="AH390">
            <v>0.39268409667100002</v>
          </cell>
          <cell r="AI390">
            <v>0.39268409667100002</v>
          </cell>
          <cell r="AJ390">
            <v>0.39268409667100002</v>
          </cell>
          <cell r="AK390">
            <v>0.39268409667100002</v>
          </cell>
          <cell r="AL390">
            <v>0.39268409667100002</v>
          </cell>
          <cell r="AM390">
            <v>0.39268409667100002</v>
          </cell>
          <cell r="AN390">
            <v>0.39268409667100002</v>
          </cell>
          <cell r="AO390">
            <v>0.39268409667100002</v>
          </cell>
          <cell r="AP390">
            <v>0.39268409667100002</v>
          </cell>
        </row>
        <row r="391">
          <cell r="B391" t="str">
            <v>Sales - % Western Europe-Ex UK</v>
          </cell>
          <cell r="C391" t="str">
            <v>SALES_EU_EX_UK</v>
          </cell>
          <cell r="Q391">
            <v>0.38487278692600002</v>
          </cell>
          <cell r="R391">
            <v>0.38487278692600002</v>
          </cell>
          <cell r="S391">
            <v>0.38487278692600002</v>
          </cell>
          <cell r="T391">
            <v>0.38487278692600002</v>
          </cell>
          <cell r="U391">
            <v>0.38487278692600002</v>
          </cell>
          <cell r="V391">
            <v>0.25060107334499998</v>
          </cell>
          <cell r="W391">
            <v>0.24066586209900001</v>
          </cell>
          <cell r="X391">
            <v>0.24066586209900001</v>
          </cell>
          <cell r="Y391">
            <v>0.382847428032</v>
          </cell>
          <cell r="Z391">
            <v>0.26114662150899998</v>
          </cell>
          <cell r="AA391">
            <v>0.26099565357999999</v>
          </cell>
          <cell r="AB391">
            <v>0.26099565357999999</v>
          </cell>
          <cell r="AC391">
            <v>0.26099565357999999</v>
          </cell>
          <cell r="AD391">
            <v>0.26099565357999999</v>
          </cell>
          <cell r="AE391">
            <v>0.26099565357999999</v>
          </cell>
          <cell r="AF391">
            <v>0.26099565357999999</v>
          </cell>
          <cell r="AG391">
            <v>0.26099565357999999</v>
          </cell>
          <cell r="AH391">
            <v>0.26099565357999999</v>
          </cell>
          <cell r="AI391">
            <v>0.26099565357999999</v>
          </cell>
          <cell r="AJ391">
            <v>0.26099565357999999</v>
          </cell>
          <cell r="AK391">
            <v>0.26099565357999999</v>
          </cell>
          <cell r="AL391">
            <v>0.26099565357999999</v>
          </cell>
          <cell r="AM391">
            <v>0.26099565357999999</v>
          </cell>
          <cell r="AN391">
            <v>0.26099565357999999</v>
          </cell>
          <cell r="AO391">
            <v>0.26099565357999999</v>
          </cell>
          <cell r="AP391">
            <v>0.26099565357999999</v>
          </cell>
        </row>
        <row r="392">
          <cell r="B392" t="str">
            <v>Sales - % Other Western Europe-Ex UK</v>
          </cell>
          <cell r="C392" t="str">
            <v>SALES_OTH_EU_EX_UK</v>
          </cell>
          <cell r="AA392">
            <v>0.13513304458600001</v>
          </cell>
        </row>
        <row r="393">
          <cell r="B393" t="str">
            <v>Sales - % Central &amp; Eastern Europe</v>
          </cell>
          <cell r="C393" t="str">
            <v>SALES_CEE</v>
          </cell>
          <cell r="V393">
            <v>3.7141323791999997E-2</v>
          </cell>
          <cell r="W393">
            <v>2.7797125722E-2</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Sales - % Middle East</v>
          </cell>
          <cell r="C394" t="str">
            <v>SALES_ME</v>
          </cell>
          <cell r="Q394">
            <v>8.6430789497999996E-2</v>
          </cell>
          <cell r="R394">
            <v>8.6430789497999996E-2</v>
          </cell>
          <cell r="S394">
            <v>8.6430789497999996E-2</v>
          </cell>
          <cell r="T394">
            <v>8.6430789497999996E-2</v>
          </cell>
          <cell r="U394">
            <v>8.6430789497999996E-2</v>
          </cell>
          <cell r="V394">
            <v>0.113774597496</v>
          </cell>
          <cell r="W394">
            <v>0.10630149132400001</v>
          </cell>
          <cell r="X394">
            <v>0.10630149132400001</v>
          </cell>
          <cell r="Y394">
            <v>0.112936296014</v>
          </cell>
          <cell r="Z394">
            <v>9.7992384569000002E-2</v>
          </cell>
          <cell r="AB394">
            <v>0</v>
          </cell>
          <cell r="AC394">
            <v>0</v>
          </cell>
          <cell r="AD394">
            <v>0</v>
          </cell>
          <cell r="AE394">
            <v>0</v>
          </cell>
          <cell r="AF394">
            <v>0</v>
          </cell>
        </row>
        <row r="395">
          <cell r="B395" t="str">
            <v>Sales - % Total Africa</v>
          </cell>
          <cell r="C395" t="str">
            <v>SALES_TOT_AFRICA</v>
          </cell>
          <cell r="AA395">
            <v>9.7992384569000002E-2</v>
          </cell>
          <cell r="AB395">
            <v>9.7992384569000002E-2</v>
          </cell>
          <cell r="AC395">
            <v>9.7992384569000002E-2</v>
          </cell>
          <cell r="AD395">
            <v>9.7992384569000002E-2</v>
          </cell>
          <cell r="AE395">
            <v>9.7992384569000002E-2</v>
          </cell>
          <cell r="AF395">
            <v>9.7992384569000002E-2</v>
          </cell>
          <cell r="AG395">
            <v>9.7992384569000002E-2</v>
          </cell>
          <cell r="AH395">
            <v>9.7992384569000002E-2</v>
          </cell>
          <cell r="AI395">
            <v>9.7992384569000002E-2</v>
          </cell>
          <cell r="AJ395">
            <v>9.7992384569000002E-2</v>
          </cell>
          <cell r="AK395">
            <v>9.7992384569000002E-2</v>
          </cell>
          <cell r="AL395">
            <v>9.7992384569000002E-2</v>
          </cell>
          <cell r="AM395">
            <v>9.7992384569000002E-2</v>
          </cell>
          <cell r="AN395">
            <v>9.7992384569000002E-2</v>
          </cell>
          <cell r="AO395">
            <v>9.7992384569000002E-2</v>
          </cell>
          <cell r="AP395">
            <v>9.7992384569000002E-2</v>
          </cell>
        </row>
        <row r="396">
          <cell r="B396" t="str">
            <v>Sales - % Other EMEA</v>
          </cell>
          <cell r="C396" t="str">
            <v>SALES_OTH_EMEA</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B397" t="str">
            <v>Sales - Total % Asia (incl Australia &amp; New Zealand)</v>
          </cell>
          <cell r="C397" t="str">
            <v>SALES_TOT_ASIA</v>
          </cell>
          <cell r="Q397">
            <v>0.260531350961</v>
          </cell>
          <cell r="R397">
            <v>0.260531350961</v>
          </cell>
          <cell r="S397">
            <v>0.260531350961</v>
          </cell>
          <cell r="T397">
            <v>0.260531350961</v>
          </cell>
          <cell r="U397">
            <v>0.260531350961</v>
          </cell>
          <cell r="V397">
            <v>0.27828264758499999</v>
          </cell>
          <cell r="W397">
            <v>0.29021095279699999</v>
          </cell>
          <cell r="X397">
            <v>0.29021095279699999</v>
          </cell>
          <cell r="Y397">
            <v>0.234070530685</v>
          </cell>
          <cell r="Z397">
            <v>0.28818237879399999</v>
          </cell>
          <cell r="AA397">
            <v>0.28818237879399999</v>
          </cell>
          <cell r="AB397">
            <v>0.28818237879399999</v>
          </cell>
          <cell r="AC397">
            <v>0.28818237879399999</v>
          </cell>
          <cell r="AD397">
            <v>0.28818237879399999</v>
          </cell>
          <cell r="AE397">
            <v>0.28818237879399999</v>
          </cell>
          <cell r="AF397">
            <v>0.28818237879399999</v>
          </cell>
          <cell r="AG397">
            <v>0.28818237879399999</v>
          </cell>
          <cell r="AH397">
            <v>0.28818237879399999</v>
          </cell>
          <cell r="AI397">
            <v>0.28818237879399999</v>
          </cell>
          <cell r="AJ397">
            <v>0.28818237879399999</v>
          </cell>
          <cell r="AK397">
            <v>0.28818237879399999</v>
          </cell>
          <cell r="AL397">
            <v>0.28818237879399999</v>
          </cell>
          <cell r="AM397">
            <v>0.28818237879399999</v>
          </cell>
          <cell r="AN397">
            <v>0.28818237879399999</v>
          </cell>
          <cell r="AO397">
            <v>0.28818237879399999</v>
          </cell>
          <cell r="AP397">
            <v>0.28818237879399999</v>
          </cell>
        </row>
        <row r="398">
          <cell r="B398" t="str">
            <v>Sales - % Other Asia</v>
          </cell>
          <cell r="C398" t="str">
            <v>SALES_OTH_AEJ</v>
          </cell>
          <cell r="Q398">
            <v>0.115084219441</v>
          </cell>
          <cell r="R398">
            <v>0.115084219441</v>
          </cell>
          <cell r="S398">
            <v>0.115084219441</v>
          </cell>
          <cell r="T398">
            <v>0.115084219441</v>
          </cell>
          <cell r="U398">
            <v>0.115084219441</v>
          </cell>
          <cell r="V398">
            <v>0.124923076923</v>
          </cell>
          <cell r="W398">
            <v>0.135684642193</v>
          </cell>
          <cell r="X398">
            <v>0.135684642193</v>
          </cell>
          <cell r="Y398">
            <v>7.7128738478999995E-2</v>
          </cell>
          <cell r="Z398">
            <v>9.5789978563000006E-2</v>
          </cell>
          <cell r="AA398">
            <v>0.131240586588</v>
          </cell>
          <cell r="AB398">
            <v>0.131240586588</v>
          </cell>
          <cell r="AC398">
            <v>0.131240586588</v>
          </cell>
          <cell r="AD398">
            <v>0.131240586588</v>
          </cell>
          <cell r="AE398">
            <v>0.131240586588</v>
          </cell>
          <cell r="AF398">
            <v>0.131240586588</v>
          </cell>
          <cell r="AG398">
            <v>0.131240586588</v>
          </cell>
          <cell r="AH398">
            <v>0.131240586588</v>
          </cell>
          <cell r="AI398">
            <v>0.131240586588</v>
          </cell>
          <cell r="AJ398">
            <v>0.131240586588</v>
          </cell>
          <cell r="AK398">
            <v>0.131240586588</v>
          </cell>
          <cell r="AL398">
            <v>0.131240586588</v>
          </cell>
          <cell r="AM398">
            <v>0.131240586588</v>
          </cell>
          <cell r="AN398">
            <v>0.131240586588</v>
          </cell>
          <cell r="AO398">
            <v>0.131240586588</v>
          </cell>
          <cell r="AP398">
            <v>0.131240586588</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D430" t="str">
            <v>SEK</v>
          </cell>
          <cell r="F430">
            <v>1956</v>
          </cell>
          <cell r="G430">
            <v>2754</v>
          </cell>
          <cell r="H430">
            <v>2931</v>
          </cell>
          <cell r="I430">
            <v>3813</v>
          </cell>
          <cell r="J430">
            <v>4345</v>
          </cell>
          <cell r="K430">
            <v>4470</v>
          </cell>
          <cell r="L430">
            <v>6392</v>
          </cell>
          <cell r="M430">
            <v>6130</v>
          </cell>
          <cell r="N430">
            <v>-1689</v>
          </cell>
          <cell r="O430">
            <v>5310</v>
          </cell>
          <cell r="P430">
            <v>6651</v>
          </cell>
          <cell r="Q430">
            <v>6938</v>
          </cell>
          <cell r="R430">
            <v>9203</v>
          </cell>
          <cell r="S430">
            <v>12066</v>
          </cell>
          <cell r="T430">
            <v>13806</v>
          </cell>
          <cell r="U430">
            <v>9090</v>
          </cell>
          <cell r="V430">
            <v>13915</v>
          </cell>
          <cell r="W430">
            <v>17560</v>
          </cell>
          <cell r="X430">
            <v>19228</v>
          </cell>
          <cell r="Y430">
            <v>17056</v>
          </cell>
          <cell r="Z430">
            <v>17015</v>
          </cell>
          <cell r="AA430">
            <v>19772</v>
          </cell>
          <cell r="AB430">
            <v>19798</v>
          </cell>
          <cell r="AC430">
            <v>24200</v>
          </cell>
          <cell r="AD430">
            <v>21187</v>
          </cell>
          <cell r="AE430">
            <v>21897</v>
          </cell>
          <cell r="AF430">
            <v>19146</v>
          </cell>
          <cell r="AG430">
            <v>23559</v>
          </cell>
          <cell r="AH430">
            <v>30542.993879421101</v>
          </cell>
          <cell r="AI430">
            <v>33391.876542029102</v>
          </cell>
          <cell r="AJ430">
            <v>37401.160213611001</v>
          </cell>
          <cell r="AK430">
            <v>43433.269590392803</v>
          </cell>
          <cell r="AL430">
            <v>48357.244571749798</v>
          </cell>
          <cell r="AM430">
            <v>53895.482827452302</v>
          </cell>
          <cell r="AN430">
            <v>59165.318707991297</v>
          </cell>
          <cell r="AO430">
            <v>64936.441356501498</v>
          </cell>
          <cell r="AP430">
            <v>71259.142956493699</v>
          </cell>
        </row>
        <row r="431">
          <cell r="B431" t="str">
            <v>Division 1 EBIT</v>
          </cell>
          <cell r="C431" t="str">
            <v>DIV1_EBIT</v>
          </cell>
          <cell r="D431" t="str">
            <v>SEK</v>
          </cell>
          <cell r="F431">
            <v>1433</v>
          </cell>
          <cell r="G431">
            <v>1700</v>
          </cell>
          <cell r="H431">
            <v>1807</v>
          </cell>
          <cell r="I431">
            <v>2537</v>
          </cell>
          <cell r="J431">
            <v>2283</v>
          </cell>
          <cell r="K431">
            <v>2153</v>
          </cell>
          <cell r="L431">
            <v>2737</v>
          </cell>
          <cell r="M431">
            <v>3202</v>
          </cell>
          <cell r="N431">
            <v>3005</v>
          </cell>
          <cell r="O431">
            <v>2962</v>
          </cell>
          <cell r="P431">
            <v>3322</v>
          </cell>
          <cell r="Q431">
            <v>4032</v>
          </cell>
          <cell r="R431">
            <v>5323</v>
          </cell>
          <cell r="S431">
            <v>6749</v>
          </cell>
          <cell r="T431">
            <v>7291</v>
          </cell>
          <cell r="U431">
            <v>5752</v>
          </cell>
          <cell r="V431">
            <v>8127</v>
          </cell>
          <cell r="W431">
            <v>7592</v>
          </cell>
          <cell r="X431">
            <v>7474</v>
          </cell>
          <cell r="Y431">
            <v>7279</v>
          </cell>
          <cell r="Z431">
            <v>7420</v>
          </cell>
          <cell r="AA431">
            <v>8556</v>
          </cell>
          <cell r="AB431">
            <v>8115</v>
          </cell>
          <cell r="AC431">
            <v>8960</v>
          </cell>
          <cell r="AD431">
            <v>10263</v>
          </cell>
          <cell r="AE431">
            <v>11198</v>
          </cell>
          <cell r="AF431">
            <v>10658</v>
          </cell>
          <cell r="AG431">
            <v>11874</v>
          </cell>
          <cell r="AH431">
            <v>14157.0081144377</v>
          </cell>
          <cell r="AI431">
            <v>15790.9456218423</v>
          </cell>
          <cell r="AJ431">
            <v>16873.541200818399</v>
          </cell>
          <cell r="AK431">
            <v>19404.519914076402</v>
          </cell>
          <cell r="AL431">
            <v>21719.618073566799</v>
          </cell>
          <cell r="AM431">
            <v>24293.892054824799</v>
          </cell>
          <cell r="AN431">
            <v>27155.964073850198</v>
          </cell>
          <cell r="AO431">
            <v>30337.607612293301</v>
          </cell>
          <cell r="AP431">
            <v>33874.094127223201</v>
          </cell>
          <cell r="CF431">
            <v>1575</v>
          </cell>
          <cell r="CG431">
            <v>1822</v>
          </cell>
          <cell r="CH431">
            <v>2031</v>
          </cell>
          <cell r="CI431">
            <v>2172</v>
          </cell>
          <cell r="CJ431">
            <v>1976</v>
          </cell>
          <cell r="CK431">
            <v>2092</v>
          </cell>
          <cell r="CL431">
            <v>2215</v>
          </cell>
          <cell r="CM431">
            <v>2273</v>
          </cell>
          <cell r="CN431">
            <v>1792</v>
          </cell>
          <cell r="CO431">
            <v>2007</v>
          </cell>
          <cell r="CP431">
            <v>2173</v>
          </cell>
          <cell r="CQ431">
            <v>2143</v>
          </cell>
          <cell r="CR431">
            <v>2130</v>
          </cell>
          <cell r="CS431">
            <v>2237</v>
          </cell>
          <cell r="CT431">
            <v>2225</v>
          </cell>
          <cell r="CU431">
            <v>2370</v>
          </cell>
          <cell r="CV431">
            <v>2249</v>
          </cell>
          <cell r="CW431">
            <v>2638</v>
          </cell>
          <cell r="CX431">
            <v>2667</v>
          </cell>
          <cell r="CY431">
            <v>2709</v>
          </cell>
          <cell r="CZ431">
            <v>2618</v>
          </cell>
          <cell r="DA431">
            <v>2773</v>
          </cell>
          <cell r="DB431">
            <v>2897</v>
          </cell>
          <cell r="DC431">
            <v>2910</v>
          </cell>
          <cell r="DD431">
            <v>2520</v>
          </cell>
          <cell r="DE431">
            <v>2444</v>
          </cell>
          <cell r="DF431">
            <v>2729</v>
          </cell>
          <cell r="DG431">
            <v>2965</v>
          </cell>
          <cell r="DH431">
            <v>2730</v>
          </cell>
          <cell r="DI431">
            <v>2916</v>
          </cell>
          <cell r="DJ431">
            <v>3087</v>
          </cell>
          <cell r="DK431">
            <v>3141</v>
          </cell>
          <cell r="DL431">
            <v>3170</v>
          </cell>
          <cell r="DM431">
            <v>3266</v>
          </cell>
          <cell r="DN431">
            <v>3581.64656185371</v>
          </cell>
          <cell r="DO431">
            <v>4139.3615525840096</v>
          </cell>
          <cell r="DP431">
            <v>3942.6796341664599</v>
          </cell>
          <cell r="DQ431">
            <v>4269.65390459011</v>
          </cell>
        </row>
        <row r="432">
          <cell r="B432" t="str">
            <v>Division 1 Name</v>
          </cell>
          <cell r="C432" t="str">
            <v>DIV1_NAME</v>
          </cell>
          <cell r="E432" t="str">
            <v>Compressor Technique</v>
          </cell>
        </row>
        <row r="433">
          <cell r="B433" t="str">
            <v>Division 1 OGS</v>
          </cell>
          <cell r="C433" t="str">
            <v>DIV1_OGS</v>
          </cell>
          <cell r="F433">
            <v>0.108003399433</v>
          </cell>
          <cell r="G433">
            <v>0.14853118513399999</v>
          </cell>
          <cell r="H433">
            <v>5.7747925039999997E-3</v>
          </cell>
          <cell r="I433">
            <v>0.13678169269900001</v>
          </cell>
          <cell r="J433">
            <v>-2.3920731707000001E-2</v>
          </cell>
          <cell r="K433">
            <v>-1.7475115873000002E-2</v>
          </cell>
          <cell r="L433">
            <v>0.16260547628200001</v>
          </cell>
          <cell r="M433">
            <v>1.4654921182E-2</v>
          </cell>
          <cell r="N433">
            <v>-2.8722719894E-2</v>
          </cell>
          <cell r="O433">
            <v>0.06</v>
          </cell>
          <cell r="P433">
            <v>0.13</v>
          </cell>
          <cell r="Q433">
            <v>0.12</v>
          </cell>
          <cell r="R433">
            <v>0.17</v>
          </cell>
          <cell r="S433">
            <v>0.18</v>
          </cell>
          <cell r="T433">
            <v>0.09</v>
          </cell>
          <cell r="U433">
            <v>-0.17</v>
          </cell>
          <cell r="V433">
            <v>0.08</v>
          </cell>
          <cell r="W433">
            <v>0.12</v>
          </cell>
          <cell r="X433">
            <v>7.0000000000000007E-2</v>
          </cell>
          <cell r="Y433">
            <v>0.01</v>
          </cell>
          <cell r="Z433">
            <v>0.01</v>
          </cell>
          <cell r="AA433">
            <v>0</v>
          </cell>
          <cell r="AB433">
            <v>0.02</v>
          </cell>
          <cell r="AC433">
            <v>3.7290130927000002E-2</v>
          </cell>
          <cell r="AD433">
            <v>0.1</v>
          </cell>
          <cell r="AE433">
            <v>0.04</v>
          </cell>
          <cell r="AF433">
            <v>0.01</v>
          </cell>
          <cell r="AG433">
            <v>8.6142956749999999E-2</v>
          </cell>
          <cell r="AH433">
            <v>0.08</v>
          </cell>
          <cell r="AI433">
            <v>0.05</v>
          </cell>
          <cell r="AJ433">
            <v>0.05</v>
          </cell>
          <cell r="AK433">
            <v>0.1</v>
          </cell>
          <cell r="AL433">
            <v>0.08</v>
          </cell>
          <cell r="AM433">
            <v>0.08</v>
          </cell>
          <cell r="AN433">
            <v>0.08</v>
          </cell>
          <cell r="AO433">
            <v>0.08</v>
          </cell>
          <cell r="AP433">
            <v>0.08</v>
          </cell>
          <cell r="CJ433">
            <v>-0.02</v>
          </cell>
          <cell r="CK433">
            <v>-0.05</v>
          </cell>
          <cell r="CL433">
            <v>-0.01</v>
          </cell>
          <cell r="CM433">
            <v>-0.01</v>
          </cell>
          <cell r="CN433">
            <v>-0.03</v>
          </cell>
          <cell r="CO433">
            <v>0.01</v>
          </cell>
          <cell r="CP433">
            <v>-0.01</v>
          </cell>
          <cell r="CQ433">
            <v>-0.04</v>
          </cell>
          <cell r="CR433">
            <v>0.06</v>
          </cell>
          <cell r="CS433">
            <v>0.01</v>
          </cell>
          <cell r="CT433">
            <v>0.02</v>
          </cell>
          <cell r="CU433">
            <v>0.06</v>
          </cell>
          <cell r="CV433">
            <v>7.0000000000000007E-2</v>
          </cell>
          <cell r="CW433">
            <v>0.13</v>
          </cell>
          <cell r="CX433">
            <v>0.11</v>
          </cell>
          <cell r="CY433">
            <v>0.08</v>
          </cell>
          <cell r="CZ433">
            <v>0.1</v>
          </cell>
          <cell r="DA433">
            <v>0.02</v>
          </cell>
          <cell r="DB433">
            <v>0.02</v>
          </cell>
          <cell r="DC433">
            <v>0.02</v>
          </cell>
          <cell r="DD433">
            <v>-0.04</v>
          </cell>
          <cell r="DE433">
            <v>-0.04</v>
          </cell>
          <cell r="DF433">
            <v>0.04</v>
          </cell>
          <cell r="DG433">
            <v>7.0000000000000007E-2</v>
          </cell>
          <cell r="DH433">
            <v>0.11</v>
          </cell>
          <cell r="DI433">
            <v>0.14000000000000001</v>
          </cell>
          <cell r="DJ433">
            <v>7.0000000000000007E-2</v>
          </cell>
          <cell r="DK433">
            <v>0.03</v>
          </cell>
          <cell r="DL433">
            <v>7.0000000000000007E-2</v>
          </cell>
          <cell r="DM433">
            <v>0.06</v>
          </cell>
          <cell r="DN433">
            <v>7.0000000000000007E-2</v>
          </cell>
          <cell r="DO433">
            <v>0.11711674663</v>
          </cell>
          <cell r="DP433">
            <v>0.2</v>
          </cell>
          <cell r="DQ433">
            <v>0.2</v>
          </cell>
        </row>
        <row r="434">
          <cell r="B434" t="str">
            <v>Division 1 Order Backlog</v>
          </cell>
          <cell r="C434" t="str">
            <v>DIV1_ORDERBACKLOG</v>
          </cell>
        </row>
        <row r="435">
          <cell r="B435" t="str">
            <v>Division 1 Order Intake</v>
          </cell>
          <cell r="C435" t="str">
            <v>DIV1_ORDERINTAKE</v>
          </cell>
          <cell r="F435">
            <v>9889</v>
          </cell>
          <cell r="G435">
            <v>11177</v>
          </cell>
          <cell r="H435">
            <v>11072</v>
          </cell>
          <cell r="I435">
            <v>14263</v>
          </cell>
          <cell r="J435">
            <v>13540</v>
          </cell>
          <cell r="K435">
            <v>13202</v>
          </cell>
          <cell r="L435">
            <v>14720</v>
          </cell>
          <cell r="M435">
            <v>16633</v>
          </cell>
          <cell r="N435">
            <v>16334</v>
          </cell>
          <cell r="O435">
            <v>16480</v>
          </cell>
          <cell r="P435">
            <v>18337</v>
          </cell>
          <cell r="Q435">
            <v>21770</v>
          </cell>
          <cell r="R435">
            <v>27910</v>
          </cell>
          <cell r="S435">
            <v>35005</v>
          </cell>
          <cell r="T435">
            <v>36511</v>
          </cell>
          <cell r="U435">
            <v>29680</v>
          </cell>
          <cell r="V435">
            <v>35420</v>
          </cell>
          <cell r="W435">
            <v>34664</v>
          </cell>
          <cell r="X435">
            <v>33480</v>
          </cell>
          <cell r="Y435">
            <v>31765</v>
          </cell>
          <cell r="Z435">
            <v>33476</v>
          </cell>
          <cell r="AA435">
            <v>35306</v>
          </cell>
          <cell r="AB435">
            <v>36515</v>
          </cell>
          <cell r="AC435">
            <v>40772</v>
          </cell>
          <cell r="AD435">
            <v>45580</v>
          </cell>
          <cell r="AE435">
            <v>50654</v>
          </cell>
          <cell r="AF435">
            <v>47401</v>
          </cell>
          <cell r="AG435">
            <v>55012</v>
          </cell>
          <cell r="AH435">
            <v>66634.053409619301</v>
          </cell>
          <cell r="AI435">
            <v>68745.757456736203</v>
          </cell>
          <cell r="AJ435">
            <v>74245.418053275105</v>
          </cell>
          <cell r="AK435">
            <v>81669.959858602597</v>
          </cell>
          <cell r="AL435">
            <v>89836.955844462806</v>
          </cell>
          <cell r="AM435">
            <v>97023.912312019893</v>
          </cell>
          <cell r="AN435">
            <v>104785.825296981</v>
          </cell>
          <cell r="AO435">
            <v>113168.69132074001</v>
          </cell>
          <cell r="AP435">
            <v>122222.18662639899</v>
          </cell>
          <cell r="CF435">
            <v>7640</v>
          </cell>
          <cell r="CG435">
            <v>8395</v>
          </cell>
          <cell r="CH435">
            <v>8627</v>
          </cell>
          <cell r="CI435">
            <v>8814</v>
          </cell>
          <cell r="CJ435">
            <v>8723</v>
          </cell>
          <cell r="CK435">
            <v>9243</v>
          </cell>
          <cell r="CL435">
            <v>8840</v>
          </cell>
          <cell r="CM435">
            <v>8500</v>
          </cell>
          <cell r="CN435">
            <v>8520</v>
          </cell>
          <cell r="CO435">
            <v>9293</v>
          </cell>
          <cell r="CP435">
            <v>9125</v>
          </cell>
          <cell r="CQ435">
            <v>9577</v>
          </cell>
          <cell r="CR435">
            <v>10125</v>
          </cell>
          <cell r="CS435">
            <v>10279</v>
          </cell>
          <cell r="CT435">
            <v>10240</v>
          </cell>
          <cell r="CU435">
            <v>10128</v>
          </cell>
          <cell r="CV435">
            <v>11141</v>
          </cell>
          <cell r="CW435">
            <v>11924</v>
          </cell>
          <cell r="CX435">
            <v>11231</v>
          </cell>
          <cell r="CY435">
            <v>11284</v>
          </cell>
          <cell r="CZ435">
            <v>12526</v>
          </cell>
          <cell r="DA435">
            <v>12902</v>
          </cell>
          <cell r="DB435">
            <v>12937</v>
          </cell>
          <cell r="DC435">
            <v>12289</v>
          </cell>
          <cell r="DD435">
            <v>12800</v>
          </cell>
          <cell r="DE435">
            <v>11134</v>
          </cell>
          <cell r="DF435">
            <v>11600</v>
          </cell>
          <cell r="DG435">
            <v>11867</v>
          </cell>
          <cell r="DH435">
            <v>13032</v>
          </cell>
          <cell r="DI435">
            <v>14272</v>
          </cell>
          <cell r="DJ435">
            <v>13874</v>
          </cell>
          <cell r="DK435">
            <v>13834</v>
          </cell>
          <cell r="DL435">
            <v>16859</v>
          </cell>
          <cell r="DM435">
            <v>17964</v>
          </cell>
          <cell r="DN435">
            <v>16395.020833534101</v>
          </cell>
          <cell r="DO435">
            <v>15416.032576085199</v>
          </cell>
          <cell r="DP435">
            <v>16546.805398194901</v>
          </cell>
          <cell r="DQ435">
            <v>16222.4036146379</v>
          </cell>
        </row>
        <row r="436">
          <cell r="B436" t="str">
            <v>Division 2 Sales</v>
          </cell>
          <cell r="C436" t="str">
            <v>DIV2_REVS</v>
          </cell>
          <cell r="D436" t="str">
            <v>SEK</v>
          </cell>
          <cell r="Z436">
            <v>8540</v>
          </cell>
          <cell r="AA436">
            <v>9955</v>
          </cell>
          <cell r="AB436">
            <v>13635</v>
          </cell>
          <cell r="AC436">
            <v>19582</v>
          </cell>
          <cell r="AD436">
            <v>22007</v>
          </cell>
          <cell r="AE436">
            <v>23570</v>
          </cell>
          <cell r="AF436">
            <v>24685</v>
          </cell>
          <cell r="AG436">
            <v>29219</v>
          </cell>
          <cell r="AH436">
            <v>38817.657180163696</v>
          </cell>
          <cell r="AI436">
            <v>46549.019862785899</v>
          </cell>
          <cell r="AJ436">
            <v>52600.392444947996</v>
          </cell>
          <cell r="AK436">
            <v>59438.4434627913</v>
          </cell>
          <cell r="AL436">
            <v>64193.518939814603</v>
          </cell>
          <cell r="AM436">
            <v>69329.000454999798</v>
          </cell>
          <cell r="AN436">
            <v>74875.320491399805</v>
          </cell>
          <cell r="AO436">
            <v>80865.346130711798</v>
          </cell>
          <cell r="AP436">
            <v>87334.573821168698</v>
          </cell>
          <cell r="CF436">
            <v>1883</v>
          </cell>
          <cell r="CG436">
            <v>2039</v>
          </cell>
          <cell r="CH436">
            <v>2104</v>
          </cell>
          <cell r="CI436">
            <v>2514</v>
          </cell>
          <cell r="CJ436">
            <v>2439</v>
          </cell>
          <cell r="CK436">
            <v>2540</v>
          </cell>
          <cell r="CL436">
            <v>2614</v>
          </cell>
          <cell r="CM436">
            <v>2362</v>
          </cell>
          <cell r="CN436">
            <v>2536</v>
          </cell>
          <cell r="CO436">
            <v>2953</v>
          </cell>
          <cell r="CP436">
            <v>3511</v>
          </cell>
          <cell r="CQ436">
            <v>4635</v>
          </cell>
          <cell r="CR436">
            <v>4753</v>
          </cell>
          <cell r="CS436">
            <v>4767</v>
          </cell>
          <cell r="CT436">
            <v>4754</v>
          </cell>
          <cell r="CU436">
            <v>5229</v>
          </cell>
          <cell r="CV436">
            <v>5255</v>
          </cell>
          <cell r="CW436">
            <v>5740</v>
          </cell>
          <cell r="CX436">
            <v>5272</v>
          </cell>
          <cell r="CY436">
            <v>5740</v>
          </cell>
          <cell r="CZ436">
            <v>5253</v>
          </cell>
          <cell r="DA436">
            <v>5650</v>
          </cell>
          <cell r="DB436">
            <v>6107</v>
          </cell>
          <cell r="DC436">
            <v>6560</v>
          </cell>
          <cell r="DD436">
            <v>6159</v>
          </cell>
          <cell r="DE436">
            <v>6535</v>
          </cell>
          <cell r="DF436">
            <v>5928</v>
          </cell>
          <cell r="DG436">
            <v>6063</v>
          </cell>
          <cell r="DH436">
            <v>6808</v>
          </cell>
          <cell r="DI436">
            <v>7220</v>
          </cell>
          <cell r="DJ436">
            <v>7249</v>
          </cell>
          <cell r="DK436">
            <v>7942</v>
          </cell>
          <cell r="DL436">
            <v>8179</v>
          </cell>
          <cell r="DM436">
            <v>9335</v>
          </cell>
          <cell r="DN436">
            <v>10187.3480152621</v>
          </cell>
          <cell r="DO436">
            <v>11116.309164901601</v>
          </cell>
          <cell r="DP436">
            <v>11884.553960352299</v>
          </cell>
          <cell r="DQ436">
            <v>12386.902096507099</v>
          </cell>
        </row>
        <row r="437">
          <cell r="B437" t="str">
            <v>Division 1 Sales</v>
          </cell>
          <cell r="C437" t="str">
            <v>DIV1_REVS</v>
          </cell>
          <cell r="D437" t="str">
            <v>SEK</v>
          </cell>
          <cell r="F437">
            <v>9889</v>
          </cell>
          <cell r="G437">
            <v>11177</v>
          </cell>
          <cell r="H437">
            <v>11072</v>
          </cell>
          <cell r="I437">
            <v>14263</v>
          </cell>
          <cell r="J437">
            <v>13540</v>
          </cell>
          <cell r="K437">
            <v>13202</v>
          </cell>
          <cell r="L437">
            <v>14720</v>
          </cell>
          <cell r="M437">
            <v>16873</v>
          </cell>
          <cell r="N437">
            <v>15993</v>
          </cell>
          <cell r="O437">
            <v>16045</v>
          </cell>
          <cell r="P437">
            <v>17787</v>
          </cell>
          <cell r="Q437">
            <v>20672</v>
          </cell>
          <cell r="R437">
            <v>24907</v>
          </cell>
          <cell r="S437">
            <v>31900</v>
          </cell>
          <cell r="T437">
            <v>35587</v>
          </cell>
          <cell r="U437">
            <v>32524</v>
          </cell>
          <cell r="V437">
            <v>34602</v>
          </cell>
          <cell r="W437">
            <v>31760</v>
          </cell>
          <cell r="X437">
            <v>32725</v>
          </cell>
          <cell r="Y437">
            <v>31782</v>
          </cell>
          <cell r="Z437">
            <v>33625</v>
          </cell>
          <cell r="AA437">
            <v>36282</v>
          </cell>
          <cell r="AB437">
            <v>36356</v>
          </cell>
          <cell r="AC437">
            <v>38768</v>
          </cell>
          <cell r="AD437">
            <v>43972</v>
          </cell>
          <cell r="AE437">
            <v>48286</v>
          </cell>
          <cell r="AF437">
            <v>47329</v>
          </cell>
          <cell r="AG437">
            <v>49657</v>
          </cell>
          <cell r="AH437">
            <v>58915.914305381601</v>
          </cell>
          <cell r="AI437">
            <v>64773.053965896201</v>
          </cell>
          <cell r="AJ437">
            <v>69954.898283167902</v>
          </cell>
          <cell r="AK437">
            <v>79049.035059979695</v>
          </cell>
          <cell r="AL437">
            <v>87744.428916577497</v>
          </cell>
          <cell r="AM437">
            <v>97396.316097400995</v>
          </cell>
          <cell r="AN437">
            <v>108109.910868115</v>
          </cell>
          <cell r="AO437">
            <v>120002.001063608</v>
          </cell>
          <cell r="AP437">
            <v>133202.221180605</v>
          </cell>
          <cell r="CF437">
            <v>7526</v>
          </cell>
          <cell r="CG437">
            <v>8314</v>
          </cell>
          <cell r="CH437">
            <v>8614</v>
          </cell>
          <cell r="CI437">
            <v>9171</v>
          </cell>
          <cell r="CJ437">
            <v>8610</v>
          </cell>
          <cell r="CK437">
            <v>8922</v>
          </cell>
          <cell r="CL437">
            <v>9261</v>
          </cell>
          <cell r="CM437">
            <v>9489</v>
          </cell>
          <cell r="CN437">
            <v>8156</v>
          </cell>
          <cell r="CO437">
            <v>8976</v>
          </cell>
          <cell r="CP437">
            <v>9421</v>
          </cell>
          <cell r="CQ437">
            <v>9803</v>
          </cell>
          <cell r="CR437">
            <v>9268</v>
          </cell>
          <cell r="CS437">
            <v>9667</v>
          </cell>
          <cell r="CT437">
            <v>9552</v>
          </cell>
          <cell r="CU437">
            <v>10437</v>
          </cell>
          <cell r="CV437">
            <v>9735</v>
          </cell>
          <cell r="CW437">
            <v>11266</v>
          </cell>
          <cell r="CX437">
            <v>11269</v>
          </cell>
          <cell r="CY437">
            <v>11702</v>
          </cell>
          <cell r="CZ437">
            <v>11397</v>
          </cell>
          <cell r="DA437">
            <v>11974</v>
          </cell>
          <cell r="DB437">
            <v>12314</v>
          </cell>
          <cell r="DC437">
            <v>12601</v>
          </cell>
          <cell r="DD437">
            <v>11588</v>
          </cell>
          <cell r="DE437">
            <v>11405</v>
          </cell>
          <cell r="DF437">
            <v>11890</v>
          </cell>
          <cell r="DG437">
            <v>12446</v>
          </cell>
          <cell r="DH437">
            <v>11522</v>
          </cell>
          <cell r="DI437">
            <v>12212</v>
          </cell>
          <cell r="DJ437">
            <v>12792</v>
          </cell>
          <cell r="DK437">
            <v>13131</v>
          </cell>
          <cell r="DL437">
            <v>13305</v>
          </cell>
          <cell r="DM437">
            <v>14291</v>
          </cell>
          <cell r="DN437">
            <v>15372.252462344501</v>
          </cell>
          <cell r="DO437">
            <v>15947.6618430371</v>
          </cell>
          <cell r="DP437">
            <v>17050.1182942632</v>
          </cell>
          <cell r="DQ437">
            <v>17907.348221820899</v>
          </cell>
        </row>
        <row r="438">
          <cell r="B438" t="str">
            <v>Division 2 EBIT</v>
          </cell>
          <cell r="C438" t="str">
            <v>DIV2_EBIT</v>
          </cell>
          <cell r="D438" t="str">
            <v>SEK</v>
          </cell>
          <cell r="Z438">
            <v>1554</v>
          </cell>
          <cell r="AA438">
            <v>1823</v>
          </cell>
          <cell r="AB438">
            <v>3010</v>
          </cell>
          <cell r="AC438">
            <v>4956</v>
          </cell>
          <cell r="AD438">
            <v>5522</v>
          </cell>
          <cell r="AE438">
            <v>5792</v>
          </cell>
          <cell r="AF438">
            <v>5819</v>
          </cell>
          <cell r="AG438">
            <v>7066</v>
          </cell>
          <cell r="AH438">
            <v>8729.2173673994803</v>
          </cell>
          <cell r="AI438">
            <v>10385.675081364199</v>
          </cell>
          <cell r="AJ438">
            <v>11954.226604564299</v>
          </cell>
          <cell r="AK438">
            <v>13838.9841018936</v>
          </cell>
          <cell r="AL438">
            <v>14936.8550142453</v>
          </cell>
          <cell r="AM438">
            <v>16122.3244041901</v>
          </cell>
          <cell r="AN438">
            <v>17402.394370050599</v>
          </cell>
          <cell r="AO438">
            <v>18784.627033518002</v>
          </cell>
          <cell r="AP438">
            <v>20277.189337909502</v>
          </cell>
          <cell r="CF438">
            <v>340</v>
          </cell>
          <cell r="CG438">
            <v>397</v>
          </cell>
          <cell r="CH438">
            <v>398</v>
          </cell>
          <cell r="CI438">
            <v>419</v>
          </cell>
          <cell r="CJ438">
            <v>416</v>
          </cell>
          <cell r="CK438">
            <v>511</v>
          </cell>
          <cell r="CL438">
            <v>494</v>
          </cell>
          <cell r="CM438">
            <v>402</v>
          </cell>
          <cell r="CN438">
            <v>504</v>
          </cell>
          <cell r="CO438">
            <v>693</v>
          </cell>
          <cell r="CP438">
            <v>732</v>
          </cell>
          <cell r="CQ438">
            <v>1081</v>
          </cell>
          <cell r="CR438">
            <v>1176</v>
          </cell>
          <cell r="CS438">
            <v>1193</v>
          </cell>
          <cell r="CT438">
            <v>1205</v>
          </cell>
          <cell r="CU438">
            <v>1350</v>
          </cell>
          <cell r="CV438">
            <v>1292</v>
          </cell>
          <cell r="CW438">
            <v>1479</v>
          </cell>
          <cell r="CX438">
            <v>1315</v>
          </cell>
          <cell r="CY438">
            <v>1436</v>
          </cell>
          <cell r="CZ438">
            <v>1292</v>
          </cell>
          <cell r="DA438">
            <v>1401</v>
          </cell>
          <cell r="DB438">
            <v>1508</v>
          </cell>
          <cell r="DC438">
            <v>1591</v>
          </cell>
          <cell r="DD438">
            <v>1497</v>
          </cell>
          <cell r="DE438">
            <v>1578</v>
          </cell>
          <cell r="DF438">
            <v>1354</v>
          </cell>
          <cell r="DG438">
            <v>1390</v>
          </cell>
          <cell r="DH438">
            <v>1695</v>
          </cell>
          <cell r="DI438">
            <v>1789</v>
          </cell>
          <cell r="DJ438">
            <v>1748</v>
          </cell>
          <cell r="DK438">
            <v>1834</v>
          </cell>
          <cell r="DL438">
            <v>1859</v>
          </cell>
          <cell r="DM438">
            <v>2123</v>
          </cell>
          <cell r="DN438">
            <v>2210.1658288528101</v>
          </cell>
          <cell r="DO438">
            <v>2537.0515385466801</v>
          </cell>
          <cell r="DP438">
            <v>2577.7821686085299</v>
          </cell>
          <cell r="DQ438">
            <v>2689.20106438013</v>
          </cell>
        </row>
        <row r="439">
          <cell r="B439" t="str">
            <v>Division 2 Name</v>
          </cell>
          <cell r="C439" t="str">
            <v>DIV2_NAME</v>
          </cell>
          <cell r="E439" t="str">
            <v>Vacuum Technique</v>
          </cell>
        </row>
        <row r="440">
          <cell r="B440" t="str">
            <v>Division 2 OGS</v>
          </cell>
          <cell r="C440" t="str">
            <v>DIV2_OGS</v>
          </cell>
          <cell r="Z440">
            <v>0</v>
          </cell>
          <cell r="AA440">
            <v>0.01</v>
          </cell>
          <cell r="AB440">
            <v>0.16</v>
          </cell>
          <cell r="AC440">
            <v>0.208677667767</v>
          </cell>
          <cell r="AD440">
            <v>0.08</v>
          </cell>
          <cell r="AE440">
            <v>-0.02</v>
          </cell>
          <cell r="AF440">
            <v>0.03</v>
          </cell>
          <cell r="AG440">
            <v>0.24184362973500001</v>
          </cell>
          <cell r="AH440">
            <v>0.2</v>
          </cell>
          <cell r="AI440">
            <v>0.15</v>
          </cell>
          <cell r="AJ440">
            <v>0.1</v>
          </cell>
          <cell r="AK440">
            <v>0.1</v>
          </cell>
          <cell r="AL440">
            <v>0.05</v>
          </cell>
          <cell r="AM440">
            <v>0.05</v>
          </cell>
          <cell r="AN440">
            <v>0.05</v>
          </cell>
          <cell r="AO440">
            <v>0.05</v>
          </cell>
          <cell r="AP440">
            <v>0.05</v>
          </cell>
          <cell r="CJ440">
            <v>7.0000000000000007E-2</v>
          </cell>
          <cell r="CK440">
            <v>0.05</v>
          </cell>
          <cell r="CL440">
            <v>7.0000000000000007E-2</v>
          </cell>
          <cell r="CM440">
            <v>-0.14000000000000001</v>
          </cell>
          <cell r="CN440">
            <v>0.02</v>
          </cell>
          <cell r="CO440">
            <v>0.16</v>
          </cell>
          <cell r="CP440">
            <v>0.12</v>
          </cell>
          <cell r="CQ440">
            <v>0.32</v>
          </cell>
          <cell r="CR440">
            <v>0.28000000000000003</v>
          </cell>
          <cell r="CS440">
            <v>0.12</v>
          </cell>
          <cell r="CT440">
            <v>0.23</v>
          </cell>
          <cell r="CU440">
            <v>0.21</v>
          </cell>
          <cell r="CV440">
            <v>0.15</v>
          </cell>
          <cell r="CW440">
            <v>0.16</v>
          </cell>
          <cell r="CX440">
            <v>0</v>
          </cell>
          <cell r="CY440">
            <v>0.01</v>
          </cell>
          <cell r="CZ440">
            <v>-0.08</v>
          </cell>
          <cell r="DA440">
            <v>-7.0000000000000007E-2</v>
          </cell>
          <cell r="DB440">
            <v>0.02</v>
          </cell>
          <cell r="DC440">
            <v>0.03</v>
          </cell>
          <cell r="DD440">
            <v>0.05</v>
          </cell>
          <cell r="DE440">
            <v>7.0000000000000007E-2</v>
          </cell>
          <cell r="DF440">
            <v>0.03</v>
          </cell>
          <cell r="DG440">
            <v>-0.02</v>
          </cell>
          <cell r="DH440">
            <v>0.23</v>
          </cell>
          <cell r="DI440">
            <v>0.21</v>
          </cell>
          <cell r="DJ440">
            <v>0.24</v>
          </cell>
          <cell r="DK440">
            <v>0.28999999999999998</v>
          </cell>
          <cell r="DL440">
            <v>0.1</v>
          </cell>
          <cell r="DM440">
            <v>0.15</v>
          </cell>
          <cell r="DN440">
            <v>0.25</v>
          </cell>
          <cell r="DO440">
            <v>0.28553890707599999</v>
          </cell>
          <cell r="DP440">
            <v>0.35</v>
          </cell>
          <cell r="DQ440">
            <v>0.25</v>
          </cell>
        </row>
        <row r="441">
          <cell r="B441" t="str">
            <v>Division 2 Order Backlog</v>
          </cell>
          <cell r="C441" t="str">
            <v>DIV2_ORDERBACKLOG</v>
          </cell>
        </row>
        <row r="442">
          <cell r="B442" t="str">
            <v>Division 2 Order Intake</v>
          </cell>
          <cell r="C442" t="str">
            <v>DIV2_ORDERINTAKE</v>
          </cell>
          <cell r="Z442">
            <v>8773</v>
          </cell>
          <cell r="AA442">
            <v>10152</v>
          </cell>
          <cell r="AB442">
            <v>14021</v>
          </cell>
          <cell r="AC442">
            <v>21890</v>
          </cell>
          <cell r="AD442">
            <v>21471</v>
          </cell>
          <cell r="AE442">
            <v>23876</v>
          </cell>
          <cell r="AF442">
            <v>25583</v>
          </cell>
          <cell r="AG442">
            <v>39529</v>
          </cell>
          <cell r="AH442">
            <v>45912.575236959899</v>
          </cell>
          <cell r="AI442">
            <v>45989.841516490997</v>
          </cell>
          <cell r="AJ442">
            <v>51968.520913634798</v>
          </cell>
          <cell r="AK442">
            <v>56126.002586725597</v>
          </cell>
          <cell r="AL442">
            <v>60616.082793663598</v>
          </cell>
          <cell r="AM442">
            <v>64253.0477612834</v>
          </cell>
          <cell r="AN442">
            <v>68108.230626960401</v>
          </cell>
          <cell r="AO442">
            <v>72194.724464578103</v>
          </cell>
          <cell r="AP442">
            <v>76526.407932452799</v>
          </cell>
          <cell r="CF442">
            <v>2300</v>
          </cell>
          <cell r="CG442">
            <v>2079</v>
          </cell>
          <cell r="CH442">
            <v>2173</v>
          </cell>
          <cell r="CI442">
            <v>2221</v>
          </cell>
          <cell r="CJ442">
            <v>2498</v>
          </cell>
          <cell r="CK442">
            <v>2771</v>
          </cell>
          <cell r="CL442">
            <v>2182</v>
          </cell>
          <cell r="CM442">
            <v>2701</v>
          </cell>
          <cell r="CN442">
            <v>3275</v>
          </cell>
          <cell r="CO442">
            <v>2784</v>
          </cell>
          <cell r="CP442">
            <v>3555</v>
          </cell>
          <cell r="CQ442">
            <v>4407</v>
          </cell>
          <cell r="CR442">
            <v>6067</v>
          </cell>
          <cell r="CS442">
            <v>4989</v>
          </cell>
          <cell r="CT442">
            <v>5160</v>
          </cell>
          <cell r="CU442">
            <v>5674</v>
          </cell>
          <cell r="CV442">
            <v>5992</v>
          </cell>
          <cell r="CW442">
            <v>5596</v>
          </cell>
          <cell r="CX442">
            <v>4726</v>
          </cell>
          <cell r="CY442">
            <v>5157</v>
          </cell>
          <cell r="CZ442">
            <v>5687</v>
          </cell>
          <cell r="DA442">
            <v>5451</v>
          </cell>
          <cell r="DB442">
            <v>6486</v>
          </cell>
          <cell r="DC442">
            <v>6252</v>
          </cell>
          <cell r="DD442">
            <v>7116</v>
          </cell>
          <cell r="DE442">
            <v>5723</v>
          </cell>
          <cell r="DF442">
            <v>5736</v>
          </cell>
          <cell r="DG442">
            <v>7008</v>
          </cell>
          <cell r="DH442">
            <v>8799</v>
          </cell>
          <cell r="DI442">
            <v>9137</v>
          </cell>
          <cell r="DJ442">
            <v>10782</v>
          </cell>
          <cell r="DK442">
            <v>10811</v>
          </cell>
          <cell r="DL442">
            <v>11564</v>
          </cell>
          <cell r="DM442">
            <v>11403</v>
          </cell>
          <cell r="DN442">
            <v>11917.832928756599</v>
          </cell>
          <cell r="DO442">
            <v>11027.7423082034</v>
          </cell>
          <cell r="DP442">
            <v>11021.152218793701</v>
          </cell>
          <cell r="DQ442">
            <v>9999.6456728945104</v>
          </cell>
        </row>
        <row r="443">
          <cell r="B443" t="str">
            <v>Division 3 EBIT</v>
          </cell>
          <cell r="C443" t="str">
            <v>DIV3_EBIT</v>
          </cell>
          <cell r="D443" t="str">
            <v>SEK</v>
          </cell>
          <cell r="T443">
            <v>1643</v>
          </cell>
          <cell r="U443">
            <v>395</v>
          </cell>
          <cell r="V443">
            <v>1218</v>
          </cell>
          <cell r="W443">
            <v>1460</v>
          </cell>
          <cell r="X443">
            <v>1326</v>
          </cell>
          <cell r="Y443">
            <v>1214</v>
          </cell>
          <cell r="Z443">
            <v>1768</v>
          </cell>
          <cell r="AA443">
            <v>1978</v>
          </cell>
          <cell r="AB443">
            <v>1769</v>
          </cell>
          <cell r="AC443">
            <v>2167</v>
          </cell>
          <cell r="AD443">
            <v>1897</v>
          </cell>
          <cell r="AE443">
            <v>2308</v>
          </cell>
          <cell r="AF443">
            <v>1644</v>
          </cell>
          <cell r="AG443">
            <v>2121</v>
          </cell>
          <cell r="AH443">
            <v>3512.2152972120698</v>
          </cell>
          <cell r="AI443">
            <v>3646.63571858256</v>
          </cell>
          <cell r="AJ443">
            <v>3918.3726888238798</v>
          </cell>
          <cell r="AK443">
            <v>4251.6530478846998</v>
          </cell>
          <cell r="AL443">
            <v>4609.7378888508601</v>
          </cell>
          <cell r="AM443">
            <v>4828.2388615780801</v>
          </cell>
          <cell r="AN443">
            <v>5057.3652348987798</v>
          </cell>
          <cell r="AO443">
            <v>5297.6407876415597</v>
          </cell>
          <cell r="AP443">
            <v>5549.6153002964202</v>
          </cell>
          <cell r="BP443">
            <v>198</v>
          </cell>
          <cell r="BQ443">
            <v>405</v>
          </cell>
          <cell r="BR443">
            <v>407</v>
          </cell>
          <cell r="BS443">
            <v>308</v>
          </cell>
          <cell r="BT443">
            <v>449</v>
          </cell>
          <cell r="BU443">
            <v>499</v>
          </cell>
          <cell r="BV443">
            <v>420</v>
          </cell>
          <cell r="BW443">
            <v>197</v>
          </cell>
          <cell r="BX443">
            <v>342</v>
          </cell>
          <cell r="BY443">
            <v>488</v>
          </cell>
          <cell r="BZ443">
            <v>355</v>
          </cell>
          <cell r="CA443">
            <v>206</v>
          </cell>
          <cell r="CB443">
            <v>263</v>
          </cell>
          <cell r="CC443">
            <v>381</v>
          </cell>
          <cell r="CD443">
            <v>316</v>
          </cell>
          <cell r="CE443">
            <v>254</v>
          </cell>
          <cell r="CF443">
            <v>406</v>
          </cell>
          <cell r="CG443">
            <v>545</v>
          </cell>
          <cell r="CH443">
            <v>422</v>
          </cell>
          <cell r="CI443">
            <v>395</v>
          </cell>
          <cell r="CJ443">
            <v>458</v>
          </cell>
          <cell r="CK443">
            <v>522</v>
          </cell>
          <cell r="CL443">
            <v>546</v>
          </cell>
          <cell r="CM443">
            <v>452</v>
          </cell>
          <cell r="CN443">
            <v>408</v>
          </cell>
          <cell r="CO443">
            <v>484</v>
          </cell>
          <cell r="CP443">
            <v>449</v>
          </cell>
          <cell r="CQ443">
            <v>428</v>
          </cell>
          <cell r="CR443">
            <v>404</v>
          </cell>
          <cell r="CS443">
            <v>475</v>
          </cell>
          <cell r="CT443">
            <v>410</v>
          </cell>
          <cell r="CU443">
            <v>446</v>
          </cell>
          <cell r="CV443">
            <v>438</v>
          </cell>
          <cell r="CW443">
            <v>464</v>
          </cell>
          <cell r="CX443">
            <v>480</v>
          </cell>
          <cell r="CY443">
            <v>515</v>
          </cell>
          <cell r="CZ443">
            <v>524</v>
          </cell>
          <cell r="DA443">
            <v>619</v>
          </cell>
          <cell r="DB443">
            <v>606</v>
          </cell>
          <cell r="DC443">
            <v>559</v>
          </cell>
          <cell r="DD443">
            <v>473</v>
          </cell>
          <cell r="DE443">
            <v>336</v>
          </cell>
          <cell r="DF443">
            <v>410</v>
          </cell>
          <cell r="DG443">
            <v>425</v>
          </cell>
          <cell r="DH443">
            <v>476</v>
          </cell>
          <cell r="DI443">
            <v>539</v>
          </cell>
          <cell r="DJ443">
            <v>548</v>
          </cell>
          <cell r="DK443">
            <v>558</v>
          </cell>
          <cell r="DL443">
            <v>664</v>
          </cell>
          <cell r="DM443">
            <v>807</v>
          </cell>
          <cell r="DN443">
            <v>930.04873014006</v>
          </cell>
          <cell r="DO443">
            <v>1111.1665670720099</v>
          </cell>
          <cell r="DP443">
            <v>870.90490760628495</v>
          </cell>
          <cell r="DQ443">
            <v>979.03331425952695</v>
          </cell>
        </row>
        <row r="444">
          <cell r="B444" t="str">
            <v>Division 3 Name</v>
          </cell>
          <cell r="C444" t="str">
            <v>DIV3_NAME</v>
          </cell>
          <cell r="E444" t="str">
            <v>Power Technique</v>
          </cell>
        </row>
        <row r="445">
          <cell r="B445" t="str">
            <v>Division 3 OGS</v>
          </cell>
          <cell r="C445" t="str">
            <v>DIV3_OGS</v>
          </cell>
          <cell r="V445">
            <v>0.23</v>
          </cell>
          <cell r="W445">
            <v>0.18</v>
          </cell>
          <cell r="X445">
            <v>-0.01</v>
          </cell>
          <cell r="Y445">
            <v>0</v>
          </cell>
          <cell r="Z445">
            <v>2.4940416367999999E-2</v>
          </cell>
          <cell r="AA445">
            <v>-0.05</v>
          </cell>
          <cell r="AB445">
            <v>-0.04</v>
          </cell>
          <cell r="AC445">
            <v>9.9931321010999996E-2</v>
          </cell>
          <cell r="AD445">
            <v>7.0000000000000007E-2</v>
          </cell>
          <cell r="AE445">
            <v>0.11</v>
          </cell>
          <cell r="AF445">
            <v>-0.1</v>
          </cell>
          <cell r="AG445">
            <v>0.13464150008299999</v>
          </cell>
          <cell r="AH445">
            <v>0.2</v>
          </cell>
          <cell r="AI445">
            <v>0.05</v>
          </cell>
          <cell r="AJ445">
            <v>0.05</v>
          </cell>
          <cell r="AK445">
            <v>0.05</v>
          </cell>
          <cell r="AL445">
            <v>0.05</v>
          </cell>
          <cell r="AM445">
            <v>0.03</v>
          </cell>
          <cell r="AN445">
            <v>0.03</v>
          </cell>
          <cell r="AO445">
            <v>0.03</v>
          </cell>
          <cell r="AP445">
            <v>0.03</v>
          </cell>
          <cell r="BT445">
            <v>0.38</v>
          </cell>
          <cell r="BU445">
            <v>0.28000000000000003</v>
          </cell>
          <cell r="BV445">
            <v>0.1</v>
          </cell>
          <cell r="BW445">
            <v>-0.01</v>
          </cell>
          <cell r="BX445">
            <v>0.02</v>
          </cell>
          <cell r="BY445">
            <v>-0.03</v>
          </cell>
          <cell r="BZ445">
            <v>-0.03</v>
          </cell>
          <cell r="CA445">
            <v>0.02</v>
          </cell>
          <cell r="CB445">
            <v>-0.09</v>
          </cell>
          <cell r="CC445">
            <v>-0.03</v>
          </cell>
          <cell r="CD445">
            <v>0.05</v>
          </cell>
          <cell r="CE445">
            <v>0.06</v>
          </cell>
          <cell r="CF445">
            <v>7.0000000000000007E-2</v>
          </cell>
          <cell r="CG445">
            <v>0.06</v>
          </cell>
          <cell r="CH445">
            <v>0</v>
          </cell>
          <cell r="CI445">
            <v>-0.03</v>
          </cell>
          <cell r="CJ445">
            <v>-0.03</v>
          </cell>
          <cell r="CK445">
            <v>-0.06</v>
          </cell>
          <cell r="CL445">
            <v>-0.03</v>
          </cell>
          <cell r="CM445">
            <v>-0.06</v>
          </cell>
          <cell r="CN445">
            <v>-0.06</v>
          </cell>
          <cell r="CO445">
            <v>-0.06</v>
          </cell>
          <cell r="CP445">
            <v>-0.06</v>
          </cell>
          <cell r="CQ445">
            <v>-0.01</v>
          </cell>
          <cell r="CR445">
            <v>0.1</v>
          </cell>
          <cell r="CS445">
            <v>0.09</v>
          </cell>
          <cell r="CT445">
            <v>0.11</v>
          </cell>
          <cell r="CU445">
            <v>0.1</v>
          </cell>
          <cell r="CV445">
            <v>0.1</v>
          </cell>
          <cell r="CW445">
            <v>0.06</v>
          </cell>
          <cell r="CX445">
            <v>0.05</v>
          </cell>
          <cell r="CY445">
            <v>0.09</v>
          </cell>
          <cell r="CZ445">
            <v>0.08</v>
          </cell>
          <cell r="DA445">
            <v>0.13</v>
          </cell>
          <cell r="DB445">
            <v>0.17</v>
          </cell>
          <cell r="DC445">
            <v>0.04</v>
          </cell>
          <cell r="DD445">
            <v>-0.01</v>
          </cell>
          <cell r="DE445">
            <v>-0.17</v>
          </cell>
          <cell r="DF445">
            <v>-0.13</v>
          </cell>
          <cell r="DG445">
            <v>-7.0000000000000007E-2</v>
          </cell>
          <cell r="DH445">
            <v>0.05</v>
          </cell>
          <cell r="DI445">
            <v>0.23</v>
          </cell>
          <cell r="DJ445">
            <v>0.13</v>
          </cell>
          <cell r="DK445">
            <v>0.14000000000000001</v>
          </cell>
          <cell r="DL445">
            <v>0.09</v>
          </cell>
          <cell r="DM445">
            <v>0.09</v>
          </cell>
          <cell r="DN445">
            <v>0.3</v>
          </cell>
          <cell r="DO445">
            <v>0.31202686915900002</v>
          </cell>
          <cell r="DP445">
            <v>0.17</v>
          </cell>
          <cell r="DQ445">
            <v>0.17</v>
          </cell>
        </row>
        <row r="446">
          <cell r="B446" t="str">
            <v>Division 3 Order Backlog</v>
          </cell>
          <cell r="C446" t="str">
            <v>DIV3_ORDERBACKLOG</v>
          </cell>
        </row>
        <row r="447">
          <cell r="B447" t="str">
            <v>Division 3 Order Intake</v>
          </cell>
          <cell r="C447" t="str">
            <v>DIV3_ORDERINTAKE</v>
          </cell>
          <cell r="V447">
            <v>12534</v>
          </cell>
          <cell r="W447">
            <v>12786</v>
          </cell>
          <cell r="X447">
            <v>9435</v>
          </cell>
          <cell r="Y447">
            <v>12471</v>
          </cell>
          <cell r="Z447">
            <v>14847</v>
          </cell>
          <cell r="AA447">
            <v>11927</v>
          </cell>
          <cell r="AB447">
            <v>12110</v>
          </cell>
          <cell r="AC447">
            <v>11259</v>
          </cell>
          <cell r="AD447">
            <v>12498</v>
          </cell>
          <cell r="AE447">
            <v>13954</v>
          </cell>
          <cell r="AF447">
            <v>11810</v>
          </cell>
          <cell r="AG447">
            <v>15155</v>
          </cell>
          <cell r="AH447">
            <v>19755.991185801198</v>
          </cell>
          <cell r="AI447">
            <v>20059.784703488302</v>
          </cell>
          <cell r="AJ447">
            <v>21062.7739386627</v>
          </cell>
          <cell r="AK447">
            <v>22115.912635595902</v>
          </cell>
          <cell r="AL447">
            <v>23221.7082673757</v>
          </cell>
          <cell r="AM447">
            <v>24382.793680744398</v>
          </cell>
          <cell r="AN447">
            <v>25601.9333647817</v>
          </cell>
          <cell r="AO447">
            <v>26882.030033020699</v>
          </cell>
          <cell r="AP447">
            <v>28226.1315346718</v>
          </cell>
          <cell r="CN447">
            <v>2600</v>
          </cell>
          <cell r="CO447">
            <v>2503</v>
          </cell>
          <cell r="CP447">
            <v>2550</v>
          </cell>
          <cell r="CQ447">
            <v>2662</v>
          </cell>
          <cell r="CR447">
            <v>2935</v>
          </cell>
          <cell r="CS447">
            <v>2946</v>
          </cell>
          <cell r="CT447">
            <v>2648</v>
          </cell>
          <cell r="CU447">
            <v>2730</v>
          </cell>
          <cell r="CV447">
            <v>3337</v>
          </cell>
          <cell r="CW447">
            <v>3091</v>
          </cell>
          <cell r="CX447">
            <v>3043</v>
          </cell>
          <cell r="CY447">
            <v>3027</v>
          </cell>
          <cell r="CZ447">
            <v>4101</v>
          </cell>
          <cell r="DA447">
            <v>-137</v>
          </cell>
          <cell r="DB447">
            <v>3224</v>
          </cell>
          <cell r="DC447">
            <v>3148</v>
          </cell>
          <cell r="DD447">
            <v>3823</v>
          </cell>
          <cell r="DE447">
            <v>2400</v>
          </cell>
          <cell r="DF447">
            <v>2674</v>
          </cell>
          <cell r="DG447">
            <v>2913</v>
          </cell>
          <cell r="DH447">
            <v>3674</v>
          </cell>
          <cell r="DI447">
            <v>3902</v>
          </cell>
          <cell r="DJ447">
            <v>3331</v>
          </cell>
          <cell r="DK447">
            <v>4248</v>
          </cell>
          <cell r="DL447">
            <v>6164</v>
          </cell>
          <cell r="DM447">
            <v>4997</v>
          </cell>
          <cell r="DN447">
            <v>4382.07837802637</v>
          </cell>
          <cell r="DO447">
            <v>4212.9128077747901</v>
          </cell>
          <cell r="DP447">
            <v>4164.8828133402203</v>
          </cell>
          <cell r="DQ447">
            <v>4158.9734660158501</v>
          </cell>
        </row>
        <row r="448">
          <cell r="B448" t="str">
            <v>Division 3 Sales</v>
          </cell>
          <cell r="C448" t="str">
            <v>DIV3_REVS</v>
          </cell>
          <cell r="D448" t="str">
            <v>SEK</v>
          </cell>
          <cell r="T448">
            <v>13126</v>
          </cell>
          <cell r="U448">
            <v>9627</v>
          </cell>
          <cell r="V448">
            <v>11485</v>
          </cell>
          <cell r="W448">
            <v>12918</v>
          </cell>
          <cell r="X448">
            <v>12888</v>
          </cell>
          <cell r="Y448">
            <v>12257</v>
          </cell>
          <cell r="Z448">
            <v>14739</v>
          </cell>
          <cell r="AA448">
            <v>12112</v>
          </cell>
          <cell r="AB448">
            <v>11794</v>
          </cell>
          <cell r="AC448">
            <v>13246</v>
          </cell>
          <cell r="AD448">
            <v>12042</v>
          </cell>
          <cell r="AE448">
            <v>13915</v>
          </cell>
          <cell r="AF448">
            <v>12106</v>
          </cell>
          <cell r="AG448">
            <v>13234</v>
          </cell>
          <cell r="AH448">
            <v>17795.933000119901</v>
          </cell>
          <cell r="AI448">
            <v>19376.758354829501</v>
          </cell>
          <cell r="AJ448">
            <v>20733.131439667599</v>
          </cell>
          <cell r="AK448">
            <v>22184.450640444298</v>
          </cell>
          <cell r="AL448">
            <v>23737.362185275499</v>
          </cell>
          <cell r="AM448">
            <v>24924.2302945392</v>
          </cell>
          <cell r="AN448">
            <v>26170.441809266202</v>
          </cell>
          <cell r="AO448">
            <v>27478.963899729501</v>
          </cell>
          <cell r="AP448">
            <v>28852.912094716001</v>
          </cell>
          <cell r="CN448">
            <v>2331</v>
          </cell>
          <cell r="CO448">
            <v>2519</v>
          </cell>
          <cell r="CP448">
            <v>2519</v>
          </cell>
          <cell r="CQ448">
            <v>2647</v>
          </cell>
          <cell r="CR448">
            <v>2685</v>
          </cell>
          <cell r="CS448">
            <v>2908</v>
          </cell>
          <cell r="CT448">
            <v>2732</v>
          </cell>
          <cell r="CU448">
            <v>2892</v>
          </cell>
          <cell r="CV448">
            <v>2894</v>
          </cell>
          <cell r="CW448">
            <v>3091</v>
          </cell>
          <cell r="CX448">
            <v>2911</v>
          </cell>
          <cell r="CY448">
            <v>3146</v>
          </cell>
          <cell r="CZ448">
            <v>3177</v>
          </cell>
          <cell r="DA448">
            <v>3555</v>
          </cell>
          <cell r="DB448">
            <v>3697</v>
          </cell>
          <cell r="DC448">
            <v>3486</v>
          </cell>
          <cell r="DD448">
            <v>3325</v>
          </cell>
          <cell r="DE448">
            <v>2930</v>
          </cell>
          <cell r="DF448">
            <v>2932</v>
          </cell>
          <cell r="DG448">
            <v>2919</v>
          </cell>
          <cell r="DH448">
            <v>3121</v>
          </cell>
          <cell r="DI448">
            <v>3377</v>
          </cell>
          <cell r="DJ448">
            <v>3312</v>
          </cell>
          <cell r="DK448">
            <v>3424</v>
          </cell>
          <cell r="DL448">
            <v>3702</v>
          </cell>
          <cell r="DM448">
            <v>4247</v>
          </cell>
          <cell r="DN448">
            <v>4853.8830345311799</v>
          </cell>
          <cell r="DO448">
            <v>4993.0499655887197</v>
          </cell>
          <cell r="DP448">
            <v>4685.5421309191197</v>
          </cell>
          <cell r="DQ448">
            <v>5106.1429137821297</v>
          </cell>
        </row>
        <row r="449">
          <cell r="B449" t="str">
            <v>Division 4 EBIT</v>
          </cell>
          <cell r="C449" t="str">
            <v>DIV4_EBIT</v>
          </cell>
          <cell r="D449" t="str">
            <v>SEK</v>
          </cell>
          <cell r="F449">
            <v>470</v>
          </cell>
          <cell r="G449">
            <v>674</v>
          </cell>
          <cell r="H449">
            <v>836</v>
          </cell>
          <cell r="I449">
            <v>942</v>
          </cell>
          <cell r="J449">
            <v>1046</v>
          </cell>
          <cell r="K449">
            <v>1032</v>
          </cell>
          <cell r="L449">
            <v>1238</v>
          </cell>
          <cell r="M449">
            <v>1123</v>
          </cell>
          <cell r="N449">
            <v>1050</v>
          </cell>
          <cell r="O449">
            <v>1051</v>
          </cell>
          <cell r="P449">
            <v>751</v>
          </cell>
          <cell r="Q449">
            <v>1200</v>
          </cell>
          <cell r="R449">
            <v>1346</v>
          </cell>
          <cell r="S449">
            <v>1539</v>
          </cell>
          <cell r="T449">
            <v>1328</v>
          </cell>
          <cell r="U449">
            <v>253</v>
          </cell>
          <cell r="V449">
            <v>1262</v>
          </cell>
          <cell r="W449">
            <v>1767</v>
          </cell>
          <cell r="X449">
            <v>2155</v>
          </cell>
          <cell r="Y449">
            <v>2138</v>
          </cell>
          <cell r="Z449">
            <v>2557</v>
          </cell>
          <cell r="AA449">
            <v>3355</v>
          </cell>
          <cell r="AB449">
            <v>3430</v>
          </cell>
          <cell r="AC449">
            <v>3795</v>
          </cell>
          <cell r="AD449">
            <v>4188</v>
          </cell>
          <cell r="AE449">
            <v>4186</v>
          </cell>
          <cell r="AF449">
            <v>2612</v>
          </cell>
          <cell r="AG449">
            <v>3976</v>
          </cell>
          <cell r="AH449">
            <v>4599.5531003717797</v>
          </cell>
          <cell r="AI449">
            <v>4984.6201202399998</v>
          </cell>
          <cell r="AJ449">
            <v>6131.0535373081602</v>
          </cell>
          <cell r="AK449">
            <v>7504.4693511346504</v>
          </cell>
          <cell r="AL449">
            <v>8731.1205524472898</v>
          </cell>
          <cell r="AM449">
            <v>9567.0275068593292</v>
          </cell>
          <cell r="AN449">
            <v>10465.5950291918</v>
          </cell>
          <cell r="AO449">
            <v>11432.5659230486</v>
          </cell>
          <cell r="AP449">
            <v>12474.244191064599</v>
          </cell>
          <cell r="AR449">
            <v>213</v>
          </cell>
          <cell r="AS449">
            <v>215</v>
          </cell>
          <cell r="AT449">
            <v>244</v>
          </cell>
          <cell r="AU449">
            <v>271</v>
          </cell>
          <cell r="AV449">
            <v>262</v>
          </cell>
          <cell r="AW449">
            <v>280</v>
          </cell>
          <cell r="AX449">
            <v>311</v>
          </cell>
          <cell r="AY449">
            <v>347</v>
          </cell>
          <cell r="AZ449">
            <v>351</v>
          </cell>
          <cell r="BA449">
            <v>336</v>
          </cell>
          <cell r="BB449">
            <v>311</v>
          </cell>
          <cell r="BC449">
            <v>348</v>
          </cell>
          <cell r="BD449">
            <v>378</v>
          </cell>
          <cell r="BE449">
            <v>392</v>
          </cell>
          <cell r="BF449">
            <v>371</v>
          </cell>
          <cell r="BG449">
            <v>443</v>
          </cell>
          <cell r="BH449">
            <v>412</v>
          </cell>
          <cell r="BI449">
            <v>318</v>
          </cell>
          <cell r="BJ449">
            <v>337</v>
          </cell>
          <cell r="BK449">
            <v>320</v>
          </cell>
          <cell r="BL449">
            <v>125</v>
          </cell>
          <cell r="BM449">
            <v>45</v>
          </cell>
          <cell r="BN449">
            <v>83</v>
          </cell>
          <cell r="BO449">
            <v>187</v>
          </cell>
          <cell r="BP449">
            <v>243</v>
          </cell>
          <cell r="BQ449">
            <v>289</v>
          </cell>
          <cell r="BR449">
            <v>317</v>
          </cell>
          <cell r="BS449">
            <v>413</v>
          </cell>
          <cell r="BT449">
            <v>401</v>
          </cell>
          <cell r="BU449">
            <v>392</v>
          </cell>
          <cell r="BV449">
            <v>398</v>
          </cell>
          <cell r="BW449">
            <v>576</v>
          </cell>
          <cell r="BX449">
            <v>592</v>
          </cell>
          <cell r="BY449">
            <v>552</v>
          </cell>
          <cell r="BZ449">
            <v>479</v>
          </cell>
          <cell r="CA449">
            <v>532</v>
          </cell>
          <cell r="CB449">
            <v>487</v>
          </cell>
          <cell r="CC449">
            <v>482</v>
          </cell>
          <cell r="CD449">
            <v>548</v>
          </cell>
          <cell r="CE449">
            <v>621</v>
          </cell>
          <cell r="CF449">
            <v>543</v>
          </cell>
          <cell r="CG449">
            <v>595</v>
          </cell>
          <cell r="CH449">
            <v>636</v>
          </cell>
          <cell r="CI449">
            <v>783</v>
          </cell>
          <cell r="CJ449">
            <v>770</v>
          </cell>
          <cell r="CK449">
            <v>865</v>
          </cell>
          <cell r="CL449">
            <v>866</v>
          </cell>
          <cell r="CM449">
            <v>854</v>
          </cell>
          <cell r="CN449">
            <v>737</v>
          </cell>
          <cell r="CO449">
            <v>799</v>
          </cell>
          <cell r="CP449">
            <v>897</v>
          </cell>
          <cell r="CQ449">
            <v>997</v>
          </cell>
          <cell r="CR449">
            <v>893</v>
          </cell>
          <cell r="CS449">
            <v>966</v>
          </cell>
          <cell r="CT449">
            <v>979</v>
          </cell>
          <cell r="CU449">
            <v>976</v>
          </cell>
          <cell r="CV449">
            <v>974</v>
          </cell>
          <cell r="CW449">
            <v>1056</v>
          </cell>
          <cell r="CX449">
            <v>1018</v>
          </cell>
          <cell r="CY449">
            <v>1140</v>
          </cell>
          <cell r="CZ449">
            <v>1030</v>
          </cell>
          <cell r="DA449">
            <v>1046</v>
          </cell>
          <cell r="DB449">
            <v>1051</v>
          </cell>
          <cell r="DC449">
            <v>1059</v>
          </cell>
          <cell r="DD449">
            <v>829</v>
          </cell>
          <cell r="DE449">
            <v>334</v>
          </cell>
          <cell r="DF449">
            <v>673</v>
          </cell>
          <cell r="DG449">
            <v>776</v>
          </cell>
          <cell r="DH449">
            <v>917</v>
          </cell>
          <cell r="DI449">
            <v>981</v>
          </cell>
          <cell r="DJ449">
            <v>958</v>
          </cell>
          <cell r="DK449">
            <v>1120</v>
          </cell>
          <cell r="DL449">
            <v>1065</v>
          </cell>
          <cell r="DM449">
            <v>1077</v>
          </cell>
          <cell r="DN449">
            <v>1143.75906197017</v>
          </cell>
          <cell r="DO449">
            <v>1313.7940384016099</v>
          </cell>
          <cell r="DP449">
            <v>1259.15900650356</v>
          </cell>
          <cell r="DQ449">
            <v>1327.7118975727999</v>
          </cell>
        </row>
        <row r="450">
          <cell r="B450" t="str">
            <v>Division 4 Name</v>
          </cell>
          <cell r="C450" t="str">
            <v>DIV4_NAME</v>
          </cell>
          <cell r="E450" t="str">
            <v>Industrial Technique</v>
          </cell>
        </row>
        <row r="451">
          <cell r="B451" t="str">
            <v>Division 4 OGS</v>
          </cell>
          <cell r="C451" t="str">
            <v>DIV4_OGS</v>
          </cell>
          <cell r="F451">
            <v>0.13114494988399999</v>
          </cell>
          <cell r="G451">
            <v>2.0086281280000001E-3</v>
          </cell>
          <cell r="H451">
            <v>-1.734169994E-3</v>
          </cell>
          <cell r="I451">
            <v>2.7574879226999999E-2</v>
          </cell>
          <cell r="J451">
            <v>5.1265266767000002E-2</v>
          </cell>
          <cell r="K451">
            <v>4.5018472291999997E-2</v>
          </cell>
          <cell r="L451">
            <v>5.262295082E-2</v>
          </cell>
          <cell r="M451">
            <v>-2.5559737418000002E-2</v>
          </cell>
          <cell r="N451">
            <v>-5.9661916000000003E-5</v>
          </cell>
          <cell r="O451">
            <v>0</v>
          </cell>
          <cell r="P451">
            <v>0.08</v>
          </cell>
          <cell r="Q451">
            <v>0.1</v>
          </cell>
          <cell r="R451">
            <v>0.03</v>
          </cell>
          <cell r="S451">
            <v>7.0000000000000007E-2</v>
          </cell>
          <cell r="T451">
            <v>0.04</v>
          </cell>
          <cell r="U451">
            <v>-0.35</v>
          </cell>
          <cell r="V451">
            <v>0.27</v>
          </cell>
          <cell r="W451">
            <v>0.24</v>
          </cell>
          <cell r="X451">
            <v>0.12</v>
          </cell>
          <cell r="Y451">
            <v>0.01</v>
          </cell>
          <cell r="Z451">
            <v>9.1685085779999995E-2</v>
          </cell>
          <cell r="AA451">
            <v>7.0000000000000007E-2</v>
          </cell>
          <cell r="AB451">
            <v>0.03</v>
          </cell>
          <cell r="AC451">
            <v>8.5317972963999997E-2</v>
          </cell>
          <cell r="AD451">
            <v>0.06</v>
          </cell>
          <cell r="AE451">
            <v>-0.01</v>
          </cell>
          <cell r="AF451">
            <v>-0.18</v>
          </cell>
          <cell r="AG451">
            <v>0.16840133531199999</v>
          </cell>
          <cell r="AH451">
            <v>0.05</v>
          </cell>
          <cell r="AI451">
            <v>0.02</v>
          </cell>
          <cell r="AJ451">
            <v>0.1</v>
          </cell>
          <cell r="AK451">
            <v>0.1</v>
          </cell>
          <cell r="AL451">
            <v>7.0000000000000007E-2</v>
          </cell>
          <cell r="AM451">
            <v>0.03</v>
          </cell>
          <cell r="AN451">
            <v>0.03</v>
          </cell>
          <cell r="AO451">
            <v>0.03</v>
          </cell>
          <cell r="AP451">
            <v>0.03</v>
          </cell>
          <cell r="AR451">
            <v>0.06</v>
          </cell>
          <cell r="AS451">
            <v>0.05</v>
          </cell>
          <cell r="AT451">
            <v>0.04</v>
          </cell>
          <cell r="AU451">
            <v>0.03</v>
          </cell>
          <cell r="AV451">
            <v>0.12</v>
          </cell>
          <cell r="AW451">
            <v>0.09</v>
          </cell>
          <cell r="AX451">
            <v>0.12</v>
          </cell>
          <cell r="AY451">
            <v>0.08</v>
          </cell>
          <cell r="AZ451">
            <v>0.11</v>
          </cell>
          <cell r="BA451">
            <v>7.0000000000000007E-2</v>
          </cell>
          <cell r="BB451">
            <v>-0.03</v>
          </cell>
          <cell r="BC451">
            <v>0</v>
          </cell>
          <cell r="BD451">
            <v>-0.01</v>
          </cell>
          <cell r="BE451">
            <v>0.09</v>
          </cell>
          <cell r="BF451">
            <v>0.09</v>
          </cell>
          <cell r="BG451">
            <v>0.14000000000000001</v>
          </cell>
          <cell r="BH451">
            <v>0.14000000000000001</v>
          </cell>
          <cell r="BI451">
            <v>0.09</v>
          </cell>
          <cell r="BJ451">
            <v>7.0000000000000007E-2</v>
          </cell>
          <cell r="BK451">
            <v>-0.1</v>
          </cell>
          <cell r="BL451">
            <v>-0.32</v>
          </cell>
          <cell r="BM451">
            <v>-0.45</v>
          </cell>
          <cell r="BN451">
            <v>-0.36</v>
          </cell>
          <cell r="BO451">
            <v>-0.27</v>
          </cell>
          <cell r="BP451">
            <v>0.09</v>
          </cell>
          <cell r="BQ451">
            <v>0.34</v>
          </cell>
          <cell r="BR451">
            <v>0.3</v>
          </cell>
          <cell r="BS451">
            <v>0.34</v>
          </cell>
          <cell r="BT451">
            <v>0.27</v>
          </cell>
          <cell r="BU451">
            <v>0.28999999999999998</v>
          </cell>
          <cell r="BV451">
            <v>0.21</v>
          </cell>
          <cell r="BW451">
            <v>0.19</v>
          </cell>
          <cell r="BX451">
            <v>0.24</v>
          </cell>
          <cell r="BY451">
            <v>0.15</v>
          </cell>
          <cell r="BZ451">
            <v>0.13</v>
          </cell>
          <cell r="CA451">
            <v>0</v>
          </cell>
          <cell r="CB451">
            <v>-7.0000000000000007E-2</v>
          </cell>
          <cell r="CC451">
            <v>-0.03</v>
          </cell>
          <cell r="CD451">
            <v>0.05</v>
          </cell>
          <cell r="CE451">
            <v>0.11</v>
          </cell>
          <cell r="CF451">
            <v>0.15</v>
          </cell>
          <cell r="CG451">
            <v>0.12</v>
          </cell>
          <cell r="CH451">
            <v>7.0000000000000007E-2</v>
          </cell>
          <cell r="CI451">
            <v>0.04</v>
          </cell>
          <cell r="CJ451">
            <v>0.04</v>
          </cell>
          <cell r="CK451">
            <v>0.1</v>
          </cell>
          <cell r="CL451">
            <v>0.1</v>
          </cell>
          <cell r="CM451">
            <v>0.03</v>
          </cell>
          <cell r="CN451">
            <v>0.03</v>
          </cell>
          <cell r="CO451">
            <v>0</v>
          </cell>
          <cell r="CP451">
            <v>0.04</v>
          </cell>
          <cell r="CQ451">
            <v>0.03</v>
          </cell>
          <cell r="CR451">
            <v>0.12</v>
          </cell>
          <cell r="CS451">
            <v>0.11</v>
          </cell>
          <cell r="CT451">
            <v>0.08</v>
          </cell>
          <cell r="CU451">
            <v>0.04</v>
          </cell>
          <cell r="CV451">
            <v>7.0000000000000007E-2</v>
          </cell>
          <cell r="CW451">
            <v>0.06</v>
          </cell>
          <cell r="CX451">
            <v>0</v>
          </cell>
          <cell r="CY451">
            <v>0.1</v>
          </cell>
          <cell r="CZ451">
            <v>0.03</v>
          </cell>
          <cell r="DA451">
            <v>-0.03</v>
          </cell>
          <cell r="DB451">
            <v>0.04</v>
          </cell>
          <cell r="DC451">
            <v>-0.05</v>
          </cell>
          <cell r="DD451">
            <v>-0.14000000000000001</v>
          </cell>
          <cell r="DE451">
            <v>-0.28999999999999998</v>
          </cell>
          <cell r="DF451">
            <v>-0.17</v>
          </cell>
          <cell r="DG451">
            <v>-0.12</v>
          </cell>
          <cell r="DH451">
            <v>0.12</v>
          </cell>
          <cell r="DI451">
            <v>0.39</v>
          </cell>
          <cell r="DJ451">
            <v>7.0000000000000007E-2</v>
          </cell>
          <cell r="DK451">
            <v>0.14000000000000001</v>
          </cell>
          <cell r="DL451">
            <v>0.01</v>
          </cell>
          <cell r="DM451">
            <v>0.02</v>
          </cell>
          <cell r="DN451">
            <v>0.08</v>
          </cell>
          <cell r="DO451">
            <v>8.7710657945000006E-2</v>
          </cell>
          <cell r="DP451">
            <v>0.1</v>
          </cell>
          <cell r="DQ451">
            <v>0.1</v>
          </cell>
        </row>
        <row r="452">
          <cell r="B452" t="str">
            <v>Division 4 Order Backlog</v>
          </cell>
          <cell r="C452" t="str">
            <v>DIV4_ORDERBACKLOG</v>
          </cell>
        </row>
        <row r="453">
          <cell r="B453" t="str">
            <v>Division 4 Order Intake</v>
          </cell>
          <cell r="C453" t="str">
            <v>DIV4_ORDERINTAKE</v>
          </cell>
          <cell r="F453">
            <v>5553</v>
          </cell>
          <cell r="G453">
            <v>7083</v>
          </cell>
          <cell r="H453">
            <v>8128</v>
          </cell>
          <cell r="I453">
            <v>9316</v>
          </cell>
          <cell r="J453">
            <v>10059</v>
          </cell>
          <cell r="K453">
            <v>10345</v>
          </cell>
          <cell r="L453">
            <v>11454</v>
          </cell>
          <cell r="M453">
            <v>12068</v>
          </cell>
          <cell r="N453">
            <v>11502</v>
          </cell>
          <cell r="O453">
            <v>10528</v>
          </cell>
          <cell r="P453">
            <v>5180</v>
          </cell>
          <cell r="Q453">
            <v>6086</v>
          </cell>
          <cell r="R453">
            <v>6533</v>
          </cell>
          <cell r="S453">
            <v>7043</v>
          </cell>
          <cell r="T453">
            <v>7407</v>
          </cell>
          <cell r="U453">
            <v>5367</v>
          </cell>
          <cell r="V453">
            <v>6730</v>
          </cell>
          <cell r="W453">
            <v>8462</v>
          </cell>
          <cell r="X453">
            <v>13001</v>
          </cell>
          <cell r="Y453">
            <v>9594</v>
          </cell>
          <cell r="Z453">
            <v>11335</v>
          </cell>
          <cell r="AA453">
            <v>14612</v>
          </cell>
          <cell r="AB453">
            <v>15112</v>
          </cell>
          <cell r="AC453">
            <v>16651</v>
          </cell>
          <cell r="AD453">
            <v>18264</v>
          </cell>
          <cell r="AE453">
            <v>18267</v>
          </cell>
          <cell r="AF453">
            <v>16254</v>
          </cell>
          <cell r="AG453">
            <v>20545</v>
          </cell>
          <cell r="AH453">
            <v>25974.8767444566</v>
          </cell>
          <cell r="AI453">
            <v>28857.3041436852</v>
          </cell>
          <cell r="AJ453">
            <v>31454.461516616899</v>
          </cell>
          <cell r="AK453">
            <v>35228.996898610902</v>
          </cell>
          <cell r="AL453">
            <v>39456.476526444203</v>
          </cell>
          <cell r="AM453">
            <v>44191.2537096175</v>
          </cell>
          <cell r="AN453">
            <v>49494.2041547716</v>
          </cell>
          <cell r="AO453">
            <v>55433.508653344201</v>
          </cell>
          <cell r="AP453">
            <v>62085.529691745498</v>
          </cell>
          <cell r="AR453">
            <v>1247</v>
          </cell>
          <cell r="AS453">
            <v>1334</v>
          </cell>
          <cell r="AT453">
            <v>1260</v>
          </cell>
          <cell r="AU453">
            <v>2701</v>
          </cell>
          <cell r="AV453">
            <v>1393</v>
          </cell>
          <cell r="AW453">
            <v>1591</v>
          </cell>
          <cell r="AX453">
            <v>1480</v>
          </cell>
          <cell r="AY453">
            <v>1622</v>
          </cell>
          <cell r="AZ453">
            <v>1734</v>
          </cell>
          <cell r="BA453">
            <v>1722</v>
          </cell>
          <cell r="BB453">
            <v>1480</v>
          </cell>
          <cell r="BC453">
            <v>1597</v>
          </cell>
          <cell r="BD453">
            <v>1774</v>
          </cell>
          <cell r="BE453">
            <v>1758</v>
          </cell>
          <cell r="BF453">
            <v>1685</v>
          </cell>
          <cell r="BG453">
            <v>1826</v>
          </cell>
          <cell r="BH453">
            <v>1959</v>
          </cell>
          <cell r="BI453">
            <v>1940</v>
          </cell>
          <cell r="BJ453">
            <v>1776</v>
          </cell>
          <cell r="BK453">
            <v>1732</v>
          </cell>
          <cell r="BL453">
            <v>1377</v>
          </cell>
          <cell r="BM453">
            <v>1283</v>
          </cell>
          <cell r="BN453">
            <v>1201</v>
          </cell>
          <cell r="BO453">
            <v>1505</v>
          </cell>
          <cell r="BP453">
            <v>1598</v>
          </cell>
          <cell r="BQ453">
            <v>1701</v>
          </cell>
          <cell r="BR453">
            <v>1693</v>
          </cell>
          <cell r="BS453">
            <v>1738</v>
          </cell>
          <cell r="BT453">
            <v>1995</v>
          </cell>
          <cell r="BU453">
            <v>2111</v>
          </cell>
          <cell r="BV453">
            <v>2013</v>
          </cell>
          <cell r="BW453">
            <v>2343</v>
          </cell>
          <cell r="BX453">
            <v>2498</v>
          </cell>
          <cell r="BY453">
            <v>2465</v>
          </cell>
          <cell r="BZ453">
            <v>2218</v>
          </cell>
          <cell r="CA453">
            <v>2254</v>
          </cell>
          <cell r="CB453">
            <v>2187</v>
          </cell>
          <cell r="CC453">
            <v>2457</v>
          </cell>
          <cell r="CD453">
            <v>2402</v>
          </cell>
          <cell r="CE453">
            <v>2548</v>
          </cell>
          <cell r="CF453">
            <v>2593</v>
          </cell>
          <cell r="CG453">
            <v>2754</v>
          </cell>
          <cell r="CH453">
            <v>2822</v>
          </cell>
          <cell r="CI453">
            <v>3166</v>
          </cell>
          <cell r="CJ453">
            <v>3732</v>
          </cell>
          <cell r="CK453">
            <v>3702</v>
          </cell>
          <cell r="CL453">
            <v>3604</v>
          </cell>
          <cell r="CM453">
            <v>3574</v>
          </cell>
          <cell r="CN453">
            <v>3512</v>
          </cell>
          <cell r="CO453">
            <v>3862</v>
          </cell>
          <cell r="CP453">
            <v>3841</v>
          </cell>
          <cell r="CQ453">
            <v>3897</v>
          </cell>
          <cell r="CR453">
            <v>4303</v>
          </cell>
          <cell r="CS453">
            <v>4230</v>
          </cell>
          <cell r="CT453">
            <v>4091</v>
          </cell>
          <cell r="CU453">
            <v>4027</v>
          </cell>
          <cell r="CV453">
            <v>4578</v>
          </cell>
          <cell r="CW453">
            <v>4713</v>
          </cell>
          <cell r="CX453">
            <v>4556</v>
          </cell>
          <cell r="CY453">
            <v>4417</v>
          </cell>
          <cell r="CZ453">
            <v>4686</v>
          </cell>
          <cell r="DA453">
            <v>4868</v>
          </cell>
          <cell r="DB453">
            <v>4669</v>
          </cell>
          <cell r="DC453">
            <v>4044</v>
          </cell>
          <cell r="DD453">
            <v>4463</v>
          </cell>
          <cell r="DE453">
            <v>3246</v>
          </cell>
          <cell r="DF453">
            <v>4359</v>
          </cell>
          <cell r="DG453">
            <v>4186</v>
          </cell>
          <cell r="DH453">
            <v>5143</v>
          </cell>
          <cell r="DI453">
            <v>5395</v>
          </cell>
          <cell r="DJ453">
            <v>5206</v>
          </cell>
          <cell r="DK453">
            <v>4801</v>
          </cell>
          <cell r="DL453">
            <v>6002</v>
          </cell>
          <cell r="DM453">
            <v>6868</v>
          </cell>
          <cell r="DN453">
            <v>6625.5965278619096</v>
          </cell>
          <cell r="DO453">
            <v>6479.2802165947296</v>
          </cell>
          <cell r="DP453">
            <v>6340.4235885909202</v>
          </cell>
          <cell r="DQ453">
            <v>6046.7709007511203</v>
          </cell>
        </row>
        <row r="454">
          <cell r="B454" t="str">
            <v>Division 4 Sales</v>
          </cell>
          <cell r="C454" t="str">
            <v>DIV4_REVS</v>
          </cell>
          <cell r="D454" t="str">
            <v>SEK</v>
          </cell>
          <cell r="F454">
            <v>5553</v>
          </cell>
          <cell r="G454">
            <v>7083</v>
          </cell>
          <cell r="H454">
            <v>8128</v>
          </cell>
          <cell r="I454">
            <v>9316</v>
          </cell>
          <cell r="J454">
            <v>10059</v>
          </cell>
          <cell r="K454">
            <v>10345</v>
          </cell>
          <cell r="L454">
            <v>11454</v>
          </cell>
          <cell r="M454">
            <v>12126</v>
          </cell>
          <cell r="N454">
            <v>11481</v>
          </cell>
          <cell r="O454">
            <v>10526</v>
          </cell>
          <cell r="P454">
            <v>5046</v>
          </cell>
          <cell r="Q454">
            <v>6064</v>
          </cell>
          <cell r="R454">
            <v>6440</v>
          </cell>
          <cell r="S454">
            <v>6871</v>
          </cell>
          <cell r="T454">
            <v>7450</v>
          </cell>
          <cell r="U454">
            <v>5392</v>
          </cell>
          <cell r="V454">
            <v>6472</v>
          </cell>
          <cell r="W454">
            <v>7821</v>
          </cell>
          <cell r="X454">
            <v>9566</v>
          </cell>
          <cell r="Y454">
            <v>9501</v>
          </cell>
          <cell r="Z454">
            <v>11450</v>
          </cell>
          <cell r="AA454">
            <v>14578</v>
          </cell>
          <cell r="AB454">
            <v>15017</v>
          </cell>
          <cell r="AC454">
            <v>16377</v>
          </cell>
          <cell r="AD454">
            <v>17933</v>
          </cell>
          <cell r="AE454">
            <v>18712</v>
          </cell>
          <cell r="AF454">
            <v>16176</v>
          </cell>
          <cell r="AG454">
            <v>19421</v>
          </cell>
          <cell r="AH454">
            <v>22216.8885861239</v>
          </cell>
          <cell r="AI454">
            <v>24665.179109848599</v>
          </cell>
          <cell r="AJ454">
            <v>28858.259558522899</v>
          </cell>
          <cell r="AK454">
            <v>33764.163683471801</v>
          </cell>
          <cell r="AL454">
            <v>38491.146599157903</v>
          </cell>
          <cell r="AM454">
            <v>42340.261259073603</v>
          </cell>
          <cell r="AN454">
            <v>46574.287384980998</v>
          </cell>
          <cell r="AO454">
            <v>51231.716123479098</v>
          </cell>
          <cell r="AP454">
            <v>56354.887735826997</v>
          </cell>
          <cell r="AR454">
            <v>1183</v>
          </cell>
          <cell r="AS454">
            <v>1251</v>
          </cell>
          <cell r="AT454">
            <v>1248</v>
          </cell>
          <cell r="AU454">
            <v>1364</v>
          </cell>
          <cell r="AV454">
            <v>1340</v>
          </cell>
          <cell r="AW454">
            <v>1464</v>
          </cell>
          <cell r="AX454">
            <v>1544</v>
          </cell>
          <cell r="AY454">
            <v>1716</v>
          </cell>
          <cell r="AZ454">
            <v>1676</v>
          </cell>
          <cell r="BA454">
            <v>1629</v>
          </cell>
          <cell r="BB454">
            <v>1493</v>
          </cell>
          <cell r="BC454">
            <v>1642</v>
          </cell>
          <cell r="BD454">
            <v>1591</v>
          </cell>
          <cell r="BE454">
            <v>1714</v>
          </cell>
          <cell r="BF454">
            <v>1646</v>
          </cell>
          <cell r="BG454">
            <v>1920</v>
          </cell>
          <cell r="BH454">
            <v>1825</v>
          </cell>
          <cell r="BI454">
            <v>1836</v>
          </cell>
          <cell r="BJ454">
            <v>1788</v>
          </cell>
          <cell r="BK454">
            <v>2001</v>
          </cell>
          <cell r="BL454">
            <v>1483</v>
          </cell>
          <cell r="BM454">
            <v>1211</v>
          </cell>
          <cell r="BN454">
            <v>1243</v>
          </cell>
          <cell r="BO454">
            <v>1455</v>
          </cell>
          <cell r="BP454">
            <v>1483</v>
          </cell>
          <cell r="BQ454">
            <v>1535</v>
          </cell>
          <cell r="BR454">
            <v>1569</v>
          </cell>
          <cell r="BS454">
            <v>1885</v>
          </cell>
          <cell r="BT454">
            <v>1768</v>
          </cell>
          <cell r="BU454">
            <v>1800</v>
          </cell>
          <cell r="BV454">
            <v>1816</v>
          </cell>
          <cell r="BW454">
            <v>2437</v>
          </cell>
          <cell r="BX454">
            <v>2471</v>
          </cell>
          <cell r="BY454">
            <v>2420</v>
          </cell>
          <cell r="BZ454">
            <v>2280</v>
          </cell>
          <cell r="CA454">
            <v>2395</v>
          </cell>
          <cell r="CB454">
            <v>2183</v>
          </cell>
          <cell r="CC454">
            <v>2243</v>
          </cell>
          <cell r="CD454">
            <v>2383</v>
          </cell>
          <cell r="CE454">
            <v>2692</v>
          </cell>
          <cell r="CF454">
            <v>2505</v>
          </cell>
          <cell r="CG454">
            <v>2650</v>
          </cell>
          <cell r="CH454">
            <v>2827</v>
          </cell>
          <cell r="CI454">
            <v>3468</v>
          </cell>
          <cell r="CJ454">
            <v>3394</v>
          </cell>
          <cell r="CK454">
            <v>3697</v>
          </cell>
          <cell r="CL454">
            <v>3668</v>
          </cell>
          <cell r="CM454">
            <v>3819</v>
          </cell>
          <cell r="CN454">
            <v>3417</v>
          </cell>
          <cell r="CO454">
            <v>3622</v>
          </cell>
          <cell r="CP454">
            <v>3841</v>
          </cell>
          <cell r="CQ454">
            <v>4137</v>
          </cell>
          <cell r="CR454">
            <v>3965</v>
          </cell>
          <cell r="CS454">
            <v>4153</v>
          </cell>
          <cell r="CT454">
            <v>4098</v>
          </cell>
          <cell r="CU454">
            <v>4215</v>
          </cell>
          <cell r="CV454">
            <v>4178</v>
          </cell>
          <cell r="CW454">
            <v>4519</v>
          </cell>
          <cell r="CX454">
            <v>4365</v>
          </cell>
          <cell r="CY454">
            <v>4871</v>
          </cell>
          <cell r="CZ454">
            <v>4547</v>
          </cell>
          <cell r="DA454">
            <v>4576</v>
          </cell>
          <cell r="DB454">
            <v>4783</v>
          </cell>
          <cell r="DC454">
            <v>4806</v>
          </cell>
          <cell r="DD454">
            <v>4193</v>
          </cell>
          <cell r="DE454">
            <v>3355</v>
          </cell>
          <cell r="DF454">
            <v>4221</v>
          </cell>
          <cell r="DG454">
            <v>4407</v>
          </cell>
          <cell r="DH454">
            <v>4713</v>
          </cell>
          <cell r="DI454">
            <v>4880</v>
          </cell>
          <cell r="DJ454">
            <v>4630</v>
          </cell>
          <cell r="DK454">
            <v>5198</v>
          </cell>
          <cell r="DL454">
            <v>5083</v>
          </cell>
          <cell r="DM454">
            <v>5405</v>
          </cell>
          <cell r="DN454">
            <v>5568.4301429121497</v>
          </cell>
          <cell r="DO454">
            <v>6160.4584432116999</v>
          </cell>
          <cell r="DP454">
            <v>6132.0556482518596</v>
          </cell>
          <cell r="DQ454">
            <v>6380.2065693884397</v>
          </cell>
        </row>
        <row r="455">
          <cell r="B455" t="str">
            <v>Division 5 EBIT</v>
          </cell>
          <cell r="C455" t="str">
            <v>DIV5_EBIT</v>
          </cell>
          <cell r="D455" t="str">
            <v>SEK</v>
          </cell>
        </row>
        <row r="456">
          <cell r="B456" t="str">
            <v>Division 5 Name</v>
          </cell>
          <cell r="C456" t="str">
            <v>DIV5_NAME</v>
          </cell>
        </row>
        <row r="457">
          <cell r="B457" t="str">
            <v>Division 5 OGS</v>
          </cell>
          <cell r="C457" t="str">
            <v>DIV5_OGS</v>
          </cell>
        </row>
        <row r="458">
          <cell r="B458" t="str">
            <v>Division 5 Order Backlog</v>
          </cell>
          <cell r="C458" t="str">
            <v>DIV5_ORDERBACKLOG</v>
          </cell>
        </row>
        <row r="459">
          <cell r="B459" t="str">
            <v>Division 5 Order Intake</v>
          </cell>
          <cell r="C459" t="str">
            <v>DIV5_ORDERINTAKE</v>
          </cell>
        </row>
        <row r="460">
          <cell r="B460" t="str">
            <v>Division 5 Sales</v>
          </cell>
          <cell r="C460" t="str">
            <v>DIV5_REVS</v>
          </cell>
          <cell r="D460" t="str">
            <v>SEK</v>
          </cell>
        </row>
        <row r="461">
          <cell r="B461" t="str">
            <v>Division 6 EBIT</v>
          </cell>
          <cell r="C461" t="str">
            <v>DIV6_EBIT</v>
          </cell>
          <cell r="D461" t="str">
            <v>SEK</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row>
        <row r="466">
          <cell r="B466" t="str">
            <v>Division 6 Sales</v>
          </cell>
          <cell r="C466" t="str">
            <v>DIV6_REVS</v>
          </cell>
          <cell r="D466" t="str">
            <v>SEK</v>
          </cell>
        </row>
        <row r="467">
          <cell r="B467" t="str">
            <v>Group order backlog</v>
          </cell>
          <cell r="C467" t="str">
            <v>GROUP_ORDERBACKLOG</v>
          </cell>
          <cell r="M467">
            <v>4034</v>
          </cell>
          <cell r="N467">
            <v>3934</v>
          </cell>
          <cell r="O467">
            <v>4095</v>
          </cell>
          <cell r="P467">
            <v>5823</v>
          </cell>
          <cell r="Q467">
            <v>9014</v>
          </cell>
          <cell r="R467">
            <v>12639</v>
          </cell>
          <cell r="S467">
            <v>19618</v>
          </cell>
          <cell r="T467">
            <v>20692</v>
          </cell>
          <cell r="U467">
            <v>14265</v>
          </cell>
          <cell r="V467">
            <v>18677</v>
          </cell>
          <cell r="W467">
            <v>24714</v>
          </cell>
          <cell r="X467">
            <v>24020</v>
          </cell>
          <cell r="Y467">
            <v>19263</v>
          </cell>
          <cell r="Z467">
            <v>22830</v>
          </cell>
          <cell r="AA467">
            <v>20254</v>
          </cell>
          <cell r="AB467">
            <v>21597</v>
          </cell>
          <cell r="AC467">
            <v>26841</v>
          </cell>
        </row>
        <row r="468">
          <cell r="B468" t="str">
            <v>Group order intake</v>
          </cell>
          <cell r="C468" t="str">
            <v>GROUP_ORDERINTAKE</v>
          </cell>
          <cell r="O468">
            <v>45149</v>
          </cell>
          <cell r="P468">
            <v>44659</v>
          </cell>
          <cell r="Q468">
            <v>44744</v>
          </cell>
          <cell r="R468">
            <v>55239</v>
          </cell>
          <cell r="S468">
            <v>69059</v>
          </cell>
          <cell r="T468">
            <v>73572</v>
          </cell>
          <cell r="U468">
            <v>58451</v>
          </cell>
          <cell r="V468">
            <v>75178</v>
          </cell>
          <cell r="W468">
            <v>86955</v>
          </cell>
          <cell r="X468">
            <v>90570</v>
          </cell>
          <cell r="Y468">
            <v>81290</v>
          </cell>
          <cell r="Z468">
            <v>93873</v>
          </cell>
          <cell r="AA468">
            <v>97002</v>
          </cell>
          <cell r="AB468">
            <v>102812</v>
          </cell>
          <cell r="AC468">
            <v>121605</v>
          </cell>
          <cell r="AD468">
            <v>97132</v>
          </cell>
          <cell r="AE468">
            <v>106104</v>
          </cell>
          <cell r="AF468">
            <v>100554</v>
          </cell>
          <cell r="AG468">
            <v>129545</v>
          </cell>
          <cell r="AH468">
            <v>157427.496576837</v>
          </cell>
          <cell r="AI468">
            <v>162773.82135071399</v>
          </cell>
          <cell r="AJ468">
            <v>177771.33173106401</v>
          </cell>
          <cell r="AK468">
            <v>194092.90404492701</v>
          </cell>
          <cell r="AL468">
            <v>211986.641644672</v>
          </cell>
          <cell r="AM468">
            <v>228616.63517089101</v>
          </cell>
          <cell r="AN468">
            <v>246658.408009773</v>
          </cell>
          <cell r="AO468">
            <v>266241.43419102498</v>
          </cell>
          <cell r="AP468">
            <v>287507.91118334298</v>
          </cell>
          <cell r="AR468">
            <v>10278</v>
          </cell>
          <cell r="AS468">
            <v>11201</v>
          </cell>
          <cell r="AT468">
            <v>11418</v>
          </cell>
          <cell r="AU468">
            <v>13124</v>
          </cell>
          <cell r="AV468">
            <v>11990</v>
          </cell>
          <cell r="AW468">
            <v>13838</v>
          </cell>
          <cell r="AX468">
            <v>14257</v>
          </cell>
          <cell r="AY468">
            <v>15196</v>
          </cell>
          <cell r="AZ468">
            <v>16614</v>
          </cell>
          <cell r="BA468">
            <v>16526</v>
          </cell>
          <cell r="BB468">
            <v>13847</v>
          </cell>
          <cell r="BC468">
            <v>14131</v>
          </cell>
          <cell r="BD468">
            <v>16120</v>
          </cell>
          <cell r="BE468">
            <v>16735</v>
          </cell>
          <cell r="BF468">
            <v>17388</v>
          </cell>
          <cell r="BG468">
            <v>18816</v>
          </cell>
          <cell r="BH468">
            <v>19505</v>
          </cell>
          <cell r="BI468">
            <v>19788</v>
          </cell>
          <cell r="BJ468">
            <v>18842</v>
          </cell>
          <cell r="BK468">
            <v>15437</v>
          </cell>
          <cell r="BL468">
            <v>14331</v>
          </cell>
          <cell r="BM468">
            <v>14535</v>
          </cell>
          <cell r="BN468">
            <v>14309</v>
          </cell>
          <cell r="BO468">
            <v>15276</v>
          </cell>
          <cell r="BP468">
            <v>17267</v>
          </cell>
          <cell r="BQ468">
            <v>19221</v>
          </cell>
          <cell r="BR468">
            <v>19316</v>
          </cell>
          <cell r="BS468">
            <v>19374</v>
          </cell>
          <cell r="BT468">
            <v>21675</v>
          </cell>
          <cell r="BU468">
            <v>22202</v>
          </cell>
          <cell r="BV468">
            <v>21151</v>
          </cell>
          <cell r="BW468">
            <v>21927</v>
          </cell>
          <cell r="BX468">
            <v>24827</v>
          </cell>
          <cell r="BY468">
            <v>23263</v>
          </cell>
          <cell r="BZ468">
            <v>21379</v>
          </cell>
          <cell r="CA468">
            <v>21101</v>
          </cell>
          <cell r="CB468">
            <v>21008</v>
          </cell>
          <cell r="CC468">
            <v>21135</v>
          </cell>
          <cell r="CD468">
            <v>19433</v>
          </cell>
          <cell r="CE468">
            <v>19714</v>
          </cell>
          <cell r="CF468">
            <v>22653</v>
          </cell>
          <cell r="CG468">
            <v>23450</v>
          </cell>
          <cell r="CH468">
            <v>23395</v>
          </cell>
          <cell r="CI468">
            <v>24375</v>
          </cell>
          <cell r="CJ468">
            <v>24493</v>
          </cell>
          <cell r="CK468">
            <v>25847</v>
          </cell>
          <cell r="CL468">
            <v>23456</v>
          </cell>
          <cell r="CM468">
            <v>23206</v>
          </cell>
          <cell r="CN468">
            <v>23506</v>
          </cell>
          <cell r="CO468">
            <v>24715</v>
          </cell>
          <cell r="CP468">
            <v>25644</v>
          </cell>
          <cell r="CQ468">
            <v>27198</v>
          </cell>
          <cell r="CR468">
            <v>31232</v>
          </cell>
          <cell r="CS468">
            <v>30354</v>
          </cell>
          <cell r="CT468">
            <v>30021</v>
          </cell>
          <cell r="CU468">
            <v>29998</v>
          </cell>
          <cell r="CV468">
            <v>24829</v>
          </cell>
          <cell r="CW468">
            <v>25120</v>
          </cell>
          <cell r="CX468">
            <v>23440</v>
          </cell>
          <cell r="CY468">
            <v>23743</v>
          </cell>
          <cell r="CZ468">
            <v>26812</v>
          </cell>
          <cell r="DA468">
            <v>26565</v>
          </cell>
          <cell r="DB468">
            <v>27102</v>
          </cell>
          <cell r="DC468">
            <v>25625</v>
          </cell>
          <cell r="DD468">
            <v>28039</v>
          </cell>
          <cell r="DE468">
            <v>22401</v>
          </cell>
          <cell r="DF468">
            <v>24246</v>
          </cell>
          <cell r="DG468">
            <v>25868</v>
          </cell>
          <cell r="DH468">
            <v>30468</v>
          </cell>
          <cell r="DI468">
            <v>32529</v>
          </cell>
          <cell r="DJ468">
            <v>33023</v>
          </cell>
          <cell r="DK468">
            <v>33525</v>
          </cell>
          <cell r="DL468">
            <v>40379</v>
          </cell>
          <cell r="DM468">
            <v>41010</v>
          </cell>
          <cell r="DN468">
            <v>39100.5286681789</v>
          </cell>
          <cell r="DO468">
            <v>36937.967908658102</v>
          </cell>
          <cell r="DP468">
            <v>37873.264018919697</v>
          </cell>
          <cell r="DQ468">
            <v>36227.793654299399</v>
          </cell>
        </row>
        <row r="469">
          <cell r="B469" t="str">
            <v>Group organic sales growth</v>
          </cell>
          <cell r="C469" t="str">
            <v>GROUP_OGS</v>
          </cell>
          <cell r="O469">
            <v>0.03</v>
          </cell>
          <cell r="P469">
            <v>0.1</v>
          </cell>
          <cell r="Q469">
            <v>0.15</v>
          </cell>
          <cell r="R469">
            <v>0.17</v>
          </cell>
          <cell r="S469">
            <v>0.18</v>
          </cell>
          <cell r="T469">
            <v>0.12</v>
          </cell>
          <cell r="U469">
            <v>-0.22</v>
          </cell>
          <cell r="V469">
            <v>0.117085629017</v>
          </cell>
          <cell r="W469">
            <v>0.15185175799799999</v>
          </cell>
          <cell r="X469">
            <v>5.8490173009000002E-2</v>
          </cell>
          <cell r="Y469">
            <v>7.8400821540000002E-3</v>
          </cell>
          <cell r="Z469">
            <v>2.7611565984999999E-2</v>
          </cell>
          <cell r="AA469">
            <v>2.2050497770000001E-3</v>
          </cell>
          <cell r="AB469">
            <v>3.1411462079000002E-2</v>
          </cell>
          <cell r="AC469">
            <v>8.7283293802999998E-2</v>
          </cell>
          <cell r="AD469">
            <v>0.08</v>
          </cell>
          <cell r="AE469">
            <v>0.02</v>
          </cell>
          <cell r="AF469">
            <v>-0.03</v>
          </cell>
          <cell r="AG469">
            <v>0.143584988434</v>
          </cell>
          <cell r="AH469">
            <v>0.12045269925</v>
          </cell>
          <cell r="AI469">
            <v>7.3341874794000006E-2</v>
          </cell>
          <cell r="AJ469">
            <v>7.2918499072000001E-2</v>
          </cell>
          <cell r="AK469">
            <v>9.3978062419999994E-2</v>
          </cell>
          <cell r="AL469">
            <v>6.5669695276000001E-2</v>
          </cell>
          <cell r="AM469">
            <v>5.6479832153000002E-2</v>
          </cell>
          <cell r="AN469">
            <v>5.673789882E-2</v>
          </cell>
          <cell r="AO469">
            <v>5.6993325062E-2</v>
          </cell>
          <cell r="AP469">
            <v>5.7246086008999997E-2</v>
          </cell>
          <cell r="BT469">
            <v>0.20451894484399999</v>
          </cell>
          <cell r="BU469">
            <v>0.20559390182599999</v>
          </cell>
          <cell r="BV469">
            <v>0.104234819812</v>
          </cell>
          <cell r="BW469">
            <v>9.8694500700999999E-2</v>
          </cell>
          <cell r="BX469">
            <v>0.114340992569</v>
          </cell>
          <cell r="BY469">
            <v>3.6021455584000002E-2</v>
          </cell>
          <cell r="BZ469">
            <v>4.8330151942999999E-2</v>
          </cell>
          <cell r="CA469">
            <v>3.4175777368000003E-2</v>
          </cell>
          <cell r="CB469">
            <v>-4.3897250361999998E-2</v>
          </cell>
          <cell r="CC469">
            <v>4.2505654170000001E-3</v>
          </cell>
          <cell r="CD469">
            <v>1.3924435436999999E-2</v>
          </cell>
          <cell r="CE469">
            <v>3.7496491719999997E-2</v>
          </cell>
          <cell r="CF469">
            <v>4.5923284197000001E-2</v>
          </cell>
          <cell r="CG469">
            <v>4.8648648649000002E-2</v>
          </cell>
          <cell r="CH469">
            <v>2.0301456062000001E-2</v>
          </cell>
          <cell r="CI469">
            <v>-2.3473243110000001E-3</v>
          </cell>
          <cell r="CJ469">
            <v>-7.639731084E-3</v>
          </cell>
          <cell r="CK469">
            <v>-2.6226993864999999E-2</v>
          </cell>
          <cell r="CL469">
            <v>1.5049297006999999E-2</v>
          </cell>
          <cell r="CM469">
            <v>-2.7067990180000001E-2</v>
          </cell>
          <cell r="CN469">
            <v>-1.0361606883E-2</v>
          </cell>
          <cell r="CO469">
            <v>1.6534569597999999E-2</v>
          </cell>
          <cell r="CP469">
            <v>1.0029713750999999E-2</v>
          </cell>
          <cell r="CQ469">
            <v>2.4878679346E-2</v>
          </cell>
          <cell r="CR469">
            <v>0.11178616647</v>
          </cell>
          <cell r="CS469">
            <v>6.0501889989000003E-2</v>
          </cell>
          <cell r="CT469">
            <v>8.3144680653E-2</v>
          </cell>
          <cell r="CU469">
            <v>9.3851471714999996E-2</v>
          </cell>
          <cell r="CV469">
            <v>0.09</v>
          </cell>
          <cell r="CW469">
            <v>0.11</v>
          </cell>
          <cell r="CX469">
            <v>0.06</v>
          </cell>
          <cell r="CY469">
            <v>7.0000000000000007E-2</v>
          </cell>
          <cell r="CZ469">
            <v>0.04</v>
          </cell>
          <cell r="DA469">
            <v>0.01</v>
          </cell>
          <cell r="DB469">
            <v>0.04</v>
          </cell>
          <cell r="DC469">
            <v>0.01</v>
          </cell>
          <cell r="DD469">
            <v>-0.03</v>
          </cell>
          <cell r="DE469">
            <v>-0.08</v>
          </cell>
          <cell r="DF469">
            <v>-0.02</v>
          </cell>
          <cell r="DG469">
            <v>0</v>
          </cell>
          <cell r="DH469">
            <v>0.13</v>
          </cell>
          <cell r="DI469">
            <v>0.21</v>
          </cell>
          <cell r="DJ469">
            <v>0.12</v>
          </cell>
          <cell r="DK469">
            <v>0.12</v>
          </cell>
          <cell r="DL469">
            <v>7.0000000000000007E-2</v>
          </cell>
          <cell r="DM469">
            <v>0.08</v>
          </cell>
          <cell r="DN469">
            <v>0.145505842833</v>
          </cell>
          <cell r="DO469">
            <v>0.179488466072</v>
          </cell>
          <cell r="DP469">
            <v>0.22006970828200001</v>
          </cell>
          <cell r="DQ469">
            <v>0.193955165575</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cell r="AA472">
            <v>-4.0219140987000003E-2</v>
          </cell>
          <cell r="AB472">
            <v>3.6202126799999998E-2</v>
          </cell>
          <cell r="AC472">
            <v>0.16872222633699999</v>
          </cell>
          <cell r="AD472">
            <v>0.05</v>
          </cell>
          <cell r="AE472">
            <v>0.03</v>
          </cell>
          <cell r="AF472">
            <v>-0.05</v>
          </cell>
          <cell r="AG472">
            <v>0.326590927084</v>
          </cell>
          <cell r="AH472">
            <v>9.5614821754000004E-2</v>
          </cell>
          <cell r="AI472">
            <v>-2.3386091585000001E-2</v>
          </cell>
          <cell r="AJ472">
            <v>5.6309564915999998E-2</v>
          </cell>
          <cell r="AK472">
            <v>5.5951132395999997E-2</v>
          </cell>
          <cell r="AL472">
            <v>5.6103697972000002E-2</v>
          </cell>
          <cell r="AM472">
            <v>4.2132753735999999E-2</v>
          </cell>
          <cell r="AN472">
            <v>4.2287539444000002E-2</v>
          </cell>
          <cell r="AO472">
            <v>4.2442429864999999E-2</v>
          </cell>
          <cell r="AP472">
            <v>4.259734448E-2</v>
          </cell>
          <cell r="AR472">
            <v>0.12</v>
          </cell>
          <cell r="AS472">
            <v>0.13</v>
          </cell>
          <cell r="AT472">
            <v>0.08</v>
          </cell>
          <cell r="AU472">
            <v>0.15</v>
          </cell>
          <cell r="AV472">
            <v>0.11</v>
          </cell>
          <cell r="AW472">
            <v>0.14000000000000001</v>
          </cell>
          <cell r="AX472">
            <v>0.18</v>
          </cell>
          <cell r="AY472">
            <v>0.14000000000000001</v>
          </cell>
          <cell r="AZ472">
            <v>0.26</v>
          </cell>
          <cell r="BA472">
            <v>0.16</v>
          </cell>
          <cell r="BB472">
            <v>0.22</v>
          </cell>
          <cell r="BC472">
            <v>0.21</v>
          </cell>
          <cell r="BD472">
            <v>0.24</v>
          </cell>
          <cell r="BE472">
            <v>0.18</v>
          </cell>
          <cell r="BF472">
            <v>0.15</v>
          </cell>
          <cell r="BG472">
            <v>0.2</v>
          </cell>
          <cell r="BH472">
            <v>0.11</v>
          </cell>
          <cell r="BI472">
            <v>0.18</v>
          </cell>
          <cell r="BJ472">
            <v>0.09</v>
          </cell>
          <cell r="BK472">
            <v>-0.19</v>
          </cell>
          <cell r="BL472">
            <v>-0.33</v>
          </cell>
          <cell r="BM472">
            <v>-0.37</v>
          </cell>
          <cell r="BN472">
            <v>-0.3</v>
          </cell>
          <cell r="BO472">
            <v>-0.09</v>
          </cell>
          <cell r="BP472">
            <v>0.22</v>
          </cell>
          <cell r="BQ472">
            <v>0.33</v>
          </cell>
          <cell r="BR472">
            <v>0.35</v>
          </cell>
          <cell r="BS472">
            <v>0.28000000000000003</v>
          </cell>
          <cell r="BT472">
            <v>0.33</v>
          </cell>
          <cell r="BU472">
            <v>0.28999999999999998</v>
          </cell>
          <cell r="BV472">
            <v>0.14000000000000001</v>
          </cell>
          <cell r="BW472">
            <v>0.14000000000000001</v>
          </cell>
          <cell r="BX472">
            <v>0.1</v>
          </cell>
          <cell r="BY472">
            <v>-0.02</v>
          </cell>
          <cell r="BZ472">
            <v>0.01</v>
          </cell>
          <cell r="CA472">
            <v>-0.03</v>
          </cell>
          <cell r="CB472">
            <v>-0.11</v>
          </cell>
          <cell r="CC472">
            <v>-0.05</v>
          </cell>
          <cell r="CD472">
            <v>-0.06</v>
          </cell>
          <cell r="CE472">
            <v>-0.04</v>
          </cell>
          <cell r="CF472">
            <v>-0.02</v>
          </cell>
          <cell r="CG472">
            <v>0.01</v>
          </cell>
          <cell r="CH472">
            <v>0.02</v>
          </cell>
          <cell r="CI472">
            <v>0.02</v>
          </cell>
          <cell r="CJ472">
            <v>-0.05</v>
          </cell>
          <cell r="CK472">
            <v>0</v>
          </cell>
          <cell r="CL472">
            <v>-0.05</v>
          </cell>
          <cell r="CM472">
            <v>-0.05</v>
          </cell>
          <cell r="CN472">
            <v>0</v>
          </cell>
          <cell r="CO472">
            <v>-0.01</v>
          </cell>
          <cell r="CP472">
            <v>7.0000000000000007E-2</v>
          </cell>
          <cell r="CQ472">
            <v>7.0000000000000007E-2</v>
          </cell>
          <cell r="CR472">
            <v>0.14907410509899999</v>
          </cell>
          <cell r="CS472">
            <v>8.5620865416000003E-2</v>
          </cell>
          <cell r="CT472">
            <v>0.16082586125500001</v>
          </cell>
          <cell r="CU472">
            <v>0.13391130798799999</v>
          </cell>
          <cell r="CV472">
            <v>0.1</v>
          </cell>
          <cell r="CW472">
            <v>0.1</v>
          </cell>
          <cell r="CX472">
            <v>-0.01</v>
          </cell>
          <cell r="CY472">
            <v>0.01</v>
          </cell>
          <cell r="CZ472">
            <v>0.01</v>
          </cell>
          <cell r="DA472">
            <v>0.02</v>
          </cell>
          <cell r="DB472">
            <v>0.06</v>
          </cell>
          <cell r="DC472">
            <v>0.01</v>
          </cell>
          <cell r="DD472">
            <v>-0.02</v>
          </cell>
          <cell r="DE472">
            <v>-0.17</v>
          </cell>
          <cell r="DF472">
            <v>-0.06</v>
          </cell>
          <cell r="DG472">
            <v>7.0000000000000007E-2</v>
          </cell>
          <cell r="DH472">
            <v>0.18</v>
          </cell>
          <cell r="DI472">
            <v>0.54</v>
          </cell>
          <cell r="DJ472">
            <v>0.36</v>
          </cell>
          <cell r="DK472">
            <v>0.26</v>
          </cell>
          <cell r="DL472">
            <v>0.23</v>
          </cell>
          <cell r="DM472">
            <v>0.13</v>
          </cell>
          <cell r="DN472">
            <v>4.3236525774000001E-2</v>
          </cell>
          <cell r="DO472">
            <v>-7.2805247230000002E-3</v>
          </cell>
          <cell r="DP472">
            <v>-0.155448027791</v>
          </cell>
          <cell r="DQ472">
            <v>-0.17821594877800001</v>
          </cell>
        </row>
        <row r="473">
          <cell r="B473" t="str">
            <v>Customer advances</v>
          </cell>
          <cell r="C473" t="str">
            <v>CUST_ADVANCES</v>
          </cell>
          <cell r="D473" t="str">
            <v>SEK</v>
          </cell>
        </row>
        <row r="474">
          <cell r="B474" t="str">
            <v>EBIT bridge - Pricing</v>
          </cell>
          <cell r="C474" t="str">
            <v>EBIT_BRIDGE_PRICE</v>
          </cell>
          <cell r="D474" t="str">
            <v>SEK</v>
          </cell>
          <cell r="N474">
            <v>133.371099747009</v>
          </cell>
          <cell r="O474">
            <v>348.29108407587501</v>
          </cell>
          <cell r="P474">
            <v>685.30664007665098</v>
          </cell>
          <cell r="Q474">
            <v>741.39746755476199</v>
          </cell>
          <cell r="R474">
            <v>831.62934160840496</v>
          </cell>
          <cell r="S474">
            <v>1010.24</v>
          </cell>
          <cell r="T474">
            <v>1900.65</v>
          </cell>
          <cell r="U474">
            <v>519.23900000000003</v>
          </cell>
          <cell r="V474">
            <v>446.334</v>
          </cell>
          <cell r="W474">
            <v>978.25</v>
          </cell>
          <cell r="X474">
            <v>1074.395</v>
          </cell>
          <cell r="Y474">
            <v>809.97</v>
          </cell>
          <cell r="Z474">
            <v>590.74439748743703</v>
          </cell>
          <cell r="AA474">
            <v>103.173</v>
          </cell>
          <cell r="AB474">
            <v>15.099</v>
          </cell>
          <cell r="AC474">
            <v>142.00200000000001</v>
          </cell>
          <cell r="AD474">
            <v>523.49850000000004</v>
          </cell>
          <cell r="AE474">
            <v>0</v>
          </cell>
          <cell r="AF474">
            <v>0</v>
          </cell>
          <cell r="AG474">
            <v>0</v>
          </cell>
          <cell r="AH474">
            <v>0</v>
          </cell>
          <cell r="AI474">
            <v>886.46564145109005</v>
          </cell>
          <cell r="AJ474">
            <v>1001.21995216905</v>
          </cell>
          <cell r="AK474">
            <v>1104.02286362931</v>
          </cell>
          <cell r="AL474">
            <v>1242.87807703466</v>
          </cell>
          <cell r="AM474">
            <v>1364.4461833887301</v>
          </cell>
          <cell r="AN474">
            <v>1489.73774233534</v>
          </cell>
          <cell r="AO474">
            <v>1627.0997180289</v>
          </cell>
          <cell r="AP474">
            <v>1777.7351840905201</v>
          </cell>
        </row>
        <row r="475">
          <cell r="B475" t="str">
            <v>EBIT bridge - Volume</v>
          </cell>
          <cell r="C475" t="str">
            <v>EBIT_BRIDGE_VOL</v>
          </cell>
          <cell r="D475" t="str">
            <v>SEK</v>
          </cell>
          <cell r="N475">
            <v>-613.66800000000001</v>
          </cell>
          <cell r="O475">
            <v>120.54</v>
          </cell>
          <cell r="P475">
            <v>1127.2929999999999</v>
          </cell>
          <cell r="Q475">
            <v>2214.6930000000002</v>
          </cell>
          <cell r="R475">
            <v>2829.9</v>
          </cell>
          <cell r="S475">
            <v>2957.723</v>
          </cell>
          <cell r="T475">
            <v>1947.13</v>
          </cell>
          <cell r="U475">
            <v>-5118.2129999999997</v>
          </cell>
          <cell r="V475">
            <v>1867.4059999999999</v>
          </cell>
          <cell r="W475">
            <v>4018.8125</v>
          </cell>
          <cell r="X475">
            <v>1539.1155000000001</v>
          </cell>
          <cell r="Y475">
            <v>-2024.97</v>
          </cell>
          <cell r="Z475">
            <v>-2129.74439748744</v>
          </cell>
          <cell r="AA475">
            <v>-1168.548</v>
          </cell>
          <cell r="AB475">
            <v>-258.09899999999999</v>
          </cell>
          <cell r="AC475">
            <v>3990.998</v>
          </cell>
          <cell r="AD475">
            <v>2321.433</v>
          </cell>
          <cell r="AE475">
            <v>-172.905</v>
          </cell>
          <cell r="AF475">
            <v>-196.52250000000001</v>
          </cell>
          <cell r="AG475">
            <v>-233.89500000000001</v>
          </cell>
          <cell r="AH475">
            <v>-210.5575</v>
          </cell>
          <cell r="AI475">
            <v>470.16503980890201</v>
          </cell>
          <cell r="AJ475">
            <v>517.55255612011001</v>
          </cell>
          <cell r="AK475">
            <v>561.51651917002005</v>
          </cell>
          <cell r="AL475">
            <v>645.19075232094997</v>
          </cell>
          <cell r="AM475">
            <v>722.49641514066104</v>
          </cell>
          <cell r="AN475">
            <v>799.58235367077395</v>
          </cell>
          <cell r="AO475">
            <v>884.70235683614897</v>
          </cell>
          <cell r="AP475">
            <v>978.71866529065096</v>
          </cell>
        </row>
        <row r="476">
          <cell r="B476" t="str">
            <v>EBIT bridge - Depreciation</v>
          </cell>
          <cell r="C476" t="str">
            <v>EBIT_BRIDGE_DEPREC</v>
          </cell>
          <cell r="D476" t="str">
            <v>SEK</v>
          </cell>
          <cell r="N476">
            <v>600</v>
          </cell>
          <cell r="O476">
            <v>643</v>
          </cell>
          <cell r="P476">
            <v>150</v>
          </cell>
          <cell r="Q476">
            <v>-199</v>
          </cell>
          <cell r="R476">
            <v>-220</v>
          </cell>
          <cell r="S476">
            <v>-163</v>
          </cell>
          <cell r="T476">
            <v>-280</v>
          </cell>
          <cell r="U476">
            <v>-390</v>
          </cell>
          <cell r="V476">
            <v>-28</v>
          </cell>
          <cell r="W476">
            <v>-24</v>
          </cell>
          <cell r="X476">
            <v>-142</v>
          </cell>
          <cell r="Y476">
            <v>-39</v>
          </cell>
          <cell r="Z476">
            <v>-1006</v>
          </cell>
          <cell r="AA476">
            <v>-638</v>
          </cell>
          <cell r="AB476">
            <v>-45</v>
          </cell>
          <cell r="AC476">
            <v>-58</v>
          </cell>
          <cell r="AD476">
            <v>1.5649803320000001E-3</v>
          </cell>
          <cell r="AE476">
            <v>-1377</v>
          </cell>
          <cell r="AF476">
            <v>-489</v>
          </cell>
          <cell r="AG476">
            <v>-277</v>
          </cell>
          <cell r="AH476">
            <v>-389.15446968467501</v>
          </cell>
          <cell r="AI476">
            <v>-279.34889737438903</v>
          </cell>
          <cell r="AJ476">
            <v>-315.55179445706301</v>
          </cell>
          <cell r="AK476">
            <v>0</v>
          </cell>
          <cell r="AL476">
            <v>0</v>
          </cell>
          <cell r="AM476">
            <v>0</v>
          </cell>
          <cell r="AN476">
            <v>0</v>
          </cell>
          <cell r="AO476">
            <v>0</v>
          </cell>
          <cell r="AP476">
            <v>0</v>
          </cell>
        </row>
        <row r="477">
          <cell r="B477" t="str">
            <v>EBIT bridge - Mix</v>
          </cell>
          <cell r="C477" t="str">
            <v>EBIT_BRIDGE_MIX</v>
          </cell>
          <cell r="D477" t="str">
            <v>SEK</v>
          </cell>
        </row>
        <row r="478">
          <cell r="B478" t="str">
            <v>EBIT bridge - Raw materials</v>
          </cell>
          <cell r="C478" t="str">
            <v>EBIT_BRIDGE_RAW_MAT</v>
          </cell>
          <cell r="D478" t="str">
            <v>SEK</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-1300</v>
          </cell>
          <cell r="AI478">
            <v>0</v>
          </cell>
          <cell r="AJ478">
            <v>0</v>
          </cell>
          <cell r="AK478">
            <v>0</v>
          </cell>
          <cell r="AL478">
            <v>0</v>
          </cell>
          <cell r="AM478">
            <v>0</v>
          </cell>
          <cell r="AN478">
            <v>0</v>
          </cell>
          <cell r="AO478">
            <v>0</v>
          </cell>
          <cell r="AP478">
            <v>0</v>
          </cell>
        </row>
        <row r="479">
          <cell r="B479" t="str">
            <v>EBIT bridge - Restructuring</v>
          </cell>
          <cell r="C479" t="str">
            <v>EBIT_BRIDGE_REST</v>
          </cell>
          <cell r="D479" t="str">
            <v>SEK</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B480" t="str">
            <v>EBIT bridge - FX</v>
          </cell>
          <cell r="C480" t="str">
            <v>EBIT_BRIDGE_FX</v>
          </cell>
          <cell r="D480" t="str">
            <v>SEK</v>
          </cell>
          <cell r="N480">
            <v>-410</v>
          </cell>
          <cell r="O480">
            <v>-1120</v>
          </cell>
          <cell r="P480">
            <v>-745</v>
          </cell>
          <cell r="Q480">
            <v>650</v>
          </cell>
          <cell r="R480">
            <v>-450</v>
          </cell>
          <cell r="S480">
            <v>-870</v>
          </cell>
          <cell r="T480">
            <v>-340</v>
          </cell>
          <cell r="U480">
            <v>960</v>
          </cell>
          <cell r="V480">
            <v>-65</v>
          </cell>
          <cell r="W480">
            <v>-1840</v>
          </cell>
          <cell r="X480">
            <v>250</v>
          </cell>
          <cell r="Y480">
            <v>-1225</v>
          </cell>
          <cell r="Z480">
            <v>670</v>
          </cell>
          <cell r="AA480">
            <v>3070</v>
          </cell>
          <cell r="AB480">
            <v>-245</v>
          </cell>
          <cell r="AC480">
            <v>285</v>
          </cell>
          <cell r="AD480">
            <v>540</v>
          </cell>
          <cell r="AE480">
            <v>1650</v>
          </cell>
          <cell r="AF480">
            <v>-875</v>
          </cell>
          <cell r="AG480">
            <v>-1345</v>
          </cell>
          <cell r="AH480">
            <v>5658.9194324390601</v>
          </cell>
          <cell r="AI480">
            <v>1488.1742722158001</v>
          </cell>
          <cell r="AJ480">
            <v>0</v>
          </cell>
          <cell r="AK480">
            <v>0</v>
          </cell>
          <cell r="AL480">
            <v>0</v>
          </cell>
          <cell r="AM480">
            <v>0</v>
          </cell>
          <cell r="AN480">
            <v>0</v>
          </cell>
          <cell r="AO480">
            <v>0</v>
          </cell>
          <cell r="AP480">
            <v>0</v>
          </cell>
        </row>
        <row r="481">
          <cell r="B481" t="str">
            <v>EBIT bridge - M&amp;A</v>
          </cell>
          <cell r="C481" t="str">
            <v>EBIT_BRIDGE_MA</v>
          </cell>
          <cell r="D481" t="str">
            <v>SEK</v>
          </cell>
          <cell r="N481">
            <v>0</v>
          </cell>
          <cell r="O481">
            <v>0</v>
          </cell>
          <cell r="P481">
            <v>163.511</v>
          </cell>
          <cell r="Q481">
            <v>-1732</v>
          </cell>
          <cell r="R481">
            <v>116.03400000000001</v>
          </cell>
          <cell r="S481">
            <v>577.00699999999995</v>
          </cell>
          <cell r="T481">
            <v>-80</v>
          </cell>
          <cell r="U481">
            <v>-237</v>
          </cell>
          <cell r="V481">
            <v>569</v>
          </cell>
          <cell r="W481">
            <v>35</v>
          </cell>
          <cell r="X481">
            <v>135</v>
          </cell>
          <cell r="Y481">
            <v>-15</v>
          </cell>
          <cell r="Z481">
            <v>1570</v>
          </cell>
          <cell r="AA481">
            <v>230</v>
          </cell>
          <cell r="AB481">
            <v>180</v>
          </cell>
          <cell r="AC481">
            <v>610</v>
          </cell>
          <cell r="AD481">
            <v>35</v>
          </cell>
          <cell r="AE481">
            <v>37</v>
          </cell>
          <cell r="AF481">
            <v>252.0111</v>
          </cell>
          <cell r="AG481">
            <v>115</v>
          </cell>
          <cell r="AH481">
            <v>101.226666666667</v>
          </cell>
          <cell r="AI481">
            <v>629.60404072766596</v>
          </cell>
          <cell r="AJ481">
            <v>708.98878955403904</v>
          </cell>
          <cell r="AK481">
            <v>794.48193756534602</v>
          </cell>
          <cell r="AL481">
            <v>905.034627423556</v>
          </cell>
          <cell r="AM481">
            <v>1004.54457237398</v>
          </cell>
          <cell r="AN481">
            <v>1100.32811077774</v>
          </cell>
          <cell r="AO481">
            <v>1205.51156620953</v>
          </cell>
          <cell r="AP481">
            <v>1321.0365769207999</v>
          </cell>
        </row>
        <row r="482">
          <cell r="B482" t="str">
            <v>EBIT bridge - Other</v>
          </cell>
          <cell r="C482" t="str">
            <v>EBIT_BRIDGE_OTH</v>
          </cell>
          <cell r="D482" t="str">
            <v>SEK</v>
          </cell>
          <cell r="N482">
            <v>-785.70309974700899</v>
          </cell>
          <cell r="O482">
            <v>-191.831084075875</v>
          </cell>
          <cell r="P482">
            <v>-359.11064007664999</v>
          </cell>
          <cell r="Q482">
            <v>-1528.0904675547599</v>
          </cell>
          <cell r="R482">
            <v>-900.56334160840402</v>
          </cell>
          <cell r="S482">
            <v>-718.969999999999</v>
          </cell>
          <cell r="T482">
            <v>-1050.78</v>
          </cell>
          <cell r="U482">
            <v>-168.02600000000001</v>
          </cell>
          <cell r="V482">
            <v>1566.26</v>
          </cell>
          <cell r="W482">
            <v>531.9375</v>
          </cell>
          <cell r="X482">
            <v>-1161.5105000000001</v>
          </cell>
          <cell r="Y482">
            <v>77</v>
          </cell>
          <cell r="Z482">
            <v>1056</v>
          </cell>
          <cell r="AA482">
            <v>681.375</v>
          </cell>
          <cell r="AB482">
            <v>393</v>
          </cell>
          <cell r="AC482">
            <v>-56</v>
          </cell>
          <cell r="AD482">
            <v>117.28400000000001</v>
          </cell>
          <cell r="AE482">
            <v>0</v>
          </cell>
          <cell r="AF482">
            <v>234.98890000000199</v>
          </cell>
          <cell r="AG482">
            <v>247</v>
          </cell>
          <cell r="AH482">
            <v>-2462</v>
          </cell>
          <cell r="AI482">
            <v>-1150</v>
          </cell>
          <cell r="AJ482">
            <v>200</v>
          </cell>
          <cell r="AK482">
            <v>200</v>
          </cell>
          <cell r="AL482">
            <v>200</v>
          </cell>
          <cell r="AM482">
            <v>200</v>
          </cell>
          <cell r="AN482">
            <v>200</v>
          </cell>
          <cell r="AO482">
            <v>200</v>
          </cell>
          <cell r="AP482">
            <v>200</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cell r="AA485">
            <v>-4.3472935834999997E-2</v>
          </cell>
          <cell r="AB485">
            <v>1.2248059820000001E-2</v>
          </cell>
          <cell r="AC485">
            <v>8.7069423524999995E-2</v>
          </cell>
          <cell r="AD485">
            <v>0.09</v>
          </cell>
          <cell r="AE485">
            <v>0.05</v>
          </cell>
          <cell r="AF485">
            <v>-0.03</v>
          </cell>
          <cell r="AG485">
            <v>0.201113056687</v>
          </cell>
          <cell r="AH485">
            <v>0.1</v>
          </cell>
          <cell r="AI485">
            <v>-0.02</v>
          </cell>
          <cell r="AJ485">
            <v>0.05</v>
          </cell>
          <cell r="AK485">
            <v>7.0000000000000007E-2</v>
          </cell>
          <cell r="AL485">
            <v>7.0000000000000007E-2</v>
          </cell>
          <cell r="AM485">
            <v>0.05</v>
          </cell>
          <cell r="AN485">
            <v>0.05</v>
          </cell>
          <cell r="AO485">
            <v>0.05</v>
          </cell>
          <cell r="AP485">
            <v>0.05</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0.31</v>
          </cell>
          <cell r="BU485">
            <v>0.27</v>
          </cell>
          <cell r="BV485">
            <v>0.17</v>
          </cell>
          <cell r="BW485">
            <v>0.12</v>
          </cell>
          <cell r="BX485">
            <v>0.05</v>
          </cell>
          <cell r="BY485">
            <v>-7.0000000000000007E-2</v>
          </cell>
          <cell r="BZ485">
            <v>0.02</v>
          </cell>
          <cell r="CA485">
            <v>0</v>
          </cell>
          <cell r="CB485">
            <v>-0.04</v>
          </cell>
          <cell r="CC485">
            <v>0.01</v>
          </cell>
          <cell r="CD485">
            <v>-0.04</v>
          </cell>
          <cell r="CE485">
            <v>0.02</v>
          </cell>
          <cell r="CF485">
            <v>-0.04</v>
          </cell>
          <cell r="CG485">
            <v>0</v>
          </cell>
          <cell r="CH485">
            <v>0.04</v>
          </cell>
          <cell r="CI485">
            <v>0.04</v>
          </cell>
          <cell r="CJ485">
            <v>-0.02</v>
          </cell>
          <cell r="CK485">
            <v>-0.02</v>
          </cell>
          <cell r="CL485">
            <v>-0.06</v>
          </cell>
          <cell r="CM485">
            <v>-7.0000000000000007E-2</v>
          </cell>
          <cell r="CN485">
            <v>0</v>
          </cell>
          <cell r="CO485">
            <v>0.01</v>
          </cell>
          <cell r="CP485">
            <v>0</v>
          </cell>
          <cell r="CQ485">
            <v>0.04</v>
          </cell>
          <cell r="CR485">
            <v>0.09</v>
          </cell>
          <cell r="CS485">
            <v>0.05</v>
          </cell>
          <cell r="CT485">
            <v>0.14000000000000001</v>
          </cell>
          <cell r="CU485">
            <v>7.0000000000000007E-2</v>
          </cell>
          <cell r="CV485">
            <v>0.13</v>
          </cell>
          <cell r="CW485">
            <v>0.12</v>
          </cell>
          <cell r="CX485">
            <v>0.04</v>
          </cell>
          <cell r="CY485">
            <v>7.0000000000000007E-2</v>
          </cell>
          <cell r="CZ485">
            <v>0.05</v>
          </cell>
          <cell r="DA485">
            <v>0.03</v>
          </cell>
          <cell r="DB485">
            <v>7.0000000000000007E-2</v>
          </cell>
          <cell r="DC485">
            <v>0.03</v>
          </cell>
          <cell r="DD485">
            <v>-0.03</v>
          </cell>
          <cell r="DE485">
            <v>-0.13</v>
          </cell>
          <cell r="DF485">
            <v>-0.02</v>
          </cell>
          <cell r="DG485">
            <v>0.05</v>
          </cell>
          <cell r="DH485">
            <v>0.13</v>
          </cell>
          <cell r="DI485">
            <v>0.37</v>
          </cell>
          <cell r="DJ485">
            <v>0.18</v>
          </cell>
          <cell r="DK485">
            <v>0.14000000000000001</v>
          </cell>
          <cell r="DL485">
            <v>0.2</v>
          </cell>
          <cell r="DM485">
            <v>0.14000000000000001</v>
          </cell>
          <cell r="DN485">
            <v>0.05</v>
          </cell>
          <cell r="DO485">
            <v>1.4675437328E-2</v>
          </cell>
          <cell r="DP485">
            <v>-0.1</v>
          </cell>
          <cell r="DQ485">
            <v>-0.15</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cell r="AA488">
            <v>-7.0876553059999996E-3</v>
          </cell>
          <cell r="AB488">
            <v>0.19495862884199999</v>
          </cell>
          <cell r="AC488">
            <v>0.32729548534300001</v>
          </cell>
          <cell r="AD488">
            <v>-0.06</v>
          </cell>
          <cell r="AE488">
            <v>0.01</v>
          </cell>
          <cell r="AF488">
            <v>0.06</v>
          </cell>
          <cell r="AG488">
            <v>0.62393464409999999</v>
          </cell>
          <cell r="AH488">
            <v>0.03</v>
          </cell>
          <cell r="AI488">
            <v>-0.05</v>
          </cell>
          <cell r="AJ488">
            <v>0.1</v>
          </cell>
          <cell r="AK488">
            <v>0.05</v>
          </cell>
          <cell r="AL488">
            <v>0.05</v>
          </cell>
          <cell r="AM488">
            <v>0.03</v>
          </cell>
          <cell r="AN488">
            <v>0.03</v>
          </cell>
          <cell r="AO488">
            <v>0.03</v>
          </cell>
          <cell r="AP488">
            <v>0.03</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0</v>
          </cell>
          <cell r="CI488">
            <v>0</v>
          </cell>
          <cell r="CJ488">
            <v>-0.1</v>
          </cell>
          <cell r="CK488">
            <v>0.11</v>
          </cell>
          <cell r="CL488">
            <v>-0.12</v>
          </cell>
          <cell r="CM488">
            <v>0.09</v>
          </cell>
          <cell r="CN488">
            <v>0.3</v>
          </cell>
          <cell r="CO488">
            <v>0.01</v>
          </cell>
          <cell r="CP488">
            <v>0.39</v>
          </cell>
          <cell r="CQ488">
            <v>0.13</v>
          </cell>
          <cell r="CR488">
            <v>0.33</v>
          </cell>
          <cell r="CS488">
            <v>0.25</v>
          </cell>
          <cell r="CT488">
            <v>0.32</v>
          </cell>
          <cell r="CU488">
            <v>0.38</v>
          </cell>
          <cell r="CV488">
            <v>0.02</v>
          </cell>
          <cell r="CW488">
            <v>0.08</v>
          </cell>
          <cell r="CX488">
            <v>-0.19</v>
          </cell>
          <cell r="CY488">
            <v>-0.17</v>
          </cell>
          <cell r="CZ488">
            <v>-0.13</v>
          </cell>
          <cell r="DA488">
            <v>-7.0000000000000007E-2</v>
          </cell>
          <cell r="DB488">
            <v>0.21</v>
          </cell>
          <cell r="DC488">
            <v>0.09</v>
          </cell>
          <cell r="DD488">
            <v>0.13</v>
          </cell>
          <cell r="DE488">
            <v>-0.02</v>
          </cell>
          <cell r="DF488">
            <v>-0.06</v>
          </cell>
          <cell r="DG488">
            <v>0.19</v>
          </cell>
          <cell r="DH488">
            <v>0.38</v>
          </cell>
          <cell r="DI488">
            <v>0.76</v>
          </cell>
          <cell r="DJ488">
            <v>0.93</v>
          </cell>
          <cell r="DK488">
            <v>0.51</v>
          </cell>
          <cell r="DL488">
            <v>0.2</v>
          </cell>
          <cell r="DM488">
            <v>0.11</v>
          </cell>
          <cell r="DN488">
            <v>-0.05</v>
          </cell>
          <cell r="DO488">
            <v>-9.6189066690999997E-2</v>
          </cell>
          <cell r="DP488">
            <v>-0.15</v>
          </cell>
          <cell r="DQ488">
            <v>-0.2</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cell r="AA491">
            <v>-6.5384926248000005E-2</v>
          </cell>
          <cell r="AB491">
            <v>-1.9786199380000001E-2</v>
          </cell>
          <cell r="AC491">
            <v>8.4089443432000005E-2</v>
          </cell>
          <cell r="AD491">
            <v>0.11</v>
          </cell>
          <cell r="AE491">
            <v>7.0000000000000007E-2</v>
          </cell>
          <cell r="AF491">
            <v>-0.12</v>
          </cell>
          <cell r="AG491">
            <v>0.32415410668900002</v>
          </cell>
          <cell r="AH491">
            <v>0.15</v>
          </cell>
          <cell r="AI491">
            <v>-0.03</v>
          </cell>
          <cell r="AJ491">
            <v>0.03</v>
          </cell>
          <cell r="AK491">
            <v>0.03</v>
          </cell>
          <cell r="AL491">
            <v>0.03</v>
          </cell>
          <cell r="AM491">
            <v>0.03</v>
          </cell>
          <cell r="AN491">
            <v>0.03</v>
          </cell>
          <cell r="AO491">
            <v>0.03</v>
          </cell>
          <cell r="AP491">
            <v>0.03</v>
          </cell>
          <cell r="BT491">
            <v>0.2</v>
          </cell>
          <cell r="BU491">
            <v>0.17</v>
          </cell>
          <cell r="BV491">
            <v>-0.01</v>
          </cell>
          <cell r="BW491">
            <v>-0.09</v>
          </cell>
          <cell r="BX491">
            <v>-0.04</v>
          </cell>
          <cell r="BY491">
            <v>-0.02</v>
          </cell>
          <cell r="BZ491">
            <v>0.01</v>
          </cell>
          <cell r="CA491">
            <v>0.1</v>
          </cell>
          <cell r="CB491">
            <v>-0.04</v>
          </cell>
          <cell r="CC491">
            <v>-0.02</v>
          </cell>
          <cell r="CD491">
            <v>0.03</v>
          </cell>
          <cell r="CE491">
            <v>0.01</v>
          </cell>
          <cell r="CF491">
            <v>0.04</v>
          </cell>
          <cell r="CG491">
            <v>0</v>
          </cell>
          <cell r="CH491">
            <v>-0.02</v>
          </cell>
          <cell r="CI491">
            <v>0.01</v>
          </cell>
          <cell r="CJ491">
            <v>-0.05</v>
          </cell>
          <cell r="CK491">
            <v>-0.05</v>
          </cell>
          <cell r="CL491">
            <v>-0.03</v>
          </cell>
          <cell r="CM491">
            <v>-0.13</v>
          </cell>
          <cell r="CN491">
            <v>-7.0000000000000007E-2</v>
          </cell>
          <cell r="CO491">
            <v>-7.0000000000000007E-2</v>
          </cell>
          <cell r="CP491">
            <v>-0.01</v>
          </cell>
          <cell r="CQ491">
            <v>0.09</v>
          </cell>
          <cell r="CR491">
            <v>0.1</v>
          </cell>
          <cell r="CS491">
            <v>0.09</v>
          </cell>
          <cell r="CT491">
            <v>0.09</v>
          </cell>
          <cell r="CU491">
            <v>0.05</v>
          </cell>
          <cell r="CV491">
            <v>0.16</v>
          </cell>
          <cell r="CW491">
            <v>0.05</v>
          </cell>
          <cell r="CX491">
            <v>0.13</v>
          </cell>
          <cell r="CY491">
            <v>0.11</v>
          </cell>
          <cell r="CZ491">
            <v>0.19</v>
          </cell>
          <cell r="DA491">
            <v>0.1</v>
          </cell>
          <cell r="DB491">
            <v>-0.02</v>
          </cell>
          <cell r="DC491">
            <v>-0.02</v>
          </cell>
          <cell r="DD491">
            <v>-0.11</v>
          </cell>
          <cell r="DE491">
            <v>-0.3</v>
          </cell>
          <cell r="DF491">
            <v>-0.09</v>
          </cell>
          <cell r="DG491">
            <v>0.02</v>
          </cell>
          <cell r="DH491">
            <v>7.0000000000000007E-2</v>
          </cell>
          <cell r="DI491">
            <v>0.75</v>
          </cell>
          <cell r="DJ491">
            <v>0.19</v>
          </cell>
          <cell r="DK491">
            <v>0.43</v>
          </cell>
          <cell r="DL491">
            <v>0.55000000000000004</v>
          </cell>
          <cell r="DM491">
            <v>0.1</v>
          </cell>
          <cell r="DN491">
            <v>0.15</v>
          </cell>
          <cell r="DO491">
            <v>-0.15002354049</v>
          </cell>
          <cell r="DP491">
            <v>-0.42</v>
          </cell>
          <cell r="DQ491">
            <v>-0.2</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cell r="AA494">
            <v>8.3908248786999998E-2</v>
          </cell>
          <cell r="AB494">
            <v>2.9567478785E-2</v>
          </cell>
          <cell r="AC494">
            <v>9.5971413446000006E-2</v>
          </cell>
          <cell r="AD494">
            <v>0.06</v>
          </cell>
          <cell r="AE494">
            <v>-0.05</v>
          </cell>
          <cell r="AF494">
            <v>-0.16</v>
          </cell>
          <cell r="AG494">
            <v>0.226283991633</v>
          </cell>
          <cell r="AH494">
            <v>0.17</v>
          </cell>
          <cell r="AI494">
            <v>0.02</v>
          </cell>
          <cell r="AJ494">
            <v>0.02</v>
          </cell>
          <cell r="AK494">
            <v>0.05</v>
          </cell>
          <cell r="AL494">
            <v>0.05</v>
          </cell>
          <cell r="AM494">
            <v>0.05</v>
          </cell>
          <cell r="AN494">
            <v>0.05</v>
          </cell>
          <cell r="AO494">
            <v>0.05</v>
          </cell>
          <cell r="AP494">
            <v>0.05</v>
          </cell>
          <cell r="BN494">
            <v>-0.38</v>
          </cell>
          <cell r="BO494">
            <v>-0.14000000000000001</v>
          </cell>
          <cell r="BP494">
            <v>0.27</v>
          </cell>
          <cell r="BQ494">
            <v>0.4</v>
          </cell>
          <cell r="BR494">
            <v>0.45</v>
          </cell>
          <cell r="BS494">
            <v>0.19</v>
          </cell>
          <cell r="BT494">
            <v>0.33</v>
          </cell>
          <cell r="BU494">
            <v>0.37</v>
          </cell>
          <cell r="BV494">
            <v>0.24</v>
          </cell>
          <cell r="BW494">
            <v>0.26</v>
          </cell>
          <cell r="BX494">
            <v>0.1</v>
          </cell>
          <cell r="BY494">
            <v>0.01</v>
          </cell>
          <cell r="BZ494">
            <v>0.01</v>
          </cell>
          <cell r="CA494">
            <v>-0.02</v>
          </cell>
          <cell r="CB494">
            <v>-0.08</v>
          </cell>
          <cell r="CC494">
            <v>0.04</v>
          </cell>
          <cell r="CD494">
            <v>0.09</v>
          </cell>
          <cell r="CE494">
            <v>0.1</v>
          </cell>
          <cell r="CF494">
            <v>0.13</v>
          </cell>
          <cell r="CG494">
            <v>7.0000000000000007E-2</v>
          </cell>
          <cell r="CH494">
            <v>7.0000000000000007E-2</v>
          </cell>
          <cell r="CI494">
            <v>0.04</v>
          </cell>
          <cell r="CJ494">
            <v>0.1</v>
          </cell>
          <cell r="CK494">
            <v>0.09</v>
          </cell>
          <cell r="CL494">
            <v>0.09</v>
          </cell>
          <cell r="CM494">
            <v>0.06</v>
          </cell>
          <cell r="CN494">
            <v>-0.04</v>
          </cell>
          <cell r="CO494">
            <v>0.06</v>
          </cell>
          <cell r="CP494">
            <v>0.06</v>
          </cell>
          <cell r="CQ494">
            <v>0.04</v>
          </cell>
          <cell r="CR494">
            <v>0.16</v>
          </cell>
          <cell r="CS494">
            <v>0.05</v>
          </cell>
          <cell r="CT494">
            <v>0.11</v>
          </cell>
          <cell r="CU494">
            <v>7.0000000000000007E-2</v>
          </cell>
          <cell r="CV494">
            <v>0.09</v>
          </cell>
          <cell r="CW494">
            <v>0.08</v>
          </cell>
          <cell r="CX494">
            <v>0.04</v>
          </cell>
          <cell r="CY494">
            <v>0.04</v>
          </cell>
          <cell r="CZ494">
            <v>-0.04</v>
          </cell>
          <cell r="DA494">
            <v>-0.01</v>
          </cell>
          <cell r="DB494">
            <v>-0.04</v>
          </cell>
          <cell r="DC494">
            <v>-0.11</v>
          </cell>
          <cell r="DD494">
            <v>-0.11</v>
          </cell>
          <cell r="DE494">
            <v>-0.35</v>
          </cell>
          <cell r="DF494">
            <v>-0.15</v>
          </cell>
          <cell r="DG494">
            <v>-0.01</v>
          </cell>
          <cell r="DH494">
            <v>0.13</v>
          </cell>
          <cell r="DI494">
            <v>0.61</v>
          </cell>
          <cell r="DJ494">
            <v>0.17</v>
          </cell>
          <cell r="DK494">
            <v>0.09</v>
          </cell>
          <cell r="DL494">
            <v>0.11</v>
          </cell>
          <cell r="DM494">
            <v>0.17</v>
          </cell>
          <cell r="DN494">
            <v>0.15</v>
          </cell>
          <cell r="DO494">
            <v>0.25596125807100001</v>
          </cell>
          <cell r="DP494">
            <v>-0.05</v>
          </cell>
          <cell r="DQ494">
            <v>-0.2</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Atlas Copco</v>
          </cell>
          <cell r="B501" t="str">
            <v>15Z67G</v>
          </cell>
        </row>
        <row r="502">
          <cell r="A502" t="str">
            <v>Reference Data</v>
          </cell>
        </row>
        <row r="503">
          <cell r="B503" t="str">
            <v>Ticker</v>
          </cell>
          <cell r="C503" t="str">
            <v>Ticker</v>
          </cell>
          <cell r="E503" t="str">
            <v>ATCOa.ST</v>
          </cell>
        </row>
        <row r="504">
          <cell r="B504" t="str">
            <v>Security Name</v>
          </cell>
          <cell r="C504" t="str">
            <v>Security Name</v>
          </cell>
          <cell r="E504" t="str">
            <v>Atlas Copco</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cell r="E510" t="str">
            <v>Buy</v>
          </cell>
        </row>
        <row r="511">
          <cell r="B511" t="str">
            <v>Pan Europe Conviction List</v>
          </cell>
          <cell r="C511" t="str">
            <v>EURO_CONVICTION</v>
          </cell>
          <cell r="E511" t="str">
            <v>Buy</v>
          </cell>
        </row>
        <row r="512">
          <cell r="B512" t="str">
            <v>Legal rating</v>
          </cell>
          <cell r="C512" t="str">
            <v>LEGAL_RATING</v>
          </cell>
        </row>
        <row r="513">
          <cell r="B513" t="str">
            <v>Target price</v>
          </cell>
          <cell r="C513" t="str">
            <v>TARGET_PRICE</v>
          </cell>
          <cell r="D513" t="str">
            <v>SEK</v>
          </cell>
          <cell r="E513">
            <v>165</v>
          </cell>
        </row>
        <row r="514">
          <cell r="B514" t="str">
            <v>Target price period</v>
          </cell>
          <cell r="C514" t="str">
            <v>TP_PERIOD</v>
          </cell>
          <cell r="E514" t="str">
            <v>12 months</v>
          </cell>
        </row>
        <row r="515">
          <cell r="B515" t="str">
            <v>Fundamental value</v>
          </cell>
          <cell r="C515" t="str">
            <v>TARGET_PRICE_FUNDAMENTAL</v>
          </cell>
          <cell r="D515" t="str">
            <v>SEK</v>
          </cell>
        </row>
        <row r="516">
          <cell r="B516" t="str">
            <v>M&amp;A value</v>
          </cell>
          <cell r="C516" t="str">
            <v>TARGET_PRICE_MA</v>
          </cell>
          <cell r="D516" t="str">
            <v>SEK</v>
          </cell>
        </row>
        <row r="517">
          <cell r="B517" t="str">
            <v>Current shares outstanding (mn)</v>
          </cell>
          <cell r="C517" t="str">
            <v>NUM_SH</v>
          </cell>
          <cell r="E517">
            <v>4872.7614720000001</v>
          </cell>
        </row>
        <row r="518">
          <cell r="B518" t="str">
            <v>Free float</v>
          </cell>
          <cell r="C518" t="str">
            <v>FREE_FLOAT</v>
          </cell>
          <cell r="E518">
            <v>0.94135800000000003</v>
          </cell>
        </row>
        <row r="519">
          <cell r="B519" t="str">
            <v>Indirect Sales - % UK</v>
          </cell>
          <cell r="C519" t="str">
            <v>ACT1</v>
          </cell>
          <cell r="E519">
            <v>0.2321</v>
          </cell>
        </row>
        <row r="520">
          <cell r="A520" t="str">
            <v>Publishing Items</v>
          </cell>
        </row>
        <row r="521">
          <cell r="B521" t="str">
            <v>Book value per share, BVPS (Pub)</v>
          </cell>
          <cell r="C521" t="str">
            <v>BVPS_PUB</v>
          </cell>
          <cell r="D521" t="str">
            <v>SEK</v>
          </cell>
          <cell r="F521">
            <v>2.0849689770780002</v>
          </cell>
          <cell r="G521">
            <v>2.3780861446060002</v>
          </cell>
          <cell r="H521">
            <v>2.6907293201960001</v>
          </cell>
          <cell r="I521">
            <v>3.0544579819919999</v>
          </cell>
          <cell r="J521">
            <v>3.4670016639429999</v>
          </cell>
          <cell r="K521">
            <v>4.1517140552949998</v>
          </cell>
          <cell r="L521">
            <v>4.7673644469280001</v>
          </cell>
          <cell r="M521">
            <v>5.4802227951339999</v>
          </cell>
          <cell r="N521">
            <v>4.0143506647180001</v>
          </cell>
          <cell r="O521">
            <v>4.1775566613370003</v>
          </cell>
          <cell r="P521">
            <v>4.4799151520290001</v>
          </cell>
          <cell r="Q521">
            <v>5.1120650536729997</v>
          </cell>
          <cell r="R521">
            <v>6.5012989753220003</v>
          </cell>
          <cell r="S521">
            <v>2.9743164278699998</v>
          </cell>
          <cell r="T521">
            <v>4.8451755497929998</v>
          </cell>
          <cell r="U521">
            <v>5.2448803355539999</v>
          </cell>
          <cell r="V521">
            <v>5.9916522740360003</v>
          </cell>
          <cell r="W521">
            <v>5.9244008894010003</v>
          </cell>
          <cell r="X521">
            <v>7.2248311089139996</v>
          </cell>
          <cell r="Y521">
            <v>8.1658840006590001</v>
          </cell>
          <cell r="Z521">
            <v>10.401242184929</v>
          </cell>
          <cell r="AA521">
            <v>9.5677263019550001</v>
          </cell>
          <cell r="AB521">
            <v>10.917070964559001</v>
          </cell>
          <cell r="AC521">
            <v>12.461288197018</v>
          </cell>
          <cell r="AD521">
            <v>8.7402142562830001</v>
          </cell>
          <cell r="AE521">
            <v>10.955585741335</v>
          </cell>
          <cell r="AF521">
            <v>10.945984860951</v>
          </cell>
          <cell r="AG521">
            <v>13.885398702471999</v>
          </cell>
          <cell r="AH521">
            <v>14.503526295042001</v>
          </cell>
          <cell r="AI521">
            <v>17.358536474026</v>
          </cell>
          <cell r="AJ521">
            <v>17.619843236918001</v>
          </cell>
          <cell r="AK521">
            <v>21.527014682307001</v>
          </cell>
          <cell r="AL521">
            <v>25.737488536701001</v>
          </cell>
          <cell r="AM521">
            <v>30.456265696982999</v>
          </cell>
          <cell r="AN521">
            <v>35.564538990739997</v>
          </cell>
          <cell r="AO521">
            <v>41.170723935247999</v>
          </cell>
          <cell r="AP521">
            <v>47.322213691207999</v>
          </cell>
        </row>
        <row r="522">
          <cell r="B522" t="str">
            <v>DPS, dividend per share (Pub)</v>
          </cell>
          <cell r="C522" t="str">
            <v>DPS_PUB</v>
          </cell>
          <cell r="D522" t="str">
            <v>SEK</v>
          </cell>
          <cell r="F522">
            <v>9.5833333332999995E-2</v>
          </cell>
          <cell r="G522">
            <v>0.125</v>
          </cell>
          <cell r="H522">
            <v>0.15</v>
          </cell>
          <cell r="I522">
            <v>0.17</v>
          </cell>
          <cell r="J522">
            <v>0.18</v>
          </cell>
          <cell r="K522">
            <v>0.197916666667</v>
          </cell>
          <cell r="L522">
            <v>0.21875</v>
          </cell>
          <cell r="M522">
            <v>0.229166666667</v>
          </cell>
          <cell r="N522">
            <v>0.239583333333</v>
          </cell>
          <cell r="O522">
            <v>0.3125</v>
          </cell>
          <cell r="P522">
            <v>0.375</v>
          </cell>
          <cell r="Q522">
            <v>0.53249999999999997</v>
          </cell>
          <cell r="R522">
            <v>0.59499999999999997</v>
          </cell>
          <cell r="S522">
            <v>0.75</v>
          </cell>
          <cell r="T522">
            <v>0.75</v>
          </cell>
          <cell r="U522">
            <v>0.75</v>
          </cell>
          <cell r="V522">
            <v>1</v>
          </cell>
          <cell r="W522">
            <v>1.25</v>
          </cell>
          <cell r="X522">
            <v>1.375</v>
          </cell>
          <cell r="Y522">
            <v>1.375</v>
          </cell>
          <cell r="Z522">
            <v>1.5</v>
          </cell>
          <cell r="AA522">
            <v>1.575</v>
          </cell>
          <cell r="AB522">
            <v>1.7</v>
          </cell>
          <cell r="AC522">
            <v>1.75</v>
          </cell>
          <cell r="AD522">
            <v>1.575</v>
          </cell>
          <cell r="AE522">
            <v>1.75</v>
          </cell>
          <cell r="AF522">
            <v>1.825</v>
          </cell>
          <cell r="AG522">
            <v>1.9</v>
          </cell>
          <cell r="AH522">
            <v>2.4157753272660001</v>
          </cell>
          <cell r="AI522">
            <v>2.6353927531250001</v>
          </cell>
          <cell r="AJ522">
            <v>2.9483497580089999</v>
          </cell>
          <cell r="AK522">
            <v>3.4277606016990001</v>
          </cell>
          <cell r="AL522">
            <v>3.8191172280460002</v>
          </cell>
          <cell r="AM522">
            <v>4.2689471941640003</v>
          </cell>
          <cell r="AN522">
            <v>4.6886102439609996</v>
          </cell>
          <cell r="AO522">
            <v>5.1473975942339996</v>
          </cell>
          <cell r="AP522">
            <v>5.6494436750970003</v>
          </cell>
        </row>
        <row r="523">
          <cell r="B523" t="str">
            <v>Special dividend per share</v>
          </cell>
          <cell r="C523" t="str">
            <v>DPS_SPECIAL_PUB</v>
          </cell>
          <cell r="D523" t="str">
            <v>SEK</v>
          </cell>
          <cell r="P523">
            <v>0.83374999999999999</v>
          </cell>
          <cell r="R523">
            <v>5</v>
          </cell>
          <cell r="V523">
            <v>1.25</v>
          </cell>
          <cell r="Z523">
            <v>1.5</v>
          </cell>
          <cell r="AC523">
            <v>2</v>
          </cell>
          <cell r="AG523">
            <v>2</v>
          </cell>
          <cell r="AI523">
            <v>3</v>
          </cell>
        </row>
        <row r="524">
          <cell r="B524" t="str">
            <v>EBITDA (Pub)</v>
          </cell>
          <cell r="C524" t="str">
            <v>EBITDA_PUB</v>
          </cell>
          <cell r="D524" t="str">
            <v>SEK</v>
          </cell>
          <cell r="F524">
            <v>2843</v>
          </cell>
          <cell r="G524">
            <v>3466</v>
          </cell>
          <cell r="H524">
            <v>3702</v>
          </cell>
          <cell r="I524">
            <v>4877</v>
          </cell>
          <cell r="J524">
            <v>5553</v>
          </cell>
          <cell r="K524">
            <v>5813</v>
          </cell>
          <cell r="L524">
            <v>7959</v>
          </cell>
          <cell r="M524">
            <v>7812</v>
          </cell>
          <cell r="N524">
            <v>6884</v>
          </cell>
          <cell r="O524">
            <v>6663</v>
          </cell>
          <cell r="P524">
            <v>7893</v>
          </cell>
          <cell r="Q524">
            <v>8017</v>
          </cell>
          <cell r="R524">
            <v>10206</v>
          </cell>
          <cell r="S524">
            <v>13278</v>
          </cell>
          <cell r="T524">
            <v>15301</v>
          </cell>
          <cell r="U524">
            <v>10840</v>
          </cell>
          <cell r="V524">
            <v>15733</v>
          </cell>
          <cell r="W524">
            <v>19366</v>
          </cell>
          <cell r="X524">
            <v>21211</v>
          </cell>
          <cell r="Y524">
            <v>19064</v>
          </cell>
          <cell r="Z524">
            <v>19829</v>
          </cell>
          <cell r="AA524">
            <v>23113</v>
          </cell>
          <cell r="AB524">
            <v>23202</v>
          </cell>
          <cell r="AC524">
            <v>27664</v>
          </cell>
          <cell r="AD524">
            <v>25105</v>
          </cell>
          <cell r="AE524">
            <v>24820</v>
          </cell>
          <cell r="AF524">
            <v>22436</v>
          </cell>
          <cell r="AG524">
            <v>27171</v>
          </cell>
          <cell r="AH524">
            <v>34541.988531505798</v>
          </cell>
          <cell r="AI524">
            <v>37668.800495491603</v>
          </cell>
          <cell r="AJ524">
            <v>41992.024148912496</v>
          </cell>
          <cell r="AK524">
            <v>48024.133525694197</v>
          </cell>
          <cell r="AL524">
            <v>52948.1085070513</v>
          </cell>
          <cell r="AM524">
            <v>58486.346762753703</v>
          </cell>
          <cell r="AN524">
            <v>63756.182643292799</v>
          </cell>
          <cell r="AO524">
            <v>69527.305291803001</v>
          </cell>
          <cell r="AP524">
            <v>75850.006891795201</v>
          </cell>
        </row>
        <row r="525">
          <cell r="B525" t="str">
            <v>EPS (Pub)</v>
          </cell>
          <cell r="C525" t="str">
            <v>EPS_PUB</v>
          </cell>
          <cell r="D525" t="str">
            <v>SEK</v>
          </cell>
          <cell r="F525">
            <v>0.282673023681</v>
          </cell>
          <cell r="G525">
            <v>0.43411310945999998</v>
          </cell>
          <cell r="H525">
            <v>0.44887113880899998</v>
          </cell>
          <cell r="I525">
            <v>0.57601723781400005</v>
          </cell>
          <cell r="J525">
            <v>0.61257174127799996</v>
          </cell>
          <cell r="K525">
            <v>0.57629011473799996</v>
          </cell>
          <cell r="L525">
            <v>0.71584018736499999</v>
          </cell>
          <cell r="M525">
            <v>0.803108680076</v>
          </cell>
          <cell r="N525">
            <v>0.76076656402300002</v>
          </cell>
          <cell r="O525">
            <v>0.75361015004200005</v>
          </cell>
          <cell r="P525">
            <v>0.91781009304799999</v>
          </cell>
          <cell r="Q525">
            <v>0.99494033261899995</v>
          </cell>
          <cell r="R525">
            <v>1.2464012292340001</v>
          </cell>
          <cell r="S525">
            <v>1.498831033846</v>
          </cell>
          <cell r="T525">
            <v>2.106883379124</v>
          </cell>
          <cell r="U525">
            <v>1.400814211695</v>
          </cell>
          <cell r="V525">
            <v>2.060407928284</v>
          </cell>
          <cell r="W525">
            <v>2.7007329325540002</v>
          </cell>
          <cell r="X525">
            <v>2.900601417037</v>
          </cell>
          <cell r="Y525">
            <v>2.4748723018619998</v>
          </cell>
          <cell r="Z525">
            <v>2.654039157618</v>
          </cell>
          <cell r="AA525">
            <v>2.4685805815670001</v>
          </cell>
          <cell r="AB525">
            <v>2.8846311980919999</v>
          </cell>
          <cell r="AC525">
            <v>3.6</v>
          </cell>
          <cell r="AD525">
            <v>3.35</v>
          </cell>
          <cell r="AE525">
            <v>3.56</v>
          </cell>
          <cell r="AF525">
            <v>3.22</v>
          </cell>
          <cell r="AG525">
            <v>3.86</v>
          </cell>
          <cell r="AH525">
            <v>4.74</v>
          </cell>
          <cell r="AI525">
            <v>5.37</v>
          </cell>
          <cell r="AJ525">
            <v>6.01</v>
          </cell>
          <cell r="AK525">
            <v>6.99</v>
          </cell>
          <cell r="AL525">
            <v>7.79</v>
          </cell>
          <cell r="AM525">
            <v>8.5399999999999991</v>
          </cell>
          <cell r="AN525">
            <v>9.3800000000000008</v>
          </cell>
          <cell r="AO525">
            <v>10.29</v>
          </cell>
          <cell r="AP525">
            <v>11.3</v>
          </cell>
          <cell r="AR525">
            <v>0.273735687023</v>
          </cell>
          <cell r="AS525">
            <v>0.19839376590300001</v>
          </cell>
          <cell r="AT525">
            <v>0.266380407125</v>
          </cell>
          <cell r="AU525">
            <v>0.23576653944000001</v>
          </cell>
          <cell r="AV525">
            <v>0.21350190839700001</v>
          </cell>
          <cell r="AW525">
            <v>0.249085559796</v>
          </cell>
          <cell r="AX525">
            <v>0.33854166666699997</v>
          </cell>
          <cell r="AY525">
            <v>0.43256997455500001</v>
          </cell>
          <cell r="AZ525">
            <v>0.28963899491099998</v>
          </cell>
          <cell r="BA525">
            <v>0.22463422391900001</v>
          </cell>
          <cell r="BB525">
            <v>0.41964853689600001</v>
          </cell>
          <cell r="BC525">
            <v>1.842242765273</v>
          </cell>
          <cell r="BD525">
            <v>0.37270642201800003</v>
          </cell>
          <cell r="BE525">
            <v>0.48451834862400001</v>
          </cell>
          <cell r="BF525">
            <v>0.38601736566200001</v>
          </cell>
          <cell r="BG525">
            <v>0.28014416775899997</v>
          </cell>
          <cell r="BH525">
            <v>0.484927916121</v>
          </cell>
          <cell r="BI525">
            <v>0.50253931848</v>
          </cell>
          <cell r="BJ525">
            <v>0.49716957912900001</v>
          </cell>
          <cell r="BK525">
            <v>0.59852783945999999</v>
          </cell>
          <cell r="BL525">
            <v>0.28209556707</v>
          </cell>
          <cell r="BM525">
            <v>0.30039476930699999</v>
          </cell>
          <cell r="BN525">
            <v>0.35385311291999999</v>
          </cell>
          <cell r="BO525">
            <v>0.34747923348999998</v>
          </cell>
          <cell r="BP525">
            <v>0.381261824463</v>
          </cell>
          <cell r="BQ525">
            <v>0.51821995558099998</v>
          </cell>
          <cell r="BR525">
            <v>0.54314741691299995</v>
          </cell>
          <cell r="BS525">
            <v>0.59700879283399999</v>
          </cell>
          <cell r="BT525">
            <v>0.62094322570000005</v>
          </cell>
          <cell r="BU525">
            <v>0.62315312345499996</v>
          </cell>
          <cell r="BV525">
            <v>0.74089335750800001</v>
          </cell>
          <cell r="BW525">
            <v>0.69426121372000005</v>
          </cell>
          <cell r="BX525">
            <v>0.69971205265299996</v>
          </cell>
          <cell r="BY525">
            <v>0.74429524672500003</v>
          </cell>
          <cell r="BZ525">
            <v>0.71693295997399997</v>
          </cell>
          <cell r="CA525">
            <v>0.70026339616400002</v>
          </cell>
          <cell r="CB525">
            <v>0.60592940788399996</v>
          </cell>
          <cell r="CC525">
            <v>0.64603266248799995</v>
          </cell>
          <cell r="CD525">
            <v>0.62896841758099997</v>
          </cell>
          <cell r="CE525">
            <v>0.59795598780199999</v>
          </cell>
          <cell r="CF525">
            <v>0.56718016311099995</v>
          </cell>
          <cell r="CG525">
            <v>0.65920500370299995</v>
          </cell>
          <cell r="CH525">
            <v>0.59159677684599998</v>
          </cell>
          <cell r="CI525">
            <v>0.68456293131799995</v>
          </cell>
          <cell r="CJ525">
            <v>0.66406570841900003</v>
          </cell>
          <cell r="CK525">
            <v>0.74907597535899995</v>
          </cell>
          <cell r="CL525">
            <v>0.78112169486000005</v>
          </cell>
          <cell r="CM525">
            <v>0.21160325417</v>
          </cell>
          <cell r="CN525">
            <v>0.59795129175600004</v>
          </cell>
          <cell r="CO525">
            <v>0.83422415919699999</v>
          </cell>
          <cell r="CP525">
            <v>0.837100353415</v>
          </cell>
          <cell r="CQ525">
            <v>0.503410865456</v>
          </cell>
          <cell r="CR525">
            <v>0.82</v>
          </cell>
          <cell r="CS525">
            <v>0.84</v>
          </cell>
          <cell r="CT525">
            <v>0.91</v>
          </cell>
          <cell r="CU525">
            <v>0.86</v>
          </cell>
          <cell r="CV525">
            <v>0.91</v>
          </cell>
          <cell r="CW525">
            <v>19.12</v>
          </cell>
          <cell r="CX525">
            <v>0.78</v>
          </cell>
          <cell r="CY525">
            <v>1.07</v>
          </cell>
          <cell r="CZ525">
            <v>0.76</v>
          </cell>
          <cell r="DA525">
            <v>0.84</v>
          </cell>
          <cell r="DB525">
            <v>0.91</v>
          </cell>
          <cell r="DC525">
            <v>0.89</v>
          </cell>
          <cell r="DD525">
            <v>0.79</v>
          </cell>
          <cell r="DE525">
            <v>0.64</v>
          </cell>
          <cell r="DF525">
            <v>0.74</v>
          </cell>
          <cell r="DG525">
            <v>0.86</v>
          </cell>
          <cell r="DH525">
            <v>0.85</v>
          </cell>
          <cell r="DI525">
            <v>0.94</v>
          </cell>
          <cell r="DJ525">
            <v>0.94</v>
          </cell>
          <cell r="DK525">
            <v>1</v>
          </cell>
          <cell r="DL525">
            <v>1.07</v>
          </cell>
          <cell r="DM525">
            <v>1.17</v>
          </cell>
          <cell r="DN525">
            <v>1.2</v>
          </cell>
          <cell r="DO525">
            <v>1.41</v>
          </cell>
          <cell r="DP525">
            <v>1.33</v>
          </cell>
          <cell r="DQ525">
            <v>1.43</v>
          </cell>
        </row>
        <row r="526">
          <cell r="B526" t="str">
            <v>Consensus earnings equivalent estimate</v>
          </cell>
          <cell r="C526" t="str">
            <v>CEEE_EPS</v>
          </cell>
          <cell r="D526" t="str">
            <v>SEK</v>
          </cell>
        </row>
        <row r="527">
          <cell r="B527" t="str">
            <v>EV adjustment (Pub)</v>
          </cell>
          <cell r="C527" t="str">
            <v>EV_ADJ_PUB</v>
          </cell>
          <cell r="D527" t="str">
            <v>SEK</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row>
        <row r="528">
          <cell r="B528" t="str">
            <v>Net debt (Pub)</v>
          </cell>
          <cell r="C528" t="str">
            <v>NET_DEBT_PUB</v>
          </cell>
          <cell r="D528" t="str">
            <v>SEK</v>
          </cell>
          <cell r="F528">
            <v>-875.16337285426005</v>
          </cell>
          <cell r="G528">
            <v>1812.9132748028001</v>
          </cell>
          <cell r="H528">
            <v>585.51730973359599</v>
          </cell>
          <cell r="I528">
            <v>9114.5004187974901</v>
          </cell>
          <cell r="J528">
            <v>9091.0932614264893</v>
          </cell>
          <cell r="K528">
            <v>19288.3442790597</v>
          </cell>
          <cell r="L528">
            <v>22374.0956549232</v>
          </cell>
          <cell r="M528">
            <v>20037.4072277249</v>
          </cell>
          <cell r="N528">
            <v>13198.099522335</v>
          </cell>
          <cell r="O528">
            <v>7029.1788504423803</v>
          </cell>
          <cell r="P528">
            <v>5471.9276278424104</v>
          </cell>
          <cell r="Q528">
            <v>6850.72292368543</v>
          </cell>
          <cell r="R528">
            <v>-12810</v>
          </cell>
          <cell r="S528">
            <v>19595</v>
          </cell>
          <cell r="T528">
            <v>21696</v>
          </cell>
          <cell r="U528">
            <v>11059</v>
          </cell>
          <cell r="V528">
            <v>5990</v>
          </cell>
          <cell r="W528">
            <v>14736</v>
          </cell>
          <cell r="X528">
            <v>9124</v>
          </cell>
          <cell r="Y528">
            <v>8159</v>
          </cell>
          <cell r="Z528">
            <v>15720</v>
          </cell>
          <cell r="AA528">
            <v>15646</v>
          </cell>
          <cell r="AB528">
            <v>13997</v>
          </cell>
          <cell r="AC528">
            <v>2654</v>
          </cell>
          <cell r="AD528">
            <v>7124</v>
          </cell>
          <cell r="AE528">
            <v>8525</v>
          </cell>
          <cell r="AF528">
            <v>12933</v>
          </cell>
          <cell r="AG528">
            <v>5037</v>
          </cell>
          <cell r="AH528">
            <v>9119.69270312564</v>
          </cell>
          <cell r="AI528">
            <v>3204.62645238405</v>
          </cell>
          <cell r="AJ528">
            <v>10802.9411249819</v>
          </cell>
          <cell r="AK528">
            <v>5489.07673826054</v>
          </cell>
          <cell r="AL528">
            <v>-402.65309772639</v>
          </cell>
          <cell r="AM528">
            <v>-6924.3128528548395</v>
          </cell>
          <cell r="AN528">
            <v>-13644.662311847</v>
          </cell>
          <cell r="AO528">
            <v>-20924.624275171202</v>
          </cell>
          <cell r="AP528">
            <v>-28810.933120782502</v>
          </cell>
        </row>
        <row r="529">
          <cell r="B529" t="str">
            <v>Net Debt (ex leases) (Pub)</v>
          </cell>
          <cell r="C529" t="str">
            <v>NET_DEBT_EX_LEASES_PUB</v>
          </cell>
          <cell r="D529" t="str">
            <v>SEK</v>
          </cell>
          <cell r="F529">
            <v>-1489</v>
          </cell>
          <cell r="G529">
            <v>1226</v>
          </cell>
          <cell r="H529">
            <v>-25</v>
          </cell>
          <cell r="I529">
            <v>8198</v>
          </cell>
          <cell r="J529">
            <v>8112</v>
          </cell>
          <cell r="K529">
            <v>17875</v>
          </cell>
          <cell r="L529">
            <v>20749</v>
          </cell>
          <cell r="M529">
            <v>18342</v>
          </cell>
          <cell r="N529">
            <v>11916</v>
          </cell>
          <cell r="O529">
            <v>5821</v>
          </cell>
          <cell r="P529">
            <v>4203</v>
          </cell>
          <cell r="Q529">
            <v>5403</v>
          </cell>
          <cell r="R529">
            <v>-14011</v>
          </cell>
          <cell r="S529">
            <v>18047</v>
          </cell>
          <cell r="T529">
            <v>19764</v>
          </cell>
          <cell r="U529">
            <v>9138</v>
          </cell>
          <cell r="V529">
            <v>3932</v>
          </cell>
          <cell r="W529">
            <v>12690</v>
          </cell>
          <cell r="X529">
            <v>7113</v>
          </cell>
          <cell r="Y529">
            <v>6090</v>
          </cell>
          <cell r="Z529">
            <v>12897</v>
          </cell>
          <cell r="AA529">
            <v>12580</v>
          </cell>
          <cell r="AB529">
            <v>10922</v>
          </cell>
          <cell r="AC529">
            <v>-387</v>
          </cell>
          <cell r="AD529">
            <v>3865</v>
          </cell>
          <cell r="AE529">
            <v>4882</v>
          </cell>
          <cell r="AF529">
            <v>9564</v>
          </cell>
          <cell r="AG529">
            <v>1665</v>
          </cell>
          <cell r="AH529">
            <v>5747.69270312564</v>
          </cell>
          <cell r="AI529">
            <v>-167.37354761595299</v>
          </cell>
          <cell r="AJ529">
            <v>7430.9411249819004</v>
          </cell>
          <cell r="AK529">
            <v>2117.07673826054</v>
          </cell>
          <cell r="AL529">
            <v>-3774.6530977263901</v>
          </cell>
          <cell r="AM529">
            <v>-10296.3128528548</v>
          </cell>
          <cell r="AN529">
            <v>-17016.662311847002</v>
          </cell>
          <cell r="AO529">
            <v>-24296.624275171202</v>
          </cell>
          <cell r="AP529">
            <v>-32182.933120782502</v>
          </cell>
        </row>
        <row r="530">
          <cell r="B530" t="str">
            <v>Consensus equivalent net debt</v>
          </cell>
          <cell r="C530" t="str">
            <v>CEEE_NDEBT</v>
          </cell>
          <cell r="D530" t="str">
            <v>SEK</v>
          </cell>
        </row>
        <row r="531">
          <cell r="B531" t="str">
            <v>Net income (Pub)</v>
          </cell>
          <cell r="C531" t="str">
            <v>NI_PUB</v>
          </cell>
          <cell r="D531" t="str">
            <v>SEK</v>
          </cell>
          <cell r="F531">
            <v>1194</v>
          </cell>
          <cell r="G531">
            <v>1823</v>
          </cell>
          <cell r="H531">
            <v>1938</v>
          </cell>
          <cell r="I531">
            <v>2208</v>
          </cell>
          <cell r="J531">
            <v>2283</v>
          </cell>
          <cell r="K531">
            <v>2247</v>
          </cell>
          <cell r="L531">
            <v>2924</v>
          </cell>
          <cell r="M531">
            <v>3067</v>
          </cell>
          <cell r="N531">
            <v>-3889</v>
          </cell>
          <cell r="O531">
            <v>3274</v>
          </cell>
          <cell r="P531">
            <v>4416</v>
          </cell>
          <cell r="Q531">
            <v>4943</v>
          </cell>
          <cell r="R531">
            <v>6236</v>
          </cell>
          <cell r="S531">
            <v>7386</v>
          </cell>
          <cell r="T531">
            <v>9973</v>
          </cell>
          <cell r="U531">
            <v>6244</v>
          </cell>
          <cell r="V531">
            <v>9921</v>
          </cell>
          <cell r="W531">
            <v>12963</v>
          </cell>
          <cell r="X531">
            <v>13901</v>
          </cell>
          <cell r="Y531">
            <v>12072</v>
          </cell>
          <cell r="Z531">
            <v>12169</v>
          </cell>
          <cell r="AA531">
            <v>11771</v>
          </cell>
          <cell r="AB531">
            <v>13768</v>
          </cell>
          <cell r="AC531">
            <v>16740</v>
          </cell>
          <cell r="AD531">
            <v>16331</v>
          </cell>
          <cell r="AE531">
            <v>16522</v>
          </cell>
          <cell r="AF531">
            <v>14779</v>
          </cell>
          <cell r="AG531">
            <v>18130</v>
          </cell>
          <cell r="AH531">
            <v>23542.993879421101</v>
          </cell>
          <cell r="AI531">
            <v>25683.280542029101</v>
          </cell>
          <cell r="AJ531">
            <v>28733.210213611001</v>
          </cell>
          <cell r="AK531">
            <v>33405.319590392799</v>
          </cell>
          <cell r="AL531">
            <v>37219.294571749801</v>
          </cell>
          <cell r="AM531">
            <v>41603.122827452302</v>
          </cell>
          <cell r="AN531">
            <v>45692.958707991304</v>
          </cell>
          <cell r="AO531">
            <v>50164.081356501498</v>
          </cell>
          <cell r="AP531">
            <v>55056.782956493698</v>
          </cell>
          <cell r="AR531">
            <v>877</v>
          </cell>
          <cell r="AS531">
            <v>1016</v>
          </cell>
          <cell r="AT531">
            <v>1282</v>
          </cell>
          <cell r="AU531">
            <v>1349</v>
          </cell>
          <cell r="AV531">
            <v>1074</v>
          </cell>
          <cell r="AW531">
            <v>1253</v>
          </cell>
          <cell r="AX531">
            <v>1266</v>
          </cell>
          <cell r="AY531">
            <v>1587</v>
          </cell>
          <cell r="AZ531">
            <v>1457</v>
          </cell>
          <cell r="BA531">
            <v>1130</v>
          </cell>
          <cell r="BB531">
            <v>1469</v>
          </cell>
          <cell r="BC531">
            <v>1762</v>
          </cell>
          <cell r="BD531">
            <v>1767</v>
          </cell>
          <cell r="BE531">
            <v>2366</v>
          </cell>
          <cell r="BF531">
            <v>1835</v>
          </cell>
          <cell r="BG531">
            <v>1348</v>
          </cell>
          <cell r="BH531">
            <v>2175</v>
          </cell>
          <cell r="BI531">
            <v>2454</v>
          </cell>
          <cell r="BJ531">
            <v>2424</v>
          </cell>
          <cell r="BK531">
            <v>3163</v>
          </cell>
          <cell r="BL531">
            <v>1599</v>
          </cell>
          <cell r="BM531">
            <v>1720</v>
          </cell>
          <cell r="BN531">
            <v>1721</v>
          </cell>
          <cell r="BO531">
            <v>1770</v>
          </cell>
          <cell r="BP531">
            <v>1854</v>
          </cell>
          <cell r="BQ531">
            <v>2520</v>
          </cell>
          <cell r="BR531">
            <v>2741</v>
          </cell>
          <cell r="BS531">
            <v>2906</v>
          </cell>
          <cell r="BT531">
            <v>3023</v>
          </cell>
          <cell r="BU531">
            <v>2976</v>
          </cell>
          <cell r="BV531">
            <v>3626</v>
          </cell>
          <cell r="BW531">
            <v>3493</v>
          </cell>
          <cell r="BX531">
            <v>3471</v>
          </cell>
          <cell r="BY531">
            <v>3603</v>
          </cell>
          <cell r="BZ531">
            <v>3414</v>
          </cell>
          <cell r="CA531">
            <v>3595</v>
          </cell>
          <cell r="CB531">
            <v>2986</v>
          </cell>
          <cell r="CC531">
            <v>3133</v>
          </cell>
          <cell r="CD531">
            <v>3101</v>
          </cell>
          <cell r="CE531">
            <v>2845</v>
          </cell>
          <cell r="CF531">
            <v>2866</v>
          </cell>
          <cell r="CG531">
            <v>3247</v>
          </cell>
          <cell r="CH531">
            <v>3337</v>
          </cell>
          <cell r="CI531">
            <v>3448</v>
          </cell>
          <cell r="CJ531">
            <v>3482</v>
          </cell>
          <cell r="CK531">
            <v>3741</v>
          </cell>
          <cell r="CL531">
            <v>3748</v>
          </cell>
          <cell r="CM531">
            <v>1115</v>
          </cell>
          <cell r="CN531">
            <v>2883</v>
          </cell>
          <cell r="CO531">
            <v>3248</v>
          </cell>
          <cell r="CP531">
            <v>3549</v>
          </cell>
          <cell r="CQ531">
            <v>4307</v>
          </cell>
          <cell r="CR531">
            <v>4150</v>
          </cell>
          <cell r="CS531">
            <v>4335</v>
          </cell>
          <cell r="CT531">
            <v>4360</v>
          </cell>
          <cell r="CU531">
            <v>4644</v>
          </cell>
          <cell r="CV531">
            <v>3280</v>
          </cell>
          <cell r="CW531">
            <v>3635</v>
          </cell>
          <cell r="CX531">
            <v>3955</v>
          </cell>
          <cell r="CY531">
            <v>5084.299</v>
          </cell>
          <cell r="CZ531">
            <v>3912</v>
          </cell>
          <cell r="DA531">
            <v>4323</v>
          </cell>
          <cell r="DB531">
            <v>4455</v>
          </cell>
          <cell r="DC531">
            <v>4612</v>
          </cell>
          <cell r="DD531">
            <v>3811</v>
          </cell>
          <cell r="DE531">
            <v>3716</v>
          </cell>
          <cell r="DF531">
            <v>3879</v>
          </cell>
          <cell r="DG531">
            <v>4225</v>
          </cell>
          <cell r="DH531">
            <v>4377</v>
          </cell>
          <cell r="DI531">
            <v>4671</v>
          </cell>
          <cell r="DJ531">
            <v>4666</v>
          </cell>
          <cell r="DK531">
            <v>5103</v>
          </cell>
          <cell r="DL531">
            <v>4989</v>
          </cell>
          <cell r="DM531">
            <v>5441</v>
          </cell>
          <cell r="DN531">
            <v>5839.3875407689002</v>
          </cell>
          <cell r="DO531">
            <v>6026.8623106934101</v>
          </cell>
          <cell r="DP531">
            <v>6442.9948020013198</v>
          </cell>
          <cell r="DQ531">
            <v>6918.14213921798</v>
          </cell>
        </row>
        <row r="532">
          <cell r="B532" t="str">
            <v>EBIT, operating profit (Pub)</v>
          </cell>
          <cell r="C532" t="str">
            <v>EBIT_PUB</v>
          </cell>
          <cell r="D532" t="str">
            <v>SEK</v>
          </cell>
          <cell r="F532">
            <v>1941</v>
          </cell>
          <cell r="G532">
            <v>2754</v>
          </cell>
          <cell r="H532">
            <v>2970</v>
          </cell>
          <cell r="I532">
            <v>4142</v>
          </cell>
          <cell r="J532">
            <v>4760</v>
          </cell>
          <cell r="K532">
            <v>5122</v>
          </cell>
          <cell r="L532">
            <v>7069</v>
          </cell>
          <cell r="M532">
            <v>7103</v>
          </cell>
          <cell r="N532">
            <v>6027</v>
          </cell>
          <cell r="O532">
            <v>5827</v>
          </cell>
          <cell r="P532">
            <v>6849</v>
          </cell>
          <cell r="Q532">
            <v>6996</v>
          </cell>
          <cell r="R532">
            <v>9203</v>
          </cell>
          <cell r="S532">
            <v>11996</v>
          </cell>
          <cell r="T532">
            <v>14093</v>
          </cell>
          <cell r="U532">
            <v>9659</v>
          </cell>
          <cell r="V532">
            <v>14015</v>
          </cell>
          <cell r="W532">
            <v>17715</v>
          </cell>
          <cell r="X532">
            <v>19410</v>
          </cell>
          <cell r="Y532">
            <v>16993</v>
          </cell>
          <cell r="Z532">
            <v>17744</v>
          </cell>
          <cell r="AA532">
            <v>20022</v>
          </cell>
          <cell r="AB532">
            <v>20062</v>
          </cell>
          <cell r="AC532">
            <v>24949</v>
          </cell>
          <cell r="AD532">
            <v>21135</v>
          </cell>
          <cell r="AE532">
            <v>22677</v>
          </cell>
          <cell r="AF532">
            <v>19998</v>
          </cell>
          <cell r="AG532">
            <v>24246</v>
          </cell>
          <cell r="AH532">
            <v>30081.993879421101</v>
          </cell>
          <cell r="AI532">
            <v>33891.876542029102</v>
          </cell>
          <cell r="AJ532">
            <v>37961.194031514802</v>
          </cell>
          <cell r="AK532">
            <v>44083.626414989398</v>
          </cell>
          <cell r="AL532">
            <v>49081.331529110299</v>
          </cell>
          <cell r="AM532">
            <v>53895.482827452302</v>
          </cell>
          <cell r="AN532">
            <v>59165.318707991297</v>
          </cell>
          <cell r="AO532">
            <v>64936.441356501498</v>
          </cell>
          <cell r="AP532">
            <v>71259.142956493699</v>
          </cell>
          <cell r="AR532">
            <v>1327</v>
          </cell>
          <cell r="AS532">
            <v>1602</v>
          </cell>
          <cell r="AT532">
            <v>1968</v>
          </cell>
          <cell r="AU532">
            <v>1947</v>
          </cell>
          <cell r="AV532">
            <v>1344</v>
          </cell>
          <cell r="AW532">
            <v>1667</v>
          </cell>
          <cell r="AX532">
            <v>1781</v>
          </cell>
          <cell r="AY532">
            <v>2204</v>
          </cell>
          <cell r="AZ532">
            <v>2096</v>
          </cell>
          <cell r="BA532">
            <v>2337</v>
          </cell>
          <cell r="BB532">
            <v>2306</v>
          </cell>
          <cell r="BC532">
            <v>2464</v>
          </cell>
          <cell r="BD532">
            <v>2541</v>
          </cell>
          <cell r="BE532">
            <v>3037</v>
          </cell>
          <cell r="BF532">
            <v>3077</v>
          </cell>
          <cell r="BG532">
            <v>3341</v>
          </cell>
          <cell r="BH532">
            <v>3239</v>
          </cell>
          <cell r="BI532">
            <v>3630</v>
          </cell>
          <cell r="BJ532">
            <v>3640</v>
          </cell>
          <cell r="BK532">
            <v>3540</v>
          </cell>
          <cell r="BL532">
            <v>2399</v>
          </cell>
          <cell r="BM532">
            <v>2325</v>
          </cell>
          <cell r="BN532">
            <v>2402</v>
          </cell>
          <cell r="BO532">
            <v>2530</v>
          </cell>
          <cell r="BP532">
            <v>2627</v>
          </cell>
          <cell r="BQ532">
            <v>3499</v>
          </cell>
          <cell r="BR532">
            <v>3882</v>
          </cell>
          <cell r="BS532">
            <v>4007</v>
          </cell>
          <cell r="BT532">
            <v>3987</v>
          </cell>
          <cell r="BU532">
            <v>4177</v>
          </cell>
          <cell r="BV532">
            <v>4830</v>
          </cell>
          <cell r="BW532">
            <v>4721</v>
          </cell>
          <cell r="BX532">
            <v>4673</v>
          </cell>
          <cell r="BY532">
            <v>5008</v>
          </cell>
          <cell r="BZ532">
            <v>4850</v>
          </cell>
          <cell r="CA532">
            <v>4879</v>
          </cell>
          <cell r="CB532">
            <v>4156</v>
          </cell>
          <cell r="CC532">
            <v>4533</v>
          </cell>
          <cell r="CD532">
            <v>4262</v>
          </cell>
          <cell r="CE532">
            <v>4098</v>
          </cell>
          <cell r="CF532">
            <v>3872</v>
          </cell>
          <cell r="CG532">
            <v>4382</v>
          </cell>
          <cell r="CH532">
            <v>4604</v>
          </cell>
          <cell r="CI532">
            <v>4886</v>
          </cell>
          <cell r="CJ532">
            <v>4767</v>
          </cell>
          <cell r="CK532">
            <v>5162</v>
          </cell>
          <cell r="CL532">
            <v>5239</v>
          </cell>
          <cell r="CM532">
            <v>4919</v>
          </cell>
          <cell r="CN532">
            <v>4157</v>
          </cell>
          <cell r="CO532">
            <v>4822</v>
          </cell>
          <cell r="CP532">
            <v>5189</v>
          </cell>
          <cell r="CQ532">
            <v>5849</v>
          </cell>
          <cell r="CR532">
            <v>5878</v>
          </cell>
          <cell r="CS532">
            <v>6244</v>
          </cell>
          <cell r="CT532">
            <v>6187</v>
          </cell>
          <cell r="CU532">
            <v>6640</v>
          </cell>
          <cell r="CV532">
            <v>4779</v>
          </cell>
          <cell r="CW532">
            <v>5430</v>
          </cell>
          <cell r="CX532">
            <v>5322</v>
          </cell>
          <cell r="CY532">
            <v>5545.299</v>
          </cell>
          <cell r="CZ532">
            <v>5262</v>
          </cell>
          <cell r="DA532">
            <v>5622</v>
          </cell>
          <cell r="DB532">
            <v>5880</v>
          </cell>
          <cell r="DC532">
            <v>5913</v>
          </cell>
          <cell r="DD532">
            <v>5099</v>
          </cell>
          <cell r="DE532">
            <v>4476</v>
          </cell>
          <cell r="DF532">
            <v>5021</v>
          </cell>
          <cell r="DG532">
            <v>5402</v>
          </cell>
          <cell r="DH532">
            <v>5649</v>
          </cell>
          <cell r="DI532">
            <v>6026</v>
          </cell>
          <cell r="DJ532">
            <v>6109</v>
          </cell>
          <cell r="DK532">
            <v>6462</v>
          </cell>
          <cell r="DL532">
            <v>6525</v>
          </cell>
          <cell r="DM532">
            <v>7042</v>
          </cell>
          <cell r="DN532">
            <v>7633.6201828167495</v>
          </cell>
          <cell r="DO532">
            <v>8095.6296686455498</v>
          </cell>
          <cell r="DP532">
            <v>8417.5257168848293</v>
          </cell>
          <cell r="DQ532">
            <v>9034.6001808025703</v>
          </cell>
        </row>
        <row r="533">
          <cell r="B533" t="str">
            <v>Pre-tax profit (Pub)</v>
          </cell>
          <cell r="C533" t="str">
            <v>PTP_PUB</v>
          </cell>
          <cell r="D533" t="str">
            <v>SEK</v>
          </cell>
          <cell r="F533">
            <v>1955</v>
          </cell>
          <cell r="G533">
            <v>2840</v>
          </cell>
          <cell r="H533">
            <v>3070</v>
          </cell>
          <cell r="I533">
            <v>3520</v>
          </cell>
          <cell r="J533">
            <v>3637</v>
          </cell>
          <cell r="K533">
            <v>3412</v>
          </cell>
          <cell r="L533">
            <v>4689</v>
          </cell>
          <cell r="M533">
            <v>4700</v>
          </cell>
          <cell r="N533">
            <v>-2469</v>
          </cell>
          <cell r="O533">
            <v>4913</v>
          </cell>
          <cell r="P533">
            <v>6382</v>
          </cell>
          <cell r="Q533">
            <v>6863</v>
          </cell>
          <cell r="R533">
            <v>8695</v>
          </cell>
          <cell r="S533">
            <v>10534</v>
          </cell>
          <cell r="T533">
            <v>13112</v>
          </cell>
          <cell r="U533">
            <v>8271</v>
          </cell>
          <cell r="V533">
            <v>13495</v>
          </cell>
          <cell r="W533">
            <v>17276</v>
          </cell>
          <cell r="X533">
            <v>18538</v>
          </cell>
          <cell r="Y533">
            <v>16266</v>
          </cell>
          <cell r="Z533">
            <v>16091</v>
          </cell>
          <cell r="AA533">
            <v>18875</v>
          </cell>
          <cell r="AB533">
            <v>18805</v>
          </cell>
          <cell r="AC533">
            <v>23129</v>
          </cell>
          <cell r="AD533">
            <v>21110</v>
          </cell>
          <cell r="AE533">
            <v>21572</v>
          </cell>
          <cell r="AF533">
            <v>18825</v>
          </cell>
          <cell r="AG533">
            <v>23410</v>
          </cell>
          <cell r="AH533">
            <v>30372.993879421101</v>
          </cell>
          <cell r="AI533">
            <v>33133.280542029097</v>
          </cell>
          <cell r="AJ533">
            <v>37073.210213610997</v>
          </cell>
          <cell r="AK533">
            <v>43105.319590392799</v>
          </cell>
          <cell r="AL533">
            <v>48029.294571749801</v>
          </cell>
          <cell r="AM533">
            <v>53683.122827452302</v>
          </cell>
          <cell r="AN533">
            <v>58952.958707991304</v>
          </cell>
          <cell r="AO533">
            <v>64724.081356501498</v>
          </cell>
          <cell r="AP533">
            <v>71046.782956493698</v>
          </cell>
        </row>
        <row r="534">
          <cell r="B534" t="str">
            <v>Sales, revenue (Pub)</v>
          </cell>
          <cell r="C534" t="str">
            <v>REVS_PUB</v>
          </cell>
          <cell r="D534" t="str">
            <v>SEK</v>
          </cell>
          <cell r="F534">
            <v>20914</v>
          </cell>
          <cell r="G534">
            <v>24454</v>
          </cell>
          <cell r="H534">
            <v>25121</v>
          </cell>
          <cell r="I534">
            <v>30032</v>
          </cell>
          <cell r="J534">
            <v>33740</v>
          </cell>
          <cell r="K534">
            <v>36234</v>
          </cell>
          <cell r="L534">
            <v>46527</v>
          </cell>
          <cell r="M534">
            <v>51139</v>
          </cell>
          <cell r="N534">
            <v>47562</v>
          </cell>
          <cell r="O534">
            <v>44619</v>
          </cell>
          <cell r="P534">
            <v>43192</v>
          </cell>
          <cell r="Q534">
            <v>42205</v>
          </cell>
          <cell r="R534">
            <v>50512</v>
          </cell>
          <cell r="S534">
            <v>63355</v>
          </cell>
          <cell r="T534">
            <v>74177</v>
          </cell>
          <cell r="U534">
            <v>63762</v>
          </cell>
          <cell r="V534">
            <v>69875</v>
          </cell>
          <cell r="W534">
            <v>81203</v>
          </cell>
          <cell r="X534">
            <v>90533</v>
          </cell>
          <cell r="Y534">
            <v>83888</v>
          </cell>
          <cell r="Z534">
            <v>93721</v>
          </cell>
          <cell r="AA534">
            <v>98973</v>
          </cell>
          <cell r="AB534">
            <v>101356</v>
          </cell>
          <cell r="AC534">
            <v>116421</v>
          </cell>
          <cell r="AD534">
            <v>95363</v>
          </cell>
          <cell r="AE534">
            <v>103756</v>
          </cell>
          <cell r="AF534">
            <v>99787</v>
          </cell>
          <cell r="AG534">
            <v>110912</v>
          </cell>
          <cell r="AH534">
            <v>137046.393071789</v>
          </cell>
          <cell r="AI534">
            <v>154570.424699361</v>
          </cell>
          <cell r="AJ534">
            <v>171263.071232963</v>
          </cell>
          <cell r="AK534">
            <v>193430.87661431701</v>
          </cell>
          <cell r="AL534">
            <v>213055.16147747799</v>
          </cell>
          <cell r="AM534">
            <v>232769.755224344</v>
          </cell>
          <cell r="AN534">
            <v>254390.31030961001</v>
          </cell>
          <cell r="AO534">
            <v>278106.84199475398</v>
          </cell>
          <cell r="AP534">
            <v>304128.72626623901</v>
          </cell>
          <cell r="AR534">
            <v>9595</v>
          </cell>
          <cell r="AS534">
            <v>10680</v>
          </cell>
          <cell r="AT534">
            <v>11325</v>
          </cell>
          <cell r="AU534">
            <v>11592</v>
          </cell>
          <cell r="AV534">
            <v>9010</v>
          </cell>
          <cell r="AW534">
            <v>10539</v>
          </cell>
          <cell r="AX534">
            <v>10674</v>
          </cell>
          <cell r="AY534">
            <v>11982</v>
          </cell>
          <cell r="AZ534">
            <v>11948</v>
          </cell>
          <cell r="BA534">
            <v>12444</v>
          </cell>
          <cell r="BB534">
            <v>12538</v>
          </cell>
          <cell r="BC534">
            <v>13582</v>
          </cell>
          <cell r="BD534">
            <v>13390</v>
          </cell>
          <cell r="BE534">
            <v>15985</v>
          </cell>
          <cell r="BF534">
            <v>16431</v>
          </cell>
          <cell r="BG534">
            <v>17549</v>
          </cell>
          <cell r="BH534">
            <v>17122</v>
          </cell>
          <cell r="BI534">
            <v>18884</v>
          </cell>
          <cell r="BJ534">
            <v>18440</v>
          </cell>
          <cell r="BK534">
            <v>19731</v>
          </cell>
          <cell r="BL534">
            <v>16577</v>
          </cell>
          <cell r="BM534">
            <v>16155</v>
          </cell>
          <cell r="BN534">
            <v>15088</v>
          </cell>
          <cell r="BO534">
            <v>15942</v>
          </cell>
          <cell r="BP534">
            <v>15301</v>
          </cell>
          <cell r="BQ534">
            <v>17430</v>
          </cell>
          <cell r="BR534">
            <v>17743</v>
          </cell>
          <cell r="BS534">
            <v>19401</v>
          </cell>
          <cell r="BT534">
            <v>18223</v>
          </cell>
          <cell r="BU534">
            <v>19951</v>
          </cell>
          <cell r="BV534">
            <v>20739</v>
          </cell>
          <cell r="BW534">
            <v>22290</v>
          </cell>
          <cell r="BX534">
            <v>22254</v>
          </cell>
          <cell r="BY534">
            <v>23437</v>
          </cell>
          <cell r="BZ534">
            <v>22094</v>
          </cell>
          <cell r="CA534">
            <v>22748</v>
          </cell>
          <cell r="CB534">
            <v>20180</v>
          </cell>
          <cell r="CC534">
            <v>21843</v>
          </cell>
          <cell r="CD534">
            <v>20552</v>
          </cell>
          <cell r="CE534">
            <v>21266</v>
          </cell>
          <cell r="CF534">
            <v>21423</v>
          </cell>
          <cell r="CG534">
            <v>23348</v>
          </cell>
          <cell r="CH534">
            <v>23590</v>
          </cell>
          <cell r="CI534">
            <v>25360</v>
          </cell>
          <cell r="CJ534">
            <v>23957</v>
          </cell>
          <cell r="CK534">
            <v>25091</v>
          </cell>
          <cell r="CL534">
            <v>24922</v>
          </cell>
          <cell r="CM534">
            <v>25003</v>
          </cell>
          <cell r="CN534">
            <v>22453</v>
          </cell>
          <cell r="CO534">
            <v>25438</v>
          </cell>
          <cell r="CP534">
            <v>26528</v>
          </cell>
          <cell r="CQ534">
            <v>28495</v>
          </cell>
          <cell r="CR534">
            <v>28027</v>
          </cell>
          <cell r="CS534">
            <v>29030</v>
          </cell>
          <cell r="CT534">
            <v>28499</v>
          </cell>
          <cell r="CU534">
            <v>30865</v>
          </cell>
          <cell r="CV534">
            <v>21906</v>
          </cell>
          <cell r="CW534">
            <v>24461</v>
          </cell>
          <cell r="CX534">
            <v>23675</v>
          </cell>
          <cell r="CY534">
            <v>25321</v>
          </cell>
          <cell r="CZ534">
            <v>24181</v>
          </cell>
          <cell r="DA534">
            <v>25580</v>
          </cell>
          <cell r="DB534">
            <v>26676</v>
          </cell>
          <cell r="DC534">
            <v>27319</v>
          </cell>
          <cell r="DD534">
            <v>25098</v>
          </cell>
          <cell r="DE534">
            <v>24102</v>
          </cell>
          <cell r="DF534">
            <v>24849</v>
          </cell>
          <cell r="DG534">
            <v>25738</v>
          </cell>
          <cell r="DH534">
            <v>26021</v>
          </cell>
          <cell r="DI534">
            <v>27534</v>
          </cell>
          <cell r="DJ534">
            <v>27824</v>
          </cell>
          <cell r="DK534">
            <v>29533</v>
          </cell>
          <cell r="DL534">
            <v>30086</v>
          </cell>
          <cell r="DM534">
            <v>33111</v>
          </cell>
          <cell r="DN534">
            <v>35811.913655049997</v>
          </cell>
          <cell r="DO534">
            <v>38037.479416739101</v>
          </cell>
          <cell r="DP534">
            <v>39569.270033786401</v>
          </cell>
          <cell r="DQ534">
            <v>41613.599801498502</v>
          </cell>
        </row>
        <row r="535">
          <cell r="B535" t="str">
            <v>Total shareholders' equity (Pub)</v>
          </cell>
          <cell r="C535" t="str">
            <v>EQ_PUB</v>
          </cell>
          <cell r="D535" t="str">
            <v>SEK</v>
          </cell>
          <cell r="F535">
            <v>9303</v>
          </cell>
          <cell r="G535">
            <v>10599</v>
          </cell>
          <cell r="H535">
            <v>12005</v>
          </cell>
          <cell r="I535">
            <v>13635</v>
          </cell>
          <cell r="J535">
            <v>15465</v>
          </cell>
          <cell r="K535">
            <v>21077</v>
          </cell>
          <cell r="L535">
            <v>24201</v>
          </cell>
          <cell r="M535">
            <v>27789</v>
          </cell>
          <cell r="N535">
            <v>20354</v>
          </cell>
          <cell r="O535">
            <v>21068</v>
          </cell>
          <cell r="P535">
            <v>22601</v>
          </cell>
          <cell r="Q535">
            <v>25808</v>
          </cell>
          <cell r="R535">
            <v>32708</v>
          </cell>
          <cell r="S535">
            <v>14640</v>
          </cell>
          <cell r="T535">
            <v>23768</v>
          </cell>
          <cell r="U535">
            <v>25671</v>
          </cell>
          <cell r="V535">
            <v>29321</v>
          </cell>
          <cell r="W535">
            <v>28839</v>
          </cell>
          <cell r="X535">
            <v>35132</v>
          </cell>
          <cell r="Y535">
            <v>39794</v>
          </cell>
          <cell r="Z535">
            <v>50753</v>
          </cell>
          <cell r="AA535">
            <v>46750</v>
          </cell>
          <cell r="AB535">
            <v>53177</v>
          </cell>
          <cell r="AC535">
            <v>60601</v>
          </cell>
          <cell r="AD535">
            <v>42472</v>
          </cell>
          <cell r="AE535">
            <v>53290</v>
          </cell>
          <cell r="AF535">
            <v>53534</v>
          </cell>
          <cell r="AG535">
            <v>67634</v>
          </cell>
          <cell r="AH535">
            <v>70673.224138621095</v>
          </cell>
          <cell r="AI535">
            <v>84585.007740939604</v>
          </cell>
          <cell r="AJ535">
            <v>85858.293267536093</v>
          </cell>
          <cell r="AK535">
            <v>104897.007751123</v>
          </cell>
          <cell r="AL535">
            <v>125413.642527677</v>
          </cell>
          <cell r="AM535">
            <v>148407.11806925401</v>
          </cell>
          <cell r="AN535">
            <v>173298.51536351899</v>
          </cell>
          <cell r="AO535">
            <v>200616.11736602499</v>
          </cell>
          <cell r="AP535">
            <v>230590.859644268</v>
          </cell>
        </row>
        <row r="536">
          <cell r="A536" t="str">
            <v>Income Statement</v>
          </cell>
        </row>
        <row r="537">
          <cell r="B537" t="str">
            <v>Provision for income tax</v>
          </cell>
          <cell r="C537" t="str">
            <v>PROV_INC_TAX</v>
          </cell>
          <cell r="D537" t="str">
            <v>SEK</v>
          </cell>
          <cell r="F537">
            <v>-737</v>
          </cell>
          <cell r="G537">
            <v>-990</v>
          </cell>
          <cell r="H537">
            <v>-1107</v>
          </cell>
          <cell r="I537">
            <v>-1280</v>
          </cell>
          <cell r="J537">
            <v>-1322</v>
          </cell>
          <cell r="K537">
            <v>-1137</v>
          </cell>
          <cell r="L537">
            <v>-1723</v>
          </cell>
          <cell r="M537">
            <v>-1622</v>
          </cell>
          <cell r="N537">
            <v>-1361</v>
          </cell>
          <cell r="O537">
            <v>-1619</v>
          </cell>
          <cell r="P537">
            <v>-1952</v>
          </cell>
          <cell r="Q537">
            <v>-1899</v>
          </cell>
          <cell r="R537">
            <v>-2435</v>
          </cell>
          <cell r="S537">
            <v>-3118</v>
          </cell>
          <cell r="T537">
            <v>-3106</v>
          </cell>
          <cell r="U537">
            <v>-1995</v>
          </cell>
          <cell r="V537">
            <v>-3551</v>
          </cell>
          <cell r="W537">
            <v>-4288</v>
          </cell>
          <cell r="X537">
            <v>-4624</v>
          </cell>
          <cell r="Y537">
            <v>-4184</v>
          </cell>
          <cell r="Z537">
            <v>-3916</v>
          </cell>
          <cell r="AA537">
            <v>-7098</v>
          </cell>
          <cell r="AB537">
            <v>-5020</v>
          </cell>
          <cell r="AC537">
            <v>-6367</v>
          </cell>
          <cell r="AD537">
            <v>-4508</v>
          </cell>
          <cell r="AE537">
            <v>-5029</v>
          </cell>
          <cell r="AF537">
            <v>-4042</v>
          </cell>
          <cell r="AG537">
            <v>-5276</v>
          </cell>
          <cell r="AH537">
            <v>-6830</v>
          </cell>
          <cell r="AI537">
            <v>-7450</v>
          </cell>
          <cell r="AJ537">
            <v>-8340</v>
          </cell>
          <cell r="AK537">
            <v>-9700</v>
          </cell>
          <cell r="AL537">
            <v>-10810</v>
          </cell>
          <cell r="AM537">
            <v>-12080</v>
          </cell>
          <cell r="AN537">
            <v>-13260</v>
          </cell>
          <cell r="AO537">
            <v>-14560</v>
          </cell>
          <cell r="AP537">
            <v>-15990</v>
          </cell>
        </row>
        <row r="538">
          <cell r="B538" t="str">
            <v>Minority interest</v>
          </cell>
          <cell r="C538" t="str">
            <v>INC_MINORITY</v>
          </cell>
          <cell r="D538" t="str">
            <v>SEK</v>
          </cell>
          <cell r="F538">
            <v>-24</v>
          </cell>
          <cell r="G538">
            <v>-27</v>
          </cell>
          <cell r="H538">
            <v>-25</v>
          </cell>
          <cell r="I538">
            <v>-32</v>
          </cell>
          <cell r="J538">
            <v>-32</v>
          </cell>
          <cell r="K538">
            <v>-28</v>
          </cell>
          <cell r="L538">
            <v>-42</v>
          </cell>
          <cell r="M538">
            <v>-11</v>
          </cell>
          <cell r="N538">
            <v>-59</v>
          </cell>
          <cell r="O538">
            <v>-20</v>
          </cell>
          <cell r="P538">
            <v>-14</v>
          </cell>
          <cell r="Q538">
            <v>-21</v>
          </cell>
          <cell r="R538">
            <v>-24</v>
          </cell>
          <cell r="S538">
            <v>-30</v>
          </cell>
          <cell r="T538">
            <v>-33</v>
          </cell>
          <cell r="U538">
            <v>-32</v>
          </cell>
          <cell r="V538">
            <v>-23</v>
          </cell>
          <cell r="W538">
            <v>-25</v>
          </cell>
          <cell r="X538">
            <v>-13</v>
          </cell>
          <cell r="Y538">
            <v>-10</v>
          </cell>
          <cell r="Z538">
            <v>-6</v>
          </cell>
          <cell r="AA538">
            <v>-6</v>
          </cell>
          <cell r="AB538">
            <v>-17</v>
          </cell>
          <cell r="AC538">
            <v>-22</v>
          </cell>
          <cell r="AD538">
            <v>-271</v>
          </cell>
          <cell r="AE538">
            <v>-21</v>
          </cell>
          <cell r="AF538">
            <v>-4</v>
          </cell>
          <cell r="AG538">
            <v>-4</v>
          </cell>
          <cell r="AH538">
            <v>0</v>
          </cell>
          <cell r="AI538">
            <v>0</v>
          </cell>
          <cell r="AJ538">
            <v>0</v>
          </cell>
          <cell r="AK538">
            <v>0</v>
          </cell>
          <cell r="AL538">
            <v>0</v>
          </cell>
          <cell r="AM538">
            <v>0</v>
          </cell>
          <cell r="AN538">
            <v>0</v>
          </cell>
          <cell r="AO538">
            <v>0</v>
          </cell>
          <cell r="AP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cell r="BM538">
            <v>0</v>
          </cell>
          <cell r="BN538">
            <v>0</v>
          </cell>
          <cell r="BO538">
            <v>0</v>
          </cell>
        </row>
        <row r="539">
          <cell r="B539" t="str">
            <v>Net income (pre-preferred dividends)</v>
          </cell>
          <cell r="C539" t="str">
            <v>NI_PRE_PREF</v>
          </cell>
          <cell r="D539" t="str">
            <v>SEK</v>
          </cell>
          <cell r="F539">
            <v>1194</v>
          </cell>
          <cell r="G539">
            <v>1823</v>
          </cell>
          <cell r="H539">
            <v>1938</v>
          </cell>
          <cell r="I539">
            <v>2208</v>
          </cell>
          <cell r="J539">
            <v>2283</v>
          </cell>
          <cell r="K539">
            <v>2247</v>
          </cell>
          <cell r="L539">
            <v>2924</v>
          </cell>
          <cell r="M539">
            <v>3067</v>
          </cell>
          <cell r="N539">
            <v>-3889</v>
          </cell>
          <cell r="O539">
            <v>3274</v>
          </cell>
          <cell r="P539">
            <v>4416</v>
          </cell>
          <cell r="Q539">
            <v>4943</v>
          </cell>
          <cell r="R539">
            <v>6236</v>
          </cell>
          <cell r="S539">
            <v>7386</v>
          </cell>
          <cell r="T539">
            <v>9973</v>
          </cell>
          <cell r="U539">
            <v>6244</v>
          </cell>
          <cell r="V539">
            <v>9921</v>
          </cell>
          <cell r="W539">
            <v>12963</v>
          </cell>
          <cell r="X539">
            <v>13901</v>
          </cell>
          <cell r="Y539">
            <v>12072</v>
          </cell>
          <cell r="Z539">
            <v>12169</v>
          </cell>
          <cell r="AA539">
            <v>11771</v>
          </cell>
          <cell r="AB539">
            <v>13768</v>
          </cell>
          <cell r="AC539">
            <v>16740</v>
          </cell>
          <cell r="AD539">
            <v>16331</v>
          </cell>
          <cell r="AE539">
            <v>16522</v>
          </cell>
          <cell r="AF539">
            <v>14779</v>
          </cell>
          <cell r="AG539">
            <v>18130</v>
          </cell>
          <cell r="AH539">
            <v>23542.993879421101</v>
          </cell>
          <cell r="AI539">
            <v>25683.280542029101</v>
          </cell>
          <cell r="AJ539">
            <v>28733.210213611001</v>
          </cell>
          <cell r="AK539">
            <v>33405.319590392799</v>
          </cell>
          <cell r="AL539">
            <v>37219.294571749801</v>
          </cell>
          <cell r="AM539">
            <v>41603.122827452302</v>
          </cell>
          <cell r="AN539">
            <v>45692.958707991304</v>
          </cell>
          <cell r="AO539">
            <v>50164.081356501498</v>
          </cell>
          <cell r="AP539">
            <v>55056.782956493698</v>
          </cell>
        </row>
        <row r="540">
          <cell r="B540" t="str">
            <v>Preferred dividends</v>
          </cell>
          <cell r="C540" t="str">
            <v>PREF_DIV</v>
          </cell>
          <cell r="D540" t="str">
            <v>SEK</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cell r="BM540">
            <v>0</v>
          </cell>
          <cell r="BN540">
            <v>0</v>
          </cell>
          <cell r="BO540">
            <v>0</v>
          </cell>
        </row>
        <row r="541">
          <cell r="B541" t="str">
            <v>Net income (pre-exceptionals)</v>
          </cell>
          <cell r="C541" t="str">
            <v>NET_EARNING</v>
          </cell>
          <cell r="D541" t="str">
            <v>SEK</v>
          </cell>
          <cell r="F541">
            <v>1194</v>
          </cell>
          <cell r="G541">
            <v>1823</v>
          </cell>
          <cell r="H541">
            <v>1938</v>
          </cell>
          <cell r="I541">
            <v>2208</v>
          </cell>
          <cell r="J541">
            <v>2283</v>
          </cell>
          <cell r="K541">
            <v>2247</v>
          </cell>
          <cell r="L541">
            <v>2924</v>
          </cell>
          <cell r="M541">
            <v>3067</v>
          </cell>
          <cell r="N541">
            <v>-3889</v>
          </cell>
          <cell r="O541">
            <v>3274</v>
          </cell>
          <cell r="P541">
            <v>4416</v>
          </cell>
          <cell r="Q541">
            <v>4943</v>
          </cell>
          <cell r="R541">
            <v>6236</v>
          </cell>
          <cell r="S541">
            <v>7386</v>
          </cell>
          <cell r="T541">
            <v>9973</v>
          </cell>
          <cell r="U541">
            <v>6244</v>
          </cell>
          <cell r="V541">
            <v>9921</v>
          </cell>
          <cell r="W541">
            <v>12963</v>
          </cell>
          <cell r="X541">
            <v>13901</v>
          </cell>
          <cell r="Y541">
            <v>12072</v>
          </cell>
          <cell r="Z541">
            <v>12169</v>
          </cell>
          <cell r="AA541">
            <v>11771</v>
          </cell>
          <cell r="AB541">
            <v>13768</v>
          </cell>
          <cell r="AC541">
            <v>16740</v>
          </cell>
          <cell r="AD541">
            <v>16331</v>
          </cell>
          <cell r="AE541">
            <v>16522</v>
          </cell>
          <cell r="AF541">
            <v>14779</v>
          </cell>
          <cell r="AG541">
            <v>18130</v>
          </cell>
          <cell r="AH541">
            <v>23542.993879421101</v>
          </cell>
          <cell r="AI541">
            <v>25683.280542029101</v>
          </cell>
          <cell r="AJ541">
            <v>28733.210213611001</v>
          </cell>
          <cell r="AK541">
            <v>33405.319590392799</v>
          </cell>
          <cell r="AL541">
            <v>37219.294571749801</v>
          </cell>
          <cell r="AM541">
            <v>41603.122827452302</v>
          </cell>
          <cell r="AN541">
            <v>45692.958707991304</v>
          </cell>
          <cell r="AO541">
            <v>50164.081356501498</v>
          </cell>
          <cell r="AP541">
            <v>55056.782956493698</v>
          </cell>
        </row>
        <row r="542">
          <cell r="B542" t="str">
            <v>Post-tax exceptionals</v>
          </cell>
          <cell r="C542" t="str">
            <v>TAX_EXC</v>
          </cell>
          <cell r="D542" t="str">
            <v>SEK</v>
          </cell>
          <cell r="F542">
            <v>0</v>
          </cell>
          <cell r="G542">
            <v>0</v>
          </cell>
          <cell r="H542">
            <v>0</v>
          </cell>
          <cell r="I542">
            <v>0</v>
          </cell>
          <cell r="J542">
            <v>0</v>
          </cell>
          <cell r="K542">
            <v>0</v>
          </cell>
          <cell r="L542">
            <v>0</v>
          </cell>
          <cell r="M542">
            <v>0</v>
          </cell>
          <cell r="N542">
            <v>0</v>
          </cell>
          <cell r="O542">
            <v>0</v>
          </cell>
          <cell r="P542">
            <v>241</v>
          </cell>
          <cell r="Q542">
            <v>1617</v>
          </cell>
          <cell r="R542">
            <v>9113</v>
          </cell>
          <cell r="S542">
            <v>53</v>
          </cell>
          <cell r="T542">
            <v>184</v>
          </cell>
          <cell r="U542">
            <v>0</v>
          </cell>
          <cell r="V542">
            <v>0</v>
          </cell>
          <cell r="W542">
            <v>0</v>
          </cell>
          <cell r="X542">
            <v>0</v>
          </cell>
          <cell r="Y542">
            <v>0</v>
          </cell>
          <cell r="Z542">
            <v>0</v>
          </cell>
          <cell r="AA542">
            <v>-54</v>
          </cell>
          <cell r="AB542">
            <v>-1837</v>
          </cell>
          <cell r="AC542">
            <v>-69</v>
          </cell>
          <cell r="AD542">
            <v>90099</v>
          </cell>
          <cell r="AE542">
            <v>0</v>
          </cell>
          <cell r="AF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cell r="BM542">
            <v>0</v>
          </cell>
          <cell r="BN542">
            <v>0</v>
          </cell>
          <cell r="BO542">
            <v>0</v>
          </cell>
        </row>
        <row r="543">
          <cell r="B543" t="str">
            <v>Net income (post-exceptionals)</v>
          </cell>
          <cell r="C543" t="str">
            <v>NET_INC</v>
          </cell>
          <cell r="D543" t="str">
            <v>SEK</v>
          </cell>
          <cell r="F543">
            <v>1194</v>
          </cell>
          <cell r="G543">
            <v>1823</v>
          </cell>
          <cell r="H543">
            <v>1938</v>
          </cell>
          <cell r="I543">
            <v>2208</v>
          </cell>
          <cell r="J543">
            <v>2283</v>
          </cell>
          <cell r="K543">
            <v>2247</v>
          </cell>
          <cell r="L543">
            <v>2924</v>
          </cell>
          <cell r="M543">
            <v>3067</v>
          </cell>
          <cell r="N543">
            <v>-3889</v>
          </cell>
          <cell r="O543">
            <v>3274</v>
          </cell>
          <cell r="P543">
            <v>4657</v>
          </cell>
          <cell r="Q543">
            <v>6560</v>
          </cell>
          <cell r="R543">
            <v>15349</v>
          </cell>
          <cell r="S543">
            <v>7439</v>
          </cell>
          <cell r="T543">
            <v>10157</v>
          </cell>
          <cell r="U543">
            <v>6244</v>
          </cell>
          <cell r="V543">
            <v>9921</v>
          </cell>
          <cell r="W543">
            <v>12963</v>
          </cell>
          <cell r="X543">
            <v>13901</v>
          </cell>
          <cell r="Y543">
            <v>12072</v>
          </cell>
          <cell r="Z543">
            <v>12169</v>
          </cell>
          <cell r="AA543">
            <v>11717</v>
          </cell>
          <cell r="AB543">
            <v>11931</v>
          </cell>
          <cell r="AC543">
            <v>16671</v>
          </cell>
          <cell r="AD543">
            <v>106430</v>
          </cell>
          <cell r="AE543">
            <v>16522</v>
          </cell>
          <cell r="AF543">
            <v>14779</v>
          </cell>
          <cell r="AG543">
            <v>18130</v>
          </cell>
          <cell r="AH543">
            <v>23542.993879421101</v>
          </cell>
          <cell r="AI543">
            <v>25683.280542029101</v>
          </cell>
          <cell r="AJ543">
            <v>28733.210213611001</v>
          </cell>
          <cell r="AK543">
            <v>33405.319590392799</v>
          </cell>
          <cell r="AL543">
            <v>37219.294571749801</v>
          </cell>
          <cell r="AM543">
            <v>41603.122827452302</v>
          </cell>
          <cell r="AN543">
            <v>45692.958707991304</v>
          </cell>
          <cell r="AO543">
            <v>50164.081356501498</v>
          </cell>
          <cell r="AP543">
            <v>55056.782956493698</v>
          </cell>
        </row>
        <row r="544">
          <cell r="B544" t="str">
            <v>EPS (pre-exceptionals, basic)</v>
          </cell>
          <cell r="C544" t="str">
            <v>EPS</v>
          </cell>
          <cell r="D544" t="str">
            <v>SEK</v>
          </cell>
          <cell r="F544">
            <v>0.27109364680699999</v>
          </cell>
          <cell r="G544">
            <v>0.41390596158300003</v>
          </cell>
          <cell r="H544">
            <v>0.4400163212</v>
          </cell>
          <cell r="I544">
            <v>0.50131890464899997</v>
          </cell>
          <cell r="J544">
            <v>0.518347400051</v>
          </cell>
          <cell r="K544">
            <v>0.44667950597299999</v>
          </cell>
          <cell r="L544">
            <v>0.58125984666899999</v>
          </cell>
          <cell r="M544">
            <v>0.60968671331500002</v>
          </cell>
          <cell r="N544">
            <v>-0.77309149921200004</v>
          </cell>
          <cell r="O544">
            <v>0.65083609370499995</v>
          </cell>
          <cell r="P544">
            <v>0.92576166413700001</v>
          </cell>
          <cell r="Q544">
            <v>1.3040576587379999</v>
          </cell>
          <cell r="R544">
            <v>3.0594934379510001</v>
          </cell>
          <cell r="S544">
            <v>1.523405391554</v>
          </cell>
          <cell r="T544">
            <v>2.0828902551850002</v>
          </cell>
          <cell r="U544">
            <v>1.283822682786</v>
          </cell>
          <cell r="V544">
            <v>2.0398470268939999</v>
          </cell>
          <cell r="W544">
            <v>2.6688215432760001</v>
          </cell>
          <cell r="X544">
            <v>2.8631158345690002</v>
          </cell>
          <cell r="Y544">
            <v>2.4864063272369998</v>
          </cell>
          <cell r="Z544">
            <v>2.5026735768339998</v>
          </cell>
          <cell r="AA544">
            <v>2.406152456054</v>
          </cell>
          <cell r="AB544">
            <v>2.452717704136</v>
          </cell>
          <cell r="AC544">
            <v>3.4327897207809999</v>
          </cell>
          <cell r="AD544">
            <v>21.926246394726</v>
          </cell>
          <cell r="AE544">
            <v>3.4004280892400001</v>
          </cell>
          <cell r="AF544">
            <v>3.0399456968899998</v>
          </cell>
          <cell r="AG544">
            <v>3.7221811612060001</v>
          </cell>
          <cell r="AH544">
            <v>4.8315506545320002</v>
          </cell>
          <cell r="AI544">
            <v>5.2707855062500002</v>
          </cell>
          <cell r="AJ544">
            <v>5.8966995160169997</v>
          </cell>
          <cell r="AK544">
            <v>6.8555212033970001</v>
          </cell>
          <cell r="AL544">
            <v>7.6382344560920004</v>
          </cell>
          <cell r="AM544">
            <v>8.5378943883290006</v>
          </cell>
          <cell r="AN544">
            <v>9.3772204879210008</v>
          </cell>
          <cell r="AO544">
            <v>10.294795188468999</v>
          </cell>
          <cell r="AP544">
            <v>11.298887350194001</v>
          </cell>
        </row>
        <row r="545">
          <cell r="B545" t="str">
            <v>EPS (pre-exceptionals, diluted)</v>
          </cell>
          <cell r="C545" t="str">
            <v>EPS_FUL_DIL</v>
          </cell>
          <cell r="D545" t="str">
            <v>SEK</v>
          </cell>
          <cell r="F545">
            <v>0.27109364680699999</v>
          </cell>
          <cell r="G545">
            <v>0.41390596158300003</v>
          </cell>
          <cell r="H545">
            <v>0.4400163212</v>
          </cell>
          <cell r="I545">
            <v>0.50131890464899997</v>
          </cell>
          <cell r="J545">
            <v>0.518347400051</v>
          </cell>
          <cell r="K545">
            <v>0.44667950597299999</v>
          </cell>
          <cell r="L545">
            <v>0.58125984666899999</v>
          </cell>
          <cell r="M545">
            <v>0.60968671331500002</v>
          </cell>
          <cell r="N545">
            <v>-0.77309149921200004</v>
          </cell>
          <cell r="O545">
            <v>0.65083609370499995</v>
          </cell>
          <cell r="P545">
            <v>0.87785344832099999</v>
          </cell>
          <cell r="Q545">
            <v>0.98261539743000004</v>
          </cell>
          <cell r="R545">
            <v>1.2430126444109999</v>
          </cell>
          <cell r="S545">
            <v>1.5125517169</v>
          </cell>
          <cell r="T545">
            <v>2.0451574790740001</v>
          </cell>
          <cell r="U545">
            <v>1.283822682786</v>
          </cell>
          <cell r="V545">
            <v>2.0398470268939999</v>
          </cell>
          <cell r="W545">
            <v>2.6688215432760001</v>
          </cell>
          <cell r="X545">
            <v>2.8631158345690002</v>
          </cell>
          <cell r="Y545">
            <v>2.4864063272369998</v>
          </cell>
          <cell r="Z545">
            <v>2.5026735768339998</v>
          </cell>
          <cell r="AA545">
            <v>2.4172416625599999</v>
          </cell>
          <cell r="AB545">
            <v>2.8303593454490001</v>
          </cell>
          <cell r="AC545">
            <v>3.4469977761299999</v>
          </cell>
          <cell r="AD545">
            <v>3.3644416975690001</v>
          </cell>
          <cell r="AE545">
            <v>3.4004280892400001</v>
          </cell>
          <cell r="AF545">
            <v>3.0399456968899998</v>
          </cell>
          <cell r="AG545">
            <v>3.7221811612060001</v>
          </cell>
          <cell r="AH545">
            <v>4.8315506545320002</v>
          </cell>
          <cell r="AI545">
            <v>5.2707855062500002</v>
          </cell>
          <cell r="AJ545">
            <v>5.8966995160169997</v>
          </cell>
          <cell r="AK545">
            <v>6.8555212033970001</v>
          </cell>
          <cell r="AL545">
            <v>7.6382344560920004</v>
          </cell>
          <cell r="AM545">
            <v>8.5378943883290006</v>
          </cell>
          <cell r="AN545">
            <v>9.3772204879210008</v>
          </cell>
          <cell r="AO545">
            <v>10.294795188468999</v>
          </cell>
          <cell r="AP545">
            <v>11.298887350194001</v>
          </cell>
        </row>
        <row r="546">
          <cell r="B546" t="str">
            <v>EPS (post-exceptionals, basic)</v>
          </cell>
          <cell r="C546" t="str">
            <v>EPS_POST_BASIC</v>
          </cell>
          <cell r="D546" t="str">
            <v>SEK</v>
          </cell>
          <cell r="F546">
            <v>0.27109364680699999</v>
          </cell>
          <cell r="G546">
            <v>0.41390596158300003</v>
          </cell>
          <cell r="H546">
            <v>0.4400163212</v>
          </cell>
          <cell r="I546">
            <v>0.50131890464899997</v>
          </cell>
          <cell r="J546">
            <v>0.518347400051</v>
          </cell>
          <cell r="K546">
            <v>0.44667950597299999</v>
          </cell>
          <cell r="L546">
            <v>0.58125984666899999</v>
          </cell>
          <cell r="M546">
            <v>0.60968671331500002</v>
          </cell>
          <cell r="N546">
            <v>-0.77309149921200004</v>
          </cell>
          <cell r="O546">
            <v>0.65083609370499995</v>
          </cell>
          <cell r="P546">
            <v>0.92576166413700001</v>
          </cell>
          <cell r="Q546">
            <v>1.3040576587379999</v>
          </cell>
          <cell r="R546">
            <v>3.0594934379510001</v>
          </cell>
          <cell r="S546">
            <v>1.523405391554</v>
          </cell>
          <cell r="T546">
            <v>2.0828902551850002</v>
          </cell>
          <cell r="U546">
            <v>1.283822682786</v>
          </cell>
          <cell r="V546">
            <v>2.0398470268939999</v>
          </cell>
          <cell r="W546">
            <v>2.6688215432760001</v>
          </cell>
          <cell r="X546">
            <v>2.8631158345690002</v>
          </cell>
          <cell r="Y546">
            <v>2.4864063272369998</v>
          </cell>
          <cell r="Z546">
            <v>2.5026735768339998</v>
          </cell>
          <cell r="AA546">
            <v>2.406152456054</v>
          </cell>
          <cell r="AB546">
            <v>2.452717704136</v>
          </cell>
          <cell r="AC546">
            <v>3.4327897207809999</v>
          </cell>
          <cell r="AD546">
            <v>21.926246394726</v>
          </cell>
          <cell r="AE546">
            <v>3.4004280892400001</v>
          </cell>
          <cell r="AF546">
            <v>3.0399456968899998</v>
          </cell>
          <cell r="AG546">
            <v>3.7221811612060001</v>
          </cell>
          <cell r="AH546">
            <v>4.8315506545320002</v>
          </cell>
          <cell r="AI546">
            <v>5.2707855062500002</v>
          </cell>
          <cell r="AJ546">
            <v>5.8966995160169997</v>
          </cell>
          <cell r="AK546">
            <v>6.8555212033970001</v>
          </cell>
          <cell r="AL546">
            <v>7.6382344560920004</v>
          </cell>
          <cell r="AM546">
            <v>8.5378943883290006</v>
          </cell>
          <cell r="AN546">
            <v>9.3772204879210008</v>
          </cell>
          <cell r="AO546">
            <v>10.294795188468999</v>
          </cell>
          <cell r="AP546">
            <v>11.298887350194001</v>
          </cell>
        </row>
        <row r="547">
          <cell r="B547" t="str">
            <v>EPS (post-exceptionals, diluted)</v>
          </cell>
          <cell r="C547" t="str">
            <v>FULLY_DIL_EPS</v>
          </cell>
          <cell r="D547" t="str">
            <v>SEK</v>
          </cell>
          <cell r="F547">
            <v>0.27109364680699999</v>
          </cell>
          <cell r="G547">
            <v>0.41390596158300003</v>
          </cell>
          <cell r="H547">
            <v>0.4400163212</v>
          </cell>
          <cell r="I547">
            <v>0.50131890464899997</v>
          </cell>
          <cell r="J547">
            <v>0.518347400051</v>
          </cell>
          <cell r="K547">
            <v>0.44667950597299999</v>
          </cell>
          <cell r="L547">
            <v>0.58125984666899999</v>
          </cell>
          <cell r="M547">
            <v>0.60968671331500002</v>
          </cell>
          <cell r="N547">
            <v>-0.77309149921200004</v>
          </cell>
          <cell r="O547">
            <v>0.65083609370499995</v>
          </cell>
          <cell r="P547">
            <v>0.92576166413700001</v>
          </cell>
          <cell r="Q547">
            <v>1.3040576587379999</v>
          </cell>
          <cell r="R547">
            <v>3.0594934379510001</v>
          </cell>
          <cell r="S547">
            <v>1.523405391554</v>
          </cell>
          <cell r="T547">
            <v>2.0828902551850002</v>
          </cell>
          <cell r="U547">
            <v>1.283822682786</v>
          </cell>
          <cell r="V547">
            <v>2.0398470268939999</v>
          </cell>
          <cell r="W547">
            <v>2.6688215432760001</v>
          </cell>
          <cell r="X547">
            <v>2.8631158345690002</v>
          </cell>
          <cell r="Y547">
            <v>2.4864063272369998</v>
          </cell>
          <cell r="Z547">
            <v>2.5026735768339998</v>
          </cell>
          <cell r="AA547">
            <v>2.406152456054</v>
          </cell>
          <cell r="AB547">
            <v>2.452717704136</v>
          </cell>
          <cell r="AC547">
            <v>3.4327897207809999</v>
          </cell>
          <cell r="AD547">
            <v>21.926246394726</v>
          </cell>
          <cell r="AE547">
            <v>3.4004280892400001</v>
          </cell>
          <cell r="AF547">
            <v>3.0399456968899998</v>
          </cell>
          <cell r="AG547">
            <v>3.7221811612060001</v>
          </cell>
          <cell r="AH547">
            <v>4.8315506545320002</v>
          </cell>
          <cell r="AI547">
            <v>5.2707855062500002</v>
          </cell>
          <cell r="AJ547">
            <v>5.8966995160169997</v>
          </cell>
          <cell r="AK547">
            <v>6.8555212033970001</v>
          </cell>
          <cell r="AL547">
            <v>7.6382344560920004</v>
          </cell>
          <cell r="AM547">
            <v>8.5378943883290006</v>
          </cell>
          <cell r="AN547">
            <v>9.3772204879210008</v>
          </cell>
          <cell r="AO547">
            <v>10.294795188468999</v>
          </cell>
          <cell r="AP547">
            <v>11.298887350194001</v>
          </cell>
        </row>
        <row r="548">
          <cell r="B548" t="str">
            <v>Common dividends paid</v>
          </cell>
          <cell r="C548" t="str">
            <v>COMMON_DIV_PAID</v>
          </cell>
          <cell r="D548" t="str">
            <v>SEK</v>
          </cell>
          <cell r="F548">
            <v>-422.08661599999999</v>
          </cell>
          <cell r="G548">
            <v>-550.54776000000004</v>
          </cell>
          <cell r="H548">
            <v>-660.65731200000005</v>
          </cell>
          <cell r="I548">
            <v>-748.74495360000003</v>
          </cell>
          <cell r="J548">
            <v>-792.78877439999997</v>
          </cell>
          <cell r="K548">
            <v>-995.61037399999998</v>
          </cell>
          <cell r="L548">
            <v>-1100.411466</v>
          </cell>
          <cell r="M548">
            <v>-1152.8120120000001</v>
          </cell>
          <cell r="N548">
            <v>-1205.2125579999999</v>
          </cell>
          <cell r="O548">
            <v>-1572.01638</v>
          </cell>
          <cell r="P548">
            <v>-1886.419656</v>
          </cell>
          <cell r="Q548">
            <v>-2678.7159115200002</v>
          </cell>
          <cell r="R548">
            <v>-2985.0219277199999</v>
          </cell>
          <cell r="S548">
            <v>-3662.354112</v>
          </cell>
          <cell r="T548">
            <v>-3657.2978250000001</v>
          </cell>
          <cell r="U548">
            <v>-3647.7</v>
          </cell>
          <cell r="V548">
            <v>-4863.6000000000004</v>
          </cell>
          <cell r="W548">
            <v>-6071.5</v>
          </cell>
          <cell r="X548">
            <v>-6675.9</v>
          </cell>
          <cell r="Y548">
            <v>-6675.9</v>
          </cell>
          <cell r="Z548">
            <v>-7293.6</v>
          </cell>
          <cell r="AA548">
            <v>-7669.62</v>
          </cell>
          <cell r="AB548">
            <v>-8269.48</v>
          </cell>
          <cell r="AC548">
            <v>-8498.7000000000007</v>
          </cell>
          <cell r="AD548">
            <v>-7645.05</v>
          </cell>
          <cell r="AE548">
            <v>-8502.9</v>
          </cell>
          <cell r="AF548">
            <v>-8872.42</v>
          </cell>
          <cell r="AG548">
            <v>-9254.52</v>
          </cell>
          <cell r="AH548">
            <v>-11771.4969397105</v>
          </cell>
          <cell r="AI548">
            <v>-12841.640271014499</v>
          </cell>
          <cell r="AJ548">
            <v>-14366.6051068055</v>
          </cell>
          <cell r="AK548">
            <v>-16702.6597951964</v>
          </cell>
          <cell r="AL548">
            <v>-18609.6472858749</v>
          </cell>
          <cell r="AM548">
            <v>-20801.5614137261</v>
          </cell>
          <cell r="AN548">
            <v>-22846.479353995699</v>
          </cell>
          <cell r="AO548">
            <v>-25082.0406782508</v>
          </cell>
          <cell r="AP548">
            <v>-27528.391478246798</v>
          </cell>
        </row>
        <row r="549">
          <cell r="B549" t="str">
            <v>DPS, dividend per share</v>
          </cell>
          <cell r="C549" t="str">
            <v>DPS</v>
          </cell>
          <cell r="D549" t="str">
            <v>SEK</v>
          </cell>
          <cell r="F549">
            <v>9.5833333332999995E-2</v>
          </cell>
          <cell r="G549">
            <v>0.125</v>
          </cell>
          <cell r="H549">
            <v>0.15</v>
          </cell>
          <cell r="I549">
            <v>0.17</v>
          </cell>
          <cell r="J549">
            <v>0.18</v>
          </cell>
          <cell r="K549">
            <v>0.197916666667</v>
          </cell>
          <cell r="L549">
            <v>0.21875</v>
          </cell>
          <cell r="M549">
            <v>0.229166666667</v>
          </cell>
          <cell r="N549">
            <v>0.239583333333</v>
          </cell>
          <cell r="O549">
            <v>0.3125</v>
          </cell>
          <cell r="P549">
            <v>0.375</v>
          </cell>
          <cell r="Q549">
            <v>0.53249999999999997</v>
          </cell>
          <cell r="R549">
            <v>0.59499999999999997</v>
          </cell>
          <cell r="S549">
            <v>0.75</v>
          </cell>
          <cell r="T549">
            <v>0.75</v>
          </cell>
          <cell r="U549">
            <v>0.75</v>
          </cell>
          <cell r="V549">
            <v>1</v>
          </cell>
          <cell r="W549">
            <v>1.25</v>
          </cell>
          <cell r="X549">
            <v>1.375</v>
          </cell>
          <cell r="Y549">
            <v>1.375</v>
          </cell>
          <cell r="Z549">
            <v>1.5</v>
          </cell>
          <cell r="AA549">
            <v>1.575</v>
          </cell>
          <cell r="AB549">
            <v>1.7</v>
          </cell>
          <cell r="AC549">
            <v>1.75</v>
          </cell>
          <cell r="AD549">
            <v>1.575</v>
          </cell>
          <cell r="AE549">
            <v>1.75</v>
          </cell>
          <cell r="AF549">
            <v>1.825</v>
          </cell>
          <cell r="AG549">
            <v>1.9</v>
          </cell>
          <cell r="AH549">
            <v>2.4157753272660001</v>
          </cell>
          <cell r="AI549">
            <v>2.6353927531250001</v>
          </cell>
          <cell r="AJ549">
            <v>2.9483497580089999</v>
          </cell>
          <cell r="AK549">
            <v>3.4277606016990001</v>
          </cell>
          <cell r="AL549">
            <v>3.8191172280460002</v>
          </cell>
          <cell r="AM549">
            <v>4.2689471941640003</v>
          </cell>
          <cell r="AN549">
            <v>4.6886102439609996</v>
          </cell>
          <cell r="AO549">
            <v>5.1473975942339996</v>
          </cell>
          <cell r="AP549">
            <v>5.6494436750970003</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cell r="BM549">
            <v>0</v>
          </cell>
          <cell r="BN549">
            <v>0</v>
          </cell>
          <cell r="BO549">
            <v>0</v>
          </cell>
        </row>
        <row r="550">
          <cell r="B550" t="str">
            <v>Weighted average shares outstanding, basic</v>
          </cell>
          <cell r="C550" t="str">
            <v>SH</v>
          </cell>
          <cell r="F550">
            <v>4404.3820800000003</v>
          </cell>
          <cell r="G550">
            <v>4404.3820800000003</v>
          </cell>
          <cell r="H550">
            <v>4404.3820800000003</v>
          </cell>
          <cell r="I550">
            <v>4404.3820800000003</v>
          </cell>
          <cell r="J550">
            <v>4404.3820800000003</v>
          </cell>
          <cell r="K550">
            <v>5030.4524160000001</v>
          </cell>
          <cell r="L550">
            <v>5030.4524160000001</v>
          </cell>
          <cell r="M550">
            <v>5030.4524160000001</v>
          </cell>
          <cell r="N550">
            <v>5030.4524160000001</v>
          </cell>
          <cell r="O550">
            <v>5030.4524160000001</v>
          </cell>
          <cell r="P550">
            <v>5030.4524160000001</v>
          </cell>
          <cell r="Q550">
            <v>5030.4524160000001</v>
          </cell>
          <cell r="R550">
            <v>5016.8435760000002</v>
          </cell>
          <cell r="S550">
            <v>4883.1388159999997</v>
          </cell>
          <cell r="T550">
            <v>4876.3971000000001</v>
          </cell>
          <cell r="U550">
            <v>4863.6000000000004</v>
          </cell>
          <cell r="V550">
            <v>4863.6000000000004</v>
          </cell>
          <cell r="W550">
            <v>4857.2</v>
          </cell>
          <cell r="X550">
            <v>4855.2</v>
          </cell>
          <cell r="Y550">
            <v>4855.2</v>
          </cell>
          <cell r="Z550">
            <v>4862.3999999999996</v>
          </cell>
          <cell r="AA550">
            <v>4869.6000000000004</v>
          </cell>
          <cell r="AB550">
            <v>4864.3999999999996</v>
          </cell>
          <cell r="AC550">
            <v>4856.3999999999996</v>
          </cell>
          <cell r="AD550">
            <v>4854</v>
          </cell>
          <cell r="AE550">
            <v>4858.8</v>
          </cell>
          <cell r="AF550">
            <v>4861.6000000000004</v>
          </cell>
          <cell r="AG550">
            <v>4870.8</v>
          </cell>
          <cell r="AH550">
            <v>4872.7614720000001</v>
          </cell>
          <cell r="AI550">
            <v>4872.7614720000001</v>
          </cell>
          <cell r="AJ550">
            <v>4872.7614720000001</v>
          </cell>
          <cell r="AK550">
            <v>4872.7614720000001</v>
          </cell>
          <cell r="AL550">
            <v>4872.7614720000001</v>
          </cell>
          <cell r="AM550">
            <v>4872.7614720000001</v>
          </cell>
          <cell r="AN550">
            <v>4872.7614720000001</v>
          </cell>
          <cell r="AO550">
            <v>4872.7614720000001</v>
          </cell>
          <cell r="AP550">
            <v>4872.7614720000001</v>
          </cell>
        </row>
        <row r="551">
          <cell r="B551" t="str">
            <v>Diluted average shares outstanding (mn)</v>
          </cell>
          <cell r="C551" t="str">
            <v>DILUTE_SHARES</v>
          </cell>
          <cell r="F551">
            <v>4404.3820800000003</v>
          </cell>
          <cell r="G551">
            <v>4404.3820800000003</v>
          </cell>
          <cell r="H551">
            <v>4404.3820800000003</v>
          </cell>
          <cell r="I551">
            <v>4404.3820800000003</v>
          </cell>
          <cell r="J551">
            <v>4404.3820800000003</v>
          </cell>
          <cell r="K551">
            <v>5030.4524160000001</v>
          </cell>
          <cell r="L551">
            <v>5030.4524160000001</v>
          </cell>
          <cell r="M551">
            <v>5030.4524160000001</v>
          </cell>
          <cell r="N551">
            <v>5030.4524160000001</v>
          </cell>
          <cell r="O551">
            <v>5030.4524160000001</v>
          </cell>
          <cell r="P551">
            <v>5030.4524160000001</v>
          </cell>
          <cell r="Q551">
            <v>5030.4524160000001</v>
          </cell>
          <cell r="R551">
            <v>5016.8435760000002</v>
          </cell>
          <cell r="S551">
            <v>4883.1388159999997</v>
          </cell>
          <cell r="T551">
            <v>4876.3971000000001</v>
          </cell>
          <cell r="U551">
            <v>4863.6000000000004</v>
          </cell>
          <cell r="V551">
            <v>4863.6000000000004</v>
          </cell>
          <cell r="W551">
            <v>4857.2</v>
          </cell>
          <cell r="X551">
            <v>4855.2</v>
          </cell>
          <cell r="Y551">
            <v>4855.2</v>
          </cell>
          <cell r="Z551">
            <v>4862.3999999999996</v>
          </cell>
          <cell r="AA551">
            <v>4869.6000000000004</v>
          </cell>
          <cell r="AB551">
            <v>4864.3999999999996</v>
          </cell>
          <cell r="AC551">
            <v>4856.3999999999996</v>
          </cell>
          <cell r="AD551">
            <v>4854</v>
          </cell>
          <cell r="AE551">
            <v>4858.8</v>
          </cell>
          <cell r="AF551">
            <v>4861.6000000000004</v>
          </cell>
          <cell r="AG551">
            <v>4870.8</v>
          </cell>
          <cell r="AH551">
            <v>4872.7614720000001</v>
          </cell>
          <cell r="AI551">
            <v>4872.7614720000001</v>
          </cell>
          <cell r="AJ551">
            <v>4872.7614720000001</v>
          </cell>
          <cell r="AK551">
            <v>4872.7614720000001</v>
          </cell>
          <cell r="AL551">
            <v>4872.7614720000001</v>
          </cell>
          <cell r="AM551">
            <v>4872.7614720000001</v>
          </cell>
          <cell r="AN551">
            <v>4872.7614720000001</v>
          </cell>
          <cell r="AO551">
            <v>4872.7614720000001</v>
          </cell>
          <cell r="AP551">
            <v>4872.7614720000001</v>
          </cell>
        </row>
        <row r="552">
          <cell r="B552" t="str">
            <v>Period-end shares outstanding</v>
          </cell>
          <cell r="C552" t="str">
            <v>NON_OP_ADD</v>
          </cell>
          <cell r="F552">
            <v>4404.3820800000003</v>
          </cell>
          <cell r="G552">
            <v>4404.3820800000003</v>
          </cell>
          <cell r="H552">
            <v>4404.3820800000003</v>
          </cell>
          <cell r="I552">
            <v>4404.3820800000003</v>
          </cell>
          <cell r="J552">
            <v>4404.3820800000003</v>
          </cell>
          <cell r="K552">
            <v>5030.4524160000001</v>
          </cell>
          <cell r="L552">
            <v>5030.4524160000001</v>
          </cell>
          <cell r="M552">
            <v>5030.4524160000001</v>
          </cell>
          <cell r="N552">
            <v>5030.4524160000001</v>
          </cell>
          <cell r="O552">
            <v>5030.4524160000001</v>
          </cell>
          <cell r="P552">
            <v>5030.4524160000001</v>
          </cell>
          <cell r="Q552">
            <v>5030.4524160000001</v>
          </cell>
          <cell r="R552">
            <v>5016.8435760000002</v>
          </cell>
          <cell r="S552">
            <v>4883.1388159999997</v>
          </cell>
          <cell r="T552">
            <v>4876.3971000000001</v>
          </cell>
          <cell r="U552">
            <v>4863.6000000000004</v>
          </cell>
          <cell r="V552">
            <v>4863.6000000000004</v>
          </cell>
          <cell r="W552">
            <v>4857.2</v>
          </cell>
          <cell r="X552">
            <v>4855.2</v>
          </cell>
          <cell r="Y552">
            <v>4855.2</v>
          </cell>
          <cell r="Z552">
            <v>4862.3999999999996</v>
          </cell>
          <cell r="AA552">
            <v>4869.6000000000004</v>
          </cell>
          <cell r="AB552">
            <v>4864.3999999999996</v>
          </cell>
          <cell r="AC552">
            <v>4856.3999999999996</v>
          </cell>
          <cell r="AD552">
            <v>4854</v>
          </cell>
          <cell r="AE552">
            <v>4858.8</v>
          </cell>
          <cell r="AF552">
            <v>4861.6000000000004</v>
          </cell>
          <cell r="AG552">
            <v>4870.8</v>
          </cell>
          <cell r="AH552">
            <v>4872.7614720000001</v>
          </cell>
          <cell r="AI552">
            <v>4872.7614720000001</v>
          </cell>
          <cell r="AJ552">
            <v>4872.7614720000001</v>
          </cell>
          <cell r="AK552">
            <v>4872.7614720000001</v>
          </cell>
          <cell r="AL552">
            <v>4872.7614720000001</v>
          </cell>
          <cell r="AM552">
            <v>4872.7614720000001</v>
          </cell>
          <cell r="AN552">
            <v>4872.7614720000001</v>
          </cell>
          <cell r="AO552">
            <v>4872.7614720000001</v>
          </cell>
          <cell r="AP552">
            <v>4872.7614720000001</v>
          </cell>
        </row>
        <row r="553">
          <cell r="A553" t="str">
            <v>Additional Income Statement Items</v>
          </cell>
        </row>
        <row r="554">
          <cell r="B554" t="str">
            <v>Organic net income (excl. acquisitions)</v>
          </cell>
          <cell r="C554" t="str">
            <v>ORG_NI</v>
          </cell>
          <cell r="D554" t="str">
            <v>SEK</v>
          </cell>
        </row>
        <row r="555">
          <cell r="B555" t="str">
            <v>Organic EPS (excl. acquisitions)</v>
          </cell>
          <cell r="C555" t="str">
            <v>ORG_EPS</v>
          </cell>
          <cell r="D555" t="str">
            <v>SEK</v>
          </cell>
        </row>
        <row r="556">
          <cell r="B556" t="str">
            <v>Marginal tax rate</v>
          </cell>
          <cell r="C556" t="str">
            <v>MARGIN_TAX_RATE</v>
          </cell>
          <cell r="F556">
            <v>0.37698209718699999</v>
          </cell>
          <cell r="G556">
            <v>0.348591549296</v>
          </cell>
          <cell r="H556">
            <v>0.360586319218</v>
          </cell>
          <cell r="I556">
            <v>0.36363636363599999</v>
          </cell>
          <cell r="J556">
            <v>0.36348638988199999</v>
          </cell>
          <cell r="K556">
            <v>0.333235638921</v>
          </cell>
          <cell r="L556">
            <v>0.36745574749400001</v>
          </cell>
          <cell r="M556">
            <v>0.34510638297899998</v>
          </cell>
          <cell r="N556">
            <v>0.3</v>
          </cell>
          <cell r="O556">
            <v>0.32953388968000003</v>
          </cell>
          <cell r="P556">
            <v>0.30586023190200001</v>
          </cell>
          <cell r="Q556">
            <v>0.27670115109999999</v>
          </cell>
          <cell r="R556">
            <v>0.28004600345000003</v>
          </cell>
          <cell r="S556">
            <v>0.295993924435</v>
          </cell>
          <cell r="T556">
            <v>0.236882245272</v>
          </cell>
          <cell r="U556">
            <v>0.241204207472</v>
          </cell>
          <cell r="V556">
            <v>0.26313449425699997</v>
          </cell>
          <cell r="W556">
            <v>0.248205603149</v>
          </cell>
          <cell r="X556">
            <v>0.24943359585700001</v>
          </cell>
          <cell r="Y556">
            <v>0.25722365670699998</v>
          </cell>
          <cell r="Z556">
            <v>0.24336585668999999</v>
          </cell>
          <cell r="AA556">
            <v>0.376052980132</v>
          </cell>
          <cell r="AB556">
            <v>0.26695027918100001</v>
          </cell>
          <cell r="AC556">
            <v>0.27528211336399999</v>
          </cell>
          <cell r="AD556">
            <v>0.213548081478</v>
          </cell>
          <cell r="AE556">
            <v>0.23312627480100001</v>
          </cell>
          <cell r="AF556">
            <v>0.21471447543200001</v>
          </cell>
          <cell r="AG556">
            <v>0.225373771892</v>
          </cell>
          <cell r="AH556">
            <v>0.22500000000000001</v>
          </cell>
          <cell r="AI556">
            <v>0.22500000000000001</v>
          </cell>
          <cell r="AJ556">
            <v>0.22500000000000001</v>
          </cell>
          <cell r="AK556">
            <v>0.22500000000000001</v>
          </cell>
          <cell r="AL556">
            <v>0.22500000000000001</v>
          </cell>
          <cell r="AM556">
            <v>0.22500000000000001</v>
          </cell>
          <cell r="AN556">
            <v>0.22500000000000001</v>
          </cell>
          <cell r="AO556">
            <v>0.22500000000000001</v>
          </cell>
          <cell r="AP556">
            <v>0.22500000000000001</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row>
        <row r="557">
          <cell r="A557" t="str">
            <v>Balance Sheet</v>
          </cell>
        </row>
        <row r="558">
          <cell r="B558" t="str">
            <v>BVPS, book value per share</v>
          </cell>
          <cell r="C558" t="str">
            <v>BVPS</v>
          </cell>
          <cell r="D558" t="str">
            <v>SEK</v>
          </cell>
          <cell r="F558">
            <v>2.0849689770780002</v>
          </cell>
          <cell r="G558">
            <v>2.3780861446060002</v>
          </cell>
          <cell r="H558">
            <v>2.6907293201960001</v>
          </cell>
          <cell r="I558">
            <v>3.0544579819919999</v>
          </cell>
          <cell r="J558">
            <v>3.4670016639429999</v>
          </cell>
          <cell r="K558">
            <v>4.1517140552949998</v>
          </cell>
          <cell r="L558">
            <v>4.7673644469280001</v>
          </cell>
          <cell r="M558">
            <v>5.4802227951339999</v>
          </cell>
          <cell r="N558">
            <v>4.0143506647180001</v>
          </cell>
          <cell r="O558">
            <v>4.1775566613370003</v>
          </cell>
          <cell r="P558">
            <v>4.4799151520290001</v>
          </cell>
          <cell r="Q558">
            <v>5.1120650536729997</v>
          </cell>
          <cell r="R558">
            <v>6.5012989753220003</v>
          </cell>
          <cell r="S558">
            <v>2.9743164278699998</v>
          </cell>
          <cell r="T558">
            <v>4.8451755497929998</v>
          </cell>
          <cell r="U558">
            <v>5.2448803355539999</v>
          </cell>
          <cell r="V558">
            <v>5.9916522740360003</v>
          </cell>
          <cell r="W558">
            <v>5.9244008894010003</v>
          </cell>
          <cell r="X558">
            <v>7.2248311089139996</v>
          </cell>
          <cell r="Y558">
            <v>8.1658840006590001</v>
          </cell>
          <cell r="Z558">
            <v>10.401242184929</v>
          </cell>
          <cell r="AA558">
            <v>9.5677263019550001</v>
          </cell>
          <cell r="AB558">
            <v>10.917070964559001</v>
          </cell>
          <cell r="AC558">
            <v>12.461288197018</v>
          </cell>
          <cell r="AD558">
            <v>8.7402142562830001</v>
          </cell>
          <cell r="AE558">
            <v>10.955585741335</v>
          </cell>
          <cell r="AF558">
            <v>10.945984860951</v>
          </cell>
          <cell r="AG558">
            <v>13.885398702471999</v>
          </cell>
          <cell r="AH558">
            <v>14.503526295042001</v>
          </cell>
          <cell r="AI558">
            <v>17.358536474026</v>
          </cell>
          <cell r="AJ558">
            <v>17.619843236918001</v>
          </cell>
          <cell r="AK558">
            <v>21.527014682307001</v>
          </cell>
          <cell r="AL558">
            <v>25.737488536701001</v>
          </cell>
          <cell r="AM558">
            <v>30.456265696982999</v>
          </cell>
          <cell r="AN558">
            <v>35.564538990739997</v>
          </cell>
          <cell r="AO558">
            <v>41.170723935247999</v>
          </cell>
          <cell r="AP558">
            <v>47.322213691207999</v>
          </cell>
        </row>
        <row r="559">
          <cell r="A559" t="str">
            <v>Cash Flow Statement</v>
          </cell>
        </row>
        <row r="560">
          <cell r="B560" t="str">
            <v>Net income (pre-preferred dividends)</v>
          </cell>
          <cell r="C560" t="str">
            <v>CF_NI_PRE_PREF</v>
          </cell>
          <cell r="D560" t="str">
            <v>SEK</v>
          </cell>
          <cell r="F560">
            <v>1194</v>
          </cell>
          <cell r="G560">
            <v>1823</v>
          </cell>
          <cell r="H560">
            <v>1938</v>
          </cell>
          <cell r="I560">
            <v>2208</v>
          </cell>
          <cell r="J560">
            <v>2283</v>
          </cell>
          <cell r="K560">
            <v>2247</v>
          </cell>
          <cell r="L560">
            <v>2924</v>
          </cell>
          <cell r="M560">
            <v>3067</v>
          </cell>
          <cell r="N560">
            <v>-3889</v>
          </cell>
          <cell r="O560">
            <v>3274</v>
          </cell>
          <cell r="P560">
            <v>4416</v>
          </cell>
          <cell r="Q560">
            <v>4943</v>
          </cell>
          <cell r="R560">
            <v>6236</v>
          </cell>
          <cell r="S560">
            <v>7386</v>
          </cell>
          <cell r="T560">
            <v>9973</v>
          </cell>
          <cell r="U560">
            <v>6244</v>
          </cell>
          <cell r="V560">
            <v>9921</v>
          </cell>
          <cell r="W560">
            <v>12963</v>
          </cell>
          <cell r="X560">
            <v>13901</v>
          </cell>
          <cell r="Y560">
            <v>12072</v>
          </cell>
          <cell r="Z560">
            <v>12169</v>
          </cell>
          <cell r="AA560">
            <v>11771</v>
          </cell>
          <cell r="AB560">
            <v>13768</v>
          </cell>
          <cell r="AC560">
            <v>16740</v>
          </cell>
          <cell r="AD560">
            <v>16331</v>
          </cell>
          <cell r="AE560">
            <v>16522</v>
          </cell>
          <cell r="AF560">
            <v>14779</v>
          </cell>
          <cell r="AG560">
            <v>18130</v>
          </cell>
          <cell r="AH560">
            <v>23542.993879421101</v>
          </cell>
          <cell r="AI560">
            <v>25683.280542029101</v>
          </cell>
          <cell r="AJ560">
            <v>28733.210213611001</v>
          </cell>
          <cell r="AK560">
            <v>33405.319590392799</v>
          </cell>
          <cell r="AL560">
            <v>37219.294571749801</v>
          </cell>
          <cell r="AM560">
            <v>41603.122827452302</v>
          </cell>
          <cell r="AN560">
            <v>45692.958707991304</v>
          </cell>
          <cell r="AO560">
            <v>50164.081356501498</v>
          </cell>
          <cell r="AP560">
            <v>55056.782956493698</v>
          </cell>
        </row>
        <row r="561">
          <cell r="A561" t="str">
            <v>Other Items</v>
          </cell>
        </row>
        <row r="562">
          <cell r="B562" t="str">
            <v>Beta</v>
          </cell>
          <cell r="C562" t="str">
            <v>BETA_ANALYST</v>
          </cell>
        </row>
        <row r="563">
          <cell r="B563" t="str">
            <v>Market equity risk premium</v>
          </cell>
          <cell r="C563" t="str">
            <v>MKT_EQ_RISK_PREM</v>
          </cell>
        </row>
        <row r="564">
          <cell r="B564" t="str">
            <v>Risk-free rate</v>
          </cell>
          <cell r="C564" t="str">
            <v>RISK_FR_RATE</v>
          </cell>
        </row>
        <row r="565">
          <cell r="A565" t="str">
            <v>Security: Atlas Copco (B)</v>
          </cell>
          <cell r="B565" t="str">
            <v>15Z1UM</v>
          </cell>
        </row>
        <row r="566">
          <cell r="A566" t="str">
            <v>Reference Data</v>
          </cell>
        </row>
        <row r="567">
          <cell r="B567" t="str">
            <v>Ticker</v>
          </cell>
          <cell r="C567" t="str">
            <v>Ticker</v>
          </cell>
          <cell r="E567" t="str">
            <v>ATCOb.ST</v>
          </cell>
        </row>
        <row r="568">
          <cell r="B568" t="str">
            <v>Security Name</v>
          </cell>
          <cell r="C568" t="str">
            <v>Security Name</v>
          </cell>
          <cell r="E568" t="str">
            <v>Atlas Copco (B)</v>
          </cell>
        </row>
        <row r="569">
          <cell r="B569" t="str">
            <v>Interim Type</v>
          </cell>
          <cell r="C569" t="str">
            <v>Interim Type</v>
          </cell>
          <cell r="E569" t="str">
            <v>Q</v>
          </cell>
        </row>
        <row r="570">
          <cell r="B570" t="str">
            <v>Publishing Currency</v>
          </cell>
          <cell r="C570" t="str">
            <v>PUB_CURRENCY_ISO</v>
          </cell>
        </row>
        <row r="571">
          <cell r="B571" t="str">
            <v>Pricing Currency</v>
          </cell>
          <cell r="C571" t="str">
            <v>PRICE_CURRENCY_ISO</v>
          </cell>
        </row>
        <row r="572">
          <cell r="B572" t="str">
            <v>Reporting Currency</v>
          </cell>
          <cell r="C572" t="str">
            <v>CURRENCY_ISO</v>
          </cell>
          <cell r="E572" t="str">
            <v>SEK</v>
          </cell>
        </row>
        <row r="573">
          <cell r="A573" t="str">
            <v>General Information</v>
          </cell>
        </row>
        <row r="574">
          <cell r="B574" t="str">
            <v>Current shares outstanding (mn)</v>
          </cell>
          <cell r="C574" t="str">
            <v>NUM_SH</v>
          </cell>
          <cell r="E574">
            <v>389.57362899999998</v>
          </cell>
        </row>
        <row r="575">
          <cell r="A575" t="str">
            <v>Income Statement</v>
          </cell>
        </row>
        <row r="576">
          <cell r="B576" t="str">
            <v>Weighted average shares outstanding, basic</v>
          </cell>
          <cell r="C576" t="str">
            <v>SH</v>
          </cell>
        </row>
      </sheetData>
      <sheetData sheetId="2">
        <row r="1">
          <cell r="A1" t="str">
            <v>86128343-9503-45af-858d-e72b0d2d2987</v>
          </cell>
        </row>
        <row r="2">
          <cell r="A2" t="str">
            <v>\\firmwide.corp.gs.com\irroot\Projects\LN\EquityResearch\Machinery\Companies\[Atlas Copco CF.xlsx]ATCOa.ST_Validation_Sheet</v>
          </cell>
        </row>
        <row r="7">
          <cell r="A7" t="str">
            <v>Scalar|||208000023|||ISSR|||CURRENCY_ISO|||False|||</v>
          </cell>
          <cell r="C7" t="str">
            <v>V_KEYWORD_ISSR_208000023_CURRENCY_ISO</v>
          </cell>
        </row>
        <row r="9">
          <cell r="A9" t="str">
            <v>Scalar|||208000023|||ISSR|||MA_PROB|||False|||</v>
          </cell>
          <cell r="C9" t="str">
            <v>V_KEYWORD_ISSR_208000023_MA_PROB</v>
          </cell>
        </row>
        <row r="11">
          <cell r="A11" t="str">
            <v>Vector|||208000023|||ISSR|||SALES|||False|||</v>
          </cell>
          <cell r="C11" t="str">
            <v>V_KEYWORD_ISSR_208000023_SALES</v>
          </cell>
        </row>
        <row r="12">
          <cell r="A12" t="str">
            <v>Vector|||208000023|||ISSR|||COST_GD_SD|||False|||</v>
          </cell>
          <cell r="C12" t="str">
            <v>V_KEYWORD_ISSR_208000023_COST_GD_SD</v>
          </cell>
        </row>
        <row r="13">
          <cell r="A13" t="str">
            <v>Vector|||208000023|||ISSR|||SEL_GL_AD|||False|||</v>
          </cell>
          <cell r="C13" t="str">
            <v>V_KEYWORD_ISSR_208000023_SEL_GL_AD</v>
          </cell>
        </row>
        <row r="14">
          <cell r="A14" t="str">
            <v>Vector|||208000023|||ISSR|||OP_COST|||False|||</v>
          </cell>
          <cell r="C14" t="str">
            <v>V_KEYWORD_ISSR_208000023_OP_COST</v>
          </cell>
        </row>
        <row r="15">
          <cell r="A15" t="str">
            <v>Vector|||208000023|||ISSR|||RD_EXP|||False|||</v>
          </cell>
          <cell r="C15" t="str">
            <v>V_KEYWORD_ISSR_208000023_RD_EXP</v>
          </cell>
        </row>
        <row r="16">
          <cell r="A16" t="str">
            <v>Vector|||208000023|||ISSR|||OTH_OP_INC_EXP|||False|||</v>
          </cell>
          <cell r="C16" t="str">
            <v>V_KEYWORD_ISSR_208000023_OTH_OP_INC_EXP</v>
          </cell>
        </row>
        <row r="17">
          <cell r="A17" t="str">
            <v>Vector|||208000023|||ISSR|||TOT_OPS_EXP_DDA|||False|||</v>
          </cell>
          <cell r="C17" t="str">
            <v>V_KEYWORD_ISSR_208000023_TOT_OPS_EXP_DDA</v>
          </cell>
        </row>
        <row r="18">
          <cell r="A18" t="str">
            <v>Vector|||208000023|||ISSR|||TOT_OPS_EXP|||False|||</v>
          </cell>
          <cell r="C18" t="str">
            <v>V_KEYWORD_ISSR_208000023_TOT_OPS_EXP</v>
          </cell>
        </row>
        <row r="19">
          <cell r="A19" t="str">
            <v>Vector|||208000023|||ISSR|||EBITDA_CALC|||False|||</v>
          </cell>
          <cell r="C19" t="str">
            <v>V_KEYWORD_ISSR_208000023_EBITDA_CALC</v>
          </cell>
        </row>
        <row r="20">
          <cell r="A20" t="str">
            <v>Vector|||208000023|||ISSR|||DEPREC|||False|||</v>
          </cell>
          <cell r="C20" t="str">
            <v>V_KEYWORD_ISSR_208000023_DEPREC</v>
          </cell>
        </row>
        <row r="21">
          <cell r="A21" t="str">
            <v>Vector|||208000023|||ISSR|||GOODWILL_AMORT|||False|||</v>
          </cell>
          <cell r="C21" t="str">
            <v>V_KEYWORD_ISSR_208000023_GOODWILL_AMORT</v>
          </cell>
        </row>
        <row r="22">
          <cell r="A22" t="str">
            <v>Vector|||208000023|||ISSR|||EBIT|||False|||</v>
          </cell>
          <cell r="C22" t="str">
            <v>V_KEYWORD_ISSR_208000023_EBIT</v>
          </cell>
        </row>
        <row r="23">
          <cell r="A23" t="str">
            <v>Vector|||208000023|||ISSR|||INT_INC_IND|||False|||</v>
          </cell>
          <cell r="C23" t="str">
            <v>V_KEYWORD_ISSR_208000023_INT_INC_IND</v>
          </cell>
        </row>
        <row r="24">
          <cell r="A24" t="str">
            <v>Vector|||208000023|||ISSR|||INT_EXP_IND|||False|||</v>
          </cell>
          <cell r="C24" t="str">
            <v>V_KEYWORD_ISSR_208000023_INT_EXP_IND</v>
          </cell>
        </row>
        <row r="25">
          <cell r="A25" t="str">
            <v>Vector|||208000023|||ISSR|||NET_INT_EXP|||False|||</v>
          </cell>
          <cell r="C25" t="str">
            <v>V_KEYWORD_ISSR_208000023_NET_INT_EXP</v>
          </cell>
        </row>
        <row r="26">
          <cell r="A26" t="str">
            <v>Vector|||208000023|||ISSR|||ASSOCIATE|||False|||</v>
          </cell>
          <cell r="C26" t="str">
            <v>V_KEYWORD_ISSR_208000023_ASSOCIATE</v>
          </cell>
        </row>
        <row r="27">
          <cell r="A27" t="str">
            <v>Vector|||208000023|||ISSR|||PROFIT_ON_DISP|||False|||</v>
          </cell>
          <cell r="C27" t="str">
            <v>V_KEYWORD_ISSR_208000023_PROFIT_ON_DISP</v>
          </cell>
        </row>
        <row r="28">
          <cell r="A28" t="str">
            <v>Vector|||208000023|||ISSR|||OTH_COST_INC|||False|||</v>
          </cell>
          <cell r="C28" t="str">
            <v>V_KEYWORD_ISSR_208000023_OTH_COST_INC</v>
          </cell>
        </row>
        <row r="29">
          <cell r="A29" t="str">
            <v>Vector|||208000023|||ISSR|||PT_PROF|||False|||</v>
          </cell>
          <cell r="C29" t="str">
            <v>V_KEYWORD_ISSR_208000023_PT_PROF</v>
          </cell>
        </row>
        <row r="31">
          <cell r="A31" t="str">
            <v>Vector|||208000023|||ISSR|||ORG_REV|||False|||</v>
          </cell>
          <cell r="C31" t="str">
            <v>V_KEYWORD_ISSR_208000023_ORG_REV</v>
          </cell>
        </row>
        <row r="32">
          <cell r="A32" t="str">
            <v>Vector|||208000023|||ISSR|||ORG_REV_GRTH|||False|||</v>
          </cell>
          <cell r="C32" t="str">
            <v>V_KEYWORD_ISSR_208000023_ORG_REV_GRTH</v>
          </cell>
        </row>
        <row r="33">
          <cell r="A33" t="str">
            <v>Vector|||208000023|||ISSR|||ACQ_GRTH|||False|||</v>
          </cell>
          <cell r="C33" t="str">
            <v>V_KEYWORD_ISSR_208000023_ACQ_GRTH</v>
          </cell>
        </row>
        <row r="34">
          <cell r="A34" t="str">
            <v>Vector|||208000023|||ISSR|||FOREX_GRTH|||False|||</v>
          </cell>
          <cell r="C34" t="str">
            <v>V_KEYWORD_ISSR_208000023_FOREX_GRTH</v>
          </cell>
        </row>
        <row r="35">
          <cell r="A35" t="str">
            <v>Vector|||208000023|||ISSR|||LEASE_PAY|||False|||</v>
          </cell>
          <cell r="C35" t="str">
            <v>V_KEYWORD_ISSR_208000023_LEASE_PAY</v>
          </cell>
        </row>
        <row r="36">
          <cell r="A36" t="str">
            <v>Vector|||208000023|||ISSR|||LEASE_DEEM_INT|||False|||</v>
          </cell>
          <cell r="C36" t="str">
            <v>V_KEYWORD_ISSR_208000023_LEASE_DEEM_INT</v>
          </cell>
        </row>
        <row r="37">
          <cell r="A37" t="str">
            <v>Vector|||208000023|||ISSR|||LEASE_DEEM_DEPR|||False|||</v>
          </cell>
          <cell r="C37" t="str">
            <v>V_KEYWORD_ISSR_208000023_LEASE_DEEM_DEPR</v>
          </cell>
        </row>
        <row r="38">
          <cell r="A38" t="str">
            <v>Vector|||208000023|||ISSR|||NET_INT_CH|||False|||</v>
          </cell>
          <cell r="C38" t="str">
            <v>V_KEYWORD_ISSR_208000023_NET_INT_CH</v>
          </cell>
        </row>
        <row r="39">
          <cell r="A39" t="str">
            <v>Vector|||208000023|||ISSR|||ASSOCIATE_OP|||False|||</v>
          </cell>
          <cell r="C39" t="str">
            <v>V_KEYWORD_ISSR_208000023_ASSOCIATE_OP</v>
          </cell>
        </row>
        <row r="40">
          <cell r="A40" t="str">
            <v>Vector|||208000023|||ISSR|||GW_AMORT|||False|||</v>
          </cell>
          <cell r="C40" t="str">
            <v>V_KEYWORD_ISSR_208000023_GW_AMORT</v>
          </cell>
        </row>
        <row r="41">
          <cell r="A41" t="str">
            <v>Vector|||208000023|||ISSR|||OTH_INT_AMORT|||False|||</v>
          </cell>
          <cell r="C41" t="str">
            <v>V_KEYWORD_ISSR_208000023_OTH_INT_AMORT</v>
          </cell>
        </row>
        <row r="42">
          <cell r="A42" t="str">
            <v>Vector|||208000023|||ISSR|||DEPR_ROU_ASSETS|||False|||</v>
          </cell>
          <cell r="C42" t="str">
            <v>V_KEYWORD_ISSR_208000023_DEPR_ROU_ASSETS</v>
          </cell>
        </row>
        <row r="43">
          <cell r="A43" t="str">
            <v>Vector|||208000023|||ISSR|||LEASE_INT_CHG|||False|||</v>
          </cell>
          <cell r="C43" t="str">
            <v>V_KEYWORD_ISSR_208000023_LEASE_INT_CHG</v>
          </cell>
        </row>
        <row r="44">
          <cell r="A44" t="str">
            <v>Scalar|||208000023|||ISSR|||LEASE_ADOPT|||False|||</v>
          </cell>
          <cell r="C44" t="str">
            <v>V_KEYWORD_ISSR_208000023_LEASE_ADOPT</v>
          </cell>
        </row>
        <row r="46">
          <cell r="A46" t="str">
            <v>Vector|||208000023|||ISSR|||CASH_EQ|||False|||</v>
          </cell>
          <cell r="C46" t="str">
            <v>V_KEYWORD_ISSR_208000023_CASH_EQ</v>
          </cell>
        </row>
        <row r="47">
          <cell r="A47" t="str">
            <v>Vector|||208000023|||ISSR|||DEBTORS|||False|||</v>
          </cell>
          <cell r="C47" t="str">
            <v>V_KEYWORD_ISSR_208000023_DEBTORS</v>
          </cell>
        </row>
        <row r="48">
          <cell r="A48" t="str">
            <v>Vector|||208000023|||ISSR|||STOCKS|||False|||</v>
          </cell>
          <cell r="C48" t="str">
            <v>V_KEYWORD_ISSR_208000023_STOCKS</v>
          </cell>
        </row>
        <row r="49">
          <cell r="A49" t="str">
            <v>Vector|||208000023|||ISSR|||OTH_CUR_ASS|||False|||</v>
          </cell>
          <cell r="C49" t="str">
            <v>V_KEYWORD_ISSR_208000023_OTH_CUR_ASS</v>
          </cell>
        </row>
        <row r="50">
          <cell r="A50" t="str">
            <v>Vector|||208000023|||ISSR|||CUR_ASS|||False|||</v>
          </cell>
          <cell r="C50" t="str">
            <v>V_KEYWORD_ISSR_208000023_CUR_ASS</v>
          </cell>
        </row>
        <row r="51">
          <cell r="A51" t="str">
            <v>Vector|||208000023|||ISSR|||GR_FIX_ASS|||False|||</v>
          </cell>
          <cell r="C51" t="str">
            <v>V_KEYWORD_ISSR_208000023_GR_FIX_ASS</v>
          </cell>
        </row>
        <row r="52">
          <cell r="A52" t="str">
            <v>Vector|||208000023|||ISSR|||ACC_DDA|||False|||</v>
          </cell>
          <cell r="C52" t="str">
            <v>V_KEYWORD_ISSR_208000023_ACC_DDA</v>
          </cell>
        </row>
        <row r="53">
          <cell r="A53" t="str">
            <v>Vector|||208000023|||ISSR|||NET_FIX_ASS|||False|||</v>
          </cell>
          <cell r="C53" t="str">
            <v>V_KEYWORD_ISSR_208000023_NET_FIX_ASS</v>
          </cell>
        </row>
        <row r="54">
          <cell r="A54" t="str">
            <v>Vector|||208000023|||ISSR|||GR_INTANG|||False|||</v>
          </cell>
          <cell r="C54" t="str">
            <v>V_KEYWORD_ISSR_208000023_GR_INTANG</v>
          </cell>
        </row>
        <row r="55">
          <cell r="A55" t="str">
            <v>Vector|||208000023|||ISSR|||ACC_AMORT|||False|||</v>
          </cell>
          <cell r="C55" t="str">
            <v>V_KEYWORD_ISSR_208000023_ACC_AMORT</v>
          </cell>
        </row>
        <row r="56">
          <cell r="A56" t="str">
            <v>Vector|||208000023|||ISSR|||NET_INTANG|||False|||</v>
          </cell>
          <cell r="C56" t="str">
            <v>V_KEYWORD_ISSR_208000023_NET_INTANG</v>
          </cell>
        </row>
        <row r="57">
          <cell r="A57" t="str">
            <v>Vector|||208000023|||ISSR|||FIX_ASS_INV|||False|||</v>
          </cell>
          <cell r="C57" t="str">
            <v>V_KEYWORD_ISSR_208000023_FIX_ASS_INV</v>
          </cell>
        </row>
        <row r="58">
          <cell r="A58" t="str">
            <v>Vector|||208000023|||ISSR|||INV_SECUR|||False|||</v>
          </cell>
          <cell r="C58" t="str">
            <v>V_KEYWORD_ISSR_208000023_INV_SECUR</v>
          </cell>
        </row>
        <row r="59">
          <cell r="A59" t="str">
            <v>Vector|||208000023|||ISSR|||OTH_LT_ASS|||False|||</v>
          </cell>
          <cell r="C59" t="str">
            <v>V_KEYWORD_ISSR_208000023_OTH_LT_ASS</v>
          </cell>
        </row>
        <row r="60">
          <cell r="A60" t="str">
            <v>Vector|||208000023|||ISSR|||TOT_ASSET|||False|||</v>
          </cell>
          <cell r="C60" t="str">
            <v>V_KEYWORD_ISSR_208000023_TOT_ASSET</v>
          </cell>
        </row>
        <row r="61">
          <cell r="A61" t="str">
            <v>Vector|||208000023|||ISSR|||ACC_PAY_GQ|||False|||</v>
          </cell>
          <cell r="C61" t="str">
            <v>V_KEYWORD_ISSR_208000023_ACC_PAY_GQ</v>
          </cell>
        </row>
        <row r="62">
          <cell r="A62" t="str">
            <v>Vector|||208000023|||ISSR|||SHORT_T_DEBT|||False|||</v>
          </cell>
          <cell r="C62" t="str">
            <v>V_KEYWORD_ISSR_208000023_SHORT_T_DEBT</v>
          </cell>
        </row>
        <row r="63">
          <cell r="A63" t="str">
            <v>Vector|||208000023|||ISSR|||ST_LEASE_LIAB|||False|||</v>
          </cell>
          <cell r="C63" t="str">
            <v>V_KEYWORD_ISSR_208000023_ST_LEASE_LIAB</v>
          </cell>
        </row>
        <row r="64">
          <cell r="A64" t="str">
            <v>Vector|||208000023|||ISSR|||OTH_CUR_LIABS|||False|||</v>
          </cell>
          <cell r="C64" t="str">
            <v>V_KEYWORD_ISSR_208000023_OTH_CUR_LIABS</v>
          </cell>
        </row>
        <row r="65">
          <cell r="A65" t="str">
            <v>Vector|||208000023|||ISSR|||SHORT_TERM_LIABS|||False|||</v>
          </cell>
          <cell r="C65" t="str">
            <v>V_KEYWORD_ISSR_208000023_SHORT_TERM_LIABS</v>
          </cell>
        </row>
        <row r="66">
          <cell r="A66" t="str">
            <v>Vector|||208000023|||ISSR|||LT_DEBT|||False|||</v>
          </cell>
          <cell r="C66" t="str">
            <v>V_KEYWORD_ISSR_208000023_LT_DEBT</v>
          </cell>
        </row>
        <row r="67">
          <cell r="A67" t="str">
            <v>Vector|||208000023|||ISSR|||LT_LEASE_LIAB|||False|||</v>
          </cell>
          <cell r="C67" t="str">
            <v>V_KEYWORD_ISSR_208000023_LT_LEASE_LIAB</v>
          </cell>
        </row>
        <row r="68">
          <cell r="A68" t="str">
            <v>Vector|||208000023|||ISSR|||OTH_LT_CRED_GQ|||False|||</v>
          </cell>
          <cell r="C68" t="str">
            <v>V_KEYWORD_ISSR_208000023_OTH_LT_CRED_GQ</v>
          </cell>
        </row>
        <row r="69">
          <cell r="A69" t="str">
            <v>Vector|||208000023|||ISSR|||TOT_LT_LIAB|||False|||</v>
          </cell>
          <cell r="C69" t="str">
            <v>V_KEYWORD_ISSR_208000023_TOT_LT_LIAB</v>
          </cell>
        </row>
        <row r="70">
          <cell r="A70" t="str">
            <v>Vector|||208000023|||ISSR|||TOT_LIAB|||False|||</v>
          </cell>
          <cell r="C70" t="str">
            <v>V_KEYWORD_ISSR_208000023_TOT_LIAB</v>
          </cell>
        </row>
        <row r="71">
          <cell r="A71" t="str">
            <v>Vector|||208000023|||ISSR|||PREF_SH|||False|||</v>
          </cell>
          <cell r="C71" t="str">
            <v>V_KEYWORD_ISSR_208000023_PREF_SH</v>
          </cell>
        </row>
        <row r="72">
          <cell r="A72" t="str">
            <v>Vector|||208000023|||ISSR|||ORD_SH_FUND|||False|||</v>
          </cell>
          <cell r="C72" t="str">
            <v>V_KEYWORD_ISSR_208000023_ORD_SH_FUND</v>
          </cell>
        </row>
        <row r="73">
          <cell r="A73" t="str">
            <v>Vector|||208000023|||ISSR|||MINORITIES|||False|||</v>
          </cell>
          <cell r="C73" t="str">
            <v>V_KEYWORD_ISSR_208000023_MINORITIES</v>
          </cell>
        </row>
        <row r="74">
          <cell r="A74" t="str">
            <v>Vector|||208000023|||ISSR|||EQ|||False|||</v>
          </cell>
          <cell r="C74" t="str">
            <v>V_KEYWORD_ISSR_208000023_EQ</v>
          </cell>
        </row>
        <row r="75">
          <cell r="A75" t="str">
            <v>Vector|||208000023|||ISSR|||TOT_LIAB_EQ|||False|||</v>
          </cell>
          <cell r="C75" t="str">
            <v>V_KEYWORD_ISSR_208000023_TOT_LIAB_EQ</v>
          </cell>
        </row>
        <row r="77">
          <cell r="A77" t="str">
            <v>Vector|||208000023|||ISSR|||TOT_USD_DEBT|||False|||</v>
          </cell>
          <cell r="C77" t="str">
            <v>V_KEYWORD_ISSR_208000023_TOT_USD_DEBT</v>
          </cell>
        </row>
        <row r="78">
          <cell r="A78" t="str">
            <v>Vector|||208000023|||ISSR|||TOT_PCT_USD_DEBT_HEDGED|||False|||</v>
          </cell>
          <cell r="C78" t="str">
            <v>V_KEYWORD_ISSR_208000023_TOT_PCT_USD_DEBT_HEDGED</v>
          </cell>
        </row>
        <row r="79">
          <cell r="A79" t="str">
            <v>Vector|||208000023|||ISSR|||FLOATING_PCT_LOCAL_DEBT|||False|||</v>
          </cell>
          <cell r="C79" t="str">
            <v>V_KEYWORD_ISSR_208000023_FLOATING_PCT_LOCAL_DEBT</v>
          </cell>
        </row>
        <row r="80">
          <cell r="A80" t="str">
            <v>Vector|||208000023|||ISSR|||FLOATING_PCT_LOCAL_DEBT_HEDGED|||False|||</v>
          </cell>
          <cell r="C80" t="str">
            <v>V_KEYWORD_ISSR_208000023_FLOATING_PCT_LOCAL_DEBT_HEDGED</v>
          </cell>
        </row>
        <row r="81">
          <cell r="A81" t="str">
            <v>Vector|||208000023|||ISSR|||NET_DEBT|||False|||</v>
          </cell>
          <cell r="C81" t="str">
            <v>V_KEYWORD_ISSR_208000023_NET_DEBT</v>
          </cell>
        </row>
        <row r="82">
          <cell r="A82" t="str">
            <v>Vector|||208000023|||ISSR|||CAP_LEASES|||False|||</v>
          </cell>
          <cell r="C82" t="str">
            <v>V_KEYWORD_ISSR_208000023_CAP_LEASES</v>
          </cell>
        </row>
        <row r="83">
          <cell r="A83" t="str">
            <v>Vector|||208000023|||ISSR|||DEF_INC_TAX|||False|||</v>
          </cell>
          <cell r="C83" t="str">
            <v>V_KEYWORD_ISSR_208000023_DEF_INC_TAX</v>
          </cell>
        </row>
        <row r="84">
          <cell r="A84" t="str">
            <v>Vector|||208000023|||ISSR|||MV_ASSOCIATES|||False|||</v>
          </cell>
          <cell r="C84" t="str">
            <v>V_KEYWORD_ISSR_208000023_MV_ASSOCIATES</v>
          </cell>
        </row>
        <row r="85">
          <cell r="A85" t="str">
            <v>Vector|||208000023|||ISSR|||NET_DEBT_ADJ|||False|||</v>
          </cell>
          <cell r="C85" t="str">
            <v>V_KEYWORD_ISSR_208000023_NET_DEBT_ADJ</v>
          </cell>
        </row>
        <row r="86">
          <cell r="A86" t="str">
            <v>Vector|||208000023|||ISSR|||CO_BOR_MARGIN|||False|||</v>
          </cell>
          <cell r="C86" t="str">
            <v>V_KEYWORD_ISSR_208000023_CO_BOR_MARGIN</v>
          </cell>
        </row>
        <row r="87">
          <cell r="A87" t="str">
            <v>Vector|||208000023|||ISSR|||UNF_PENS|||False|||</v>
          </cell>
          <cell r="C87" t="str">
            <v>V_KEYWORD_ISSR_208000023_UNF_PENS</v>
          </cell>
        </row>
        <row r="88">
          <cell r="A88" t="str">
            <v>Vector|||208000023|||ISSR|||UNF_PENS_OFF|||False|||</v>
          </cell>
          <cell r="C88" t="str">
            <v>V_KEYWORD_ISSR_208000023_UNF_PENS_OFF</v>
          </cell>
        </row>
        <row r="89">
          <cell r="A89" t="str">
            <v>Vector|||208000023|||ISSR|||UNF_PENS_LIAB_OTH|||False|||</v>
          </cell>
          <cell r="C89" t="str">
            <v>V_KEYWORD_ISSR_208000023_UNF_PENS_LIAB_OTH</v>
          </cell>
        </row>
        <row r="90">
          <cell r="A90" t="str">
            <v>Vector|||208000023|||ISSR|||ADJ_UNF_PENS_GOOD|||False|||</v>
          </cell>
          <cell r="C90" t="str">
            <v>V_KEYWORD_ISSR_208000023_ADJ_UNF_PENS_GOOD</v>
          </cell>
        </row>
        <row r="91">
          <cell r="A91" t="str">
            <v>Vector|||208000023|||ISSR|||OTH_GCI_ADJ|||False|||</v>
          </cell>
          <cell r="C91" t="str">
            <v>V_KEYWORD_ISSR_208000023_OTH_GCI_ADJ</v>
          </cell>
        </row>
        <row r="92">
          <cell r="A92" t="str">
            <v>Vector|||208000023|||ISSR|||GCI_INFL|||False|||</v>
          </cell>
          <cell r="C92" t="str">
            <v>V_KEYWORD_ISSR_208000023_GCI_INFL</v>
          </cell>
        </row>
        <row r="93">
          <cell r="A93" t="str">
            <v>Vector|||208000023|||ISSR|||BAL_MINO_INT|||False|||</v>
          </cell>
          <cell r="C93" t="str">
            <v>V_KEYWORD_ISSR_208000023_BAL_MINO_INT</v>
          </cell>
        </row>
        <row r="94">
          <cell r="A94" t="str">
            <v>Vector|||208000023|||ISSR|||ROU_ASSET|||False|||</v>
          </cell>
          <cell r="C94" t="str">
            <v>V_KEYWORD_ISSR_208000023_ROU_ASSET</v>
          </cell>
        </row>
        <row r="96">
          <cell r="A96" t="str">
            <v>Vector|||208000023|||ISSR|||CF_INC_MINORITY|||False|||</v>
          </cell>
          <cell r="C96" t="str">
            <v>V_KEYWORD_ISSR_208000023_CF_INC_MINORITY</v>
          </cell>
        </row>
        <row r="97">
          <cell r="A97" t="str">
            <v>Vector|||208000023|||ISSR|||DEPR_AMORT|||False|||</v>
          </cell>
          <cell r="C97" t="str">
            <v>V_KEYWORD_ISSR_208000023_DEPR_AMORT</v>
          </cell>
        </row>
        <row r="98">
          <cell r="A98" t="str">
            <v>Vector|||208000023|||ISSR|||WORK_CAP|||False|||</v>
          </cell>
          <cell r="C98" t="str">
            <v>V_KEYWORD_ISSR_208000023_WORK_CAP</v>
          </cell>
        </row>
        <row r="99">
          <cell r="A99" t="str">
            <v>Vector|||208000023|||ISSR|||OTH_OP_CF|||False|||</v>
          </cell>
          <cell r="C99" t="str">
            <v>V_KEYWORD_ISSR_208000023_OTH_OP_CF</v>
          </cell>
        </row>
        <row r="100">
          <cell r="A100" t="str">
            <v>Vector|||208000023|||ISSR|||CF_OPS|||False|||</v>
          </cell>
          <cell r="C100" t="str">
            <v>V_KEYWORD_ISSR_208000023_CF_OPS</v>
          </cell>
        </row>
        <row r="101">
          <cell r="A101" t="str">
            <v>Vector|||208000023|||ISSR|||CAPEX|||False|||</v>
          </cell>
          <cell r="C101" t="str">
            <v>V_KEYWORD_ISSR_208000023_CAPEX</v>
          </cell>
        </row>
        <row r="102">
          <cell r="A102" t="str">
            <v>Vector|||208000023|||ISSR|||ACQ|||False|||</v>
          </cell>
          <cell r="C102" t="str">
            <v>V_KEYWORD_ISSR_208000023_ACQ</v>
          </cell>
        </row>
        <row r="103">
          <cell r="A103" t="str">
            <v>Vector|||208000023|||ISSR|||DIVEST|||False|||</v>
          </cell>
          <cell r="C103" t="str">
            <v>V_KEYWORD_ISSR_208000023_DIVEST</v>
          </cell>
        </row>
        <row r="104">
          <cell r="A104" t="str">
            <v>Vector|||208000023|||ISSR|||OTH_INV_CF|||False|||</v>
          </cell>
          <cell r="C104" t="str">
            <v>V_KEYWORD_ISSR_208000023_OTH_INV_CF</v>
          </cell>
        </row>
        <row r="105">
          <cell r="A105" t="str">
            <v>Vector|||208000023|||ISSR|||CF_INV|||False|||</v>
          </cell>
          <cell r="C105" t="str">
            <v>V_KEYWORD_ISSR_208000023_CF_INV</v>
          </cell>
        </row>
        <row r="106">
          <cell r="A106" t="str">
            <v>Vector|||208000023|||ISSR|||DIV_PAID|||False|||</v>
          </cell>
          <cell r="C106" t="str">
            <v>V_KEYWORD_ISSR_208000023_DIV_PAID</v>
          </cell>
        </row>
        <row r="107">
          <cell r="A107" t="str">
            <v>Vector|||208000023|||ISSR|||SH_REPUR|||False|||</v>
          </cell>
          <cell r="C107" t="str">
            <v>V_KEYWORD_ISSR_208000023_SH_REPUR</v>
          </cell>
        </row>
        <row r="108">
          <cell r="A108" t="str">
            <v>Vector|||208000023|||ISSR|||CHG_LT_DEBT|||False|||</v>
          </cell>
          <cell r="C108" t="str">
            <v>V_KEYWORD_ISSR_208000023_CHG_LT_DEBT</v>
          </cell>
        </row>
        <row r="109">
          <cell r="A109" t="str">
            <v>Vector|||208000023|||ISSR|||LEASE_PRINCIPAL_CASH|||False|||</v>
          </cell>
          <cell r="C109" t="str">
            <v>V_KEYWORD_ISSR_208000023_LEASE_PRINCIPAL_CASH</v>
          </cell>
        </row>
        <row r="110">
          <cell r="A110" t="str">
            <v>Vector|||208000023|||ISSR|||OTH_FIN_CF|||False|||</v>
          </cell>
          <cell r="C110" t="str">
            <v>V_KEYWORD_ISSR_208000023_OTH_FIN_CF</v>
          </cell>
        </row>
        <row r="111">
          <cell r="A111" t="str">
            <v>Vector|||208000023|||ISSR|||CF_FIN|||False|||</v>
          </cell>
          <cell r="C111" t="str">
            <v>V_KEYWORD_ISSR_208000023_CF_FIN</v>
          </cell>
        </row>
        <row r="112">
          <cell r="A112" t="str">
            <v>Vector|||208000023|||ISSR|||OTH_ITEM_NCF|||False|||</v>
          </cell>
          <cell r="C112" t="str">
            <v>V_KEYWORD_ISSR_208000023_OTH_ITEM_NCF</v>
          </cell>
        </row>
        <row r="113">
          <cell r="A113" t="str">
            <v>Vector|||208000023|||ISSR|||TOT_CF|||False|||</v>
          </cell>
          <cell r="C113" t="str">
            <v>V_KEYWORD_ISSR_208000023_TOT_CF</v>
          </cell>
        </row>
        <row r="115">
          <cell r="A115" t="str">
            <v>Vector|||208000023|||ISSR|||ASSOC_JV_ADDBK|||False|||</v>
          </cell>
          <cell r="C115" t="str">
            <v>V_KEYWORD_ISSR_208000023_ASSOC_JV_ADDBK</v>
          </cell>
        </row>
        <row r="116">
          <cell r="A116" t="str">
            <v>Vector|||208000023|||ISSR|||CASH_INT_INC_EXP|||False|||</v>
          </cell>
          <cell r="C116" t="str">
            <v>V_KEYWORD_ISSR_208000023_CASH_INT_INC_EXP</v>
          </cell>
        </row>
        <row r="117">
          <cell r="A117" t="str">
            <v>Vector|||208000023|||ISSR|||CASH_TAX_PD|||False|||</v>
          </cell>
          <cell r="C117" t="str">
            <v>V_KEYWORD_ISSR_208000023_CASH_TAX_PD</v>
          </cell>
        </row>
        <row r="118">
          <cell r="A118" t="str">
            <v>Vector|||208000023|||ISSR|||PL_SALE_ASSETS|||False|||</v>
          </cell>
          <cell r="C118" t="str">
            <v>V_KEYWORD_ISSR_208000023_PL_SALE_ASSETS</v>
          </cell>
        </row>
        <row r="119">
          <cell r="A119" t="str">
            <v>Vector|||208000023|||ISSR|||OTH_NONCASH_ADJ|||False|||</v>
          </cell>
          <cell r="C119" t="str">
            <v>V_KEYWORD_ISSR_208000023_OTH_NONCASH_ADJ</v>
          </cell>
        </row>
        <row r="120">
          <cell r="A120" t="str">
            <v>Vector|||208000023|||ISSR|||OTH_DACF_ADJ|||False|||</v>
          </cell>
          <cell r="C120" t="str">
            <v>V_KEYWORD_ISSR_208000023_OTH_DACF_ADJ</v>
          </cell>
        </row>
        <row r="121">
          <cell r="A121" t="str">
            <v>Vector|||208000023|||ISSR|||CASH_INT_EXP|||False|||</v>
          </cell>
          <cell r="C121" t="str">
            <v>V_KEYWORD_ISSR_208000023_CASH_INT_EXP</v>
          </cell>
        </row>
        <row r="122">
          <cell r="A122" t="str">
            <v>Vector|||208000023|||ISSR|||CASH_TAX_EXP|||False|||</v>
          </cell>
          <cell r="C122" t="str">
            <v>V_KEYWORD_ISSR_208000023_CASH_TAX_EXP</v>
          </cell>
        </row>
        <row r="123">
          <cell r="A123" t="str">
            <v>Vector|||208000023|||ISSR|||DIVDS_ASSOC_JV|||False|||</v>
          </cell>
          <cell r="C123" t="str">
            <v>V_KEYWORD_ISSR_208000023_DIVDS_ASSOC_JV</v>
          </cell>
        </row>
        <row r="124">
          <cell r="A124" t="str">
            <v>Vector|||208000023|||ISSR|||CAPEX_MAINTENANCE|||False|||</v>
          </cell>
          <cell r="C124" t="str">
            <v>V_KEYWORD_ISSR_208000023_CAPEX_MAINTENANCE</v>
          </cell>
        </row>
        <row r="125">
          <cell r="A125" t="str">
            <v>Vector|||208000023|||ISSR|||CAPEX_EXPANSION|||False|||</v>
          </cell>
          <cell r="C125" t="str">
            <v>V_KEYWORD_ISSR_208000023_CAPEX_EXPANSION</v>
          </cell>
        </row>
        <row r="126">
          <cell r="A126" t="str">
            <v>Vector|||208000023|||ISSR|||NONPPE_CAPEX|||False|||</v>
          </cell>
          <cell r="C126" t="str">
            <v>V_KEYWORD_ISSR_208000023_NONPPE_CAPEX</v>
          </cell>
        </row>
        <row r="127">
          <cell r="A127" t="str">
            <v>Vector|||208000023|||ISSR|||DIVDS_PD_MINORITIES|||False|||</v>
          </cell>
          <cell r="C127" t="str">
            <v>V_KEYWORD_ISSR_208000023_DIVDS_PD_MINORITIES</v>
          </cell>
        </row>
        <row r="129">
          <cell r="A129" t="str">
            <v>Scalar|||208000023|||ISSR|||GROUP_SALES_PCT_BIG_NO_TWO|||False|||</v>
          </cell>
          <cell r="C129" t="str">
            <v>V_KEYWORD_ISSR_208000023_GROUP_SALES_PCT_BIG_NO_TWO</v>
          </cell>
        </row>
        <row r="130">
          <cell r="A130" t="str">
            <v>Scalar|||208000023|||ISSR|||GROUP_SALES_PCT_SHRD_NO_ONE|||False|||</v>
          </cell>
          <cell r="C130" t="str">
            <v>V_KEYWORD_ISSR_208000023_GROUP_SALES_PCT_SHRD_NO_ONE</v>
          </cell>
        </row>
        <row r="131">
          <cell r="A131" t="str">
            <v>Scalar|||208000023|||ISSR|||GROUP_SALES_PCT_TOP_THREE|||False|||</v>
          </cell>
          <cell r="C131" t="str">
            <v>V_KEYWORD_ISSR_208000023_GROUP_SALES_PCT_TOP_THREE</v>
          </cell>
        </row>
        <row r="132">
          <cell r="A132" t="str">
            <v>Vector|||208000023|||ISSR|||AMKT_PCT_GROUP_SALES|||False|||</v>
          </cell>
          <cell r="C132" t="str">
            <v>V_KEYWORD_ISSR_208000023_AMKT_PCT_GROUP_SALES</v>
          </cell>
        </row>
        <row r="133">
          <cell r="A133" t="str">
            <v>Scalar|||208000023|||ISSR|||DISTR_SCORE|||False|||</v>
          </cell>
          <cell r="C133" t="str">
            <v>V_KEYWORD_ISSR_208000023_DISTR_SCORE</v>
          </cell>
        </row>
        <row r="134">
          <cell r="A134" t="str">
            <v>Scalar|||208000023|||ISSR|||STRCTL_GRTH_PROD_CTGRY|||False|||</v>
          </cell>
          <cell r="C134" t="str">
            <v>V_KEYWORD_ISSR_208000023_STRCTL_GRTH_PROD_CTGRY</v>
          </cell>
        </row>
        <row r="135">
          <cell r="A135" t="str">
            <v>Scalar|||208000023|||ISSR|||CYCL_GRTH_EMKT|||False|||</v>
          </cell>
          <cell r="C135" t="str">
            <v>V_KEYWORD_ISSR_208000023_CYCL_GRTH_EMKT</v>
          </cell>
        </row>
        <row r="136">
          <cell r="A136" t="str">
            <v>Vector|||208000023|||ISSR|||CYCL_ADJ_CROCI|||False|||</v>
          </cell>
          <cell r="C136" t="str">
            <v>V_KEYWORD_ISSR_208000023_CYCL_ADJ_CROCI</v>
          </cell>
        </row>
        <row r="137">
          <cell r="A137" t="str">
            <v>Vector|||208000023|||ISSR|||DGR_CUST_CONCTR|||False|||</v>
          </cell>
          <cell r="C137" t="str">
            <v>V_KEYWORD_ISSR_208000023_DGR_CUST_CONCTR</v>
          </cell>
        </row>
        <row r="138">
          <cell r="A138" t="str">
            <v>Vector|||208000023|||ISSR|||SALES_PCT_PROJ_BUS|||False|||</v>
          </cell>
          <cell r="C138" t="str">
            <v>V_KEYWORD_ISSR_208000023_SALES_PCT_PROJ_BUS</v>
          </cell>
        </row>
        <row r="139">
          <cell r="A139" t="str">
            <v>Vector|||208000023|||ISSR|||SALES_PCT_REC|||False|||</v>
          </cell>
          <cell r="C139" t="str">
            <v>V_KEYWORD_ISSR_208000023_SALES_PCT_REC</v>
          </cell>
        </row>
        <row r="141">
          <cell r="A141" t="str">
            <v>Vector|||208000023|||ISSR|||EMPLOYEES|||False|||</v>
          </cell>
          <cell r="C141" t="str">
            <v>V_KEYWORD_ISSR_208000023_EMPLOYEES</v>
          </cell>
        </row>
        <row r="142">
          <cell r="A142" t="str">
            <v>Vector|||208000023|||ISSR|||EMPLOYEES_TOT_AM|||False|||</v>
          </cell>
          <cell r="C142" t="str">
            <v>V_KEYWORD_ISSR_208000023_EMPLOYEES_TOT_AM</v>
          </cell>
        </row>
        <row r="143">
          <cell r="A143" t="str">
            <v>Vector|||208000023|||ISSR|||EMPLOYEES_US|||False|||</v>
          </cell>
          <cell r="C143" t="str">
            <v>V_KEYWORD_ISSR_208000023_EMPLOYEES_US</v>
          </cell>
        </row>
        <row r="144">
          <cell r="A144" t="str">
            <v>Vector|||208000023|||ISSR|||EMPLOYEES_BRAZIL|||False|||</v>
          </cell>
          <cell r="C144" t="str">
            <v>V_KEYWORD_ISSR_208000023_EMPLOYEES_BRAZIL</v>
          </cell>
        </row>
        <row r="145">
          <cell r="A145" t="str">
            <v>Vector|||208000023|||ISSR|||EMPLOYEES_OTH_AM|||False|||</v>
          </cell>
          <cell r="C145" t="str">
            <v>V_KEYWORD_ISSR_208000023_EMPLOYEES_OTH_AM</v>
          </cell>
        </row>
        <row r="146">
          <cell r="A146" t="str">
            <v>Vector|||208000023|||ISSR|||EMPLOYEES_TOT_EMEA|||False|||</v>
          </cell>
          <cell r="C146" t="str">
            <v>V_KEYWORD_ISSR_208000023_EMPLOYEES_TOT_EMEA</v>
          </cell>
        </row>
        <row r="147">
          <cell r="A147" t="str">
            <v>Vector|||208000023|||ISSR|||EMPLOYEES_UK|||False|||</v>
          </cell>
          <cell r="C147" t="str">
            <v>V_KEYWORD_ISSR_208000023_EMPLOYEES_UK</v>
          </cell>
        </row>
        <row r="148">
          <cell r="A148" t="str">
            <v>Vector|||208000023|||ISSR|||EMPLOYEES_EU_EX_UK|||False|||</v>
          </cell>
          <cell r="C148" t="str">
            <v>V_KEYWORD_ISSR_208000023_EMPLOYEES_EU_EX_UK</v>
          </cell>
        </row>
        <row r="149">
          <cell r="A149" t="str">
            <v>Vector|||208000023|||ISSR|||EMPLOYEES_FRA|||False|||</v>
          </cell>
          <cell r="C149" t="str">
            <v>V_KEYWORD_ISSR_208000023_EMPLOYEES_FRA</v>
          </cell>
        </row>
        <row r="150">
          <cell r="A150" t="str">
            <v>Vector|||208000023|||ISSR|||EMPLOYEES_GER|||False|||</v>
          </cell>
          <cell r="C150" t="str">
            <v>V_KEYWORD_ISSR_208000023_EMPLOYEES_GER</v>
          </cell>
        </row>
        <row r="151">
          <cell r="A151" t="str">
            <v>Vector|||208000023|||ISSR|||EMPLOYEES_ITA|||False|||</v>
          </cell>
          <cell r="C151" t="str">
            <v>V_KEYWORD_ISSR_208000023_EMPLOYEES_ITA</v>
          </cell>
        </row>
        <row r="152">
          <cell r="A152" t="str">
            <v>Vector|||208000023|||ISSR|||EMPLOYEES_SPA|||False|||</v>
          </cell>
          <cell r="C152" t="str">
            <v>V_KEYWORD_ISSR_208000023_EMPLOYEES_SPA</v>
          </cell>
        </row>
        <row r="153">
          <cell r="A153" t="str">
            <v>Vector|||208000023|||ISSR|||EMPLOYEES_OTH_EU_EX_UK|||False|||</v>
          </cell>
          <cell r="C153" t="str">
            <v>V_KEYWORD_ISSR_208000023_EMPLOYEES_OTH_EU_EX_UK</v>
          </cell>
        </row>
        <row r="154">
          <cell r="A154" t="str">
            <v>Vector|||208000023|||ISSR|||EMPLOYEES_CEE|||False|||</v>
          </cell>
          <cell r="C154" t="str">
            <v>V_KEYWORD_ISSR_208000023_EMPLOYEES_CEE</v>
          </cell>
        </row>
        <row r="155">
          <cell r="A155" t="str">
            <v>Vector|||208000023|||ISSR|||EMPLOYEES_ME|||False|||</v>
          </cell>
          <cell r="C155" t="str">
            <v>V_KEYWORD_ISSR_208000023_EMPLOYEES_ME</v>
          </cell>
        </row>
        <row r="156">
          <cell r="A156" t="str">
            <v>Vector|||208000023|||ISSR|||EMPLOYEES_SO_AFRICA|||False|||</v>
          </cell>
          <cell r="C156" t="str">
            <v>V_KEYWORD_ISSR_208000023_EMPLOYEES_SO_AFRICA</v>
          </cell>
        </row>
        <row r="157">
          <cell r="A157" t="str">
            <v>Vector|||208000023|||ISSR|||EMPLOYEES_NIGERIA|||False|||</v>
          </cell>
          <cell r="C157" t="str">
            <v>V_KEYWORD_ISSR_208000023_EMPLOYEES_NIGERIA</v>
          </cell>
        </row>
        <row r="158">
          <cell r="A158" t="str">
            <v>Vector|||208000023|||ISSR|||EMPLOYEES_OTH_AFRICA|||False|||</v>
          </cell>
          <cell r="C158" t="str">
            <v>V_KEYWORD_ISSR_208000023_EMPLOYEES_OTH_AFRICA</v>
          </cell>
        </row>
        <row r="159">
          <cell r="A159" t="str">
            <v>Vector|||208000023|||ISSR|||EMPLOYEES_TOT_AFRICA|||False|||</v>
          </cell>
          <cell r="C159" t="str">
            <v>V_KEYWORD_ISSR_208000023_EMPLOYEES_TOT_AFRICA</v>
          </cell>
        </row>
        <row r="160">
          <cell r="A160" t="str">
            <v>Vector|||208000023|||ISSR|||EMPLOYEES_RUSSIA|||False|||</v>
          </cell>
          <cell r="C160" t="str">
            <v>V_KEYWORD_ISSR_208000023_EMPLOYEES_RUSSIA</v>
          </cell>
        </row>
        <row r="161">
          <cell r="A161" t="str">
            <v>Vector|||208000023|||ISSR|||EMPLOYEES_OTH_EMEA|||False|||</v>
          </cell>
          <cell r="C161" t="str">
            <v>V_KEYWORD_ISSR_208000023_EMPLOYEES_OTH_EMEA</v>
          </cell>
        </row>
        <row r="162">
          <cell r="A162" t="str">
            <v>Vector|||208000023|||ISSR|||EMPLOYEES_TOT_ASIA|||False|||</v>
          </cell>
          <cell r="C162" t="str">
            <v>V_KEYWORD_ISSR_208000023_EMPLOYEES_TOT_ASIA</v>
          </cell>
        </row>
        <row r="163">
          <cell r="A163" t="str">
            <v>Vector|||208000023|||ISSR|||EMPLOYEES_JAPAN|||False|||</v>
          </cell>
          <cell r="C163" t="str">
            <v>V_KEYWORD_ISSR_208000023_EMPLOYEES_JAPAN</v>
          </cell>
        </row>
        <row r="164">
          <cell r="A164" t="str">
            <v>Vector|||208000023|||ISSR|||EMPLOYEES_CHINA|||False|||</v>
          </cell>
          <cell r="C164" t="str">
            <v>V_KEYWORD_ISSR_208000023_EMPLOYEES_CHINA</v>
          </cell>
        </row>
        <row r="165">
          <cell r="A165" t="str">
            <v>Vector|||208000023|||ISSR|||EMPLOYEES_INDIA|||False|||</v>
          </cell>
          <cell r="C165" t="str">
            <v>V_KEYWORD_ISSR_208000023_EMPLOYEES_INDIA</v>
          </cell>
        </row>
        <row r="166">
          <cell r="A166" t="str">
            <v>Vector|||208000023|||ISSR|||EMPLOYEES_OTH_AEJ|||False|||</v>
          </cell>
          <cell r="C166" t="str">
            <v>V_KEYWORD_ISSR_208000023_EMPLOYEES_OTH_AEJ</v>
          </cell>
        </row>
        <row r="167">
          <cell r="A167" t="str">
            <v>Vector|||208000023|||ISSR|||EMPLOYEES_OTHER|||False|||</v>
          </cell>
          <cell r="C167" t="str">
            <v>V_KEYWORD_ISSR_208000023_EMPLOYEES_OTHER</v>
          </cell>
        </row>
        <row r="169">
          <cell r="A169" t="str">
            <v>Vector|||208000023|||ISSR|||SALES_EXPOSURE_NO_AMERICA|||False|||</v>
          </cell>
          <cell r="C169" t="str">
            <v>V_KEYWORD_ISSR_208000023_SALES_EXPOSURE_NO_AMERICA</v>
          </cell>
        </row>
        <row r="170">
          <cell r="A170" t="str">
            <v>Vector|||208000023|||ISSR|||SALES_EXPOSURE_EMEA|||False|||</v>
          </cell>
          <cell r="C170" t="str">
            <v>V_KEYWORD_ISSR_208000023_SALES_EXPOSURE_EMEA</v>
          </cell>
        </row>
        <row r="171">
          <cell r="A171" t="str">
            <v>Vector|||208000023|||ISSR|||SALES_EXPOSURE_APAC|||False|||</v>
          </cell>
          <cell r="C171" t="str">
            <v>V_KEYWORD_ISSR_208000023_SALES_EXPOSURE_APAC</v>
          </cell>
        </row>
        <row r="172">
          <cell r="A172" t="str">
            <v>Vector|||208000023|||ISSR|||SALES_EXPOSURE_CHINA|||False|||</v>
          </cell>
          <cell r="C172" t="str">
            <v>V_KEYWORD_ISSR_208000023_SALES_EXPOSURE_CHINA</v>
          </cell>
        </row>
        <row r="173">
          <cell r="A173" t="str">
            <v>Vector|||208000023|||ISSR|||SALES_EXPOSURE_ROW|||False|||</v>
          </cell>
          <cell r="C173" t="str">
            <v>V_KEYWORD_ISSR_208000023_SALES_EXPOSURE_ROW</v>
          </cell>
        </row>
        <row r="174">
          <cell r="A174" t="str">
            <v>Vector|||208000023|||ISSR|||SALES_EXPOSURE_DEV_MKT|||False|||</v>
          </cell>
          <cell r="C174" t="str">
            <v>V_KEYWORD_ISSR_208000023_SALES_EXPOSURE_DEV_MKT</v>
          </cell>
        </row>
        <row r="175">
          <cell r="A175" t="str">
            <v>Vector|||208000023|||ISSR|||SALES_EXPOSURE_EMER_MKT|||False|||</v>
          </cell>
          <cell r="C175" t="str">
            <v>V_KEYWORD_ISSR_208000023_SALES_EXPOSURE_EMER_MKT</v>
          </cell>
        </row>
        <row r="177">
          <cell r="A177" t="str">
            <v>Vector|||208000023|||ISSR|||SALES_CONSRT_EMKT_GLOBAL|||False|||</v>
          </cell>
          <cell r="C177" t="str">
            <v>V_KEYWORD_ISSR_208000023_SALES_CONSRT_EMKT_GLOBAL</v>
          </cell>
        </row>
        <row r="178">
          <cell r="A178" t="str">
            <v>Vector|||208000023|||ISSR|||SALES_CONSRT_EMKT_NO_AMERICA|||False|||</v>
          </cell>
          <cell r="C178" t="str">
            <v>V_KEYWORD_ISSR_208000023_SALES_CONSRT_EMKT_NO_AMERICA</v>
          </cell>
        </row>
        <row r="179">
          <cell r="A179" t="str">
            <v>Vector|||208000023|||ISSR|||SALES_CONSRT_EMKT_EAME|||False|||</v>
          </cell>
          <cell r="C179" t="str">
            <v>V_KEYWORD_ISSR_208000023_SALES_CONSRT_EMKT_EAME</v>
          </cell>
        </row>
        <row r="180">
          <cell r="A180" t="str">
            <v>Vector|||208000023|||ISSR|||SALES_CONSRT_EMKT_SO_AMERICA|||False|||</v>
          </cell>
          <cell r="C180" t="str">
            <v>V_KEYWORD_ISSR_208000023_SALES_CONSRT_EMKT_SO_AMERICA</v>
          </cell>
        </row>
        <row r="181">
          <cell r="A181" t="str">
            <v>Vector|||208000023|||ISSR|||SALES_CONSRT_EMKT_CHINA|||False|||</v>
          </cell>
          <cell r="C181" t="str">
            <v>V_KEYWORD_ISSR_208000023_SALES_CONSRT_EMKT_CHINA</v>
          </cell>
        </row>
        <row r="182">
          <cell r="A182" t="str">
            <v>Vector|||208000023|||ISSR|||SALES_CONSRT_EMKT_ASIAEXCHINA|||False|||</v>
          </cell>
          <cell r="C182" t="str">
            <v>V_KEYWORD_ISSR_208000023_SALES_CONSRT_EMKT_ASIAEXCHINA</v>
          </cell>
        </row>
        <row r="183">
          <cell r="A183" t="str">
            <v>Vector|||208000023|||ISSR|||SALES_TRN_DIST_EMKT_GLOBAL|||False|||</v>
          </cell>
          <cell r="C183" t="str">
            <v>V_KEYWORD_ISSR_208000023_SALES_TRN_DIST_EMKT_GLOBAL</v>
          </cell>
        </row>
        <row r="184">
          <cell r="A184" t="str">
            <v>Vector|||208000023|||ISSR|||SALES_TRN_DIST_EMKT_NO_AMERICA|||False|||</v>
          </cell>
          <cell r="C184" t="str">
            <v>V_KEYWORD_ISSR_208000023_SALES_TRN_DIST_EMKT_NO_AMERICA</v>
          </cell>
        </row>
        <row r="185">
          <cell r="A185" t="str">
            <v>Vector|||208000023|||ISSR|||SALES_TRN_DIST_EMKT_EAME|||False|||</v>
          </cell>
          <cell r="C185" t="str">
            <v>V_KEYWORD_ISSR_208000023_SALES_TRN_DIST_EMKT_EAME</v>
          </cell>
        </row>
        <row r="186">
          <cell r="A186" t="str">
            <v>Vector|||208000023|||ISSR|||SALES_TRN_DIST_EMKT_SO_AMERICA|||False|||</v>
          </cell>
          <cell r="C186" t="str">
            <v>V_KEYWORD_ISSR_208000023_SALES_TRN_DIST_EMKT_SO_AMERICA</v>
          </cell>
        </row>
        <row r="187">
          <cell r="A187" t="str">
            <v>Vector|||208000023|||ISSR|||SALES_TRN_DIST_EMKT_CHINA|||False|||</v>
          </cell>
          <cell r="C187" t="str">
            <v>V_KEYWORD_ISSR_208000023_SALES_TRN_DIST_EMKT_CHINA</v>
          </cell>
        </row>
        <row r="188">
          <cell r="A188" t="str">
            <v>Vector|||208000023|||ISSR|||SALES_TRN_DIST_EMKT_ASIAEXCHINA|||False|||</v>
          </cell>
          <cell r="C188" t="str">
            <v>V_KEYWORD_ISSR_208000023_SALES_TRN_DIST_EMKT_ASIAEXCHINA</v>
          </cell>
        </row>
        <row r="189">
          <cell r="A189" t="str">
            <v>Vector|||208000023|||ISSR|||SALES_PWR_GEN_EMKT_GLOBAL|||False|||</v>
          </cell>
          <cell r="C189" t="str">
            <v>V_KEYWORD_ISSR_208000023_SALES_PWR_GEN_EMKT_GLOBAL</v>
          </cell>
        </row>
        <row r="190">
          <cell r="A190" t="str">
            <v>Vector|||208000023|||ISSR|||SALES_PWR_GEN_EMKT_NO_AMERICA|||False|||</v>
          </cell>
          <cell r="C190" t="str">
            <v>V_KEYWORD_ISSR_208000023_SALES_PWR_GEN_EMKT_NO_AMERICA</v>
          </cell>
        </row>
        <row r="191">
          <cell r="A191" t="str">
            <v>Vector|||208000023|||ISSR|||SALES_PWR_GEN_EMKT_EAME|||False|||</v>
          </cell>
          <cell r="C191" t="str">
            <v>V_KEYWORD_ISSR_208000023_SALES_PWR_GEN_EMKT_EAME</v>
          </cell>
        </row>
        <row r="192">
          <cell r="A192" t="str">
            <v>Vector|||208000023|||ISSR|||SALES_PWR_GEN_EMKT_SO_AMERICA|||False|||</v>
          </cell>
          <cell r="C192" t="str">
            <v>V_KEYWORD_ISSR_208000023_SALES_PWR_GEN_EMKT_SO_AMERICA</v>
          </cell>
        </row>
        <row r="193">
          <cell r="A193" t="str">
            <v>Vector|||208000023|||ISSR|||SALES_PWR_GEN_EMKT_CHINA|||False|||</v>
          </cell>
          <cell r="C193" t="str">
            <v>V_KEYWORD_ISSR_208000023_SALES_PWR_GEN_EMKT_CHINA</v>
          </cell>
        </row>
        <row r="194">
          <cell r="A194" t="str">
            <v>Vector|||208000023|||ISSR|||SALES_PWR_GEN_EMKT_ASIAEXCHINA|||False|||</v>
          </cell>
          <cell r="C194" t="str">
            <v>V_KEYWORD_ISSR_208000023_SALES_PWR_GEN_EMKT_ASIAEXCHINA</v>
          </cell>
        </row>
        <row r="195">
          <cell r="A195" t="str">
            <v>Vector|||208000023|||ISSR|||SALES_MINING_EMKT_GLOBAL|||False|||</v>
          </cell>
          <cell r="C195" t="str">
            <v>V_KEYWORD_ISSR_208000023_SALES_MINING_EMKT_GLOBAL</v>
          </cell>
        </row>
        <row r="196">
          <cell r="A196" t="str">
            <v>Vector|||208000023|||ISSR|||SALES_MINING_EMKT_NO_AMERICA|||False|||</v>
          </cell>
          <cell r="C196" t="str">
            <v>V_KEYWORD_ISSR_208000023_SALES_MINING_EMKT_NO_AMERICA</v>
          </cell>
        </row>
        <row r="197">
          <cell r="A197" t="str">
            <v>Vector|||208000023|||ISSR|||SALES_MINING_EMKT_EAME|||False|||</v>
          </cell>
          <cell r="C197" t="str">
            <v>V_KEYWORD_ISSR_208000023_SALES_MINING_EMKT_EAME</v>
          </cell>
        </row>
        <row r="198">
          <cell r="A198" t="str">
            <v>Vector|||208000023|||ISSR|||SALES_MINING_EMKT_SO_AMERICA|||False|||</v>
          </cell>
          <cell r="C198" t="str">
            <v>V_KEYWORD_ISSR_208000023_SALES_MINING_EMKT_SO_AMERICA</v>
          </cell>
        </row>
        <row r="199">
          <cell r="A199" t="str">
            <v>Vector|||208000023|||ISSR|||SALES_MINING_EMKT_CHINA|||False|||</v>
          </cell>
          <cell r="C199" t="str">
            <v>V_KEYWORD_ISSR_208000023_SALES_MINING_EMKT_CHINA</v>
          </cell>
        </row>
        <row r="200">
          <cell r="A200" t="str">
            <v>Vector|||208000023|||ISSR|||SALES_MINING_EMKT_ASIAEXCHINA|||False|||</v>
          </cell>
          <cell r="C200" t="str">
            <v>V_KEYWORD_ISSR_208000023_SALES_MINING_EMKT_ASIAEXCHINA</v>
          </cell>
        </row>
        <row r="201">
          <cell r="A201" t="str">
            <v>Vector|||208000023|||ISSR|||SALES_OIL_GAS_EMKT_GLOBAL|||False|||</v>
          </cell>
          <cell r="C201" t="str">
            <v>V_KEYWORD_ISSR_208000023_SALES_OIL_GAS_EMKT_GLOBAL</v>
          </cell>
        </row>
        <row r="202">
          <cell r="A202" t="str">
            <v>Vector|||208000023|||ISSR|||SALES_OIL_GAS_EMKT_NO_AMERICA|||False|||</v>
          </cell>
          <cell r="C202" t="str">
            <v>V_KEYWORD_ISSR_208000023_SALES_OIL_GAS_EMKT_NO_AMERICA</v>
          </cell>
        </row>
        <row r="203">
          <cell r="A203" t="str">
            <v>Vector|||208000023|||ISSR|||SALES_OIL_GAS_EMKT_EAME|||False|||</v>
          </cell>
          <cell r="C203" t="str">
            <v>V_KEYWORD_ISSR_208000023_SALES_OIL_GAS_EMKT_EAME</v>
          </cell>
        </row>
        <row r="204">
          <cell r="A204" t="str">
            <v>Vector|||208000023|||ISSR|||SALES_OIL_GAS_EMKT_SO_AMERICA|||False|||</v>
          </cell>
          <cell r="C204" t="str">
            <v>V_KEYWORD_ISSR_208000023_SALES_OIL_GAS_EMKT_SO_AMERICA</v>
          </cell>
        </row>
        <row r="205">
          <cell r="A205" t="str">
            <v>Vector|||208000023|||ISSR|||SALES_OIL_GAS_EMKT_CHINA|||False|||</v>
          </cell>
          <cell r="C205" t="str">
            <v>V_KEYWORD_ISSR_208000023_SALES_OIL_GAS_EMKT_CHINA</v>
          </cell>
        </row>
        <row r="206">
          <cell r="A206" t="str">
            <v>Vector|||208000023|||ISSR|||SALES_OIL_GAS_EMKT_ASIAEXCHINA|||False|||</v>
          </cell>
          <cell r="C206" t="str">
            <v>V_KEYWORD_ISSR_208000023_SALES_OIL_GAS_EMKT_ASIAEXCHINA</v>
          </cell>
        </row>
        <row r="207">
          <cell r="A207" t="str">
            <v>Vector|||208000023|||ISSR|||SALES_AUTOMTV_EMKT_GLOBAL|||False|||</v>
          </cell>
          <cell r="C207" t="str">
            <v>V_KEYWORD_ISSR_208000023_SALES_AUTOMTV_EMKT_GLOBAL</v>
          </cell>
        </row>
        <row r="208">
          <cell r="A208" t="str">
            <v>Vector|||208000023|||ISSR|||SALES_AUTOMTV_EMKT_NO_AMERICA|||False|||</v>
          </cell>
          <cell r="C208" t="str">
            <v>V_KEYWORD_ISSR_208000023_SALES_AUTOMTV_EMKT_NO_AMERICA</v>
          </cell>
        </row>
        <row r="209">
          <cell r="A209" t="str">
            <v>Vector|||208000023|||ISSR|||SALES_AUTOMTV_EMKT_EAME|||False|||</v>
          </cell>
          <cell r="C209" t="str">
            <v>V_KEYWORD_ISSR_208000023_SALES_AUTOMTV_EMKT_EAME</v>
          </cell>
        </row>
        <row r="210">
          <cell r="A210" t="str">
            <v>Vector|||208000023|||ISSR|||SALES_AUTOMTV_EMKT_SO_AMERICA|||False|||</v>
          </cell>
          <cell r="C210" t="str">
            <v>V_KEYWORD_ISSR_208000023_SALES_AUTOMTV_EMKT_SO_AMERICA</v>
          </cell>
        </row>
        <row r="211">
          <cell r="A211" t="str">
            <v>Vector|||208000023|||ISSR|||SALES_AUTOMTV_EMKT_CHINA|||False|||</v>
          </cell>
          <cell r="C211" t="str">
            <v>V_KEYWORD_ISSR_208000023_SALES_AUTOMTV_EMKT_CHINA</v>
          </cell>
        </row>
        <row r="212">
          <cell r="A212" t="str">
            <v>Vector|||208000023|||ISSR|||SALES_AUTOMTV_EMKT_ASIAEXCHINA|||False|||</v>
          </cell>
          <cell r="C212" t="str">
            <v>V_KEYWORD_ISSR_208000023_SALES_AUTOMTV_EMKT_ASIAEXCHINA</v>
          </cell>
        </row>
        <row r="213">
          <cell r="A213" t="str">
            <v>Vector|||208000023|||ISSR|||SALES_RAIL_EMKT_GLOBAL|||False|||</v>
          </cell>
          <cell r="C213" t="str">
            <v>V_KEYWORD_ISSR_208000023_SALES_RAIL_EMKT_GLOBAL</v>
          </cell>
        </row>
        <row r="214">
          <cell r="A214" t="str">
            <v>Vector|||208000023|||ISSR|||SALES_RAIL_EMKT_NO_AMERICA|||False|||</v>
          </cell>
          <cell r="C214" t="str">
            <v>V_KEYWORD_ISSR_208000023_SALES_RAIL_EMKT_NO_AMERICA</v>
          </cell>
        </row>
        <row r="215">
          <cell r="A215" t="str">
            <v>Vector|||208000023|||ISSR|||SALES_RAIL_EMKT_EAME|||False|||</v>
          </cell>
          <cell r="C215" t="str">
            <v>V_KEYWORD_ISSR_208000023_SALES_RAIL_EMKT_EAME</v>
          </cell>
        </row>
        <row r="216">
          <cell r="A216" t="str">
            <v>Vector|||208000023|||ISSR|||SALES_RAIL_EMKT_SO_AMERICA|||False|||</v>
          </cell>
          <cell r="C216" t="str">
            <v>V_KEYWORD_ISSR_208000023_SALES_RAIL_EMKT_SO_AMERICA</v>
          </cell>
        </row>
        <row r="217">
          <cell r="A217" t="str">
            <v>Vector|||208000023|||ISSR|||SALES_RAIL_EMKT_CHINA|||False|||</v>
          </cell>
          <cell r="C217" t="str">
            <v>V_KEYWORD_ISSR_208000023_SALES_RAIL_EMKT_CHINA</v>
          </cell>
        </row>
        <row r="218">
          <cell r="A218" t="str">
            <v>Vector|||208000023|||ISSR|||SALES_RAIL_EMKT_ASIAEXCHINA|||False|||</v>
          </cell>
          <cell r="C218" t="str">
            <v>V_KEYWORD_ISSR_208000023_SALES_RAIL_EMKT_ASIAEXCHINA</v>
          </cell>
        </row>
        <row r="219">
          <cell r="A219" t="str">
            <v>Vector|||208000023|||ISSR|||SALES_CONS_EMKT_GLOBAL|||False|||</v>
          </cell>
          <cell r="C219" t="str">
            <v>V_KEYWORD_ISSR_208000023_SALES_CONS_EMKT_GLOBAL</v>
          </cell>
        </row>
        <row r="220">
          <cell r="A220" t="str">
            <v>Vector|||208000023|||ISSR|||SALES_CONS_EMKT_NO_AMERICA|||False|||</v>
          </cell>
          <cell r="C220" t="str">
            <v>V_KEYWORD_ISSR_208000023_SALES_CONS_EMKT_NO_AMERICA</v>
          </cell>
        </row>
        <row r="221">
          <cell r="A221" t="str">
            <v>Vector|||208000023|||ISSR|||SALES_CONS_EMKT_EAME|||False|||</v>
          </cell>
          <cell r="C221" t="str">
            <v>V_KEYWORD_ISSR_208000023_SALES_CONS_EMKT_EAME</v>
          </cell>
        </row>
        <row r="222">
          <cell r="A222" t="str">
            <v>Vector|||208000023|||ISSR|||SALES_CONS_EMKT_SO_AMERICA|||False|||</v>
          </cell>
          <cell r="C222" t="str">
            <v>V_KEYWORD_ISSR_208000023_SALES_CONS_EMKT_SO_AMERICA</v>
          </cell>
        </row>
        <row r="223">
          <cell r="A223" t="str">
            <v>Vector|||208000023|||ISSR|||SALES_CONS_EMKT_CHINA|||False|||</v>
          </cell>
          <cell r="C223" t="str">
            <v>V_KEYWORD_ISSR_208000023_SALES_CONS_EMKT_CHINA</v>
          </cell>
        </row>
        <row r="224">
          <cell r="A224" t="str">
            <v>Vector|||208000023|||ISSR|||SALES_CONS_EMKT_ASIAEXCHINA|||False|||</v>
          </cell>
          <cell r="C224" t="str">
            <v>V_KEYWORD_ISSR_208000023_SALES_CONS_EMKT_ASIAEXCHINA</v>
          </cell>
        </row>
        <row r="225">
          <cell r="A225" t="str">
            <v>Vector|||208000023|||ISSR|||SALES_TECH_EMKT_GLOBAL|||False|||</v>
          </cell>
          <cell r="C225" t="str">
            <v>V_KEYWORD_ISSR_208000023_SALES_TECH_EMKT_GLOBAL</v>
          </cell>
        </row>
        <row r="226">
          <cell r="A226" t="str">
            <v>Vector|||208000023|||ISSR|||SALES_TECH_EMKT_NO_AMERICA|||False|||</v>
          </cell>
          <cell r="C226" t="str">
            <v>V_KEYWORD_ISSR_208000023_SALES_TECH_EMKT_NO_AMERICA</v>
          </cell>
        </row>
        <row r="227">
          <cell r="A227" t="str">
            <v>Vector|||208000023|||ISSR|||SALES_TECH_EMKT_EAME|||False|||</v>
          </cell>
          <cell r="C227" t="str">
            <v>V_KEYWORD_ISSR_208000023_SALES_TECH_EMKT_EAME</v>
          </cell>
        </row>
        <row r="228">
          <cell r="A228" t="str">
            <v>Vector|||208000023|||ISSR|||SALES_TECH_EMKT_SO_AMERICA|||False|||</v>
          </cell>
          <cell r="C228" t="str">
            <v>V_KEYWORD_ISSR_208000023_SALES_TECH_EMKT_SO_AMERICA</v>
          </cell>
        </row>
        <row r="229">
          <cell r="A229" t="str">
            <v>Vector|||208000023|||ISSR|||SALES_TECH_EMKT_CHINA|||False|||</v>
          </cell>
          <cell r="C229" t="str">
            <v>V_KEYWORD_ISSR_208000023_SALES_TECH_EMKT_CHINA</v>
          </cell>
        </row>
        <row r="230">
          <cell r="A230" t="str">
            <v>Vector|||208000023|||ISSR|||SALES_TECH_EMKT_ASIAEXCHINA|||False|||</v>
          </cell>
          <cell r="C230" t="str">
            <v>V_KEYWORD_ISSR_208000023_SALES_TECH_EMKT_ASIAEXCHINA</v>
          </cell>
        </row>
        <row r="231">
          <cell r="A231" t="str">
            <v>Vector|||208000023|||ISSR|||SALES_AGRI_EMKT_GLOBAL|||False|||</v>
          </cell>
          <cell r="C231" t="str">
            <v>V_KEYWORD_ISSR_208000023_SALES_AGRI_EMKT_GLOBAL</v>
          </cell>
        </row>
        <row r="232">
          <cell r="A232" t="str">
            <v>Vector|||208000023|||ISSR|||SALES_AGRI_EMKT_NO_AMERICA|||False|||</v>
          </cell>
          <cell r="C232" t="str">
            <v>V_KEYWORD_ISSR_208000023_SALES_AGRI_EMKT_NO_AMERICA</v>
          </cell>
        </row>
        <row r="233">
          <cell r="A233" t="str">
            <v>Vector|||208000023|||ISSR|||SALES_AGRI_EMKT_EAME|||False|||</v>
          </cell>
          <cell r="C233" t="str">
            <v>V_KEYWORD_ISSR_208000023_SALES_AGRI_EMKT_EAME</v>
          </cell>
        </row>
        <row r="234">
          <cell r="A234" t="str">
            <v>Vector|||208000023|||ISSR|||SALES_AGRI_EMKT_SO_AMERICA|||False|||</v>
          </cell>
          <cell r="C234" t="str">
            <v>V_KEYWORD_ISSR_208000023_SALES_AGRI_EMKT_SO_AMERICA</v>
          </cell>
        </row>
        <row r="235">
          <cell r="A235" t="str">
            <v>Vector|||208000023|||ISSR|||SALES_AGRI_EMKT_CHINA|||False|||</v>
          </cell>
          <cell r="C235" t="str">
            <v>V_KEYWORD_ISSR_208000023_SALES_AGRI_EMKT_CHINA</v>
          </cell>
        </row>
        <row r="236">
          <cell r="A236" t="str">
            <v>Vector|||208000023|||ISSR|||SALES_AGRI_EMKT_ASIAEXCHINA|||False|||</v>
          </cell>
          <cell r="C236" t="str">
            <v>V_KEYWORD_ISSR_208000023_SALES_AGRI_EMKT_ASIAEXCHINA</v>
          </cell>
        </row>
        <row r="237">
          <cell r="A237" t="str">
            <v>Vector|||208000023|||ISSR|||SALES_GNRL_IND_EMKT_GLOBAL|||False|||</v>
          </cell>
          <cell r="C237" t="str">
            <v>V_KEYWORD_ISSR_208000023_SALES_GNRL_IND_EMKT_GLOBAL</v>
          </cell>
        </row>
        <row r="238">
          <cell r="A238" t="str">
            <v>Vector|||208000023|||ISSR|||SALES_GNRL_IND_EMKT_NO_AMERICA|||False|||</v>
          </cell>
          <cell r="C238" t="str">
            <v>V_KEYWORD_ISSR_208000023_SALES_GNRL_IND_EMKT_NO_AMERICA</v>
          </cell>
        </row>
        <row r="239">
          <cell r="A239" t="str">
            <v>Vector|||208000023|||ISSR|||SALES_GNRL_IND_EMKT_EAME|||False|||</v>
          </cell>
          <cell r="C239" t="str">
            <v>V_KEYWORD_ISSR_208000023_SALES_GNRL_IND_EMKT_EAME</v>
          </cell>
        </row>
        <row r="240">
          <cell r="A240" t="str">
            <v>Vector|||208000023|||ISSR|||SALES_GNRL_IND_EMKT_SO_AMERICA|||False|||</v>
          </cell>
          <cell r="C240" t="str">
            <v>V_KEYWORD_ISSR_208000023_SALES_GNRL_IND_EMKT_SO_AMERICA</v>
          </cell>
        </row>
        <row r="241">
          <cell r="A241" t="str">
            <v>Vector|||208000023|||ISSR|||SALES_GNRL_IND_EMKT_CHINA|||False|||</v>
          </cell>
          <cell r="C241" t="str">
            <v>V_KEYWORD_ISSR_208000023_SALES_GNRL_IND_EMKT_CHINA</v>
          </cell>
        </row>
        <row r="242">
          <cell r="A242" t="str">
            <v>Vector|||208000023|||ISSR|||SALES_GNRL_IND_EMKT_ASIAEXCHINA|||False|||</v>
          </cell>
          <cell r="C242" t="str">
            <v>V_KEYWORD_ISSR_208000023_SALES_GNRL_IND_EMKT_ASIAEXCHINA</v>
          </cell>
        </row>
        <row r="243">
          <cell r="A243" t="str">
            <v>Vector|||208000023|||ISSR|||SALES_AMKT_EMKT_GLOBAL|||False|||</v>
          </cell>
          <cell r="C243" t="str">
            <v>V_KEYWORD_ISSR_208000023_SALES_AMKT_EMKT_GLOBAL</v>
          </cell>
        </row>
        <row r="244">
          <cell r="A244" t="str">
            <v>Vector|||208000023|||ISSR|||SALES_EMKT_AEROSPC|||False|||</v>
          </cell>
          <cell r="C244" t="str">
            <v>V_KEYWORD_ISSR_208000023_SALES_EMKT_AEROSPC</v>
          </cell>
        </row>
        <row r="245">
          <cell r="A245" t="str">
            <v>Vector|||208000023|||ISSR|||SALES_EMRKT_AGRI|||False|||</v>
          </cell>
          <cell r="C245" t="str">
            <v>V_KEYWORD_ISSR_208000023_SALES_EMRKT_AGRI</v>
          </cell>
        </row>
        <row r="246">
          <cell r="A246" t="str">
            <v>Vector|||208000023|||ISSR|||SALES_EMRKT_CHEM|||False|||</v>
          </cell>
          <cell r="C246" t="str">
            <v>V_KEYWORD_ISSR_208000023_SALES_EMRKT_CHEM</v>
          </cell>
        </row>
        <row r="247">
          <cell r="A247" t="str">
            <v>Vector|||208000023|||ISSR|||SALES_EMKT_CONS|||False|||</v>
          </cell>
          <cell r="C247" t="str">
            <v>V_KEYWORD_ISSR_208000023_SALES_EMKT_CONS</v>
          </cell>
        </row>
        <row r="248">
          <cell r="A248" t="str">
            <v>Vector|||208000023|||ISSR|||SALES_EMRKT_ELEC|||False|||</v>
          </cell>
          <cell r="C248" t="str">
            <v>V_KEYWORD_ISSR_208000023_SALES_EMRKT_ELEC</v>
          </cell>
        </row>
        <row r="249">
          <cell r="A249" t="str">
            <v>Vector|||208000023|||ISSR|||SALES_EMKT_GNRL_IND|||False|||</v>
          </cell>
          <cell r="C249" t="str">
            <v>V_KEYWORD_ISSR_208000023_SALES_EMKT_GNRL_IND</v>
          </cell>
        </row>
        <row r="250">
          <cell r="A250" t="str">
            <v>Vector|||208000023|||ISSR|||SALES_EMRKT_MARINE|||False|||</v>
          </cell>
          <cell r="C250" t="str">
            <v>V_KEYWORD_ISSR_208000023_SALES_EMRKT_MARINE</v>
          </cell>
        </row>
        <row r="251">
          <cell r="A251" t="str">
            <v>Vector|||208000023|||ISSR|||SALES_EMRKT_NC|||False|||</v>
          </cell>
          <cell r="C251" t="str">
            <v>V_KEYWORD_ISSR_208000023_SALES_EMRKT_NC</v>
          </cell>
        </row>
        <row r="252">
          <cell r="A252" t="str">
            <v>Vector|||208000023|||ISSR|||SALES_EMKT_MED|||False|||</v>
          </cell>
          <cell r="C252" t="str">
            <v>V_KEYWORD_ISSR_208000023_SALES_EMKT_MED</v>
          </cell>
        </row>
        <row r="253">
          <cell r="A253" t="str">
            <v>Vector|||208000023|||ISSR|||SALES_EMKT_MINING|||False|||</v>
          </cell>
          <cell r="C253" t="str">
            <v>V_KEYWORD_ISSR_208000023_SALES_EMKT_MINING</v>
          </cell>
        </row>
        <row r="254">
          <cell r="A254" t="str">
            <v>Vector|||208000023|||ISSR|||SALES_EMKT_NRES_CONSRT|||False|||</v>
          </cell>
          <cell r="C254" t="str">
            <v>V_KEYWORD_ISSR_208000023_SALES_EMKT_NRES_CONSRT</v>
          </cell>
        </row>
        <row r="255">
          <cell r="A255" t="str">
            <v>Vector|||208000023|||ISSR|||SALES_EMKT_OIL_GAS|||False|||</v>
          </cell>
          <cell r="C255" t="str">
            <v>V_KEYWORD_ISSR_208000023_SALES_EMKT_OIL_GAS</v>
          </cell>
        </row>
        <row r="256">
          <cell r="A256" t="str">
            <v>Vector|||208000023|||ISSR|||SALES_EMKT_PWR_GEN|||False|||</v>
          </cell>
          <cell r="C256" t="str">
            <v>V_KEYWORD_ISSR_208000023_SALES_EMKT_PWR_GEN</v>
          </cell>
        </row>
        <row r="257">
          <cell r="A257" t="str">
            <v>Vector|||208000023|||ISSR|||SALES_EMRKT_PULP|||False|||</v>
          </cell>
          <cell r="C257" t="str">
            <v>V_KEYWORD_ISSR_208000023_SALES_EMRKT_PULP</v>
          </cell>
        </row>
        <row r="258">
          <cell r="A258" t="str">
            <v>Vector|||208000023|||ISSR|||SALES_EMKT_RAIL|||False|||</v>
          </cell>
          <cell r="C258" t="str">
            <v>V_KEYWORD_ISSR_208000023_SALES_EMKT_RAIL</v>
          </cell>
        </row>
        <row r="259">
          <cell r="A259" t="str">
            <v>Vector|||208000023|||ISSR|||SALES_EMKT_RES_CONSRT|||False|||</v>
          </cell>
          <cell r="C259" t="str">
            <v>V_KEYWORD_ISSR_208000023_SALES_EMKT_RES_CONSRT</v>
          </cell>
        </row>
        <row r="260">
          <cell r="A260" t="str">
            <v>Vector|||208000023|||ISSR|||SALES_EMKT_TRN_DIST|||False|||</v>
          </cell>
          <cell r="C260" t="str">
            <v>V_KEYWORD_ISSR_208000023_SALES_EMKT_TRN_DIST</v>
          </cell>
        </row>
        <row r="261">
          <cell r="A261" t="str">
            <v>Vector|||208000023|||ISSR|||SALES_EMKT_TECH_TELCO|||False|||</v>
          </cell>
          <cell r="C261" t="str">
            <v>V_KEYWORD_ISSR_208000023_SALES_EMKT_TECH_TELCO</v>
          </cell>
        </row>
        <row r="262">
          <cell r="A262" t="str">
            <v>Vector|||208000023|||ISSR|||SALES_EMKT_VHCLE|||False|||</v>
          </cell>
          <cell r="C262" t="str">
            <v>V_KEYWORD_ISSR_208000023_SALES_EMKT_VHCLE</v>
          </cell>
        </row>
        <row r="264">
          <cell r="A264" t="str">
            <v>Vector|||208000023|||ISSR|||SALES_CANADA|||False|||</v>
          </cell>
          <cell r="C264" t="str">
            <v>V_KEYWORD_ISSR_208000023_SALES_CANADA</v>
          </cell>
        </row>
        <row r="265">
          <cell r="A265" t="str">
            <v>Vector|||208000023|||ISSR|||SALES_US|||False|||</v>
          </cell>
          <cell r="C265" t="str">
            <v>V_KEYWORD_ISSR_208000023_SALES_US</v>
          </cell>
        </row>
        <row r="266">
          <cell r="A266" t="str">
            <v>Vector|||208000023|||ISSR|||SALES_OTH_NO_AMER|||False|||</v>
          </cell>
          <cell r="C266" t="str">
            <v>V_KEYWORD_ISSR_208000023_SALES_OTH_NO_AMER</v>
          </cell>
        </row>
        <row r="267">
          <cell r="A267" t="str">
            <v>Vector|||208000023|||ISSR|||SALES_ARGENTINA|||False|||</v>
          </cell>
          <cell r="C267" t="str">
            <v>V_KEYWORD_ISSR_208000023_SALES_ARGENTINA</v>
          </cell>
        </row>
        <row r="268">
          <cell r="A268" t="str">
            <v>Vector|||208000023|||ISSR|||SALES_BRAZIL|||False|||</v>
          </cell>
          <cell r="C268" t="str">
            <v>V_KEYWORD_ISSR_208000023_SALES_BRAZIL</v>
          </cell>
        </row>
        <row r="269">
          <cell r="A269" t="str">
            <v>Vector|||208000023|||ISSR|||SALES_CHILE|||False|||</v>
          </cell>
          <cell r="C269" t="str">
            <v>V_KEYWORD_ISSR_208000023_SALES_CHILE</v>
          </cell>
        </row>
        <row r="270">
          <cell r="A270" t="str">
            <v>Vector|||208000023|||ISSR|||SALES_COLOMBIA|||False|||</v>
          </cell>
          <cell r="C270" t="str">
            <v>V_KEYWORD_ISSR_208000023_SALES_COLOMBIA</v>
          </cell>
        </row>
        <row r="271">
          <cell r="A271" t="str">
            <v>Vector|||208000023|||ISSR|||SALES_MEXICO|||False|||</v>
          </cell>
          <cell r="C271" t="str">
            <v>V_KEYWORD_ISSR_208000023_SALES_MEXICO</v>
          </cell>
        </row>
        <row r="272">
          <cell r="A272" t="str">
            <v>Vector|||208000023|||ISSR|||SALES_VENEZUELA|||False|||</v>
          </cell>
          <cell r="C272" t="str">
            <v>V_KEYWORD_ISSR_208000023_SALES_VENEZUELA</v>
          </cell>
        </row>
        <row r="273">
          <cell r="A273" t="str">
            <v>Vector|||208000023|||ISSR|||SALES_OTH_LATAM|||False|||</v>
          </cell>
          <cell r="C273" t="str">
            <v>V_KEYWORD_ISSR_208000023_SALES_OTH_LATAM</v>
          </cell>
        </row>
        <row r="274">
          <cell r="A274" t="str">
            <v>Vector|||208000023|||ISSR|||SALES_AUSTRIA|||False|||</v>
          </cell>
          <cell r="C274" t="str">
            <v>V_KEYWORD_ISSR_208000023_SALES_AUSTRIA</v>
          </cell>
        </row>
        <row r="275">
          <cell r="A275" t="str">
            <v>Vector|||208000023|||ISSR|||SALES_BEL|||False|||</v>
          </cell>
          <cell r="C275" t="str">
            <v>V_KEYWORD_ISSR_208000023_SALES_BEL</v>
          </cell>
        </row>
        <row r="276">
          <cell r="A276" t="str">
            <v>Vector|||208000023|||ISSR|||SALES_FRA|||False|||</v>
          </cell>
          <cell r="C276" t="str">
            <v>V_KEYWORD_ISSR_208000023_SALES_FRA</v>
          </cell>
        </row>
        <row r="277">
          <cell r="A277" t="str">
            <v>Vector|||208000023|||ISSR|||SALES_GER|||False|||</v>
          </cell>
          <cell r="C277" t="str">
            <v>V_KEYWORD_ISSR_208000023_SALES_GER</v>
          </cell>
        </row>
        <row r="278">
          <cell r="A278" t="str">
            <v>Vector|||208000023|||ISSR|||SALES_GRE|||False|||</v>
          </cell>
          <cell r="C278" t="str">
            <v>V_KEYWORD_ISSR_208000023_SALES_GRE</v>
          </cell>
        </row>
        <row r="279">
          <cell r="A279" t="str">
            <v>Vector|||208000023|||ISSR|||SALES_IRE|||False|||</v>
          </cell>
          <cell r="C279" t="str">
            <v>V_KEYWORD_ISSR_208000023_SALES_IRE</v>
          </cell>
        </row>
        <row r="280">
          <cell r="A280" t="str">
            <v>Vector|||208000023|||ISSR|||SALES_ITA|||False|||</v>
          </cell>
          <cell r="C280" t="str">
            <v>V_KEYWORD_ISSR_208000023_SALES_ITA</v>
          </cell>
        </row>
        <row r="281">
          <cell r="A281" t="str">
            <v>Vector|||208000023|||ISSR|||SALES_NETH|||False|||</v>
          </cell>
          <cell r="C281" t="str">
            <v>V_KEYWORD_ISSR_208000023_SALES_NETH</v>
          </cell>
        </row>
        <row r="282">
          <cell r="A282" t="str">
            <v>Vector|||208000023|||ISSR|||SALES_NOR|||False|||</v>
          </cell>
          <cell r="C282" t="str">
            <v>V_KEYWORD_ISSR_208000023_SALES_NOR</v>
          </cell>
        </row>
        <row r="283">
          <cell r="A283" t="str">
            <v>Vector|||208000023|||ISSR|||SALES_POR|||False|||</v>
          </cell>
          <cell r="C283" t="str">
            <v>V_KEYWORD_ISSR_208000023_SALES_POR</v>
          </cell>
        </row>
        <row r="284">
          <cell r="A284" t="str">
            <v>Vector|||208000023|||ISSR|||SALES_SPA|||False|||</v>
          </cell>
          <cell r="C284" t="str">
            <v>V_KEYWORD_ISSR_208000023_SALES_SPA</v>
          </cell>
        </row>
        <row r="285">
          <cell r="A285" t="str">
            <v>Vector|||208000023|||ISSR|||SALES_SWE|||False|||</v>
          </cell>
          <cell r="C285" t="str">
            <v>V_KEYWORD_ISSR_208000023_SALES_SWE</v>
          </cell>
        </row>
        <row r="286">
          <cell r="A286" t="str">
            <v>Vector|||208000023|||ISSR|||SALES_SWIT|||False|||</v>
          </cell>
          <cell r="C286" t="str">
            <v>V_KEYWORD_ISSR_208000023_SALES_SWIT</v>
          </cell>
        </row>
        <row r="287">
          <cell r="A287" t="str">
            <v>Vector|||208000023|||ISSR|||SALES_UK|||False|||</v>
          </cell>
          <cell r="C287" t="str">
            <v>V_KEYWORD_ISSR_208000023_SALES_UK</v>
          </cell>
        </row>
        <row r="288">
          <cell r="A288" t="str">
            <v>Vector|||208000023|||ISSR|||SALES_OTH_WEST_EURO|||False|||</v>
          </cell>
          <cell r="C288" t="str">
            <v>V_KEYWORD_ISSR_208000023_SALES_OTH_WEST_EURO</v>
          </cell>
        </row>
        <row r="289">
          <cell r="A289" t="str">
            <v>Vector|||208000023|||ISSR|||SALES_POLAND|||False|||</v>
          </cell>
          <cell r="C289" t="str">
            <v>V_KEYWORD_ISSR_208000023_SALES_POLAND</v>
          </cell>
        </row>
        <row r="290">
          <cell r="A290" t="str">
            <v>Vector|||208000023|||ISSR|||SALES_RUSSIA|||False|||</v>
          </cell>
          <cell r="C290" t="str">
            <v>V_KEYWORD_ISSR_208000023_SALES_RUSSIA</v>
          </cell>
        </row>
        <row r="291">
          <cell r="A291" t="str">
            <v>Vector|||208000023|||ISSR|||SALES_TURKEY|||False|||</v>
          </cell>
          <cell r="C291" t="str">
            <v>V_KEYWORD_ISSR_208000023_SALES_TURKEY</v>
          </cell>
        </row>
        <row r="292">
          <cell r="A292" t="str">
            <v>Vector|||208000023|||ISSR|||SALES_OTH_CEE|||False|||</v>
          </cell>
          <cell r="C292" t="str">
            <v>V_KEYWORD_ISSR_208000023_SALES_OTH_CEE</v>
          </cell>
        </row>
        <row r="293">
          <cell r="A293" t="str">
            <v>Vector|||208000023|||ISSR|||SALES_SAUDI_ARABIA|||False|||</v>
          </cell>
          <cell r="C293" t="str">
            <v>V_KEYWORD_ISSR_208000023_SALES_SAUDI_ARABIA</v>
          </cell>
        </row>
        <row r="294">
          <cell r="A294" t="str">
            <v>Vector|||208000023|||ISSR|||SALES_UAE|||False|||</v>
          </cell>
          <cell r="C294" t="str">
            <v>V_KEYWORD_ISSR_208000023_SALES_UAE</v>
          </cell>
        </row>
        <row r="295">
          <cell r="A295" t="str">
            <v>Vector|||208000023|||ISSR|||SALES_OTH_ME|||False|||</v>
          </cell>
          <cell r="C295" t="str">
            <v>V_KEYWORD_ISSR_208000023_SALES_OTH_ME</v>
          </cell>
        </row>
        <row r="296">
          <cell r="A296" t="str">
            <v>Vector|||208000023|||ISSR|||SALES_NIGERIA|||False|||</v>
          </cell>
          <cell r="C296" t="str">
            <v>V_KEYWORD_ISSR_208000023_SALES_NIGERIA</v>
          </cell>
        </row>
        <row r="297">
          <cell r="A297" t="str">
            <v>Vector|||208000023|||ISSR|||SALES_SO_AFRICA|||False|||</v>
          </cell>
          <cell r="C297" t="str">
            <v>V_KEYWORD_ISSR_208000023_SALES_SO_AFRICA</v>
          </cell>
        </row>
        <row r="298">
          <cell r="A298" t="str">
            <v>Vector|||208000023|||ISSR|||SALES_OTH_AFRICA|||False|||</v>
          </cell>
          <cell r="C298" t="str">
            <v>V_KEYWORD_ISSR_208000023_SALES_OTH_AFRICA</v>
          </cell>
        </row>
        <row r="299">
          <cell r="A299" t="str">
            <v>Vector|||208000023|||ISSR|||SALES_HONG_KONG|||False|||</v>
          </cell>
          <cell r="C299" t="str">
            <v>V_KEYWORD_ISSR_208000023_SALES_HONG_KONG</v>
          </cell>
        </row>
        <row r="300">
          <cell r="A300" t="str">
            <v>Vector|||208000023|||ISSR|||SALES_JAPAN|||False|||</v>
          </cell>
          <cell r="C300" t="str">
            <v>V_KEYWORD_ISSR_208000023_SALES_JAPAN</v>
          </cell>
        </row>
        <row r="301">
          <cell r="A301" t="str">
            <v>Vector|||208000023|||ISSR|||SALES_SINGAPORE|||False|||</v>
          </cell>
          <cell r="C301" t="str">
            <v>V_KEYWORD_ISSR_208000023_SALES_SINGAPORE</v>
          </cell>
        </row>
        <row r="302">
          <cell r="A302" t="str">
            <v>Vector|||208000023|||ISSR|||SALES_SK|||False|||</v>
          </cell>
          <cell r="C302" t="str">
            <v>V_KEYWORD_ISSR_208000023_SALES_SK</v>
          </cell>
        </row>
        <row r="303">
          <cell r="A303" t="str">
            <v>Vector|||208000023|||ISSR|||SALES_TAIWAN|||False|||</v>
          </cell>
          <cell r="C303" t="str">
            <v>V_KEYWORD_ISSR_208000023_SALES_TAIWAN</v>
          </cell>
        </row>
        <row r="304">
          <cell r="A304" t="str">
            <v>Vector|||208000023|||ISSR|||SALES_OTH_DEV_ASIA|||False|||</v>
          </cell>
          <cell r="C304" t="str">
            <v>V_KEYWORD_ISSR_208000023_SALES_OTH_DEV_ASIA</v>
          </cell>
        </row>
        <row r="305">
          <cell r="A305" t="str">
            <v>Vector|||208000023|||ISSR|||SALES_CHINA|||False|||</v>
          </cell>
          <cell r="C305" t="str">
            <v>V_KEYWORD_ISSR_208000023_SALES_CHINA</v>
          </cell>
        </row>
        <row r="306">
          <cell r="A306" t="str">
            <v>Vector|||208000023|||ISSR|||SALES_INDIA|||False|||</v>
          </cell>
          <cell r="C306" t="str">
            <v>V_KEYWORD_ISSR_208000023_SALES_INDIA</v>
          </cell>
        </row>
        <row r="307">
          <cell r="A307" t="str">
            <v>Vector|||208000023|||ISSR|||SALES_INDONESIA|||False|||</v>
          </cell>
          <cell r="C307" t="str">
            <v>V_KEYWORD_ISSR_208000023_SALES_INDONESIA</v>
          </cell>
        </row>
        <row r="308">
          <cell r="A308" t="str">
            <v>Vector|||208000023|||ISSR|||SALES_THAILAND|||False|||</v>
          </cell>
          <cell r="C308" t="str">
            <v>V_KEYWORD_ISSR_208000023_SALES_THAILAND</v>
          </cell>
        </row>
        <row r="309">
          <cell r="A309" t="str">
            <v>Vector|||208000023|||ISSR|||SALES_OTH_EMERG_ASIA|||False|||</v>
          </cell>
          <cell r="C309" t="str">
            <v>V_KEYWORD_ISSR_208000023_SALES_OTH_EMERG_ASIA</v>
          </cell>
        </row>
        <row r="310">
          <cell r="A310" t="str">
            <v>Vector|||208000023|||ISSR|||SALES_AUSTRA|||False|||</v>
          </cell>
          <cell r="C310" t="str">
            <v>V_KEYWORD_ISSR_208000023_SALES_AUSTRA</v>
          </cell>
        </row>
        <row r="311">
          <cell r="A311" t="str">
            <v>Vector|||208000023|||ISSR|||SALES_NZ|||False|||</v>
          </cell>
          <cell r="C311" t="str">
            <v>V_KEYWORD_ISSR_208000023_SALES_NZ</v>
          </cell>
        </row>
        <row r="312">
          <cell r="A312" t="str">
            <v>Vector|||208000023|||ISSR|||SALES_OTHER|||False|||</v>
          </cell>
          <cell r="C312" t="str">
            <v>V_KEYWORD_ISSR_208000023_SALES_OTHER</v>
          </cell>
        </row>
        <row r="313">
          <cell r="A313" t="str">
            <v>Vector|||208000023|||ISSR|||COGS_PCT_US|||False|||</v>
          </cell>
          <cell r="C313" t="str">
            <v>V_KEYWORD_ISSR_208000023_COGS_PCT_US</v>
          </cell>
        </row>
        <row r="314">
          <cell r="A314" t="str">
            <v>Vector|||208000023|||ISSR|||COGS_PCT_ROW|||False|||</v>
          </cell>
          <cell r="C314" t="str">
            <v>V_KEYWORD_ISSR_208000023_COGS_PCT_ROW</v>
          </cell>
        </row>
        <row r="315">
          <cell r="A315" t="str">
            <v>Vector|||208000023|||ISSR|||SGA_PCT_US|||False|||</v>
          </cell>
          <cell r="C315" t="str">
            <v>V_KEYWORD_ISSR_208000023_SGA_PCT_US</v>
          </cell>
        </row>
        <row r="316">
          <cell r="A316" t="str">
            <v>Vector|||208000023|||ISSR|||SGA_PCT_ROW|||False|||</v>
          </cell>
          <cell r="C316" t="str">
            <v>V_KEYWORD_ISSR_208000023_SGA_PCT_ROW</v>
          </cell>
        </row>
        <row r="317">
          <cell r="A317" t="str">
            <v>Vector|||208000023|||ISSR|||SALES_CONS|||False|||</v>
          </cell>
          <cell r="C317" t="str">
            <v>V_KEYWORD_ISSR_208000023_SALES_CONS</v>
          </cell>
        </row>
        <row r="318">
          <cell r="A318" t="str">
            <v>Vector|||208000023|||ISSR|||SALES_IND|||False|||</v>
          </cell>
          <cell r="C318" t="str">
            <v>V_KEYWORD_ISSR_208000023_SALES_IND</v>
          </cell>
        </row>
        <row r="319">
          <cell r="A319" t="str">
            <v>Vector|||208000023|||ISSR|||SALES_GOV|||False|||</v>
          </cell>
          <cell r="C319" t="str">
            <v>V_KEYWORD_ISSR_208000023_SALES_GOV</v>
          </cell>
        </row>
        <row r="320">
          <cell r="A320" t="str">
            <v>Vector|||208000023|||ISSR|||SALES_FINAN|||False|||</v>
          </cell>
          <cell r="C320" t="str">
            <v>V_KEYWORD_ISSR_208000023_SALES_FINAN</v>
          </cell>
        </row>
        <row r="321">
          <cell r="A321" t="str">
            <v>Vector|||208000023|||ISSR|||SALES_OIL_GAS|||False|||</v>
          </cell>
          <cell r="C321" t="str">
            <v>V_KEYWORD_ISSR_208000023_SALES_OIL_GAS</v>
          </cell>
        </row>
        <row r="323">
          <cell r="A323" t="str">
            <v>Vector|||208000023|||ISSR|||SALES_OIL_PETRO_FUEL|||False|||</v>
          </cell>
          <cell r="C323" t="str">
            <v>V_KEYWORD_ISSR_208000023_SALES_OIL_PETRO_FUEL</v>
          </cell>
        </row>
        <row r="324">
          <cell r="A324" t="str">
            <v>Vector|||208000023|||ISSR|||SALES_OIL_DERIV_NGLS_PLASTICS|||False|||</v>
          </cell>
          <cell r="C324" t="str">
            <v>V_KEYWORD_ISSR_208000023_SALES_OIL_DERIV_NGLS_PLASTICS</v>
          </cell>
        </row>
        <row r="325">
          <cell r="A325" t="str">
            <v>Vector|||208000023|||ISSR|||SALES_NAT_GAS|||False|||</v>
          </cell>
          <cell r="C325" t="str">
            <v>V_KEYWORD_ISSR_208000023_SALES_NAT_GAS</v>
          </cell>
        </row>
        <row r="326">
          <cell r="A326" t="str">
            <v>Vector|||208000023|||ISSR|||SALES_GOLD|||False|||</v>
          </cell>
          <cell r="C326" t="str">
            <v>V_KEYWORD_ISSR_208000023_SALES_GOLD</v>
          </cell>
        </row>
        <row r="327">
          <cell r="A327" t="str">
            <v>Vector|||208000023|||ISSR|||SALES_COPPER|||False|||</v>
          </cell>
          <cell r="C327" t="str">
            <v>V_KEYWORD_ISSR_208000023_SALES_COPPER</v>
          </cell>
        </row>
        <row r="328">
          <cell r="A328" t="str">
            <v>Vector|||208000023|||ISSR|||SALES_SILVER|||False|||</v>
          </cell>
          <cell r="C328" t="str">
            <v>V_KEYWORD_ISSR_208000023_SALES_SILVER</v>
          </cell>
        </row>
        <row r="329">
          <cell r="A329" t="str">
            <v>Vector|||208000023|||ISSR|||SALES_PLATINUM|||False|||</v>
          </cell>
          <cell r="C329" t="str">
            <v>V_KEYWORD_ISSR_208000023_SALES_PLATINUM</v>
          </cell>
        </row>
        <row r="330">
          <cell r="A330" t="str">
            <v>Vector|||208000023|||ISSR|||SALES_PALLADIUM|||False|||</v>
          </cell>
          <cell r="C330" t="str">
            <v>V_KEYWORD_ISSR_208000023_SALES_PALLADIUM</v>
          </cell>
        </row>
        <row r="331">
          <cell r="A331" t="str">
            <v>Vector|||208000023|||ISSR|||SALES_ALUMINIUM|||False|||</v>
          </cell>
          <cell r="C331" t="str">
            <v>V_KEYWORD_ISSR_208000023_SALES_ALUMINIUM</v>
          </cell>
        </row>
        <row r="332">
          <cell r="A332" t="str">
            <v>Vector|||208000023|||ISSR|||SALES_NICKEL|||False|||</v>
          </cell>
          <cell r="C332" t="str">
            <v>V_KEYWORD_ISSR_208000023_SALES_NICKEL</v>
          </cell>
        </row>
        <row r="333">
          <cell r="A333" t="str">
            <v>Vector|||208000023|||ISSR|||SALES_ZINC|||False|||</v>
          </cell>
          <cell r="C333" t="str">
            <v>V_KEYWORD_ISSR_208000023_SALES_ZINC</v>
          </cell>
        </row>
        <row r="334">
          <cell r="A334" t="str">
            <v>Vector|||208000023|||ISSR|||SALES_STEEL|||False|||</v>
          </cell>
          <cell r="C334" t="str">
            <v>V_KEYWORD_ISSR_208000023_SALES_STEEL</v>
          </cell>
        </row>
        <row r="335">
          <cell r="A335" t="str">
            <v>Vector|||208000023|||ISSR|||SALES_TIN|||False|||</v>
          </cell>
          <cell r="C335" t="str">
            <v>V_KEYWORD_ISSR_208000023_SALES_TIN</v>
          </cell>
        </row>
        <row r="336">
          <cell r="A336" t="str">
            <v>Vector|||208000023|||ISSR|||SALES_IRON_ORE|||False|||</v>
          </cell>
          <cell r="C336" t="str">
            <v>V_KEYWORD_ISSR_208000023_SALES_IRON_ORE</v>
          </cell>
        </row>
        <row r="337">
          <cell r="A337" t="str">
            <v>Vector|||208000023|||ISSR|||SALES_FERROCHROME|||False|||</v>
          </cell>
          <cell r="C337" t="str">
            <v>V_KEYWORD_ISSR_208000023_SALES_FERROCHROME</v>
          </cell>
        </row>
        <row r="338">
          <cell r="A338" t="str">
            <v>Vector|||208000023|||ISSR|||SALES_DIAMONDS|||False|||</v>
          </cell>
          <cell r="C338" t="str">
            <v>V_KEYWORD_ISSR_208000023_SALES_DIAMONDS</v>
          </cell>
        </row>
        <row r="339">
          <cell r="A339" t="str">
            <v>Vector|||208000023|||ISSR|||SALES_COAL_THERMAL|||False|||</v>
          </cell>
          <cell r="C339" t="str">
            <v>V_KEYWORD_ISSR_208000023_SALES_COAL_THERMAL</v>
          </cell>
        </row>
        <row r="340">
          <cell r="A340" t="str">
            <v>Vector|||208000023|||ISSR|||SALES_COAL_MET|||False|||</v>
          </cell>
          <cell r="C340" t="str">
            <v>V_KEYWORD_ISSR_208000023_SALES_COAL_MET</v>
          </cell>
        </row>
        <row r="341">
          <cell r="A341" t="str">
            <v>Vector|||208000023|||ISSR|||SALES_PAPER_PULP|||False|||</v>
          </cell>
          <cell r="C341" t="str">
            <v>V_KEYWORD_ISSR_208000023_SALES_PAPER_PULP</v>
          </cell>
        </row>
        <row r="342">
          <cell r="A342" t="str">
            <v>Vector|||208000023|||ISSR|||SALES_GLASS|||False|||</v>
          </cell>
          <cell r="C342" t="str">
            <v>V_KEYWORD_ISSR_208000023_SALES_GLASS</v>
          </cell>
        </row>
        <row r="343">
          <cell r="A343" t="str">
            <v>Vector|||208000023|||ISSR|||SALES_CEMENT|||False|||</v>
          </cell>
          <cell r="C343" t="str">
            <v>V_KEYWORD_ISSR_208000023_SALES_CEMENT</v>
          </cell>
        </row>
        <row r="344">
          <cell r="A344" t="str">
            <v>Vector|||208000023|||ISSR|||SALES_PALM_OIL|||False|||</v>
          </cell>
          <cell r="C344" t="str">
            <v>V_KEYWORD_ISSR_208000023_SALES_PALM_OIL</v>
          </cell>
        </row>
        <row r="345">
          <cell r="A345" t="str">
            <v>Vector|||208000023|||ISSR|||SALES_OTH_COMMODITY|||False|||</v>
          </cell>
          <cell r="C345" t="str">
            <v>V_KEYWORD_ISSR_208000023_SALES_OTH_COMMODITY</v>
          </cell>
        </row>
        <row r="346">
          <cell r="A346" t="str">
            <v>Vector|||208000023|||ISSR|||SALES_OTH_SALES_SOURCES|||False|||</v>
          </cell>
          <cell r="C346" t="str">
            <v>V_KEYWORD_ISSR_208000023_SALES_OTH_SALES_SOURCES</v>
          </cell>
        </row>
        <row r="348">
          <cell r="A348" t="str">
            <v>Vector|||208000023|||ISSR|||EXP_OIL_PETRO_FUEL|||False|||</v>
          </cell>
          <cell r="C348" t="str">
            <v>V_KEYWORD_ISSR_208000023_EXP_OIL_PETRO_FUEL</v>
          </cell>
        </row>
        <row r="349">
          <cell r="A349" t="str">
            <v>Vector|||208000023|||ISSR|||EXP_OIL_DERIV_NGLS_PLASTICS|||False|||</v>
          </cell>
          <cell r="C349" t="str">
            <v>V_KEYWORD_ISSR_208000023_EXP_OIL_DERIV_NGLS_PLASTICS</v>
          </cell>
        </row>
        <row r="350">
          <cell r="A350" t="str">
            <v>Vector|||208000023|||ISSR|||EXP_NAT_GAS|||False|||</v>
          </cell>
          <cell r="C350" t="str">
            <v>V_KEYWORD_ISSR_208000023_EXP_NAT_GAS</v>
          </cell>
        </row>
        <row r="351">
          <cell r="A351" t="str">
            <v>Vector|||208000023|||ISSR|||EXP_GOLD|||False|||</v>
          </cell>
          <cell r="C351" t="str">
            <v>V_KEYWORD_ISSR_208000023_EXP_GOLD</v>
          </cell>
        </row>
        <row r="352">
          <cell r="A352" t="str">
            <v>Vector|||208000023|||ISSR|||EXP_COPPER|||False|||</v>
          </cell>
          <cell r="C352" t="str">
            <v>V_KEYWORD_ISSR_208000023_EXP_COPPER</v>
          </cell>
        </row>
        <row r="353">
          <cell r="A353" t="str">
            <v>Vector|||208000023|||ISSR|||EXP_SILVER|||False|||</v>
          </cell>
          <cell r="C353" t="str">
            <v>V_KEYWORD_ISSR_208000023_EXP_SILVER</v>
          </cell>
        </row>
        <row r="354">
          <cell r="A354" t="str">
            <v>Vector|||208000023|||ISSR|||EXP_PLATINUM|||False|||</v>
          </cell>
          <cell r="C354" t="str">
            <v>V_KEYWORD_ISSR_208000023_EXP_PLATINUM</v>
          </cell>
        </row>
        <row r="355">
          <cell r="A355" t="str">
            <v>Vector|||208000023|||ISSR|||EXP_PALLADIUM|||False|||</v>
          </cell>
          <cell r="C355" t="str">
            <v>V_KEYWORD_ISSR_208000023_EXP_PALLADIUM</v>
          </cell>
        </row>
        <row r="356">
          <cell r="A356" t="str">
            <v>Vector|||208000023|||ISSR|||EXP_ALUMINIUM|||False|||</v>
          </cell>
          <cell r="C356" t="str">
            <v>V_KEYWORD_ISSR_208000023_EXP_ALUMINIUM</v>
          </cell>
        </row>
        <row r="357">
          <cell r="A357" t="str">
            <v>Vector|||208000023|||ISSR|||EXP_NICKEL|||False|||</v>
          </cell>
          <cell r="C357" t="str">
            <v>V_KEYWORD_ISSR_208000023_EXP_NICKEL</v>
          </cell>
        </row>
        <row r="358">
          <cell r="A358" t="str">
            <v>Vector|||208000023|||ISSR|||EXP_ZINC|||False|||</v>
          </cell>
          <cell r="C358" t="str">
            <v>V_KEYWORD_ISSR_208000023_EXP_ZINC</v>
          </cell>
        </row>
        <row r="359">
          <cell r="A359" t="str">
            <v>Vector|||208000023|||ISSR|||EXP_STEEL|||False|||</v>
          </cell>
          <cell r="C359" t="str">
            <v>V_KEYWORD_ISSR_208000023_EXP_STEEL</v>
          </cell>
        </row>
        <row r="360">
          <cell r="A360" t="str">
            <v>Vector|||208000023|||ISSR|||EXP_TIN|||False|||</v>
          </cell>
          <cell r="C360" t="str">
            <v>V_KEYWORD_ISSR_208000023_EXP_TIN</v>
          </cell>
        </row>
        <row r="361">
          <cell r="A361" t="str">
            <v>Vector|||208000023|||ISSR|||EXP_IRON_ORE|||False|||</v>
          </cell>
          <cell r="C361" t="str">
            <v>V_KEYWORD_ISSR_208000023_EXP_IRON_ORE</v>
          </cell>
        </row>
        <row r="362">
          <cell r="A362" t="str">
            <v>Vector|||208000023|||ISSR|||EXP_FERROCHROME|||False|||</v>
          </cell>
          <cell r="C362" t="str">
            <v>V_KEYWORD_ISSR_208000023_EXP_FERROCHROME</v>
          </cell>
        </row>
        <row r="363">
          <cell r="A363" t="str">
            <v>Vector|||208000023|||ISSR|||EXP_DIAMONDS|||False|||</v>
          </cell>
          <cell r="C363" t="str">
            <v>V_KEYWORD_ISSR_208000023_EXP_DIAMONDS</v>
          </cell>
        </row>
        <row r="364">
          <cell r="A364" t="str">
            <v>Vector|||208000023|||ISSR|||EXP_PAPER_PULP|||False|||</v>
          </cell>
          <cell r="C364" t="str">
            <v>V_KEYWORD_ISSR_208000023_EXP_PAPER_PULP</v>
          </cell>
        </row>
        <row r="365">
          <cell r="A365" t="str">
            <v>Vector|||208000023|||ISSR|||EXP_LUMBER|||False|||</v>
          </cell>
          <cell r="C365" t="str">
            <v>V_KEYWORD_ISSR_208000023_EXP_LUMBER</v>
          </cell>
        </row>
        <row r="366">
          <cell r="A366" t="str">
            <v>Vector|||208000023|||ISSR|||EXP_GLASS|||False|||</v>
          </cell>
          <cell r="C366" t="str">
            <v>V_KEYWORD_ISSR_208000023_EXP_GLASS</v>
          </cell>
        </row>
        <row r="367">
          <cell r="A367" t="str">
            <v>Vector|||208000023|||ISSR|||EXP_CEMENT|||False|||</v>
          </cell>
          <cell r="C367" t="str">
            <v>V_KEYWORD_ISSR_208000023_EXP_CEMENT</v>
          </cell>
        </row>
        <row r="368">
          <cell r="A368" t="str">
            <v>Vector|||208000023|||ISSR|||EXP_RUBBER|||False|||</v>
          </cell>
          <cell r="C368" t="str">
            <v>V_KEYWORD_ISSR_208000023_EXP_RUBBER</v>
          </cell>
        </row>
        <row r="369">
          <cell r="A369" t="str">
            <v>Vector|||208000023|||ISSR|||EXP_WATER|||False|||</v>
          </cell>
          <cell r="C369" t="str">
            <v>V_KEYWORD_ISSR_208000023_EXP_WATER</v>
          </cell>
        </row>
        <row r="370">
          <cell r="A370" t="str">
            <v>Vector|||208000023|||ISSR|||EXP_OTH_COMMODITY|||False|||</v>
          </cell>
          <cell r="C370" t="str">
            <v>V_KEYWORD_ISSR_208000023_EXP_OTH_COMMODITY</v>
          </cell>
        </row>
        <row r="371">
          <cell r="A371" t="str">
            <v>Vector|||208000023|||ISSR|||EXP_OTH_COST|||False|||</v>
          </cell>
          <cell r="C371" t="str">
            <v>V_KEYWORD_ISSR_208000023_EXP_OTH_COST</v>
          </cell>
        </row>
        <row r="373">
          <cell r="A373" t="str">
            <v>Vector|||208000023|||ISSR|||SALES_FX_GPB|||False|||</v>
          </cell>
          <cell r="C373" t="str">
            <v>V_KEYWORD_ISSR_208000023_SALES_FX_GPB</v>
          </cell>
        </row>
        <row r="374">
          <cell r="A374" t="str">
            <v>Vector|||208000023|||ISSR|||SALES_FX_EUR|||False|||</v>
          </cell>
          <cell r="C374" t="str">
            <v>V_KEYWORD_ISSR_208000023_SALES_FX_EUR</v>
          </cell>
        </row>
        <row r="375">
          <cell r="A375" t="str">
            <v>Vector|||208000023|||ISSR|||SALES_FX_RUB|||False|||</v>
          </cell>
          <cell r="C375" t="str">
            <v>V_KEYWORD_ISSR_208000023_SALES_FX_RUB</v>
          </cell>
        </row>
        <row r="376">
          <cell r="A376" t="str">
            <v>Vector|||208000023|||ISSR|||SALES_FX_USD|||False|||</v>
          </cell>
          <cell r="C376" t="str">
            <v>V_KEYWORD_ISSR_208000023_SALES_FX_USD</v>
          </cell>
        </row>
        <row r="377">
          <cell r="A377" t="str">
            <v>Vector|||208000023|||ISSR|||SALES_FX_BRL|||False|||</v>
          </cell>
          <cell r="C377" t="str">
            <v>V_KEYWORD_ISSR_208000023_SALES_FX_BRL</v>
          </cell>
        </row>
        <row r="378">
          <cell r="A378" t="str">
            <v>Vector|||208000023|||ISSR|||SALES_FX_YEN|||False|||</v>
          </cell>
          <cell r="C378" t="str">
            <v>V_KEYWORD_ISSR_208000023_SALES_FX_YEN</v>
          </cell>
        </row>
        <row r="379">
          <cell r="A379" t="str">
            <v>Vector|||208000023|||ISSR|||SALES_FX_CNY|||False|||</v>
          </cell>
          <cell r="C379" t="str">
            <v>V_KEYWORD_ISSR_208000023_SALES_FX_CNY</v>
          </cell>
        </row>
        <row r="380">
          <cell r="A380" t="str">
            <v>Vector|||208000023|||ISSR|||SALES_FX_INR|||False|||</v>
          </cell>
          <cell r="C380" t="str">
            <v>V_KEYWORD_ISSR_208000023_SALES_FX_INR</v>
          </cell>
        </row>
        <row r="381">
          <cell r="A381" t="str">
            <v>Vector|||208000023|||ISSR|||SALES_FX_ZAR|||False|||</v>
          </cell>
          <cell r="C381" t="str">
            <v>V_KEYWORD_ISSR_208000023_SALES_FX_ZAR</v>
          </cell>
        </row>
        <row r="382">
          <cell r="A382" t="str">
            <v>Vector|||208000023|||ISSR|||SALES_FX_NGN|||False|||</v>
          </cell>
          <cell r="C382" t="str">
            <v>V_KEYWORD_ISSR_208000023_SALES_FX_NGN</v>
          </cell>
        </row>
        <row r="383">
          <cell r="A383" t="str">
            <v>Vector|||208000023|||ISSR|||SALES_FX_CHF|||False|||</v>
          </cell>
          <cell r="C383" t="str">
            <v>V_KEYWORD_ISSR_208000023_SALES_FX_CHF</v>
          </cell>
        </row>
        <row r="384">
          <cell r="A384" t="str">
            <v>Vector|||208000023|||ISSR|||SALES_FX_AED|||False|||</v>
          </cell>
          <cell r="C384" t="str">
            <v>V_KEYWORD_ISSR_208000023_SALES_FX_AED</v>
          </cell>
        </row>
        <row r="385">
          <cell r="A385" t="str">
            <v>Vector|||208000023|||ISSR|||SALES_FX_TRY|||False|||</v>
          </cell>
          <cell r="C385" t="str">
            <v>V_KEYWORD_ISSR_208000023_SALES_FX_TRY</v>
          </cell>
        </row>
        <row r="386">
          <cell r="A386" t="str">
            <v>Vector|||208000023|||ISSR|||SALES_FX_OTH|||False|||</v>
          </cell>
          <cell r="C386" t="str">
            <v>V_KEYWORD_ISSR_208000023_SALES_FX_OTH</v>
          </cell>
        </row>
        <row r="388">
          <cell r="A388" t="str">
            <v>Vector|||208000023|||ISSR|||SALES_TOT_AM|||False|||</v>
          </cell>
          <cell r="C388" t="str">
            <v>V_KEYWORD_ISSR_208000023_SALES_TOT_AM</v>
          </cell>
        </row>
        <row r="389">
          <cell r="A389" t="str">
            <v>Vector|||208000023|||ISSR|||SALES_OTH_AM|||False|||</v>
          </cell>
          <cell r="C389" t="str">
            <v>V_KEYWORD_ISSR_208000023_SALES_OTH_AM</v>
          </cell>
        </row>
        <row r="390">
          <cell r="A390" t="str">
            <v>Vector|||208000023|||ISSR|||SALES_TOT_EMEA|||False|||</v>
          </cell>
          <cell r="C390" t="str">
            <v>V_KEYWORD_ISSR_208000023_SALES_TOT_EMEA</v>
          </cell>
        </row>
        <row r="391">
          <cell r="A391" t="str">
            <v>Vector|||208000023|||ISSR|||SALES_EU_EX_UK|||False|||</v>
          </cell>
          <cell r="C391" t="str">
            <v>V_KEYWORD_ISSR_208000023_SALES_EU_EX_UK</v>
          </cell>
        </row>
        <row r="392">
          <cell r="A392" t="str">
            <v>Vector|||208000023|||ISSR|||SALES_OTH_EU_EX_UK|||False|||</v>
          </cell>
          <cell r="C392" t="str">
            <v>V_KEYWORD_ISSR_208000023_SALES_OTH_EU_EX_UK</v>
          </cell>
        </row>
        <row r="393">
          <cell r="A393" t="str">
            <v>Vector|||208000023|||ISSR|||SALES_CEE|||False|||</v>
          </cell>
          <cell r="C393" t="str">
            <v>V_KEYWORD_ISSR_208000023_SALES_CEE</v>
          </cell>
        </row>
        <row r="394">
          <cell r="A394" t="str">
            <v>Vector|||208000023|||ISSR|||SALES_ME|||False|||</v>
          </cell>
          <cell r="C394" t="str">
            <v>V_KEYWORD_ISSR_208000023_SALES_ME</v>
          </cell>
        </row>
        <row r="395">
          <cell r="A395" t="str">
            <v>Vector|||208000023|||ISSR|||SALES_TOT_AFRICA|||False|||</v>
          </cell>
          <cell r="C395" t="str">
            <v>V_KEYWORD_ISSR_208000023_SALES_TOT_AFRICA</v>
          </cell>
        </row>
        <row r="396">
          <cell r="A396" t="str">
            <v>Vector|||208000023|||ISSR|||SALES_OTH_EMEA|||False|||</v>
          </cell>
          <cell r="C396" t="str">
            <v>V_KEYWORD_ISSR_208000023_SALES_OTH_EMEA</v>
          </cell>
        </row>
        <row r="397">
          <cell r="A397" t="str">
            <v>Vector|||208000023|||ISSR|||SALES_TOT_ASIA|||False|||</v>
          </cell>
          <cell r="C397" t="str">
            <v>V_KEYWORD_ISSR_208000023_SALES_TOT_ASIA</v>
          </cell>
        </row>
        <row r="398">
          <cell r="A398" t="str">
            <v>Vector|||208000023|||ISSR|||SALES_OTH_AEJ|||False|||</v>
          </cell>
          <cell r="C398" t="str">
            <v>V_KEYWORD_ISSR_208000023_SALES_OTH_AEJ</v>
          </cell>
        </row>
        <row r="399">
          <cell r="A399" t="str">
            <v>Vector|||208000023|||ISSR|||IND_SALES_BRAZIL|||False|||</v>
          </cell>
          <cell r="C399" t="str">
            <v>V_KEYWORD_ISSR_208000023_IND_SALES_BRAZIL</v>
          </cell>
        </row>
        <row r="400">
          <cell r="A400" t="str">
            <v>Vector|||208000023|||ISSR|||IND_SALES_US|||False|||</v>
          </cell>
          <cell r="C400" t="str">
            <v>V_KEYWORD_ISSR_208000023_IND_SALES_US</v>
          </cell>
        </row>
        <row r="401">
          <cell r="A401" t="str">
            <v>Vector|||208000023|||ISSR|||IND_SALES_OTH_AM|||False|||</v>
          </cell>
          <cell r="C401" t="str">
            <v>V_KEYWORD_ISSR_208000023_IND_SALES_OTH_AM</v>
          </cell>
        </row>
        <row r="402">
          <cell r="A402" t="str">
            <v>Vector|||208000023|||ISSR|||IND_SALES_TOT_AM|||False|||</v>
          </cell>
          <cell r="C402" t="str">
            <v>V_KEYWORD_ISSR_208000023_IND_SALES_TOT_AM</v>
          </cell>
        </row>
        <row r="403">
          <cell r="A403" t="str">
            <v>Vector|||208000023|||ISSR|||IND_SALES_FRA|||False|||</v>
          </cell>
          <cell r="C403" t="str">
            <v>V_KEYWORD_ISSR_208000023_IND_SALES_FRA</v>
          </cell>
        </row>
        <row r="404">
          <cell r="A404" t="str">
            <v>Vector|||208000023|||ISSR|||IND_SALES_GER|||False|||</v>
          </cell>
          <cell r="C404" t="str">
            <v>V_KEYWORD_ISSR_208000023_IND_SALES_GER</v>
          </cell>
        </row>
        <row r="405">
          <cell r="A405" t="str">
            <v>Vector|||208000023|||ISSR|||IND_SALES_ITA|||False|||</v>
          </cell>
          <cell r="C405" t="str">
            <v>V_KEYWORD_ISSR_208000023_IND_SALES_ITA</v>
          </cell>
        </row>
        <row r="406">
          <cell r="A406" t="str">
            <v>Vector|||208000023|||ISSR|||IND_SALES_SPA|||False|||</v>
          </cell>
          <cell r="C406" t="str">
            <v>V_KEYWORD_ISSR_208000023_IND_SALES_SPA</v>
          </cell>
        </row>
        <row r="407">
          <cell r="A407" t="str">
            <v>Vector|||208000023|||ISSR|||IND_SALES_UK|||False|||</v>
          </cell>
          <cell r="C407" t="str">
            <v>V_KEYWORD_ISSR_208000023_IND_SALES_UK</v>
          </cell>
        </row>
        <row r="408">
          <cell r="A408" t="str">
            <v>Vector|||208000023|||ISSR|||IND_SALES_EU_EX_UK|||False|||</v>
          </cell>
          <cell r="C408" t="str">
            <v>V_KEYWORD_ISSR_208000023_IND_SALES_EU_EX_UK</v>
          </cell>
        </row>
        <row r="409">
          <cell r="A409" t="str">
            <v>Vector|||208000023|||ISSR|||IND_SALES_OTH_EU_EX_UK|||False|||</v>
          </cell>
          <cell r="C409" t="str">
            <v>V_KEYWORD_ISSR_208000023_IND_SALES_OTH_EU_EX_UK</v>
          </cell>
        </row>
        <row r="410">
          <cell r="A410" t="str">
            <v>Vector|||208000023|||ISSR|||IND_SALES_RUSSIA|||False|||</v>
          </cell>
          <cell r="C410" t="str">
            <v>V_KEYWORD_ISSR_208000023_IND_SALES_RUSSIA</v>
          </cell>
        </row>
        <row r="411">
          <cell r="A411" t="str">
            <v>Vector|||208000023|||ISSR|||IND_SALES_CEE|||False|||</v>
          </cell>
          <cell r="C411" t="str">
            <v>V_KEYWORD_ISSR_208000023_IND_SALES_CEE</v>
          </cell>
        </row>
        <row r="412">
          <cell r="A412" t="str">
            <v>Vector|||208000023|||ISSR|||IND_SALES_OTH_EMEA|||False|||</v>
          </cell>
          <cell r="C412" t="str">
            <v>V_KEYWORD_ISSR_208000023_IND_SALES_OTH_EMEA</v>
          </cell>
        </row>
        <row r="413">
          <cell r="A413" t="str">
            <v>Vector|||208000023|||ISSR|||IND_SALES_TOT_EMEA|||False|||</v>
          </cell>
          <cell r="C413" t="str">
            <v>V_KEYWORD_ISSR_208000023_IND_SALES_TOT_EMEA</v>
          </cell>
        </row>
        <row r="414">
          <cell r="A414" t="str">
            <v>Vector|||208000023|||ISSR|||IND_SALES_ME|||False|||</v>
          </cell>
          <cell r="C414" t="str">
            <v>V_KEYWORD_ISSR_208000023_IND_SALES_ME</v>
          </cell>
        </row>
        <row r="415">
          <cell r="A415" t="str">
            <v>Vector|||208000023|||ISSR|||IND_SALES_NIGERIA|||False|||</v>
          </cell>
          <cell r="C415" t="str">
            <v>V_KEYWORD_ISSR_208000023_IND_SALES_NIGERIA</v>
          </cell>
        </row>
        <row r="416">
          <cell r="A416" t="str">
            <v>Vector|||208000023|||ISSR|||IND_SALES_SO_AFRICA|||False|||</v>
          </cell>
          <cell r="C416" t="str">
            <v>V_KEYWORD_ISSR_208000023_IND_SALES_SO_AFRICA</v>
          </cell>
        </row>
        <row r="417">
          <cell r="A417" t="str">
            <v>Vector|||208000023|||ISSR|||IND_SALES_OTH_AFRICA|||False|||</v>
          </cell>
          <cell r="C417" t="str">
            <v>V_KEYWORD_ISSR_208000023_IND_SALES_OTH_AFRICA</v>
          </cell>
        </row>
        <row r="418">
          <cell r="A418" t="str">
            <v>Vector|||208000023|||ISSR|||IND_SALES_TOT_AFRICA|||False|||</v>
          </cell>
          <cell r="C418" t="str">
            <v>V_KEYWORD_ISSR_208000023_IND_SALES_TOT_AFRICA</v>
          </cell>
        </row>
        <row r="419">
          <cell r="A419" t="str">
            <v>Vector|||208000023|||ISSR|||IND_SALES_CHINA|||False|||</v>
          </cell>
          <cell r="C419" t="str">
            <v>V_KEYWORD_ISSR_208000023_IND_SALES_CHINA</v>
          </cell>
        </row>
        <row r="420">
          <cell r="A420" t="str">
            <v>Vector|||208000023|||ISSR|||IND_SALES_INDIA|||False|||</v>
          </cell>
          <cell r="C420" t="str">
            <v>V_KEYWORD_ISSR_208000023_IND_SALES_INDIA</v>
          </cell>
        </row>
        <row r="421">
          <cell r="A421" t="str">
            <v>Vector|||208000023|||ISSR|||IND_SALES_JAPAN|||False|||</v>
          </cell>
          <cell r="C421" t="str">
            <v>V_KEYWORD_ISSR_208000023_IND_SALES_JAPAN</v>
          </cell>
        </row>
        <row r="422">
          <cell r="A422" t="str">
            <v>Vector|||208000023|||ISSR|||IND_SALES_OTH_AEJ|||False|||</v>
          </cell>
          <cell r="C422" t="str">
            <v>V_KEYWORD_ISSR_208000023_IND_SALES_OTH_AEJ</v>
          </cell>
        </row>
        <row r="423">
          <cell r="A423" t="str">
            <v>Vector|||208000023|||ISSR|||IND_SALES_TOT_ASIA|||False|||</v>
          </cell>
          <cell r="C423" t="str">
            <v>V_KEYWORD_ISSR_208000023_IND_SALES_TOT_ASIA</v>
          </cell>
        </row>
        <row r="424">
          <cell r="A424" t="str">
            <v>Vector|||208000023|||ISSR|||IND_SALES_OTHER|||False|||</v>
          </cell>
          <cell r="C424" t="str">
            <v>V_KEYWORD_ISSR_208000023_IND_SALES_OTHER</v>
          </cell>
        </row>
        <row r="425">
          <cell r="A425" t="str">
            <v>Vector|||208000023|||ISSR|||IND_SALES_CONS|||False|||</v>
          </cell>
          <cell r="C425" t="str">
            <v>V_KEYWORD_ISSR_208000023_IND_SALES_CONS</v>
          </cell>
        </row>
        <row r="426">
          <cell r="A426" t="str">
            <v>Vector|||208000023|||ISSR|||IND_SALES_IND|||False|||</v>
          </cell>
          <cell r="C426" t="str">
            <v>V_KEYWORD_ISSR_208000023_IND_SALES_IND</v>
          </cell>
        </row>
        <row r="427">
          <cell r="A427" t="str">
            <v>Vector|||208000023|||ISSR|||IND_SALES_GOV|||False|||</v>
          </cell>
          <cell r="C427" t="str">
            <v>V_KEYWORD_ISSR_208000023_IND_SALES_GOV</v>
          </cell>
        </row>
        <row r="428">
          <cell r="A428" t="str">
            <v>Vector|||208000023|||ISSR|||IND_SALES_FINAN|||False|||</v>
          </cell>
          <cell r="C428" t="str">
            <v>V_KEYWORD_ISSR_208000023_IND_SALES_FINAN</v>
          </cell>
        </row>
        <row r="430">
          <cell r="A430" t="str">
            <v>Vector|||208000023|||ISSR|||CEEE_EBIT|||False|||</v>
          </cell>
          <cell r="C430" t="str">
            <v>V_KEYWORD_ISSR_208000023_CEEE_EBIT</v>
          </cell>
        </row>
        <row r="431">
          <cell r="A431" t="str">
            <v>Vector|||208000023|||ISSR|||DIV1_EBIT|||False|||</v>
          </cell>
          <cell r="C431" t="str">
            <v>V_KEYWORD_ISSR_208000023_DIV1_EBIT</v>
          </cell>
        </row>
        <row r="432">
          <cell r="A432" t="str">
            <v>Scalar|||208000023|||ISSR|||DIV1_NAME|||False|||</v>
          </cell>
          <cell r="C432" t="str">
            <v>V_KEYWORD_ISSR_208000023_DIV1_NAME</v>
          </cell>
        </row>
        <row r="433">
          <cell r="A433" t="str">
            <v>Vector|||208000023|||ISSR|||DIV1_OGS|||False|||</v>
          </cell>
          <cell r="C433" t="str">
            <v>V_KEYWORD_ISSR_208000023_DIV1_OGS</v>
          </cell>
        </row>
        <row r="434">
          <cell r="A434" t="str">
            <v>Vector|||208000023|||ISSR|||DIV1_ORDERBACKLOG|||False|||</v>
          </cell>
          <cell r="C434" t="str">
            <v>V_KEYWORD_ISSR_208000023_DIV1_ORDERBACKLOG</v>
          </cell>
        </row>
        <row r="435">
          <cell r="A435" t="str">
            <v>Vector|||208000023|||ISSR|||DIV1_ORDERINTAKE|||False|||</v>
          </cell>
          <cell r="C435" t="str">
            <v>V_KEYWORD_ISSR_208000023_DIV1_ORDERINTAKE</v>
          </cell>
        </row>
        <row r="436">
          <cell r="A436" t="str">
            <v>Vector|||208000023|||ISSR|||DIV2_REVS|||False|||</v>
          </cell>
          <cell r="C436" t="str">
            <v>V_KEYWORD_ISSR_208000023_DIV2_REVS</v>
          </cell>
        </row>
        <row r="437">
          <cell r="A437" t="str">
            <v>Vector|||208000023|||ISSR|||DIV1_REVS|||False|||</v>
          </cell>
          <cell r="C437" t="str">
            <v>V_KEYWORD_ISSR_208000023_DIV1_REVS</v>
          </cell>
        </row>
        <row r="438">
          <cell r="A438" t="str">
            <v>Vector|||208000023|||ISSR|||DIV2_EBIT|||False|||</v>
          </cell>
          <cell r="C438" t="str">
            <v>V_KEYWORD_ISSR_208000023_DIV2_EBIT</v>
          </cell>
        </row>
        <row r="439">
          <cell r="A439" t="str">
            <v>Scalar|||208000023|||ISSR|||DIV2_NAME|||False|||</v>
          </cell>
          <cell r="C439" t="str">
            <v>V_KEYWORD_ISSR_208000023_DIV2_NAME</v>
          </cell>
        </row>
        <row r="440">
          <cell r="A440" t="str">
            <v>Vector|||208000023|||ISSR|||DIV2_OGS|||False|||</v>
          </cell>
          <cell r="C440" t="str">
            <v>V_KEYWORD_ISSR_208000023_DIV2_OGS</v>
          </cell>
        </row>
        <row r="441">
          <cell r="A441" t="str">
            <v>Vector|||208000023|||ISSR|||DIV2_ORDERBACKLOG|||False|||</v>
          </cell>
          <cell r="C441" t="str">
            <v>V_KEYWORD_ISSR_208000023_DIV2_ORDERBACKLOG</v>
          </cell>
        </row>
        <row r="442">
          <cell r="A442" t="str">
            <v>Vector|||208000023|||ISSR|||DIV2_ORDERINTAKE|||False|||</v>
          </cell>
          <cell r="C442" t="str">
            <v>V_KEYWORD_ISSR_208000023_DIV2_ORDERINTAKE</v>
          </cell>
        </row>
        <row r="443">
          <cell r="A443" t="str">
            <v>Vector|||208000023|||ISSR|||DIV3_EBIT|||False|||</v>
          </cell>
          <cell r="C443" t="str">
            <v>V_KEYWORD_ISSR_208000023_DIV3_EBIT</v>
          </cell>
        </row>
        <row r="444">
          <cell r="A444" t="str">
            <v>Scalar|||208000023|||ISSR|||DIV3_NAME|||False|||</v>
          </cell>
          <cell r="C444" t="str">
            <v>V_KEYWORD_ISSR_208000023_DIV3_NAME</v>
          </cell>
        </row>
        <row r="445">
          <cell r="A445" t="str">
            <v>Vector|||208000023|||ISSR|||DIV3_OGS|||False|||</v>
          </cell>
          <cell r="C445" t="str">
            <v>V_KEYWORD_ISSR_208000023_DIV3_OGS</v>
          </cell>
        </row>
        <row r="446">
          <cell r="A446" t="str">
            <v>Vector|||208000023|||ISSR|||DIV3_ORDERBACKLOG|||False|||</v>
          </cell>
          <cell r="C446" t="str">
            <v>V_KEYWORD_ISSR_208000023_DIV3_ORDERBACKLOG</v>
          </cell>
        </row>
        <row r="447">
          <cell r="A447" t="str">
            <v>Vector|||208000023|||ISSR|||DIV3_ORDERINTAKE|||False|||</v>
          </cell>
          <cell r="C447" t="str">
            <v>V_KEYWORD_ISSR_208000023_DIV3_ORDERINTAKE</v>
          </cell>
        </row>
        <row r="448">
          <cell r="A448" t="str">
            <v>Vector|||208000023|||ISSR|||DIV3_REVS|||False|||</v>
          </cell>
          <cell r="C448" t="str">
            <v>V_KEYWORD_ISSR_208000023_DIV3_REVS</v>
          </cell>
        </row>
        <row r="449">
          <cell r="A449" t="str">
            <v>Vector|||208000023|||ISSR|||DIV4_EBIT|||False|||</v>
          </cell>
          <cell r="C449" t="str">
            <v>V_KEYWORD_ISSR_208000023_DIV4_EBIT</v>
          </cell>
        </row>
        <row r="450">
          <cell r="A450" t="str">
            <v>Scalar|||208000023|||ISSR|||DIV4_NAME|||False|||</v>
          </cell>
          <cell r="C450" t="str">
            <v>V_KEYWORD_ISSR_208000023_DIV4_NAME</v>
          </cell>
        </row>
        <row r="451">
          <cell r="A451" t="str">
            <v>Vector|||208000023|||ISSR|||DIV4_OGS|||False|||</v>
          </cell>
          <cell r="C451" t="str">
            <v>V_KEYWORD_ISSR_208000023_DIV4_OGS</v>
          </cell>
        </row>
        <row r="452">
          <cell r="A452" t="str">
            <v>Vector|||208000023|||ISSR|||DIV4_ORDERBACKLOG|||False|||</v>
          </cell>
          <cell r="C452" t="str">
            <v>V_KEYWORD_ISSR_208000023_DIV4_ORDERBACKLOG</v>
          </cell>
        </row>
        <row r="453">
          <cell r="A453" t="str">
            <v>Vector|||208000023|||ISSR|||DIV4_ORDERINTAKE|||False|||</v>
          </cell>
          <cell r="C453" t="str">
            <v>V_KEYWORD_ISSR_208000023_DIV4_ORDERINTAKE</v>
          </cell>
        </row>
        <row r="454">
          <cell r="A454" t="str">
            <v>Vector|||208000023|||ISSR|||DIV4_REVS|||False|||</v>
          </cell>
          <cell r="C454" t="str">
            <v>V_KEYWORD_ISSR_208000023_DIV4_REVS</v>
          </cell>
        </row>
        <row r="455">
          <cell r="A455" t="str">
            <v>Vector|||208000023|||ISSR|||DIV5_EBIT|||False|||</v>
          </cell>
          <cell r="C455" t="str">
            <v>V_KEYWORD_ISSR_208000023_DIV5_EBIT</v>
          </cell>
        </row>
        <row r="456">
          <cell r="A456" t="str">
            <v>Scalar|||208000023|||ISSR|||DIV5_NAME|||False|||</v>
          </cell>
          <cell r="C456" t="str">
            <v>V_KEYWORD_ISSR_208000023_DIV5_NAME</v>
          </cell>
        </row>
        <row r="457">
          <cell r="A457" t="str">
            <v>Vector|||208000023|||ISSR|||DIV5_OGS|||False|||</v>
          </cell>
          <cell r="C457" t="str">
            <v>V_KEYWORD_ISSR_208000023_DIV5_OGS</v>
          </cell>
        </row>
        <row r="458">
          <cell r="A458" t="str">
            <v>Vector|||208000023|||ISSR|||DIV5_ORDERBACKLOG|||False|||</v>
          </cell>
          <cell r="C458" t="str">
            <v>V_KEYWORD_ISSR_208000023_DIV5_ORDERBACKLOG</v>
          </cell>
        </row>
        <row r="459">
          <cell r="A459" t="str">
            <v>Vector|||208000023|||ISSR|||DIV5_ORDERINTAKE|||False|||</v>
          </cell>
          <cell r="C459" t="str">
            <v>V_KEYWORD_ISSR_208000023_DIV5_ORDERINTAKE</v>
          </cell>
        </row>
        <row r="460">
          <cell r="A460" t="str">
            <v>Vector|||208000023|||ISSR|||DIV5_REVS|||False|||</v>
          </cell>
          <cell r="C460" t="str">
            <v>V_KEYWORD_ISSR_208000023_DIV5_REVS</v>
          </cell>
        </row>
        <row r="461">
          <cell r="A461" t="str">
            <v>Vector|||208000023|||ISSR|||DIV6_EBIT|||False|||</v>
          </cell>
          <cell r="C461" t="str">
            <v>V_KEYWORD_ISSR_208000023_DIV6_EBIT</v>
          </cell>
        </row>
        <row r="462">
          <cell r="A462" t="str">
            <v>Scalar|||208000023|||ISSR|||DIV6_NAME|||False|||</v>
          </cell>
          <cell r="C462" t="str">
            <v>V_KEYWORD_ISSR_208000023_DIV6_NAME</v>
          </cell>
        </row>
        <row r="463">
          <cell r="A463" t="str">
            <v>Vector|||208000023|||ISSR|||DIV6_OGS|||False|||</v>
          </cell>
          <cell r="C463" t="str">
            <v>V_KEYWORD_ISSR_208000023_DIV6_OGS</v>
          </cell>
        </row>
        <row r="464">
          <cell r="A464" t="str">
            <v>Vector|||208000023|||ISSR|||DIV6_ORDERBACKLOG|||False|||</v>
          </cell>
          <cell r="C464" t="str">
            <v>V_KEYWORD_ISSR_208000023_DIV6_ORDERBACKLOG</v>
          </cell>
        </row>
        <row r="465">
          <cell r="A465" t="str">
            <v>Vector|||208000023|||ISSR|||DIV6_ORDERINTAKE|||False|||</v>
          </cell>
          <cell r="C465" t="str">
            <v>V_KEYWORD_ISSR_208000023_DIV6_ORDERINTAKE</v>
          </cell>
        </row>
        <row r="466">
          <cell r="A466" t="str">
            <v>Vector|||208000023|||ISSR|||DIV6_REVS|||False|||</v>
          </cell>
          <cell r="C466" t="str">
            <v>V_KEYWORD_ISSR_208000023_DIV6_REVS</v>
          </cell>
        </row>
        <row r="467">
          <cell r="A467" t="str">
            <v>Vector|||208000023|||ISSR|||GROUP_ORDERBACKLOG|||False|||</v>
          </cell>
          <cell r="C467" t="str">
            <v>V_KEYWORD_ISSR_208000023_GROUP_ORDERBACKLOG</v>
          </cell>
        </row>
        <row r="468">
          <cell r="A468" t="str">
            <v>Vector|||208000023|||ISSR|||GROUP_ORDERINTAKE|||False|||</v>
          </cell>
          <cell r="C468" t="str">
            <v>V_KEYWORD_ISSR_208000023_GROUP_ORDERINTAKE</v>
          </cell>
        </row>
        <row r="469">
          <cell r="A469" t="str">
            <v>Vector|||208000023|||ISSR|||GROUP_OGS|||False|||</v>
          </cell>
          <cell r="C469" t="str">
            <v>V_KEYWORD_ISSR_208000023_GROUP_OGS</v>
          </cell>
        </row>
        <row r="470">
          <cell r="A470" t="str">
            <v>Vector|||208000023|||ISSR|||GROUP_PRICE_GRTH|||False|||</v>
          </cell>
          <cell r="C470" t="str">
            <v>V_KEYWORD_ISSR_208000023_GROUP_PRICE_GRTH</v>
          </cell>
        </row>
        <row r="471">
          <cell r="A471" t="str">
            <v>Vector|||208000023|||ISSR|||GROUP_MIX_GRTH|||False|||</v>
          </cell>
          <cell r="C471" t="str">
            <v>V_KEYWORD_ISSR_208000023_GROUP_MIX_GRTH</v>
          </cell>
        </row>
        <row r="472">
          <cell r="A472" t="str">
            <v>Vector|||208000023|||ISSR|||GROUP_ORG_ORDERGRTH|||False|||</v>
          </cell>
          <cell r="C472" t="str">
            <v>V_KEYWORD_ISSR_208000023_GROUP_ORG_ORDERGRTH</v>
          </cell>
        </row>
        <row r="473">
          <cell r="A473" t="str">
            <v>Vector|||208000023|||ISSR|||CUST_ADVANCES|||False|||</v>
          </cell>
          <cell r="C473" t="str">
            <v>V_KEYWORD_ISSR_208000023_CUST_ADVANCES</v>
          </cell>
        </row>
        <row r="474">
          <cell r="A474" t="str">
            <v>Vector|||208000023|||ISSR|||EBIT_BRIDGE_PRICE|||False|||</v>
          </cell>
          <cell r="C474" t="str">
            <v>V_KEYWORD_ISSR_208000023_EBIT_BRIDGE_PRICE</v>
          </cell>
        </row>
        <row r="475">
          <cell r="A475" t="str">
            <v>Vector|||208000023|||ISSR|||EBIT_BRIDGE_VOL|||False|||</v>
          </cell>
          <cell r="C475" t="str">
            <v>V_KEYWORD_ISSR_208000023_EBIT_BRIDGE_VOL</v>
          </cell>
        </row>
        <row r="476">
          <cell r="A476" t="str">
            <v>Vector|||208000023|||ISSR|||EBIT_BRIDGE_DEPREC|||False|||</v>
          </cell>
          <cell r="C476" t="str">
            <v>V_KEYWORD_ISSR_208000023_EBIT_BRIDGE_DEPREC</v>
          </cell>
        </row>
        <row r="477">
          <cell r="A477" t="str">
            <v>Vector|||208000023|||ISSR|||EBIT_BRIDGE_MIX|||False|||</v>
          </cell>
          <cell r="C477" t="str">
            <v>V_KEYWORD_ISSR_208000023_EBIT_BRIDGE_MIX</v>
          </cell>
        </row>
        <row r="478">
          <cell r="A478" t="str">
            <v>Vector|||208000023|||ISSR|||EBIT_BRIDGE_RAW_MAT|||False|||</v>
          </cell>
          <cell r="C478" t="str">
            <v>V_KEYWORD_ISSR_208000023_EBIT_BRIDGE_RAW_MAT</v>
          </cell>
        </row>
        <row r="479">
          <cell r="A479" t="str">
            <v>Vector|||208000023|||ISSR|||EBIT_BRIDGE_REST|||False|||</v>
          </cell>
          <cell r="C479" t="str">
            <v>V_KEYWORD_ISSR_208000023_EBIT_BRIDGE_REST</v>
          </cell>
        </row>
        <row r="480">
          <cell r="A480" t="str">
            <v>Vector|||208000023|||ISSR|||EBIT_BRIDGE_FX|||False|||</v>
          </cell>
          <cell r="C480" t="str">
            <v>V_KEYWORD_ISSR_208000023_EBIT_BRIDGE_FX</v>
          </cell>
        </row>
        <row r="481">
          <cell r="A481" t="str">
            <v>Vector|||208000023|||ISSR|||EBIT_BRIDGE_MA|||False|||</v>
          </cell>
          <cell r="C481" t="str">
            <v>V_KEYWORD_ISSR_208000023_EBIT_BRIDGE_MA</v>
          </cell>
        </row>
        <row r="482">
          <cell r="A482" t="str">
            <v>Vector|||208000023|||ISSR|||EBIT_BRIDGE_OTH|||False|||</v>
          </cell>
          <cell r="C482" t="str">
            <v>V_KEYWORD_ISSR_208000023_EBIT_BRIDGE_OTH</v>
          </cell>
        </row>
        <row r="483">
          <cell r="A483" t="str">
            <v>Vector|||208000023|||ISSR|||DIV1_FX_GRTH|||False|||</v>
          </cell>
          <cell r="C483" t="str">
            <v>V_KEYWORD_ISSR_208000023_DIV1_FX_GRTH</v>
          </cell>
        </row>
        <row r="484">
          <cell r="A484" t="str">
            <v>Vector|||208000023|||ISSR|||DIV1_MA_GRTH|||False|||</v>
          </cell>
          <cell r="C484" t="str">
            <v>V_KEYWORD_ISSR_208000023_DIV1_MA_GRTH</v>
          </cell>
        </row>
        <row r="485">
          <cell r="A485" t="str">
            <v>Vector|||208000023|||ISSR|||DIV1_ORG_ORDERGRTH|||False|||</v>
          </cell>
          <cell r="C485" t="str">
            <v>V_KEYWORD_ISSR_208000023_DIV1_ORG_ORDERGRTH</v>
          </cell>
        </row>
        <row r="486">
          <cell r="A486" t="str">
            <v>Vector|||208000023|||ISSR|||DIV2_FX_GRTH|||False|||</v>
          </cell>
          <cell r="C486" t="str">
            <v>V_KEYWORD_ISSR_208000023_DIV2_FX_GRTH</v>
          </cell>
        </row>
        <row r="487">
          <cell r="A487" t="str">
            <v>Vector|||208000023|||ISSR|||DIV2_MA_GRTH|||False|||</v>
          </cell>
          <cell r="C487" t="str">
            <v>V_KEYWORD_ISSR_208000023_DIV2_MA_GRTH</v>
          </cell>
        </row>
        <row r="488">
          <cell r="A488" t="str">
            <v>Vector|||208000023|||ISSR|||DIV2_ORG_ORDERGRTH|||False|||</v>
          </cell>
          <cell r="C488" t="str">
            <v>V_KEYWORD_ISSR_208000023_DIV2_ORG_ORDERGRTH</v>
          </cell>
        </row>
        <row r="489">
          <cell r="A489" t="str">
            <v>Vector|||208000023|||ISSR|||DIV3_FX_GRTH|||False|||</v>
          </cell>
          <cell r="C489" t="str">
            <v>V_KEYWORD_ISSR_208000023_DIV3_FX_GRTH</v>
          </cell>
        </row>
        <row r="490">
          <cell r="A490" t="str">
            <v>Vector|||208000023|||ISSR|||DIV3_MA_GRTH|||False|||</v>
          </cell>
          <cell r="C490" t="str">
            <v>V_KEYWORD_ISSR_208000023_DIV3_MA_GRTH</v>
          </cell>
        </row>
        <row r="491">
          <cell r="A491" t="str">
            <v>Vector|||208000023|||ISSR|||DIV3_ORG_ORDERGRTH|||False|||</v>
          </cell>
          <cell r="C491" t="str">
            <v>V_KEYWORD_ISSR_208000023_DIV3_ORG_ORDERGRTH</v>
          </cell>
        </row>
        <row r="492">
          <cell r="A492" t="str">
            <v>Vector|||208000023|||ISSR|||DIV4_FX_GRTH|||False|||</v>
          </cell>
          <cell r="C492" t="str">
            <v>V_KEYWORD_ISSR_208000023_DIV4_FX_GRTH</v>
          </cell>
        </row>
        <row r="493">
          <cell r="A493" t="str">
            <v>Vector|||208000023|||ISSR|||DIV4_MA_GRTH|||False|||</v>
          </cell>
          <cell r="C493" t="str">
            <v>V_KEYWORD_ISSR_208000023_DIV4_MA_GRTH</v>
          </cell>
        </row>
        <row r="494">
          <cell r="A494" t="str">
            <v>Vector|||208000023|||ISSR|||DIV4_ORG_ORDERGRTH|||False|||</v>
          </cell>
          <cell r="C494" t="str">
            <v>V_KEYWORD_ISSR_208000023_DIV4_ORG_ORDERGRTH</v>
          </cell>
        </row>
        <row r="495">
          <cell r="A495" t="str">
            <v>Vector|||208000023|||ISSR|||DIV5_FX_GRTH|||False|||</v>
          </cell>
          <cell r="C495" t="str">
            <v>V_KEYWORD_ISSR_208000023_DIV5_FX_GRTH</v>
          </cell>
        </row>
        <row r="496">
          <cell r="A496" t="str">
            <v>Vector|||208000023|||ISSR|||DIV5_MA_GRTH|||False|||</v>
          </cell>
          <cell r="C496" t="str">
            <v>V_KEYWORD_ISSR_208000023_DIV5_MA_GRTH</v>
          </cell>
        </row>
        <row r="497">
          <cell r="A497" t="str">
            <v>Vector|||208000023|||ISSR|||DIV5_ORG_ORDERGRTH|||False|||</v>
          </cell>
          <cell r="C497" t="str">
            <v>V_KEYWORD_ISSR_208000023_DIV5_ORG_ORDERGRTH</v>
          </cell>
        </row>
        <row r="498">
          <cell r="A498" t="str">
            <v>Vector|||208000023|||ISSR|||DIV6_FX_GRTH|||False|||</v>
          </cell>
          <cell r="C498" t="str">
            <v>V_KEYWORD_ISSR_208000023_DIV6_FX_GRTH</v>
          </cell>
        </row>
        <row r="499">
          <cell r="A499" t="str">
            <v>Vector|||208000023|||ISSR|||DIV6_MA_GRTH|||False|||</v>
          </cell>
          <cell r="C499" t="str">
            <v>V_KEYWORD_ISSR_208000023_DIV6_MA_GRTH</v>
          </cell>
        </row>
        <row r="500">
          <cell r="A500" t="str">
            <v>Vector|||208000023|||ISSR|||DIV6_ORG_ORDERGRTH|||False|||</v>
          </cell>
          <cell r="C500" t="str">
            <v>V_KEYWORD_ISSR_208000023_DIV6_ORG_ORDERGRTH</v>
          </cell>
        </row>
        <row r="506">
          <cell r="A506" t="str">
            <v>Scalar|||200000267|||EQTY|||PUB_CURRENCY_ISO|||False|||</v>
          </cell>
          <cell r="C506" t="str">
            <v>V_KEYWORD_EQTY_200000267_PUB_CURRENCY_ISO</v>
          </cell>
        </row>
        <row r="507">
          <cell r="A507" t="str">
            <v>Scalar|||200000267|||EQTY|||PRICE_CURRENCY_ISO|||False|||</v>
          </cell>
          <cell r="C507" t="str">
            <v>V_KEYWORD_EQTY_200000267_PRICE_CURRENCY_ISO</v>
          </cell>
        </row>
        <row r="508">
          <cell r="A508" t="str">
            <v>Scalar|||200000267|||EQTY|||CURRENCY_ISO|||False|||</v>
          </cell>
          <cell r="C508" t="str">
            <v>V_KEYWORD_EQTY_200000267_CURRENCY_ISO</v>
          </cell>
        </row>
        <row r="510">
          <cell r="A510" t="str">
            <v>Scalar|||200000267|||EQTY|||EURO_LIST|||False|||</v>
          </cell>
          <cell r="C510" t="str">
            <v>V_KEYWORD_EQTY_200000267_EURO_LIST</v>
          </cell>
        </row>
        <row r="511">
          <cell r="A511" t="str">
            <v>Scalar|||200000267|||EQTY|||EURO_CONVICTION|||False|||</v>
          </cell>
          <cell r="C511" t="str">
            <v>V_KEYWORD_EQTY_200000267_EURO_CONVICTION</v>
          </cell>
        </row>
        <row r="512">
          <cell r="A512" t="str">
            <v>Scalar|||200000267|||EQTY|||LEGAL_RATING|||False|||</v>
          </cell>
          <cell r="C512" t="str">
            <v>V_KEYWORD_EQTY_200000267_LEGAL_RATING</v>
          </cell>
        </row>
        <row r="513">
          <cell r="A513" t="str">
            <v>Scalar|||200000267|||EQTY|||TARGET_PRICE|||False|||</v>
          </cell>
          <cell r="C513" t="str">
            <v>V_KEYWORD_EQTY_200000267_TARGET_PRICE</v>
          </cell>
        </row>
        <row r="514">
          <cell r="A514" t="str">
            <v>Scalar|||200000267|||EQTY|||TP_PERIOD|||False|||</v>
          </cell>
          <cell r="C514" t="str">
            <v>V_KEYWORD_EQTY_200000267_TP_PERIOD</v>
          </cell>
        </row>
        <row r="515">
          <cell r="A515" t="str">
            <v>Scalar|||200000267|||EQTY|||TARGET_PRICE_FUNDAMENTAL|||False|||</v>
          </cell>
          <cell r="C515" t="str">
            <v>V_KEYWORD_EQTY_200000267_TARGET_PRICE_FUNDAMENTAL</v>
          </cell>
        </row>
        <row r="516">
          <cell r="A516" t="str">
            <v>Scalar|||200000267|||EQTY|||TARGET_PRICE_MA|||False|||</v>
          </cell>
          <cell r="C516" t="str">
            <v>V_KEYWORD_EQTY_200000267_TARGET_PRICE_MA</v>
          </cell>
        </row>
        <row r="517">
          <cell r="A517" t="str">
            <v>Scalar|||200000267|||EQTY|||NUM_SH|||False|||</v>
          </cell>
          <cell r="C517" t="str">
            <v>V_KEYWORD_EQTY_200000267_NUM_SH</v>
          </cell>
        </row>
        <row r="518">
          <cell r="A518" t="str">
            <v>Scalar|||200000267|||EQTY|||FREE_FLOAT|||False|||</v>
          </cell>
          <cell r="C518" t="str">
            <v>V_KEYWORD_EQTY_200000267_FREE_FLOAT</v>
          </cell>
        </row>
        <row r="519">
          <cell r="A519" t="str">
            <v>BreakdownScalar|||200000267|||EQTY|||ACT|||False|||1</v>
          </cell>
          <cell r="C519" t="str">
            <v>V_KEYWORD_EQTY_200000267_ACT1</v>
          </cell>
        </row>
        <row r="521">
          <cell r="A521" t="str">
            <v>Vector|||200000267|||EQTY|||BVPS_PUB|||False|||</v>
          </cell>
          <cell r="C521" t="str">
            <v>V_KEYWORD_EQTY_200000267_BVPS_PUB</v>
          </cell>
        </row>
        <row r="522">
          <cell r="A522" t="str">
            <v>Vector|||200000267|||EQTY|||DPS_PUB|||False|||</v>
          </cell>
          <cell r="C522" t="str">
            <v>V_KEYWORD_EQTY_200000267_DPS_PUB</v>
          </cell>
        </row>
        <row r="523">
          <cell r="A523" t="str">
            <v>Vector|||200000267|||EQTY|||DPS_SPECIAL_PUB|||False|||</v>
          </cell>
          <cell r="C523" t="str">
            <v>V_KEYWORD_EQTY_200000267_DPS_SPECIAL_PUB</v>
          </cell>
        </row>
        <row r="524">
          <cell r="A524" t="str">
            <v>Vector|||200000267|||EQTY|||EBITDA_PUB|||False|||</v>
          </cell>
          <cell r="C524" t="str">
            <v>V_KEYWORD_EQTY_200000267_EBITDA_PUB</v>
          </cell>
        </row>
        <row r="525">
          <cell r="A525" t="str">
            <v>Vector|||200000267|||EQTY|||EPS_PUB|||False|||</v>
          </cell>
          <cell r="C525" t="str">
            <v>V_KEYWORD_EQTY_200000267_EPS_PUB</v>
          </cell>
        </row>
        <row r="526">
          <cell r="A526" t="str">
            <v>Vector|||200000267|||EQTY|||CEEE_EPS|||False|||</v>
          </cell>
          <cell r="C526" t="str">
            <v>V_KEYWORD_EQTY_200000267_CEEE_EPS</v>
          </cell>
        </row>
        <row r="527">
          <cell r="A527" t="str">
            <v>Vector|||200000267|||EQTY|||EV_ADJ_PUB|||False|||</v>
          </cell>
          <cell r="C527" t="str">
            <v>V_KEYWORD_EQTY_200000267_EV_ADJ_PUB</v>
          </cell>
        </row>
        <row r="528">
          <cell r="A528" t="str">
            <v>Vector|||200000267|||EQTY|||NET_DEBT_PUB|||False|||</v>
          </cell>
          <cell r="C528" t="str">
            <v>V_KEYWORD_EQTY_200000267_NET_DEBT_PUB</v>
          </cell>
        </row>
        <row r="529">
          <cell r="A529" t="str">
            <v>Vector|||200000267|||EQTY|||NET_DEBT_EX_LEASES_PUB|||False|||</v>
          </cell>
          <cell r="C529" t="str">
            <v>V_KEYWORD_EQTY_200000267_NET_DEBT_EX_LEASES_PUB</v>
          </cell>
        </row>
        <row r="530">
          <cell r="A530" t="str">
            <v>Vector|||200000267|||EQTY|||CEEE_NDEBT|||False|||</v>
          </cell>
          <cell r="C530" t="str">
            <v>V_KEYWORD_EQTY_200000267_CEEE_NDEBT</v>
          </cell>
        </row>
        <row r="531">
          <cell r="A531" t="str">
            <v>Vector|||200000267|||EQTY|||NI_PUB|||False|||</v>
          </cell>
          <cell r="C531" t="str">
            <v>V_KEYWORD_EQTY_200000267_NI_PUB</v>
          </cell>
        </row>
        <row r="532">
          <cell r="A532" t="str">
            <v>Vector|||200000267|||EQTY|||EBIT_PUB|||False|||</v>
          </cell>
          <cell r="C532" t="str">
            <v>V_KEYWORD_EQTY_200000267_EBIT_PUB</v>
          </cell>
        </row>
        <row r="533">
          <cell r="A533" t="str">
            <v>Vector|||200000267|||EQTY|||PTP_PUB|||False|||</v>
          </cell>
          <cell r="C533" t="str">
            <v>V_KEYWORD_EQTY_200000267_PTP_PUB</v>
          </cell>
        </row>
        <row r="534">
          <cell r="A534" t="str">
            <v>Vector|||200000267|||EQTY|||REVS_PUB|||False|||</v>
          </cell>
          <cell r="C534" t="str">
            <v>V_KEYWORD_EQTY_200000267_REVS_PUB</v>
          </cell>
        </row>
        <row r="535">
          <cell r="A535" t="str">
            <v>Vector|||200000267|||EQTY|||EQ_PUB|||False|||</v>
          </cell>
          <cell r="C535" t="str">
            <v>V_KEYWORD_EQTY_200000267_EQ_PUB</v>
          </cell>
        </row>
        <row r="537">
          <cell r="A537" t="str">
            <v>Vector|||200000267|||EQTY|||PROV_INC_TAX|||False|||</v>
          </cell>
          <cell r="C537" t="str">
            <v>V_KEYWORD_EQTY_200000267_PROV_INC_TAX</v>
          </cell>
        </row>
        <row r="538">
          <cell r="A538" t="str">
            <v>Vector|||200000267|||EQTY|||INC_MINORITY|||False|||</v>
          </cell>
          <cell r="C538" t="str">
            <v>V_KEYWORD_EQTY_200000267_INC_MINORITY</v>
          </cell>
        </row>
        <row r="539">
          <cell r="A539" t="str">
            <v>Vector|||200000267|||EQTY|||NI_PRE_PREF|||False|||</v>
          </cell>
          <cell r="C539" t="str">
            <v>V_KEYWORD_EQTY_200000267_NI_PRE_PREF</v>
          </cell>
        </row>
        <row r="540">
          <cell r="A540" t="str">
            <v>Vector|||200000267|||EQTY|||PREF_DIV|||False|||</v>
          </cell>
          <cell r="C540" t="str">
            <v>V_KEYWORD_EQTY_200000267_PREF_DIV</v>
          </cell>
        </row>
        <row r="541">
          <cell r="A541" t="str">
            <v>Vector|||200000267|||EQTY|||NET_EARNING|||False|||</v>
          </cell>
          <cell r="C541" t="str">
            <v>V_KEYWORD_EQTY_200000267_NET_EARNING</v>
          </cell>
        </row>
        <row r="542">
          <cell r="A542" t="str">
            <v>Vector|||200000267|||EQTY|||TAX_EXC|||False|||</v>
          </cell>
          <cell r="C542" t="str">
            <v>V_KEYWORD_EQTY_200000267_TAX_EXC</v>
          </cell>
        </row>
        <row r="543">
          <cell r="A543" t="str">
            <v>Vector|||200000267|||EQTY|||NET_INC|||False|||</v>
          </cell>
          <cell r="C543" t="str">
            <v>V_KEYWORD_EQTY_200000267_NET_INC</v>
          </cell>
        </row>
        <row r="544">
          <cell r="A544" t="str">
            <v>Vector|||200000267|||EQTY|||EPS|||False|||</v>
          </cell>
          <cell r="C544" t="str">
            <v>V_KEYWORD_EQTY_200000267_EPS</v>
          </cell>
        </row>
        <row r="545">
          <cell r="A545" t="str">
            <v>Vector|||200000267|||EQTY|||EPS_FUL_DIL|||False|||</v>
          </cell>
          <cell r="C545" t="str">
            <v>V_KEYWORD_EQTY_200000267_EPS_FUL_DIL</v>
          </cell>
        </row>
        <row r="546">
          <cell r="A546" t="str">
            <v>Vector|||200000267|||EQTY|||EPS_POST_BASIC|||False|||</v>
          </cell>
          <cell r="C546" t="str">
            <v>V_KEYWORD_EQTY_200000267_EPS_POST_BASIC</v>
          </cell>
        </row>
        <row r="547">
          <cell r="A547" t="str">
            <v>Vector|||200000267|||EQTY|||FULLY_DIL_EPS|||False|||</v>
          </cell>
          <cell r="C547" t="str">
            <v>V_KEYWORD_EQTY_200000267_FULLY_DIL_EPS</v>
          </cell>
        </row>
        <row r="548">
          <cell r="A548" t="str">
            <v>Vector|||200000267|||EQTY|||COMMON_DIV_PAID|||False|||</v>
          </cell>
          <cell r="C548" t="str">
            <v>V_KEYWORD_EQTY_200000267_COMMON_DIV_PAID</v>
          </cell>
        </row>
        <row r="549">
          <cell r="A549" t="str">
            <v>Vector|||200000267|||EQTY|||DPS|||False|||</v>
          </cell>
          <cell r="C549" t="str">
            <v>V_KEYWORD_EQTY_200000267_DPS</v>
          </cell>
        </row>
        <row r="550">
          <cell r="A550" t="str">
            <v>Vector|||200000267|||EQTY|||SH|||False|||</v>
          </cell>
          <cell r="C550" t="str">
            <v>V_KEYWORD_EQTY_200000267_SH</v>
          </cell>
        </row>
        <row r="551">
          <cell r="A551" t="str">
            <v>Vector|||200000267|||EQTY|||DILUTE_SHARES|||False|||</v>
          </cell>
          <cell r="C551" t="str">
            <v>V_KEYWORD_EQTY_200000267_DILUTE_SHARES</v>
          </cell>
        </row>
        <row r="552">
          <cell r="A552" t="str">
            <v>Vector|||200000267|||EQTY|||NON_OP_ADD|||False|||</v>
          </cell>
          <cell r="C552" t="str">
            <v>V_KEYWORD_EQTY_200000267_NON_OP_ADD</v>
          </cell>
        </row>
        <row r="554">
          <cell r="A554" t="str">
            <v>Vector|||200000267|||EQTY|||ORG_NI|||False|||</v>
          </cell>
          <cell r="C554" t="str">
            <v>V_KEYWORD_EQTY_200000267_ORG_NI</v>
          </cell>
        </row>
        <row r="555">
          <cell r="A555" t="str">
            <v>Vector|||200000267|||EQTY|||ORG_EPS|||False|||</v>
          </cell>
          <cell r="C555" t="str">
            <v>V_KEYWORD_EQTY_200000267_ORG_EPS</v>
          </cell>
        </row>
        <row r="556">
          <cell r="A556" t="str">
            <v>Vector|||200000267|||EQTY|||MARGIN_TAX_RATE|||False|||</v>
          </cell>
          <cell r="C556" t="str">
            <v>V_KEYWORD_EQTY_200000267_MARGIN_TAX_RATE</v>
          </cell>
        </row>
        <row r="558">
          <cell r="A558" t="str">
            <v>Vector|||200000267|||EQTY|||BVPS|||False|||</v>
          </cell>
          <cell r="C558" t="str">
            <v>V_KEYWORD_EQTY_200000267_BVPS</v>
          </cell>
        </row>
        <row r="560">
          <cell r="A560" t="str">
            <v>Vector|||200000267|||EQTY|||CF_NI_PRE_PREF|||False|||</v>
          </cell>
          <cell r="C560" t="str">
            <v>V_KEYWORD_EQTY_200000267_CF_NI_PRE_PREF</v>
          </cell>
        </row>
        <row r="562">
          <cell r="A562" t="str">
            <v>Scalar|||200000267|||EQTY|||BETA_ANALYST|||False|||</v>
          </cell>
          <cell r="C562" t="str">
            <v>V_KEYWORD_EQTY_200000267_BETA_ANALYST</v>
          </cell>
        </row>
        <row r="563">
          <cell r="A563" t="str">
            <v>Scalar|||200000267|||EQTY|||MKT_EQ_RISK_PREM|||False|||</v>
          </cell>
          <cell r="C563" t="str">
            <v>V_KEYWORD_EQTY_200000267_MKT_EQ_RISK_PREM</v>
          </cell>
        </row>
        <row r="564">
          <cell r="A564" t="str">
            <v>Scalar|||200000267|||EQTY|||RISK_FR_RATE|||False|||</v>
          </cell>
          <cell r="C564" t="str">
            <v>V_KEYWORD_EQTY_200000267_RISK_FR_RATE</v>
          </cell>
        </row>
        <row r="570">
          <cell r="A570" t="str">
            <v>Scalar|||200007126|||EQTY|||PUB_CURRENCY_ISO|||False|||</v>
          </cell>
          <cell r="C570" t="str">
            <v>V_KEYWORD_EQTY_200007126_PUB_CURRENCY_ISO</v>
          </cell>
        </row>
        <row r="571">
          <cell r="A571" t="str">
            <v>Scalar|||200007126|||EQTY|||PRICE_CURRENCY_ISO|||False|||</v>
          </cell>
          <cell r="C571" t="str">
            <v>V_KEYWORD_EQTY_200007126_PRICE_CURRENCY_ISO</v>
          </cell>
        </row>
        <row r="572">
          <cell r="A572" t="str">
            <v>Scalar|||200007126|||EQTY|||CURRENCY_ISO|||False|||</v>
          </cell>
          <cell r="C572" t="str">
            <v>V_KEYWORD_EQTY_200007126_CURRENCY_ISO</v>
          </cell>
        </row>
        <row r="574">
          <cell r="A574" t="str">
            <v>Scalar|||200007126|||EQTY|||NUM_SH|||False|||</v>
          </cell>
          <cell r="C574" t="str">
            <v>V_KEYWORD_EQTY_200007126_NUM_SH</v>
          </cell>
        </row>
        <row r="576">
          <cell r="A576" t="str">
            <v>Vector|||200007126|||EQTY|||SH|||False|||</v>
          </cell>
          <cell r="C576" t="str">
            <v>V_KEYWORD_EQTY_200007126_SH</v>
          </cell>
        </row>
      </sheetData>
      <sheetData sheetId="3">
        <row r="9">
          <cell r="B9" t="str">
            <v>M&amp;A probability (1 = high, 3 = low)</v>
          </cell>
          <cell r="C9" t="str">
            <v>MA_PROB</v>
          </cell>
        </row>
        <row r="11">
          <cell r="B11" t="str">
            <v>Sales, net revenue</v>
          </cell>
          <cell r="C11" t="str">
            <v>SALES</v>
          </cell>
          <cell r="D11" t="e">
            <v>#NAME?</v>
          </cell>
        </row>
        <row r="12">
          <cell r="B12" t="str">
            <v>Cost of goods sold, COGS</v>
          </cell>
          <cell r="C12" t="str">
            <v>COST_GD_SD</v>
          </cell>
          <cell r="D12" t="e">
            <v>#NAME?</v>
          </cell>
        </row>
        <row r="13">
          <cell r="B13" t="str">
            <v>SG&amp;A, selling, general and admin. expense</v>
          </cell>
          <cell r="C13" t="str">
            <v>SEL_GL_AD</v>
          </cell>
          <cell r="D13" t="e">
            <v>#NAME?</v>
          </cell>
        </row>
        <row r="14">
          <cell r="B14" t="str">
            <v>Total operating expense</v>
          </cell>
          <cell r="C14" t="str">
            <v>OP_COST</v>
          </cell>
          <cell r="D14" t="e">
            <v>#NAME?</v>
          </cell>
        </row>
        <row r="15">
          <cell r="B15" t="str">
            <v>R&amp;D expense</v>
          </cell>
          <cell r="C15" t="str">
            <v>RD_EXP</v>
          </cell>
          <cell r="D15" t="e">
            <v>#NAME?</v>
          </cell>
        </row>
        <row r="16">
          <cell r="B16" t="str">
            <v>Other operating income/(expense) (incl. leases)</v>
          </cell>
          <cell r="C16" t="str">
            <v>OTH_OP_INC_EXP</v>
          </cell>
          <cell r="D16" t="e">
            <v>#NAME?</v>
          </cell>
        </row>
        <row r="17">
          <cell r="B17" t="str">
            <v>Total operating expense (incl. D&amp;A)</v>
          </cell>
          <cell r="C17" t="str">
            <v>TOT_OPS_EXP_DDA</v>
          </cell>
          <cell r="D17" t="e">
            <v>#NAME?</v>
          </cell>
        </row>
        <row r="18">
          <cell r="B18" t="str">
            <v>Total operating expense (excl. D&amp;A)</v>
          </cell>
          <cell r="C18" t="str">
            <v>TOT_OPS_EXP</v>
          </cell>
          <cell r="D18" t="e">
            <v>#NAME?</v>
          </cell>
        </row>
        <row r="19">
          <cell r="B19" t="str">
            <v>EBITDA</v>
          </cell>
          <cell r="C19" t="str">
            <v>EBITDA_CALC</v>
          </cell>
          <cell r="D19" t="e">
            <v>#NAME?</v>
          </cell>
        </row>
        <row r="20">
          <cell r="B20" t="str">
            <v>Depreciation</v>
          </cell>
          <cell r="C20" t="str">
            <v>DEPREC</v>
          </cell>
          <cell r="D20" t="e">
            <v>#NAME?</v>
          </cell>
        </row>
        <row r="21">
          <cell r="B21" t="str">
            <v>Amortization</v>
          </cell>
          <cell r="C21" t="str">
            <v>GOODWILL_AMORT</v>
          </cell>
          <cell r="D21" t="e">
            <v>#NAME?</v>
          </cell>
        </row>
        <row r="22">
          <cell r="B22" t="str">
            <v>EBIT, operating profit</v>
          </cell>
          <cell r="C22" t="str">
            <v>EBIT</v>
          </cell>
          <cell r="D22" t="e">
            <v>#NAME?</v>
          </cell>
        </row>
        <row r="23">
          <cell r="B23" t="str">
            <v>Interest income</v>
          </cell>
          <cell r="C23" t="str">
            <v>INT_INC_IND</v>
          </cell>
          <cell r="D23" t="e">
            <v>#NAME?</v>
          </cell>
        </row>
        <row r="24">
          <cell r="B24" t="str">
            <v>Interest expense</v>
          </cell>
          <cell r="C24" t="str">
            <v>INT_EXP_IND</v>
          </cell>
          <cell r="D24" t="e">
            <v>#NAME?</v>
          </cell>
        </row>
        <row r="25">
          <cell r="B25" t="str">
            <v>Net interest income/(expense)</v>
          </cell>
          <cell r="C25" t="str">
            <v>NET_INT_EXP</v>
          </cell>
          <cell r="D25" t="e">
            <v>#NAME?</v>
          </cell>
        </row>
        <row r="26">
          <cell r="B26" t="str">
            <v>Income/(loss) from unconsolidated subs &amp; associates</v>
          </cell>
          <cell r="C26" t="str">
            <v>ASSOCIATE</v>
          </cell>
          <cell r="D26" t="e">
            <v>#NAME?</v>
          </cell>
        </row>
        <row r="27">
          <cell r="B27" t="str">
            <v>Profit/(loss) on disposals of assets, pre-tax</v>
          </cell>
          <cell r="C27" t="str">
            <v>PROFIT_ON_DISP</v>
          </cell>
          <cell r="D27" t="e">
            <v>#NAME?</v>
          </cell>
        </row>
        <row r="28">
          <cell r="B28" t="str">
            <v>Other non-ops income/(expense)</v>
          </cell>
          <cell r="C28" t="str">
            <v>OTH_COST_INC</v>
          </cell>
          <cell r="D28" t="e">
            <v>#NAME?</v>
          </cell>
        </row>
        <row r="29">
          <cell r="B29" t="str">
            <v>Pre-tax profit</v>
          </cell>
          <cell r="C29" t="str">
            <v>PT_PROF</v>
          </cell>
          <cell r="D29" t="e">
            <v>#NAME?</v>
          </cell>
        </row>
        <row r="31">
          <cell r="B31" t="str">
            <v>Organic revenues (excl. acquisitions)</v>
          </cell>
          <cell r="C31" t="str">
            <v>ORG_REV</v>
          </cell>
          <cell r="D31" t="e">
            <v>#NAME?</v>
          </cell>
        </row>
        <row r="32">
          <cell r="B32" t="str">
            <v>Organic sales growth (excl. acquisitions)</v>
          </cell>
          <cell r="C32" t="str">
            <v>ORG_REV_GRTH</v>
          </cell>
        </row>
        <row r="33">
          <cell r="B33" t="str">
            <v>Growth from acquisitions</v>
          </cell>
          <cell r="C33" t="str">
            <v>ACQ_GRTH</v>
          </cell>
        </row>
        <row r="34">
          <cell r="B34" t="str">
            <v>Growth from foreign exchange</v>
          </cell>
          <cell r="C34" t="str">
            <v>FOREX_GRTH</v>
          </cell>
        </row>
        <row r="35">
          <cell r="B35" t="str">
            <v>Operating lease cost</v>
          </cell>
          <cell r="C35" t="str">
            <v>LEASE_PAY</v>
          </cell>
          <cell r="D35" t="e">
            <v>#NAME?</v>
          </cell>
        </row>
        <row r="36">
          <cell r="B36" t="str">
            <v>Lease payments (deemed interest portion)</v>
          </cell>
          <cell r="C36" t="str">
            <v>LEASE_DEEM_INT</v>
          </cell>
          <cell r="D36" t="e">
            <v>#NAME?</v>
          </cell>
        </row>
        <row r="37">
          <cell r="B37" t="str">
            <v>Lease payments (deemed depreciation portion)</v>
          </cell>
          <cell r="C37" t="str">
            <v>LEASE_DEEM_DEPR</v>
          </cell>
          <cell r="D37" t="e">
            <v>#NAME?</v>
          </cell>
        </row>
        <row r="38">
          <cell r="B38" t="str">
            <v>Gross interest charge</v>
          </cell>
          <cell r="C38" t="str">
            <v>NET_INT_CH</v>
          </cell>
          <cell r="D38" t="e">
            <v>#NAME?</v>
          </cell>
        </row>
        <row r="39">
          <cell r="B39" t="str">
            <v>Income from associates (operating)</v>
          </cell>
          <cell r="C39" t="str">
            <v>ASSOCIATE_OP</v>
          </cell>
          <cell r="D39" t="e">
            <v>#NAME?</v>
          </cell>
        </row>
        <row r="40">
          <cell r="B40" t="str">
            <v>Goodwill amortization</v>
          </cell>
          <cell r="C40" t="str">
            <v>GW_AMORT</v>
          </cell>
          <cell r="D40" t="e">
            <v>#NAME?</v>
          </cell>
        </row>
        <row r="41">
          <cell r="B41" t="str">
            <v>Other intangible amortization</v>
          </cell>
          <cell r="C41" t="str">
            <v>OTH_INT_AMORT</v>
          </cell>
          <cell r="D41" t="e">
            <v>#NAME?</v>
          </cell>
        </row>
        <row r="43">
          <cell r="B43" t="str">
            <v>Lease interest charge  (applicable to IFRS cos.)</v>
          </cell>
          <cell r="C43" t="str">
            <v>LEASE_INT_CHG</v>
          </cell>
          <cell r="D43" t="e">
            <v>#NAME?</v>
          </cell>
        </row>
        <row r="44">
          <cell r="B44" t="str">
            <v>Lease standard adopted (US GAAP ASC 842/ IFRS 16)</v>
          </cell>
          <cell r="C44" t="str">
            <v>LEASE_ADOPT</v>
          </cell>
        </row>
        <row r="46">
          <cell r="B46" t="str">
            <v>Cash &amp; cash equivalents</v>
          </cell>
          <cell r="C46" t="str">
            <v>CASH_EQ</v>
          </cell>
          <cell r="D46" t="e">
            <v>#NAME?</v>
          </cell>
        </row>
        <row r="47">
          <cell r="B47" t="str">
            <v>Accounts receivable</v>
          </cell>
          <cell r="C47" t="str">
            <v>DEBTORS</v>
          </cell>
          <cell r="D47" t="e">
            <v>#NAME?</v>
          </cell>
        </row>
        <row r="48">
          <cell r="B48" t="str">
            <v>Inventory</v>
          </cell>
          <cell r="C48" t="str">
            <v>STOCKS</v>
          </cell>
          <cell r="D48" t="e">
            <v>#NAME?</v>
          </cell>
        </row>
        <row r="49">
          <cell r="B49" t="str">
            <v>Other current assets</v>
          </cell>
          <cell r="C49" t="str">
            <v>OTH_CUR_ASS</v>
          </cell>
          <cell r="D49" t="e">
            <v>#NAME?</v>
          </cell>
        </row>
        <row r="50">
          <cell r="B50" t="str">
            <v>Total current assets</v>
          </cell>
          <cell r="C50" t="str">
            <v>CUR_ASS</v>
          </cell>
          <cell r="D50" t="e">
            <v>#NAME?</v>
          </cell>
        </row>
        <row r="51">
          <cell r="B51" t="str">
            <v>Gross fixed assets, PP&amp;E</v>
          </cell>
          <cell r="C51" t="str">
            <v>GR_FIX_ASS</v>
          </cell>
          <cell r="D51" t="e">
            <v>#NAME?</v>
          </cell>
        </row>
        <row r="52">
          <cell r="B52" t="str">
            <v>Accumulated depreciation</v>
          </cell>
          <cell r="C52" t="str">
            <v>ACC_DDA</v>
          </cell>
          <cell r="D52" t="e">
            <v>#NAME?</v>
          </cell>
        </row>
        <row r="53">
          <cell r="B53" t="str">
            <v>Net PP&amp;E</v>
          </cell>
          <cell r="C53" t="str">
            <v>NET_FIX_ASS</v>
          </cell>
          <cell r="D53" t="e">
            <v>#NAME?</v>
          </cell>
        </row>
        <row r="54">
          <cell r="B54" t="str">
            <v>Gross intangibles</v>
          </cell>
          <cell r="C54" t="str">
            <v>GR_INTANG</v>
          </cell>
          <cell r="D54" t="e">
            <v>#NAME?</v>
          </cell>
        </row>
        <row r="55">
          <cell r="B55" t="str">
            <v>Accumulated amortization</v>
          </cell>
          <cell r="C55" t="str">
            <v>ACC_AMORT</v>
          </cell>
          <cell r="D55" t="e">
            <v>#NAME?</v>
          </cell>
        </row>
        <row r="56">
          <cell r="B56" t="str">
            <v>Net intangible assets</v>
          </cell>
          <cell r="C56" t="str">
            <v>NET_INTANG</v>
          </cell>
          <cell r="D56" t="e">
            <v>#NAME?</v>
          </cell>
        </row>
        <row r="57">
          <cell r="B57" t="str">
            <v>Equity method investments</v>
          </cell>
          <cell r="C57" t="str">
            <v>FIX_ASS_INV</v>
          </cell>
          <cell r="D57" t="e">
            <v>#NAME?</v>
          </cell>
        </row>
        <row r="58">
          <cell r="B58" t="str">
            <v>Investments in securities</v>
          </cell>
          <cell r="C58" t="str">
            <v>INV_SECUR</v>
          </cell>
          <cell r="D58" t="e">
            <v>#NAME?</v>
          </cell>
        </row>
        <row r="59">
          <cell r="B59" t="str">
            <v>Other long-term assets</v>
          </cell>
          <cell r="C59" t="str">
            <v>OTH_LT_ASS</v>
          </cell>
          <cell r="D59" t="e">
            <v>#NAME?</v>
          </cell>
        </row>
        <row r="60">
          <cell r="B60" t="str">
            <v>Total assets</v>
          </cell>
          <cell r="C60" t="str">
            <v>TOT_ASSET</v>
          </cell>
          <cell r="D60" t="e">
            <v>#NAME?</v>
          </cell>
        </row>
        <row r="61">
          <cell r="B61" t="str">
            <v>Accounts payable</v>
          </cell>
          <cell r="C61" t="str">
            <v>ACC_PAY_GQ</v>
          </cell>
          <cell r="D61" t="e">
            <v>#NAME?</v>
          </cell>
        </row>
        <row r="62">
          <cell r="B62" t="str">
            <v>Short-term debt</v>
          </cell>
          <cell r="C62" t="str">
            <v>SHORT_T_DEBT</v>
          </cell>
          <cell r="D62" t="e">
            <v>#NAME?</v>
          </cell>
        </row>
        <row r="63">
          <cell r="B63" t="str">
            <v>Current lease liabilities (op lease: US GAAP)</v>
          </cell>
          <cell r="C63" t="str">
            <v>ST_LEASE_LIAB</v>
          </cell>
          <cell r="D63" t="e">
            <v>#NAME?</v>
          </cell>
        </row>
        <row r="64">
          <cell r="B64" t="str">
            <v>Other current liabilities</v>
          </cell>
          <cell r="C64" t="str">
            <v>OTH_CUR_LIABS</v>
          </cell>
          <cell r="D64" t="e">
            <v>#NAME?</v>
          </cell>
        </row>
        <row r="65">
          <cell r="B65" t="str">
            <v>Total current liabilities</v>
          </cell>
          <cell r="C65" t="str">
            <v>SHORT_TERM_LIABS</v>
          </cell>
          <cell r="D65" t="e">
            <v>#NAME?</v>
          </cell>
        </row>
        <row r="66">
          <cell r="B66" t="str">
            <v>Long-term  debt</v>
          </cell>
          <cell r="C66" t="str">
            <v>LT_DEBT</v>
          </cell>
          <cell r="D66" t="e">
            <v>#NAME?</v>
          </cell>
        </row>
        <row r="67">
          <cell r="B67" t="str">
            <v>Non-current lease liabilities (op lease: US GAAP)</v>
          </cell>
          <cell r="C67" t="str">
            <v>LT_LEASE_LIAB</v>
          </cell>
          <cell r="D67" t="e">
            <v>#NAME?</v>
          </cell>
        </row>
        <row r="68">
          <cell r="B68" t="str">
            <v>Other long-term liabilities</v>
          </cell>
          <cell r="C68" t="str">
            <v>OTH_LT_CRED_GQ</v>
          </cell>
          <cell r="D68" t="e">
            <v>#NAME?</v>
          </cell>
        </row>
        <row r="69">
          <cell r="B69" t="str">
            <v>Total long-term liabilities</v>
          </cell>
          <cell r="C69" t="str">
            <v>TOT_LT_LIAB</v>
          </cell>
          <cell r="D69" t="e">
            <v>#NAME?</v>
          </cell>
        </row>
        <row r="70">
          <cell r="B70" t="str">
            <v>Total liabilities</v>
          </cell>
          <cell r="C70" t="str">
            <v>TOT_LIAB</v>
          </cell>
          <cell r="D70" t="e">
            <v>#NAME?</v>
          </cell>
        </row>
        <row r="71">
          <cell r="B71" t="str">
            <v>Preferred shares</v>
          </cell>
          <cell r="C71" t="str">
            <v>PREF_SH</v>
          </cell>
          <cell r="D71" t="e">
            <v>#NAME?</v>
          </cell>
        </row>
        <row r="72">
          <cell r="B72" t="str">
            <v>Total common equity</v>
          </cell>
          <cell r="C72" t="str">
            <v>ORD_SH_FUND</v>
          </cell>
          <cell r="D72" t="e">
            <v>#NAME?</v>
          </cell>
        </row>
        <row r="73">
          <cell r="B73" t="str">
            <v>Minority interest</v>
          </cell>
          <cell r="C73" t="str">
            <v>MINORITIES</v>
          </cell>
          <cell r="D73" t="e">
            <v>#NAME?</v>
          </cell>
        </row>
        <row r="74">
          <cell r="B74" t="str">
            <v>Total shareholders' equity</v>
          </cell>
          <cell r="C74" t="str">
            <v>EQ</v>
          </cell>
          <cell r="D74" t="e">
            <v>#NAME?</v>
          </cell>
        </row>
        <row r="75">
          <cell r="B75" t="str">
            <v>Total liabilities and equity</v>
          </cell>
          <cell r="C75" t="str">
            <v>TOT_LIAB_EQ</v>
          </cell>
          <cell r="D75" t="e">
            <v>#NAME?</v>
          </cell>
        </row>
        <row r="81">
          <cell r="B81" t="str">
            <v>Net debt</v>
          </cell>
          <cell r="C81" t="str">
            <v>NET_DEBT</v>
          </cell>
          <cell r="D81" t="e">
            <v>#NAME?</v>
          </cell>
        </row>
        <row r="82">
          <cell r="B82" t="str">
            <v>Capitalized operating leases (off-balance sheet)</v>
          </cell>
          <cell r="C82" t="str">
            <v>CAP_LEASES</v>
          </cell>
          <cell r="D82" t="e">
            <v>#NAME?</v>
          </cell>
        </row>
        <row r="83">
          <cell r="B83" t="str">
            <v>Deferred income taxes</v>
          </cell>
          <cell r="C83" t="str">
            <v>DEF_INC_TAX</v>
          </cell>
          <cell r="D83" t="e">
            <v>#NAME?</v>
          </cell>
        </row>
        <row r="84">
          <cell r="B84" t="str">
            <v>Associates (mkt value) used in EV calculation</v>
          </cell>
          <cell r="C84" t="str">
            <v>MV_ASSOCIATES</v>
          </cell>
          <cell r="D84" t="e">
            <v>#NAME?</v>
          </cell>
        </row>
        <row r="85">
          <cell r="B85" t="str">
            <v>Net debt adjustment</v>
          </cell>
          <cell r="C85" t="str">
            <v>NET_DEBT_ADJ</v>
          </cell>
          <cell r="D85" t="e">
            <v>#NAME?</v>
          </cell>
        </row>
        <row r="86">
          <cell r="B86" t="str">
            <v>Company borrowing margin</v>
          </cell>
          <cell r="C86" t="str">
            <v>CO_BOR_MARGIN</v>
          </cell>
        </row>
        <row r="87">
          <cell r="B87" t="str">
            <v>Unfunded pensions &amp; other provisions</v>
          </cell>
          <cell r="C87" t="str">
            <v>UNF_PENS</v>
          </cell>
          <cell r="D87" t="e">
            <v>#NAME?</v>
          </cell>
        </row>
        <row r="88">
          <cell r="B88" t="str">
            <v>Unfunded pension liabilities (off balance sheet)</v>
          </cell>
          <cell r="C88" t="str">
            <v>UNF_PENS_OFF</v>
          </cell>
          <cell r="D88" t="e">
            <v>#NAME?</v>
          </cell>
        </row>
        <row r="89">
          <cell r="B89" t="str">
            <v>Unfunded pension liabilities &amp; other, used in EV</v>
          </cell>
          <cell r="C89" t="str">
            <v>UNF_PENS_LIAB_OTH</v>
          </cell>
          <cell r="D89" t="e">
            <v>#NAME?</v>
          </cell>
        </row>
        <row r="90">
          <cell r="B90" t="str">
            <v>Adjustment for unfunded pensions &amp; goodwill</v>
          </cell>
          <cell r="C90" t="str">
            <v>ADJ_UNF_PENS_GOOD</v>
          </cell>
          <cell r="D90" t="e">
            <v>#NAME?</v>
          </cell>
        </row>
        <row r="91">
          <cell r="B91" t="str">
            <v>Other GCI adjustments</v>
          </cell>
          <cell r="C91" t="str">
            <v>OTH_GCI_ADJ</v>
          </cell>
          <cell r="D91" t="e">
            <v>#NAME?</v>
          </cell>
        </row>
        <row r="92">
          <cell r="B92" t="str">
            <v>GCI inflator</v>
          </cell>
          <cell r="C92" t="str">
            <v>GCI_INFL</v>
          </cell>
        </row>
        <row r="93">
          <cell r="B93" t="str">
            <v>Minority interest</v>
          </cell>
          <cell r="C93" t="str">
            <v>BAL_MINO_INT</v>
          </cell>
          <cell r="D93" t="e">
            <v>#NAME?</v>
          </cell>
        </row>
        <row r="96">
          <cell r="B96" t="str">
            <v>Minority interest add-back</v>
          </cell>
          <cell r="C96" t="str">
            <v>CF_INC_MINORITY</v>
          </cell>
          <cell r="D96" t="e">
            <v>#NAME?</v>
          </cell>
        </row>
        <row r="97">
          <cell r="B97" t="str">
            <v>Depreciation &amp; amortization add-back</v>
          </cell>
          <cell r="C97" t="str">
            <v>DEPR_AMORT</v>
          </cell>
          <cell r="D97" t="e">
            <v>#NAME?</v>
          </cell>
        </row>
        <row r="98">
          <cell r="B98" t="str">
            <v>(Increase)/decrease in working capital</v>
          </cell>
          <cell r="C98" t="str">
            <v>WORK_CAP</v>
          </cell>
          <cell r="D98" t="e">
            <v>#NAME?</v>
          </cell>
        </row>
        <row r="99">
          <cell r="B99" t="str">
            <v>Other operating cash flow items</v>
          </cell>
          <cell r="C99" t="str">
            <v>OTH_OP_CF</v>
          </cell>
          <cell r="D99" t="e">
            <v>#NAME?</v>
          </cell>
        </row>
        <row r="100">
          <cell r="B100" t="str">
            <v>Cash flow from operating activities</v>
          </cell>
          <cell r="C100" t="str">
            <v>CF_OPS</v>
          </cell>
          <cell r="D100" t="e">
            <v>#NAME?</v>
          </cell>
        </row>
        <row r="101">
          <cell r="B101" t="str">
            <v>Capital expenditures, Capex</v>
          </cell>
          <cell r="C101" t="str">
            <v>CAPEX</v>
          </cell>
          <cell r="D101" t="e">
            <v>#NAME?</v>
          </cell>
        </row>
        <row r="102">
          <cell r="B102" t="str">
            <v>Acquisitions</v>
          </cell>
          <cell r="C102" t="str">
            <v>ACQ</v>
          </cell>
          <cell r="D102" t="e">
            <v>#NAME?</v>
          </cell>
        </row>
        <row r="103">
          <cell r="B103" t="str">
            <v>Divestitures</v>
          </cell>
          <cell r="C103" t="str">
            <v>DIVEST</v>
          </cell>
          <cell r="D103" t="e">
            <v>#NAME?</v>
          </cell>
        </row>
        <row r="104">
          <cell r="B104" t="str">
            <v>Other investing cash flow items</v>
          </cell>
          <cell r="C104" t="str">
            <v>OTH_INV_CF</v>
          </cell>
          <cell r="D104" t="e">
            <v>#NAME?</v>
          </cell>
        </row>
        <row r="105">
          <cell r="B105" t="str">
            <v>Cash flow from investing</v>
          </cell>
          <cell r="C105" t="str">
            <v>CF_INV</v>
          </cell>
          <cell r="D105" t="e">
            <v>#NAME?</v>
          </cell>
        </row>
        <row r="106">
          <cell r="B106" t="str">
            <v>Dividends paid</v>
          </cell>
          <cell r="C106" t="str">
            <v>DIV_PAID</v>
          </cell>
          <cell r="D106" t="e">
            <v>#NAME?</v>
          </cell>
        </row>
        <row r="107">
          <cell r="B107" t="str">
            <v>Common stock issuance/(repurchase)</v>
          </cell>
          <cell r="C107" t="str">
            <v>SH_REPUR</v>
          </cell>
          <cell r="D107" t="e">
            <v>#NAME?</v>
          </cell>
        </row>
        <row r="108">
          <cell r="B108" t="str">
            <v>Increase/(decrease) in total debt</v>
          </cell>
          <cell r="C108" t="str">
            <v>CHG_LT_DEBT</v>
          </cell>
          <cell r="D108" t="e">
            <v>#NAME?</v>
          </cell>
        </row>
        <row r="109">
          <cell r="B109" t="str">
            <v>Lease principal payments  (applicable to IFRS cos.)</v>
          </cell>
          <cell r="C109" t="str">
            <v>LEASE_PRINCIPAL_CASH</v>
          </cell>
          <cell r="D109" t="e">
            <v>#NAME?</v>
          </cell>
        </row>
        <row r="110">
          <cell r="B110" t="str">
            <v>Other financing cash flow items</v>
          </cell>
          <cell r="C110" t="str">
            <v>OTH_FIN_CF</v>
          </cell>
          <cell r="D110" t="e">
            <v>#NAME?</v>
          </cell>
        </row>
        <row r="111">
          <cell r="B111" t="str">
            <v>Cash flow from financing</v>
          </cell>
          <cell r="C111" t="str">
            <v>CF_FIN</v>
          </cell>
          <cell r="D111" t="e">
            <v>#NAME?</v>
          </cell>
        </row>
        <row r="112">
          <cell r="B112" t="str">
            <v>Other items net cash flow</v>
          </cell>
          <cell r="C112" t="str">
            <v>OTH_ITEM_NCF</v>
          </cell>
          <cell r="D112" t="e">
            <v>#NAME?</v>
          </cell>
        </row>
        <row r="113">
          <cell r="B113" t="str">
            <v>Total cash flow</v>
          </cell>
          <cell r="C113" t="str">
            <v>TOT_CF</v>
          </cell>
          <cell r="D113" t="e">
            <v>#NAME?</v>
          </cell>
        </row>
        <row r="115">
          <cell r="B115" t="str">
            <v>Associate and JV add-back</v>
          </cell>
          <cell r="C115" t="str">
            <v>ASSOC_JV_ADDBK</v>
          </cell>
          <cell r="D115" t="e">
            <v>#NAME?</v>
          </cell>
        </row>
        <row r="116">
          <cell r="B116" t="str">
            <v>Cash interest income/(expense)</v>
          </cell>
          <cell r="C116" t="str">
            <v>CASH_INT_INC_EXP</v>
          </cell>
          <cell r="D116" t="e">
            <v>#NAME?</v>
          </cell>
        </row>
        <row r="117">
          <cell r="B117" t="str">
            <v>Cash taxes paid</v>
          </cell>
          <cell r="C117" t="str">
            <v>CASH_TAX_PD</v>
          </cell>
          <cell r="D117" t="e">
            <v>#NAME?</v>
          </cell>
        </row>
        <row r="118">
          <cell r="B118" t="str">
            <v>Profit/(loss) on sale of assets</v>
          </cell>
          <cell r="C118" t="str">
            <v>PL_SALE_ASSETS</v>
          </cell>
          <cell r="D118" t="e">
            <v>#NAME?</v>
          </cell>
        </row>
        <row r="119">
          <cell r="B119" t="str">
            <v>Other non-cash adjustments</v>
          </cell>
          <cell r="C119" t="str">
            <v>OTH_NONCASH_ADJ</v>
          </cell>
          <cell r="D119" t="e">
            <v>#NAME?</v>
          </cell>
        </row>
        <row r="120">
          <cell r="B120" t="str">
            <v>Other DACF adjustments</v>
          </cell>
          <cell r="C120" t="str">
            <v>OTH_DACF_ADJ</v>
          </cell>
          <cell r="D120" t="e">
            <v>#NAME?</v>
          </cell>
        </row>
        <row r="121">
          <cell r="B121" t="str">
            <v>Cash interest expense</v>
          </cell>
          <cell r="C121" t="str">
            <v>CASH_INT_EXP</v>
          </cell>
          <cell r="D121" t="e">
            <v>#NAME?</v>
          </cell>
        </row>
        <row r="122">
          <cell r="B122" t="str">
            <v>Cash tax expense</v>
          </cell>
          <cell r="C122" t="str">
            <v>CASH_TAX_EXP</v>
          </cell>
          <cell r="D122" t="e">
            <v>#NAME?</v>
          </cell>
        </row>
        <row r="123">
          <cell r="B123" t="str">
            <v>Dividends received from associates/JVs</v>
          </cell>
          <cell r="C123" t="str">
            <v>DIVDS_ASSOC_JV</v>
          </cell>
          <cell r="D123" t="e">
            <v>#NAME?</v>
          </cell>
        </row>
        <row r="124">
          <cell r="B124" t="str">
            <v>Capex maintenance</v>
          </cell>
          <cell r="C124" t="str">
            <v>CAPEX_MAINTENANCE</v>
          </cell>
          <cell r="D124" t="e">
            <v>#NAME?</v>
          </cell>
        </row>
        <row r="125">
          <cell r="B125" t="str">
            <v>Capex expansion</v>
          </cell>
          <cell r="C125" t="str">
            <v>CAPEX_EXPANSION</v>
          </cell>
          <cell r="D125" t="e">
            <v>#NAME?</v>
          </cell>
        </row>
        <row r="126">
          <cell r="B126" t="str">
            <v>Non-PP&amp;E capex</v>
          </cell>
          <cell r="C126" t="str">
            <v>NONPPE_CAPEX</v>
          </cell>
          <cell r="D126" t="e">
            <v>#NAME?</v>
          </cell>
        </row>
        <row r="127">
          <cell r="B127" t="str">
            <v>Dividends paid to minorities</v>
          </cell>
          <cell r="C127" t="str">
            <v>DIVDS_PD_MINORITIES</v>
          </cell>
          <cell r="D127" t="e">
            <v>#NAME?</v>
          </cell>
        </row>
        <row r="129">
          <cell r="B129" t="str">
            <v>Group sales % - &gt;50% bigger than number 2</v>
          </cell>
          <cell r="C129" t="str">
            <v>GROUP_SALES_PCT_BIG_NO_TWO</v>
          </cell>
        </row>
        <row r="130">
          <cell r="B130" t="str">
            <v>Group sales % -  number 1/shared number one</v>
          </cell>
          <cell r="C130" t="str">
            <v>GROUP_SALES_PCT_SHRD_NO_ONE</v>
          </cell>
        </row>
        <row r="131">
          <cell r="B131" t="str">
            <v>Group sales % -  top 3</v>
          </cell>
          <cell r="C131" t="str">
            <v>GROUP_SALES_PCT_TOP_THREE</v>
          </cell>
        </row>
        <row r="132">
          <cell r="B132" t="str">
            <v>Aftermarket - % Global sales</v>
          </cell>
          <cell r="C132" t="str">
            <v>AMKT_PCT_GROUP_SALES</v>
          </cell>
        </row>
        <row r="133">
          <cell r="B133" t="str">
            <v>Distribution score</v>
          </cell>
          <cell r="C133" t="str">
            <v>DISTR_SCORE</v>
          </cell>
        </row>
        <row r="134">
          <cell r="B134" t="str">
            <v>Structural growth outlook by product category</v>
          </cell>
          <cell r="C134" t="str">
            <v>STRCTL_GRTH_PROD_CTGRY</v>
          </cell>
        </row>
        <row r="135">
          <cell r="B135" t="str">
            <v>Cyclical growth outlook by end market</v>
          </cell>
          <cell r="C135" t="str">
            <v>CYCL_GRTH_EMKT</v>
          </cell>
        </row>
        <row r="136">
          <cell r="B136" t="str">
            <v>Cycle adjusted CROCI</v>
          </cell>
          <cell r="C136" t="str">
            <v>CYCL_ADJ_CROCI</v>
          </cell>
        </row>
        <row r="137">
          <cell r="B137" t="str">
            <v>Degree of customer concentration (High/Medium/Low)</v>
          </cell>
          <cell r="C137" t="str">
            <v>DGR_CUST_CONCTR</v>
          </cell>
        </row>
        <row r="138">
          <cell r="B138" t="str">
            <v>Sales % represented by project business</v>
          </cell>
          <cell r="C138" t="str">
            <v>SALES_PCT_PROJ_BUS</v>
          </cell>
        </row>
        <row r="139">
          <cell r="B139" t="str">
            <v>Sales % represented by service contracts or aftermarket/captive sales</v>
          </cell>
          <cell r="C139" t="str">
            <v>SALES_PCT_REC</v>
          </cell>
        </row>
        <row r="141">
          <cell r="B141" t="str">
            <v>Number of employees</v>
          </cell>
          <cell r="C141" t="str">
            <v>EMPLOYEES</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9">
          <cell r="B169" t="str">
            <v>Regional exposure as % of revenues - North America</v>
          </cell>
          <cell r="C169" t="str">
            <v>SALES_EXPOSURE_NO_AMERICA</v>
          </cell>
        </row>
        <row r="170">
          <cell r="B170" t="str">
            <v>Regional exposure as % of revenues - EMEA</v>
          </cell>
          <cell r="C170" t="str">
            <v>SALES_EXPOSURE_EMEA</v>
          </cell>
        </row>
        <row r="171">
          <cell r="B171" t="str">
            <v>Regional exposure as % of revenues - APAC</v>
          </cell>
          <cell r="C171" t="str">
            <v>SALES_EXPOSURE_APAC</v>
          </cell>
        </row>
        <row r="172">
          <cell r="B172" t="str">
            <v>Regional exposure as % of revenues - China</v>
          </cell>
          <cell r="C172" t="str">
            <v>SALES_EXPOSURE_CHINA</v>
          </cell>
        </row>
        <row r="173">
          <cell r="B173" t="str">
            <v>Regional exposure as % of revenues - ROW</v>
          </cell>
          <cell r="C173" t="str">
            <v>SALES_EXPOSURE_ROW</v>
          </cell>
        </row>
        <row r="174">
          <cell r="B174" t="str">
            <v>Regional exposure as % of revenues - Developed Markets</v>
          </cell>
          <cell r="C174" t="str">
            <v>SALES_EXPOSURE_DEV_MKT</v>
          </cell>
        </row>
        <row r="175">
          <cell r="B175" t="str">
            <v>Regional exposure as % of revenues - Emerging Markets</v>
          </cell>
          <cell r="C175" t="str">
            <v>SALES_EXPOSURE_EMER_MKT</v>
          </cell>
        </row>
        <row r="177">
          <cell r="B177" t="str">
            <v>Sales to the construction end market - % Global</v>
          </cell>
          <cell r="C177" t="str">
            <v>SALES_CONSRT_EMKT_GLOBAL</v>
          </cell>
        </row>
        <row r="178">
          <cell r="B178" t="str">
            <v>Sales to the construction end market - % No. America</v>
          </cell>
          <cell r="C178" t="str">
            <v>SALES_CONSRT_EMKT_NO_AMERICA</v>
          </cell>
        </row>
        <row r="179">
          <cell r="B179" t="str">
            <v>Sales to the construction end market - % EAME</v>
          </cell>
          <cell r="C179" t="str">
            <v>SALES_CONSRT_EMKT_EAME</v>
          </cell>
        </row>
        <row r="180">
          <cell r="B180" t="str">
            <v>Sales to the construction end market - % So. America</v>
          </cell>
          <cell r="C180" t="str">
            <v>SALES_CONSRT_EMKT_SO_AMERICA</v>
          </cell>
        </row>
        <row r="181">
          <cell r="B181" t="str">
            <v>Sales to the construction end market - % China</v>
          </cell>
          <cell r="C181" t="str">
            <v>SALES_CONSRT_EMKT_CHINA</v>
          </cell>
        </row>
        <row r="182">
          <cell r="B182" t="str">
            <v>Sales to the construction end market - % Asia ex-China</v>
          </cell>
          <cell r="C182" t="str">
            <v>SALES_CONSRT_EMKT_ASIAEXCHINA</v>
          </cell>
        </row>
        <row r="183">
          <cell r="B183" t="str">
            <v>Sales to the transmission &amp; distribution end market - % Global</v>
          </cell>
          <cell r="C183" t="str">
            <v>SALES_TRN_DIST_EMKT_GLOBAL</v>
          </cell>
        </row>
        <row r="184">
          <cell r="B184" t="str">
            <v>Sales to the transmission &amp; distribution end market - % No. America</v>
          </cell>
          <cell r="C184" t="str">
            <v>SALES_TRN_DIST_EMKT_NO_AMERICA</v>
          </cell>
        </row>
        <row r="185">
          <cell r="B185" t="str">
            <v>Sales to the transmission &amp; distribution end market - % EAME</v>
          </cell>
          <cell r="C185" t="str">
            <v>SALES_TRN_DIST_EMKT_EAME</v>
          </cell>
        </row>
        <row r="186">
          <cell r="B186" t="str">
            <v>Sales to the transmission &amp; distribution end market - % So. America</v>
          </cell>
          <cell r="C186" t="str">
            <v>SALES_TRN_DIST_EMKT_SO_AMERICA</v>
          </cell>
        </row>
        <row r="187">
          <cell r="B187" t="str">
            <v>Sales to the transmission &amp; distribution end market - % China</v>
          </cell>
          <cell r="C187" t="str">
            <v>SALES_TRN_DIST_EMKT_CHINA</v>
          </cell>
        </row>
        <row r="188">
          <cell r="B188" t="str">
            <v>Sales to the transmission &amp; distribution end market - % Asia ex-China</v>
          </cell>
          <cell r="C188" t="str">
            <v>SALES_TRN_DIST_EMKT_ASIAEXCHINA</v>
          </cell>
        </row>
        <row r="189">
          <cell r="B189" t="str">
            <v>Sales to the power generation end market - % Global</v>
          </cell>
          <cell r="C189" t="str">
            <v>SALES_PWR_GEN_EMKT_GLOBAL</v>
          </cell>
        </row>
        <row r="190">
          <cell r="B190" t="str">
            <v>Sales to the power generation end market - % No. America</v>
          </cell>
          <cell r="C190" t="str">
            <v>SALES_PWR_GEN_EMKT_NO_AMERICA</v>
          </cell>
        </row>
        <row r="191">
          <cell r="B191" t="str">
            <v>Sales to the power generation end market - % EAME</v>
          </cell>
          <cell r="C191" t="str">
            <v>SALES_PWR_GEN_EMKT_EAME</v>
          </cell>
        </row>
        <row r="192">
          <cell r="B192" t="str">
            <v>Sales to the power generation end market - % So. America</v>
          </cell>
          <cell r="C192" t="str">
            <v>SALES_PWR_GEN_EMKT_SO_AMERICA</v>
          </cell>
        </row>
        <row r="193">
          <cell r="B193" t="str">
            <v>Sales to the power generation end market - % China</v>
          </cell>
          <cell r="C193" t="str">
            <v>SALES_PWR_GEN_EMKT_CHINA</v>
          </cell>
        </row>
        <row r="194">
          <cell r="B194" t="str">
            <v>Sales to the power generation end market - % Asia ex-China</v>
          </cell>
          <cell r="C194" t="str">
            <v>SALES_PWR_GEN_EMKT_ASIAEXCHINA</v>
          </cell>
        </row>
        <row r="195">
          <cell r="B195" t="str">
            <v>Sales to the mining end market - % Global</v>
          </cell>
          <cell r="C195" t="str">
            <v>SALES_MINING_EMKT_GLOBAL</v>
          </cell>
        </row>
        <row r="196">
          <cell r="B196" t="str">
            <v>Sales to the mining end market - % No. America</v>
          </cell>
          <cell r="C196" t="str">
            <v>SALES_MINING_EMKT_NO_AMERICA</v>
          </cell>
        </row>
        <row r="197">
          <cell r="B197" t="str">
            <v>Sales to the mining end market - % EAME</v>
          </cell>
          <cell r="C197" t="str">
            <v>SALES_MINING_EMKT_EAME</v>
          </cell>
        </row>
        <row r="198">
          <cell r="B198" t="str">
            <v>Sales to the mining end market - % So. America</v>
          </cell>
          <cell r="C198" t="str">
            <v>SALES_MINING_EMKT_SO_AMERICA</v>
          </cell>
        </row>
        <row r="199">
          <cell r="B199" t="str">
            <v>Sales to the mining end market - % China</v>
          </cell>
          <cell r="C199" t="str">
            <v>SALES_MINING_EMKT_CHINA</v>
          </cell>
        </row>
        <row r="200">
          <cell r="B200" t="str">
            <v>Sales to the mining end market - % Asia ex-China</v>
          </cell>
          <cell r="C200" t="str">
            <v>SALES_MINING_EMKT_ASIAEXCHINA</v>
          </cell>
        </row>
        <row r="201">
          <cell r="B201" t="str">
            <v>Sales to the oil &amp; gas end market - % Global</v>
          </cell>
          <cell r="C201" t="str">
            <v>SALES_OIL_GAS_EMKT_GLOBAL</v>
          </cell>
        </row>
        <row r="202">
          <cell r="B202" t="str">
            <v>Sales to the oil &amp; gas end market - % No. America</v>
          </cell>
          <cell r="C202" t="str">
            <v>SALES_OIL_GAS_EMKT_NO_AMERICA</v>
          </cell>
        </row>
        <row r="203">
          <cell r="B203" t="str">
            <v>Sales to the oil &amp; gas end market - % EAME</v>
          </cell>
          <cell r="C203" t="str">
            <v>SALES_OIL_GAS_EMKT_EAME</v>
          </cell>
        </row>
        <row r="204">
          <cell r="B204" t="str">
            <v>Sales to the oil &amp; gas end market - % So. America</v>
          </cell>
          <cell r="C204" t="str">
            <v>SALES_OIL_GAS_EMKT_SO_AMERICA</v>
          </cell>
        </row>
        <row r="205">
          <cell r="B205" t="str">
            <v>Sales to the oil &amp; gas end market - % China</v>
          </cell>
          <cell r="C205" t="str">
            <v>SALES_OIL_GAS_EMKT_CHINA</v>
          </cell>
        </row>
        <row r="206">
          <cell r="B206" t="str">
            <v>Sales to the oil &amp; gas end market - % Asia ex-China</v>
          </cell>
          <cell r="C206" t="str">
            <v>SALES_OIL_GAS_EMKT_ASIAEXCHINA</v>
          </cell>
        </row>
        <row r="207">
          <cell r="B207" t="str">
            <v>Sales to the automotive end market - % Global</v>
          </cell>
          <cell r="C207" t="str">
            <v>SALES_AUTOMTV_EMKT_GLOBAL</v>
          </cell>
        </row>
        <row r="208">
          <cell r="B208" t="str">
            <v>Sales to the automotive end market - % No. America</v>
          </cell>
          <cell r="C208" t="str">
            <v>SALES_AUTOMTV_EMKT_NO_AMERICA</v>
          </cell>
        </row>
        <row r="209">
          <cell r="B209" t="str">
            <v>Sales to the automotive end market - % EAME</v>
          </cell>
          <cell r="C209" t="str">
            <v>SALES_AUTOMTV_EMKT_EAME</v>
          </cell>
        </row>
        <row r="210">
          <cell r="B210" t="str">
            <v>Sales to the automotive end market - % So. America</v>
          </cell>
          <cell r="C210" t="str">
            <v>SALES_AUTOMTV_EMKT_SO_AMERICA</v>
          </cell>
        </row>
        <row r="211">
          <cell r="B211" t="str">
            <v>Sales to the automotive end market - % China</v>
          </cell>
          <cell r="C211" t="str">
            <v>SALES_AUTOMTV_EMKT_CHINA</v>
          </cell>
        </row>
        <row r="212">
          <cell r="B212" t="str">
            <v>Sales to the automotive end market - % Asia ex-China</v>
          </cell>
          <cell r="C212" t="str">
            <v>SALES_AUTOMTV_EMKT_ASIAEXCHINA</v>
          </cell>
        </row>
        <row r="213">
          <cell r="B213" t="str">
            <v>Sales to the rail end market - % Global</v>
          </cell>
          <cell r="C213" t="str">
            <v>SALES_RAIL_EMKT_GLOBAL</v>
          </cell>
        </row>
        <row r="214">
          <cell r="B214" t="str">
            <v>Sales to the rail end market - % No. America</v>
          </cell>
          <cell r="C214" t="str">
            <v>SALES_RAIL_EMKT_NO_AMERICA</v>
          </cell>
        </row>
        <row r="215">
          <cell r="B215" t="str">
            <v>Sales to the rail end market - % EAME</v>
          </cell>
          <cell r="C215" t="str">
            <v>SALES_RAIL_EMKT_EAME</v>
          </cell>
        </row>
        <row r="216">
          <cell r="B216" t="str">
            <v>Sales to the rail end market - % So. America</v>
          </cell>
          <cell r="C216" t="str">
            <v>SALES_RAIL_EMKT_SO_AMERICA</v>
          </cell>
        </row>
        <row r="217">
          <cell r="B217" t="str">
            <v>Sales to the rail end market - % China</v>
          </cell>
          <cell r="C217" t="str">
            <v>SALES_RAIL_EMKT_CHINA</v>
          </cell>
        </row>
        <row r="218">
          <cell r="B218" t="str">
            <v>Sales to the rail end market - % Asia ex-China</v>
          </cell>
          <cell r="C218" t="str">
            <v>SALES_RAIL_EMKT_ASIAEXCHINA</v>
          </cell>
        </row>
        <row r="219">
          <cell r="B219" t="str">
            <v>Sales to the consumer end market - % Global</v>
          </cell>
          <cell r="C219" t="str">
            <v>SALES_CONS_EMKT_GLOBAL</v>
          </cell>
        </row>
        <row r="220">
          <cell r="B220" t="str">
            <v>Sales to the consumer end market - % No. America</v>
          </cell>
          <cell r="C220" t="str">
            <v>SALES_CONS_EMKT_NO_AMERICA</v>
          </cell>
        </row>
        <row r="221">
          <cell r="B221" t="str">
            <v>Sales to the consumer end market - % EAME</v>
          </cell>
          <cell r="C221" t="str">
            <v>SALES_CONS_EMKT_EAME</v>
          </cell>
        </row>
        <row r="222">
          <cell r="B222" t="str">
            <v>Sales to the consumer end market - % So. America</v>
          </cell>
          <cell r="C222" t="str">
            <v>SALES_CONS_EMKT_SO_AMERICA</v>
          </cell>
        </row>
        <row r="223">
          <cell r="B223" t="str">
            <v>Sales to the consumer end market - % China</v>
          </cell>
          <cell r="C223" t="str">
            <v>SALES_CONS_EMKT_CHINA</v>
          </cell>
        </row>
        <row r="224">
          <cell r="B224" t="str">
            <v>Sales to the consumer end market - % Asia ex-China</v>
          </cell>
          <cell r="C224" t="str">
            <v>SALES_CONS_EMKT_ASIAEXCHINA</v>
          </cell>
        </row>
        <row r="225">
          <cell r="B225" t="str">
            <v>Sales to the tech end market - % Global</v>
          </cell>
          <cell r="C225" t="str">
            <v>SALES_TECH_EMKT_GLOBAL</v>
          </cell>
        </row>
        <row r="226">
          <cell r="B226" t="str">
            <v>Sales to the tech end market - % No. America</v>
          </cell>
          <cell r="C226" t="str">
            <v>SALES_TECH_EMKT_NO_AMERICA</v>
          </cell>
        </row>
        <row r="227">
          <cell r="B227" t="str">
            <v>Sales to the tech end market - % EAME</v>
          </cell>
          <cell r="C227" t="str">
            <v>SALES_TECH_EMKT_EAME</v>
          </cell>
        </row>
        <row r="228">
          <cell r="B228" t="str">
            <v>Sales to the tech end market - % So. America</v>
          </cell>
          <cell r="C228" t="str">
            <v>SALES_TECH_EMKT_SO_AMERICA</v>
          </cell>
        </row>
        <row r="229">
          <cell r="B229" t="str">
            <v>Sales to the tech end market - % China</v>
          </cell>
          <cell r="C229" t="str">
            <v>SALES_TECH_EMKT_CHINA</v>
          </cell>
        </row>
        <row r="230">
          <cell r="B230" t="str">
            <v>Sales to the tech end market - % Asia ex-China</v>
          </cell>
          <cell r="C230" t="str">
            <v>SALES_TECH_EMKT_ASIAEXCHINA</v>
          </cell>
        </row>
        <row r="231">
          <cell r="B231" t="str">
            <v>Sales to the agriculture end market - % Global</v>
          </cell>
          <cell r="C231" t="str">
            <v>SALES_AGRI_EMKT_GLOBAL</v>
          </cell>
        </row>
        <row r="232">
          <cell r="B232" t="str">
            <v>Sales to the agriculture end market - % No. America</v>
          </cell>
          <cell r="C232" t="str">
            <v>SALES_AGRI_EMKT_NO_AMERICA</v>
          </cell>
        </row>
        <row r="233">
          <cell r="B233" t="str">
            <v>Sales to the agriculture end market - % EAME</v>
          </cell>
          <cell r="C233" t="str">
            <v>SALES_AGRI_EMKT_EAME</v>
          </cell>
        </row>
        <row r="234">
          <cell r="B234" t="str">
            <v>Sales to the agriculture end market - % So. America</v>
          </cell>
          <cell r="C234" t="str">
            <v>SALES_AGRI_EMKT_SO_AMERICA</v>
          </cell>
        </row>
        <row r="235">
          <cell r="B235" t="str">
            <v>Sales to the agriculture end market - % China</v>
          </cell>
          <cell r="C235" t="str">
            <v>SALES_AGRI_EMKT_CHINA</v>
          </cell>
        </row>
        <row r="236">
          <cell r="B236" t="str">
            <v>Sales to the agriculture end market - % Asia ex-China</v>
          </cell>
          <cell r="C236" t="str">
            <v>SALES_AGRI_EMKT_ASIAEXCHINA</v>
          </cell>
        </row>
        <row r="237">
          <cell r="B237" t="str">
            <v>Sales to the general industrial end market - % Global</v>
          </cell>
          <cell r="C237" t="str">
            <v>SALES_GNRL_IND_EMKT_GLOBAL</v>
          </cell>
        </row>
        <row r="238">
          <cell r="B238" t="str">
            <v>Sales to the general industrial end market - % No. America</v>
          </cell>
          <cell r="C238" t="str">
            <v>SALES_GNRL_IND_EMKT_NO_AMERICA</v>
          </cell>
        </row>
        <row r="239">
          <cell r="B239" t="str">
            <v>Sales to the general industrial end market - % EAME</v>
          </cell>
          <cell r="C239" t="str">
            <v>SALES_GNRL_IND_EMKT_EAME</v>
          </cell>
        </row>
        <row r="240">
          <cell r="B240" t="str">
            <v>Sales to the general industrial end market - % So. America</v>
          </cell>
          <cell r="C240" t="str">
            <v>SALES_GNRL_IND_EMKT_SO_AMERICA</v>
          </cell>
        </row>
        <row r="241">
          <cell r="B241" t="str">
            <v>Sales to the general industrial end market - % China</v>
          </cell>
          <cell r="C241" t="str">
            <v>SALES_GNRL_IND_EMKT_CHINA</v>
          </cell>
        </row>
        <row r="242">
          <cell r="B242" t="str">
            <v>Sales to the general industrial end market - % Asia ex-China</v>
          </cell>
          <cell r="C242" t="str">
            <v>SALES_GNRL_IND_EMKT_ASIAEXCHINA</v>
          </cell>
        </row>
        <row r="243">
          <cell r="B243" t="str">
            <v>Sales to the aftermarket end market - % Global</v>
          </cell>
          <cell r="C243" t="str">
            <v>SALES_AMKT_EMKT_GLOBAL</v>
          </cell>
        </row>
        <row r="244">
          <cell r="B244" t="str">
            <v>End market exposure as % of revenues - Aerospace</v>
          </cell>
          <cell r="C244" t="str">
            <v>SALES_EMKT_AEROSPC</v>
          </cell>
        </row>
        <row r="245">
          <cell r="B245" t="str">
            <v>End market exposure as % of revenues - Agriculture</v>
          </cell>
          <cell r="C245" t="str">
            <v>SALES_EMRKT_AGRI</v>
          </cell>
        </row>
        <row r="246">
          <cell r="B246" t="str">
            <v>End market exposure as % of revenues - Chemicals</v>
          </cell>
          <cell r="C246" t="str">
            <v>SALES_EMRKT_CHEM</v>
          </cell>
        </row>
        <row r="247">
          <cell r="B247" t="str">
            <v>End market exposure as % of revenues - Consumer</v>
          </cell>
          <cell r="C247" t="str">
            <v>SALES_EMKT_CONS</v>
          </cell>
        </row>
        <row r="248">
          <cell r="B248" t="str">
            <v>End market exposure as % of revenues - Electronics</v>
          </cell>
          <cell r="C248" t="str">
            <v>SALES_EMRKT_ELEC</v>
          </cell>
        </row>
        <row r="249">
          <cell r="B249" t="str">
            <v>End market exposure as % of revenues - General Industrial</v>
          </cell>
          <cell r="C249" t="str">
            <v>SALES_EMKT_GNRL_IND</v>
          </cell>
        </row>
        <row r="250">
          <cell r="B250" t="str">
            <v>End market exposure as % of revenues - Marine (ex. O&amp;G)</v>
          </cell>
          <cell r="C250" t="str">
            <v>SALES_EMRKT_MARINE</v>
          </cell>
        </row>
        <row r="251">
          <cell r="B251" t="str">
            <v>End market exposure as % of revenues - Not classified</v>
          </cell>
          <cell r="C251" t="str">
            <v>SALES_EMRKT_NC</v>
          </cell>
        </row>
        <row r="252">
          <cell r="B252" t="str">
            <v>End market exposure as % of revenues - Medical</v>
          </cell>
          <cell r="C252" t="str">
            <v>SALES_EMKT_MED</v>
          </cell>
        </row>
        <row r="253">
          <cell r="B253" t="str">
            <v>End market exposure as % of revenues - Mining</v>
          </cell>
          <cell r="C253" t="str">
            <v>SALES_EMKT_MINING</v>
          </cell>
        </row>
        <row r="254">
          <cell r="B254" t="str">
            <v>End market exposure as % of revenues - Non-res construction</v>
          </cell>
          <cell r="C254" t="str">
            <v>SALES_EMKT_NRES_CONSRT</v>
          </cell>
        </row>
        <row r="255">
          <cell r="B255" t="str">
            <v>End market exposure as % of revenues - O&amp;G</v>
          </cell>
          <cell r="C255" t="str">
            <v>SALES_EMKT_OIL_GAS</v>
          </cell>
        </row>
        <row r="256">
          <cell r="B256" t="str">
            <v>End market exposure as % of revenues - Power Gen</v>
          </cell>
          <cell r="C256" t="str">
            <v>SALES_EMKT_PWR_GEN</v>
          </cell>
        </row>
        <row r="257">
          <cell r="B257" t="str">
            <v>End market exposure as % of revenues - Pulp &amp; paper</v>
          </cell>
          <cell r="C257" t="str">
            <v>SALES_EMRKT_PULP</v>
          </cell>
        </row>
        <row r="258">
          <cell r="B258" t="str">
            <v>End market exposure as % of revenues - Rail</v>
          </cell>
          <cell r="C258" t="str">
            <v>SALES_EMKT_RAIL</v>
          </cell>
        </row>
        <row r="259">
          <cell r="B259" t="str">
            <v>End market exposure as % of revenues - Res construction</v>
          </cell>
          <cell r="C259" t="str">
            <v>SALES_EMKT_RES_CONSRT</v>
          </cell>
        </row>
        <row r="260">
          <cell r="B260" t="str">
            <v>End market exposure as % of revenues - T&amp;D</v>
          </cell>
          <cell r="C260" t="str">
            <v>SALES_EMKT_TRN_DIST</v>
          </cell>
        </row>
        <row r="261">
          <cell r="B261" t="str">
            <v>End market exposure as % of revenues - Tech/telecom</v>
          </cell>
          <cell r="C261" t="str">
            <v>SALES_EMKT_TECH_TELCO</v>
          </cell>
        </row>
        <row r="262">
          <cell r="B262" t="str">
            <v>End market exposure as % of revenues - Vehicle</v>
          </cell>
          <cell r="C262" t="str">
            <v>SALES_EMKT_VHCLE</v>
          </cell>
        </row>
        <row r="264">
          <cell r="B264" t="str">
            <v>Sales - % Canada</v>
          </cell>
          <cell r="C264" t="str">
            <v>SALES_CANADA</v>
          </cell>
        </row>
        <row r="265">
          <cell r="B265" t="str">
            <v>Sales - % United States</v>
          </cell>
          <cell r="C265" t="str">
            <v>SALES_US</v>
          </cell>
        </row>
        <row r="266">
          <cell r="B266" t="str">
            <v>Sales - % Other North Americas</v>
          </cell>
          <cell r="C266" t="str">
            <v>SALES_OTH_NO_AMER</v>
          </cell>
        </row>
        <row r="267">
          <cell r="B267" t="str">
            <v>Sales - % Argentina</v>
          </cell>
          <cell r="C267" t="str">
            <v>SALES_ARGENTINA</v>
          </cell>
        </row>
        <row r="268">
          <cell r="B268" t="str">
            <v>Sales - % Brazil</v>
          </cell>
          <cell r="C268" t="str">
            <v>SALES_BRAZIL</v>
          </cell>
        </row>
        <row r="269">
          <cell r="B269" t="str">
            <v>Sales - % Chile</v>
          </cell>
          <cell r="C269" t="str">
            <v>SALES_CHILE</v>
          </cell>
        </row>
        <row r="270">
          <cell r="B270" t="str">
            <v>Sales - % Colombia</v>
          </cell>
          <cell r="C270" t="str">
            <v>SALES_COLOMBIA</v>
          </cell>
        </row>
        <row r="271">
          <cell r="B271" t="str">
            <v>Sales - % Mexico</v>
          </cell>
          <cell r="C271" t="str">
            <v>SALES_MEXICO</v>
          </cell>
        </row>
        <row r="272">
          <cell r="B272" t="str">
            <v>Sales - % Venezuela</v>
          </cell>
          <cell r="C272" t="str">
            <v>SALES_VENEZUELA</v>
          </cell>
        </row>
        <row r="273">
          <cell r="B273" t="str">
            <v>Sales - % Other Latin Americas</v>
          </cell>
          <cell r="C273" t="str">
            <v>SALES_OTH_LATAM</v>
          </cell>
        </row>
        <row r="274">
          <cell r="B274" t="str">
            <v>Sales - % Austria</v>
          </cell>
          <cell r="C274" t="str">
            <v>SALES_AUSTRIA</v>
          </cell>
        </row>
        <row r="275">
          <cell r="B275" t="str">
            <v>Sales - % Belgium</v>
          </cell>
          <cell r="C275" t="str">
            <v>SALES_BEL</v>
          </cell>
        </row>
        <row r="276">
          <cell r="B276" t="str">
            <v>Sales - % France</v>
          </cell>
          <cell r="C276" t="str">
            <v>SALES_FRA</v>
          </cell>
        </row>
        <row r="277">
          <cell r="B277" t="str">
            <v>Sales - % Germany</v>
          </cell>
          <cell r="C277" t="str">
            <v>SALES_GER</v>
          </cell>
        </row>
        <row r="278">
          <cell r="B278" t="str">
            <v>Sales - % Greece</v>
          </cell>
          <cell r="C278" t="str">
            <v>SALES_GRE</v>
          </cell>
        </row>
        <row r="279">
          <cell r="B279" t="str">
            <v>Sales - % Ireland</v>
          </cell>
          <cell r="C279" t="str">
            <v>SALES_IRE</v>
          </cell>
        </row>
        <row r="280">
          <cell r="B280" t="str">
            <v>Sales - % Italy</v>
          </cell>
          <cell r="C280" t="str">
            <v>SALES_ITA</v>
          </cell>
        </row>
        <row r="281">
          <cell r="B281" t="str">
            <v>Sales - % Netherlands</v>
          </cell>
          <cell r="C281" t="str">
            <v>SALES_NETH</v>
          </cell>
        </row>
        <row r="282">
          <cell r="B282" t="str">
            <v>Sales - % Norway</v>
          </cell>
          <cell r="C282" t="str">
            <v>SALES_NOR</v>
          </cell>
        </row>
        <row r="283">
          <cell r="B283" t="str">
            <v>Sales - % Portugal</v>
          </cell>
          <cell r="C283" t="str">
            <v>SALES_POR</v>
          </cell>
        </row>
        <row r="284">
          <cell r="B284" t="str">
            <v>Sales - % Spain</v>
          </cell>
          <cell r="C284" t="str">
            <v>SALES_SPA</v>
          </cell>
        </row>
        <row r="285">
          <cell r="B285" t="str">
            <v>Sales - % Sweden</v>
          </cell>
          <cell r="C285" t="str">
            <v>SALES_SWE</v>
          </cell>
        </row>
        <row r="286">
          <cell r="B286" t="str">
            <v>Sales - % Switzerland</v>
          </cell>
          <cell r="C286" t="str">
            <v>SALES_SWIT</v>
          </cell>
        </row>
        <row r="287">
          <cell r="B287" t="str">
            <v>Sales - % UK</v>
          </cell>
          <cell r="C287" t="str">
            <v>SALES_UK</v>
          </cell>
        </row>
        <row r="288">
          <cell r="B288" t="str">
            <v>Sales - % Other Western Europe</v>
          </cell>
          <cell r="C288" t="str">
            <v>SALES_OTH_WEST_EURO</v>
          </cell>
        </row>
        <row r="289">
          <cell r="B289" t="str">
            <v>Sales - % Poland</v>
          </cell>
          <cell r="C289" t="str">
            <v>SALES_POLAND</v>
          </cell>
        </row>
        <row r="290">
          <cell r="B290" t="str">
            <v>Sales - % Russia</v>
          </cell>
          <cell r="C290" t="str">
            <v>SALES_RUSSIA</v>
          </cell>
        </row>
        <row r="291">
          <cell r="B291" t="str">
            <v>Sales - % Turkey</v>
          </cell>
          <cell r="C291" t="str">
            <v>SALES_TURKEY</v>
          </cell>
        </row>
        <row r="292">
          <cell r="B292" t="str">
            <v>Sales - % Other CEE</v>
          </cell>
          <cell r="C292" t="str">
            <v>SALES_OTH_CEE</v>
          </cell>
        </row>
        <row r="293">
          <cell r="B293" t="str">
            <v>Sales - % Saudi Arabia</v>
          </cell>
          <cell r="C293" t="str">
            <v>SALES_SAUDI_ARABIA</v>
          </cell>
        </row>
        <row r="294">
          <cell r="B294" t="str">
            <v>Sales - % United Arab Emirates</v>
          </cell>
          <cell r="C294" t="str">
            <v>SALES_UAE</v>
          </cell>
        </row>
        <row r="295">
          <cell r="B295" t="str">
            <v>Sales - % Other Middle East</v>
          </cell>
          <cell r="C295" t="str">
            <v>SALES_OTH_ME</v>
          </cell>
        </row>
        <row r="296">
          <cell r="B296" t="str">
            <v>Sales - % Nigeria</v>
          </cell>
          <cell r="C296" t="str">
            <v>SALES_NIGERIA</v>
          </cell>
        </row>
        <row r="297">
          <cell r="B297" t="str">
            <v>Sales - % South Africa</v>
          </cell>
          <cell r="C297" t="str">
            <v>SALES_SO_AFRICA</v>
          </cell>
        </row>
        <row r="298">
          <cell r="B298" t="str">
            <v>Sales - % Other Africa</v>
          </cell>
          <cell r="C298" t="str">
            <v>SALES_OTH_AFRICA</v>
          </cell>
        </row>
        <row r="299">
          <cell r="B299" t="str">
            <v>Sales - % Hong Kong</v>
          </cell>
          <cell r="C299" t="str">
            <v>SALES_HONG_KONG</v>
          </cell>
        </row>
        <row r="300">
          <cell r="B300" t="str">
            <v>Sales - % Japan</v>
          </cell>
          <cell r="C300" t="str">
            <v>SALES_JAPAN</v>
          </cell>
        </row>
        <row r="301">
          <cell r="B301" t="str">
            <v>Sales - % Singapore</v>
          </cell>
          <cell r="C301" t="str">
            <v>SALES_SINGAPORE</v>
          </cell>
        </row>
        <row r="302">
          <cell r="B302" t="str">
            <v>Sales - % South Korea</v>
          </cell>
          <cell r="C302" t="str">
            <v>SALES_SK</v>
          </cell>
        </row>
        <row r="303">
          <cell r="B303" t="str">
            <v>Sales - % Taiwan</v>
          </cell>
          <cell r="C303" t="str">
            <v>SALES_TAIWAN</v>
          </cell>
        </row>
        <row r="304">
          <cell r="B304" t="str">
            <v>Sales - % Other Developed Asia</v>
          </cell>
          <cell r="C304" t="str">
            <v>SALES_OTH_DEV_ASIA</v>
          </cell>
        </row>
        <row r="305">
          <cell r="B305" t="str">
            <v>Sales - % China</v>
          </cell>
          <cell r="C305" t="str">
            <v>SALES_CHINA</v>
          </cell>
        </row>
        <row r="306">
          <cell r="B306" t="str">
            <v>Sales - % India</v>
          </cell>
          <cell r="C306" t="str">
            <v>SALES_INDIA</v>
          </cell>
        </row>
        <row r="307">
          <cell r="B307" t="str">
            <v>Sales - % Indonesia</v>
          </cell>
          <cell r="C307" t="str">
            <v>SALES_INDONESIA</v>
          </cell>
        </row>
        <row r="308">
          <cell r="B308" t="str">
            <v>Sales - % Thailand</v>
          </cell>
          <cell r="C308" t="str">
            <v>SALES_THAILAND</v>
          </cell>
        </row>
        <row r="309">
          <cell r="B309" t="str">
            <v>Sales - % Other Emerging Asia</v>
          </cell>
          <cell r="C309" t="str">
            <v>SALES_OTH_EMERG_ASIA</v>
          </cell>
        </row>
        <row r="310">
          <cell r="B310" t="str">
            <v>Sales - % Australia</v>
          </cell>
          <cell r="C310" t="str">
            <v>SALES_AUSTRA</v>
          </cell>
        </row>
        <row r="311">
          <cell r="B311" t="str">
            <v>Sales - % New Zealand</v>
          </cell>
          <cell r="C311" t="str">
            <v>SALES_NZ</v>
          </cell>
        </row>
        <row r="312">
          <cell r="B312" t="str">
            <v>Sales - % Others</v>
          </cell>
          <cell r="C312" t="str">
            <v>SALES_OTHER</v>
          </cell>
        </row>
        <row r="313">
          <cell r="B313" t="str">
            <v>% of CoGS from U.S. (GS estimate)</v>
          </cell>
          <cell r="C313" t="str">
            <v>COGS_PCT_US</v>
          </cell>
        </row>
        <row r="314">
          <cell r="B314" t="str">
            <v>% of CoGS from non-U.S. (GS estimate)</v>
          </cell>
          <cell r="C314" t="str">
            <v>COGS_PCT_ROW</v>
          </cell>
        </row>
        <row r="315">
          <cell r="B315" t="str">
            <v>% of SG&amp;A from U.S. (GS estimate)</v>
          </cell>
          <cell r="C315" t="str">
            <v>SGA_PCT_US</v>
          </cell>
        </row>
        <row r="316">
          <cell r="B316" t="str">
            <v>% of SG&amp;A from non-U.S. (GS estimate)</v>
          </cell>
          <cell r="C316" t="str">
            <v>SGA_PCT_ROW</v>
          </cell>
        </row>
        <row r="317">
          <cell r="B317" t="str">
            <v>Sales -% Consumer (C)</v>
          </cell>
          <cell r="C317" t="str">
            <v>SALES_CONS</v>
          </cell>
        </row>
        <row r="318">
          <cell r="B318" t="str">
            <v>Sales -% Industry (I)</v>
          </cell>
          <cell r="C318" t="str">
            <v>SALES_IND</v>
          </cell>
        </row>
        <row r="319">
          <cell r="B319" t="str">
            <v>Sales -% Government (G)</v>
          </cell>
          <cell r="C319" t="str">
            <v>SALES_GOV</v>
          </cell>
        </row>
        <row r="320">
          <cell r="B320" t="str">
            <v>Sales - % Industry Sub-Segment: Financial Services</v>
          </cell>
          <cell r="C320" t="str">
            <v>SALES_FINAN</v>
          </cell>
        </row>
        <row r="321">
          <cell r="B321" t="str">
            <v>Sales - % Industry Sub-Segment: Oil &amp; Gas</v>
          </cell>
          <cell r="C321" t="str">
            <v>SALES_OIL_GAS</v>
          </cell>
        </row>
        <row r="323">
          <cell r="B323" t="str">
            <v>Sales - % Oil/Petrol/Fuel</v>
          </cell>
          <cell r="C323" t="str">
            <v>SALES_OIL_PETRO_FUEL</v>
          </cell>
        </row>
        <row r="324">
          <cell r="B324" t="str">
            <v>Sales - % Oil derivatives/NGLs/plastics</v>
          </cell>
          <cell r="C324" t="str">
            <v>SALES_OIL_DERIV_NGLS_PLASTICS</v>
          </cell>
        </row>
        <row r="325">
          <cell r="B325" t="str">
            <v>Sales - % Nat Gas</v>
          </cell>
          <cell r="C325" t="str">
            <v>SALES_NAT_GAS</v>
          </cell>
        </row>
        <row r="326">
          <cell r="B326" t="str">
            <v>Sales - % Gold</v>
          </cell>
          <cell r="C326" t="str">
            <v>SALES_GOLD</v>
          </cell>
        </row>
        <row r="327">
          <cell r="B327" t="str">
            <v>Sales - % Copper</v>
          </cell>
          <cell r="C327" t="str">
            <v>SALES_COPPER</v>
          </cell>
        </row>
        <row r="328">
          <cell r="B328" t="str">
            <v>Sales - % Silver</v>
          </cell>
          <cell r="C328" t="str">
            <v>SALES_SILVER</v>
          </cell>
        </row>
        <row r="329">
          <cell r="B329" t="str">
            <v>Sales - % Platinum</v>
          </cell>
          <cell r="C329" t="str">
            <v>SALES_PLATINUM</v>
          </cell>
        </row>
        <row r="330">
          <cell r="B330" t="str">
            <v>Sales - % Palladium</v>
          </cell>
          <cell r="C330" t="str">
            <v>SALES_PALLADIUM</v>
          </cell>
        </row>
        <row r="331">
          <cell r="B331" t="str">
            <v>Sales - % Aluminium</v>
          </cell>
          <cell r="C331" t="str">
            <v>SALES_ALUMINIUM</v>
          </cell>
        </row>
        <row r="332">
          <cell r="B332" t="str">
            <v>Sales - % Nickel</v>
          </cell>
          <cell r="C332" t="str">
            <v>SALES_NICKEL</v>
          </cell>
        </row>
        <row r="333">
          <cell r="B333" t="str">
            <v>Sales - % Zinc</v>
          </cell>
          <cell r="C333" t="str">
            <v>SALES_ZINC</v>
          </cell>
        </row>
        <row r="334">
          <cell r="B334" t="str">
            <v>Sales - % Steel</v>
          </cell>
          <cell r="C334" t="str">
            <v>SALES_STEEL</v>
          </cell>
        </row>
        <row r="335">
          <cell r="B335" t="str">
            <v>Sales - % Tin</v>
          </cell>
          <cell r="C335" t="str">
            <v>SALES_TIN</v>
          </cell>
        </row>
        <row r="336">
          <cell r="B336" t="str">
            <v>Sales - % Iron Ore</v>
          </cell>
          <cell r="C336" t="str">
            <v>SALES_IRON_ORE</v>
          </cell>
        </row>
        <row r="337">
          <cell r="B337" t="str">
            <v>Sales - % Ferrochrome</v>
          </cell>
          <cell r="C337" t="str">
            <v>SALES_FERROCHROME</v>
          </cell>
        </row>
        <row r="338">
          <cell r="B338" t="str">
            <v>Sales - % Diamonds</v>
          </cell>
          <cell r="C338" t="str">
            <v>SALES_DIAMONDS</v>
          </cell>
        </row>
        <row r="339">
          <cell r="B339" t="str">
            <v>Sales - % Coal: thermal</v>
          </cell>
          <cell r="C339" t="str">
            <v>SALES_COAL_THERMAL</v>
          </cell>
        </row>
        <row r="340">
          <cell r="B340" t="str">
            <v>Sales - % Coal: Metallurgical</v>
          </cell>
          <cell r="C340" t="str">
            <v>SALES_COAL_MET</v>
          </cell>
        </row>
        <row r="341">
          <cell r="B341" t="str">
            <v>Sales - % Paper/pulp</v>
          </cell>
          <cell r="C341" t="str">
            <v>SALES_PAPER_PULP</v>
          </cell>
        </row>
        <row r="342">
          <cell r="B342" t="str">
            <v>Sales - % Glass</v>
          </cell>
          <cell r="C342" t="str">
            <v>SALES_GLASS</v>
          </cell>
        </row>
        <row r="343">
          <cell r="B343" t="str">
            <v>Sales - % Cement</v>
          </cell>
          <cell r="C343" t="str">
            <v>SALES_CEMENT</v>
          </cell>
        </row>
        <row r="344">
          <cell r="B344" t="str">
            <v>Sales - % Palm oil</v>
          </cell>
          <cell r="C344" t="str">
            <v>SALES_PALM_OIL</v>
          </cell>
        </row>
        <row r="345">
          <cell r="B345" t="str">
            <v>Sales - % Other commodity</v>
          </cell>
          <cell r="C345" t="str">
            <v>SALES_OTH_COMMODITY</v>
          </cell>
        </row>
        <row r="346">
          <cell r="B346" t="str">
            <v>Sales - % Other (Non-Commodity) sales sources</v>
          </cell>
          <cell r="C346" t="str">
            <v>SALES_OTH_SALES_SOURCES</v>
          </cell>
        </row>
        <row r="348">
          <cell r="B348" t="str">
            <v>Expense - % Oil/Petrol/Fuel</v>
          </cell>
          <cell r="C348" t="str">
            <v>EXP_OIL_PETRO_FUEL</v>
          </cell>
        </row>
        <row r="349">
          <cell r="B349" t="str">
            <v>Expense - % Oil derivatives/NGLs/plastics</v>
          </cell>
          <cell r="C349" t="str">
            <v>EXP_OIL_DERIV_NGLS_PLASTICS</v>
          </cell>
        </row>
        <row r="350">
          <cell r="B350" t="str">
            <v>Expense - % Nat Gas</v>
          </cell>
          <cell r="C350" t="str">
            <v>EXP_NAT_GAS</v>
          </cell>
        </row>
        <row r="351">
          <cell r="B351" t="str">
            <v>Expense - % Gold</v>
          </cell>
          <cell r="C351" t="str">
            <v>EXP_GOLD</v>
          </cell>
        </row>
        <row r="352">
          <cell r="B352" t="str">
            <v>Expense - % Copper</v>
          </cell>
          <cell r="C352" t="str">
            <v>EXP_COPPER</v>
          </cell>
        </row>
        <row r="353">
          <cell r="B353" t="str">
            <v>Expense - % Silver</v>
          </cell>
          <cell r="C353" t="str">
            <v>EXP_SILVER</v>
          </cell>
        </row>
        <row r="354">
          <cell r="B354" t="str">
            <v>Expense - % Platinum</v>
          </cell>
          <cell r="C354" t="str">
            <v>EXP_PLATINUM</v>
          </cell>
        </row>
        <row r="355">
          <cell r="B355" t="str">
            <v>Expense - % Palladium</v>
          </cell>
          <cell r="C355" t="str">
            <v>EXP_PALLADIUM</v>
          </cell>
        </row>
        <row r="356">
          <cell r="B356" t="str">
            <v>Expense - % Aluminium</v>
          </cell>
          <cell r="C356" t="str">
            <v>EXP_ALUMINIUM</v>
          </cell>
        </row>
        <row r="357">
          <cell r="B357" t="str">
            <v>Expense - % Nickel</v>
          </cell>
          <cell r="C357" t="str">
            <v>EXP_NICKEL</v>
          </cell>
        </row>
        <row r="358">
          <cell r="B358" t="str">
            <v>Expense - % Zinc</v>
          </cell>
          <cell r="C358" t="str">
            <v>EXP_ZINC</v>
          </cell>
        </row>
        <row r="359">
          <cell r="B359" t="str">
            <v>Expense - % Steel</v>
          </cell>
          <cell r="C359" t="str">
            <v>EXP_STEEL</v>
          </cell>
        </row>
        <row r="360">
          <cell r="B360" t="str">
            <v>Expense - % Tin</v>
          </cell>
          <cell r="C360" t="str">
            <v>EXP_TIN</v>
          </cell>
        </row>
        <row r="361">
          <cell r="B361" t="str">
            <v>Expense - % Iron Ore</v>
          </cell>
          <cell r="C361" t="str">
            <v>EXP_IRON_ORE</v>
          </cell>
        </row>
        <row r="362">
          <cell r="B362" t="str">
            <v>Expense - % Ferrochrome</v>
          </cell>
          <cell r="C362" t="str">
            <v>EXP_FERROCHROME</v>
          </cell>
        </row>
        <row r="363">
          <cell r="B363" t="str">
            <v>Expense - % Diamonds</v>
          </cell>
          <cell r="C363" t="str">
            <v>EXP_DIAMONDS</v>
          </cell>
        </row>
        <row r="364">
          <cell r="B364" t="str">
            <v>Expense - % Paper/pulp</v>
          </cell>
          <cell r="C364" t="str">
            <v>EXP_PAPER_PULP</v>
          </cell>
        </row>
        <row r="365">
          <cell r="B365" t="str">
            <v>Expense - % Lumber</v>
          </cell>
          <cell r="C365" t="str">
            <v>EXP_LUMBER</v>
          </cell>
        </row>
        <row r="366">
          <cell r="B366" t="str">
            <v>Expense - % Glass</v>
          </cell>
          <cell r="C366" t="str">
            <v>EXP_GLASS</v>
          </cell>
        </row>
        <row r="367">
          <cell r="B367" t="str">
            <v>Expense - % Cement</v>
          </cell>
          <cell r="C367" t="str">
            <v>EXP_CEMENT</v>
          </cell>
        </row>
        <row r="368">
          <cell r="B368" t="str">
            <v>Expense - % Rubber</v>
          </cell>
          <cell r="C368" t="str">
            <v>EXP_RUBBER</v>
          </cell>
        </row>
        <row r="369">
          <cell r="B369" t="str">
            <v>Expense - % Water</v>
          </cell>
          <cell r="C369" t="str">
            <v>EXP_WATER</v>
          </cell>
        </row>
        <row r="370">
          <cell r="B370" t="str">
            <v>Expense - % Other commodity</v>
          </cell>
          <cell r="C370" t="str">
            <v>EXP_OTH_COMMODITY</v>
          </cell>
        </row>
        <row r="371">
          <cell r="B371" t="str">
            <v>Expense - % Other (Non-Commodity) cost</v>
          </cell>
          <cell r="C371" t="str">
            <v>EXP_OTH_COST</v>
          </cell>
        </row>
        <row r="373">
          <cell r="B373" t="str">
            <v>Sales - % FX: British Pounds/Pence</v>
          </cell>
          <cell r="C373" t="str">
            <v>SALES_FX_GPB</v>
          </cell>
        </row>
        <row r="374">
          <cell r="B374" t="str">
            <v>Sales - % FX: Euro</v>
          </cell>
          <cell r="C374" t="str">
            <v>SALES_FX_EUR</v>
          </cell>
        </row>
        <row r="375">
          <cell r="B375" t="str">
            <v>Sales - % FX: New Russian Ruble</v>
          </cell>
          <cell r="C375" t="str">
            <v>SALES_FX_RUB</v>
          </cell>
        </row>
        <row r="376">
          <cell r="B376" t="str">
            <v>Sales - % FX: U.S. Dollar</v>
          </cell>
          <cell r="C376" t="str">
            <v>SALES_FX_USD</v>
          </cell>
        </row>
        <row r="377">
          <cell r="B377" t="str">
            <v>Sales - % FX: Brazilian Real</v>
          </cell>
          <cell r="C377" t="str">
            <v>SALES_FX_BRL</v>
          </cell>
        </row>
        <row r="378">
          <cell r="B378" t="str">
            <v>Sales - % FX: Japanese Yen</v>
          </cell>
          <cell r="C378" t="str">
            <v>SALES_FX_YEN</v>
          </cell>
        </row>
        <row r="379">
          <cell r="B379" t="str">
            <v>Sales - % FX: Chinese Renminbi</v>
          </cell>
          <cell r="C379" t="str">
            <v>SALES_FX_CNY</v>
          </cell>
        </row>
        <row r="380">
          <cell r="B380" t="str">
            <v>Sales - % FX: Indian Rupee</v>
          </cell>
          <cell r="C380" t="str">
            <v>SALES_FX_INR</v>
          </cell>
        </row>
        <row r="381">
          <cell r="B381" t="str">
            <v>Sales - % FX: South African Rand</v>
          </cell>
          <cell r="C381" t="str">
            <v>SALES_FX_ZAR</v>
          </cell>
        </row>
        <row r="382">
          <cell r="B382" t="str">
            <v>Sales - % FX: Nigerian Naira</v>
          </cell>
          <cell r="C382" t="str">
            <v>SALES_FX_NGN</v>
          </cell>
        </row>
        <row r="383">
          <cell r="B383" t="str">
            <v>Sales - % FX: Swiss Franc</v>
          </cell>
          <cell r="C383" t="str">
            <v>SALES_FX_CHF</v>
          </cell>
        </row>
        <row r="384">
          <cell r="B384" t="str">
            <v>Sales - % FX: UAE Dirham</v>
          </cell>
          <cell r="C384" t="str">
            <v>SALES_FX_AED</v>
          </cell>
        </row>
        <row r="385">
          <cell r="B385" t="str">
            <v>Sales - % FX: New Turkish Lira</v>
          </cell>
          <cell r="C385" t="str">
            <v>SALES_FX_TRY</v>
          </cell>
        </row>
        <row r="386">
          <cell r="B386" t="str">
            <v>Sales - % FX: Other Currency</v>
          </cell>
          <cell r="C386" t="str">
            <v>SALES_FX_OTH</v>
          </cell>
        </row>
        <row r="388">
          <cell r="B388" t="str">
            <v>Sales - Total % Americas</v>
          </cell>
          <cell r="C388" t="str">
            <v>SALES_TOT_AM</v>
          </cell>
        </row>
        <row r="389">
          <cell r="B389" t="str">
            <v>Sales - % Other Americas</v>
          </cell>
          <cell r="C389" t="str">
            <v>SALES_OTH_AM</v>
          </cell>
        </row>
        <row r="390">
          <cell r="B390" t="str">
            <v>Sales - Total % EMEA</v>
          </cell>
          <cell r="C390" t="str">
            <v>SALES_TOT_EMEA</v>
          </cell>
        </row>
        <row r="391">
          <cell r="B391" t="str">
            <v>Sales - % Western Europe-Ex UK</v>
          </cell>
          <cell r="C391" t="str">
            <v>SALES_EU_EX_UK</v>
          </cell>
        </row>
        <row r="392">
          <cell r="B392" t="str">
            <v>Sales - % Other Western Europe-Ex UK</v>
          </cell>
          <cell r="C392" t="str">
            <v>SALES_OTH_EU_EX_UK</v>
          </cell>
        </row>
        <row r="393">
          <cell r="B393" t="str">
            <v>Sales - % Central &amp; Eastern Europe</v>
          </cell>
          <cell r="C393" t="str">
            <v>SALES_CEE</v>
          </cell>
        </row>
        <row r="394">
          <cell r="B394" t="str">
            <v>Sales - % Middle East</v>
          </cell>
          <cell r="C394" t="str">
            <v>SALES_ME</v>
          </cell>
        </row>
        <row r="395">
          <cell r="B395" t="str">
            <v>Sales - % Total Africa</v>
          </cell>
          <cell r="C395" t="str">
            <v>SALES_TOT_AFRICA</v>
          </cell>
        </row>
        <row r="396">
          <cell r="B396" t="str">
            <v>Sales - % Other EMEA</v>
          </cell>
          <cell r="C396" t="str">
            <v>SALES_OTH_EMEA</v>
          </cell>
        </row>
        <row r="397">
          <cell r="B397" t="str">
            <v>Sales - Total % Asia (incl Australia &amp; New Zealand)</v>
          </cell>
          <cell r="C397" t="str">
            <v>SALES_TOT_ASIA</v>
          </cell>
        </row>
        <row r="398">
          <cell r="B398" t="str">
            <v>Sales - % Other Asia</v>
          </cell>
          <cell r="C398" t="str">
            <v>SALES_OTH_AEJ</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30">
          <cell r="B430" t="str">
            <v>Consensus equivalent EBIT</v>
          </cell>
          <cell r="C430" t="str">
            <v>CEEE_EBIT</v>
          </cell>
          <cell r="D430" t="e">
            <v>#NAME?</v>
          </cell>
        </row>
        <row r="431">
          <cell r="B431" t="str">
            <v>Division 1 EBIT</v>
          </cell>
          <cell r="C431" t="str">
            <v>DIV1_EBIT</v>
          </cell>
          <cell r="D431" t="e">
            <v>#NAME?</v>
          </cell>
        </row>
        <row r="432">
          <cell r="B432" t="str">
            <v>Division 1 Name</v>
          </cell>
          <cell r="C432" t="str">
            <v>DIV1_NAME</v>
          </cell>
        </row>
        <row r="433">
          <cell r="B433" t="str">
            <v>Division 1 OGS</v>
          </cell>
          <cell r="C433" t="str">
            <v>DIV1_OGS</v>
          </cell>
        </row>
        <row r="434">
          <cell r="B434" t="str">
            <v>Division 1 Order Backlog</v>
          </cell>
          <cell r="C434" t="str">
            <v>DIV1_ORDERBACKLOG</v>
          </cell>
        </row>
        <row r="435">
          <cell r="B435" t="str">
            <v>Division 1 Order Intake</v>
          </cell>
          <cell r="C435" t="str">
            <v>DIV1_ORDERINTAKE</v>
          </cell>
        </row>
        <row r="436">
          <cell r="B436" t="str">
            <v>Division 2 Sales</v>
          </cell>
          <cell r="C436" t="str">
            <v>DIV2_REVS</v>
          </cell>
          <cell r="D436" t="e">
            <v>#NAME?</v>
          </cell>
        </row>
        <row r="437">
          <cell r="B437" t="str">
            <v>Division 1 Sales</v>
          </cell>
          <cell r="C437" t="str">
            <v>DIV1_REVS</v>
          </cell>
          <cell r="D437" t="e">
            <v>#NAME?</v>
          </cell>
        </row>
        <row r="438">
          <cell r="B438" t="str">
            <v>Division 2 EBIT</v>
          </cell>
          <cell r="C438" t="str">
            <v>DIV2_EBIT</v>
          </cell>
          <cell r="D438" t="e">
            <v>#NAME?</v>
          </cell>
        </row>
        <row r="439">
          <cell r="B439" t="str">
            <v>Division 2 Name</v>
          </cell>
          <cell r="C439" t="str">
            <v>DIV2_NAME</v>
          </cell>
        </row>
        <row r="440">
          <cell r="B440" t="str">
            <v>Division 2 OGS</v>
          </cell>
          <cell r="C440" t="str">
            <v>DIV2_OGS</v>
          </cell>
        </row>
        <row r="441">
          <cell r="B441" t="str">
            <v>Division 2 Order Backlog</v>
          </cell>
          <cell r="C441" t="str">
            <v>DIV2_ORDERBACKLOG</v>
          </cell>
        </row>
        <row r="442">
          <cell r="B442" t="str">
            <v>Division 2 Order Intake</v>
          </cell>
          <cell r="C442" t="str">
            <v>DIV2_ORDERINTAKE</v>
          </cell>
        </row>
        <row r="443">
          <cell r="B443" t="str">
            <v>Division 3 EBIT</v>
          </cell>
          <cell r="C443" t="str">
            <v>DIV3_EBIT</v>
          </cell>
          <cell r="D443" t="e">
            <v>#NAME?</v>
          </cell>
        </row>
        <row r="444">
          <cell r="B444" t="str">
            <v>Division 3 Name</v>
          </cell>
          <cell r="C444" t="str">
            <v>DIV3_NAME</v>
          </cell>
        </row>
        <row r="445">
          <cell r="B445" t="str">
            <v>Division 3 OGS</v>
          </cell>
          <cell r="C445" t="str">
            <v>DIV3_OGS</v>
          </cell>
        </row>
        <row r="446">
          <cell r="B446" t="str">
            <v>Division 3 Order Backlog</v>
          </cell>
          <cell r="C446" t="str">
            <v>DIV3_ORDERBACKLOG</v>
          </cell>
        </row>
        <row r="447">
          <cell r="B447" t="str">
            <v>Division 3 Order Intake</v>
          </cell>
          <cell r="C447" t="str">
            <v>DIV3_ORDERINTAKE</v>
          </cell>
        </row>
        <row r="448">
          <cell r="B448" t="str">
            <v>Division 3 Sales</v>
          </cell>
          <cell r="C448" t="str">
            <v>DIV3_REVS</v>
          </cell>
          <cell r="D448" t="e">
            <v>#NAME?</v>
          </cell>
        </row>
        <row r="449">
          <cell r="B449" t="str">
            <v>Division 4 EBIT</v>
          </cell>
          <cell r="C449" t="str">
            <v>DIV4_EBIT</v>
          </cell>
          <cell r="D449" t="e">
            <v>#NAME?</v>
          </cell>
        </row>
        <row r="450">
          <cell r="B450" t="str">
            <v>Division 4 Name</v>
          </cell>
          <cell r="C450" t="str">
            <v>DIV4_NAME</v>
          </cell>
        </row>
        <row r="451">
          <cell r="B451" t="str">
            <v>Division 4 OGS</v>
          </cell>
          <cell r="C451" t="str">
            <v>DIV4_OGS</v>
          </cell>
        </row>
        <row r="452">
          <cell r="B452" t="str">
            <v>Division 4 Order Backlog</v>
          </cell>
          <cell r="C452" t="str">
            <v>DIV4_ORDERBACKLOG</v>
          </cell>
        </row>
        <row r="453">
          <cell r="B453" t="str">
            <v>Division 4 Order Intake</v>
          </cell>
          <cell r="C453" t="str">
            <v>DIV4_ORDERINTAKE</v>
          </cell>
        </row>
        <row r="454">
          <cell r="B454" t="str">
            <v>Division 4 Sales</v>
          </cell>
          <cell r="C454" t="str">
            <v>DIV4_REVS</v>
          </cell>
          <cell r="D454" t="e">
            <v>#NAME?</v>
          </cell>
        </row>
        <row r="455">
          <cell r="B455" t="str">
            <v>Division 5 EBIT</v>
          </cell>
          <cell r="C455" t="str">
            <v>DIV5_EBIT</v>
          </cell>
          <cell r="D455" t="e">
            <v>#NAME?</v>
          </cell>
        </row>
        <row r="456">
          <cell r="B456" t="str">
            <v>Division 5 Name</v>
          </cell>
          <cell r="C456" t="str">
            <v>DIV5_NAME</v>
          </cell>
        </row>
        <row r="457">
          <cell r="B457" t="str">
            <v>Division 5 OGS</v>
          </cell>
          <cell r="C457" t="str">
            <v>DIV5_OGS</v>
          </cell>
        </row>
        <row r="458">
          <cell r="B458" t="str">
            <v>Division 5 Order Backlog</v>
          </cell>
          <cell r="C458" t="str">
            <v>DIV5_ORDERBACKLOG</v>
          </cell>
        </row>
        <row r="459">
          <cell r="B459" t="str">
            <v>Division 5 Order Intake</v>
          </cell>
          <cell r="C459" t="str">
            <v>DIV5_ORDERINTAKE</v>
          </cell>
        </row>
        <row r="460">
          <cell r="B460" t="str">
            <v>Division 5 Sales</v>
          </cell>
          <cell r="C460" t="str">
            <v>DIV5_REVS</v>
          </cell>
          <cell r="D460" t="e">
            <v>#NAME?</v>
          </cell>
        </row>
        <row r="461">
          <cell r="B461" t="str">
            <v>Division 6 EBIT</v>
          </cell>
          <cell r="C461" t="str">
            <v>DIV6_EBIT</v>
          </cell>
          <cell r="D461" t="e">
            <v>#NAME?</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row>
        <row r="466">
          <cell r="B466" t="str">
            <v>Division 6 Sales</v>
          </cell>
          <cell r="C466" t="str">
            <v>DIV6_REVS</v>
          </cell>
          <cell r="D466" t="e">
            <v>#NAME?</v>
          </cell>
        </row>
        <row r="467">
          <cell r="B467" t="str">
            <v>Group order backlog</v>
          </cell>
          <cell r="C467" t="str">
            <v>GROUP_ORDERBACKLOG</v>
          </cell>
        </row>
        <row r="468">
          <cell r="B468" t="str">
            <v>Group order intake</v>
          </cell>
          <cell r="C468" t="str">
            <v>GROUP_ORDERINTAKE</v>
          </cell>
        </row>
        <row r="469">
          <cell r="B469" t="str">
            <v>Group organic sales growth</v>
          </cell>
          <cell r="C469" t="str">
            <v>GROUP_OGS</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row>
        <row r="473">
          <cell r="B473" t="str">
            <v>Customer advances</v>
          </cell>
          <cell r="C473" t="str">
            <v>CUST_ADVANCES</v>
          </cell>
          <cell r="D473" t="e">
            <v>#NAME?</v>
          </cell>
        </row>
        <row r="474">
          <cell r="B474" t="str">
            <v>EBIT bridge - Pricing</v>
          </cell>
          <cell r="C474" t="str">
            <v>EBIT_BRIDGE_PRICE</v>
          </cell>
          <cell r="D474" t="e">
            <v>#NAME?</v>
          </cell>
        </row>
        <row r="475">
          <cell r="B475" t="str">
            <v>EBIT bridge - Volume</v>
          </cell>
          <cell r="C475" t="str">
            <v>EBIT_BRIDGE_VOL</v>
          </cell>
          <cell r="D475" t="e">
            <v>#NAME?</v>
          </cell>
        </row>
        <row r="476">
          <cell r="B476" t="str">
            <v>EBIT bridge - Depreciation</v>
          </cell>
          <cell r="C476" t="str">
            <v>EBIT_BRIDGE_DEPREC</v>
          </cell>
          <cell r="D476" t="e">
            <v>#NAME?</v>
          </cell>
        </row>
        <row r="477">
          <cell r="B477" t="str">
            <v>EBIT bridge - Mix</v>
          </cell>
          <cell r="C477" t="str">
            <v>EBIT_BRIDGE_MIX</v>
          </cell>
          <cell r="D477" t="e">
            <v>#NAME?</v>
          </cell>
        </row>
        <row r="478">
          <cell r="B478" t="str">
            <v>EBIT bridge - Raw materials</v>
          </cell>
          <cell r="C478" t="str">
            <v>EBIT_BRIDGE_RAW_MAT</v>
          </cell>
          <cell r="D478" t="e">
            <v>#NAME?</v>
          </cell>
        </row>
        <row r="479">
          <cell r="B479" t="str">
            <v>EBIT bridge - Restructuring</v>
          </cell>
          <cell r="C479" t="str">
            <v>EBIT_BRIDGE_REST</v>
          </cell>
          <cell r="D479" t="e">
            <v>#NAME?</v>
          </cell>
        </row>
        <row r="480">
          <cell r="B480" t="str">
            <v>EBIT bridge - FX</v>
          </cell>
          <cell r="C480" t="str">
            <v>EBIT_BRIDGE_FX</v>
          </cell>
          <cell r="D480" t="e">
            <v>#NAME?</v>
          </cell>
        </row>
        <row r="481">
          <cell r="B481" t="str">
            <v>EBIT bridge - M&amp;A</v>
          </cell>
          <cell r="C481" t="str">
            <v>EBIT_BRIDGE_MA</v>
          </cell>
          <cell r="D481" t="e">
            <v>#NAME?</v>
          </cell>
        </row>
        <row r="482">
          <cell r="B482" t="str">
            <v>EBIT bridge - Other</v>
          </cell>
          <cell r="C482" t="str">
            <v>EBIT_BRIDGE_OTH</v>
          </cell>
          <cell r="D482" t="e">
            <v>#NAME?</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10">
          <cell r="B510" t="str">
            <v>Pan Europe Investment List</v>
          </cell>
          <cell r="C510" t="str">
            <v>EURO_LIST</v>
          </cell>
        </row>
        <row r="511">
          <cell r="B511" t="str">
            <v>Pan Europe Conviction List</v>
          </cell>
          <cell r="C511" t="str">
            <v>EURO_CONVICTION</v>
          </cell>
        </row>
        <row r="512">
          <cell r="B512" t="str">
            <v>Legal rating</v>
          </cell>
          <cell r="C512" t="str">
            <v>LEGAL_RATING</v>
          </cell>
        </row>
        <row r="513">
          <cell r="B513" t="str">
            <v>Target price</v>
          </cell>
          <cell r="C513" t="str">
            <v>TARGET_PRICE</v>
          </cell>
          <cell r="D513" t="e">
            <v>#NAME?</v>
          </cell>
        </row>
        <row r="514">
          <cell r="B514" t="str">
            <v>Target price period</v>
          </cell>
          <cell r="C514" t="str">
            <v>TP_PERIOD</v>
          </cell>
        </row>
        <row r="515">
          <cell r="B515" t="str">
            <v>Fundamental value</v>
          </cell>
          <cell r="C515" t="str">
            <v>TARGET_PRICE_FUNDAMENTAL</v>
          </cell>
          <cell r="D515" t="e">
            <v>#NAME?</v>
          </cell>
        </row>
        <row r="516">
          <cell r="B516" t="str">
            <v>M&amp;A value</v>
          </cell>
          <cell r="C516" t="str">
            <v>TARGET_PRICE_MA</v>
          </cell>
          <cell r="D516" t="e">
            <v>#NAME?</v>
          </cell>
        </row>
        <row r="517">
          <cell r="B517" t="str">
            <v>Current shares outstanding (mn)</v>
          </cell>
          <cell r="C517" t="str">
            <v>NUM_SH</v>
          </cell>
        </row>
        <row r="518">
          <cell r="B518" t="str">
            <v>Free float</v>
          </cell>
          <cell r="C518" t="str">
            <v>FREE_FLOAT</v>
          </cell>
        </row>
        <row r="519">
          <cell r="C519" t="str">
            <v>ACT1</v>
          </cell>
        </row>
        <row r="521">
          <cell r="B521" t="str">
            <v>Book value per share, BVPS (Pub)</v>
          </cell>
          <cell r="C521" t="str">
            <v>BVPS_PUB</v>
          </cell>
          <cell r="D521" t="e">
            <v>#NAME?</v>
          </cell>
        </row>
        <row r="522">
          <cell r="B522" t="str">
            <v>DPS, dividend per share (Pub)</v>
          </cell>
          <cell r="C522" t="str">
            <v>DPS_PUB</v>
          </cell>
          <cell r="D522" t="e">
            <v>#NAME?</v>
          </cell>
        </row>
        <row r="523">
          <cell r="B523" t="str">
            <v>Special dividend per share</v>
          </cell>
          <cell r="C523" t="str">
            <v>DPS_SPECIAL_PUB</v>
          </cell>
          <cell r="D523" t="e">
            <v>#NAME?</v>
          </cell>
        </row>
        <row r="524">
          <cell r="B524" t="str">
            <v>EBITDA (Pub)</v>
          </cell>
          <cell r="C524" t="str">
            <v>EBITDA_PUB</v>
          </cell>
          <cell r="D524" t="e">
            <v>#NAME?</v>
          </cell>
        </row>
        <row r="525">
          <cell r="B525" t="str">
            <v>EPS (Pub)</v>
          </cell>
          <cell r="C525" t="str">
            <v>EPS_PUB</v>
          </cell>
          <cell r="D525" t="e">
            <v>#NAME?</v>
          </cell>
        </row>
        <row r="526">
          <cell r="B526" t="str">
            <v>Consensus earnings equivalent estimate</v>
          </cell>
          <cell r="C526" t="str">
            <v>CEEE_EPS</v>
          </cell>
          <cell r="D526" t="e">
            <v>#NAME?</v>
          </cell>
        </row>
        <row r="527">
          <cell r="B527" t="str">
            <v>EV adjustment (Pub)</v>
          </cell>
          <cell r="C527" t="str">
            <v>EV_ADJ_PUB</v>
          </cell>
          <cell r="D527" t="e">
            <v>#NAME?</v>
          </cell>
        </row>
        <row r="528">
          <cell r="B528" t="str">
            <v>Net debt (Pub)</v>
          </cell>
          <cell r="C528" t="str">
            <v>NET_DEBT_PUB</v>
          </cell>
          <cell r="D528" t="e">
            <v>#NAME?</v>
          </cell>
        </row>
        <row r="529">
          <cell r="B529" t="str">
            <v>Net Debt (ex leases) (Pub)</v>
          </cell>
          <cell r="C529" t="str">
            <v>NET_DEBT_EX_LEASES_PUB</v>
          </cell>
          <cell r="D529" t="e">
            <v>#NAME?</v>
          </cell>
        </row>
        <row r="530">
          <cell r="B530" t="str">
            <v>Consensus equivalent net debt</v>
          </cell>
          <cell r="C530" t="str">
            <v>CEEE_NDEBT</v>
          </cell>
          <cell r="D530" t="e">
            <v>#NAME?</v>
          </cell>
        </row>
        <row r="531">
          <cell r="B531" t="str">
            <v>Net income (Pub)</v>
          </cell>
          <cell r="C531" t="str">
            <v>NI_PUB</v>
          </cell>
          <cell r="D531" t="e">
            <v>#NAME?</v>
          </cell>
        </row>
        <row r="532">
          <cell r="B532" t="str">
            <v>EBIT, operating profit (Pub)</v>
          </cell>
          <cell r="C532" t="str">
            <v>EBIT_PUB</v>
          </cell>
          <cell r="D532" t="e">
            <v>#NAME?</v>
          </cell>
        </row>
        <row r="533">
          <cell r="B533" t="str">
            <v>Pre-tax profit (Pub)</v>
          </cell>
          <cell r="C533" t="str">
            <v>PTP_PUB</v>
          </cell>
          <cell r="D533" t="e">
            <v>#NAME?</v>
          </cell>
        </row>
        <row r="534">
          <cell r="B534" t="str">
            <v>Sales, revenue (Pub)</v>
          </cell>
          <cell r="C534" t="str">
            <v>REVS_PUB</v>
          </cell>
          <cell r="D534" t="e">
            <v>#NAME?</v>
          </cell>
        </row>
        <row r="535">
          <cell r="B535" t="str">
            <v>Total shareholders' equity (Pub)</v>
          </cell>
          <cell r="C535" t="str">
            <v>EQ_PUB</v>
          </cell>
          <cell r="D535" t="e">
            <v>#NAME?</v>
          </cell>
        </row>
        <row r="537">
          <cell r="B537" t="str">
            <v>Provision for income tax</v>
          </cell>
          <cell r="C537" t="str">
            <v>PROV_INC_TAX</v>
          </cell>
          <cell r="D537" t="e">
            <v>#NAME?</v>
          </cell>
        </row>
        <row r="538">
          <cell r="B538" t="str">
            <v>Minority interest</v>
          </cell>
          <cell r="C538" t="str">
            <v>INC_MINORITY</v>
          </cell>
          <cell r="D538" t="e">
            <v>#NAME?</v>
          </cell>
        </row>
        <row r="539">
          <cell r="B539" t="str">
            <v>Net income (pre-preferred dividends)</v>
          </cell>
          <cell r="C539" t="str">
            <v>NI_PRE_PREF</v>
          </cell>
          <cell r="D539" t="e">
            <v>#NAME?</v>
          </cell>
        </row>
        <row r="540">
          <cell r="B540" t="str">
            <v>Preferred dividends</v>
          </cell>
          <cell r="C540" t="str">
            <v>PREF_DIV</v>
          </cell>
          <cell r="D540" t="e">
            <v>#NAME?</v>
          </cell>
        </row>
        <row r="541">
          <cell r="B541" t="str">
            <v>Net income (pre-exceptionals)</v>
          </cell>
          <cell r="C541" t="str">
            <v>NET_EARNING</v>
          </cell>
          <cell r="D541" t="e">
            <v>#NAME?</v>
          </cell>
        </row>
        <row r="542">
          <cell r="B542" t="str">
            <v>Post-tax exceptionals</v>
          </cell>
          <cell r="C542" t="str">
            <v>TAX_EXC</v>
          </cell>
          <cell r="D542" t="e">
            <v>#NAME?</v>
          </cell>
        </row>
        <row r="543">
          <cell r="B543" t="str">
            <v>Net income (post-exceptionals)</v>
          </cell>
          <cell r="C543" t="str">
            <v>NET_INC</v>
          </cell>
          <cell r="D543" t="e">
            <v>#NAME?</v>
          </cell>
        </row>
        <row r="544">
          <cell r="B544" t="str">
            <v>EPS (pre-exceptionals, basic)</v>
          </cell>
          <cell r="C544" t="str">
            <v>EPS</v>
          </cell>
          <cell r="D544" t="e">
            <v>#NAME?</v>
          </cell>
        </row>
        <row r="545">
          <cell r="B545" t="str">
            <v>EPS (pre-exceptionals, diluted)</v>
          </cell>
          <cell r="C545" t="str">
            <v>EPS_FUL_DIL</v>
          </cell>
          <cell r="D545" t="e">
            <v>#NAME?</v>
          </cell>
        </row>
        <row r="546">
          <cell r="B546" t="str">
            <v>EPS (post-exceptionals, basic)</v>
          </cell>
          <cell r="C546" t="str">
            <v>EPS_POST_BASIC</v>
          </cell>
          <cell r="D546" t="e">
            <v>#NAME?</v>
          </cell>
        </row>
        <row r="547">
          <cell r="B547" t="str">
            <v>EPS (post-exceptionals, diluted)</v>
          </cell>
          <cell r="C547" t="str">
            <v>FULLY_DIL_EPS</v>
          </cell>
          <cell r="D547" t="e">
            <v>#NAME?</v>
          </cell>
        </row>
        <row r="548">
          <cell r="B548" t="str">
            <v>Common dividends paid</v>
          </cell>
          <cell r="C548" t="str">
            <v>COMMON_DIV_PAID</v>
          </cell>
          <cell r="D548" t="e">
            <v>#NAME?</v>
          </cell>
        </row>
        <row r="549">
          <cell r="B549" t="str">
            <v>DPS, dividend per share</v>
          </cell>
          <cell r="C549" t="str">
            <v>DPS</v>
          </cell>
          <cell r="D549" t="e">
            <v>#NAME?</v>
          </cell>
        </row>
        <row r="550">
          <cell r="B550" t="str">
            <v>Weighted average shares outstanding, basic</v>
          </cell>
          <cell r="C550" t="str">
            <v>SH</v>
          </cell>
        </row>
        <row r="551">
          <cell r="B551" t="str">
            <v>Diluted average shares outstanding (mn)</v>
          </cell>
          <cell r="C551" t="str">
            <v>DILUTE_SHARES</v>
          </cell>
        </row>
        <row r="552">
          <cell r="B552" t="str">
            <v>Period-end shares outstanding</v>
          </cell>
          <cell r="C552" t="str">
            <v>NON_OP_ADD</v>
          </cell>
        </row>
        <row r="554">
          <cell r="B554" t="str">
            <v>Organic net income (excl. acquisitions)</v>
          </cell>
          <cell r="C554" t="str">
            <v>ORG_NI</v>
          </cell>
          <cell r="D554" t="e">
            <v>#NAME?</v>
          </cell>
        </row>
        <row r="555">
          <cell r="B555" t="str">
            <v>Organic EPS (excl. acquisitions)</v>
          </cell>
          <cell r="C555" t="str">
            <v>ORG_EPS</v>
          </cell>
          <cell r="D555" t="e">
            <v>#NAME?</v>
          </cell>
        </row>
        <row r="556">
          <cell r="B556" t="str">
            <v>Marginal tax rate</v>
          </cell>
          <cell r="C556" t="str">
            <v>MARGIN_TAX_RATE</v>
          </cell>
        </row>
        <row r="558">
          <cell r="B558" t="str">
            <v>BVPS, book value per share</v>
          </cell>
          <cell r="C558" t="str">
            <v>BVPS</v>
          </cell>
          <cell r="D558" t="e">
            <v>#NAME?</v>
          </cell>
        </row>
        <row r="560">
          <cell r="B560" t="str">
            <v>Net income (pre-preferred dividends)</v>
          </cell>
          <cell r="C560" t="str">
            <v>CF_NI_PRE_PREF</v>
          </cell>
          <cell r="D560" t="e">
            <v>#NAME?</v>
          </cell>
        </row>
        <row r="562">
          <cell r="B562" t="str">
            <v>Beta</v>
          </cell>
          <cell r="C562" t="str">
            <v>BETA_ANALYST</v>
          </cell>
        </row>
        <row r="563">
          <cell r="B563" t="str">
            <v>Market equity risk premium</v>
          </cell>
          <cell r="C563" t="str">
            <v>MKT_EQ_RISK_PREM</v>
          </cell>
        </row>
        <row r="564">
          <cell r="B564" t="str">
            <v>Risk-free rate</v>
          </cell>
          <cell r="C564" t="str">
            <v>RISK_FR_RATE</v>
          </cell>
        </row>
      </sheetData>
      <sheetData sheetId="4"/>
      <sheetData sheetId="5">
        <row r="18">
          <cell r="E18">
            <v>0.46538031535525659</v>
          </cell>
        </row>
      </sheetData>
      <sheetData sheetId="6">
        <row r="1">
          <cell r="A1" t="str">
            <v>Issuer: Atlas Copco</v>
          </cell>
          <cell r="F1">
            <v>1994</v>
          </cell>
          <cell r="G1">
            <v>1995</v>
          </cell>
          <cell r="H1">
            <v>1996</v>
          </cell>
          <cell r="I1">
            <v>1997</v>
          </cell>
          <cell r="J1">
            <v>1998</v>
          </cell>
          <cell r="K1">
            <v>1999</v>
          </cell>
          <cell r="L1">
            <v>2000</v>
          </cell>
          <cell r="M1">
            <v>2001</v>
          </cell>
          <cell r="N1">
            <v>2002</v>
          </cell>
          <cell r="O1">
            <v>2003</v>
          </cell>
          <cell r="P1">
            <v>2004</v>
          </cell>
          <cell r="Q1">
            <v>2005</v>
          </cell>
          <cell r="R1">
            <v>2006</v>
          </cell>
          <cell r="S1">
            <v>2007</v>
          </cell>
          <cell r="T1">
            <v>2008</v>
          </cell>
          <cell r="U1">
            <v>2009</v>
          </cell>
          <cell r="V1">
            <v>2010</v>
          </cell>
          <cell r="W1">
            <v>2011</v>
          </cell>
          <cell r="X1">
            <v>2012</v>
          </cell>
          <cell r="Y1">
            <v>2013</v>
          </cell>
          <cell r="Z1">
            <v>2014</v>
          </cell>
          <cell r="AA1">
            <v>2015</v>
          </cell>
          <cell r="AB1">
            <v>2016</v>
          </cell>
          <cell r="AC1">
            <v>2017</v>
          </cell>
          <cell r="AD1">
            <v>2018</v>
          </cell>
          <cell r="AE1">
            <v>2019</v>
          </cell>
          <cell r="AF1">
            <v>2020</v>
          </cell>
          <cell r="AG1">
            <v>2021</v>
          </cell>
          <cell r="AH1">
            <v>2022</v>
          </cell>
          <cell r="AI1">
            <v>2023</v>
          </cell>
          <cell r="AJ1">
            <v>2024</v>
          </cell>
          <cell r="AK1">
            <v>2025</v>
          </cell>
          <cell r="AL1">
            <v>2026</v>
          </cell>
          <cell r="AM1">
            <v>2027</v>
          </cell>
          <cell r="AN1">
            <v>2028</v>
          </cell>
          <cell r="AO1">
            <v>2029</v>
          </cell>
          <cell r="AP1">
            <v>2030</v>
          </cell>
          <cell r="AR1" t="str">
            <v>2004 Q1</v>
          </cell>
          <cell r="AS1" t="str">
            <v>2004 Q2</v>
          </cell>
          <cell r="AT1" t="str">
            <v>2004 Q3</v>
          </cell>
          <cell r="AU1" t="str">
            <v>2004 Q4</v>
          </cell>
          <cell r="AV1" t="str">
            <v>2005 Q1</v>
          </cell>
          <cell r="AW1" t="str">
            <v>2005 Q2</v>
          </cell>
          <cell r="AX1" t="str">
            <v>2005 Q3</v>
          </cell>
          <cell r="AY1" t="str">
            <v>2005 Q4</v>
          </cell>
          <cell r="AZ1" t="str">
            <v>2006 Q1</v>
          </cell>
          <cell r="BA1" t="str">
            <v>2006 Q2</v>
          </cell>
          <cell r="BB1" t="str">
            <v>2006 Q3</v>
          </cell>
          <cell r="BC1" t="str">
            <v>2006 Q4</v>
          </cell>
          <cell r="BD1" t="str">
            <v>2007 Q1</v>
          </cell>
          <cell r="BE1" t="str">
            <v>2007 Q2</v>
          </cell>
          <cell r="BF1" t="str">
            <v>2007 Q3</v>
          </cell>
          <cell r="BG1" t="str">
            <v>2007 Q4</v>
          </cell>
          <cell r="BH1" t="str">
            <v>2008 Q1</v>
          </cell>
          <cell r="BI1" t="str">
            <v>2008 Q2</v>
          </cell>
          <cell r="BJ1" t="str">
            <v>2008 Q3</v>
          </cell>
          <cell r="BK1" t="str">
            <v>2008 Q4</v>
          </cell>
          <cell r="BL1" t="str">
            <v>2009 Q1</v>
          </cell>
          <cell r="BM1" t="str">
            <v>2009 Q2</v>
          </cell>
          <cell r="BN1" t="str">
            <v>2009 Q3</v>
          </cell>
          <cell r="BO1" t="str">
            <v>2009 Q4</v>
          </cell>
          <cell r="BP1" t="str">
            <v>2010 Q1</v>
          </cell>
          <cell r="BQ1" t="str">
            <v>2010 Q2</v>
          </cell>
          <cell r="BR1" t="str">
            <v>2010 Q3</v>
          </cell>
          <cell r="BS1" t="str">
            <v>2010 Q4</v>
          </cell>
          <cell r="BT1" t="str">
            <v>2011 Q1</v>
          </cell>
          <cell r="BU1" t="str">
            <v>2011 Q2</v>
          </cell>
          <cell r="BV1" t="str">
            <v>2011 Q3</v>
          </cell>
          <cell r="BW1" t="str">
            <v>2011 Q4</v>
          </cell>
          <cell r="BX1" t="str">
            <v>2012 Q1</v>
          </cell>
          <cell r="BY1" t="str">
            <v>2012 Q2</v>
          </cell>
          <cell r="BZ1" t="str">
            <v>2012 Q3</v>
          </cell>
          <cell r="CA1" t="str">
            <v>2012 Q4</v>
          </cell>
          <cell r="CB1" t="str">
            <v>2013 Q1</v>
          </cell>
          <cell r="CC1" t="str">
            <v>2013 Q2</v>
          </cell>
          <cell r="CD1" t="str">
            <v>2013 Q3</v>
          </cell>
          <cell r="CE1" t="str">
            <v>2013 Q4</v>
          </cell>
          <cell r="CF1" t="str">
            <v>2014 Q1</v>
          </cell>
          <cell r="CG1" t="str">
            <v>2014 Q2</v>
          </cell>
          <cell r="CH1" t="str">
            <v>2014 Q3</v>
          </cell>
          <cell r="CI1" t="str">
            <v>2014 Q4</v>
          </cell>
          <cell r="CJ1" t="str">
            <v>2015 Q1</v>
          </cell>
          <cell r="CK1" t="str">
            <v>2015 Q2</v>
          </cell>
          <cell r="CL1" t="str">
            <v>2015 Q3</v>
          </cell>
          <cell r="CM1" t="str">
            <v>2015 Q4</v>
          </cell>
          <cell r="CN1" t="str">
            <v>2016 Q1</v>
          </cell>
          <cell r="CO1" t="str">
            <v>2016 Q2</v>
          </cell>
          <cell r="CP1" t="str">
            <v>2016 Q3</v>
          </cell>
          <cell r="CQ1" t="str">
            <v>2016 Q4</v>
          </cell>
          <cell r="CR1" t="str">
            <v>2017 Q1</v>
          </cell>
          <cell r="CS1" t="str">
            <v>2017 Q2</v>
          </cell>
          <cell r="CT1" t="str">
            <v>2017 Q3</v>
          </cell>
          <cell r="CU1" t="str">
            <v>2017 Q4</v>
          </cell>
          <cell r="CV1" t="str">
            <v>2018 Q1</v>
          </cell>
          <cell r="CW1" t="str">
            <v>2018 Q2</v>
          </cell>
          <cell r="CX1" t="str">
            <v>2018 Q3</v>
          </cell>
          <cell r="CY1" t="str">
            <v>2018 Q4</v>
          </cell>
          <cell r="CZ1" t="str">
            <v>2019 Q1</v>
          </cell>
          <cell r="DA1" t="str">
            <v>2019 Q2</v>
          </cell>
          <cell r="DB1" t="str">
            <v>2019 Q3</v>
          </cell>
          <cell r="DC1" t="str">
            <v>2019 Q4</v>
          </cell>
          <cell r="DD1" t="str">
            <v>2020 Q1</v>
          </cell>
          <cell r="DE1" t="str">
            <v>2020 Q2</v>
          </cell>
          <cell r="DF1" t="str">
            <v>2020 Q3</v>
          </cell>
          <cell r="DG1" t="str">
            <v>2020 Q4</v>
          </cell>
          <cell r="DH1" t="str">
            <v>2021 Q1</v>
          </cell>
          <cell r="DI1" t="str">
            <v>2021 Q2</v>
          </cell>
          <cell r="DJ1" t="str">
            <v>2021 Q3</v>
          </cell>
          <cell r="DK1" t="str">
            <v>2021 Q4</v>
          </cell>
          <cell r="DL1" t="str">
            <v>2022 Q1</v>
          </cell>
          <cell r="DM1" t="str">
            <v>2022 Q2</v>
          </cell>
          <cell r="DN1" t="str">
            <v>2022 Q3</v>
          </cell>
          <cell r="DO1" t="str">
            <v>2022 Q4</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Estimate</v>
          </cell>
          <cell r="AI2" t="str">
            <v>Estimate</v>
          </cell>
          <cell r="AJ2" t="str">
            <v>Estimate</v>
          </cell>
          <cell r="AK2" t="str">
            <v>Estimate</v>
          </cell>
          <cell r="AL2" t="str">
            <v>Estimate</v>
          </cell>
          <cell r="AM2" t="str">
            <v>Estimate</v>
          </cell>
          <cell r="AN2" t="str">
            <v>Estimate</v>
          </cell>
          <cell r="AO2" t="str">
            <v>Estimate</v>
          </cell>
          <cell r="AP2" t="str">
            <v>Estimate</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Actual</v>
          </cell>
          <cell r="CJ2" t="str">
            <v>Actual</v>
          </cell>
          <cell r="CK2" t="str">
            <v>Actual</v>
          </cell>
          <cell r="CL2" t="str">
            <v>Actual</v>
          </cell>
          <cell r="CM2" t="str">
            <v>Actual</v>
          </cell>
          <cell r="CN2" t="str">
            <v>Actual</v>
          </cell>
          <cell r="CO2" t="str">
            <v>Actual</v>
          </cell>
          <cell r="CP2" t="str">
            <v>Actual</v>
          </cell>
          <cell r="CQ2" t="str">
            <v>Actual</v>
          </cell>
          <cell r="CR2" t="str">
            <v>Actual</v>
          </cell>
          <cell r="CS2" t="str">
            <v>Actual</v>
          </cell>
          <cell r="CT2" t="str">
            <v>Actual</v>
          </cell>
          <cell r="CU2" t="str">
            <v>Actual</v>
          </cell>
          <cell r="CV2" t="str">
            <v>Actual</v>
          </cell>
          <cell r="CW2" t="str">
            <v>Actual</v>
          </cell>
          <cell r="CX2" t="str">
            <v>Actual</v>
          </cell>
          <cell r="CY2" t="str">
            <v>Actual</v>
          </cell>
          <cell r="CZ2" t="str">
            <v>Actual</v>
          </cell>
          <cell r="DA2" t="str">
            <v>Actual</v>
          </cell>
          <cell r="DB2" t="str">
            <v>Actual</v>
          </cell>
          <cell r="DC2" t="str">
            <v>Actual</v>
          </cell>
          <cell r="DD2" t="str">
            <v>Actual</v>
          </cell>
          <cell r="DE2" t="str">
            <v>Actual</v>
          </cell>
          <cell r="DF2" t="str">
            <v>Actual</v>
          </cell>
          <cell r="DG2" t="str">
            <v>Actual</v>
          </cell>
          <cell r="DH2" t="str">
            <v>Actual</v>
          </cell>
          <cell r="DI2" t="str">
            <v>Actual</v>
          </cell>
          <cell r="DJ2" t="str">
            <v>Actual</v>
          </cell>
          <cell r="DK2" t="str">
            <v>Actual</v>
          </cell>
          <cell r="DL2" t="str">
            <v>Actual</v>
          </cell>
          <cell r="DM2" t="str">
            <v>Actual</v>
          </cell>
          <cell r="DN2" t="str">
            <v>Actual</v>
          </cell>
          <cell r="DO2" t="str">
            <v>Estimate</v>
          </cell>
        </row>
        <row r="3">
          <cell r="F3">
            <v>34699</v>
          </cell>
          <cell r="G3">
            <v>35064</v>
          </cell>
          <cell r="H3">
            <v>35430</v>
          </cell>
          <cell r="I3">
            <v>35795</v>
          </cell>
          <cell r="J3">
            <v>36160</v>
          </cell>
          <cell r="K3">
            <v>36525</v>
          </cell>
          <cell r="L3">
            <v>36891</v>
          </cell>
          <cell r="M3">
            <v>37256</v>
          </cell>
          <cell r="N3">
            <v>37621</v>
          </cell>
          <cell r="O3">
            <v>37986</v>
          </cell>
          <cell r="P3">
            <v>38352</v>
          </cell>
          <cell r="Q3">
            <v>38717</v>
          </cell>
          <cell r="R3">
            <v>39082</v>
          </cell>
          <cell r="S3">
            <v>39447</v>
          </cell>
          <cell r="T3">
            <v>39813</v>
          </cell>
          <cell r="U3">
            <v>40178</v>
          </cell>
          <cell r="V3">
            <v>40543</v>
          </cell>
          <cell r="W3">
            <v>40908</v>
          </cell>
          <cell r="X3">
            <v>41274</v>
          </cell>
          <cell r="Y3">
            <v>41639</v>
          </cell>
          <cell r="Z3">
            <v>42004</v>
          </cell>
          <cell r="AA3">
            <v>42369</v>
          </cell>
          <cell r="AB3">
            <v>42735</v>
          </cell>
          <cell r="AC3">
            <v>43100</v>
          </cell>
          <cell r="AD3">
            <v>43465</v>
          </cell>
          <cell r="AE3">
            <v>43830</v>
          </cell>
          <cell r="AF3">
            <v>44196</v>
          </cell>
          <cell r="AG3">
            <v>44561</v>
          </cell>
          <cell r="AH3">
            <v>44926</v>
          </cell>
          <cell r="AI3">
            <v>45291</v>
          </cell>
          <cell r="AJ3">
            <v>45657</v>
          </cell>
          <cell r="AK3">
            <v>46022</v>
          </cell>
          <cell r="AL3">
            <v>46387</v>
          </cell>
          <cell r="AM3">
            <v>46752</v>
          </cell>
          <cell r="AN3">
            <v>47118</v>
          </cell>
          <cell r="AO3">
            <v>47483</v>
          </cell>
          <cell r="AP3">
            <v>47848</v>
          </cell>
          <cell r="AR3">
            <v>38077</v>
          </cell>
          <cell r="AS3">
            <v>38168</v>
          </cell>
          <cell r="AT3">
            <v>38260</v>
          </cell>
          <cell r="AU3">
            <v>38352</v>
          </cell>
          <cell r="AV3">
            <v>38442</v>
          </cell>
          <cell r="AW3">
            <v>38533</v>
          </cell>
          <cell r="AX3">
            <v>38625</v>
          </cell>
          <cell r="AY3">
            <v>38717</v>
          </cell>
          <cell r="AZ3">
            <v>38807</v>
          </cell>
          <cell r="BA3">
            <v>38898</v>
          </cell>
          <cell r="BB3">
            <v>38990</v>
          </cell>
          <cell r="BC3">
            <v>39082</v>
          </cell>
          <cell r="BD3">
            <v>39172</v>
          </cell>
          <cell r="BE3">
            <v>39263</v>
          </cell>
          <cell r="BF3">
            <v>39355</v>
          </cell>
          <cell r="BG3">
            <v>39447</v>
          </cell>
          <cell r="BH3">
            <v>39538</v>
          </cell>
          <cell r="BI3">
            <v>39629</v>
          </cell>
          <cell r="BJ3">
            <v>39721</v>
          </cell>
          <cell r="BK3">
            <v>39813</v>
          </cell>
          <cell r="BL3">
            <v>39903</v>
          </cell>
          <cell r="BM3">
            <v>39994</v>
          </cell>
          <cell r="BN3">
            <v>40086</v>
          </cell>
          <cell r="BO3">
            <v>40178</v>
          </cell>
          <cell r="BP3">
            <v>40268</v>
          </cell>
          <cell r="BQ3">
            <v>40359</v>
          </cell>
          <cell r="BR3">
            <v>40451</v>
          </cell>
          <cell r="BS3">
            <v>40543</v>
          </cell>
          <cell r="BT3">
            <v>40633</v>
          </cell>
          <cell r="BU3">
            <v>40724</v>
          </cell>
          <cell r="BV3">
            <v>40816</v>
          </cell>
          <cell r="BW3">
            <v>40908</v>
          </cell>
          <cell r="BX3">
            <v>40999</v>
          </cell>
          <cell r="BY3">
            <v>41090</v>
          </cell>
          <cell r="BZ3">
            <v>41182</v>
          </cell>
          <cell r="CA3">
            <v>41274</v>
          </cell>
          <cell r="CB3">
            <v>41364</v>
          </cell>
          <cell r="CC3">
            <v>41455</v>
          </cell>
          <cell r="CD3">
            <v>41547</v>
          </cell>
          <cell r="CE3">
            <v>41639</v>
          </cell>
          <cell r="CF3">
            <v>41729</v>
          </cell>
          <cell r="CG3">
            <v>41820</v>
          </cell>
          <cell r="CH3">
            <v>41912</v>
          </cell>
          <cell r="CI3">
            <v>42004</v>
          </cell>
          <cell r="CJ3">
            <v>42094</v>
          </cell>
          <cell r="CK3">
            <v>42185</v>
          </cell>
          <cell r="CL3">
            <v>42277</v>
          </cell>
          <cell r="CM3">
            <v>42369</v>
          </cell>
          <cell r="CN3">
            <v>42460</v>
          </cell>
          <cell r="CO3">
            <v>42551</v>
          </cell>
          <cell r="CP3">
            <v>42643</v>
          </cell>
          <cell r="CQ3">
            <v>42735</v>
          </cell>
          <cell r="CR3">
            <v>42825</v>
          </cell>
          <cell r="CS3">
            <v>42916</v>
          </cell>
          <cell r="CT3">
            <v>43008</v>
          </cell>
          <cell r="CU3">
            <v>43100</v>
          </cell>
          <cell r="CV3">
            <v>43190</v>
          </cell>
          <cell r="CW3">
            <v>43281</v>
          </cell>
          <cell r="CX3">
            <v>43373</v>
          </cell>
          <cell r="CY3">
            <v>43465</v>
          </cell>
          <cell r="CZ3">
            <v>43555</v>
          </cell>
          <cell r="DA3">
            <v>43646</v>
          </cell>
          <cell r="DB3">
            <v>43738</v>
          </cell>
          <cell r="DC3">
            <v>43830</v>
          </cell>
          <cell r="DD3">
            <v>43921</v>
          </cell>
          <cell r="DE3">
            <v>44012</v>
          </cell>
          <cell r="DF3">
            <v>44104</v>
          </cell>
          <cell r="DG3">
            <v>44196</v>
          </cell>
          <cell r="DH3">
            <v>44286</v>
          </cell>
          <cell r="DI3">
            <v>44377</v>
          </cell>
          <cell r="DJ3">
            <v>44469</v>
          </cell>
          <cell r="DK3">
            <v>44561</v>
          </cell>
          <cell r="DL3">
            <v>44651</v>
          </cell>
          <cell r="DM3">
            <v>44742</v>
          </cell>
          <cell r="DN3">
            <v>44834</v>
          </cell>
          <cell r="DO3">
            <v>44926</v>
          </cell>
        </row>
        <row r="4">
          <cell r="A4" t="str">
            <v>Issuer: Atlas Copco</v>
          </cell>
        </row>
        <row r="5">
          <cell r="A5" t="str">
            <v>Reference Data</v>
          </cell>
        </row>
        <row r="6">
          <cell r="B6" t="str">
            <v>Issuer Name</v>
          </cell>
          <cell r="C6" t="str">
            <v>Issuer Name</v>
          </cell>
          <cell r="E6" t="str">
            <v>Atlas Copco</v>
          </cell>
        </row>
        <row r="7">
          <cell r="B7" t="str">
            <v>Reporting Currency</v>
          </cell>
          <cell r="C7" t="str">
            <v>CURRENCY_ISO</v>
          </cell>
          <cell r="E7" t="str">
            <v>SEK</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D11" t="str">
            <v>SEK</v>
          </cell>
          <cell r="F11">
            <v>20914</v>
          </cell>
          <cell r="G11">
            <v>24454</v>
          </cell>
          <cell r="H11">
            <v>25121</v>
          </cell>
          <cell r="I11">
            <v>30032</v>
          </cell>
          <cell r="J11">
            <v>33740</v>
          </cell>
          <cell r="K11">
            <v>36234</v>
          </cell>
          <cell r="L11">
            <v>46527</v>
          </cell>
          <cell r="M11">
            <v>51139</v>
          </cell>
          <cell r="N11">
            <v>47562</v>
          </cell>
          <cell r="O11">
            <v>44619</v>
          </cell>
          <cell r="P11">
            <v>43192</v>
          </cell>
          <cell r="Q11">
            <v>42205</v>
          </cell>
          <cell r="R11">
            <v>50512</v>
          </cell>
          <cell r="S11">
            <v>63355</v>
          </cell>
          <cell r="T11">
            <v>74177</v>
          </cell>
          <cell r="U11">
            <v>63762</v>
          </cell>
          <cell r="V11">
            <v>69875</v>
          </cell>
          <cell r="W11">
            <v>81203</v>
          </cell>
          <cell r="X11">
            <v>90533</v>
          </cell>
          <cell r="Y11">
            <v>83888</v>
          </cell>
          <cell r="Z11">
            <v>93721</v>
          </cell>
          <cell r="AA11">
            <v>98973</v>
          </cell>
          <cell r="AB11">
            <v>101356</v>
          </cell>
          <cell r="AC11">
            <v>116421</v>
          </cell>
          <cell r="AD11">
            <v>95363</v>
          </cell>
          <cell r="AE11">
            <v>103756</v>
          </cell>
          <cell r="AF11">
            <v>99787</v>
          </cell>
          <cell r="AG11">
            <v>110912</v>
          </cell>
          <cell r="AH11">
            <v>139332.00019335697</v>
          </cell>
          <cell r="AI11">
            <v>159042.1914694907</v>
          </cell>
          <cell r="AJ11">
            <v>174108.10419463893</v>
          </cell>
          <cell r="AK11">
            <v>193729.38741082948</v>
          </cell>
          <cell r="AL11">
            <v>217067.26860834265</v>
          </cell>
          <cell r="AM11">
            <v>240536.5228441793</v>
          </cell>
          <cell r="AN11">
            <v>266629.812490854</v>
          </cell>
          <cell r="AO11">
            <v>295649.63790794165</v>
          </cell>
          <cell r="AP11">
            <v>327934.30893951823</v>
          </cell>
          <cell r="AQ11" t="str">
            <v>must be +ve</v>
          </cell>
          <cell r="AR11">
            <v>10858</v>
          </cell>
          <cell r="AS11">
            <v>10680</v>
          </cell>
          <cell r="AT11">
            <v>11325</v>
          </cell>
          <cell r="AU11">
            <v>11592</v>
          </cell>
          <cell r="AV11">
            <v>9010</v>
          </cell>
          <cell r="AW11">
            <v>10539</v>
          </cell>
          <cell r="AX11">
            <v>10674</v>
          </cell>
          <cell r="AY11">
            <v>11982</v>
          </cell>
          <cell r="AZ11">
            <v>11948</v>
          </cell>
          <cell r="BA11">
            <v>12444</v>
          </cell>
          <cell r="BB11">
            <v>12538</v>
          </cell>
          <cell r="BC11">
            <v>13582</v>
          </cell>
          <cell r="BD11">
            <v>13390</v>
          </cell>
          <cell r="BE11">
            <v>15985</v>
          </cell>
          <cell r="BF11">
            <v>16431</v>
          </cell>
          <cell r="BG11">
            <v>17549</v>
          </cell>
          <cell r="BH11">
            <v>17122</v>
          </cell>
          <cell r="BI11">
            <v>18884</v>
          </cell>
          <cell r="BJ11">
            <v>18440</v>
          </cell>
          <cell r="BK11">
            <v>19731</v>
          </cell>
          <cell r="BL11">
            <v>16577</v>
          </cell>
          <cell r="BM11">
            <v>16155</v>
          </cell>
          <cell r="BN11">
            <v>15088</v>
          </cell>
          <cell r="BO11">
            <v>15942</v>
          </cell>
          <cell r="BP11">
            <v>15301</v>
          </cell>
          <cell r="BQ11">
            <v>17430</v>
          </cell>
          <cell r="BR11">
            <v>17743</v>
          </cell>
          <cell r="BS11">
            <v>19401</v>
          </cell>
          <cell r="BT11">
            <v>18223</v>
          </cell>
          <cell r="BU11">
            <v>19951</v>
          </cell>
          <cell r="BV11">
            <v>20739</v>
          </cell>
          <cell r="BW11">
            <v>22290</v>
          </cell>
          <cell r="BX11">
            <v>22254</v>
          </cell>
          <cell r="BY11">
            <v>23437</v>
          </cell>
          <cell r="BZ11">
            <v>22094</v>
          </cell>
          <cell r="CA11">
            <v>22748</v>
          </cell>
          <cell r="CB11">
            <v>20180</v>
          </cell>
          <cell r="CC11">
            <v>21843</v>
          </cell>
          <cell r="CD11">
            <v>20552</v>
          </cell>
          <cell r="CE11">
            <v>21266</v>
          </cell>
          <cell r="CF11">
            <v>21423</v>
          </cell>
          <cell r="CG11">
            <v>23348</v>
          </cell>
          <cell r="CH11">
            <v>23590</v>
          </cell>
          <cell r="CI11">
            <v>25360</v>
          </cell>
          <cell r="CJ11">
            <v>23957</v>
          </cell>
          <cell r="CK11">
            <v>25091</v>
          </cell>
          <cell r="CL11">
            <v>24922</v>
          </cell>
          <cell r="CM11">
            <v>25003</v>
          </cell>
          <cell r="CN11">
            <v>23137</v>
          </cell>
          <cell r="CO11">
            <v>25438</v>
          </cell>
          <cell r="CP11">
            <v>26528</v>
          </cell>
          <cell r="CQ11">
            <v>28495</v>
          </cell>
          <cell r="CR11">
            <v>27460</v>
          </cell>
          <cell r="CS11">
            <v>28554</v>
          </cell>
          <cell r="CT11">
            <v>28149</v>
          </cell>
          <cell r="CU11">
            <v>30656</v>
          </cell>
          <cell r="CV11">
            <v>21906</v>
          </cell>
          <cell r="CW11">
            <v>24461</v>
          </cell>
          <cell r="CX11">
            <v>23675</v>
          </cell>
          <cell r="CY11">
            <v>25321</v>
          </cell>
          <cell r="CZ11">
            <v>24181</v>
          </cell>
          <cell r="DA11">
            <v>25580</v>
          </cell>
          <cell r="DB11">
            <v>26676</v>
          </cell>
          <cell r="DC11">
            <v>27319</v>
          </cell>
          <cell r="DD11">
            <v>25098</v>
          </cell>
          <cell r="DE11">
            <v>24102</v>
          </cell>
          <cell r="DF11">
            <v>24849</v>
          </cell>
          <cell r="DG11">
            <v>25738</v>
          </cell>
          <cell r="DH11">
            <v>26021</v>
          </cell>
          <cell r="DI11">
            <v>27534</v>
          </cell>
          <cell r="DJ11">
            <v>27824</v>
          </cell>
          <cell r="DK11">
            <v>29533</v>
          </cell>
          <cell r="DL11">
            <v>30086</v>
          </cell>
          <cell r="DM11">
            <v>33111</v>
          </cell>
          <cell r="DN11">
            <v>38074</v>
          </cell>
          <cell r="DO11">
            <v>38061.00019335698</v>
          </cell>
        </row>
        <row r="12">
          <cell r="B12" t="str">
            <v>Cost of goods sold, COGS</v>
          </cell>
          <cell r="C12" t="str">
            <v>COST_GD_SD</v>
          </cell>
          <cell r="D12" t="str">
            <v>SEK</v>
          </cell>
          <cell r="F12">
            <v>-13713</v>
          </cell>
          <cell r="G12">
            <v>-16105</v>
          </cell>
          <cell r="H12">
            <v>-16840</v>
          </cell>
          <cell r="I12">
            <v>-19903</v>
          </cell>
          <cell r="J12">
            <v>-22460</v>
          </cell>
          <cell r="K12">
            <v>-24636</v>
          </cell>
          <cell r="L12">
            <v>-31805</v>
          </cell>
          <cell r="M12">
            <v>-35847</v>
          </cell>
          <cell r="N12">
            <v>-40403</v>
          </cell>
          <cell r="O12">
            <v>-31103</v>
          </cell>
          <cell r="P12">
            <v>-28510</v>
          </cell>
          <cell r="Q12">
            <v>-26681</v>
          </cell>
          <cell r="R12">
            <v>-31516</v>
          </cell>
          <cell r="S12">
            <v>-39896</v>
          </cell>
          <cell r="T12">
            <v>-47786</v>
          </cell>
          <cell r="U12">
            <v>-42631</v>
          </cell>
          <cell r="V12">
            <v>-43468</v>
          </cell>
          <cell r="W12">
            <v>-50051</v>
          </cell>
          <cell r="X12">
            <v>-55779</v>
          </cell>
          <cell r="Y12">
            <v>-51766</v>
          </cell>
          <cell r="Z12">
            <v>-58669</v>
          </cell>
          <cell r="AA12">
            <v>-59348</v>
          </cell>
          <cell r="AB12">
            <v>-61237</v>
          </cell>
          <cell r="AC12">
            <v>-68105</v>
          </cell>
          <cell r="AD12">
            <v>-54142</v>
          </cell>
          <cell r="AE12">
            <v>-59024</v>
          </cell>
          <cell r="AF12">
            <v>-58607</v>
          </cell>
          <cell r="AG12">
            <v>-64383</v>
          </cell>
          <cell r="AH12">
            <v>-81077.409461944102</v>
          </cell>
          <cell r="AI12">
            <v>-92923.522853512564</v>
          </cell>
          <cell r="AJ12">
            <v>-101821.42086710819</v>
          </cell>
          <cell r="AK12">
            <v>-112661.8137938783</v>
          </cell>
          <cell r="AL12">
            <v>-125527.68088904532</v>
          </cell>
          <cell r="AM12">
            <v>-138383.16008394878</v>
          </cell>
          <cell r="AN12">
            <v>-152955.44917064349</v>
          </cell>
          <cell r="AO12">
            <v>-169139.90577462435</v>
          </cell>
          <cell r="AP12">
            <v>-187124.5789463043</v>
          </cell>
          <cell r="AQ12" t="str">
            <v>must be -ve</v>
          </cell>
        </row>
        <row r="13">
          <cell r="B13" t="str">
            <v>SG&amp;A, selling, general and admin. expense</v>
          </cell>
          <cell r="C13" t="str">
            <v>SEL_GL_AD</v>
          </cell>
          <cell r="D13" t="str">
            <v>SEK</v>
          </cell>
          <cell r="F13">
            <v>-4559</v>
          </cell>
          <cell r="G13">
            <v>-4778</v>
          </cell>
          <cell r="H13">
            <v>-4892</v>
          </cell>
          <cell r="I13">
            <v>-5702</v>
          </cell>
          <cell r="J13">
            <v>-6305</v>
          </cell>
          <cell r="K13">
            <v>-6412</v>
          </cell>
          <cell r="L13">
            <v>-7392</v>
          </cell>
          <cell r="M13">
            <v>-7985</v>
          </cell>
          <cell r="N13">
            <v>-8159</v>
          </cell>
          <cell r="O13">
            <v>-7551</v>
          </cell>
          <cell r="P13">
            <v>-7048</v>
          </cell>
          <cell r="Q13">
            <v>-7788</v>
          </cell>
          <cell r="R13">
            <v>-8530</v>
          </cell>
          <cell r="S13">
            <v>-10067</v>
          </cell>
          <cell r="T13">
            <v>-11328</v>
          </cell>
          <cell r="U13">
            <v>-10651</v>
          </cell>
          <cell r="V13">
            <v>-11087</v>
          </cell>
          <cell r="W13">
            <v>-11959</v>
          </cell>
          <cell r="X13">
            <v>-13641</v>
          </cell>
          <cell r="Y13">
            <v>-13139</v>
          </cell>
          <cell r="Z13">
            <v>-15493</v>
          </cell>
          <cell r="AA13">
            <v>-16901</v>
          </cell>
          <cell r="AB13">
            <v>-17868</v>
          </cell>
          <cell r="AC13">
            <v>-20142</v>
          </cell>
          <cell r="AD13">
            <v>-17211</v>
          </cell>
          <cell r="AE13">
            <v>-19344</v>
          </cell>
          <cell r="AF13">
            <v>-17827</v>
          </cell>
          <cell r="AG13">
            <v>-19461</v>
          </cell>
          <cell r="AH13">
            <v>-22098.480762719104</v>
          </cell>
          <cell r="AI13">
            <v>-25224.577295753166</v>
          </cell>
          <cell r="AJ13">
            <v>-27614.077066570113</v>
          </cell>
          <cell r="AK13">
            <v>-30726.072509764239</v>
          </cell>
          <cell r="AL13">
            <v>-34427.531743609776</v>
          </cell>
          <cell r="AM13">
            <v>-38149.827142558104</v>
          </cell>
          <cell r="AN13">
            <v>-42288.302571697823</v>
          </cell>
          <cell r="AO13">
            <v>-46890.935511919932</v>
          </cell>
          <cell r="AP13">
            <v>-52011.382937722592</v>
          </cell>
          <cell r="AQ13" t="str">
            <v>must be -ve</v>
          </cell>
        </row>
        <row r="14">
          <cell r="B14" t="str">
            <v>Total operating expense</v>
          </cell>
          <cell r="C14" t="str">
            <v>OP_COST</v>
          </cell>
          <cell r="D14" t="str">
            <v>SEK</v>
          </cell>
          <cell r="F14">
            <v>-18272</v>
          </cell>
          <cell r="G14">
            <v>-20883</v>
          </cell>
          <cell r="H14">
            <v>-21732</v>
          </cell>
          <cell r="I14">
            <v>-25605</v>
          </cell>
          <cell r="J14">
            <v>-28765</v>
          </cell>
          <cell r="K14">
            <v>-31048</v>
          </cell>
          <cell r="L14">
            <v>-39197</v>
          </cell>
          <cell r="M14">
            <v>-43832</v>
          </cell>
          <cell r="N14">
            <v>-48562</v>
          </cell>
          <cell r="O14">
            <v>-38654</v>
          </cell>
          <cell r="P14">
            <v>-35558</v>
          </cell>
          <cell r="Q14">
            <v>-34469</v>
          </cell>
          <cell r="R14">
            <v>-40046</v>
          </cell>
          <cell r="S14">
            <v>-49963</v>
          </cell>
          <cell r="T14">
            <v>-59114</v>
          </cell>
          <cell r="U14">
            <v>-53282</v>
          </cell>
          <cell r="V14">
            <v>-54555</v>
          </cell>
          <cell r="W14">
            <v>-62010</v>
          </cell>
          <cell r="X14">
            <v>-69420</v>
          </cell>
          <cell r="Y14">
            <v>-64905</v>
          </cell>
          <cell r="Z14">
            <v>-74162</v>
          </cell>
          <cell r="AA14">
            <v>-76249</v>
          </cell>
          <cell r="AB14">
            <v>-79105</v>
          </cell>
          <cell r="AC14">
            <v>-88247</v>
          </cell>
          <cell r="AD14">
            <v>-71353</v>
          </cell>
          <cell r="AE14">
            <v>-78368</v>
          </cell>
          <cell r="AF14">
            <v>-76434</v>
          </cell>
          <cell r="AG14">
            <v>-83844</v>
          </cell>
          <cell r="AH14">
            <v>-103175.89022466321</v>
          </cell>
          <cell r="AI14">
            <v>-118148.10014926572</v>
          </cell>
          <cell r="AJ14">
            <v>-129435.4979336783</v>
          </cell>
          <cell r="AK14">
            <v>-143387.88630364253</v>
          </cell>
          <cell r="AL14">
            <v>-159955.21263265511</v>
          </cell>
          <cell r="AM14">
            <v>-176532.98722650687</v>
          </cell>
          <cell r="AN14">
            <v>-195243.75174234132</v>
          </cell>
          <cell r="AO14">
            <v>-216030.84128654428</v>
          </cell>
          <cell r="AP14">
            <v>-239135.96188402688</v>
          </cell>
          <cell r="AQ14" t="str">
            <v>must be -ve</v>
          </cell>
        </row>
        <row r="15">
          <cell r="B15" t="str">
            <v>R&amp;D expense</v>
          </cell>
          <cell r="C15" t="str">
            <v>RD_EXP</v>
          </cell>
          <cell r="D15" t="str">
            <v>SEK</v>
          </cell>
          <cell r="F15">
            <v>-620</v>
          </cell>
          <cell r="G15">
            <v>-718</v>
          </cell>
          <cell r="H15">
            <v>-770</v>
          </cell>
          <cell r="I15">
            <v>-808</v>
          </cell>
          <cell r="J15">
            <v>-945</v>
          </cell>
          <cell r="K15">
            <v>-943</v>
          </cell>
          <cell r="L15">
            <v>-969</v>
          </cell>
          <cell r="M15">
            <v>-1107</v>
          </cell>
          <cell r="N15">
            <v>-900</v>
          </cell>
          <cell r="O15">
            <v>-878</v>
          </cell>
          <cell r="P15">
            <v>-849</v>
          </cell>
          <cell r="Q15">
            <v>-978</v>
          </cell>
          <cell r="R15">
            <v>-1111</v>
          </cell>
          <cell r="S15">
            <v>-1286</v>
          </cell>
          <cell r="T15">
            <v>-1473</v>
          </cell>
          <cell r="U15">
            <v>-1410</v>
          </cell>
          <cell r="V15">
            <v>-1517</v>
          </cell>
          <cell r="W15">
            <v>-1805</v>
          </cell>
          <cell r="X15">
            <v>-2042</v>
          </cell>
          <cell r="Y15">
            <v>-2117</v>
          </cell>
          <cell r="Z15">
            <v>-2933</v>
          </cell>
          <cell r="AA15">
            <v>-3151</v>
          </cell>
          <cell r="AB15">
            <v>-3096</v>
          </cell>
          <cell r="AC15">
            <v>-3723</v>
          </cell>
          <cell r="AD15">
            <v>-3166</v>
          </cell>
          <cell r="AE15">
            <v>-3631</v>
          </cell>
          <cell r="AF15">
            <v>-3762</v>
          </cell>
          <cell r="AG15">
            <v>-4125</v>
          </cell>
          <cell r="AH15">
            <v>-5181.9866272143463</v>
          </cell>
          <cell r="AI15">
            <v>-5915.0411119775063</v>
          </cell>
          <cell r="AJ15">
            <v>-6475.3672262954915</v>
          </cell>
          <cell r="AK15">
            <v>-7205.1150738393644</v>
          </cell>
          <cell r="AL15">
            <v>-8073.0893231518094</v>
          </cell>
          <cell r="AM15">
            <v>-8945.9495521876779</v>
          </cell>
          <cell r="AN15">
            <v>-9916.4019810730388</v>
          </cell>
          <cell r="AO15">
            <v>-10995.697096529315</v>
          </cell>
          <cell r="AP15">
            <v>-12196.417199000225</v>
          </cell>
          <cell r="AQ15" t="str">
            <v>must be 0 or -ve</v>
          </cell>
        </row>
        <row r="16">
          <cell r="B16" t="str">
            <v>Other operating income/(expense) (incl. leases)</v>
          </cell>
          <cell r="C16" t="str">
            <v>OTH_OP_INC_EXP</v>
          </cell>
          <cell r="D16" t="str">
            <v>SEK</v>
          </cell>
          <cell r="F16">
            <v>-66</v>
          </cell>
          <cell r="G16">
            <v>-99</v>
          </cell>
          <cell r="H16">
            <v>312</v>
          </cell>
          <cell r="I16">
            <v>194</v>
          </cell>
          <cell r="J16">
            <v>315</v>
          </cell>
          <cell r="K16">
            <v>227</v>
          </cell>
          <cell r="L16">
            <v>31</v>
          </cell>
          <cell r="M16">
            <v>-70</v>
          </cell>
          <cell r="N16">
            <v>211</v>
          </cell>
          <cell r="O16">
            <v>223</v>
          </cell>
          <cell r="P16">
            <v>-134</v>
          </cell>
          <cell r="Q16">
            <v>180</v>
          </cell>
          <cell r="R16">
            <v>-152</v>
          </cell>
          <cell r="S16">
            <v>-40</v>
          </cell>
          <cell r="T16">
            <v>216</v>
          </cell>
          <cell r="U16">
            <v>20</v>
          </cell>
          <cell r="V16">
            <v>112</v>
          </cell>
          <cell r="W16">
            <v>172</v>
          </cell>
          <cell r="X16">
            <v>157</v>
          </cell>
          <cell r="Y16">
            <v>190</v>
          </cell>
          <cell r="Z16">
            <v>389</v>
          </cell>
          <cell r="AA16">
            <v>199</v>
          </cell>
          <cell r="AB16">
            <v>643</v>
          </cell>
          <cell r="AC16">
            <v>-251</v>
          </cell>
          <cell r="AD16">
            <v>343</v>
          </cell>
          <cell r="AE16">
            <v>140</v>
          </cell>
          <cell r="AF16">
            <v>-445</v>
          </cell>
          <cell r="AG16">
            <v>616</v>
          </cell>
          <cell r="AH16">
            <v>750</v>
          </cell>
          <cell r="AI16">
            <v>856.09654233475294</v>
          </cell>
          <cell r="AJ16">
            <v>937.19373844318795</v>
          </cell>
          <cell r="AK16">
            <v>1042.8117041059284</v>
          </cell>
          <cell r="AL16">
            <v>1168.4354723274757</v>
          </cell>
          <cell r="AM16">
            <v>950.90749144226902</v>
          </cell>
          <cell r="AN16">
            <v>991.0889897307228</v>
          </cell>
          <cell r="AO16">
            <v>1018.0874792099166</v>
          </cell>
          <cell r="AP16">
            <v>1034.2662273632625</v>
          </cell>
        </row>
        <row r="17">
          <cell r="B17" t="str">
            <v>Total operating expense (incl. D&amp;A)</v>
          </cell>
          <cell r="C17" t="str">
            <v>TOT_OPS_EXP_DDA</v>
          </cell>
          <cell r="D17" t="str">
            <v>SEK</v>
          </cell>
          <cell r="F17">
            <v>-18958</v>
          </cell>
          <cell r="G17">
            <v>-21700</v>
          </cell>
          <cell r="H17">
            <v>-22190</v>
          </cell>
          <cell r="I17">
            <v>-26219</v>
          </cell>
          <cell r="J17">
            <v>-29395</v>
          </cell>
          <cell r="K17">
            <v>-31764</v>
          </cell>
          <cell r="L17">
            <v>-40135</v>
          </cell>
          <cell r="M17">
            <v>-45009</v>
          </cell>
          <cell r="N17">
            <v>-49251</v>
          </cell>
          <cell r="O17">
            <v>-39309</v>
          </cell>
          <cell r="P17">
            <v>-36541</v>
          </cell>
          <cell r="Q17">
            <v>-35267</v>
          </cell>
          <cell r="R17">
            <v>-41309</v>
          </cell>
          <cell r="S17">
            <v>-51289</v>
          </cell>
          <cell r="T17">
            <v>-60371</v>
          </cell>
          <cell r="U17">
            <v>-54672</v>
          </cell>
          <cell r="V17">
            <v>-55960</v>
          </cell>
          <cell r="W17">
            <v>-63643</v>
          </cell>
          <cell r="X17">
            <v>-71305</v>
          </cell>
          <cell r="Y17">
            <v>-66832</v>
          </cell>
          <cell r="Z17">
            <v>-76706</v>
          </cell>
          <cell r="AA17">
            <v>-79201</v>
          </cell>
          <cell r="AB17">
            <v>-81558</v>
          </cell>
          <cell r="AC17">
            <v>-92221</v>
          </cell>
          <cell r="AD17">
            <v>-74176</v>
          </cell>
          <cell r="AE17">
            <v>-81859</v>
          </cell>
          <cell r="AF17">
            <v>-80641</v>
          </cell>
          <cell r="AG17">
            <v>-87353</v>
          </cell>
          <cell r="AH17">
            <v>-107607.87685187755</v>
          </cell>
          <cell r="AI17">
            <v>-123207.04471890848</v>
          </cell>
          <cell r="AJ17">
            <v>-134973.6714215306</v>
          </cell>
          <cell r="AK17">
            <v>-149550.18967337598</v>
          </cell>
          <cell r="AL17">
            <v>-166859.86648347942</v>
          </cell>
          <cell r="AM17">
            <v>-184528.02928725226</v>
          </cell>
          <cell r="AN17">
            <v>-204169.06473368363</v>
          </cell>
          <cell r="AO17">
            <v>-226008.45090386368</v>
          </cell>
          <cell r="AP17">
            <v>-250298.11285566384</v>
          </cell>
        </row>
        <row r="18">
          <cell r="B18" t="str">
            <v>Total operating expense (excl. D&amp;A)</v>
          </cell>
          <cell r="C18" t="str">
            <v>TOT_OPS_EXP</v>
          </cell>
          <cell r="D18" t="str">
            <v>SEK</v>
          </cell>
          <cell r="F18">
            <v>-18071</v>
          </cell>
          <cell r="G18">
            <v>-20988</v>
          </cell>
          <cell r="H18">
            <v>-21419</v>
          </cell>
          <cell r="I18">
            <v>-25155</v>
          </cell>
          <cell r="J18">
            <v>-28187</v>
          </cell>
          <cell r="K18">
            <v>-30421</v>
          </cell>
          <cell r="L18">
            <v>-38568</v>
          </cell>
          <cell r="M18">
            <v>-43327</v>
          </cell>
          <cell r="N18">
            <v>-40678</v>
          </cell>
          <cell r="O18">
            <v>-37956</v>
          </cell>
          <cell r="P18">
            <v>-35299</v>
          </cell>
          <cell r="Q18">
            <v>-34188</v>
          </cell>
          <cell r="R18">
            <v>-40306</v>
          </cell>
          <cell r="S18">
            <v>-50077</v>
          </cell>
          <cell r="T18">
            <v>-58876</v>
          </cell>
          <cell r="U18">
            <v>-52922</v>
          </cell>
          <cell r="V18">
            <v>-54142</v>
          </cell>
          <cell r="W18">
            <v>-61837</v>
          </cell>
          <cell r="X18">
            <v>-69322</v>
          </cell>
          <cell r="Y18">
            <v>-64824</v>
          </cell>
          <cell r="Z18">
            <v>-73892</v>
          </cell>
          <cell r="AA18">
            <v>-75860</v>
          </cell>
          <cell r="AB18">
            <v>-78154</v>
          </cell>
          <cell r="AC18">
            <v>-88757</v>
          </cell>
          <cell r="AD18">
            <v>-70258</v>
          </cell>
          <cell r="AE18">
            <v>-78936</v>
          </cell>
          <cell r="AF18">
            <v>-77351</v>
          </cell>
          <cell r="AG18">
            <v>-83741</v>
          </cell>
          <cell r="AH18">
            <v>-103577.97314010683</v>
          </cell>
          <cell r="AI18">
            <v>-118875.03348016541</v>
          </cell>
          <cell r="AJ18">
            <v>-130309.65908814916</v>
          </cell>
          <cell r="AK18">
            <v>-144886.17733999455</v>
          </cell>
          <cell r="AL18">
            <v>-162195.85415009799</v>
          </cell>
          <cell r="AM18">
            <v>-179864.01695387083</v>
          </cell>
          <cell r="AN18">
            <v>-199505.0524003022</v>
          </cell>
          <cell r="AO18">
            <v>-221344.43857048225</v>
          </cell>
          <cell r="AP18">
            <v>-245634.10052228242</v>
          </cell>
        </row>
        <row r="19">
          <cell r="B19" t="str">
            <v>EBITDA</v>
          </cell>
          <cell r="C19" t="str">
            <v>EBITDA_CALC</v>
          </cell>
          <cell r="D19" t="str">
            <v>SEK</v>
          </cell>
          <cell r="F19">
            <v>2843</v>
          </cell>
          <cell r="G19">
            <v>3465.9999999999995</v>
          </cell>
          <cell r="H19">
            <v>3702</v>
          </cell>
          <cell r="I19">
            <v>4877</v>
          </cell>
          <cell r="J19">
            <v>5553</v>
          </cell>
          <cell r="K19">
            <v>5813</v>
          </cell>
          <cell r="L19">
            <v>7959</v>
          </cell>
          <cell r="M19">
            <v>7812</v>
          </cell>
          <cell r="N19">
            <v>6884</v>
          </cell>
          <cell r="O19">
            <v>6663</v>
          </cell>
          <cell r="P19">
            <v>7893</v>
          </cell>
          <cell r="Q19">
            <v>8017</v>
          </cell>
          <cell r="R19">
            <v>10206</v>
          </cell>
          <cell r="S19">
            <v>13278</v>
          </cell>
          <cell r="T19">
            <v>15301</v>
          </cell>
          <cell r="U19">
            <v>10840</v>
          </cell>
          <cell r="V19">
            <v>15733</v>
          </cell>
          <cell r="W19">
            <v>19366</v>
          </cell>
          <cell r="X19">
            <v>21211</v>
          </cell>
          <cell r="Y19">
            <v>19064</v>
          </cell>
          <cell r="Z19">
            <v>19829</v>
          </cell>
          <cell r="AA19">
            <v>23113</v>
          </cell>
          <cell r="AB19">
            <v>23202</v>
          </cell>
          <cell r="AC19">
            <v>27664</v>
          </cell>
          <cell r="AD19">
            <v>25105</v>
          </cell>
          <cell r="AE19">
            <v>24820</v>
          </cell>
          <cell r="AF19">
            <v>22436</v>
          </cell>
          <cell r="AG19">
            <v>27171</v>
          </cell>
          <cell r="AH19">
            <v>35754.027053250138</v>
          </cell>
          <cell r="AI19">
            <v>40167.157989325278</v>
          </cell>
          <cell r="AJ19">
            <v>43798.445106489766</v>
          </cell>
          <cell r="AK19">
            <v>48843.210070834946</v>
          </cell>
          <cell r="AL19">
            <v>54871.414458244646</v>
          </cell>
          <cell r="AM19">
            <v>60672.505890308465</v>
          </cell>
          <cell r="AN19">
            <v>67124.760090551776</v>
          </cell>
          <cell r="AO19">
            <v>74305.199337459417</v>
          </cell>
          <cell r="AP19">
            <v>82300.208417235815</v>
          </cell>
        </row>
        <row r="20">
          <cell r="B20" t="str">
            <v>Depreciation</v>
          </cell>
          <cell r="C20" t="str">
            <v>DEPREC</v>
          </cell>
          <cell r="D20" t="str">
            <v>SEK</v>
          </cell>
          <cell r="F20">
            <v>-887</v>
          </cell>
          <cell r="G20">
            <v>-712</v>
          </cell>
          <cell r="H20">
            <v>-771</v>
          </cell>
          <cell r="I20">
            <v>-1064</v>
          </cell>
          <cell r="J20">
            <v>-1208</v>
          </cell>
          <cell r="K20">
            <v>-1343</v>
          </cell>
          <cell r="L20">
            <v>-1567</v>
          </cell>
          <cell r="M20">
            <v>-1682</v>
          </cell>
          <cell r="N20">
            <v>-8573</v>
          </cell>
          <cell r="O20">
            <v>-1353</v>
          </cell>
          <cell r="P20">
            <v>-1242</v>
          </cell>
          <cell r="Q20">
            <v>-1079</v>
          </cell>
          <cell r="R20">
            <v>-1003</v>
          </cell>
          <cell r="S20">
            <v>-1212</v>
          </cell>
          <cell r="T20">
            <v>-1495</v>
          </cell>
          <cell r="U20">
            <v>-1750</v>
          </cell>
          <cell r="V20">
            <v>-1818</v>
          </cell>
          <cell r="W20">
            <v>-1806</v>
          </cell>
          <cell r="X20">
            <v>-1983</v>
          </cell>
          <cell r="Y20">
            <v>-2008</v>
          </cell>
          <cell r="Z20">
            <v>-2814</v>
          </cell>
          <cell r="AA20">
            <v>-3341</v>
          </cell>
          <cell r="AB20">
            <v>-3404</v>
          </cell>
          <cell r="AC20">
            <v>-3464</v>
          </cell>
          <cell r="AD20">
            <v>-3918</v>
          </cell>
          <cell r="AE20">
            <v>-2923</v>
          </cell>
          <cell r="AF20">
            <v>-3290</v>
          </cell>
          <cell r="AG20">
            <v>-3612</v>
          </cell>
          <cell r="AH20">
            <v>-4029.9037117707185</v>
          </cell>
          <cell r="AI20">
            <v>-4332.0112387430672</v>
          </cell>
          <cell r="AJ20">
            <v>-4664.0123333814354</v>
          </cell>
          <cell r="AK20">
            <v>-4664.0123333814354</v>
          </cell>
          <cell r="AL20">
            <v>-4664.0123333814354</v>
          </cell>
          <cell r="AM20">
            <v>-4664.0123333814354</v>
          </cell>
          <cell r="AN20">
            <v>-4664.0123333814354</v>
          </cell>
          <cell r="AO20">
            <v>-4664.0123333814354</v>
          </cell>
          <cell r="AP20">
            <v>-4664.0123333814354</v>
          </cell>
          <cell r="AQ20" t="str">
            <v>must be 0 or -ve</v>
          </cell>
        </row>
        <row r="21">
          <cell r="B21" t="str">
            <v>Amortization</v>
          </cell>
          <cell r="C21" t="str">
            <v>GOODWILL_AMORT</v>
          </cell>
          <cell r="D21" t="str">
            <v>SEK</v>
          </cell>
          <cell r="AQ21" t="str">
            <v>must be 0 or -ve</v>
          </cell>
        </row>
        <row r="22">
          <cell r="B22" t="str">
            <v>EBIT, operating profit</v>
          </cell>
          <cell r="C22" t="str">
            <v>EBIT</v>
          </cell>
          <cell r="D22" t="str">
            <v>SEK</v>
          </cell>
          <cell r="F22">
            <v>1956</v>
          </cell>
          <cell r="G22">
            <v>2753.9999999999995</v>
          </cell>
          <cell r="H22">
            <v>2931</v>
          </cell>
          <cell r="I22">
            <v>3813</v>
          </cell>
          <cell r="J22">
            <v>4345</v>
          </cell>
          <cell r="K22">
            <v>4470</v>
          </cell>
          <cell r="L22">
            <v>6392</v>
          </cell>
          <cell r="M22">
            <v>6130</v>
          </cell>
          <cell r="N22">
            <v>-1689</v>
          </cell>
          <cell r="O22">
            <v>5310</v>
          </cell>
          <cell r="P22">
            <v>6651</v>
          </cell>
          <cell r="Q22">
            <v>6938</v>
          </cell>
          <cell r="R22">
            <v>9203</v>
          </cell>
          <cell r="S22">
            <v>12066</v>
          </cell>
          <cell r="T22">
            <v>13806</v>
          </cell>
          <cell r="U22">
            <v>9090</v>
          </cell>
          <cell r="V22">
            <v>13915</v>
          </cell>
          <cell r="W22">
            <v>17560</v>
          </cell>
          <cell r="X22">
            <v>19228</v>
          </cell>
          <cell r="Y22">
            <v>17056</v>
          </cell>
          <cell r="Z22">
            <v>17015</v>
          </cell>
          <cell r="AA22">
            <v>19772</v>
          </cell>
          <cell r="AB22">
            <v>19798</v>
          </cell>
          <cell r="AC22">
            <v>24200</v>
          </cell>
          <cell r="AD22">
            <v>21187</v>
          </cell>
          <cell r="AE22">
            <v>21897</v>
          </cell>
          <cell r="AF22">
            <v>19146</v>
          </cell>
          <cell r="AG22">
            <v>23559</v>
          </cell>
          <cell r="AH22">
            <v>31724.123341479419</v>
          </cell>
          <cell r="AI22">
            <v>35835.146750582207</v>
          </cell>
          <cell r="AJ22">
            <v>39134.432773108332</v>
          </cell>
          <cell r="AK22">
            <v>44179.197737453513</v>
          </cell>
          <cell r="AL22">
            <v>50207.402124863213</v>
          </cell>
          <cell r="AM22">
            <v>56008.493556927031</v>
          </cell>
          <cell r="AN22">
            <v>62460.747757170342</v>
          </cell>
          <cell r="AO22">
            <v>69641.187004077976</v>
          </cell>
          <cell r="AP22">
            <v>77636.196083854375</v>
          </cell>
          <cell r="AR22">
            <v>1321</v>
          </cell>
          <cell r="AS22">
            <v>1594</v>
          </cell>
          <cell r="AT22">
            <v>1962</v>
          </cell>
          <cell r="AU22">
            <v>1784</v>
          </cell>
          <cell r="AV22">
            <v>1344</v>
          </cell>
          <cell r="AW22">
            <v>1667</v>
          </cell>
          <cell r="AX22">
            <v>1781</v>
          </cell>
          <cell r="AY22">
            <v>2146</v>
          </cell>
          <cell r="AZ22">
            <v>2096</v>
          </cell>
          <cell r="BA22">
            <v>2337</v>
          </cell>
          <cell r="BB22">
            <v>2306</v>
          </cell>
          <cell r="BC22">
            <v>2464</v>
          </cell>
          <cell r="BD22">
            <v>2541</v>
          </cell>
          <cell r="BE22">
            <v>3037</v>
          </cell>
          <cell r="BF22">
            <v>3127</v>
          </cell>
          <cell r="BG22">
            <v>3361</v>
          </cell>
          <cell r="BH22">
            <v>3248</v>
          </cell>
          <cell r="BI22">
            <v>3630</v>
          </cell>
          <cell r="BJ22">
            <v>3640</v>
          </cell>
          <cell r="BK22">
            <v>3288</v>
          </cell>
          <cell r="BL22">
            <v>2172</v>
          </cell>
          <cell r="BM22">
            <v>2066</v>
          </cell>
          <cell r="BN22">
            <v>2402</v>
          </cell>
          <cell r="BO22">
            <v>2450</v>
          </cell>
          <cell r="BP22">
            <v>2627</v>
          </cell>
          <cell r="BQ22">
            <v>3499</v>
          </cell>
          <cell r="BR22">
            <v>3782</v>
          </cell>
          <cell r="BS22">
            <v>4007</v>
          </cell>
          <cell r="BT22">
            <v>3987</v>
          </cell>
          <cell r="BU22">
            <v>4177</v>
          </cell>
          <cell r="BV22">
            <v>4800</v>
          </cell>
          <cell r="BW22">
            <v>4596</v>
          </cell>
          <cell r="BX22">
            <v>4604</v>
          </cell>
          <cell r="BY22">
            <v>5019</v>
          </cell>
          <cell r="BZ22">
            <v>4918</v>
          </cell>
          <cell r="CA22">
            <v>4687</v>
          </cell>
          <cell r="CB22">
            <v>4156</v>
          </cell>
          <cell r="CC22">
            <v>4533</v>
          </cell>
          <cell r="CD22">
            <v>4312</v>
          </cell>
          <cell r="CE22">
            <v>4148</v>
          </cell>
          <cell r="CF22">
            <v>3760</v>
          </cell>
          <cell r="CG22">
            <v>4339</v>
          </cell>
          <cell r="CH22">
            <v>4145</v>
          </cell>
          <cell r="CI22">
            <v>4771</v>
          </cell>
          <cell r="CJ22">
            <v>4519</v>
          </cell>
          <cell r="CK22">
            <v>5137</v>
          </cell>
          <cell r="CL22">
            <v>5313</v>
          </cell>
          <cell r="CM22">
            <v>4934</v>
          </cell>
          <cell r="CN22">
            <v>4170</v>
          </cell>
          <cell r="CO22">
            <v>4775</v>
          </cell>
          <cell r="CP22">
            <v>5023</v>
          </cell>
          <cell r="CQ22">
            <v>5785</v>
          </cell>
          <cell r="CR22">
            <v>5711</v>
          </cell>
          <cell r="CS22">
            <v>5988</v>
          </cell>
          <cell r="CT22">
            <v>6268</v>
          </cell>
          <cell r="CU22">
            <v>6233</v>
          </cell>
          <cell r="CV22">
            <v>4849</v>
          </cell>
          <cell r="CW22">
            <v>5430</v>
          </cell>
          <cell r="CX22">
            <v>5263</v>
          </cell>
          <cell r="CY22">
            <v>5527.299</v>
          </cell>
          <cell r="CZ22">
            <v>5048</v>
          </cell>
          <cell r="DA22">
            <v>5379</v>
          </cell>
          <cell r="DB22">
            <v>5843</v>
          </cell>
          <cell r="DC22">
            <v>5627</v>
          </cell>
          <cell r="DD22">
            <v>5124</v>
          </cell>
          <cell r="DE22">
            <v>3889</v>
          </cell>
          <cell r="DF22">
            <v>4760</v>
          </cell>
          <cell r="DG22">
            <v>5373</v>
          </cell>
          <cell r="DH22">
            <v>5387</v>
          </cell>
          <cell r="DI22">
            <v>5924</v>
          </cell>
          <cell r="DJ22">
            <v>6000</v>
          </cell>
          <cell r="DK22">
            <v>6248</v>
          </cell>
          <cell r="DL22">
            <v>6749</v>
          </cell>
          <cell r="DM22">
            <v>7279</v>
          </cell>
          <cell r="DN22">
            <v>8378</v>
          </cell>
          <cell r="DO22">
            <v>8331.6920303071238</v>
          </cell>
        </row>
        <row r="23">
          <cell r="B23" t="str">
            <v>Interest income</v>
          </cell>
          <cell r="C23" t="str">
            <v>INT_INC_IND</v>
          </cell>
          <cell r="D23" t="str">
            <v>SEK</v>
          </cell>
          <cell r="F23">
            <v>341</v>
          </cell>
          <cell r="G23">
            <v>456</v>
          </cell>
          <cell r="H23">
            <v>460</v>
          </cell>
          <cell r="I23">
            <v>351</v>
          </cell>
          <cell r="J23">
            <v>220</v>
          </cell>
          <cell r="K23">
            <v>151</v>
          </cell>
          <cell r="L23">
            <v>81</v>
          </cell>
          <cell r="M23">
            <v>164</v>
          </cell>
          <cell r="N23">
            <v>311</v>
          </cell>
          <cell r="O23">
            <v>359</v>
          </cell>
          <cell r="P23">
            <v>513</v>
          </cell>
          <cell r="Q23">
            <v>575</v>
          </cell>
          <cell r="R23">
            <v>666</v>
          </cell>
          <cell r="S23">
            <v>688</v>
          </cell>
          <cell r="T23">
            <v>2741</v>
          </cell>
          <cell r="U23">
            <v>0</v>
          </cell>
          <cell r="V23">
            <v>0</v>
          </cell>
          <cell r="W23">
            <v>0</v>
          </cell>
          <cell r="X23">
            <v>0</v>
          </cell>
          <cell r="Y23">
            <v>394</v>
          </cell>
          <cell r="Z23">
            <v>313</v>
          </cell>
          <cell r="AA23">
            <v>427</v>
          </cell>
          <cell r="AB23">
            <v>300</v>
          </cell>
          <cell r="AC23">
            <v>309</v>
          </cell>
          <cell r="AD23">
            <v>309</v>
          </cell>
          <cell r="AE23">
            <v>161</v>
          </cell>
          <cell r="AF23">
            <v>159.01846153846154</v>
          </cell>
          <cell r="AG23">
            <v>243</v>
          </cell>
          <cell r="AH23">
            <v>250</v>
          </cell>
          <cell r="AI23">
            <v>250</v>
          </cell>
          <cell r="AJ23">
            <v>250</v>
          </cell>
          <cell r="AK23">
            <v>250</v>
          </cell>
          <cell r="AL23">
            <v>250</v>
          </cell>
          <cell r="AM23">
            <v>250</v>
          </cell>
          <cell r="AN23">
            <v>250</v>
          </cell>
          <cell r="AO23">
            <v>250</v>
          </cell>
          <cell r="AP23">
            <v>250</v>
          </cell>
          <cell r="AQ23" t="str">
            <v>must be 0 or +ve</v>
          </cell>
        </row>
        <row r="24">
          <cell r="B24" t="str">
            <v>Interest expense</v>
          </cell>
          <cell r="C24" t="str">
            <v>INT_EXP_IND</v>
          </cell>
          <cell r="D24" t="str">
            <v>SEK</v>
          </cell>
          <cell r="F24">
            <v>-342</v>
          </cell>
          <cell r="G24">
            <v>-370</v>
          </cell>
          <cell r="H24">
            <v>-321</v>
          </cell>
          <cell r="I24">
            <v>-644</v>
          </cell>
          <cell r="J24">
            <v>-928</v>
          </cell>
          <cell r="K24">
            <v>-1209</v>
          </cell>
          <cell r="L24">
            <v>-1784</v>
          </cell>
          <cell r="M24">
            <v>-1594</v>
          </cell>
          <cell r="N24">
            <v>-1091</v>
          </cell>
          <cell r="O24">
            <v>-756</v>
          </cell>
          <cell r="P24">
            <v>-782</v>
          </cell>
          <cell r="Q24">
            <v>-650</v>
          </cell>
          <cell r="R24">
            <v>-1174</v>
          </cell>
          <cell r="S24">
            <v>-2220</v>
          </cell>
          <cell r="T24">
            <v>-3435</v>
          </cell>
          <cell r="U24">
            <v>-819</v>
          </cell>
          <cell r="V24">
            <v>-420</v>
          </cell>
          <cell r="W24">
            <v>-284</v>
          </cell>
          <cell r="X24">
            <v>-690</v>
          </cell>
          <cell r="Y24">
            <v>-1184</v>
          </cell>
          <cell r="Z24">
            <v>-1237</v>
          </cell>
          <cell r="AA24">
            <v>-1324</v>
          </cell>
          <cell r="AB24">
            <v>-1293</v>
          </cell>
          <cell r="AC24">
            <v>-1380</v>
          </cell>
          <cell r="AD24">
            <v>-386</v>
          </cell>
          <cell r="AE24">
            <v>-486</v>
          </cell>
          <cell r="AF24">
            <v>-480.01846153846151</v>
          </cell>
          <cell r="AG24">
            <v>-392</v>
          </cell>
          <cell r="AH24">
            <v>-320</v>
          </cell>
          <cell r="AI24">
            <v>-508.59599999999995</v>
          </cell>
          <cell r="AJ24">
            <v>-577.95000000000005</v>
          </cell>
          <cell r="AK24">
            <v>-577.95000000000005</v>
          </cell>
          <cell r="AL24">
            <v>-577.95000000000005</v>
          </cell>
          <cell r="AM24">
            <v>-462.36</v>
          </cell>
          <cell r="AN24">
            <v>-462.36</v>
          </cell>
          <cell r="AO24">
            <v>-462.36</v>
          </cell>
          <cell r="AP24">
            <v>-462.36</v>
          </cell>
          <cell r="AQ24" t="str">
            <v>must be 0 or -ve</v>
          </cell>
        </row>
        <row r="25">
          <cell r="B25" t="str">
            <v>Net interest income/(expense)</v>
          </cell>
          <cell r="C25" t="str">
            <v>NET_INT_EXP</v>
          </cell>
          <cell r="D25" t="str">
            <v>SEK</v>
          </cell>
          <cell r="F25">
            <v>-1</v>
          </cell>
          <cell r="G25">
            <v>86</v>
          </cell>
          <cell r="H25">
            <v>139</v>
          </cell>
          <cell r="I25">
            <v>-293</v>
          </cell>
          <cell r="J25">
            <v>-708</v>
          </cell>
          <cell r="K25">
            <v>-1058</v>
          </cell>
          <cell r="L25">
            <v>-1703</v>
          </cell>
          <cell r="M25">
            <v>-1430</v>
          </cell>
          <cell r="N25">
            <v>-780</v>
          </cell>
          <cell r="O25">
            <v>-397</v>
          </cell>
          <cell r="P25">
            <v>-269</v>
          </cell>
          <cell r="Q25">
            <v>-75</v>
          </cell>
          <cell r="R25">
            <v>-508</v>
          </cell>
          <cell r="S25">
            <v>-1532</v>
          </cell>
          <cell r="T25">
            <v>-694</v>
          </cell>
          <cell r="U25">
            <v>-819</v>
          </cell>
          <cell r="V25">
            <v>-420</v>
          </cell>
          <cell r="W25">
            <v>-284</v>
          </cell>
          <cell r="X25">
            <v>-690</v>
          </cell>
          <cell r="Y25">
            <v>-790</v>
          </cell>
          <cell r="Z25">
            <v>-924</v>
          </cell>
          <cell r="AA25">
            <v>-897</v>
          </cell>
          <cell r="AB25">
            <v>-993</v>
          </cell>
          <cell r="AC25">
            <v>-1071</v>
          </cell>
          <cell r="AD25">
            <v>-77</v>
          </cell>
          <cell r="AE25">
            <v>-325</v>
          </cell>
          <cell r="AF25">
            <v>-321</v>
          </cell>
          <cell r="AG25">
            <v>-149</v>
          </cell>
          <cell r="AH25">
            <v>-70</v>
          </cell>
          <cell r="AI25">
            <v>-258.59599999999995</v>
          </cell>
          <cell r="AJ25">
            <v>-327.95000000000005</v>
          </cell>
          <cell r="AK25">
            <v>-327.95000000000005</v>
          </cell>
          <cell r="AL25">
            <v>-327.95000000000005</v>
          </cell>
          <cell r="AM25">
            <v>-212.36</v>
          </cell>
          <cell r="AN25">
            <v>-212.36</v>
          </cell>
          <cell r="AO25">
            <v>-212.36</v>
          </cell>
          <cell r="AP25">
            <v>-212.36</v>
          </cell>
        </row>
        <row r="26">
          <cell r="B26" t="str">
            <v>Income/(loss) from unconsolidated subs &amp; associates</v>
          </cell>
          <cell r="C26" t="str">
            <v>ASSOCIATE</v>
          </cell>
          <cell r="D26" t="str">
            <v>SEK</v>
          </cell>
          <cell r="F26">
            <v>66</v>
          </cell>
          <cell r="G26">
            <v>89</v>
          </cell>
          <cell r="H26">
            <v>0</v>
          </cell>
          <cell r="I26">
            <v>0</v>
          </cell>
          <cell r="J26">
            <v>0</v>
          </cell>
          <cell r="K26">
            <v>0</v>
          </cell>
          <cell r="L26">
            <v>0</v>
          </cell>
          <cell r="M26">
            <v>0</v>
          </cell>
          <cell r="N26">
            <v>0</v>
          </cell>
          <cell r="O26">
            <v>0</v>
          </cell>
          <cell r="P26">
            <v>3</v>
          </cell>
          <cell r="Q26">
            <v>4</v>
          </cell>
          <cell r="R26">
            <v>17</v>
          </cell>
          <cell r="S26">
            <v>3</v>
          </cell>
          <cell r="T26">
            <v>14</v>
          </cell>
          <cell r="U26">
            <v>0</v>
          </cell>
          <cell r="V26">
            <v>0</v>
          </cell>
          <cell r="W26">
            <v>0</v>
          </cell>
          <cell r="X26">
            <v>0</v>
          </cell>
          <cell r="Y26">
            <v>7</v>
          </cell>
          <cell r="Z26">
            <v>7</v>
          </cell>
          <cell r="AA26">
            <v>0</v>
          </cell>
          <cell r="AB26">
            <v>0</v>
          </cell>
          <cell r="AC26">
            <v>3</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Profit/(loss) on disposals of assets, pre-tax</v>
          </cell>
          <cell r="C27" t="str">
            <v>PROFIT_ON_DISP</v>
          </cell>
          <cell r="D27" t="str">
            <v>SEK</v>
          </cell>
        </row>
        <row r="28">
          <cell r="B28" t="str">
            <v>Other non-ops income/(expense)</v>
          </cell>
          <cell r="C28" t="str">
            <v>OTH_COST_INC</v>
          </cell>
          <cell r="D28" t="str">
            <v>SEK</v>
          </cell>
        </row>
        <row r="29">
          <cell r="B29" t="str">
            <v>Pre-tax profit</v>
          </cell>
          <cell r="C29" t="str">
            <v>PT_PROF</v>
          </cell>
          <cell r="D29" t="str">
            <v>SEK</v>
          </cell>
          <cell r="F29">
            <v>1955</v>
          </cell>
          <cell r="G29">
            <v>2839.9999999999995</v>
          </cell>
          <cell r="H29">
            <v>3070</v>
          </cell>
          <cell r="I29">
            <v>3520</v>
          </cell>
          <cell r="J29">
            <v>3637</v>
          </cell>
          <cell r="K29">
            <v>3412</v>
          </cell>
          <cell r="L29">
            <v>4689</v>
          </cell>
          <cell r="M29">
            <v>4700</v>
          </cell>
          <cell r="N29">
            <v>-2469</v>
          </cell>
          <cell r="O29">
            <v>4913</v>
          </cell>
          <cell r="P29">
            <v>6382</v>
          </cell>
          <cell r="Q29">
            <v>6863</v>
          </cell>
          <cell r="R29">
            <v>8695</v>
          </cell>
          <cell r="S29">
            <v>10534</v>
          </cell>
          <cell r="T29">
            <v>13112</v>
          </cell>
          <cell r="U29">
            <v>8271</v>
          </cell>
          <cell r="V29">
            <v>13495</v>
          </cell>
          <cell r="W29">
            <v>17276</v>
          </cell>
          <cell r="X29">
            <v>18538</v>
          </cell>
          <cell r="Y29">
            <v>16266</v>
          </cell>
          <cell r="Z29">
            <v>16091</v>
          </cell>
          <cell r="AA29">
            <v>18875</v>
          </cell>
          <cell r="AB29">
            <v>18805</v>
          </cell>
          <cell r="AC29">
            <v>23129</v>
          </cell>
          <cell r="AD29">
            <v>21110</v>
          </cell>
          <cell r="AE29">
            <v>21572</v>
          </cell>
          <cell r="AF29">
            <v>18825</v>
          </cell>
          <cell r="AG29">
            <v>23410</v>
          </cell>
          <cell r="AH29">
            <v>31654.123341479419</v>
          </cell>
          <cell r="AI29">
            <v>35576.55075058221</v>
          </cell>
          <cell r="AJ29">
            <v>38806.482773108335</v>
          </cell>
          <cell r="AK29">
            <v>43851.247737453516</v>
          </cell>
          <cell r="AL29">
            <v>49879.452124863215</v>
          </cell>
          <cell r="AM29">
            <v>55796.13355692703</v>
          </cell>
          <cell r="AN29">
            <v>62248.387757170342</v>
          </cell>
          <cell r="AO29">
            <v>69428.827004077975</v>
          </cell>
          <cell r="AP29">
            <v>77423.836083854374</v>
          </cell>
        </row>
        <row r="30">
          <cell r="A30" t="str">
            <v>Additional Income Statement Items</v>
          </cell>
        </row>
        <row r="31">
          <cell r="B31" t="str">
            <v>Organic revenues (excl. acquisitions)</v>
          </cell>
          <cell r="C31" t="str">
            <v>ORG_REV</v>
          </cell>
          <cell r="D31" t="str">
            <v>SEK</v>
          </cell>
        </row>
        <row r="32">
          <cell r="B32" t="str">
            <v>Organic sales growth (excl. acquisitions)</v>
          </cell>
          <cell r="C32" t="str">
            <v>ORG_REV_GRTH</v>
          </cell>
          <cell r="F32">
            <v>8.9380619909023573E-2</v>
          </cell>
          <cell r="G32">
            <v>0.13307353925600077</v>
          </cell>
          <cell r="H32">
            <v>2.998977672364439E-2</v>
          </cell>
          <cell r="I32">
            <v>5.7789304675354911E-2</v>
          </cell>
          <cell r="J32">
            <v>3.8169037382620084E-2</v>
          </cell>
          <cell r="K32">
            <v>-1.7872851215174873E-2</v>
          </cell>
          <cell r="L32">
            <v>0.11907959375172487</v>
          </cell>
          <cell r="M32">
            <v>-2.8647881875040293E-3</v>
          </cell>
          <cell r="N32">
            <v>-2.6279130463532814E-2</v>
          </cell>
          <cell r="O32">
            <v>0.03</v>
          </cell>
          <cell r="P32">
            <v>0.1</v>
          </cell>
          <cell r="Q32">
            <v>0.15</v>
          </cell>
          <cell r="R32">
            <v>0.16999999999999998</v>
          </cell>
          <cell r="S32">
            <v>0.18</v>
          </cell>
          <cell r="T32">
            <v>0.12</v>
          </cell>
          <cell r="U32">
            <v>-0.22</v>
          </cell>
          <cell r="V32">
            <v>0.11800900222703177</v>
          </cell>
          <cell r="W32">
            <v>0.22538161001788906</v>
          </cell>
          <cell r="X32">
            <v>8.7957095181212502E-2</v>
          </cell>
          <cell r="Y32">
            <v>-3.6485480432549462E-2</v>
          </cell>
          <cell r="Z32">
            <v>-2.4984208904526455E-2</v>
          </cell>
          <cell r="AA32">
            <v>-6.6323449387010345E-3</v>
          </cell>
          <cell r="AB32">
            <v>1.2172006506825095E-2</v>
          </cell>
          <cell r="AC32">
            <v>0.10138788034255494</v>
          </cell>
          <cell r="AD32">
            <v>0.08</v>
          </cell>
          <cell r="AE32">
            <v>0.02</v>
          </cell>
          <cell r="AF32">
            <v>-0.03</v>
          </cell>
          <cell r="AG32">
            <v>0.14358498843423467</v>
          </cell>
          <cell r="AH32">
            <v>0.11017277707543192</v>
          </cell>
          <cell r="AI32">
            <v>5.2773718741829678E-2</v>
          </cell>
          <cell r="AJ32">
            <v>5.3004278403845348E-2</v>
          </cell>
          <cell r="AK32">
            <v>7.0752637801016163E-2</v>
          </cell>
          <cell r="AL32">
            <v>7.830278761634242E-2</v>
          </cell>
          <cell r="AM32">
            <v>6.5932859136258737E-2</v>
          </cell>
          <cell r="AN32">
            <v>6.6447063526247532E-2</v>
          </cell>
          <cell r="AO32">
            <v>6.6962605622699303E-2</v>
          </cell>
          <cell r="AP32">
            <v>6.7479184008092608E-2</v>
          </cell>
          <cell r="AV32">
            <v>0.13</v>
          </cell>
          <cell r="AW32">
            <v>0.13</v>
          </cell>
          <cell r="AX32">
            <v>0.13</v>
          </cell>
          <cell r="AY32">
            <v>0.15</v>
          </cell>
          <cell r="AZ32">
            <v>0.2</v>
          </cell>
          <cell r="BA32">
            <v>0.14000000000000001</v>
          </cell>
          <cell r="BB32">
            <v>0.17</v>
          </cell>
          <cell r="BC32">
            <v>0.18</v>
          </cell>
          <cell r="BD32">
            <v>0.17</v>
          </cell>
          <cell r="BE32">
            <v>0.2</v>
          </cell>
          <cell r="BF32">
            <v>0.19</v>
          </cell>
          <cell r="BG32">
            <v>0.18</v>
          </cell>
          <cell r="BH32">
            <v>0.18</v>
          </cell>
          <cell r="BI32">
            <v>0.15</v>
          </cell>
          <cell r="BJ32">
            <v>0.13</v>
          </cell>
          <cell r="BK32">
            <v>0.03</v>
          </cell>
          <cell r="BL32">
            <v>-0.17</v>
          </cell>
          <cell r="BM32">
            <v>-0.27</v>
          </cell>
          <cell r="BN32">
            <v>-0.25</v>
          </cell>
          <cell r="BO32">
            <v>-0.18</v>
          </cell>
          <cell r="BP32">
            <v>-0.03</v>
          </cell>
          <cell r="BQ32">
            <v>0.09</v>
          </cell>
          <cell r="BR32">
            <v>0.18</v>
          </cell>
          <cell r="BS32">
            <v>0.23</v>
          </cell>
          <cell r="BT32">
            <v>0.27</v>
          </cell>
          <cell r="BU32">
            <v>0.27</v>
          </cell>
          <cell r="BV32">
            <v>0.21</v>
          </cell>
          <cell r="BW32">
            <v>0.16679243337972269</v>
          </cell>
          <cell r="BX32">
            <v>0.16999999999999998</v>
          </cell>
          <cell r="BY32">
            <v>9.0000000000000011E-2</v>
          </cell>
          <cell r="BZ32">
            <v>0.06</v>
          </cell>
          <cell r="CA32">
            <v>0.04</v>
          </cell>
          <cell r="CB32">
            <v>-4.9999999999999996E-2</v>
          </cell>
          <cell r="CC32">
            <v>-0.02</v>
          </cell>
          <cell r="CD32">
            <v>-0.04</v>
          </cell>
          <cell r="CE32">
            <v>-0.04</v>
          </cell>
          <cell r="CF32">
            <v>-1.9999999999999997E-2</v>
          </cell>
          <cell r="CG32">
            <v>-0.03</v>
          </cell>
          <cell r="CH32">
            <v>-1.9999999999999997E-2</v>
          </cell>
          <cell r="CI32">
            <v>-0.03</v>
          </cell>
          <cell r="CJ32">
            <v>-0.02</v>
          </cell>
          <cell r="CK32">
            <v>-0.03</v>
          </cell>
          <cell r="CL32">
            <v>0</v>
          </cell>
          <cell r="CM32">
            <v>-0.02</v>
          </cell>
          <cell r="CN32">
            <v>-0.03</v>
          </cell>
          <cell r="CO32">
            <v>1.0552147239263792E-3</v>
          </cell>
          <cell r="CP32">
            <v>-2.9805813628932584E-3</v>
          </cell>
          <cell r="CQ32">
            <v>2.0976172481005605E-2</v>
          </cell>
          <cell r="CR32">
            <v>0.11134334973186191</v>
          </cell>
          <cell r="CS32">
            <v>7.2418173726584947E-2</v>
          </cell>
          <cell r="CT32">
            <v>0.1034833885762738</v>
          </cell>
          <cell r="CU32">
            <v>0.11492679688318951</v>
          </cell>
          <cell r="CV32">
            <v>0.09</v>
          </cell>
          <cell r="CW32">
            <v>0.11</v>
          </cell>
          <cell r="CX32">
            <v>0.06</v>
          </cell>
          <cell r="CY32">
            <v>7.0000000000000007E-2</v>
          </cell>
          <cell r="CZ32">
            <v>0.04</v>
          </cell>
          <cell r="DA32">
            <v>0.01</v>
          </cell>
          <cell r="DB32">
            <v>0.04</v>
          </cell>
          <cell r="DC32">
            <v>0.01</v>
          </cell>
          <cell r="DD32">
            <v>-0.03</v>
          </cell>
          <cell r="DE32">
            <v>-0.08</v>
          </cell>
          <cell r="DF32">
            <v>-0.02</v>
          </cell>
          <cell r="DG32">
            <v>0</v>
          </cell>
          <cell r="DH32">
            <v>0.13</v>
          </cell>
          <cell r="DI32">
            <v>0.21</v>
          </cell>
          <cell r="DJ32">
            <v>0.12</v>
          </cell>
          <cell r="DK32">
            <v>0.12</v>
          </cell>
          <cell r="DL32">
            <v>7.0000000000000007E-2</v>
          </cell>
          <cell r="DM32">
            <v>0.08</v>
          </cell>
          <cell r="DN32">
            <v>0.18</v>
          </cell>
          <cell r="DO32">
            <v>0.11194746590335072</v>
          </cell>
        </row>
        <row r="33">
          <cell r="B33" t="str">
            <v>Growth from acquisitions</v>
          </cell>
          <cell r="C33" t="str">
            <v>ACQ_GRTH</v>
          </cell>
          <cell r="F33">
            <v>1.6626467788003807E-2</v>
          </cell>
          <cell r="G33">
            <v>6.0787032609735114E-2</v>
          </cell>
          <cell r="H33">
            <v>6.2346446389138784E-2</v>
          </cell>
          <cell r="I33">
            <v>7.0384712134024183E-2</v>
          </cell>
          <cell r="J33">
            <v>7.1406513848298506E-2</v>
          </cell>
          <cell r="K33">
            <v>6.4875222288085399E-2</v>
          </cell>
          <cell r="L33">
            <v>0.12097781089584368</v>
          </cell>
          <cell r="M33">
            <v>5.0000000000000001E-3</v>
          </cell>
          <cell r="N33">
            <v>0.01</v>
          </cell>
          <cell r="O33">
            <v>0.01</v>
          </cell>
          <cell r="P33">
            <v>3.6646047647863021E-2</v>
          </cell>
          <cell r="Q33">
            <v>5.3442072606038164E-2</v>
          </cell>
          <cell r="R33">
            <v>2.1851977401129943E-2</v>
          </cell>
          <cell r="S33">
            <v>0.11423166772252137</v>
          </cell>
          <cell r="T33">
            <v>4.6885328703338336E-2</v>
          </cell>
          <cell r="U33">
            <v>0</v>
          </cell>
          <cell r="V33">
            <v>0.02</v>
          </cell>
          <cell r="W33">
            <v>0.02</v>
          </cell>
          <cell r="X33">
            <v>2.5012888644554396E-2</v>
          </cell>
          <cell r="Y33">
            <v>4.8883260677103765E-3</v>
          </cell>
          <cell r="Z33">
            <v>0.12066299548570807</v>
          </cell>
          <cell r="AA33">
            <v>0.02</v>
          </cell>
          <cell r="AB33">
            <v>0.03</v>
          </cell>
          <cell r="AC33">
            <v>0.03</v>
          </cell>
          <cell r="AD33">
            <v>0.03</v>
          </cell>
          <cell r="AE33">
            <v>0.02</v>
          </cell>
          <cell r="AF33">
            <v>0.03</v>
          </cell>
          <cell r="AG33">
            <v>2.1162459121001832E-2</v>
          </cell>
          <cell r="AH33">
            <v>2.3650397647290888E-2</v>
          </cell>
          <cell r="AI33">
            <v>4.5180910181768209E-2</v>
          </cell>
          <cell r="AJ33">
            <v>4.1799567417482163E-2</v>
          </cell>
          <cell r="AK33">
            <v>4.1988568888645626E-2</v>
          </cell>
          <cell r="AL33">
            <v>4.2191154751751329E-2</v>
          </cell>
          <cell r="AM33">
            <v>4.2205319382470692E-2</v>
          </cell>
          <cell r="AN33">
            <v>4.2050680599890568E-2</v>
          </cell>
          <cell r="AO33">
            <v>4.189474886261197E-2</v>
          </cell>
          <cell r="AP33">
            <v>4.1737622586867147E-2</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2.6592379583033787E-2</v>
          </cell>
          <cell r="BU33">
            <v>9.1543316121629383E-3</v>
          </cell>
          <cell r="BV33">
            <v>2.3750211350955307E-2</v>
          </cell>
          <cell r="BW33">
            <v>2.952322045255399E-2</v>
          </cell>
          <cell r="BX33">
            <v>3.2026011084892718E-2</v>
          </cell>
          <cell r="BY33">
            <v>3.6596160593453962E-2</v>
          </cell>
          <cell r="BZ33">
            <v>2.2555571628333094E-2</v>
          </cell>
          <cell r="CA33">
            <v>1.37909376401974E-2</v>
          </cell>
          <cell r="CB33">
            <v>7.5222431922351042E-3</v>
          </cell>
          <cell r="CC33">
            <v>8.515594999359985E-3</v>
          </cell>
          <cell r="CD33">
            <v>9.5573458857608398E-3</v>
          </cell>
          <cell r="CE33">
            <v>8.173026200105505E-3</v>
          </cell>
          <cell r="CF33">
            <v>0.1</v>
          </cell>
          <cell r="CG33">
            <v>0.1</v>
          </cell>
          <cell r="CH33">
            <v>0.11</v>
          </cell>
          <cell r="CI33">
            <v>0.14000000000000001</v>
          </cell>
          <cell r="CJ33">
            <v>0.03</v>
          </cell>
          <cell r="CK33">
            <v>0.02</v>
          </cell>
          <cell r="CL33">
            <v>0.01</v>
          </cell>
          <cell r="CM33">
            <v>0</v>
          </cell>
          <cell r="CN33">
            <v>0.01</v>
          </cell>
          <cell r="CO33">
            <v>0.01</v>
          </cell>
          <cell r="CP33">
            <v>0.03</v>
          </cell>
          <cell r="CQ33">
            <v>7.0000000000000007E-2</v>
          </cell>
          <cell r="CR33">
            <v>7.0000000000000007E-2</v>
          </cell>
          <cell r="CS33">
            <v>0.06</v>
          </cell>
          <cell r="CT33">
            <v>0.03</v>
          </cell>
          <cell r="CU33">
            <v>0.04</v>
          </cell>
          <cell r="CV33">
            <v>0.01</v>
          </cell>
          <cell r="CW33">
            <v>0.01</v>
          </cell>
          <cell r="CX33">
            <v>3.8474640423921268E-3</v>
          </cell>
          <cell r="CY33">
            <v>0</v>
          </cell>
          <cell r="CZ33">
            <v>-8.3446650349016391E-4</v>
          </cell>
          <cell r="DA33">
            <v>0</v>
          </cell>
          <cell r="DB33">
            <v>0.02</v>
          </cell>
          <cell r="DC33">
            <v>2.6427589457559211E-2</v>
          </cell>
          <cell r="DD33">
            <v>3.8620661360466074E-2</v>
          </cell>
          <cell r="DE33">
            <v>2.8909726266744318E-2</v>
          </cell>
          <cell r="DF33">
            <v>0.02</v>
          </cell>
          <cell r="DG33">
            <v>0.02</v>
          </cell>
          <cell r="DH33">
            <v>0.02</v>
          </cell>
          <cell r="DI33">
            <v>0.03</v>
          </cell>
          <cell r="DJ33">
            <v>0.02</v>
          </cell>
          <cell r="DK33">
            <v>0.02</v>
          </cell>
          <cell r="DL33">
            <v>0.02</v>
          </cell>
          <cell r="DM33">
            <v>0.01</v>
          </cell>
          <cell r="DN33">
            <v>0.04</v>
          </cell>
          <cell r="DO33">
            <v>3.8142532412864118E-2</v>
          </cell>
        </row>
        <row r="34">
          <cell r="B34" t="str">
            <v>Growth from foreign exchange</v>
          </cell>
          <cell r="C34" t="str">
            <v>FOREX_GRTH</v>
          </cell>
          <cell r="G34">
            <v>-2.8919384144592143E-2</v>
          </cell>
          <cell r="H34">
            <v>-6.5825222867424552E-2</v>
          </cell>
          <cell r="I34">
            <v>6.8015315854895703E-2</v>
          </cell>
          <cell r="J34">
            <v>1.4765571535496754E-2</v>
          </cell>
          <cell r="K34">
            <v>2.6535566093657377E-2</v>
          </cell>
          <cell r="L34">
            <v>4.1404205994369933E-2</v>
          </cell>
          <cell r="M34">
            <v>9.2863928471640128E-2</v>
          </cell>
          <cell r="N34">
            <v>-0.05</v>
          </cell>
          <cell r="O34">
            <v>-0.1</v>
          </cell>
          <cell r="P34">
            <v>-2.9924695757412762E-2</v>
          </cell>
          <cell r="Q34">
            <v>2.4110946471568806E-2</v>
          </cell>
          <cell r="R34">
            <v>-3.8930320150659132E-3</v>
          </cell>
          <cell r="S34">
            <v>-4.2339444092492871E-2</v>
          </cell>
          <cell r="T34">
            <v>8.9148449214742308E-4</v>
          </cell>
          <cell r="U34">
            <v>6.7767097617859984E-2</v>
          </cell>
          <cell r="V34">
            <v>-4.1571468899971778E-2</v>
          </cell>
          <cell r="W34">
            <v>-8.4555563506261172E-2</v>
          </cell>
          <cell r="X34">
            <v>1.0611676908488601E-3</v>
          </cell>
          <cell r="Y34">
            <v>-4.4432858736593292E-2</v>
          </cell>
          <cell r="Z34">
            <v>2.9071520781675866E-2</v>
          </cell>
          <cell r="AA34">
            <v>0.09</v>
          </cell>
          <cell r="AB34">
            <v>-0.01</v>
          </cell>
          <cell r="AC34">
            <v>0.01</v>
          </cell>
          <cell r="AD34">
            <v>0.03</v>
          </cell>
          <cell r="AE34">
            <v>0.05</v>
          </cell>
          <cell r="AF34">
            <v>-0.04</v>
          </cell>
          <cell r="AG34">
            <v>-5.4155350897411483E-2</v>
          </cell>
          <cell r="AH34">
            <v>0.12285025690057864</v>
          </cell>
          <cell r="AI34">
            <v>4.3339009846540405E-2</v>
          </cell>
          <cell r="AJ34">
            <v>0</v>
          </cell>
          <cell r="AK34">
            <v>0</v>
          </cell>
          <cell r="AL34">
            <v>0</v>
          </cell>
          <cell r="AM34">
            <v>0</v>
          </cell>
          <cell r="AN34">
            <v>0</v>
          </cell>
          <cell r="AO34">
            <v>0</v>
          </cell>
          <cell r="AP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-9.3938304685968227E-2</v>
          </cell>
          <cell r="BU34">
            <v>-0.13802524383247275</v>
          </cell>
          <cell r="BV34">
            <v>-6.6502846192864798E-2</v>
          </cell>
          <cell r="BW34">
            <v>-4.2099376320808207E-2</v>
          </cell>
          <cell r="BX34">
            <v>1.4867475168742797E-2</v>
          </cell>
          <cell r="BY34">
            <v>4.6687885319031626E-2</v>
          </cell>
          <cell r="BZ34">
            <v>-2.5491103717633443E-2</v>
          </cell>
          <cell r="CA34">
            <v>-2.8938986092418122E-2</v>
          </cell>
          <cell r="CB34">
            <v>-5.0366226296396151E-2</v>
          </cell>
          <cell r="CC34">
            <v>-5.4239450441609424E-2</v>
          </cell>
          <cell r="CD34">
            <v>-4.1785552638725444E-2</v>
          </cell>
          <cell r="CE34">
            <v>-3.7922015122208545E-2</v>
          </cell>
          <cell r="CF34">
            <v>-0.02</v>
          </cell>
          <cell r="CG34">
            <v>0</v>
          </cell>
          <cell r="CH34">
            <v>0.06</v>
          </cell>
          <cell r="CI34">
            <v>0.08</v>
          </cell>
          <cell r="CJ34">
            <v>0.15</v>
          </cell>
          <cell r="CK34">
            <v>0.13</v>
          </cell>
          <cell r="CL34">
            <v>0.08</v>
          </cell>
          <cell r="CM34">
            <v>0.03</v>
          </cell>
          <cell r="CN34">
            <v>-0.04</v>
          </cell>
          <cell r="CO34">
            <v>-0.04</v>
          </cell>
          <cell r="CP34">
            <v>0</v>
          </cell>
          <cell r="CQ34">
            <v>0.05</v>
          </cell>
          <cell r="CR34">
            <v>7.0000000000000007E-2</v>
          </cell>
          <cell r="CS34">
            <v>0.05</v>
          </cell>
          <cell r="CT34">
            <v>-0.03</v>
          </cell>
          <cell r="CU34">
            <v>0.01</v>
          </cell>
          <cell r="CV34">
            <v>-0.04</v>
          </cell>
          <cell r="CW34">
            <v>0.02</v>
          </cell>
          <cell r="CX34">
            <v>7.0000000000000007E-2</v>
          </cell>
          <cell r="CY34">
            <v>0.05</v>
          </cell>
          <cell r="CZ34">
            <v>0.06</v>
          </cell>
          <cell r="DA34">
            <v>0.04</v>
          </cell>
          <cell r="DB34">
            <v>7.0000000000000007E-2</v>
          </cell>
          <cell r="DC34">
            <v>0.04</v>
          </cell>
          <cell r="DD34">
            <v>0.03</v>
          </cell>
          <cell r="DE34">
            <v>-0.01</v>
          </cell>
          <cell r="DF34">
            <v>-7.0000000000000007E-2</v>
          </cell>
          <cell r="DG34">
            <v>-0.08</v>
          </cell>
          <cell r="DH34">
            <v>-0.11</v>
          </cell>
          <cell r="DI34">
            <v>-0.1</v>
          </cell>
          <cell r="DJ34">
            <v>-0.02</v>
          </cell>
          <cell r="DK34">
            <v>0.02</v>
          </cell>
          <cell r="DL34">
            <v>0.08</v>
          </cell>
          <cell r="DM34">
            <v>0.11</v>
          </cell>
          <cell r="DN34">
            <v>0.15</v>
          </cell>
          <cell r="DO34">
            <v>0.13913041567122339</v>
          </cell>
        </row>
        <row r="35">
          <cell r="B35" t="str">
            <v>Operating lease cost</v>
          </cell>
          <cell r="C35" t="str">
            <v>LEASE_PAY</v>
          </cell>
          <cell r="D35" t="str">
            <v>SEK</v>
          </cell>
          <cell r="E35" t="str">
            <v>Only to be populated if significant and ongoing, otherwise include in Other operating income/(expense)</v>
          </cell>
          <cell r="AQ35" t="str">
            <v>must be -ve</v>
          </cell>
        </row>
        <row r="36">
          <cell r="B36" t="str">
            <v>Lease payments (deemed interest portion)</v>
          </cell>
          <cell r="C36" t="str">
            <v>LEASE_DEEM_INT</v>
          </cell>
          <cell r="D36" t="str">
            <v>SEK</v>
          </cell>
          <cell r="E36" t="str">
            <v>Default value in data base is 0.33</v>
          </cell>
        </row>
        <row r="37">
          <cell r="B37" t="str">
            <v>Lease payments (deemed depreciation portion)</v>
          </cell>
          <cell r="C37" t="str">
            <v>LEASE_DEEM_DEPR</v>
          </cell>
          <cell r="D37" t="str">
            <v>SEK</v>
          </cell>
          <cell r="E37" t="str">
            <v>Default value in data base is 0.67</v>
          </cell>
        </row>
        <row r="38">
          <cell r="B38" t="str">
            <v>Gross interest charge</v>
          </cell>
          <cell r="C38" t="str">
            <v>NET_INT_CH</v>
          </cell>
          <cell r="D38" t="str">
            <v>SEK</v>
          </cell>
        </row>
        <row r="39">
          <cell r="B39" t="str">
            <v>Income from associates (operating)</v>
          </cell>
          <cell r="C39" t="str">
            <v>ASSOCIATE_OP</v>
          </cell>
          <cell r="D39" t="str">
            <v>SEK</v>
          </cell>
          <cell r="E39" t="str">
            <v>Populate if to be included in EBIT.</v>
          </cell>
          <cell r="F39">
            <v>66</v>
          </cell>
          <cell r="G39">
            <v>89</v>
          </cell>
          <cell r="H39">
            <v>0</v>
          </cell>
          <cell r="I39">
            <v>0</v>
          </cell>
          <cell r="J39">
            <v>0</v>
          </cell>
          <cell r="K39">
            <v>0</v>
          </cell>
          <cell r="L39">
            <v>0</v>
          </cell>
          <cell r="M39">
            <v>0</v>
          </cell>
          <cell r="N39">
            <v>0</v>
          </cell>
          <cell r="O39">
            <v>0</v>
          </cell>
          <cell r="P39">
            <v>3</v>
          </cell>
          <cell r="Q39">
            <v>4</v>
          </cell>
          <cell r="R39">
            <v>17</v>
          </cell>
          <cell r="S39">
            <v>3</v>
          </cell>
          <cell r="T39">
            <v>14</v>
          </cell>
          <cell r="U39">
            <v>0</v>
          </cell>
          <cell r="V39">
            <v>0</v>
          </cell>
          <cell r="W39">
            <v>0</v>
          </cell>
          <cell r="X39">
            <v>0</v>
          </cell>
          <cell r="Y39">
            <v>7</v>
          </cell>
          <cell r="Z39">
            <v>7</v>
          </cell>
          <cell r="AA39">
            <v>0</v>
          </cell>
          <cell r="AB39">
            <v>0</v>
          </cell>
          <cell r="AC39">
            <v>3</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Goodwill amortization</v>
          </cell>
          <cell r="C40" t="str">
            <v>GW_AMORT</v>
          </cell>
          <cell r="D40" t="str">
            <v>SEK</v>
          </cell>
          <cell r="E40" t="str">
            <v>Optional</v>
          </cell>
        </row>
        <row r="41">
          <cell r="B41" t="str">
            <v>Other intangible amortization</v>
          </cell>
          <cell r="C41" t="str">
            <v>OTH_INT_AMORT</v>
          </cell>
          <cell r="D41" t="str">
            <v>SEK</v>
          </cell>
          <cell r="E41" t="str">
            <v>Optional</v>
          </cell>
        </row>
        <row r="42">
          <cell r="B42" t="str">
            <v>Depreciation ROU assets   (applicable to IFRS cos.)</v>
          </cell>
          <cell r="C42" t="str">
            <v>DEPR_ROU_ASSETS</v>
          </cell>
          <cell r="D42" t="str">
            <v>SEK</v>
          </cell>
          <cell r="AE42">
            <v>-1041</v>
          </cell>
          <cell r="AF42">
            <v>-1164</v>
          </cell>
          <cell r="AG42">
            <v>-1147</v>
          </cell>
          <cell r="AH42">
            <v>-1147</v>
          </cell>
          <cell r="AI42">
            <v>-1147</v>
          </cell>
          <cell r="AJ42">
            <v>-1147</v>
          </cell>
          <cell r="AK42">
            <v>-1147</v>
          </cell>
          <cell r="AL42">
            <v>-1147</v>
          </cell>
          <cell r="AM42">
            <v>-1147</v>
          </cell>
          <cell r="AN42">
            <v>-1147</v>
          </cell>
          <cell r="AO42">
            <v>-1147</v>
          </cell>
          <cell r="AP42">
            <v>-1147</v>
          </cell>
        </row>
        <row r="43">
          <cell r="B43" t="str">
            <v>Lease interest charge  (applicable to IFRS cos.)</v>
          </cell>
          <cell r="C43" t="str">
            <v>LEASE_INT_CHG</v>
          </cell>
          <cell r="D43" t="str">
            <v>SEK</v>
          </cell>
        </row>
        <row r="44">
          <cell r="B44" t="str">
            <v>Lease standard adopted (US GAAP ASC 842/ IFRS 16)</v>
          </cell>
          <cell r="C44" t="str">
            <v>LEASE_ADOPT</v>
          </cell>
          <cell r="E44" t="str">
            <v>Y</v>
          </cell>
        </row>
        <row r="45">
          <cell r="A45" t="str">
            <v>Balance Sheet</v>
          </cell>
        </row>
        <row r="46">
          <cell r="B46" t="str">
            <v>Cash &amp; cash equivalents</v>
          </cell>
          <cell r="C46" t="str">
            <v>CASH_EQ</v>
          </cell>
          <cell r="D46" t="str">
            <v>SEK</v>
          </cell>
          <cell r="F46">
            <v>2964</v>
          </cell>
          <cell r="G46">
            <v>851</v>
          </cell>
          <cell r="H46">
            <v>1388</v>
          </cell>
          <cell r="I46">
            <v>1390</v>
          </cell>
          <cell r="J46">
            <v>1717</v>
          </cell>
          <cell r="K46">
            <v>1044</v>
          </cell>
          <cell r="L46">
            <v>941</v>
          </cell>
          <cell r="M46">
            <v>1030</v>
          </cell>
          <cell r="N46">
            <v>1079</v>
          </cell>
          <cell r="O46">
            <v>3647</v>
          </cell>
          <cell r="P46">
            <v>2386</v>
          </cell>
          <cell r="Q46">
            <v>3727</v>
          </cell>
          <cell r="R46">
            <v>20135</v>
          </cell>
          <cell r="S46">
            <v>3473</v>
          </cell>
          <cell r="T46">
            <v>5455</v>
          </cell>
          <cell r="U46">
            <v>12165</v>
          </cell>
          <cell r="V46">
            <v>14264</v>
          </cell>
          <cell r="W46">
            <v>5716</v>
          </cell>
          <cell r="X46">
            <v>12416</v>
          </cell>
          <cell r="Y46">
            <v>17633</v>
          </cell>
          <cell r="Z46">
            <v>9404</v>
          </cell>
          <cell r="AA46">
            <v>8861</v>
          </cell>
          <cell r="AB46">
            <v>11458</v>
          </cell>
          <cell r="AC46">
            <v>24496</v>
          </cell>
          <cell r="AD46">
            <v>16414</v>
          </cell>
          <cell r="AE46">
            <v>15005</v>
          </cell>
          <cell r="AF46">
            <v>11655</v>
          </cell>
          <cell r="AG46">
            <v>18990</v>
          </cell>
          <cell r="AH46">
            <v>8371.1798849071311</v>
          </cell>
          <cell r="AI46">
            <v>12868.807414204617</v>
          </cell>
          <cell r="AJ46">
            <v>4270.5962308941016</v>
          </cell>
          <cell r="AK46">
            <v>8242.9665132447626</v>
          </cell>
          <cell r="AL46">
            <v>12495.589146785853</v>
          </cell>
          <cell r="AM46">
            <v>16694.823108815275</v>
          </cell>
          <cell r="AN46">
            <v>21356.547252454082</v>
          </cell>
          <cell r="AO46">
            <v>26610.53726472133</v>
          </cell>
          <cell r="AP46">
            <v>32518.839996804578</v>
          </cell>
          <cell r="AQ46" t="str">
            <v>must be +ve</v>
          </cell>
        </row>
        <row r="47">
          <cell r="B47" t="str">
            <v>Accounts receivable</v>
          </cell>
          <cell r="C47" t="str">
            <v>DEBTORS</v>
          </cell>
          <cell r="D47" t="str">
            <v>SEK</v>
          </cell>
          <cell r="F47">
            <v>5103</v>
          </cell>
          <cell r="G47">
            <v>5316</v>
          </cell>
          <cell r="H47">
            <v>5345</v>
          </cell>
          <cell r="I47">
            <v>6507</v>
          </cell>
          <cell r="J47">
            <v>7137</v>
          </cell>
          <cell r="K47">
            <v>8656</v>
          </cell>
          <cell r="L47">
            <v>10592</v>
          </cell>
          <cell r="M47">
            <v>10908</v>
          </cell>
          <cell r="N47">
            <v>9376</v>
          </cell>
          <cell r="O47">
            <v>9956</v>
          </cell>
          <cell r="P47">
            <v>8404</v>
          </cell>
          <cell r="Q47">
            <v>10910</v>
          </cell>
          <cell r="R47">
            <v>9976</v>
          </cell>
          <cell r="S47">
            <v>13116</v>
          </cell>
          <cell r="T47">
            <v>15404</v>
          </cell>
          <cell r="U47">
            <v>9234</v>
          </cell>
          <cell r="V47">
            <v>13318</v>
          </cell>
          <cell r="W47">
            <v>16783</v>
          </cell>
          <cell r="X47">
            <v>15960</v>
          </cell>
          <cell r="Y47">
            <v>16619</v>
          </cell>
          <cell r="Z47">
            <v>19903</v>
          </cell>
          <cell r="AA47">
            <v>19552</v>
          </cell>
          <cell r="AB47">
            <v>21353</v>
          </cell>
          <cell r="AC47">
            <v>22853</v>
          </cell>
          <cell r="AD47">
            <v>18906</v>
          </cell>
          <cell r="AE47">
            <v>27861</v>
          </cell>
          <cell r="AF47">
            <v>25777</v>
          </cell>
          <cell r="AG47">
            <v>30363</v>
          </cell>
          <cell r="AH47">
            <v>34833.00004833925</v>
          </cell>
          <cell r="AI47">
            <v>34989.282123287965</v>
          </cell>
          <cell r="AJ47">
            <v>38303.782922820574</v>
          </cell>
          <cell r="AK47">
            <v>42620.465230382491</v>
          </cell>
          <cell r="AL47">
            <v>47754.799093835391</v>
          </cell>
          <cell r="AM47">
            <v>52918.035025719451</v>
          </cell>
          <cell r="AN47">
            <v>58658.558747987889</v>
          </cell>
          <cell r="AO47">
            <v>65042.920339747172</v>
          </cell>
          <cell r="AP47">
            <v>72145.547966694023</v>
          </cell>
          <cell r="AQ47" t="str">
            <v>must be 0 or +ve</v>
          </cell>
        </row>
        <row r="48">
          <cell r="B48" t="str">
            <v>Inventory</v>
          </cell>
          <cell r="C48" t="str">
            <v>STOCKS</v>
          </cell>
          <cell r="D48" t="str">
            <v>SEK</v>
          </cell>
          <cell r="F48">
            <v>4434</v>
          </cell>
          <cell r="G48">
            <v>5100</v>
          </cell>
          <cell r="H48">
            <v>4473</v>
          </cell>
          <cell r="I48">
            <v>5231</v>
          </cell>
          <cell r="J48">
            <v>5383</v>
          </cell>
          <cell r="K48">
            <v>5348</v>
          </cell>
          <cell r="L48">
            <v>5881</v>
          </cell>
          <cell r="M48">
            <v>5987</v>
          </cell>
          <cell r="N48">
            <v>5782</v>
          </cell>
          <cell r="O48">
            <v>5412</v>
          </cell>
          <cell r="P48">
            <v>5634</v>
          </cell>
          <cell r="Q48">
            <v>7215</v>
          </cell>
          <cell r="R48">
            <v>8487</v>
          </cell>
          <cell r="S48">
            <v>12725</v>
          </cell>
          <cell r="T48">
            <v>17106</v>
          </cell>
          <cell r="U48">
            <v>11377</v>
          </cell>
          <cell r="V48">
            <v>12939</v>
          </cell>
          <cell r="W48">
            <v>17579</v>
          </cell>
          <cell r="X48">
            <v>17653</v>
          </cell>
          <cell r="Y48">
            <v>16826</v>
          </cell>
          <cell r="Z48">
            <v>18364</v>
          </cell>
          <cell r="AA48">
            <v>16906</v>
          </cell>
          <cell r="AB48">
            <v>16912</v>
          </cell>
          <cell r="AC48">
            <v>18810</v>
          </cell>
          <cell r="AD48">
            <v>12718</v>
          </cell>
          <cell r="AE48">
            <v>14501</v>
          </cell>
          <cell r="AF48">
            <v>13450</v>
          </cell>
          <cell r="AG48">
            <v>17801</v>
          </cell>
          <cell r="AH48">
            <v>22293.120030937116</v>
          </cell>
          <cell r="AI48">
            <v>23061.117763076149</v>
          </cell>
          <cell r="AJ48">
            <v>22634.053545303061</v>
          </cell>
          <cell r="AK48">
            <v>25184.820363407835</v>
          </cell>
          <cell r="AL48">
            <v>28218.744919084547</v>
          </cell>
          <cell r="AM48">
            <v>31269.747969743312</v>
          </cell>
          <cell r="AN48">
            <v>34661.875623811022</v>
          </cell>
          <cell r="AO48">
            <v>38434.452928032413</v>
          </cell>
          <cell r="AP48">
            <v>42631.460162137373</v>
          </cell>
          <cell r="AQ48" t="str">
            <v>must be 0 or +ve</v>
          </cell>
        </row>
        <row r="49">
          <cell r="B49" t="str">
            <v>Other current assets</v>
          </cell>
          <cell r="C49" t="str">
            <v>OTH_CUR_ASS</v>
          </cell>
          <cell r="D49" t="str">
            <v>SEK</v>
          </cell>
          <cell r="F49">
            <v>5103</v>
          </cell>
          <cell r="G49">
            <v>1840</v>
          </cell>
          <cell r="H49">
            <v>1783</v>
          </cell>
          <cell r="I49">
            <v>817</v>
          </cell>
          <cell r="J49">
            <v>921</v>
          </cell>
          <cell r="K49">
            <v>1049</v>
          </cell>
          <cell r="L49">
            <v>1225</v>
          </cell>
          <cell r="M49">
            <v>1010</v>
          </cell>
          <cell r="N49">
            <v>1455</v>
          </cell>
          <cell r="O49">
            <v>703</v>
          </cell>
          <cell r="P49">
            <v>8454</v>
          </cell>
          <cell r="Q49">
            <v>2719</v>
          </cell>
          <cell r="R49">
            <v>3441</v>
          </cell>
          <cell r="S49">
            <v>4635</v>
          </cell>
          <cell r="T49">
            <v>7901</v>
          </cell>
          <cell r="U49">
            <v>7796</v>
          </cell>
          <cell r="V49">
            <v>5969</v>
          </cell>
          <cell r="W49">
            <v>7041</v>
          </cell>
          <cell r="X49">
            <v>6529</v>
          </cell>
          <cell r="Y49">
            <v>6806</v>
          </cell>
          <cell r="Z49">
            <v>8273</v>
          </cell>
          <cell r="AA49">
            <v>8020</v>
          </cell>
          <cell r="AB49">
            <v>11278</v>
          </cell>
          <cell r="AC49">
            <v>8629</v>
          </cell>
          <cell r="AD49">
            <v>5700</v>
          </cell>
          <cell r="AE49">
            <v>126</v>
          </cell>
          <cell r="AF49">
            <v>63</v>
          </cell>
          <cell r="AG49">
            <v>852</v>
          </cell>
          <cell r="AH49">
            <v>852</v>
          </cell>
          <cell r="AI49">
            <v>852</v>
          </cell>
          <cell r="AJ49">
            <v>852</v>
          </cell>
          <cell r="AK49">
            <v>852</v>
          </cell>
          <cell r="AL49">
            <v>852</v>
          </cell>
          <cell r="AM49">
            <v>852</v>
          </cell>
          <cell r="AN49">
            <v>852</v>
          </cell>
          <cell r="AO49">
            <v>852</v>
          </cell>
          <cell r="AP49">
            <v>852</v>
          </cell>
          <cell r="AQ49" t="str">
            <v>must be 0 or +ve</v>
          </cell>
        </row>
        <row r="50">
          <cell r="B50" t="str">
            <v>Total current assets</v>
          </cell>
          <cell r="C50" t="str">
            <v>CUR_ASS</v>
          </cell>
          <cell r="D50" t="str">
            <v>SEK</v>
          </cell>
          <cell r="F50">
            <v>17604</v>
          </cell>
          <cell r="G50">
            <v>13107</v>
          </cell>
          <cell r="H50">
            <v>12989</v>
          </cell>
          <cell r="I50">
            <v>13945</v>
          </cell>
          <cell r="J50">
            <v>15158</v>
          </cell>
          <cell r="K50">
            <v>16097</v>
          </cell>
          <cell r="L50">
            <v>18639</v>
          </cell>
          <cell r="M50">
            <v>18935</v>
          </cell>
          <cell r="N50">
            <v>17692</v>
          </cell>
          <cell r="O50">
            <v>19718</v>
          </cell>
          <cell r="P50">
            <v>24878</v>
          </cell>
          <cell r="Q50">
            <v>24571</v>
          </cell>
          <cell r="R50">
            <v>42039</v>
          </cell>
          <cell r="S50">
            <v>33949</v>
          </cell>
          <cell r="T50">
            <v>45866</v>
          </cell>
          <cell r="U50">
            <v>40572</v>
          </cell>
          <cell r="V50">
            <v>46490</v>
          </cell>
          <cell r="W50">
            <v>47119</v>
          </cell>
          <cell r="X50">
            <v>52558</v>
          </cell>
          <cell r="Y50">
            <v>57884</v>
          </cell>
          <cell r="Z50">
            <v>55944</v>
          </cell>
          <cell r="AA50">
            <v>53339</v>
          </cell>
          <cell r="AB50">
            <v>61001</v>
          </cell>
          <cell r="AC50">
            <v>74788</v>
          </cell>
          <cell r="AD50">
            <v>53738</v>
          </cell>
          <cell r="AE50">
            <v>57493</v>
          </cell>
          <cell r="AF50">
            <v>50945</v>
          </cell>
          <cell r="AG50">
            <v>68006</v>
          </cell>
          <cell r="AH50">
            <v>66349.299964183505</v>
          </cell>
          <cell r="AI50">
            <v>71771.207300568727</v>
          </cell>
          <cell r="AJ50">
            <v>66060.432699017736</v>
          </cell>
          <cell r="AK50">
            <v>76900.252107035078</v>
          </cell>
          <cell r="AL50">
            <v>89321.133159705787</v>
          </cell>
          <cell r="AM50">
            <v>101734.60610427803</v>
          </cell>
          <cell r="AN50">
            <v>115528.98162425299</v>
          </cell>
          <cell r="AO50">
            <v>130939.91053250091</v>
          </cell>
          <cell r="AP50">
            <v>148147.84812563597</v>
          </cell>
          <cell r="AQ50" t="str">
            <v>must be +ve</v>
          </cell>
        </row>
        <row r="51">
          <cell r="B51" t="str">
            <v>Gross fixed assets, PP&amp;E</v>
          </cell>
          <cell r="C51" t="str">
            <v>GR_FIX_ASS</v>
          </cell>
          <cell r="D51" t="str">
            <v>SEK</v>
          </cell>
          <cell r="F51">
            <v>10003</v>
          </cell>
          <cell r="G51">
            <v>9249</v>
          </cell>
          <cell r="H51">
            <v>10215</v>
          </cell>
          <cell r="I51">
            <v>14573</v>
          </cell>
          <cell r="J51">
            <v>16658</v>
          </cell>
          <cell r="K51">
            <v>24366</v>
          </cell>
          <cell r="L51">
            <v>30514</v>
          </cell>
          <cell r="M51">
            <v>34060</v>
          </cell>
          <cell r="N51">
            <v>29182</v>
          </cell>
          <cell r="O51">
            <v>25940</v>
          </cell>
          <cell r="P51">
            <v>24300</v>
          </cell>
          <cell r="Q51">
            <v>31081</v>
          </cell>
          <cell r="R51">
            <v>13067</v>
          </cell>
          <cell r="S51">
            <v>15041</v>
          </cell>
          <cell r="T51">
            <v>18170</v>
          </cell>
          <cell r="U51">
            <v>18048</v>
          </cell>
          <cell r="V51">
            <v>17676</v>
          </cell>
          <cell r="W51">
            <v>19497</v>
          </cell>
          <cell r="X51">
            <v>20099</v>
          </cell>
          <cell r="Y51">
            <v>21466</v>
          </cell>
          <cell r="Z51">
            <v>26599</v>
          </cell>
          <cell r="AA51">
            <v>26485</v>
          </cell>
          <cell r="AB51">
            <v>28804</v>
          </cell>
          <cell r="AC51">
            <v>28993</v>
          </cell>
          <cell r="AD51">
            <v>23171</v>
          </cell>
          <cell r="AE51">
            <v>24898</v>
          </cell>
          <cell r="AF51">
            <v>24898</v>
          </cell>
          <cell r="AG51">
            <v>27106</v>
          </cell>
          <cell r="AH51">
            <v>30895.457372436271</v>
          </cell>
          <cell r="AI51">
            <v>35284.901052754096</v>
          </cell>
          <cell r="AJ51">
            <v>38428.979614030235</v>
          </cell>
          <cell r="AK51">
            <v>41656.912837060503</v>
          </cell>
          <cell r="AL51">
            <v>44984.584192011767</v>
          </cell>
          <cell r="AM51">
            <v>48412.555122372243</v>
          </cell>
          <cell r="AN51">
            <v>51952.039859106459</v>
          </cell>
          <cell r="AO51">
            <v>55615.545416380366</v>
          </cell>
          <cell r="AP51">
            <v>59417.02462906549</v>
          </cell>
          <cell r="AQ51" t="str">
            <v>must be +ve</v>
          </cell>
        </row>
        <row r="52">
          <cell r="B52" t="str">
            <v>Accumulated depreciation</v>
          </cell>
          <cell r="C52" t="str">
            <v>ACC_DDA</v>
          </cell>
          <cell r="D52" t="str">
            <v>SEK</v>
          </cell>
          <cell r="F52">
            <v>-4306</v>
          </cell>
          <cell r="G52">
            <v>-4326</v>
          </cell>
          <cell r="H52">
            <v>-5119</v>
          </cell>
          <cell r="I52">
            <v>-5762</v>
          </cell>
          <cell r="J52">
            <v>-6919</v>
          </cell>
          <cell r="K52">
            <v>-7785</v>
          </cell>
          <cell r="L52">
            <v>-10381</v>
          </cell>
          <cell r="M52">
            <v>-13867</v>
          </cell>
          <cell r="N52">
            <v>-13441</v>
          </cell>
          <cell r="O52">
            <v>-12842</v>
          </cell>
          <cell r="P52">
            <v>-11432</v>
          </cell>
          <cell r="Q52">
            <v>-13122</v>
          </cell>
          <cell r="R52">
            <v>-7311</v>
          </cell>
          <cell r="S52">
            <v>-8241</v>
          </cell>
          <cell r="T52">
            <v>-9535</v>
          </cell>
          <cell r="U52">
            <v>-9999</v>
          </cell>
          <cell r="V52">
            <v>-10131</v>
          </cell>
          <cell r="W52">
            <v>-11937</v>
          </cell>
          <cell r="X52">
            <v>-13920</v>
          </cell>
          <cell r="Y52">
            <v>-15928</v>
          </cell>
          <cell r="Z52">
            <v>-18742</v>
          </cell>
          <cell r="AA52">
            <v>-22083</v>
          </cell>
          <cell r="AB52">
            <v>-25487</v>
          </cell>
          <cell r="AC52">
            <v>-28951</v>
          </cell>
          <cell r="AD52">
            <v>-32869</v>
          </cell>
          <cell r="AE52">
            <v>-35792</v>
          </cell>
          <cell r="AF52">
            <v>-39082</v>
          </cell>
          <cell r="AG52">
            <v>-42694</v>
          </cell>
          <cell r="AH52">
            <v>-46723.903711770719</v>
          </cell>
          <cell r="AI52">
            <v>-51055.91495051379</v>
          </cell>
          <cell r="AJ52">
            <v>-55719.927283895224</v>
          </cell>
          <cell r="AK52">
            <v>-60383.939617276657</v>
          </cell>
          <cell r="AL52">
            <v>-65047.951950658091</v>
          </cell>
          <cell r="AM52">
            <v>-69711.964284039525</v>
          </cell>
          <cell r="AN52">
            <v>-74375.976617420965</v>
          </cell>
          <cell r="AO52">
            <v>-79039.988950802406</v>
          </cell>
          <cell r="AP52">
            <v>-83704.001284183847</v>
          </cell>
          <cell r="AQ52" t="str">
            <v>must be -ve</v>
          </cell>
        </row>
        <row r="53">
          <cell r="B53" t="str">
            <v>Net PP&amp;E</v>
          </cell>
          <cell r="C53" t="str">
            <v>NET_FIX_ASS</v>
          </cell>
          <cell r="D53" t="str">
            <v>SEK</v>
          </cell>
          <cell r="F53">
            <v>5697</v>
          </cell>
          <cell r="G53">
            <v>4923</v>
          </cell>
          <cell r="H53">
            <v>5096</v>
          </cell>
          <cell r="I53">
            <v>8811</v>
          </cell>
          <cell r="J53">
            <v>9739</v>
          </cell>
          <cell r="K53">
            <v>16581</v>
          </cell>
          <cell r="L53">
            <v>20133</v>
          </cell>
          <cell r="M53">
            <v>20193</v>
          </cell>
          <cell r="N53">
            <v>15741</v>
          </cell>
          <cell r="O53">
            <v>13098</v>
          </cell>
          <cell r="P53">
            <v>12868</v>
          </cell>
          <cell r="Q53">
            <v>17959</v>
          </cell>
          <cell r="R53">
            <v>5756</v>
          </cell>
          <cell r="S53">
            <v>6800</v>
          </cell>
          <cell r="T53">
            <v>8635</v>
          </cell>
          <cell r="U53">
            <v>8049</v>
          </cell>
          <cell r="V53">
            <v>7545</v>
          </cell>
          <cell r="W53">
            <v>8655</v>
          </cell>
          <cell r="X53">
            <v>8876</v>
          </cell>
          <cell r="Y53">
            <v>9327</v>
          </cell>
          <cell r="Z53">
            <v>12610</v>
          </cell>
          <cell r="AA53">
            <v>12023</v>
          </cell>
          <cell r="AB53">
            <v>12888</v>
          </cell>
          <cell r="AC53">
            <v>12457</v>
          </cell>
          <cell r="AD53">
            <v>10387</v>
          </cell>
          <cell r="AE53">
            <v>10879</v>
          </cell>
          <cell r="AF53">
            <v>10130</v>
          </cell>
          <cell r="AG53">
            <v>11333</v>
          </cell>
          <cell r="AH53">
            <v>12689.790705769601</v>
          </cell>
          <cell r="AI53">
            <v>14448.567719420764</v>
          </cell>
          <cell r="AJ53">
            <v>14730.646280696901</v>
          </cell>
          <cell r="AK53">
            <v>15096.579503727171</v>
          </cell>
          <cell r="AL53">
            <v>15562.250858678433</v>
          </cell>
          <cell r="AM53">
            <v>16128.221789038907</v>
          </cell>
          <cell r="AN53">
            <v>16805.706525773119</v>
          </cell>
          <cell r="AO53">
            <v>17607.212083047034</v>
          </cell>
          <cell r="AP53">
            <v>18546.691295732151</v>
          </cell>
          <cell r="AQ53" t="str">
            <v>must be +ve</v>
          </cell>
        </row>
        <row r="54">
          <cell r="B54" t="str">
            <v>Gross intangibles</v>
          </cell>
          <cell r="C54" t="str">
            <v>GR_INTANG</v>
          </cell>
          <cell r="D54" t="str">
            <v>SEK</v>
          </cell>
          <cell r="F54">
            <v>706</v>
          </cell>
          <cell r="G54">
            <v>4536</v>
          </cell>
          <cell r="H54">
            <v>4760</v>
          </cell>
          <cell r="I54">
            <v>12201</v>
          </cell>
          <cell r="J54">
            <v>12885</v>
          </cell>
          <cell r="K54">
            <v>20907</v>
          </cell>
          <cell r="L54">
            <v>23601</v>
          </cell>
          <cell r="M54">
            <v>26314</v>
          </cell>
          <cell r="N54">
            <v>22917</v>
          </cell>
          <cell r="O54">
            <v>20152</v>
          </cell>
          <cell r="P54">
            <v>9018</v>
          </cell>
          <cell r="Q54">
            <v>11327</v>
          </cell>
          <cell r="R54">
            <v>5346</v>
          </cell>
          <cell r="S54">
            <v>13223</v>
          </cell>
          <cell r="T54">
            <v>15301</v>
          </cell>
          <cell r="U54">
            <v>15610</v>
          </cell>
          <cell r="V54">
            <v>16840</v>
          </cell>
          <cell r="W54">
            <v>19519</v>
          </cell>
          <cell r="X54">
            <v>20615</v>
          </cell>
          <cell r="Y54">
            <v>22836</v>
          </cell>
          <cell r="Z54">
            <v>40373</v>
          </cell>
          <cell r="AA54">
            <v>41864</v>
          </cell>
          <cell r="AB54">
            <v>47236</v>
          </cell>
          <cell r="AC54">
            <v>46121</v>
          </cell>
          <cell r="AD54">
            <v>40124</v>
          </cell>
          <cell r="AE54">
            <v>48271</v>
          </cell>
          <cell r="AF54">
            <v>58479</v>
          </cell>
          <cell r="AG54">
            <v>65846</v>
          </cell>
          <cell r="AH54">
            <v>75884</v>
          </cell>
          <cell r="AI54">
            <v>86199.290339356856</v>
          </cell>
          <cell r="AJ54">
            <v>97164.172094596681</v>
          </cell>
          <cell r="AK54">
            <v>109268.7793016108</v>
          </cell>
          <cell r="AL54">
            <v>122827.23441523319</v>
          </cell>
          <cell r="AM54">
            <v>138554.82833411935</v>
          </cell>
          <cell r="AN54">
            <v>155777.56325063267</v>
          </cell>
          <cell r="AO54">
            <v>174655.95503986476</v>
          </cell>
          <cell r="AP54">
            <v>195368.28696271483</v>
          </cell>
          <cell r="AQ54" t="str">
            <v>must be 0 or +ve</v>
          </cell>
        </row>
        <row r="55">
          <cell r="B55" t="str">
            <v>Accumulated amortization</v>
          </cell>
          <cell r="C55" t="str">
            <v>ACC_AMORT</v>
          </cell>
          <cell r="D55" t="str">
            <v>SEK</v>
          </cell>
          <cell r="F55">
            <v>-706</v>
          </cell>
          <cell r="G55">
            <v>-790</v>
          </cell>
          <cell r="H55">
            <v>-979</v>
          </cell>
          <cell r="I55">
            <v>-1150</v>
          </cell>
          <cell r="J55">
            <v>-1574</v>
          </cell>
          <cell r="K55">
            <v>-2056</v>
          </cell>
          <cell r="L55">
            <v>-2809</v>
          </cell>
          <cell r="M55">
            <v>-3714</v>
          </cell>
          <cell r="N55">
            <v>-9961</v>
          </cell>
          <cell r="O55">
            <v>-8876</v>
          </cell>
          <cell r="P55">
            <v>-421</v>
          </cell>
          <cell r="Q55">
            <v>-720</v>
          </cell>
          <cell r="R55">
            <v>-1047</v>
          </cell>
          <cell r="S55">
            <v>-1558</v>
          </cell>
          <cell r="T55">
            <v>-2385</v>
          </cell>
          <cell r="U55">
            <v>-2913</v>
          </cell>
          <cell r="V55">
            <v>-3376</v>
          </cell>
          <cell r="W55">
            <v>-3376</v>
          </cell>
          <cell r="X55">
            <v>-3376</v>
          </cell>
          <cell r="Y55">
            <v>-3376</v>
          </cell>
          <cell r="Z55">
            <v>-3376</v>
          </cell>
          <cell r="AA55">
            <v>-3376</v>
          </cell>
          <cell r="AB55">
            <v>-3376</v>
          </cell>
          <cell r="AC55">
            <v>-3376</v>
          </cell>
          <cell r="AD55">
            <v>-3376</v>
          </cell>
          <cell r="AE55">
            <v>-3376</v>
          </cell>
          <cell r="AF55">
            <v>-3376</v>
          </cell>
          <cell r="AG55">
            <v>-3376</v>
          </cell>
          <cell r="AH55">
            <v>-3376</v>
          </cell>
          <cell r="AI55">
            <v>-3376</v>
          </cell>
          <cell r="AJ55">
            <v>-3376</v>
          </cell>
          <cell r="AK55">
            <v>-3376</v>
          </cell>
          <cell r="AL55">
            <v>-3376</v>
          </cell>
          <cell r="AM55">
            <v>-3376</v>
          </cell>
          <cell r="AN55">
            <v>-3376</v>
          </cell>
          <cell r="AO55">
            <v>-3376</v>
          </cell>
          <cell r="AP55">
            <v>-3376</v>
          </cell>
          <cell r="AQ55" t="str">
            <v>must be 0 or -ve</v>
          </cell>
        </row>
        <row r="56">
          <cell r="B56" t="str">
            <v>Net intangible assets</v>
          </cell>
          <cell r="C56" t="str">
            <v>NET_INTANG</v>
          </cell>
          <cell r="D56" t="str">
            <v>SEK</v>
          </cell>
          <cell r="F56">
            <v>0</v>
          </cell>
          <cell r="G56">
            <v>3746</v>
          </cell>
          <cell r="H56">
            <v>3781</v>
          </cell>
          <cell r="I56">
            <v>11051</v>
          </cell>
          <cell r="J56">
            <v>11311</v>
          </cell>
          <cell r="K56">
            <v>18851</v>
          </cell>
          <cell r="L56">
            <v>20792</v>
          </cell>
          <cell r="M56">
            <v>22600</v>
          </cell>
          <cell r="N56">
            <v>12956</v>
          </cell>
          <cell r="O56">
            <v>11276</v>
          </cell>
          <cell r="P56">
            <v>8597</v>
          </cell>
          <cell r="Q56">
            <v>10607</v>
          </cell>
          <cell r="R56">
            <v>4299</v>
          </cell>
          <cell r="S56">
            <v>11665</v>
          </cell>
          <cell r="T56">
            <v>12916</v>
          </cell>
          <cell r="U56">
            <v>12697</v>
          </cell>
          <cell r="V56">
            <v>13464</v>
          </cell>
          <cell r="W56">
            <v>15352</v>
          </cell>
          <cell r="X56">
            <v>15879</v>
          </cell>
          <cell r="Y56">
            <v>17279</v>
          </cell>
          <cell r="Z56">
            <v>33197</v>
          </cell>
          <cell r="AA56">
            <v>33520</v>
          </cell>
          <cell r="AB56">
            <v>37828</v>
          </cell>
          <cell r="AC56">
            <v>35151</v>
          </cell>
          <cell r="AD56">
            <v>30025</v>
          </cell>
          <cell r="AE56">
            <v>36549</v>
          </cell>
          <cell r="AF56">
            <v>45840</v>
          </cell>
          <cell r="AG56">
            <v>50348</v>
          </cell>
          <cell r="AH56">
            <v>58081.762954895952</v>
          </cell>
          <cell r="AI56">
            <v>65988.708722176409</v>
          </cell>
          <cell r="AJ56">
            <v>74444.578144034793</v>
          </cell>
          <cell r="AK56">
            <v>84040.173017667476</v>
          </cell>
          <cell r="AL56">
            <v>95089.615797908424</v>
          </cell>
          <cell r="AM56">
            <v>108308.19738341315</v>
          </cell>
          <cell r="AN56">
            <v>123021.91996654504</v>
          </cell>
          <cell r="AO56">
            <v>139391.29942239568</v>
          </cell>
          <cell r="AP56">
            <v>157594.61901186433</v>
          </cell>
          <cell r="AQ56" t="str">
            <v>must be 0 or +ve</v>
          </cell>
        </row>
        <row r="57">
          <cell r="B57" t="str">
            <v>Equity method investments</v>
          </cell>
          <cell r="C57" t="str">
            <v>FIX_ASS_INV</v>
          </cell>
          <cell r="D57" t="str">
            <v>SEK</v>
          </cell>
          <cell r="F57">
            <v>0</v>
          </cell>
          <cell r="G57">
            <v>0</v>
          </cell>
          <cell r="H57">
            <v>746</v>
          </cell>
          <cell r="I57">
            <v>339</v>
          </cell>
          <cell r="J57">
            <v>300</v>
          </cell>
          <cell r="K57">
            <v>307</v>
          </cell>
          <cell r="L57">
            <v>330</v>
          </cell>
          <cell r="M57">
            <v>389</v>
          </cell>
          <cell r="N57">
            <v>363</v>
          </cell>
          <cell r="O57">
            <v>336</v>
          </cell>
          <cell r="P57">
            <v>362</v>
          </cell>
          <cell r="Q57">
            <v>868</v>
          </cell>
          <cell r="R57">
            <v>2459</v>
          </cell>
          <cell r="S57">
            <v>3331</v>
          </cell>
          <cell r="T57">
            <v>5119</v>
          </cell>
          <cell r="U57">
            <v>4007</v>
          </cell>
          <cell r="V57">
            <v>2701</v>
          </cell>
          <cell r="W57">
            <v>2713</v>
          </cell>
          <cell r="X57">
            <v>2581</v>
          </cell>
          <cell r="Y57">
            <v>2316</v>
          </cell>
          <cell r="Z57">
            <v>1810</v>
          </cell>
          <cell r="AA57">
            <v>2129</v>
          </cell>
          <cell r="AB57">
            <v>2102</v>
          </cell>
          <cell r="AC57">
            <v>1803</v>
          </cell>
          <cell r="AD57">
            <v>676</v>
          </cell>
          <cell r="AE57">
            <v>0</v>
          </cell>
          <cell r="AF57">
            <v>0</v>
          </cell>
          <cell r="AG57">
            <v>0</v>
          </cell>
          <cell r="AH57">
            <v>0</v>
          </cell>
          <cell r="AI57">
            <v>0</v>
          </cell>
          <cell r="AJ57">
            <v>0</v>
          </cell>
          <cell r="AK57">
            <v>0</v>
          </cell>
          <cell r="AL57">
            <v>0</v>
          </cell>
          <cell r="AM57">
            <v>0</v>
          </cell>
          <cell r="AN57">
            <v>0</v>
          </cell>
          <cell r="AO57">
            <v>0</v>
          </cell>
          <cell r="AP57">
            <v>0</v>
          </cell>
          <cell r="AQ57" t="str">
            <v>must be 0 or +ve</v>
          </cell>
        </row>
        <row r="58">
          <cell r="B58" t="str">
            <v>Investments in securities</v>
          </cell>
          <cell r="C58" t="str">
            <v>INV_SECUR</v>
          </cell>
          <cell r="D58" t="str">
            <v>SEK</v>
          </cell>
          <cell r="F58">
            <v>0</v>
          </cell>
          <cell r="G58">
            <v>0</v>
          </cell>
          <cell r="H58">
            <v>0</v>
          </cell>
          <cell r="I58">
            <v>0</v>
          </cell>
          <cell r="J58">
            <v>0</v>
          </cell>
          <cell r="K58">
            <v>0</v>
          </cell>
          <cell r="L58">
            <v>0</v>
          </cell>
          <cell r="M58">
            <v>0</v>
          </cell>
          <cell r="N58">
            <v>0</v>
          </cell>
          <cell r="O58">
            <v>0</v>
          </cell>
          <cell r="P58">
            <v>73</v>
          </cell>
          <cell r="Q58">
            <v>83</v>
          </cell>
          <cell r="R58">
            <v>77</v>
          </cell>
          <cell r="S58">
            <v>71</v>
          </cell>
          <cell r="T58">
            <v>121</v>
          </cell>
          <cell r="U58">
            <v>121</v>
          </cell>
          <cell r="V58">
            <v>108</v>
          </cell>
          <cell r="W58">
            <v>124</v>
          </cell>
          <cell r="X58">
            <v>107</v>
          </cell>
          <cell r="Y58">
            <v>101</v>
          </cell>
          <cell r="Z58">
            <v>115</v>
          </cell>
          <cell r="AA58">
            <v>125</v>
          </cell>
          <cell r="AB58">
            <v>138</v>
          </cell>
          <cell r="AC58">
            <v>212</v>
          </cell>
          <cell r="AD58">
            <v>133</v>
          </cell>
          <cell r="AE58">
            <v>1795</v>
          </cell>
          <cell r="AF58">
            <v>1706</v>
          </cell>
          <cell r="AG58">
            <v>1962</v>
          </cell>
          <cell r="AH58">
            <v>1962</v>
          </cell>
          <cell r="AI58">
            <v>1962</v>
          </cell>
          <cell r="AJ58">
            <v>1962</v>
          </cell>
          <cell r="AK58">
            <v>1962</v>
          </cell>
          <cell r="AL58">
            <v>1962</v>
          </cell>
          <cell r="AM58">
            <v>1962</v>
          </cell>
          <cell r="AN58">
            <v>1962</v>
          </cell>
          <cell r="AO58">
            <v>1962</v>
          </cell>
          <cell r="AP58">
            <v>1962</v>
          </cell>
          <cell r="AQ58" t="str">
            <v>must be 0 or +ve</v>
          </cell>
        </row>
        <row r="59">
          <cell r="B59" t="str">
            <v>Other long-term assets</v>
          </cell>
          <cell r="C59" t="str">
            <v>OTH_LT_ASS</v>
          </cell>
          <cell r="D59" t="str">
            <v>SEK</v>
          </cell>
          <cell r="F59">
            <v>0</v>
          </cell>
          <cell r="G59">
            <v>503</v>
          </cell>
          <cell r="H59">
            <v>563</v>
          </cell>
          <cell r="I59">
            <v>644</v>
          </cell>
          <cell r="J59">
            <v>658</v>
          </cell>
          <cell r="K59">
            <v>1814</v>
          </cell>
          <cell r="L59">
            <v>1794</v>
          </cell>
          <cell r="M59">
            <v>2240</v>
          </cell>
          <cell r="N59">
            <v>1916</v>
          </cell>
          <cell r="O59">
            <v>1434</v>
          </cell>
          <cell r="P59">
            <v>1390</v>
          </cell>
          <cell r="Q59">
            <v>867</v>
          </cell>
          <cell r="R59">
            <v>625</v>
          </cell>
          <cell r="S59">
            <v>843</v>
          </cell>
          <cell r="T59">
            <v>2737</v>
          </cell>
          <cell r="U59">
            <v>2428</v>
          </cell>
          <cell r="V59">
            <v>1314</v>
          </cell>
          <cell r="W59">
            <v>1146</v>
          </cell>
          <cell r="X59">
            <v>1148</v>
          </cell>
          <cell r="Y59">
            <v>984</v>
          </cell>
          <cell r="Z59">
            <v>1605</v>
          </cell>
          <cell r="AA59">
            <v>1874</v>
          </cell>
          <cell r="AB59">
            <v>1935</v>
          </cell>
          <cell r="AC59">
            <v>1620</v>
          </cell>
          <cell r="AD59">
            <v>1711</v>
          </cell>
          <cell r="AE59">
            <v>1449</v>
          </cell>
          <cell r="AF59">
            <v>1484</v>
          </cell>
          <cell r="AG59">
            <v>1790</v>
          </cell>
          <cell r="AH59">
            <v>1790</v>
          </cell>
          <cell r="AI59">
            <v>1790</v>
          </cell>
          <cell r="AJ59">
            <v>1790</v>
          </cell>
          <cell r="AK59">
            <v>1790</v>
          </cell>
          <cell r="AL59">
            <v>1790</v>
          </cell>
          <cell r="AM59">
            <v>1790</v>
          </cell>
          <cell r="AN59">
            <v>1790</v>
          </cell>
          <cell r="AO59">
            <v>1790</v>
          </cell>
          <cell r="AP59">
            <v>1790</v>
          </cell>
          <cell r="AQ59" t="str">
            <v>must be 0 or +ve</v>
          </cell>
        </row>
        <row r="60">
          <cell r="B60" t="str">
            <v>Total assets</v>
          </cell>
          <cell r="C60" t="str">
            <v>TOT_ASSET</v>
          </cell>
          <cell r="D60" t="str">
            <v>SEK</v>
          </cell>
          <cell r="F60">
            <v>23301</v>
          </cell>
          <cell r="G60">
            <v>22279</v>
          </cell>
          <cell r="H60">
            <v>23175</v>
          </cell>
          <cell r="I60">
            <v>34790</v>
          </cell>
          <cell r="J60">
            <v>37166</v>
          </cell>
          <cell r="K60">
            <v>53650</v>
          </cell>
          <cell r="L60">
            <v>61688</v>
          </cell>
          <cell r="M60">
            <v>64357</v>
          </cell>
          <cell r="N60">
            <v>48668</v>
          </cell>
          <cell r="O60">
            <v>45862</v>
          </cell>
          <cell r="P60">
            <v>48168</v>
          </cell>
          <cell r="Q60">
            <v>54955</v>
          </cell>
          <cell r="R60">
            <v>55255</v>
          </cell>
          <cell r="S60">
            <v>56659</v>
          </cell>
          <cell r="T60">
            <v>75394</v>
          </cell>
          <cell r="U60">
            <v>67874</v>
          </cell>
          <cell r="V60">
            <v>71622</v>
          </cell>
          <cell r="W60">
            <v>75109</v>
          </cell>
          <cell r="X60">
            <v>81149</v>
          </cell>
          <cell r="Y60">
            <v>87891</v>
          </cell>
          <cell r="Z60">
            <v>105281</v>
          </cell>
          <cell r="AA60">
            <v>103010</v>
          </cell>
          <cell r="AB60">
            <v>115892</v>
          </cell>
          <cell r="AC60">
            <v>126031</v>
          </cell>
          <cell r="AD60">
            <v>96670</v>
          </cell>
          <cell r="AE60">
            <v>111722</v>
          </cell>
          <cell r="AF60">
            <v>113366</v>
          </cell>
          <cell r="AG60">
            <v>136683</v>
          </cell>
          <cell r="AH60">
            <v>144116.85362484906</v>
          </cell>
          <cell r="AI60">
            <v>159204.4837421659</v>
          </cell>
          <cell r="AJ60">
            <v>162231.65712374944</v>
          </cell>
          <cell r="AK60">
            <v>183033.00462842971</v>
          </cell>
          <cell r="AL60">
            <v>206968.99981629266</v>
          </cell>
          <cell r="AM60">
            <v>233167.0252767301</v>
          </cell>
          <cell r="AN60">
            <v>262352.60811657115</v>
          </cell>
          <cell r="AO60">
            <v>294934.42203794362</v>
          </cell>
          <cell r="AP60">
            <v>331285.15843323246</v>
          </cell>
        </row>
        <row r="61">
          <cell r="B61" t="str">
            <v>Accounts payable</v>
          </cell>
          <cell r="C61" t="str">
            <v>ACC_PAY_GQ</v>
          </cell>
          <cell r="D61" t="str">
            <v>SEK</v>
          </cell>
          <cell r="F61">
            <v>4868</v>
          </cell>
          <cell r="G61">
            <v>4793</v>
          </cell>
          <cell r="H61">
            <v>4823</v>
          </cell>
          <cell r="I61">
            <v>6666</v>
          </cell>
          <cell r="J61">
            <v>6420</v>
          </cell>
          <cell r="K61">
            <v>7754</v>
          </cell>
          <cell r="L61">
            <v>9372</v>
          </cell>
          <cell r="M61">
            <v>9941</v>
          </cell>
          <cell r="N61">
            <v>8361</v>
          </cell>
          <cell r="O61">
            <v>8075</v>
          </cell>
          <cell r="P61">
            <v>4181</v>
          </cell>
          <cell r="Q61">
            <v>5985</v>
          </cell>
          <cell r="R61">
            <v>4108</v>
          </cell>
          <cell r="S61">
            <v>5591</v>
          </cell>
          <cell r="T61">
            <v>6415</v>
          </cell>
          <cell r="U61">
            <v>6415</v>
          </cell>
          <cell r="V61">
            <v>6398</v>
          </cell>
          <cell r="W61">
            <v>7696</v>
          </cell>
          <cell r="X61">
            <v>6700</v>
          </cell>
          <cell r="Y61">
            <v>6418</v>
          </cell>
          <cell r="Z61">
            <v>7876</v>
          </cell>
          <cell r="AA61">
            <v>7873</v>
          </cell>
          <cell r="AB61">
            <v>10283</v>
          </cell>
          <cell r="AC61">
            <v>14206</v>
          </cell>
          <cell r="AD61">
            <v>12529</v>
          </cell>
          <cell r="AE61">
            <v>11898</v>
          </cell>
          <cell r="AF61">
            <v>11202</v>
          </cell>
          <cell r="AG61">
            <v>15159</v>
          </cell>
          <cell r="AH61">
            <v>17416.500024169625</v>
          </cell>
          <cell r="AI61">
            <v>17494.641061643983</v>
          </cell>
          <cell r="AJ61">
            <v>19151.891461410287</v>
          </cell>
          <cell r="AK61">
            <v>21310.232615191246</v>
          </cell>
          <cell r="AL61">
            <v>23877.399546917695</v>
          </cell>
          <cell r="AM61">
            <v>26459.017512859726</v>
          </cell>
          <cell r="AN61">
            <v>29329.279373993944</v>
          </cell>
          <cell r="AO61">
            <v>32521.460169873586</v>
          </cell>
          <cell r="AP61">
            <v>36072.773983347011</v>
          </cell>
        </row>
        <row r="62">
          <cell r="B62" t="str">
            <v>Short-term debt</v>
          </cell>
          <cell r="C62" t="str">
            <v>SHORT_T_DEBT</v>
          </cell>
          <cell r="D62" t="str">
            <v>SEK</v>
          </cell>
          <cell r="F62">
            <v>1356</v>
          </cell>
          <cell r="G62">
            <v>2561</v>
          </cell>
          <cell r="H62">
            <v>1889</v>
          </cell>
          <cell r="I62">
            <v>7610</v>
          </cell>
          <cell r="J62">
            <v>4922</v>
          </cell>
          <cell r="K62">
            <v>8192</v>
          </cell>
          <cell r="L62">
            <v>9987</v>
          </cell>
          <cell r="M62">
            <v>8091</v>
          </cell>
          <cell r="N62">
            <v>2450</v>
          </cell>
          <cell r="O62">
            <v>3042</v>
          </cell>
          <cell r="P62">
            <v>712</v>
          </cell>
          <cell r="Q62">
            <v>1867</v>
          </cell>
          <cell r="R62">
            <v>5977</v>
          </cell>
          <cell r="S62">
            <v>2743</v>
          </cell>
          <cell r="T62">
            <v>1485</v>
          </cell>
          <cell r="U62">
            <v>2959</v>
          </cell>
          <cell r="V62">
            <v>499</v>
          </cell>
          <cell r="W62">
            <v>3422</v>
          </cell>
          <cell r="X62">
            <v>902</v>
          </cell>
          <cell r="Y62">
            <v>5595</v>
          </cell>
          <cell r="Z62">
            <v>2284</v>
          </cell>
          <cell r="AA62">
            <v>1101</v>
          </cell>
          <cell r="AB62">
            <v>1574</v>
          </cell>
          <cell r="AC62">
            <v>1513</v>
          </cell>
          <cell r="AD62">
            <v>5966</v>
          </cell>
          <cell r="AE62">
            <v>2282</v>
          </cell>
          <cell r="AF62">
            <v>2008</v>
          </cell>
          <cell r="AG62">
            <v>2960</v>
          </cell>
          <cell r="AH62">
            <v>2960</v>
          </cell>
          <cell r="AI62">
            <v>2960</v>
          </cell>
          <cell r="AJ62">
            <v>2960</v>
          </cell>
          <cell r="AK62">
            <v>2960</v>
          </cell>
          <cell r="AL62">
            <v>2960</v>
          </cell>
          <cell r="AM62">
            <v>2960</v>
          </cell>
          <cell r="AN62">
            <v>2960</v>
          </cell>
          <cell r="AO62">
            <v>2960</v>
          </cell>
          <cell r="AP62">
            <v>2960</v>
          </cell>
          <cell r="AQ62" t="str">
            <v>must be 0 or +ve</v>
          </cell>
        </row>
        <row r="63">
          <cell r="B63" t="str">
            <v>Current lease liabilities (op lease: US GAAP)</v>
          </cell>
          <cell r="C63" t="str">
            <v>ST_LEASE_LIAB</v>
          </cell>
          <cell r="D63" t="str">
            <v>SEK</v>
          </cell>
          <cell r="AE63">
            <v>973</v>
          </cell>
          <cell r="AF63">
            <v>969</v>
          </cell>
          <cell r="AG63">
            <v>1021</v>
          </cell>
          <cell r="AH63">
            <v>1021</v>
          </cell>
          <cell r="AI63">
            <v>1021</v>
          </cell>
          <cell r="AJ63">
            <v>1021</v>
          </cell>
          <cell r="AK63">
            <v>1021</v>
          </cell>
          <cell r="AL63">
            <v>1021</v>
          </cell>
          <cell r="AM63">
            <v>1021</v>
          </cell>
          <cell r="AN63">
            <v>1021</v>
          </cell>
          <cell r="AO63">
            <v>1021</v>
          </cell>
          <cell r="AP63">
            <v>1021</v>
          </cell>
        </row>
        <row r="64">
          <cell r="B64" t="str">
            <v>Other current liabilities</v>
          </cell>
          <cell r="C64" t="str">
            <v>OTH_CUR_LIABS</v>
          </cell>
          <cell r="D64" t="str">
            <v>SEK</v>
          </cell>
          <cell r="F64">
            <v>0</v>
          </cell>
          <cell r="G64">
            <v>0</v>
          </cell>
          <cell r="H64">
            <v>0</v>
          </cell>
          <cell r="I64">
            <v>0</v>
          </cell>
          <cell r="J64">
            <v>0</v>
          </cell>
          <cell r="K64">
            <v>0</v>
          </cell>
          <cell r="L64">
            <v>0</v>
          </cell>
          <cell r="M64">
            <v>0</v>
          </cell>
          <cell r="N64">
            <v>0</v>
          </cell>
          <cell r="O64">
            <v>562</v>
          </cell>
          <cell r="P64">
            <v>8478</v>
          </cell>
          <cell r="Q64">
            <v>7847</v>
          </cell>
          <cell r="R64">
            <v>8412</v>
          </cell>
          <cell r="S64">
            <v>10640</v>
          </cell>
          <cell r="T64">
            <v>13992</v>
          </cell>
          <cell r="U64">
            <v>8806</v>
          </cell>
          <cell r="V64">
            <v>12002</v>
          </cell>
          <cell r="W64">
            <v>14206</v>
          </cell>
          <cell r="X64">
            <v>13895</v>
          </cell>
          <cell r="Y64">
            <v>12572</v>
          </cell>
          <cell r="Z64">
            <v>16570</v>
          </cell>
          <cell r="AA64">
            <v>20081</v>
          </cell>
          <cell r="AB64">
            <v>21186</v>
          </cell>
          <cell r="AC64">
            <v>20884</v>
          </cell>
          <cell r="AD64">
            <v>16550</v>
          </cell>
          <cell r="AE64">
            <v>17279</v>
          </cell>
          <cell r="AF64">
            <v>17287</v>
          </cell>
          <cell r="AG64">
            <v>21663</v>
          </cell>
          <cell r="AH64">
            <v>21193</v>
          </cell>
          <cell r="AI64">
            <v>20893</v>
          </cell>
          <cell r="AJ64">
            <v>20593</v>
          </cell>
          <cell r="AK64">
            <v>20293</v>
          </cell>
          <cell r="AL64">
            <v>19993</v>
          </cell>
          <cell r="AM64">
            <v>19693</v>
          </cell>
          <cell r="AN64">
            <v>19393</v>
          </cell>
          <cell r="AO64">
            <v>19093</v>
          </cell>
          <cell r="AP64">
            <v>18793</v>
          </cell>
        </row>
        <row r="65">
          <cell r="B65" t="str">
            <v>Total current liabilities</v>
          </cell>
          <cell r="C65" t="str">
            <v>SHORT_TERM_LIABS</v>
          </cell>
          <cell r="D65" t="str">
            <v>SEK</v>
          </cell>
          <cell r="F65">
            <v>6224</v>
          </cell>
          <cell r="G65">
            <v>7354</v>
          </cell>
          <cell r="H65">
            <v>6712</v>
          </cell>
          <cell r="I65">
            <v>14276</v>
          </cell>
          <cell r="J65">
            <v>11342</v>
          </cell>
          <cell r="K65">
            <v>15946</v>
          </cell>
          <cell r="L65">
            <v>19359</v>
          </cell>
          <cell r="M65">
            <v>18032</v>
          </cell>
          <cell r="N65">
            <v>10811</v>
          </cell>
          <cell r="O65">
            <v>11679</v>
          </cell>
          <cell r="P65">
            <v>13371</v>
          </cell>
          <cell r="Q65">
            <v>15699</v>
          </cell>
          <cell r="R65">
            <v>18497</v>
          </cell>
          <cell r="S65">
            <v>18974</v>
          </cell>
          <cell r="T65">
            <v>21892</v>
          </cell>
          <cell r="U65">
            <v>18180</v>
          </cell>
          <cell r="V65">
            <v>18899</v>
          </cell>
          <cell r="W65">
            <v>25324</v>
          </cell>
          <cell r="X65">
            <v>21497</v>
          </cell>
          <cell r="Y65">
            <v>24585</v>
          </cell>
          <cell r="Z65">
            <v>26730</v>
          </cell>
          <cell r="AA65">
            <v>29055</v>
          </cell>
          <cell r="AB65">
            <v>33043</v>
          </cell>
          <cell r="AC65">
            <v>36603</v>
          </cell>
          <cell r="AD65">
            <v>35045</v>
          </cell>
          <cell r="AE65">
            <v>32432</v>
          </cell>
          <cell r="AF65">
            <v>31466</v>
          </cell>
          <cell r="AG65">
            <v>40803</v>
          </cell>
          <cell r="AH65">
            <v>42590.500024169625</v>
          </cell>
          <cell r="AI65">
            <v>42368.641061643983</v>
          </cell>
          <cell r="AJ65">
            <v>43725.891461410283</v>
          </cell>
          <cell r="AK65">
            <v>45584.232615191242</v>
          </cell>
          <cell r="AL65">
            <v>47851.399546917695</v>
          </cell>
          <cell r="AM65">
            <v>50133.017512859726</v>
          </cell>
          <cell r="AN65">
            <v>52703.279373993944</v>
          </cell>
          <cell r="AO65">
            <v>55595.460169873586</v>
          </cell>
          <cell r="AP65">
            <v>58846.773983347011</v>
          </cell>
        </row>
        <row r="66">
          <cell r="B66" t="str">
            <v>Long-term  debt</v>
          </cell>
          <cell r="C66" t="str">
            <v>LT_DEBT</v>
          </cell>
          <cell r="D66" t="str">
            <v>SEK</v>
          </cell>
          <cell r="F66">
            <v>90</v>
          </cell>
          <cell r="G66">
            <v>556</v>
          </cell>
          <cell r="H66">
            <v>571</v>
          </cell>
          <cell r="I66">
            <v>2201</v>
          </cell>
          <cell r="J66">
            <v>5308</v>
          </cell>
          <cell r="K66">
            <v>10969</v>
          </cell>
          <cell r="L66">
            <v>11999</v>
          </cell>
          <cell r="M66">
            <v>11594</v>
          </cell>
          <cell r="N66">
            <v>10822</v>
          </cell>
          <cell r="O66">
            <v>6957</v>
          </cell>
          <cell r="P66">
            <v>6950</v>
          </cell>
          <cell r="Q66">
            <v>7652</v>
          </cell>
          <cell r="R66">
            <v>1163</v>
          </cell>
          <cell r="S66">
            <v>19926</v>
          </cell>
          <cell r="T66">
            <v>26997</v>
          </cell>
          <cell r="U66">
            <v>21008</v>
          </cell>
          <cell r="V66">
            <v>19615</v>
          </cell>
          <cell r="W66">
            <v>17013</v>
          </cell>
          <cell r="X66">
            <v>20150</v>
          </cell>
          <cell r="Y66">
            <v>19997</v>
          </cell>
          <cell r="Z66">
            <v>22182</v>
          </cell>
          <cell r="AA66">
            <v>21888</v>
          </cell>
          <cell r="AB66">
            <v>23148</v>
          </cell>
          <cell r="AC66">
            <v>23635</v>
          </cell>
          <cell r="AD66">
            <v>14415</v>
          </cell>
          <cell r="AE66">
            <v>17730</v>
          </cell>
          <cell r="AF66">
            <v>19269</v>
          </cell>
          <cell r="AG66">
            <v>18542</v>
          </cell>
          <cell r="AH66">
            <v>20158</v>
          </cell>
          <cell r="AI66">
            <v>20158</v>
          </cell>
          <cell r="AJ66">
            <v>20158</v>
          </cell>
          <cell r="AK66">
            <v>20158</v>
          </cell>
          <cell r="AL66">
            <v>20158</v>
          </cell>
          <cell r="AM66">
            <v>20158</v>
          </cell>
          <cell r="AN66">
            <v>20158</v>
          </cell>
          <cell r="AO66">
            <v>20158</v>
          </cell>
          <cell r="AP66">
            <v>20158</v>
          </cell>
          <cell r="AQ66" t="str">
            <v>must be 0 or +ve</v>
          </cell>
        </row>
        <row r="67">
          <cell r="B67" t="str">
            <v>Non-current lease liabilities (op lease: US GAAP)</v>
          </cell>
          <cell r="C67" t="str">
            <v>LT_LEASE_LIAB</v>
          </cell>
          <cell r="D67" t="str">
            <v>SEK</v>
          </cell>
          <cell r="AE67">
            <v>2670</v>
          </cell>
          <cell r="AF67">
            <v>2400</v>
          </cell>
          <cell r="AG67">
            <v>2351</v>
          </cell>
          <cell r="AH67">
            <v>2351</v>
          </cell>
          <cell r="AI67">
            <v>2351</v>
          </cell>
          <cell r="AJ67">
            <v>2351</v>
          </cell>
          <cell r="AK67">
            <v>2351</v>
          </cell>
          <cell r="AL67">
            <v>2351</v>
          </cell>
          <cell r="AM67">
            <v>2351</v>
          </cell>
          <cell r="AN67">
            <v>2351</v>
          </cell>
          <cell r="AO67">
            <v>2351</v>
          </cell>
          <cell r="AP67">
            <v>2351</v>
          </cell>
        </row>
        <row r="68">
          <cell r="B68" t="str">
            <v>Other long-term liabilities</v>
          </cell>
          <cell r="C68" t="str">
            <v>OTH_LT_CRED_GQ</v>
          </cell>
          <cell r="D68" t="str">
            <v>SEK</v>
          </cell>
          <cell r="F68">
            <v>2581</v>
          </cell>
          <cell r="G68">
            <v>3770</v>
          </cell>
          <cell r="H68">
            <v>3887</v>
          </cell>
          <cell r="I68">
            <v>4678</v>
          </cell>
          <cell r="J68">
            <v>5051</v>
          </cell>
          <cell r="K68">
            <v>5658</v>
          </cell>
          <cell r="L68">
            <v>6129</v>
          </cell>
          <cell r="M68">
            <v>6942</v>
          </cell>
          <cell r="N68">
            <v>6681</v>
          </cell>
          <cell r="O68">
            <v>6158</v>
          </cell>
          <cell r="P68">
            <v>5246</v>
          </cell>
          <cell r="Q68">
            <v>5796</v>
          </cell>
          <cell r="R68">
            <v>2887</v>
          </cell>
          <cell r="S68">
            <v>3119</v>
          </cell>
          <cell r="T68">
            <v>2737</v>
          </cell>
          <cell r="U68">
            <v>3015</v>
          </cell>
          <cell r="V68">
            <v>3787</v>
          </cell>
          <cell r="W68">
            <v>3933</v>
          </cell>
          <cell r="X68">
            <v>4370</v>
          </cell>
          <cell r="Y68">
            <v>3515</v>
          </cell>
          <cell r="Z68">
            <v>5616</v>
          </cell>
          <cell r="AA68">
            <v>5317</v>
          </cell>
          <cell r="AB68">
            <v>6524</v>
          </cell>
          <cell r="AC68">
            <v>5192</v>
          </cell>
          <cell r="AD68">
            <v>4738</v>
          </cell>
          <cell r="AE68">
            <v>5600</v>
          </cell>
          <cell r="AF68">
            <v>6697</v>
          </cell>
          <cell r="AG68">
            <v>7353</v>
          </cell>
          <cell r="AH68">
            <v>7353</v>
          </cell>
          <cell r="AI68">
            <v>7353</v>
          </cell>
          <cell r="AJ68">
            <v>7353</v>
          </cell>
          <cell r="AK68">
            <v>7353</v>
          </cell>
          <cell r="AL68">
            <v>7353</v>
          </cell>
          <cell r="AM68">
            <v>7353</v>
          </cell>
          <cell r="AN68">
            <v>7353</v>
          </cell>
          <cell r="AO68">
            <v>7353</v>
          </cell>
          <cell r="AP68">
            <v>7353</v>
          </cell>
        </row>
        <row r="69">
          <cell r="B69" t="str">
            <v>Total long-term liabilities</v>
          </cell>
          <cell r="C69" t="str">
            <v>TOT_LT_LIAB</v>
          </cell>
          <cell r="D69" t="str">
            <v>SEK</v>
          </cell>
          <cell r="F69">
            <v>2671</v>
          </cell>
          <cell r="G69">
            <v>4326</v>
          </cell>
          <cell r="H69">
            <v>4458</v>
          </cell>
          <cell r="I69">
            <v>6879</v>
          </cell>
          <cell r="J69">
            <v>10359</v>
          </cell>
          <cell r="K69">
            <v>16627</v>
          </cell>
          <cell r="L69">
            <v>18128</v>
          </cell>
          <cell r="M69">
            <v>18536</v>
          </cell>
          <cell r="N69">
            <v>17503</v>
          </cell>
          <cell r="O69">
            <v>13115</v>
          </cell>
          <cell r="P69">
            <v>12196</v>
          </cell>
          <cell r="Q69">
            <v>13448</v>
          </cell>
          <cell r="R69">
            <v>4050</v>
          </cell>
          <cell r="S69">
            <v>23045</v>
          </cell>
          <cell r="T69">
            <v>29734</v>
          </cell>
          <cell r="U69">
            <v>24023</v>
          </cell>
          <cell r="V69">
            <v>23402</v>
          </cell>
          <cell r="W69">
            <v>20946</v>
          </cell>
          <cell r="X69">
            <v>24520</v>
          </cell>
          <cell r="Y69">
            <v>23512</v>
          </cell>
          <cell r="Z69">
            <v>27798</v>
          </cell>
          <cell r="AA69">
            <v>27205</v>
          </cell>
          <cell r="AB69">
            <v>29672</v>
          </cell>
          <cell r="AC69">
            <v>28827</v>
          </cell>
          <cell r="AD69">
            <v>19153</v>
          </cell>
          <cell r="AE69">
            <v>26000</v>
          </cell>
          <cell r="AF69">
            <v>28366</v>
          </cell>
          <cell r="AG69">
            <v>28246</v>
          </cell>
          <cell r="AH69">
            <v>29862</v>
          </cell>
          <cell r="AI69">
            <v>29862</v>
          </cell>
          <cell r="AJ69">
            <v>29862</v>
          </cell>
          <cell r="AK69">
            <v>29862</v>
          </cell>
          <cell r="AL69">
            <v>29862</v>
          </cell>
          <cell r="AM69">
            <v>29862</v>
          </cell>
          <cell r="AN69">
            <v>29862</v>
          </cell>
          <cell r="AO69">
            <v>29862</v>
          </cell>
          <cell r="AP69">
            <v>29862</v>
          </cell>
        </row>
        <row r="70">
          <cell r="B70" t="str">
            <v>Total liabilities</v>
          </cell>
          <cell r="C70" t="str">
            <v>TOT_LIAB</v>
          </cell>
          <cell r="D70" t="str">
            <v>SEK</v>
          </cell>
          <cell r="F70">
            <v>8895</v>
          </cell>
          <cell r="G70">
            <v>11680</v>
          </cell>
          <cell r="H70">
            <v>11170</v>
          </cell>
          <cell r="I70">
            <v>21155</v>
          </cell>
          <cell r="J70">
            <v>21701</v>
          </cell>
          <cell r="K70">
            <v>32573</v>
          </cell>
          <cell r="L70">
            <v>37487</v>
          </cell>
          <cell r="M70">
            <v>36568</v>
          </cell>
          <cell r="N70">
            <v>28314</v>
          </cell>
          <cell r="O70">
            <v>24794</v>
          </cell>
          <cell r="P70">
            <v>25567</v>
          </cell>
          <cell r="Q70">
            <v>29147</v>
          </cell>
          <cell r="R70">
            <v>22547</v>
          </cell>
          <cell r="S70">
            <v>42019</v>
          </cell>
          <cell r="T70">
            <v>51626</v>
          </cell>
          <cell r="U70">
            <v>42203</v>
          </cell>
          <cell r="V70">
            <v>42301</v>
          </cell>
          <cell r="W70">
            <v>46270</v>
          </cell>
          <cell r="X70">
            <v>46017</v>
          </cell>
          <cell r="Y70">
            <v>48097</v>
          </cell>
          <cell r="Z70">
            <v>54528</v>
          </cell>
          <cell r="AA70">
            <v>56260</v>
          </cell>
          <cell r="AB70">
            <v>62715</v>
          </cell>
          <cell r="AC70">
            <v>65430</v>
          </cell>
          <cell r="AD70">
            <v>54198</v>
          </cell>
          <cell r="AE70">
            <v>58432</v>
          </cell>
          <cell r="AF70">
            <v>59832</v>
          </cell>
          <cell r="AG70">
            <v>69049</v>
          </cell>
          <cell r="AH70">
            <v>72452.500024169625</v>
          </cell>
          <cell r="AI70">
            <v>72230.641061643983</v>
          </cell>
          <cell r="AJ70">
            <v>73587.891461410283</v>
          </cell>
          <cell r="AK70">
            <v>75446.232615191242</v>
          </cell>
          <cell r="AL70">
            <v>77713.399546917703</v>
          </cell>
          <cell r="AM70">
            <v>79995.017512859718</v>
          </cell>
          <cell r="AN70">
            <v>82565.279373993952</v>
          </cell>
          <cell r="AO70">
            <v>85457.460169873579</v>
          </cell>
          <cell r="AP70">
            <v>88708.773983347011</v>
          </cell>
        </row>
        <row r="71">
          <cell r="B71" t="str">
            <v>Preferred shares</v>
          </cell>
          <cell r="C71" t="str">
            <v>PREF_SH</v>
          </cell>
          <cell r="D71" t="str">
            <v>SEK</v>
          </cell>
        </row>
        <row r="72">
          <cell r="B72" t="str">
            <v>Total common equity</v>
          </cell>
          <cell r="C72" t="str">
            <v>ORD_SH_FUND</v>
          </cell>
          <cell r="D72" t="str">
            <v>SEK</v>
          </cell>
          <cell r="F72">
            <v>9183</v>
          </cell>
          <cell r="G72">
            <v>10474</v>
          </cell>
          <cell r="H72">
            <v>11851</v>
          </cell>
          <cell r="I72">
            <v>13453</v>
          </cell>
          <cell r="J72">
            <v>15270</v>
          </cell>
          <cell r="K72">
            <v>20885</v>
          </cell>
          <cell r="L72">
            <v>23982</v>
          </cell>
          <cell r="M72">
            <v>27568</v>
          </cell>
          <cell r="N72">
            <v>20194</v>
          </cell>
          <cell r="O72">
            <v>21015</v>
          </cell>
          <cell r="P72">
            <v>22536</v>
          </cell>
          <cell r="Q72">
            <v>25716</v>
          </cell>
          <cell r="R72">
            <v>32616</v>
          </cell>
          <cell r="S72">
            <v>14524</v>
          </cell>
          <cell r="T72">
            <v>23627</v>
          </cell>
          <cell r="U72">
            <v>25509</v>
          </cell>
          <cell r="V72">
            <v>29141</v>
          </cell>
          <cell r="W72">
            <v>28776</v>
          </cell>
          <cell r="X72">
            <v>35078</v>
          </cell>
          <cell r="Y72">
            <v>39647</v>
          </cell>
          <cell r="Z72">
            <v>50575</v>
          </cell>
          <cell r="AA72">
            <v>46591</v>
          </cell>
          <cell r="AB72">
            <v>53105</v>
          </cell>
          <cell r="AC72">
            <v>60517</v>
          </cell>
          <cell r="AD72">
            <v>42425</v>
          </cell>
          <cell r="AE72">
            <v>53231</v>
          </cell>
          <cell r="AF72">
            <v>53215</v>
          </cell>
          <cell r="AG72">
            <v>67633</v>
          </cell>
          <cell r="AH72">
            <v>71663.353600679431</v>
          </cell>
          <cell r="AI72">
            <v>86972.842680521921</v>
          </cell>
          <cell r="AJ72">
            <v>88642.765662339152</v>
          </cell>
          <cell r="AK72">
            <v>107585.77201323851</v>
          </cell>
          <cell r="AL72">
            <v>129254.60026937496</v>
          </cell>
          <cell r="AM72">
            <v>153171.00776387038</v>
          </cell>
          <cell r="AN72">
            <v>179786.32874257723</v>
          </cell>
          <cell r="AO72">
            <v>209475.96186807004</v>
          </cell>
          <cell r="AP72">
            <v>242575.38444988546</v>
          </cell>
          <cell r="AQ72" t="str">
            <v>must be +ve</v>
          </cell>
        </row>
        <row r="73">
          <cell r="B73" t="str">
            <v>Minority interest</v>
          </cell>
          <cell r="C73" t="str">
            <v>MINORITIES</v>
          </cell>
          <cell r="D73" t="str">
            <v>SEK</v>
          </cell>
          <cell r="F73">
            <v>120</v>
          </cell>
          <cell r="G73">
            <v>125</v>
          </cell>
          <cell r="H73">
            <v>154</v>
          </cell>
          <cell r="I73">
            <v>182</v>
          </cell>
          <cell r="J73">
            <v>195</v>
          </cell>
          <cell r="K73">
            <v>192</v>
          </cell>
          <cell r="L73">
            <v>219</v>
          </cell>
          <cell r="M73">
            <v>221</v>
          </cell>
          <cell r="N73">
            <v>160</v>
          </cell>
          <cell r="O73">
            <v>53</v>
          </cell>
          <cell r="P73">
            <v>65</v>
          </cell>
          <cell r="Q73">
            <v>92</v>
          </cell>
          <cell r="R73">
            <v>92</v>
          </cell>
          <cell r="S73">
            <v>116</v>
          </cell>
          <cell r="T73">
            <v>141</v>
          </cell>
          <cell r="U73">
            <v>162</v>
          </cell>
          <cell r="V73">
            <v>180</v>
          </cell>
          <cell r="W73">
            <v>63</v>
          </cell>
          <cell r="X73">
            <v>54</v>
          </cell>
          <cell r="Y73">
            <v>147</v>
          </cell>
          <cell r="Z73">
            <v>178</v>
          </cell>
          <cell r="AA73">
            <v>159</v>
          </cell>
          <cell r="AB73">
            <v>72</v>
          </cell>
          <cell r="AC73">
            <v>84</v>
          </cell>
          <cell r="AD73">
            <v>47</v>
          </cell>
          <cell r="AE73">
            <v>59</v>
          </cell>
          <cell r="AF73">
            <v>319</v>
          </cell>
          <cell r="AG73">
            <v>1</v>
          </cell>
          <cell r="AH73">
            <v>1</v>
          </cell>
          <cell r="AI73">
            <v>1</v>
          </cell>
          <cell r="AJ73">
            <v>1</v>
          </cell>
          <cell r="AK73">
            <v>1</v>
          </cell>
          <cell r="AL73">
            <v>1</v>
          </cell>
          <cell r="AM73">
            <v>1</v>
          </cell>
          <cell r="AN73">
            <v>1</v>
          </cell>
          <cell r="AO73">
            <v>1</v>
          </cell>
          <cell r="AP73">
            <v>1</v>
          </cell>
          <cell r="AQ73" t="str">
            <v>must be 0 or +ve</v>
          </cell>
        </row>
        <row r="74">
          <cell r="B74" t="str">
            <v>Total shareholders' equity</v>
          </cell>
          <cell r="C74" t="str">
            <v>EQ</v>
          </cell>
          <cell r="D74" t="str">
            <v>SEK</v>
          </cell>
          <cell r="F74">
            <v>9303</v>
          </cell>
          <cell r="G74">
            <v>10599</v>
          </cell>
          <cell r="H74">
            <v>12005</v>
          </cell>
          <cell r="I74">
            <v>13635</v>
          </cell>
          <cell r="J74">
            <v>15465</v>
          </cell>
          <cell r="K74">
            <v>21077</v>
          </cell>
          <cell r="L74">
            <v>24201</v>
          </cell>
          <cell r="M74">
            <v>27789</v>
          </cell>
          <cell r="N74">
            <v>20354</v>
          </cell>
          <cell r="O74">
            <v>21068</v>
          </cell>
          <cell r="P74">
            <v>22601</v>
          </cell>
          <cell r="Q74">
            <v>25808</v>
          </cell>
          <cell r="R74">
            <v>32708</v>
          </cell>
          <cell r="S74">
            <v>14640</v>
          </cell>
          <cell r="T74">
            <v>23768</v>
          </cell>
          <cell r="U74">
            <v>25671</v>
          </cell>
          <cell r="V74">
            <v>29321</v>
          </cell>
          <cell r="W74">
            <v>28839</v>
          </cell>
          <cell r="X74">
            <v>35132</v>
          </cell>
          <cell r="Y74">
            <v>39794</v>
          </cell>
          <cell r="Z74">
            <v>50753</v>
          </cell>
          <cell r="AA74">
            <v>46750</v>
          </cell>
          <cell r="AB74">
            <v>53177</v>
          </cell>
          <cell r="AC74">
            <v>60601</v>
          </cell>
          <cell r="AD74">
            <v>42472</v>
          </cell>
          <cell r="AE74">
            <v>53290</v>
          </cell>
          <cell r="AF74">
            <v>53534</v>
          </cell>
          <cell r="AG74">
            <v>67634</v>
          </cell>
          <cell r="AH74">
            <v>71664.353600679431</v>
          </cell>
          <cell r="AI74">
            <v>86973.842680521921</v>
          </cell>
          <cell r="AJ74">
            <v>88643.765662339152</v>
          </cell>
          <cell r="AK74">
            <v>107586.77201323851</v>
          </cell>
          <cell r="AL74">
            <v>129255.60026937496</v>
          </cell>
          <cell r="AM74">
            <v>153172.00776387038</v>
          </cell>
          <cell r="AN74">
            <v>179787.32874257723</v>
          </cell>
          <cell r="AO74">
            <v>209476.96186807004</v>
          </cell>
          <cell r="AP74">
            <v>242576.38444988546</v>
          </cell>
          <cell r="AQ74" t="str">
            <v>must be +ve</v>
          </cell>
        </row>
        <row r="75">
          <cell r="B75" t="str">
            <v>Total liabilities and equity</v>
          </cell>
          <cell r="C75" t="str">
            <v>TOT_LIAB_EQ</v>
          </cell>
          <cell r="D75" t="str">
            <v>SEK</v>
          </cell>
          <cell r="F75">
            <v>18198</v>
          </cell>
          <cell r="G75">
            <v>22279</v>
          </cell>
          <cell r="H75">
            <v>23175</v>
          </cell>
          <cell r="I75">
            <v>34790</v>
          </cell>
          <cell r="J75">
            <v>37166</v>
          </cell>
          <cell r="K75">
            <v>53650</v>
          </cell>
          <cell r="L75">
            <v>61688</v>
          </cell>
          <cell r="M75">
            <v>64357</v>
          </cell>
          <cell r="N75">
            <v>48668</v>
          </cell>
          <cell r="O75">
            <v>45862</v>
          </cell>
          <cell r="P75">
            <v>48168</v>
          </cell>
          <cell r="Q75">
            <v>54955</v>
          </cell>
          <cell r="R75">
            <v>55255</v>
          </cell>
          <cell r="S75">
            <v>56659</v>
          </cell>
          <cell r="T75">
            <v>75394</v>
          </cell>
          <cell r="U75">
            <v>67874</v>
          </cell>
          <cell r="V75">
            <v>71622</v>
          </cell>
          <cell r="W75">
            <v>75109</v>
          </cell>
          <cell r="X75">
            <v>81149</v>
          </cell>
          <cell r="Y75">
            <v>87891</v>
          </cell>
          <cell r="Z75">
            <v>105281</v>
          </cell>
          <cell r="AA75">
            <v>103010</v>
          </cell>
          <cell r="AB75">
            <v>115892</v>
          </cell>
          <cell r="AC75">
            <v>126031</v>
          </cell>
          <cell r="AD75">
            <v>96670</v>
          </cell>
          <cell r="AE75">
            <v>111722</v>
          </cell>
          <cell r="AF75">
            <v>113366</v>
          </cell>
          <cell r="AG75">
            <v>136683</v>
          </cell>
          <cell r="AH75">
            <v>144116.85362484906</v>
          </cell>
          <cell r="AI75">
            <v>159204.4837421659</v>
          </cell>
          <cell r="AJ75">
            <v>162231.65712374944</v>
          </cell>
          <cell r="AK75">
            <v>183033.00462842977</v>
          </cell>
          <cell r="AL75">
            <v>206968.99981629266</v>
          </cell>
          <cell r="AM75">
            <v>233167.0252767301</v>
          </cell>
          <cell r="AN75">
            <v>262352.60811657121</v>
          </cell>
          <cell r="AO75">
            <v>294934.42203794362</v>
          </cell>
          <cell r="AP75">
            <v>331285.15843323246</v>
          </cell>
        </row>
        <row r="76">
          <cell r="A76" t="str">
            <v>Additional Balance Sheet Items</v>
          </cell>
        </row>
        <row r="77">
          <cell r="B77" t="str">
            <v>Total US$ debt (in US$)</v>
          </cell>
          <cell r="C77" t="str">
            <v>TOT_USD_DEBT</v>
          </cell>
          <cell r="Z77">
            <v>1197</v>
          </cell>
          <cell r="AA77">
            <v>983</v>
          </cell>
          <cell r="AB77">
            <v>184</v>
          </cell>
          <cell r="AC77">
            <v>164</v>
          </cell>
          <cell r="AD77">
            <v>108</v>
          </cell>
          <cell r="AE77">
            <v>968</v>
          </cell>
        </row>
        <row r="78">
          <cell r="B78" t="str">
            <v>% US$ debt hedged (principal)</v>
          </cell>
          <cell r="C78" t="str">
            <v>TOT_PCT_USD_DEBT_HEDGED</v>
          </cell>
          <cell r="Z78">
            <v>0.8</v>
          </cell>
          <cell r="AA78">
            <v>0.8</v>
          </cell>
          <cell r="AB78">
            <v>0.8</v>
          </cell>
          <cell r="AC78">
            <v>0.8</v>
          </cell>
          <cell r="AD78">
            <v>0.8</v>
          </cell>
          <cell r="AE78">
            <v>0.8</v>
          </cell>
        </row>
        <row r="79">
          <cell r="B79" t="str">
            <v>% Floating debt (local currency debt)</v>
          </cell>
          <cell r="C79" t="str">
            <v>FLOATING_PCT_LOCAL_DEBT</v>
          </cell>
          <cell r="Z79">
            <v>0.21758232198007743</v>
          </cell>
          <cell r="AA79">
            <v>0.21758232198007743</v>
          </cell>
          <cell r="AB79">
            <v>0.26207426583609739</v>
          </cell>
          <cell r="AC79">
            <v>0.2598616192142516</v>
          </cell>
          <cell r="AD79">
            <v>0.24380550512732446</v>
          </cell>
          <cell r="AE79">
            <v>0.21982667512153878</v>
          </cell>
        </row>
        <row r="80">
          <cell r="B80" t="str">
            <v>% floating debt hedged (rates)</v>
          </cell>
          <cell r="C80" t="str">
            <v>FLOATING_PCT_LOCAL_DEBT_HEDGED</v>
          </cell>
          <cell r="Z80">
            <v>0.1791842994987109</v>
          </cell>
          <cell r="AA80">
            <v>0.1791842994987109</v>
          </cell>
          <cell r="AB80">
            <v>0.39674725567048669</v>
          </cell>
          <cell r="AC80">
            <v>6.8032581510121551E-2</v>
          </cell>
          <cell r="AD80">
            <v>0.18929254498868317</v>
          </cell>
          <cell r="AE80">
            <v>0.18929254498868317</v>
          </cell>
        </row>
        <row r="81">
          <cell r="B81" t="str">
            <v>Net debt</v>
          </cell>
          <cell r="C81" t="str">
            <v>NET_DEBT</v>
          </cell>
          <cell r="D81" t="str">
            <v>SEK</v>
          </cell>
          <cell r="F81">
            <v>-875.16337285425971</v>
          </cell>
          <cell r="G81">
            <v>1812.913274802796</v>
          </cell>
          <cell r="H81">
            <v>585.51730973359645</v>
          </cell>
          <cell r="I81">
            <v>9114.5004187974901</v>
          </cell>
          <cell r="J81">
            <v>9091.0932614264875</v>
          </cell>
          <cell r="K81">
            <v>19288.344279059653</v>
          </cell>
          <cell r="L81">
            <v>22374.09565492324</v>
          </cell>
          <cell r="M81">
            <v>20037.407227724922</v>
          </cell>
          <cell r="N81">
            <v>13198.099522335046</v>
          </cell>
          <cell r="O81">
            <v>7029.1788504423821</v>
          </cell>
          <cell r="P81">
            <v>5471.9276278424113</v>
          </cell>
          <cell r="Q81">
            <v>6850.7229236854282</v>
          </cell>
          <cell r="R81">
            <v>-12810</v>
          </cell>
          <cell r="S81">
            <v>19595</v>
          </cell>
          <cell r="T81">
            <v>21696</v>
          </cell>
          <cell r="U81">
            <v>11059</v>
          </cell>
          <cell r="V81">
            <v>5990</v>
          </cell>
          <cell r="W81">
            <v>14736</v>
          </cell>
          <cell r="X81">
            <v>9124</v>
          </cell>
          <cell r="Y81">
            <v>8159</v>
          </cell>
          <cell r="Z81">
            <v>15720</v>
          </cell>
          <cell r="AA81">
            <v>15646</v>
          </cell>
          <cell r="AB81">
            <v>13997</v>
          </cell>
          <cell r="AC81">
            <v>2654</v>
          </cell>
          <cell r="AD81">
            <v>7124</v>
          </cell>
          <cell r="AE81">
            <v>8525</v>
          </cell>
          <cell r="AF81">
            <v>12933</v>
          </cell>
          <cell r="AG81">
            <v>5037</v>
          </cell>
          <cell r="AH81">
            <v>17271.820115092869</v>
          </cell>
          <cell r="AI81">
            <v>12774.192585795383</v>
          </cell>
          <cell r="AJ81">
            <v>21372.403769105898</v>
          </cell>
          <cell r="AK81">
            <v>17400.033486755237</v>
          </cell>
          <cell r="AL81">
            <v>13147.410853214147</v>
          </cell>
          <cell r="AM81">
            <v>8948.1768911847248</v>
          </cell>
          <cell r="AN81">
            <v>4286.4527475459181</v>
          </cell>
          <cell r="AO81">
            <v>-967.53726472132985</v>
          </cell>
          <cell r="AP81">
            <v>-6875.8399968045778</v>
          </cell>
        </row>
        <row r="82">
          <cell r="B82" t="str">
            <v>Capitalized operating leases (off-balance sheet)</v>
          </cell>
          <cell r="C82" t="str">
            <v>CAP_LEASES</v>
          </cell>
          <cell r="D82" t="str">
            <v>SEK</v>
          </cell>
          <cell r="E82" t="str">
            <v>Must be populated if Lease payments has been populated in the P&amp;L (default value is 8 times lease payments)</v>
          </cell>
          <cell r="F82">
            <v>613.83662714574029</v>
          </cell>
          <cell r="G82">
            <v>586.91327480279597</v>
          </cell>
          <cell r="H82">
            <v>610.51730973359645</v>
          </cell>
          <cell r="I82">
            <v>916.5004187974896</v>
          </cell>
          <cell r="J82">
            <v>979.09326142648752</v>
          </cell>
          <cell r="K82">
            <v>1413.3442790596528</v>
          </cell>
          <cell r="L82">
            <v>1625.0956549232405</v>
          </cell>
          <cell r="M82">
            <v>1695.407227724922</v>
          </cell>
          <cell r="N82">
            <v>1282.0995223350453</v>
          </cell>
          <cell r="O82">
            <v>1208.1788504423819</v>
          </cell>
          <cell r="P82">
            <v>1268.9276278424111</v>
          </cell>
          <cell r="Q82">
            <v>1447.722923685428</v>
          </cell>
          <cell r="R82">
            <v>1201</v>
          </cell>
          <cell r="S82">
            <v>1548</v>
          </cell>
          <cell r="T82">
            <v>1932</v>
          </cell>
          <cell r="U82">
            <v>1921</v>
          </cell>
          <cell r="V82">
            <v>2058</v>
          </cell>
          <cell r="W82">
            <v>2046</v>
          </cell>
          <cell r="X82">
            <v>2011</v>
          </cell>
          <cell r="Y82">
            <v>2069</v>
          </cell>
          <cell r="Z82">
            <v>2823</v>
          </cell>
          <cell r="AA82">
            <v>3066</v>
          </cell>
          <cell r="AB82">
            <v>3075</v>
          </cell>
          <cell r="AC82">
            <v>3041</v>
          </cell>
          <cell r="AD82">
            <v>3259</v>
          </cell>
        </row>
        <row r="83">
          <cell r="B83" t="str">
            <v>Deferred income taxes</v>
          </cell>
          <cell r="C83" t="str">
            <v>DEF_INC_TAX</v>
          </cell>
          <cell r="D83" t="str">
            <v>SEK</v>
          </cell>
          <cell r="E83" t="str">
            <v>Net of Deferred income tax assets and liabilities. NB. If there is a net deferred tax asset, then DEF_INC_TAX should be 0 and the asset should be added to Other long term assets.</v>
          </cell>
          <cell r="F83">
            <v>-651</v>
          </cell>
          <cell r="G83">
            <v>-494</v>
          </cell>
          <cell r="H83">
            <v>-595</v>
          </cell>
          <cell r="I83">
            <v>-993</v>
          </cell>
          <cell r="J83">
            <v>-1425</v>
          </cell>
          <cell r="K83">
            <v>-1217</v>
          </cell>
          <cell r="L83">
            <v>-1448</v>
          </cell>
          <cell r="M83">
            <v>-1702</v>
          </cell>
          <cell r="N83">
            <v>-1550</v>
          </cell>
          <cell r="O83">
            <v>-1641</v>
          </cell>
          <cell r="P83">
            <v>-1581</v>
          </cell>
          <cell r="Q83">
            <v>-2489</v>
          </cell>
          <cell r="R83">
            <v>-29</v>
          </cell>
          <cell r="S83">
            <v>9</v>
          </cell>
          <cell r="T83">
            <v>2535</v>
          </cell>
          <cell r="U83">
            <v>1792</v>
          </cell>
          <cell r="V83">
            <v>142</v>
          </cell>
          <cell r="W83">
            <v>-338</v>
          </cell>
          <cell r="X83">
            <v>-766</v>
          </cell>
          <cell r="Y83">
            <v>-66</v>
          </cell>
          <cell r="Z83">
            <v>422</v>
          </cell>
          <cell r="AA83">
            <v>326</v>
          </cell>
          <cell r="AB83">
            <v>861</v>
          </cell>
          <cell r="AC83">
            <v>1099</v>
          </cell>
          <cell r="AD83">
            <v>1000</v>
          </cell>
          <cell r="AE83">
            <v>747</v>
          </cell>
          <cell r="AF83">
            <v>-252</v>
          </cell>
          <cell r="AG83">
            <v>-435</v>
          </cell>
          <cell r="AH83">
            <v>-435</v>
          </cell>
          <cell r="AI83">
            <v>-435</v>
          </cell>
          <cell r="AJ83">
            <v>-435</v>
          </cell>
          <cell r="AK83">
            <v>-435</v>
          </cell>
          <cell r="AL83">
            <v>-435</v>
          </cell>
          <cell r="AM83">
            <v>-435</v>
          </cell>
          <cell r="AN83">
            <v>-435</v>
          </cell>
          <cell r="AO83">
            <v>-435</v>
          </cell>
          <cell r="AP83">
            <v>-435</v>
          </cell>
          <cell r="AQ83" t="str">
            <v>must be 0 or -ve</v>
          </cell>
        </row>
        <row r="84">
          <cell r="B84" t="str">
            <v>Associates (mkt value) used in EV calculation</v>
          </cell>
          <cell r="C84" t="str">
            <v>MV_ASSOCIATES</v>
          </cell>
          <cell r="D84" t="str">
            <v>SEK</v>
          </cell>
        </row>
        <row r="85">
          <cell r="B85" t="str">
            <v>Net debt adjustment</v>
          </cell>
          <cell r="C85" t="str">
            <v>NET_DEBT_ADJ</v>
          </cell>
          <cell r="D85" t="str">
            <v>SEK</v>
          </cell>
          <cell r="F85">
            <v>29</v>
          </cell>
          <cell r="G85">
            <v>-1040</v>
          </cell>
          <cell r="H85">
            <v>-1097</v>
          </cell>
          <cell r="I85">
            <v>-223</v>
          </cell>
          <cell r="J85">
            <v>-401</v>
          </cell>
          <cell r="K85">
            <v>-242</v>
          </cell>
          <cell r="L85">
            <v>-296</v>
          </cell>
          <cell r="M85">
            <v>-313</v>
          </cell>
          <cell r="N85">
            <v>-277</v>
          </cell>
          <cell r="O85">
            <v>-531</v>
          </cell>
          <cell r="P85">
            <v>-1073</v>
          </cell>
          <cell r="Q85">
            <v>-389</v>
          </cell>
          <cell r="R85">
            <v>-1016</v>
          </cell>
          <cell r="S85">
            <v>-1149</v>
          </cell>
          <cell r="T85">
            <v>-3263</v>
          </cell>
          <cell r="U85">
            <v>-2664</v>
          </cell>
          <cell r="V85">
            <v>-1918</v>
          </cell>
          <cell r="W85">
            <v>-2029</v>
          </cell>
          <cell r="X85">
            <v>-1523</v>
          </cell>
          <cell r="Y85">
            <v>-1869</v>
          </cell>
          <cell r="Z85">
            <v>-2165</v>
          </cell>
          <cell r="AA85">
            <v>-1548</v>
          </cell>
          <cell r="AB85">
            <v>-2342</v>
          </cell>
          <cell r="AC85">
            <v>-1039</v>
          </cell>
          <cell r="AD85">
            <v>-102</v>
          </cell>
          <cell r="AE85">
            <v>-125</v>
          </cell>
          <cell r="AF85">
            <v>-58</v>
          </cell>
          <cell r="AG85">
            <v>-847</v>
          </cell>
          <cell r="AH85">
            <v>-847</v>
          </cell>
          <cell r="AI85">
            <v>-847</v>
          </cell>
          <cell r="AJ85">
            <v>-847</v>
          </cell>
          <cell r="AK85">
            <v>-847</v>
          </cell>
          <cell r="AL85">
            <v>-847</v>
          </cell>
          <cell r="AM85">
            <v>-847</v>
          </cell>
          <cell r="AN85">
            <v>-847</v>
          </cell>
          <cell r="AO85">
            <v>-847</v>
          </cell>
          <cell r="AP85">
            <v>-847</v>
          </cell>
        </row>
        <row r="86">
          <cell r="B86" t="str">
            <v>Company borrowing margin</v>
          </cell>
          <cell r="C86" t="str">
            <v>CO_BOR_MARGIN</v>
          </cell>
          <cell r="F86">
            <v>0.02</v>
          </cell>
          <cell r="G86">
            <v>0.02</v>
          </cell>
          <cell r="H86">
            <v>0.02</v>
          </cell>
          <cell r="I86">
            <v>0.02</v>
          </cell>
          <cell r="J86">
            <v>0.02</v>
          </cell>
          <cell r="K86">
            <v>0.02</v>
          </cell>
          <cell r="L86">
            <v>0.02</v>
          </cell>
          <cell r="M86">
            <v>0.02</v>
          </cell>
          <cell r="N86">
            <v>0.02</v>
          </cell>
          <cell r="O86">
            <v>0.02</v>
          </cell>
          <cell r="P86">
            <v>0.02</v>
          </cell>
          <cell r="Q86">
            <v>0.02</v>
          </cell>
          <cell r="R86">
            <v>0.02</v>
          </cell>
          <cell r="S86">
            <v>0.02</v>
          </cell>
          <cell r="T86">
            <v>0.02</v>
          </cell>
          <cell r="U86">
            <v>0.02</v>
          </cell>
          <cell r="V86">
            <v>0.02</v>
          </cell>
          <cell r="W86">
            <v>0.02</v>
          </cell>
          <cell r="X86">
            <v>0.02</v>
          </cell>
          <cell r="Y86">
            <v>0.02</v>
          </cell>
          <cell r="Z86">
            <v>0.02</v>
          </cell>
          <cell r="AA86">
            <v>0.02</v>
          </cell>
          <cell r="AB86">
            <v>0.02</v>
          </cell>
          <cell r="AC86">
            <v>0.02</v>
          </cell>
          <cell r="AD86">
            <v>0.02</v>
          </cell>
          <cell r="AE86">
            <v>0.02</v>
          </cell>
          <cell r="AF86">
            <v>0.02</v>
          </cell>
          <cell r="AG86">
            <v>0.02</v>
          </cell>
          <cell r="AH86">
            <v>0.02</v>
          </cell>
          <cell r="AI86">
            <v>0.02</v>
          </cell>
          <cell r="AJ86">
            <v>0.02</v>
          </cell>
          <cell r="AK86">
            <v>0.02</v>
          </cell>
          <cell r="AL86">
            <v>0.02</v>
          </cell>
          <cell r="AM86">
            <v>0.02</v>
          </cell>
          <cell r="AN86">
            <v>0.02</v>
          </cell>
          <cell r="AO86">
            <v>0.02</v>
          </cell>
          <cell r="AP86">
            <v>0.02</v>
          </cell>
          <cell r="AQ86" t="str">
            <v>must be +ve, must be %</v>
          </cell>
        </row>
        <row r="87">
          <cell r="B87" t="str">
            <v>Unfunded pensions &amp; other provisions</v>
          </cell>
          <cell r="C87" t="str">
            <v>UNF_PENS</v>
          </cell>
          <cell r="D87" t="str">
            <v>SEK</v>
          </cell>
          <cell r="F87">
            <v>-1840</v>
          </cell>
          <cell r="G87">
            <v>-1940</v>
          </cell>
          <cell r="H87">
            <v>-1924</v>
          </cell>
          <cell r="I87">
            <v>-2016</v>
          </cell>
          <cell r="J87">
            <v>-1940</v>
          </cell>
          <cell r="K87">
            <v>-1450</v>
          </cell>
          <cell r="L87">
            <v>-1521</v>
          </cell>
          <cell r="M87">
            <v>-1736</v>
          </cell>
          <cell r="N87">
            <v>-1778</v>
          </cell>
          <cell r="O87">
            <v>-1792</v>
          </cell>
          <cell r="P87">
            <v>-2776</v>
          </cell>
          <cell r="Q87">
            <v>-1826</v>
          </cell>
          <cell r="R87">
            <v>-1647</v>
          </cell>
          <cell r="S87">
            <v>-1728</v>
          </cell>
          <cell r="T87">
            <v>-1922</v>
          </cell>
          <cell r="U87">
            <v>-1768</v>
          </cell>
          <cell r="V87">
            <v>-1578</v>
          </cell>
          <cell r="W87">
            <v>-1504</v>
          </cell>
          <cell r="X87">
            <v>-1401</v>
          </cell>
          <cell r="Y87">
            <v>-1414</v>
          </cell>
          <cell r="Z87">
            <v>-2531</v>
          </cell>
          <cell r="AA87">
            <v>-2225</v>
          </cell>
          <cell r="AB87">
            <v>-3907</v>
          </cell>
          <cell r="AC87">
            <v>-2853</v>
          </cell>
          <cell r="AD87">
            <v>-2837</v>
          </cell>
          <cell r="AE87">
            <v>-3488</v>
          </cell>
          <cell r="AF87">
            <v>-3488</v>
          </cell>
          <cell r="AG87">
            <v>-3114</v>
          </cell>
          <cell r="AH87">
            <v>-3114</v>
          </cell>
          <cell r="AI87">
            <v>-3114</v>
          </cell>
          <cell r="AJ87">
            <v>-3114</v>
          </cell>
          <cell r="AK87">
            <v>-3114</v>
          </cell>
          <cell r="AL87">
            <v>-3114</v>
          </cell>
          <cell r="AM87">
            <v>-3114</v>
          </cell>
          <cell r="AN87">
            <v>-3114</v>
          </cell>
          <cell r="AO87">
            <v>-3114</v>
          </cell>
          <cell r="AP87">
            <v>-3114</v>
          </cell>
          <cell r="AQ87" t="str">
            <v>must be 0 or -ve</v>
          </cell>
        </row>
        <row r="88">
          <cell r="B88" t="str">
            <v>Unfunded pension liabilities (off balance sheet)</v>
          </cell>
          <cell r="C88" t="str">
            <v>UNF_PENS_OFF</v>
          </cell>
          <cell r="D88" t="str">
            <v>SEK</v>
          </cell>
        </row>
        <row r="89">
          <cell r="B89" t="str">
            <v>Unfunded pension liabilities &amp; other, used in EV</v>
          </cell>
          <cell r="C89" t="str">
            <v>UNF_PENS_LIAB_OTH</v>
          </cell>
          <cell r="D89" t="str">
            <v>SEK</v>
          </cell>
          <cell r="F89">
            <v>1840</v>
          </cell>
          <cell r="G89">
            <v>1940</v>
          </cell>
          <cell r="H89">
            <v>1924</v>
          </cell>
          <cell r="I89">
            <v>2016</v>
          </cell>
          <cell r="J89">
            <v>1940</v>
          </cell>
          <cell r="K89">
            <v>1450</v>
          </cell>
          <cell r="L89">
            <v>1521</v>
          </cell>
          <cell r="M89">
            <v>1736</v>
          </cell>
          <cell r="N89">
            <v>1778</v>
          </cell>
          <cell r="O89">
            <v>1792</v>
          </cell>
          <cell r="P89">
            <v>2776</v>
          </cell>
          <cell r="Q89">
            <v>1826</v>
          </cell>
          <cell r="R89">
            <v>1647</v>
          </cell>
          <cell r="S89">
            <v>1728</v>
          </cell>
          <cell r="T89">
            <v>1922</v>
          </cell>
          <cell r="U89">
            <v>1768</v>
          </cell>
          <cell r="V89">
            <v>1578</v>
          </cell>
          <cell r="W89">
            <v>1504</v>
          </cell>
          <cell r="X89">
            <v>1401</v>
          </cell>
          <cell r="Y89">
            <v>1414</v>
          </cell>
          <cell r="Z89">
            <v>2531</v>
          </cell>
          <cell r="AA89">
            <v>2225</v>
          </cell>
          <cell r="AB89">
            <v>3907</v>
          </cell>
          <cell r="AC89">
            <v>2853</v>
          </cell>
          <cell r="AD89">
            <v>2837</v>
          </cell>
          <cell r="AE89">
            <v>3488</v>
          </cell>
          <cell r="AF89">
            <v>3488</v>
          </cell>
          <cell r="AG89">
            <v>3114</v>
          </cell>
          <cell r="AH89">
            <v>3114</v>
          </cell>
          <cell r="AI89">
            <v>3114</v>
          </cell>
          <cell r="AJ89">
            <v>3114</v>
          </cell>
          <cell r="AK89">
            <v>3114</v>
          </cell>
          <cell r="AL89">
            <v>3114</v>
          </cell>
          <cell r="AM89">
            <v>3114</v>
          </cell>
          <cell r="AN89">
            <v>3114</v>
          </cell>
          <cell r="AO89">
            <v>3114</v>
          </cell>
          <cell r="AP89">
            <v>3114</v>
          </cell>
          <cell r="AQ89" t="str">
            <v>must be 0 or +ve</v>
          </cell>
        </row>
        <row r="90">
          <cell r="B90" t="str">
            <v>Adjustment for unfunded pensions &amp; goodwill</v>
          </cell>
          <cell r="C90" t="str">
            <v>ADJ_UNF_PENS_GOOD</v>
          </cell>
          <cell r="D90" t="str">
            <v>SEK</v>
          </cell>
          <cell r="AQ90" t="str">
            <v>must be 0 or -ve</v>
          </cell>
        </row>
        <row r="91">
          <cell r="B91" t="str">
            <v>Other GCI adjustments</v>
          </cell>
          <cell r="C91" t="str">
            <v>OTH_GCI_ADJ</v>
          </cell>
          <cell r="D91" t="str">
            <v>SEK</v>
          </cell>
        </row>
        <row r="92">
          <cell r="B92" t="str">
            <v>GCI inflator</v>
          </cell>
          <cell r="C92" t="str">
            <v>GCI_INFL</v>
          </cell>
          <cell r="AQ92" t="str">
            <v>must be +ve</v>
          </cell>
        </row>
        <row r="93">
          <cell r="B93" t="str">
            <v>Minority interest</v>
          </cell>
          <cell r="C93" t="str">
            <v>BAL_MINO_INT</v>
          </cell>
          <cell r="D93" t="str">
            <v>SEK</v>
          </cell>
          <cell r="F93">
            <v>120</v>
          </cell>
          <cell r="G93">
            <v>125</v>
          </cell>
          <cell r="H93">
            <v>154</v>
          </cell>
          <cell r="I93">
            <v>182</v>
          </cell>
          <cell r="J93">
            <v>195</v>
          </cell>
          <cell r="K93">
            <v>192</v>
          </cell>
          <cell r="L93">
            <v>219</v>
          </cell>
          <cell r="M93">
            <v>221</v>
          </cell>
          <cell r="N93">
            <v>160</v>
          </cell>
          <cell r="O93">
            <v>53</v>
          </cell>
          <cell r="P93">
            <v>65</v>
          </cell>
          <cell r="Q93">
            <v>92</v>
          </cell>
          <cell r="R93">
            <v>92</v>
          </cell>
          <cell r="S93">
            <v>116</v>
          </cell>
          <cell r="T93">
            <v>141</v>
          </cell>
          <cell r="U93">
            <v>162</v>
          </cell>
          <cell r="V93">
            <v>180</v>
          </cell>
          <cell r="W93">
            <v>63</v>
          </cell>
          <cell r="X93">
            <v>54</v>
          </cell>
          <cell r="Y93">
            <v>147</v>
          </cell>
          <cell r="Z93">
            <v>178</v>
          </cell>
          <cell r="AA93">
            <v>159</v>
          </cell>
          <cell r="AB93">
            <v>72</v>
          </cell>
          <cell r="AC93">
            <v>84</v>
          </cell>
          <cell r="AD93">
            <v>47</v>
          </cell>
          <cell r="AE93">
            <v>59</v>
          </cell>
          <cell r="AF93">
            <v>319</v>
          </cell>
          <cell r="AG93">
            <v>1</v>
          </cell>
          <cell r="AH93">
            <v>1</v>
          </cell>
          <cell r="AI93">
            <v>1</v>
          </cell>
          <cell r="AJ93">
            <v>1</v>
          </cell>
          <cell r="AK93">
            <v>1</v>
          </cell>
          <cell r="AL93">
            <v>1</v>
          </cell>
          <cell r="AM93">
            <v>1</v>
          </cell>
          <cell r="AN93">
            <v>1</v>
          </cell>
          <cell r="AO93">
            <v>1</v>
          </cell>
          <cell r="AP93">
            <v>1</v>
          </cell>
          <cell r="AQ93" t="str">
            <v>must be 0 or +ve</v>
          </cell>
        </row>
        <row r="94">
          <cell r="B94" t="str">
            <v>Right-of-use assets (op lease assets under US GAAP)</v>
          </cell>
          <cell r="C94" t="str">
            <v>ROU_ASSET</v>
          </cell>
          <cell r="D94" t="str">
            <v>SEK</v>
          </cell>
          <cell r="AE94">
            <v>3557</v>
          </cell>
          <cell r="AF94">
            <v>3261</v>
          </cell>
          <cell r="AG94">
            <v>3244</v>
          </cell>
          <cell r="AH94">
            <v>3244</v>
          </cell>
          <cell r="AI94">
            <v>3244</v>
          </cell>
          <cell r="AJ94">
            <v>3244</v>
          </cell>
          <cell r="AK94">
            <v>3244</v>
          </cell>
          <cell r="AL94">
            <v>3244</v>
          </cell>
          <cell r="AM94">
            <v>3244</v>
          </cell>
          <cell r="AN94">
            <v>3244</v>
          </cell>
          <cell r="AO94">
            <v>3244</v>
          </cell>
          <cell r="AP94">
            <v>3244</v>
          </cell>
        </row>
        <row r="95">
          <cell r="A95" t="str">
            <v>Cash Flow Statement</v>
          </cell>
        </row>
        <row r="96">
          <cell r="B96" t="str">
            <v>Minority interest add-back</v>
          </cell>
          <cell r="C96" t="str">
            <v>CF_INC_MINORITY</v>
          </cell>
          <cell r="D96" t="str">
            <v>SEK</v>
          </cell>
          <cell r="F96">
            <v>24</v>
          </cell>
          <cell r="G96">
            <v>27</v>
          </cell>
          <cell r="H96">
            <v>25</v>
          </cell>
          <cell r="I96">
            <v>32</v>
          </cell>
          <cell r="J96">
            <v>32</v>
          </cell>
          <cell r="K96">
            <v>28</v>
          </cell>
          <cell r="L96">
            <v>42</v>
          </cell>
          <cell r="M96">
            <v>11</v>
          </cell>
          <cell r="N96">
            <v>59</v>
          </cell>
          <cell r="O96">
            <v>20</v>
          </cell>
          <cell r="P96">
            <v>14</v>
          </cell>
          <cell r="Q96">
            <v>21</v>
          </cell>
          <cell r="R96">
            <v>24</v>
          </cell>
          <cell r="S96">
            <v>30</v>
          </cell>
          <cell r="T96">
            <v>33</v>
          </cell>
          <cell r="U96">
            <v>32</v>
          </cell>
          <cell r="V96">
            <v>23</v>
          </cell>
          <cell r="W96">
            <v>25</v>
          </cell>
          <cell r="X96">
            <v>13</v>
          </cell>
          <cell r="Y96">
            <v>10</v>
          </cell>
          <cell r="Z96">
            <v>6</v>
          </cell>
          <cell r="AA96">
            <v>6</v>
          </cell>
          <cell r="AB96">
            <v>17</v>
          </cell>
          <cell r="AC96">
            <v>22</v>
          </cell>
          <cell r="AD96">
            <v>271</v>
          </cell>
          <cell r="AE96">
            <v>21</v>
          </cell>
          <cell r="AF96">
            <v>4</v>
          </cell>
          <cell r="AG96">
            <v>4</v>
          </cell>
          <cell r="AH96">
            <v>0</v>
          </cell>
          <cell r="AI96">
            <v>0</v>
          </cell>
          <cell r="AJ96">
            <v>0</v>
          </cell>
          <cell r="AK96">
            <v>0</v>
          </cell>
          <cell r="AL96">
            <v>0</v>
          </cell>
          <cell r="AM96">
            <v>0</v>
          </cell>
          <cell r="AN96">
            <v>0</v>
          </cell>
          <cell r="AO96">
            <v>0</v>
          </cell>
          <cell r="AP96">
            <v>0</v>
          </cell>
        </row>
        <row r="97">
          <cell r="B97" t="str">
            <v>Depreciation &amp; amortization add-back</v>
          </cell>
          <cell r="C97" t="str">
            <v>DEPR_AMORT</v>
          </cell>
          <cell r="D97" t="str">
            <v>SEK</v>
          </cell>
          <cell r="F97">
            <v>887</v>
          </cell>
          <cell r="G97">
            <v>712</v>
          </cell>
          <cell r="H97">
            <v>771</v>
          </cell>
          <cell r="I97">
            <v>1064</v>
          </cell>
          <cell r="J97">
            <v>1208</v>
          </cell>
          <cell r="K97">
            <v>1343</v>
          </cell>
          <cell r="L97">
            <v>1567</v>
          </cell>
          <cell r="M97">
            <v>1682</v>
          </cell>
          <cell r="N97">
            <v>8573</v>
          </cell>
          <cell r="O97">
            <v>1353</v>
          </cell>
          <cell r="P97">
            <v>1242</v>
          </cell>
          <cell r="Q97">
            <v>1079</v>
          </cell>
          <cell r="R97">
            <v>1003</v>
          </cell>
          <cell r="S97">
            <v>1212</v>
          </cell>
          <cell r="T97">
            <v>1495</v>
          </cell>
          <cell r="U97">
            <v>1750</v>
          </cell>
          <cell r="V97">
            <v>1818</v>
          </cell>
          <cell r="W97">
            <v>1806</v>
          </cell>
          <cell r="X97">
            <v>1983</v>
          </cell>
          <cell r="Y97">
            <v>2008</v>
          </cell>
          <cell r="Z97">
            <v>2814</v>
          </cell>
          <cell r="AA97">
            <v>3341</v>
          </cell>
          <cell r="AB97">
            <v>3404</v>
          </cell>
          <cell r="AC97">
            <v>3464</v>
          </cell>
          <cell r="AD97">
            <v>3918</v>
          </cell>
          <cell r="AE97">
            <v>2923</v>
          </cell>
          <cell r="AF97">
            <v>3290</v>
          </cell>
          <cell r="AG97">
            <v>3612</v>
          </cell>
          <cell r="AH97">
            <v>4029.9037117707185</v>
          </cell>
          <cell r="AI97">
            <v>4332.0112387430672</v>
          </cell>
          <cell r="AJ97">
            <v>4664.0123333814354</v>
          </cell>
          <cell r="AK97">
            <v>4664.0123333814354</v>
          </cell>
          <cell r="AL97">
            <v>4664.0123333814354</v>
          </cell>
          <cell r="AM97">
            <v>4664.0123333814354</v>
          </cell>
          <cell r="AN97">
            <v>4664.0123333814354</v>
          </cell>
          <cell r="AO97">
            <v>4664.0123333814354</v>
          </cell>
          <cell r="AP97">
            <v>4664.0123333814354</v>
          </cell>
          <cell r="AQ97" t="str">
            <v>must be +ve</v>
          </cell>
        </row>
        <row r="98">
          <cell r="B98" t="str">
            <v>(Increase)/decrease in working capital</v>
          </cell>
          <cell r="C98" t="str">
            <v>WORK_CAP</v>
          </cell>
          <cell r="D98" t="str">
            <v>SEK</v>
          </cell>
          <cell r="F98">
            <v>-63</v>
          </cell>
          <cell r="G98">
            <v>-576</v>
          </cell>
          <cell r="H98">
            <v>261</v>
          </cell>
          <cell r="I98">
            <v>251</v>
          </cell>
          <cell r="J98">
            <v>-557</v>
          </cell>
          <cell r="K98">
            <v>20</v>
          </cell>
          <cell r="L98">
            <v>-402</v>
          </cell>
          <cell r="M98">
            <v>385</v>
          </cell>
          <cell r="N98">
            <v>377</v>
          </cell>
          <cell r="O98">
            <v>863</v>
          </cell>
          <cell r="P98">
            <v>-445</v>
          </cell>
          <cell r="Q98">
            <v>-231</v>
          </cell>
          <cell r="R98">
            <v>-2353</v>
          </cell>
          <cell r="S98">
            <v>-2326</v>
          </cell>
          <cell r="T98">
            <v>-2991</v>
          </cell>
          <cell r="U98">
            <v>6715</v>
          </cell>
          <cell r="V98">
            <v>-1730</v>
          </cell>
          <cell r="W98">
            <v>-6115</v>
          </cell>
          <cell r="X98">
            <v>-1366</v>
          </cell>
          <cell r="Y98">
            <v>-538</v>
          </cell>
          <cell r="Z98">
            <v>2056</v>
          </cell>
          <cell r="AA98">
            <v>1599</v>
          </cell>
          <cell r="AB98">
            <v>2875</v>
          </cell>
          <cell r="AC98">
            <v>1215</v>
          </cell>
          <cell r="AD98">
            <v>-3391</v>
          </cell>
          <cell r="AE98">
            <v>-2971</v>
          </cell>
          <cell r="AF98">
            <v>2166</v>
          </cell>
          <cell r="AG98">
            <v>-244</v>
          </cell>
          <cell r="AH98">
            <v>-6704.6200551067395</v>
          </cell>
          <cell r="AI98">
            <v>-846.13876961338974</v>
          </cell>
          <cell r="AJ98">
            <v>-1230.1861819932165</v>
          </cell>
          <cell r="AK98">
            <v>-4709.1079718857327</v>
          </cell>
          <cell r="AL98">
            <v>-5601.0914874031623</v>
          </cell>
          <cell r="AM98">
            <v>-5632.621016600795</v>
          </cell>
          <cell r="AN98">
            <v>-6262.3895152019286</v>
          </cell>
          <cell r="AO98">
            <v>-6964.7581001010331</v>
          </cell>
          <cell r="AP98">
            <v>-7748.3210475783817</v>
          </cell>
        </row>
        <row r="99">
          <cell r="B99" t="str">
            <v>Other operating cash flow items</v>
          </cell>
          <cell r="C99" t="str">
            <v>OTH_OP_CF</v>
          </cell>
          <cell r="D99" t="str">
            <v>SEK</v>
          </cell>
          <cell r="F99">
            <v>-160</v>
          </cell>
          <cell r="G99">
            <v>177.00000000000045</v>
          </cell>
          <cell r="H99">
            <v>-384</v>
          </cell>
          <cell r="I99">
            <v>583</v>
          </cell>
          <cell r="J99">
            <v>-398</v>
          </cell>
          <cell r="K99">
            <v>-526</v>
          </cell>
          <cell r="L99">
            <v>-2179</v>
          </cell>
          <cell r="M99">
            <v>1405</v>
          </cell>
          <cell r="N99">
            <v>1437</v>
          </cell>
          <cell r="O99">
            <v>977</v>
          </cell>
          <cell r="P99">
            <v>583</v>
          </cell>
          <cell r="Q99">
            <v>155</v>
          </cell>
          <cell r="R99">
            <v>-299</v>
          </cell>
          <cell r="S99">
            <v>935</v>
          </cell>
          <cell r="T99">
            <v>-366</v>
          </cell>
          <cell r="U99">
            <v>-138</v>
          </cell>
          <cell r="V99">
            <v>793</v>
          </cell>
          <cell r="W99">
            <v>-258</v>
          </cell>
          <cell r="X99">
            <v>-708</v>
          </cell>
          <cell r="Y99">
            <v>-1685</v>
          </cell>
          <cell r="Z99">
            <v>-658</v>
          </cell>
          <cell r="AA99">
            <v>1395</v>
          </cell>
          <cell r="AB99">
            <v>-1783</v>
          </cell>
          <cell r="AC99">
            <v>-61</v>
          </cell>
          <cell r="AD99">
            <v>-315</v>
          </cell>
          <cell r="AE99">
            <v>-344</v>
          </cell>
          <cell r="AF99">
            <v>1965</v>
          </cell>
          <cell r="AG99">
            <v>1650</v>
          </cell>
          <cell r="AH99">
            <v>788.54262756373555</v>
          </cell>
          <cell r="AI99">
            <v>874.30800313276268</v>
          </cell>
          <cell r="AJ99">
            <v>809.92143872385896</v>
          </cell>
          <cell r="AK99">
            <v>726.06677696972656</v>
          </cell>
          <cell r="AL99">
            <v>626.3286450487376</v>
          </cell>
          <cell r="AM99">
            <v>526.02906963952228</v>
          </cell>
          <cell r="AN99">
            <v>414.51526326579369</v>
          </cell>
          <cell r="AO99">
            <v>290.49444272608343</v>
          </cell>
          <cell r="AP99">
            <v>152.52078731488473</v>
          </cell>
        </row>
        <row r="100">
          <cell r="B100" t="str">
            <v>Cash flow from operating activities</v>
          </cell>
          <cell r="C100" t="str">
            <v>CF_OPS</v>
          </cell>
          <cell r="D100" t="str">
            <v>SEK</v>
          </cell>
          <cell r="F100">
            <v>1882</v>
          </cell>
          <cell r="G100">
            <v>2163</v>
          </cell>
          <cell r="H100">
            <v>2611</v>
          </cell>
          <cell r="I100">
            <v>4138</v>
          </cell>
          <cell r="J100">
            <v>2568</v>
          </cell>
          <cell r="K100">
            <v>3112</v>
          </cell>
          <cell r="L100">
            <v>1952</v>
          </cell>
          <cell r="M100">
            <v>6550</v>
          </cell>
          <cell r="N100">
            <v>6557</v>
          </cell>
          <cell r="O100">
            <v>6487</v>
          </cell>
          <cell r="P100">
            <v>5810</v>
          </cell>
          <cell r="Q100">
            <v>5967</v>
          </cell>
          <cell r="R100">
            <v>4611</v>
          </cell>
          <cell r="S100">
            <v>7237</v>
          </cell>
          <cell r="T100">
            <v>8144</v>
          </cell>
          <cell r="U100">
            <v>14603</v>
          </cell>
          <cell r="V100">
            <v>10825</v>
          </cell>
          <cell r="W100">
            <v>8421</v>
          </cell>
          <cell r="X100">
            <v>13823</v>
          </cell>
          <cell r="Y100">
            <v>11867</v>
          </cell>
          <cell r="Z100">
            <v>16387</v>
          </cell>
          <cell r="AA100">
            <v>18112</v>
          </cell>
          <cell r="AB100">
            <v>18281</v>
          </cell>
          <cell r="AC100">
            <v>21380</v>
          </cell>
          <cell r="AD100">
            <v>16814</v>
          </cell>
          <cell r="AE100">
            <v>16151</v>
          </cell>
          <cell r="AF100">
            <v>22204</v>
          </cell>
          <cell r="AG100">
            <v>23152</v>
          </cell>
          <cell r="AH100">
            <v>22647.949625707133</v>
          </cell>
          <cell r="AI100">
            <v>31936.73122284465</v>
          </cell>
          <cell r="AJ100">
            <v>34320.230363220413</v>
          </cell>
          <cell r="AK100">
            <v>34662.218875918945</v>
          </cell>
          <cell r="AL100">
            <v>38348.701615890226</v>
          </cell>
          <cell r="AM100">
            <v>42803.553943347193</v>
          </cell>
          <cell r="AN100">
            <v>47054.525838615642</v>
          </cell>
          <cell r="AO100">
            <v>51798.575680084461</v>
          </cell>
          <cell r="AP100">
            <v>57072.048156972312</v>
          </cell>
        </row>
        <row r="101">
          <cell r="B101" t="str">
            <v>Capital expenditures, Capex</v>
          </cell>
          <cell r="C101" t="str">
            <v>CAPEX</v>
          </cell>
          <cell r="D101" t="str">
            <v>SEK</v>
          </cell>
          <cell r="F101">
            <v>-632</v>
          </cell>
          <cell r="G101">
            <v>-711</v>
          </cell>
          <cell r="H101">
            <v>-822</v>
          </cell>
          <cell r="I101">
            <v>-840</v>
          </cell>
          <cell r="J101">
            <v>-853</v>
          </cell>
          <cell r="K101">
            <v>-939</v>
          </cell>
          <cell r="L101">
            <v>-923</v>
          </cell>
          <cell r="M101">
            <v>-958</v>
          </cell>
          <cell r="N101">
            <v>-1277</v>
          </cell>
          <cell r="O101">
            <v>-1037</v>
          </cell>
          <cell r="P101">
            <v>-1151</v>
          </cell>
          <cell r="Q101">
            <v>-1209</v>
          </cell>
          <cell r="R101">
            <v>-1722</v>
          </cell>
          <cell r="S101">
            <v>-1861</v>
          </cell>
          <cell r="T101">
            <v>-2387</v>
          </cell>
          <cell r="U101">
            <v>-1611</v>
          </cell>
          <cell r="V101">
            <v>-1385</v>
          </cell>
          <cell r="W101">
            <v>-2347</v>
          </cell>
          <cell r="X101">
            <v>-2592</v>
          </cell>
          <cell r="Y101">
            <v>-2264</v>
          </cell>
          <cell r="Z101">
            <v>-2735</v>
          </cell>
          <cell r="AA101">
            <v>-2873</v>
          </cell>
          <cell r="AB101">
            <v>-2667</v>
          </cell>
          <cell r="AC101">
            <v>-2584</v>
          </cell>
          <cell r="AD101">
            <v>-2768</v>
          </cell>
          <cell r="AE101">
            <v>-1960</v>
          </cell>
          <cell r="AF101">
            <v>-2757</v>
          </cell>
          <cell r="AG101">
            <v>-3359</v>
          </cell>
          <cell r="AH101">
            <v>-3959</v>
          </cell>
          <cell r="AI101">
            <v>-4559</v>
          </cell>
          <cell r="AJ101">
            <v>-5159</v>
          </cell>
          <cell r="AK101">
            <v>-5759</v>
          </cell>
          <cell r="AL101">
            <v>-6359</v>
          </cell>
          <cell r="AM101">
            <v>-4664.0123333814354</v>
          </cell>
          <cell r="AN101">
            <v>-4664.0123333814354</v>
          </cell>
          <cell r="AO101">
            <v>-4664.0123333814354</v>
          </cell>
          <cell r="AP101">
            <v>-4664.0123333814354</v>
          </cell>
          <cell r="AQ101" t="str">
            <v>must be -ve</v>
          </cell>
        </row>
        <row r="102">
          <cell r="B102" t="str">
            <v>Acquisitions</v>
          </cell>
          <cell r="C102" t="str">
            <v>ACQ</v>
          </cell>
          <cell r="D102" t="str">
            <v>SEK</v>
          </cell>
          <cell r="F102">
            <v>0</v>
          </cell>
          <cell r="G102">
            <v>-4242</v>
          </cell>
          <cell r="H102">
            <v>-39</v>
          </cell>
          <cell r="I102">
            <v>-10639</v>
          </cell>
          <cell r="J102">
            <v>-873</v>
          </cell>
          <cell r="K102">
            <v>-13894</v>
          </cell>
          <cell r="L102">
            <v>-372</v>
          </cell>
          <cell r="M102">
            <v>-300</v>
          </cell>
          <cell r="N102">
            <v>-712</v>
          </cell>
          <cell r="O102">
            <v>-770</v>
          </cell>
          <cell r="P102">
            <v>-2530</v>
          </cell>
          <cell r="Q102">
            <v>-632</v>
          </cell>
          <cell r="R102">
            <v>-1333</v>
          </cell>
          <cell r="S102">
            <v>-6614</v>
          </cell>
          <cell r="T102">
            <v>-382</v>
          </cell>
          <cell r="U102">
            <v>-196</v>
          </cell>
          <cell r="V102">
            <v>-1710</v>
          </cell>
          <cell r="W102">
            <v>-2298</v>
          </cell>
          <cell r="X102">
            <v>-1195</v>
          </cell>
          <cell r="Y102">
            <v>-1493</v>
          </cell>
          <cell r="Z102">
            <v>-8415</v>
          </cell>
          <cell r="AA102">
            <v>-1852</v>
          </cell>
          <cell r="AB102">
            <v>-4716</v>
          </cell>
          <cell r="AC102">
            <v>-520</v>
          </cell>
          <cell r="AD102">
            <v>-1575</v>
          </cell>
          <cell r="AE102">
            <v>-7706</v>
          </cell>
          <cell r="AF102">
            <v>-13583</v>
          </cell>
          <cell r="AG102">
            <v>-2334</v>
          </cell>
          <cell r="AH102">
            <v>-9696</v>
          </cell>
          <cell r="AI102">
            <v>-9873.2903393568595</v>
          </cell>
          <cell r="AJ102">
            <v>-10422.881755239829</v>
          </cell>
          <cell r="AK102">
            <v>-11462.60720701412</v>
          </cell>
          <cell r="AL102">
            <v>-12816.455113622384</v>
          </cell>
          <cell r="AM102">
            <v>-14365.581585504728</v>
          </cell>
          <cell r="AN102">
            <v>-15860.722583131888</v>
          </cell>
          <cell r="AO102">
            <v>-17516.379455850605</v>
          </cell>
          <cell r="AP102">
            <v>-19350.319589468636</v>
          </cell>
          <cell r="AQ102" t="str">
            <v>must be 0 or -ve</v>
          </cell>
        </row>
        <row r="103">
          <cell r="B103" t="str">
            <v>Divestitures</v>
          </cell>
          <cell r="C103" t="str">
            <v>DIVEST</v>
          </cell>
          <cell r="D103" t="str">
            <v>SEK</v>
          </cell>
          <cell r="F103">
            <v>257</v>
          </cell>
          <cell r="G103">
            <v>0</v>
          </cell>
          <cell r="H103">
            <v>0</v>
          </cell>
          <cell r="I103">
            <v>0</v>
          </cell>
          <cell r="J103">
            <v>0</v>
          </cell>
          <cell r="K103">
            <v>0</v>
          </cell>
          <cell r="L103">
            <v>0</v>
          </cell>
          <cell r="M103">
            <v>0</v>
          </cell>
          <cell r="N103">
            <v>0</v>
          </cell>
          <cell r="O103">
            <v>0</v>
          </cell>
          <cell r="P103">
            <v>125</v>
          </cell>
          <cell r="Q103">
            <v>4114</v>
          </cell>
          <cell r="R103">
            <v>22969</v>
          </cell>
          <cell r="S103">
            <v>172</v>
          </cell>
          <cell r="T103">
            <v>159</v>
          </cell>
          <cell r="U103">
            <v>25</v>
          </cell>
          <cell r="V103">
            <v>216</v>
          </cell>
          <cell r="W103">
            <v>92</v>
          </cell>
          <cell r="X103">
            <v>0</v>
          </cell>
          <cell r="Y103">
            <v>-56</v>
          </cell>
          <cell r="Z103">
            <v>0</v>
          </cell>
          <cell r="AA103">
            <v>58</v>
          </cell>
          <cell r="AB103">
            <v>0</v>
          </cell>
          <cell r="AC103">
            <v>1560</v>
          </cell>
          <cell r="AD103">
            <v>166</v>
          </cell>
          <cell r="AE103">
            <v>0</v>
          </cell>
          <cell r="AF103">
            <v>0</v>
          </cell>
          <cell r="AG103">
            <v>-7</v>
          </cell>
          <cell r="AH103">
            <v>0</v>
          </cell>
          <cell r="AI103">
            <v>0</v>
          </cell>
          <cell r="AJ103">
            <v>0</v>
          </cell>
          <cell r="AK103">
            <v>0</v>
          </cell>
          <cell r="AL103">
            <v>0</v>
          </cell>
          <cell r="AM103">
            <v>0</v>
          </cell>
          <cell r="AN103">
            <v>0</v>
          </cell>
          <cell r="AO103">
            <v>0</v>
          </cell>
          <cell r="AP103">
            <v>0</v>
          </cell>
          <cell r="AQ103" t="str">
            <v>must be 0 or +ve</v>
          </cell>
        </row>
        <row r="104">
          <cell r="B104" t="str">
            <v>Other investing cash flow items</v>
          </cell>
          <cell r="C104" t="str">
            <v>OTH_INV_CF</v>
          </cell>
          <cell r="D104" t="str">
            <v>SEK</v>
          </cell>
          <cell r="F104">
            <v>126</v>
          </cell>
          <cell r="G104">
            <v>78</v>
          </cell>
          <cell r="H104">
            <v>131</v>
          </cell>
          <cell r="I104">
            <v>580</v>
          </cell>
          <cell r="J104">
            <v>434</v>
          </cell>
          <cell r="K104">
            <v>240</v>
          </cell>
          <cell r="L104">
            <v>247</v>
          </cell>
          <cell r="M104">
            <v>152</v>
          </cell>
          <cell r="N104">
            <v>319</v>
          </cell>
          <cell r="O104">
            <v>159</v>
          </cell>
          <cell r="P104">
            <v>38</v>
          </cell>
          <cell r="Q104">
            <v>-237</v>
          </cell>
          <cell r="R104">
            <v>-783</v>
          </cell>
          <cell r="S104">
            <v>-959</v>
          </cell>
          <cell r="T104">
            <v>-1044</v>
          </cell>
          <cell r="U104">
            <v>768</v>
          </cell>
          <cell r="V104">
            <v>61</v>
          </cell>
          <cell r="W104">
            <v>218</v>
          </cell>
          <cell r="X104">
            <v>1002</v>
          </cell>
          <cell r="Y104">
            <v>-659</v>
          </cell>
          <cell r="Z104">
            <v>585</v>
          </cell>
          <cell r="AA104">
            <v>814</v>
          </cell>
          <cell r="AB104">
            <v>235</v>
          </cell>
          <cell r="AC104">
            <v>786</v>
          </cell>
          <cell r="AD104">
            <v>-124</v>
          </cell>
          <cell r="AE104">
            <v>-17</v>
          </cell>
          <cell r="AF104">
            <v>54</v>
          </cell>
          <cell r="AG104">
            <v>-421</v>
          </cell>
          <cell r="AH104">
            <v>-724</v>
          </cell>
          <cell r="AI104">
            <v>-739.75168345059501</v>
          </cell>
          <cell r="AJ104">
            <v>1070</v>
          </cell>
          <cell r="AK104">
            <v>1570</v>
          </cell>
          <cell r="AL104">
            <v>2070.0000000000018</v>
          </cell>
          <cell r="AM104">
            <v>-245</v>
          </cell>
          <cell r="AN104">
            <v>-245</v>
          </cell>
          <cell r="AO104">
            <v>-245</v>
          </cell>
          <cell r="AP104">
            <v>-245</v>
          </cell>
        </row>
        <row r="105">
          <cell r="B105" t="str">
            <v>Cash flow from investing</v>
          </cell>
          <cell r="C105" t="str">
            <v>CF_INV</v>
          </cell>
          <cell r="D105" t="str">
            <v>SEK</v>
          </cell>
          <cell r="F105">
            <v>-249</v>
          </cell>
          <cell r="G105">
            <v>-4875</v>
          </cell>
          <cell r="H105">
            <v>-730</v>
          </cell>
          <cell r="I105">
            <v>-10899</v>
          </cell>
          <cell r="J105">
            <v>-1292</v>
          </cell>
          <cell r="K105">
            <v>-14593</v>
          </cell>
          <cell r="L105">
            <v>-1048</v>
          </cell>
          <cell r="M105">
            <v>-1106</v>
          </cell>
          <cell r="N105">
            <v>-1670</v>
          </cell>
          <cell r="O105">
            <v>-1648</v>
          </cell>
          <cell r="P105">
            <v>-3518</v>
          </cell>
          <cell r="Q105">
            <v>2036</v>
          </cell>
          <cell r="R105">
            <v>19131</v>
          </cell>
          <cell r="S105">
            <v>-9262</v>
          </cell>
          <cell r="T105">
            <v>-3654</v>
          </cell>
          <cell r="U105">
            <v>-1014</v>
          </cell>
          <cell r="V105">
            <v>-2818</v>
          </cell>
          <cell r="W105">
            <v>-4335</v>
          </cell>
          <cell r="X105">
            <v>-2785</v>
          </cell>
          <cell r="Y105">
            <v>-4472</v>
          </cell>
          <cell r="Z105">
            <v>-10565</v>
          </cell>
          <cell r="AA105">
            <v>-3853</v>
          </cell>
          <cell r="AB105">
            <v>-7148</v>
          </cell>
          <cell r="AC105">
            <v>-758</v>
          </cell>
          <cell r="AD105">
            <v>-4301</v>
          </cell>
          <cell r="AE105">
            <v>-9683</v>
          </cell>
          <cell r="AF105">
            <v>-16286</v>
          </cell>
          <cell r="AG105">
            <v>-6121</v>
          </cell>
          <cell r="AH105">
            <v>-14379</v>
          </cell>
          <cell r="AI105">
            <v>-15172.042022807454</v>
          </cell>
          <cell r="AJ105">
            <v>-14511.881755239829</v>
          </cell>
          <cell r="AK105">
            <v>-15651.60720701412</v>
          </cell>
          <cell r="AL105">
            <v>-17105.455113622382</v>
          </cell>
          <cell r="AM105">
            <v>-19274.593918886163</v>
          </cell>
          <cell r="AN105">
            <v>-20769.734916513324</v>
          </cell>
          <cell r="AO105">
            <v>-22425.391789232042</v>
          </cell>
          <cell r="AP105">
            <v>-24259.331922850073</v>
          </cell>
        </row>
        <row r="106">
          <cell r="B106" t="str">
            <v>Dividends paid</v>
          </cell>
          <cell r="C106" t="str">
            <v>DIV_PAID</v>
          </cell>
          <cell r="D106" t="str">
            <v>SEK</v>
          </cell>
          <cell r="F106">
            <v>-342</v>
          </cell>
          <cell r="G106">
            <v>-431</v>
          </cell>
          <cell r="H106">
            <v>-559</v>
          </cell>
          <cell r="I106">
            <v>-698</v>
          </cell>
          <cell r="J106">
            <v>-787</v>
          </cell>
          <cell r="K106">
            <v>-832</v>
          </cell>
          <cell r="L106">
            <v>-1007</v>
          </cell>
          <cell r="M106">
            <v>-1125</v>
          </cell>
          <cell r="N106">
            <v>-1165</v>
          </cell>
          <cell r="O106">
            <v>-1219</v>
          </cell>
          <cell r="P106">
            <v>-1575</v>
          </cell>
          <cell r="Q106">
            <v>-6082</v>
          </cell>
          <cell r="R106">
            <v>-2676</v>
          </cell>
          <cell r="S106">
            <v>-27319</v>
          </cell>
          <cell r="T106">
            <v>-3667</v>
          </cell>
          <cell r="U106">
            <v>-3652</v>
          </cell>
          <cell r="V106">
            <v>-3266</v>
          </cell>
          <cell r="W106">
            <v>-10920</v>
          </cell>
          <cell r="X106">
            <v>-6070</v>
          </cell>
          <cell r="Y106">
            <v>-6669</v>
          </cell>
          <cell r="Z106">
            <v>-6682</v>
          </cell>
          <cell r="AA106">
            <v>-14639</v>
          </cell>
          <cell r="AB106">
            <v>-7687</v>
          </cell>
          <cell r="AC106">
            <v>-7023</v>
          </cell>
          <cell r="AD106">
            <v>-17556</v>
          </cell>
          <cell r="AE106">
            <v>-5479</v>
          </cell>
          <cell r="AF106">
            <v>-8506</v>
          </cell>
          <cell r="AG106">
            <v>-8889</v>
          </cell>
          <cell r="AH106">
            <v>-19003.769740800002</v>
          </cell>
          <cell r="AI106">
            <v>-12267.061670739709</v>
          </cell>
          <cell r="AJ106">
            <v>-28406.559791291103</v>
          </cell>
          <cell r="AK106">
            <v>-15038.241386554166</v>
          </cell>
          <cell r="AL106">
            <v>-16990.623868726758</v>
          </cell>
          <cell r="AM106">
            <v>-19329.726062431608</v>
          </cell>
          <cell r="AN106">
            <v>-21623.066778463515</v>
          </cell>
          <cell r="AO106">
            <v>-24119.193878585171</v>
          </cell>
          <cell r="AP106">
            <v>-26904.413502038991</v>
          </cell>
          <cell r="AQ106" t="str">
            <v>must be -ve</v>
          </cell>
        </row>
        <row r="107">
          <cell r="B107" t="str">
            <v>Common stock issuance/(repurchase)</v>
          </cell>
          <cell r="C107" t="str">
            <v>SH_REPUR</v>
          </cell>
          <cell r="D107" t="str">
            <v>SEK</v>
          </cell>
          <cell r="F107">
            <v>0</v>
          </cell>
          <cell r="G107">
            <v>0</v>
          </cell>
          <cell r="H107">
            <v>0</v>
          </cell>
          <cell r="I107">
            <v>0</v>
          </cell>
          <cell r="J107">
            <v>0</v>
          </cell>
          <cell r="K107">
            <v>4125</v>
          </cell>
          <cell r="L107">
            <v>0</v>
          </cell>
          <cell r="M107">
            <v>0</v>
          </cell>
          <cell r="N107">
            <v>0</v>
          </cell>
          <cell r="O107">
            <v>0</v>
          </cell>
          <cell r="P107">
            <v>2</v>
          </cell>
          <cell r="Q107">
            <v>0</v>
          </cell>
          <cell r="R107">
            <v>-3776</v>
          </cell>
          <cell r="S107">
            <v>-25</v>
          </cell>
          <cell r="T107">
            <v>-453</v>
          </cell>
          <cell r="U107">
            <v>0</v>
          </cell>
          <cell r="V107">
            <v>0</v>
          </cell>
          <cell r="W107">
            <v>-1005</v>
          </cell>
          <cell r="X107">
            <v>271</v>
          </cell>
          <cell r="Y107">
            <v>24</v>
          </cell>
          <cell r="Z107">
            <v>890</v>
          </cell>
          <cell r="AA107">
            <v>-453</v>
          </cell>
          <cell r="AB107">
            <v>-470</v>
          </cell>
          <cell r="AC107">
            <v>-1468</v>
          </cell>
          <cell r="AD107">
            <v>-843</v>
          </cell>
          <cell r="AE107">
            <v>-897</v>
          </cell>
          <cell r="AF107">
            <v>-274</v>
          </cell>
          <cell r="AG107">
            <v>1034</v>
          </cell>
          <cell r="AH107">
            <v>-1500</v>
          </cell>
          <cell r="AI107">
            <v>0</v>
          </cell>
          <cell r="AJ107">
            <v>0</v>
          </cell>
          <cell r="AK107">
            <v>0</v>
          </cell>
          <cell r="AL107">
            <v>0</v>
          </cell>
          <cell r="AM107">
            <v>0</v>
          </cell>
          <cell r="AN107">
            <v>0</v>
          </cell>
          <cell r="AO107">
            <v>0</v>
          </cell>
          <cell r="AP107">
            <v>0</v>
          </cell>
        </row>
        <row r="108">
          <cell r="B108" t="str">
            <v>Increase/(decrease) in total debt</v>
          </cell>
          <cell r="C108" t="str">
            <v>CHG_LT_DEBT</v>
          </cell>
          <cell r="D108" t="str">
            <v>SEK</v>
          </cell>
          <cell r="F108">
            <v>0</v>
          </cell>
          <cell r="G108">
            <v>0</v>
          </cell>
          <cell r="H108">
            <v>-713</v>
          </cell>
          <cell r="I108">
            <v>6536</v>
          </cell>
          <cell r="J108">
            <v>-56</v>
          </cell>
          <cell r="K108">
            <v>7378</v>
          </cell>
          <cell r="L108">
            <v>15</v>
          </cell>
          <cell r="M108">
            <v>-4280</v>
          </cell>
          <cell r="N108">
            <v>-3568</v>
          </cell>
          <cell r="O108">
            <v>-676</v>
          </cell>
          <cell r="P108">
            <v>-1722</v>
          </cell>
          <cell r="Q108">
            <v>-1234</v>
          </cell>
          <cell r="R108">
            <v>-736</v>
          </cell>
          <cell r="S108">
            <v>12464</v>
          </cell>
          <cell r="T108">
            <v>1481</v>
          </cell>
          <cell r="U108">
            <v>-3152</v>
          </cell>
          <cell r="V108">
            <v>-1425</v>
          </cell>
          <cell r="W108">
            <v>181</v>
          </cell>
          <cell r="X108">
            <v>1636</v>
          </cell>
          <cell r="Y108">
            <v>4113</v>
          </cell>
          <cell r="Z108">
            <v>-8566</v>
          </cell>
          <cell r="AA108">
            <v>595</v>
          </cell>
          <cell r="AB108">
            <v>-766</v>
          </cell>
          <cell r="AC108">
            <v>-123</v>
          </cell>
          <cell r="AD108">
            <v>1364</v>
          </cell>
          <cell r="AE108">
            <v>-981</v>
          </cell>
          <cell r="AF108">
            <v>444</v>
          </cell>
          <cell r="AG108">
            <v>-1645</v>
          </cell>
          <cell r="AH108">
            <v>1616</v>
          </cell>
          <cell r="AI108">
            <v>0</v>
          </cell>
          <cell r="AJ108">
            <v>0</v>
          </cell>
          <cell r="AK108">
            <v>0</v>
          </cell>
          <cell r="AL108">
            <v>0</v>
          </cell>
          <cell r="AM108">
            <v>0</v>
          </cell>
          <cell r="AN108">
            <v>0</v>
          </cell>
          <cell r="AO108">
            <v>0</v>
          </cell>
          <cell r="AP108">
            <v>0</v>
          </cell>
        </row>
        <row r="109">
          <cell r="B109" t="str">
            <v>Lease principal payments  (applicable to IFRS cos.)</v>
          </cell>
          <cell r="C109" t="str">
            <v>LEASE_PRINCIPAL_CASH</v>
          </cell>
          <cell r="D109" t="str">
            <v>SEK</v>
          </cell>
          <cell r="AE109">
            <v>-1034</v>
          </cell>
          <cell r="AF109">
            <v>0</v>
          </cell>
          <cell r="AG109">
            <v>0</v>
          </cell>
          <cell r="AH109">
            <v>0</v>
          </cell>
          <cell r="AI109">
            <v>0</v>
          </cell>
          <cell r="AJ109">
            <v>0</v>
          </cell>
          <cell r="AK109">
            <v>0</v>
          </cell>
          <cell r="AL109">
            <v>0</v>
          </cell>
          <cell r="AM109">
            <v>0</v>
          </cell>
          <cell r="AN109">
            <v>0</v>
          </cell>
          <cell r="AO109">
            <v>0</v>
          </cell>
          <cell r="AP109">
            <v>0</v>
          </cell>
        </row>
        <row r="110">
          <cell r="B110" t="str">
            <v>Other financing cash flow items</v>
          </cell>
          <cell r="C110" t="str">
            <v>OTH_FIN_CF</v>
          </cell>
          <cell r="D110" t="str">
            <v>SEK</v>
          </cell>
          <cell r="F110">
            <v>-450</v>
          </cell>
          <cell r="G110">
            <v>1030</v>
          </cell>
          <cell r="H110">
            <v>-72</v>
          </cell>
          <cell r="I110">
            <v>925</v>
          </cell>
          <cell r="J110">
            <v>-106</v>
          </cell>
          <cell r="K110">
            <v>137</v>
          </cell>
          <cell r="L110">
            <v>-15</v>
          </cell>
          <cell r="M110">
            <v>50</v>
          </cell>
          <cell r="N110">
            <v>-105</v>
          </cell>
          <cell r="O110">
            <v>-376</v>
          </cell>
          <cell r="P110">
            <v>-258</v>
          </cell>
          <cell r="Q110">
            <v>654</v>
          </cell>
          <cell r="R110">
            <v>-146</v>
          </cell>
          <cell r="S110">
            <v>243</v>
          </cell>
          <cell r="T110">
            <v>131</v>
          </cell>
          <cell r="U110">
            <v>-75</v>
          </cell>
          <cell r="V110">
            <v>-1217</v>
          </cell>
          <cell r="W110">
            <v>-890</v>
          </cell>
          <cell r="X110">
            <v>-175</v>
          </cell>
          <cell r="Y110">
            <v>354</v>
          </cell>
          <cell r="Z110">
            <v>307</v>
          </cell>
          <cell r="AA110">
            <v>-305</v>
          </cell>
          <cell r="AB110">
            <v>387</v>
          </cell>
          <cell r="AC110">
            <v>996</v>
          </cell>
          <cell r="AD110">
            <v>-3560</v>
          </cell>
          <cell r="AE110">
            <v>-667</v>
          </cell>
          <cell r="AF110">
            <v>-216</v>
          </cell>
          <cell r="AG110">
            <v>-823</v>
          </cell>
          <cell r="AH110">
            <v>0</v>
          </cell>
          <cell r="AI110">
            <v>0</v>
          </cell>
          <cell r="AJ110">
            <v>0</v>
          </cell>
          <cell r="AK110">
            <v>0</v>
          </cell>
          <cell r="AL110">
            <v>0</v>
          </cell>
          <cell r="AM110">
            <v>0</v>
          </cell>
          <cell r="AN110">
            <v>0</v>
          </cell>
          <cell r="AO110">
            <v>0</v>
          </cell>
          <cell r="AP110">
            <v>0</v>
          </cell>
        </row>
        <row r="111">
          <cell r="B111" t="str">
            <v>Cash flow from financing</v>
          </cell>
          <cell r="C111" t="str">
            <v>CF_FIN</v>
          </cell>
          <cell r="D111" t="str">
            <v>SEK</v>
          </cell>
          <cell r="F111">
            <v>-792</v>
          </cell>
          <cell r="G111">
            <v>599</v>
          </cell>
          <cell r="H111">
            <v>-1344</v>
          </cell>
          <cell r="I111">
            <v>6763</v>
          </cell>
          <cell r="J111">
            <v>-949</v>
          </cell>
          <cell r="K111">
            <v>10808</v>
          </cell>
          <cell r="L111">
            <v>-1007</v>
          </cell>
          <cell r="M111">
            <v>-5355</v>
          </cell>
          <cell r="N111">
            <v>-4838</v>
          </cell>
          <cell r="O111">
            <v>-2271</v>
          </cell>
          <cell r="P111">
            <v>-3553</v>
          </cell>
          <cell r="Q111">
            <v>-6662</v>
          </cell>
          <cell r="R111">
            <v>-7334</v>
          </cell>
          <cell r="S111">
            <v>-14637</v>
          </cell>
          <cell r="T111">
            <v>-2508</v>
          </cell>
          <cell r="U111">
            <v>-6879</v>
          </cell>
          <cell r="V111">
            <v>-5908</v>
          </cell>
          <cell r="W111">
            <v>-12634</v>
          </cell>
          <cell r="X111">
            <v>-4338</v>
          </cell>
          <cell r="Y111">
            <v>-2178</v>
          </cell>
          <cell r="Z111">
            <v>-14051</v>
          </cell>
          <cell r="AA111">
            <v>-14802</v>
          </cell>
          <cell r="AB111">
            <v>-8536</v>
          </cell>
          <cell r="AC111">
            <v>-7618</v>
          </cell>
          <cell r="AD111">
            <v>-20595</v>
          </cell>
          <cell r="AE111">
            <v>-8024</v>
          </cell>
          <cell r="AF111">
            <v>-8552</v>
          </cell>
          <cell r="AG111">
            <v>-10323</v>
          </cell>
          <cell r="AH111">
            <v>-18887.769740800002</v>
          </cell>
          <cell r="AI111">
            <v>-12267.061670739709</v>
          </cell>
          <cell r="AJ111">
            <v>-28406.559791291103</v>
          </cell>
          <cell r="AK111">
            <v>-15038.241386554166</v>
          </cell>
          <cell r="AL111">
            <v>-16990.623868726758</v>
          </cell>
          <cell r="AM111">
            <v>-19329.726062431608</v>
          </cell>
          <cell r="AN111">
            <v>-21623.066778463515</v>
          </cell>
          <cell r="AO111">
            <v>-24119.193878585171</v>
          </cell>
          <cell r="AP111">
            <v>-26904.413502038991</v>
          </cell>
        </row>
        <row r="112">
          <cell r="B112" t="str">
            <v>Other items net cash flow</v>
          </cell>
          <cell r="C112" t="str">
            <v>OTH_ITEM_NCF</v>
          </cell>
          <cell r="D112" t="str">
            <v>SEK</v>
          </cell>
          <cell r="AE112">
            <v>147</v>
          </cell>
          <cell r="AF112">
            <v>-716</v>
          </cell>
          <cell r="AG112">
            <v>627</v>
          </cell>
          <cell r="AH112">
            <v>0</v>
          </cell>
          <cell r="AI112">
            <v>0</v>
          </cell>
          <cell r="AJ112">
            <v>0</v>
          </cell>
          <cell r="AK112">
            <v>0</v>
          </cell>
          <cell r="AL112">
            <v>0</v>
          </cell>
          <cell r="AM112">
            <v>0</v>
          </cell>
          <cell r="AN112">
            <v>0</v>
          </cell>
          <cell r="AO112">
            <v>0</v>
          </cell>
          <cell r="AP112">
            <v>0</v>
          </cell>
        </row>
        <row r="113">
          <cell r="B113" t="str">
            <v>Total cash flow</v>
          </cell>
          <cell r="C113" t="str">
            <v>TOT_CF</v>
          </cell>
          <cell r="D113" t="str">
            <v>SEK</v>
          </cell>
          <cell r="F113">
            <v>841</v>
          </cell>
          <cell r="G113">
            <v>-2113</v>
          </cell>
          <cell r="H113">
            <v>537</v>
          </cell>
          <cell r="I113">
            <v>2</v>
          </cell>
          <cell r="J113">
            <v>327</v>
          </cell>
          <cell r="K113">
            <v>-673</v>
          </cell>
          <cell r="L113">
            <v>-103</v>
          </cell>
          <cell r="M113">
            <v>89</v>
          </cell>
          <cell r="N113">
            <v>49</v>
          </cell>
          <cell r="O113">
            <v>2568</v>
          </cell>
          <cell r="P113">
            <v>-1261</v>
          </cell>
          <cell r="Q113">
            <v>1341</v>
          </cell>
          <cell r="R113">
            <v>16408</v>
          </cell>
          <cell r="S113">
            <v>-16662</v>
          </cell>
          <cell r="T113">
            <v>1982</v>
          </cell>
          <cell r="U113">
            <v>6710</v>
          </cell>
          <cell r="V113">
            <v>2099</v>
          </cell>
          <cell r="W113">
            <v>-8548</v>
          </cell>
          <cell r="X113">
            <v>6700</v>
          </cell>
          <cell r="Y113">
            <v>5217</v>
          </cell>
          <cell r="Z113">
            <v>-8229</v>
          </cell>
          <cell r="AA113">
            <v>-543</v>
          </cell>
          <cell r="AB113">
            <v>2597</v>
          </cell>
          <cell r="AC113">
            <v>13004</v>
          </cell>
          <cell r="AD113">
            <v>-8082</v>
          </cell>
          <cell r="AE113">
            <v>-1409</v>
          </cell>
          <cell r="AF113">
            <v>-3350</v>
          </cell>
          <cell r="AG113">
            <v>7335</v>
          </cell>
          <cell r="AH113">
            <v>-10618.820115092869</v>
          </cell>
          <cell r="AI113">
            <v>4497.627529297486</v>
          </cell>
          <cell r="AJ113">
            <v>-8598.2111833105155</v>
          </cell>
          <cell r="AK113">
            <v>3972.370282350661</v>
          </cell>
          <cell r="AL113">
            <v>4252.6226335410902</v>
          </cell>
          <cell r="AM113">
            <v>4199.2339620294224</v>
          </cell>
          <cell r="AN113">
            <v>4661.7241436388067</v>
          </cell>
          <cell r="AO113">
            <v>5253.9900122672479</v>
          </cell>
          <cell r="AP113">
            <v>5908.302732083248</v>
          </cell>
        </row>
        <row r="114">
          <cell r="A114" t="str">
            <v>Additional Cash Flow Items</v>
          </cell>
        </row>
        <row r="115">
          <cell r="B115" t="str">
            <v>Associate and JV add-back</v>
          </cell>
          <cell r="C115" t="str">
            <v>ASSOC_JV_ADDBK</v>
          </cell>
          <cell r="D115" t="str">
            <v>SEK</v>
          </cell>
        </row>
        <row r="116">
          <cell r="B116" t="str">
            <v>Cash interest income/(expense)</v>
          </cell>
          <cell r="C116" t="str">
            <v>CASH_INT_INC_EXP</v>
          </cell>
          <cell r="D116" t="str">
            <v>SEK</v>
          </cell>
        </row>
        <row r="117">
          <cell r="B117" t="str">
            <v>Cash taxes paid</v>
          </cell>
          <cell r="C117" t="str">
            <v>CASH_TAX_PD</v>
          </cell>
          <cell r="D117" t="str">
            <v>SEK</v>
          </cell>
          <cell r="F117">
            <v>-626</v>
          </cell>
          <cell r="G117">
            <v>-852</v>
          </cell>
          <cell r="H117">
            <v>-985</v>
          </cell>
          <cell r="I117">
            <v>-1041</v>
          </cell>
          <cell r="J117">
            <v>-965</v>
          </cell>
          <cell r="K117">
            <v>-963</v>
          </cell>
          <cell r="L117">
            <v>-1612</v>
          </cell>
          <cell r="M117">
            <v>-1541</v>
          </cell>
          <cell r="N117">
            <v>-1255</v>
          </cell>
          <cell r="O117">
            <v>-1307</v>
          </cell>
          <cell r="P117">
            <v>-1328</v>
          </cell>
          <cell r="Q117">
            <v>-2042</v>
          </cell>
          <cell r="R117">
            <v>-3775</v>
          </cell>
          <cell r="S117">
            <v>-3346</v>
          </cell>
          <cell r="T117">
            <v>-3975</v>
          </cell>
          <cell r="U117">
            <v>-1759</v>
          </cell>
          <cell r="V117">
            <v>-2813</v>
          </cell>
          <cell r="W117">
            <v>-3307</v>
          </cell>
          <cell r="X117">
            <v>-5053</v>
          </cell>
          <cell r="Y117">
            <v>-4622</v>
          </cell>
          <cell r="Z117">
            <v>-3828</v>
          </cell>
          <cell r="AA117">
            <v>-4238</v>
          </cell>
          <cell r="AB117">
            <v>-7132</v>
          </cell>
          <cell r="AC117">
            <v>-7306</v>
          </cell>
          <cell r="AD117">
            <v>-5896</v>
          </cell>
          <cell r="AE117">
            <v>-5501</v>
          </cell>
          <cell r="AF117">
            <v>-4531</v>
          </cell>
          <cell r="AG117">
            <v>-5211</v>
          </cell>
          <cell r="AH117">
            <v>-7120</v>
          </cell>
          <cell r="AI117">
            <v>-8000</v>
          </cell>
          <cell r="AJ117">
            <v>-8730</v>
          </cell>
          <cell r="AK117">
            <v>-9870</v>
          </cell>
          <cell r="AL117">
            <v>-11220</v>
          </cell>
          <cell r="AM117">
            <v>-12550</v>
          </cell>
          <cell r="AN117">
            <v>-14010</v>
          </cell>
          <cell r="AO117">
            <v>-15620</v>
          </cell>
          <cell r="AP117">
            <v>-17420</v>
          </cell>
        </row>
        <row r="118">
          <cell r="B118" t="str">
            <v>Profit/(loss) on sale of assets</v>
          </cell>
          <cell r="C118" t="str">
            <v>PL_SALE_ASSETS</v>
          </cell>
          <cell r="D118" t="str">
            <v>SEK</v>
          </cell>
        </row>
        <row r="119">
          <cell r="B119" t="str">
            <v>Other non-cash adjustments</v>
          </cell>
          <cell r="C119" t="str">
            <v>OTH_NONCASH_ADJ</v>
          </cell>
          <cell r="D119" t="str">
            <v>SEK</v>
          </cell>
        </row>
        <row r="120">
          <cell r="B120" t="str">
            <v>Other DACF adjustments</v>
          </cell>
          <cell r="C120" t="str">
            <v>OTH_DACF_ADJ</v>
          </cell>
          <cell r="D120" t="str">
            <v>SEK</v>
          </cell>
        </row>
        <row r="121">
          <cell r="B121" t="str">
            <v>Cash interest expense</v>
          </cell>
          <cell r="C121" t="str">
            <v>CASH_INT_EXP</v>
          </cell>
          <cell r="D121" t="str">
            <v>SEK</v>
          </cell>
        </row>
        <row r="122">
          <cell r="B122" t="str">
            <v>Cash tax expense</v>
          </cell>
          <cell r="C122" t="str">
            <v>CASH_TAX_EXP</v>
          </cell>
          <cell r="D122" t="str">
            <v>SEK</v>
          </cell>
          <cell r="F122">
            <v>-737</v>
          </cell>
          <cell r="G122">
            <v>-990</v>
          </cell>
          <cell r="H122">
            <v>-1107</v>
          </cell>
          <cell r="I122">
            <v>-1280</v>
          </cell>
          <cell r="J122">
            <v>-1322</v>
          </cell>
          <cell r="K122">
            <v>-1137</v>
          </cell>
          <cell r="L122">
            <v>-1723</v>
          </cell>
          <cell r="M122">
            <v>-1622</v>
          </cell>
          <cell r="N122">
            <v>-1361</v>
          </cell>
          <cell r="O122">
            <v>-1619</v>
          </cell>
          <cell r="P122">
            <v>-1952</v>
          </cell>
          <cell r="Q122">
            <v>-1899</v>
          </cell>
          <cell r="R122">
            <v>-2435</v>
          </cell>
          <cell r="S122">
            <v>-3118</v>
          </cell>
          <cell r="T122">
            <v>-3106</v>
          </cell>
          <cell r="U122">
            <v>-1995</v>
          </cell>
          <cell r="V122">
            <v>-3551</v>
          </cell>
          <cell r="W122">
            <v>-4288</v>
          </cell>
          <cell r="X122">
            <v>-4624</v>
          </cell>
          <cell r="Y122">
            <v>-4184</v>
          </cell>
          <cell r="Z122">
            <v>-3916</v>
          </cell>
          <cell r="AA122">
            <v>-7098</v>
          </cell>
          <cell r="AB122">
            <v>-5020</v>
          </cell>
          <cell r="AC122">
            <v>-6367</v>
          </cell>
          <cell r="AD122">
            <v>-4508</v>
          </cell>
          <cell r="AE122">
            <v>-5029</v>
          </cell>
          <cell r="AF122">
            <v>-4042</v>
          </cell>
          <cell r="AG122">
            <v>-5276</v>
          </cell>
          <cell r="AH122">
            <v>-7120</v>
          </cell>
          <cell r="AI122">
            <v>-8000</v>
          </cell>
          <cell r="AJ122">
            <v>-8730</v>
          </cell>
          <cell r="AK122">
            <v>-9870</v>
          </cell>
          <cell r="AL122">
            <v>-11220</v>
          </cell>
          <cell r="AM122">
            <v>-12550</v>
          </cell>
          <cell r="AN122">
            <v>-14010</v>
          </cell>
          <cell r="AO122">
            <v>-15620</v>
          </cell>
          <cell r="AP122">
            <v>-17420</v>
          </cell>
        </row>
        <row r="123">
          <cell r="B123" t="str">
            <v>Dividends received from associates/JVs</v>
          </cell>
          <cell r="C123" t="str">
            <v>DIVDS_ASSOC_JV</v>
          </cell>
          <cell r="D123" t="str">
            <v>SEK</v>
          </cell>
        </row>
        <row r="124">
          <cell r="B124" t="str">
            <v>Capex maintenance</v>
          </cell>
          <cell r="C124" t="str">
            <v>CAPEX_MAINTENANCE</v>
          </cell>
          <cell r="D124" t="str">
            <v>SEK</v>
          </cell>
        </row>
        <row r="125">
          <cell r="B125" t="str">
            <v>Capex expansion</v>
          </cell>
          <cell r="C125" t="str">
            <v>CAPEX_EXPANSION</v>
          </cell>
          <cell r="D125" t="str">
            <v>SEK</v>
          </cell>
        </row>
        <row r="126">
          <cell r="B126" t="str">
            <v>Non-PP&amp;E capex</v>
          </cell>
          <cell r="C126" t="str">
            <v>NONPPE_CAPEX</v>
          </cell>
          <cell r="D126" t="str">
            <v>SEK</v>
          </cell>
        </row>
        <row r="127">
          <cell r="B127" t="str">
            <v>Dividends paid to minorities</v>
          </cell>
          <cell r="C127" t="str">
            <v>DIVDS_PD_MINORITIES</v>
          </cell>
          <cell r="D127" t="str">
            <v>SEK</v>
          </cell>
        </row>
        <row r="128">
          <cell r="A128" t="str">
            <v>Company Metrics</v>
          </cell>
        </row>
        <row r="129">
          <cell r="B129" t="str">
            <v>Group sales % - &gt;50% bigger than number 2</v>
          </cell>
          <cell r="C129" t="str">
            <v>GROUP_SALES_PCT_BIG_NO_TWO</v>
          </cell>
          <cell r="E129">
            <v>0.39</v>
          </cell>
        </row>
        <row r="130">
          <cell r="B130" t="str">
            <v>Group sales % -  number 1/shared number one</v>
          </cell>
          <cell r="C130" t="str">
            <v>GROUP_SALES_PCT_SHRD_NO_ONE</v>
          </cell>
          <cell r="E130">
            <v>0.33</v>
          </cell>
        </row>
        <row r="131">
          <cell r="B131" t="str">
            <v>Group sales % -  top 3</v>
          </cell>
          <cell r="C131" t="str">
            <v>GROUP_SALES_PCT_TOP_THREE</v>
          </cell>
          <cell r="E131">
            <v>0.09</v>
          </cell>
        </row>
        <row r="132">
          <cell r="B132" t="str">
            <v>Aftermarket - % Global sales</v>
          </cell>
          <cell r="C132" t="str">
            <v>AMKT_PCT_GROUP_SALES</v>
          </cell>
          <cell r="X132">
            <v>0.4</v>
          </cell>
          <cell r="Z132">
            <v>0.43</v>
          </cell>
        </row>
        <row r="133">
          <cell r="B133" t="str">
            <v>Distribution score</v>
          </cell>
          <cell r="C133" t="str">
            <v>DISTR_SCORE</v>
          </cell>
          <cell r="E133">
            <v>7</v>
          </cell>
        </row>
        <row r="134">
          <cell r="B134" t="str">
            <v>Structural growth outlook by product category</v>
          </cell>
          <cell r="C134" t="str">
            <v>STRCTL_GRTH_PROD_CTGRY</v>
          </cell>
          <cell r="E134">
            <v>3.8000000000000006E-2</v>
          </cell>
        </row>
        <row r="135">
          <cell r="B135" t="str">
            <v>Cyclical growth outlook by end market</v>
          </cell>
          <cell r="C135" t="str">
            <v>CYCL_GRTH_EMKT</v>
          </cell>
          <cell r="E135">
            <v>5</v>
          </cell>
        </row>
        <row r="136">
          <cell r="B136" t="str">
            <v>Cycle adjusted CROCI</v>
          </cell>
          <cell r="C136" t="str">
            <v>CYCL_ADJ_CROCI</v>
          </cell>
          <cell r="X136">
            <v>0</v>
          </cell>
        </row>
        <row r="137">
          <cell r="B137" t="str">
            <v>Degree of customer concentration (High/Medium/Low)</v>
          </cell>
          <cell r="C137" t="str">
            <v>DGR_CUST_CONCTR</v>
          </cell>
          <cell r="X137">
            <v>0</v>
          </cell>
        </row>
        <row r="138">
          <cell r="B138" t="str">
            <v>Sales % represented by project business</v>
          </cell>
          <cell r="C138" t="str">
            <v>SALES_PCT_PROJ_BUS</v>
          </cell>
          <cell r="X138">
            <v>0</v>
          </cell>
        </row>
        <row r="139">
          <cell r="B139" t="str">
            <v>Sales % represented by service contracts or aftermarket/captive sales</v>
          </cell>
          <cell r="C139" t="str">
            <v>SALES_PCT_REC</v>
          </cell>
          <cell r="P139">
            <v>0.5</v>
          </cell>
          <cell r="Q139">
            <v>0.5</v>
          </cell>
          <cell r="R139">
            <v>0.4</v>
          </cell>
          <cell r="S139">
            <v>0.4</v>
          </cell>
          <cell r="T139">
            <v>0.4</v>
          </cell>
          <cell r="U139">
            <v>0.4</v>
          </cell>
          <cell r="V139">
            <v>0.4</v>
          </cell>
          <cell r="W139">
            <v>0.4</v>
          </cell>
          <cell r="X139">
            <v>0.4</v>
          </cell>
          <cell r="Y139">
            <v>0.43</v>
          </cell>
          <cell r="Z139">
            <v>0.43</v>
          </cell>
          <cell r="AA139">
            <v>0.40830000000000011</v>
          </cell>
          <cell r="AB139">
            <v>0.54556217688148712</v>
          </cell>
          <cell r="AC139">
            <v>0.55260726157651963</v>
          </cell>
          <cell r="AD139">
            <v>0.35</v>
          </cell>
        </row>
        <row r="140">
          <cell r="A140" t="str">
            <v>Other Items</v>
          </cell>
        </row>
        <row r="141">
          <cell r="B141" t="str">
            <v>Number of employees</v>
          </cell>
          <cell r="C141" t="str">
            <v>EMPLOYEES</v>
          </cell>
          <cell r="F141">
            <v>18.103999999999999</v>
          </cell>
          <cell r="G141">
            <v>19.751000000000001</v>
          </cell>
          <cell r="H141">
            <v>21.085000000000001</v>
          </cell>
          <cell r="I141">
            <v>22.295999999999999</v>
          </cell>
          <cell r="J141">
            <v>23.856999999999999</v>
          </cell>
          <cell r="K141">
            <v>24.248999999999999</v>
          </cell>
          <cell r="L141">
            <v>26.391999999999999</v>
          </cell>
          <cell r="M141">
            <v>26.201000000000001</v>
          </cell>
          <cell r="N141">
            <v>25.786999999999999</v>
          </cell>
          <cell r="O141">
            <v>25.707000000000001</v>
          </cell>
          <cell r="P141">
            <v>26.827999999999999</v>
          </cell>
          <cell r="Q141">
            <v>26.257999999999999</v>
          </cell>
          <cell r="R141">
            <v>24.378</v>
          </cell>
          <cell r="S141">
            <v>32.947000000000003</v>
          </cell>
          <cell r="T141">
            <v>34.042999999999999</v>
          </cell>
          <cell r="U141">
            <v>29802</v>
          </cell>
          <cell r="V141">
            <v>32790</v>
          </cell>
          <cell r="W141">
            <v>37579</v>
          </cell>
          <cell r="X141">
            <v>39811</v>
          </cell>
          <cell r="Y141">
            <v>40241</v>
          </cell>
          <cell r="Z141">
            <v>44056</v>
          </cell>
          <cell r="AA141">
            <v>39811</v>
          </cell>
          <cell r="AB141">
            <v>40241</v>
          </cell>
          <cell r="AC141">
            <v>44056</v>
          </cell>
          <cell r="AD141">
            <v>43114</v>
          </cell>
          <cell r="AE141">
            <v>44695</v>
          </cell>
          <cell r="AF141">
            <v>47599</v>
          </cell>
          <cell r="AG141">
            <v>36862</v>
          </cell>
          <cell r="AH141">
            <v>38774</v>
          </cell>
          <cell r="AI141">
            <v>40160</v>
          </cell>
          <cell r="AJ141">
            <v>42862</v>
          </cell>
          <cell r="AK141">
            <v>0</v>
          </cell>
          <cell r="AL141">
            <v>0</v>
          </cell>
          <cell r="AM141">
            <v>0</v>
          </cell>
          <cell r="AN141">
            <v>0</v>
          </cell>
          <cell r="AO141">
            <v>0</v>
          </cell>
          <cell r="AP141">
            <v>0</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cell r="X169">
            <v>0</v>
          </cell>
        </row>
        <row r="170">
          <cell r="B170" t="str">
            <v>Regional exposure as % of revenues - EMEA</v>
          </cell>
          <cell r="C170" t="str">
            <v>SALES_EXPOSURE_EMEA</v>
          </cell>
          <cell r="X170">
            <v>0</v>
          </cell>
        </row>
        <row r="171">
          <cell r="B171" t="str">
            <v>Regional exposure as % of revenues - APAC</v>
          </cell>
          <cell r="C171" t="str">
            <v>SALES_EXPOSURE_APAC</v>
          </cell>
          <cell r="X171">
            <v>0</v>
          </cell>
        </row>
        <row r="172">
          <cell r="B172" t="str">
            <v>Regional exposure as % of revenues - China</v>
          </cell>
          <cell r="C172" t="str">
            <v>SALES_EXPOSURE_CHINA</v>
          </cell>
          <cell r="X172">
            <v>0</v>
          </cell>
        </row>
        <row r="173">
          <cell r="B173" t="str">
            <v>Regional exposure as % of revenues - ROW</v>
          </cell>
          <cell r="C173" t="str">
            <v>SALES_EXPOSURE_ROW</v>
          </cell>
          <cell r="X173">
            <v>0</v>
          </cell>
        </row>
        <row r="174">
          <cell r="B174" t="str">
            <v>Regional exposure as % of revenues - Developed Markets</v>
          </cell>
          <cell r="C174" t="str">
            <v>SALES_EXPOSURE_DEV_MKT</v>
          </cell>
          <cell r="X174">
            <v>0</v>
          </cell>
        </row>
        <row r="175">
          <cell r="B175" t="str">
            <v>Regional exposure as % of revenues - Emerging Markets</v>
          </cell>
          <cell r="C175" t="str">
            <v>SALES_EXPOSURE_EMER_MKT</v>
          </cell>
          <cell r="X175">
            <v>0</v>
          </cell>
        </row>
        <row r="176">
          <cell r="A176" t="str">
            <v>End Markets</v>
          </cell>
        </row>
        <row r="177">
          <cell r="B177" t="str">
            <v>Sales to the construction end market - % Global</v>
          </cell>
          <cell r="C177" t="str">
            <v>SALES_CONSRT_EMKT_GLOBAL</v>
          </cell>
          <cell r="X177">
            <v>0.22</v>
          </cell>
        </row>
        <row r="178">
          <cell r="B178" t="str">
            <v>Sales to the construction end market - % No. America</v>
          </cell>
          <cell r="C178" t="str">
            <v>SALES_CONSRT_EMKT_NO_AMERICA</v>
          </cell>
          <cell r="X178">
            <v>3.5200000000000002E-2</v>
          </cell>
        </row>
        <row r="179">
          <cell r="B179" t="str">
            <v>Sales to the construction end market - % EAME</v>
          </cell>
          <cell r="C179" t="str">
            <v>SALES_CONSRT_EMKT_EAME</v>
          </cell>
          <cell r="X179">
            <v>0.10339999999999999</v>
          </cell>
        </row>
        <row r="180">
          <cell r="B180" t="str">
            <v>Sales to the construction end market - % So. America</v>
          </cell>
          <cell r="C180" t="str">
            <v>SALES_CONSRT_EMKT_SO_AMERICA</v>
          </cell>
          <cell r="X180">
            <v>2.86E-2</v>
          </cell>
        </row>
        <row r="181">
          <cell r="B181" t="str">
            <v>Sales to the construction end market - % China</v>
          </cell>
          <cell r="C181" t="str">
            <v>SALES_CONSRT_EMKT_CHINA</v>
          </cell>
          <cell r="X181">
            <v>2.4199999999999999E-2</v>
          </cell>
        </row>
        <row r="182">
          <cell r="B182" t="str">
            <v>Sales to the construction end market - % Asia ex-China</v>
          </cell>
          <cell r="C182" t="str">
            <v>SALES_CONSRT_EMKT_ASIAEXCHINA</v>
          </cell>
          <cell r="X182">
            <v>2.86E-2</v>
          </cell>
        </row>
        <row r="183">
          <cell r="B183" t="str">
            <v>Sales to the transmission &amp; distribution end market - % Global</v>
          </cell>
          <cell r="C183" t="str">
            <v>SALES_TRN_DIST_EMKT_GLOBAL</v>
          </cell>
          <cell r="X183">
            <v>0</v>
          </cell>
        </row>
        <row r="184">
          <cell r="B184" t="str">
            <v>Sales to the transmission &amp; distribution end market - % No. America</v>
          </cell>
          <cell r="C184" t="str">
            <v>SALES_TRN_DIST_EMKT_NO_AMERICA</v>
          </cell>
          <cell r="X184">
            <v>0</v>
          </cell>
        </row>
        <row r="185">
          <cell r="B185" t="str">
            <v>Sales to the transmission &amp; distribution end market - % EAME</v>
          </cell>
          <cell r="C185" t="str">
            <v>SALES_TRN_DIST_EMKT_EAME</v>
          </cell>
          <cell r="X185">
            <v>0</v>
          </cell>
        </row>
        <row r="186">
          <cell r="B186" t="str">
            <v>Sales to the transmission &amp; distribution end market - % So. America</v>
          </cell>
          <cell r="C186" t="str">
            <v>SALES_TRN_DIST_EMKT_SO_AMERICA</v>
          </cell>
          <cell r="X186">
            <v>0</v>
          </cell>
        </row>
        <row r="187">
          <cell r="B187" t="str">
            <v>Sales to the transmission &amp; distribution end market - % China</v>
          </cell>
          <cell r="C187" t="str">
            <v>SALES_TRN_DIST_EMKT_CHINA</v>
          </cell>
          <cell r="X187">
            <v>0</v>
          </cell>
        </row>
        <row r="188">
          <cell r="B188" t="str">
            <v>Sales to the transmission &amp; distribution end market - % Asia ex-China</v>
          </cell>
          <cell r="C188" t="str">
            <v>SALES_TRN_DIST_EMKT_ASIAEXCHINA</v>
          </cell>
          <cell r="X188">
            <v>0</v>
          </cell>
        </row>
        <row r="189">
          <cell r="B189" t="str">
            <v>Sales to the power generation end market - % Global</v>
          </cell>
          <cell r="C189" t="str">
            <v>SALES_PWR_GEN_EMKT_GLOBAL</v>
          </cell>
          <cell r="X189">
            <v>0</v>
          </cell>
        </row>
        <row r="190">
          <cell r="B190" t="str">
            <v>Sales to the power generation end market - % No. America</v>
          </cell>
          <cell r="C190" t="str">
            <v>SALES_PWR_GEN_EMKT_NO_AMERICA</v>
          </cell>
          <cell r="X190">
            <v>0</v>
          </cell>
        </row>
        <row r="191">
          <cell r="B191" t="str">
            <v>Sales to the power generation end market - % EAME</v>
          </cell>
          <cell r="C191" t="str">
            <v>SALES_PWR_GEN_EMKT_EAME</v>
          </cell>
          <cell r="X191">
            <v>0</v>
          </cell>
        </row>
        <row r="192">
          <cell r="B192" t="str">
            <v>Sales to the power generation end market - % So. America</v>
          </cell>
          <cell r="C192" t="str">
            <v>SALES_PWR_GEN_EMKT_SO_AMERICA</v>
          </cell>
          <cell r="X192">
            <v>0</v>
          </cell>
        </row>
        <row r="193">
          <cell r="B193" t="str">
            <v>Sales to the power generation end market - % China</v>
          </cell>
          <cell r="C193" t="str">
            <v>SALES_PWR_GEN_EMKT_CHINA</v>
          </cell>
          <cell r="X193">
            <v>0</v>
          </cell>
        </row>
        <row r="194">
          <cell r="B194" t="str">
            <v>Sales to the power generation end market - % Asia ex-China</v>
          </cell>
          <cell r="C194" t="str">
            <v>SALES_PWR_GEN_EMKT_ASIAEXCHINA</v>
          </cell>
          <cell r="X194">
            <v>0</v>
          </cell>
        </row>
        <row r="195">
          <cell r="B195" t="str">
            <v>Sales to the mining end market - % Global</v>
          </cell>
          <cell r="C195" t="str">
            <v>SALES_MINING_EMKT_GLOBAL</v>
          </cell>
          <cell r="X195">
            <v>0.26</v>
          </cell>
        </row>
        <row r="196">
          <cell r="B196" t="str">
            <v>Sales to the mining end market - % No. America</v>
          </cell>
          <cell r="C196" t="str">
            <v>SALES_MINING_EMKT_NO_AMERICA</v>
          </cell>
          <cell r="X196">
            <v>5.7200000000000001E-2</v>
          </cell>
        </row>
        <row r="197">
          <cell r="B197" t="str">
            <v>Sales to the mining end market - % EAME</v>
          </cell>
          <cell r="C197" t="str">
            <v>SALES_MINING_EMKT_EAME</v>
          </cell>
          <cell r="X197">
            <v>9.6200000000000008E-2</v>
          </cell>
        </row>
        <row r="198">
          <cell r="B198" t="str">
            <v>Sales to the mining end market - % So. America</v>
          </cell>
          <cell r="C198" t="str">
            <v>SALES_MINING_EMKT_SO_AMERICA</v>
          </cell>
          <cell r="X198">
            <v>3.3800000000000004E-2</v>
          </cell>
        </row>
        <row r="199">
          <cell r="B199" t="str">
            <v>Sales to the mining end market - % China</v>
          </cell>
          <cell r="C199" t="str">
            <v>SALES_MINING_EMKT_CHINA</v>
          </cell>
          <cell r="X199">
            <v>1.8200000000000001E-2</v>
          </cell>
        </row>
        <row r="200">
          <cell r="B200" t="str">
            <v>Sales to the mining end market - % Asia ex-China</v>
          </cell>
          <cell r="C200" t="str">
            <v>SALES_MINING_EMKT_ASIAEXCHINA</v>
          </cell>
          <cell r="X200">
            <v>5.4600000000000003E-2</v>
          </cell>
        </row>
        <row r="201">
          <cell r="B201" t="str">
            <v>Sales to the oil &amp; gas end market - % Global</v>
          </cell>
          <cell r="C201" t="str">
            <v>SALES_OIL_GAS_EMKT_GLOBAL</v>
          </cell>
          <cell r="X201">
            <v>0</v>
          </cell>
        </row>
        <row r="202">
          <cell r="B202" t="str">
            <v>Sales to the oil &amp; gas end market - % No. America</v>
          </cell>
          <cell r="C202" t="str">
            <v>SALES_OIL_GAS_EMKT_NO_AMERICA</v>
          </cell>
          <cell r="X202">
            <v>0</v>
          </cell>
        </row>
        <row r="203">
          <cell r="B203" t="str">
            <v>Sales to the oil &amp; gas end market - % EAME</v>
          </cell>
          <cell r="C203" t="str">
            <v>SALES_OIL_GAS_EMKT_EAME</v>
          </cell>
          <cell r="X203">
            <v>0</v>
          </cell>
        </row>
        <row r="204">
          <cell r="B204" t="str">
            <v>Sales to the oil &amp; gas end market - % So. America</v>
          </cell>
          <cell r="C204" t="str">
            <v>SALES_OIL_GAS_EMKT_SO_AMERICA</v>
          </cell>
          <cell r="X204">
            <v>0</v>
          </cell>
        </row>
        <row r="205">
          <cell r="B205" t="str">
            <v>Sales to the oil &amp; gas end market - % China</v>
          </cell>
          <cell r="C205" t="str">
            <v>SALES_OIL_GAS_EMKT_CHINA</v>
          </cell>
          <cell r="X205">
            <v>0</v>
          </cell>
        </row>
        <row r="206">
          <cell r="B206" t="str">
            <v>Sales to the oil &amp; gas end market - % Asia ex-China</v>
          </cell>
          <cell r="C206" t="str">
            <v>SALES_OIL_GAS_EMKT_ASIAEXCHINA</v>
          </cell>
          <cell r="X206">
            <v>0</v>
          </cell>
        </row>
        <row r="207">
          <cell r="B207" t="str">
            <v>Sales to the automotive end market - % Global</v>
          </cell>
          <cell r="C207" t="str">
            <v>SALES_AUTOMTV_EMKT_GLOBAL</v>
          </cell>
          <cell r="X207">
            <v>0</v>
          </cell>
        </row>
        <row r="208">
          <cell r="B208" t="str">
            <v>Sales to the automotive end market - % No. America</v>
          </cell>
          <cell r="C208" t="str">
            <v>SALES_AUTOMTV_EMKT_NO_AMERICA</v>
          </cell>
          <cell r="X208">
            <v>0</v>
          </cell>
        </row>
        <row r="209">
          <cell r="B209" t="str">
            <v>Sales to the automotive end market - % EAME</v>
          </cell>
          <cell r="C209" t="str">
            <v>SALES_AUTOMTV_EMKT_EAME</v>
          </cell>
          <cell r="X209">
            <v>0</v>
          </cell>
        </row>
        <row r="210">
          <cell r="B210" t="str">
            <v>Sales to the automotive end market - % So. America</v>
          </cell>
          <cell r="C210" t="str">
            <v>SALES_AUTOMTV_EMKT_SO_AMERICA</v>
          </cell>
          <cell r="X210">
            <v>0</v>
          </cell>
        </row>
        <row r="211">
          <cell r="B211" t="str">
            <v>Sales to the automotive end market - % China</v>
          </cell>
          <cell r="C211" t="str">
            <v>SALES_AUTOMTV_EMKT_CHINA</v>
          </cell>
          <cell r="X211">
            <v>0</v>
          </cell>
        </row>
        <row r="212">
          <cell r="B212" t="str">
            <v>Sales to the automotive end market - % Asia ex-China</v>
          </cell>
          <cell r="C212" t="str">
            <v>SALES_AUTOMTV_EMKT_ASIAEXCHINA</v>
          </cell>
          <cell r="X212">
            <v>0</v>
          </cell>
        </row>
        <row r="213">
          <cell r="B213" t="str">
            <v>Sales to the rail end market - % Global</v>
          </cell>
          <cell r="C213" t="str">
            <v>SALES_RAIL_EMKT_GLOBAL</v>
          </cell>
          <cell r="X213">
            <v>0</v>
          </cell>
        </row>
        <row r="214">
          <cell r="B214" t="str">
            <v>Sales to the rail end market - % No. America</v>
          </cell>
          <cell r="C214" t="str">
            <v>SALES_RAIL_EMKT_NO_AMERICA</v>
          </cell>
          <cell r="X214">
            <v>0</v>
          </cell>
        </row>
        <row r="215">
          <cell r="B215" t="str">
            <v>Sales to the rail end market - % EAME</v>
          </cell>
          <cell r="C215" t="str">
            <v>SALES_RAIL_EMKT_EAME</v>
          </cell>
          <cell r="X215">
            <v>0</v>
          </cell>
        </row>
        <row r="216">
          <cell r="B216" t="str">
            <v>Sales to the rail end market - % So. America</v>
          </cell>
          <cell r="C216" t="str">
            <v>SALES_RAIL_EMKT_SO_AMERICA</v>
          </cell>
          <cell r="X216">
            <v>0</v>
          </cell>
        </row>
        <row r="217">
          <cell r="B217" t="str">
            <v>Sales to the rail end market - % China</v>
          </cell>
          <cell r="C217" t="str">
            <v>SALES_RAIL_EMKT_CHINA</v>
          </cell>
          <cell r="X217">
            <v>0</v>
          </cell>
        </row>
        <row r="218">
          <cell r="B218" t="str">
            <v>Sales to the rail end market - % Asia ex-China</v>
          </cell>
          <cell r="C218" t="str">
            <v>SALES_RAIL_EMKT_ASIAEXCHINA</v>
          </cell>
          <cell r="X218">
            <v>0</v>
          </cell>
        </row>
        <row r="219">
          <cell r="B219" t="str">
            <v>Sales to the consumer end market - % Global</v>
          </cell>
          <cell r="C219" t="str">
            <v>SALES_CONS_EMKT_GLOBAL</v>
          </cell>
          <cell r="X219">
            <v>0</v>
          </cell>
        </row>
        <row r="220">
          <cell r="B220" t="str">
            <v>Sales to the consumer end market - % No. America</v>
          </cell>
          <cell r="C220" t="str">
            <v>SALES_CONS_EMKT_NO_AMERICA</v>
          </cell>
          <cell r="X220">
            <v>0</v>
          </cell>
        </row>
        <row r="221">
          <cell r="B221" t="str">
            <v>Sales to the consumer end market - % EAME</v>
          </cell>
          <cell r="C221" t="str">
            <v>SALES_CONS_EMKT_EAME</v>
          </cell>
          <cell r="X221">
            <v>0</v>
          </cell>
        </row>
        <row r="222">
          <cell r="B222" t="str">
            <v>Sales to the consumer end market - % So. America</v>
          </cell>
          <cell r="C222" t="str">
            <v>SALES_CONS_EMKT_SO_AMERICA</v>
          </cell>
          <cell r="X222">
            <v>0</v>
          </cell>
        </row>
        <row r="223">
          <cell r="B223" t="str">
            <v>Sales to the consumer end market - % China</v>
          </cell>
          <cell r="C223" t="str">
            <v>SALES_CONS_EMKT_CHINA</v>
          </cell>
          <cell r="X223">
            <v>0</v>
          </cell>
        </row>
        <row r="224">
          <cell r="B224" t="str">
            <v>Sales to the consumer end market - % Asia ex-China</v>
          </cell>
          <cell r="C224" t="str">
            <v>SALES_CONS_EMKT_ASIAEXCHINA</v>
          </cell>
          <cell r="X224">
            <v>0</v>
          </cell>
        </row>
        <row r="225">
          <cell r="B225" t="str">
            <v>Sales to the tech end market - % Global</v>
          </cell>
          <cell r="C225" t="str">
            <v>SALES_TECH_EMKT_GLOBAL</v>
          </cell>
          <cell r="X225">
            <v>0</v>
          </cell>
        </row>
        <row r="226">
          <cell r="B226" t="str">
            <v>Sales to the tech end market - % No. America</v>
          </cell>
          <cell r="C226" t="str">
            <v>SALES_TECH_EMKT_NO_AMERICA</v>
          </cell>
          <cell r="X226">
            <v>0</v>
          </cell>
        </row>
        <row r="227">
          <cell r="B227" t="str">
            <v>Sales to the tech end market - % EAME</v>
          </cell>
          <cell r="C227" t="str">
            <v>SALES_TECH_EMKT_EAME</v>
          </cell>
          <cell r="X227">
            <v>0</v>
          </cell>
        </row>
        <row r="228">
          <cell r="B228" t="str">
            <v>Sales to the tech end market - % So. America</v>
          </cell>
          <cell r="C228" t="str">
            <v>SALES_TECH_EMKT_SO_AMERICA</v>
          </cell>
          <cell r="X228">
            <v>0</v>
          </cell>
        </row>
        <row r="229">
          <cell r="B229" t="str">
            <v>Sales to the tech end market - % China</v>
          </cell>
          <cell r="C229" t="str">
            <v>SALES_TECH_EMKT_CHINA</v>
          </cell>
          <cell r="X229">
            <v>0</v>
          </cell>
        </row>
        <row r="230">
          <cell r="B230" t="str">
            <v>Sales to the tech end market - % Asia ex-China</v>
          </cell>
          <cell r="C230" t="str">
            <v>SALES_TECH_EMKT_ASIAEXCHINA</v>
          </cell>
          <cell r="X230">
            <v>0</v>
          </cell>
        </row>
        <row r="231">
          <cell r="B231" t="str">
            <v>Sales to the agriculture end market - % Global</v>
          </cell>
          <cell r="C231" t="str">
            <v>SALES_AGRI_EMKT_GLOBAL</v>
          </cell>
          <cell r="X231">
            <v>0</v>
          </cell>
        </row>
        <row r="232">
          <cell r="B232" t="str">
            <v>Sales to the agriculture end market - % No. America</v>
          </cell>
          <cell r="C232" t="str">
            <v>SALES_AGRI_EMKT_NO_AMERICA</v>
          </cell>
          <cell r="X232">
            <v>0</v>
          </cell>
        </row>
        <row r="233">
          <cell r="B233" t="str">
            <v>Sales to the agriculture end market - % EAME</v>
          </cell>
          <cell r="C233" t="str">
            <v>SALES_AGRI_EMKT_EAME</v>
          </cell>
          <cell r="X233">
            <v>0</v>
          </cell>
        </row>
        <row r="234">
          <cell r="B234" t="str">
            <v>Sales to the agriculture end market - % So. America</v>
          </cell>
          <cell r="C234" t="str">
            <v>SALES_AGRI_EMKT_SO_AMERICA</v>
          </cell>
          <cell r="X234">
            <v>0</v>
          </cell>
        </row>
        <row r="235">
          <cell r="B235" t="str">
            <v>Sales to the agriculture end market - % China</v>
          </cell>
          <cell r="C235" t="str">
            <v>SALES_AGRI_EMKT_CHINA</v>
          </cell>
          <cell r="X235">
            <v>0</v>
          </cell>
        </row>
        <row r="236">
          <cell r="B236" t="str">
            <v>Sales to the agriculture end market - % Asia ex-China</v>
          </cell>
          <cell r="C236" t="str">
            <v>SALES_AGRI_EMKT_ASIAEXCHINA</v>
          </cell>
          <cell r="X236">
            <v>0</v>
          </cell>
        </row>
        <row r="237">
          <cell r="B237" t="str">
            <v>Sales to the general industrial end market - % Global</v>
          </cell>
          <cell r="C237" t="str">
            <v>SALES_GNRL_IND_EMKT_GLOBAL</v>
          </cell>
          <cell r="X237">
            <v>0.52</v>
          </cell>
        </row>
        <row r="238">
          <cell r="B238" t="str">
            <v>Sales to the general industrial end market - % No. America</v>
          </cell>
          <cell r="C238" t="str">
            <v>SALES_GNRL_IND_EMKT_NO_AMERICA</v>
          </cell>
          <cell r="X238">
            <v>0.10400000000000001</v>
          </cell>
        </row>
        <row r="239">
          <cell r="B239" t="str">
            <v>Sales to the general industrial end market - % EAME</v>
          </cell>
          <cell r="C239" t="str">
            <v>SALES_GNRL_IND_EMKT_EAME</v>
          </cell>
          <cell r="X239">
            <v>0.21840000000000001</v>
          </cell>
        </row>
        <row r="240">
          <cell r="B240" t="str">
            <v>Sales to the general industrial end market - % So. America</v>
          </cell>
          <cell r="C240" t="str">
            <v>SALES_GNRL_IND_EMKT_SO_AMERICA</v>
          </cell>
          <cell r="X240">
            <v>5.2000000000000005E-2</v>
          </cell>
        </row>
        <row r="241">
          <cell r="B241" t="str">
            <v>Sales to the general industrial end market - % China</v>
          </cell>
          <cell r="C241" t="str">
            <v>SALES_GNRL_IND_EMKT_CHINA</v>
          </cell>
          <cell r="X241">
            <v>5.7200000000000001E-2</v>
          </cell>
        </row>
        <row r="242">
          <cell r="B242" t="str">
            <v>Sales to the general industrial end market - % Asia ex-China</v>
          </cell>
          <cell r="C242" t="str">
            <v>SALES_GNRL_IND_EMKT_ASIAEXCHINA</v>
          </cell>
          <cell r="X242">
            <v>8.8400000000000006E-2</v>
          </cell>
        </row>
        <row r="243">
          <cell r="B243" t="str">
            <v>Sales to the aftermarket end market - % Global</v>
          </cell>
          <cell r="C243" t="str">
            <v>SALES_AMKT_EMKT_GLOBAL</v>
          </cell>
          <cell r="X243">
            <v>0.4</v>
          </cell>
          <cell r="Z243">
            <v>0.43</v>
          </cell>
        </row>
        <row r="244">
          <cell r="B244" t="str">
            <v>End market exposure as % of revenues - Aerospace</v>
          </cell>
          <cell r="C244" t="str">
            <v>SALES_EMKT_AEROSPC</v>
          </cell>
          <cell r="X244">
            <v>0</v>
          </cell>
          <cell r="AA244">
            <v>0.01</v>
          </cell>
          <cell r="AB244">
            <v>0.01</v>
          </cell>
          <cell r="AC244">
            <v>0.01</v>
          </cell>
          <cell r="AD244">
            <v>0.01</v>
          </cell>
          <cell r="AE244">
            <v>0.01</v>
          </cell>
          <cell r="AF244">
            <v>0.01</v>
          </cell>
          <cell r="AG244">
            <v>0.01</v>
          </cell>
          <cell r="AH244">
            <v>0</v>
          </cell>
          <cell r="AI244">
            <v>0</v>
          </cell>
          <cell r="AJ244">
            <v>0</v>
          </cell>
        </row>
        <row r="245">
          <cell r="B245" t="str">
            <v>End market exposure as % of revenues - Agriculture</v>
          </cell>
          <cell r="C245" t="str">
            <v>SALES_EMRKT_AGRI</v>
          </cell>
        </row>
        <row r="246">
          <cell r="B246" t="str">
            <v>End market exposure as % of revenues - Chemicals</v>
          </cell>
          <cell r="C246" t="str">
            <v>SALES_EMRKT_CHEM</v>
          </cell>
          <cell r="AF246">
            <v>0</v>
          </cell>
          <cell r="AG246">
            <v>0.06</v>
          </cell>
          <cell r="AH246">
            <v>0</v>
          </cell>
          <cell r="AI246">
            <v>0</v>
          </cell>
          <cell r="AJ246">
            <v>0</v>
          </cell>
        </row>
        <row r="247">
          <cell r="B247" t="str">
            <v>End market exposure as % of revenues - Consumer</v>
          </cell>
          <cell r="C247" t="str">
            <v>SALES_EMKT_CONS</v>
          </cell>
          <cell r="X247">
            <v>0</v>
          </cell>
          <cell r="AA247">
            <v>0.01</v>
          </cell>
          <cell r="AB247">
            <v>0.01</v>
          </cell>
          <cell r="AC247">
            <v>0.01</v>
          </cell>
          <cell r="AD247">
            <v>0.01</v>
          </cell>
          <cell r="AE247">
            <v>0.01</v>
          </cell>
          <cell r="AF247">
            <v>0.01</v>
          </cell>
          <cell r="AG247">
            <v>0.01</v>
          </cell>
          <cell r="AH247">
            <v>0</v>
          </cell>
          <cell r="AI247">
            <v>0</v>
          </cell>
          <cell r="AJ247">
            <v>0</v>
          </cell>
        </row>
        <row r="248">
          <cell r="B248" t="str">
            <v>End market exposure as % of revenues - Electronics</v>
          </cell>
          <cell r="C248" t="str">
            <v>SALES_EMRKT_ELEC</v>
          </cell>
        </row>
        <row r="249">
          <cell r="B249" t="str">
            <v>End market exposure as % of revenues - General Industrial</v>
          </cell>
          <cell r="C249" t="str">
            <v>SALES_EMKT_GNRL_IND</v>
          </cell>
          <cell r="X249">
            <v>0</v>
          </cell>
          <cell r="AA249">
            <v>0.375</v>
          </cell>
          <cell r="AB249">
            <v>0.36</v>
          </cell>
          <cell r="AC249">
            <v>0.52</v>
          </cell>
          <cell r="AD249">
            <v>0.52666666666666673</v>
          </cell>
          <cell r="AE249">
            <v>0.33333333333333337</v>
          </cell>
          <cell r="AF249">
            <v>0.53666666666666663</v>
          </cell>
          <cell r="AG249">
            <v>0.35999999999999988</v>
          </cell>
          <cell r="AH249">
            <v>0</v>
          </cell>
          <cell r="AI249">
            <v>0</v>
          </cell>
          <cell r="AJ249">
            <v>0</v>
          </cell>
        </row>
        <row r="250">
          <cell r="B250" t="str">
            <v>End market exposure as % of revenues - Marine (ex. O&amp;G)</v>
          </cell>
          <cell r="C250" t="str">
            <v>SALES_EMRKT_MARINE</v>
          </cell>
        </row>
        <row r="251">
          <cell r="B251" t="str">
            <v>End market exposure as % of revenues - Not classified</v>
          </cell>
          <cell r="C251" t="str">
            <v>SALES_EMRKT_NC</v>
          </cell>
        </row>
        <row r="252">
          <cell r="B252" t="str">
            <v>End market exposure as % of revenues - Medical</v>
          </cell>
          <cell r="C252" t="str">
            <v>SALES_EMKT_MED</v>
          </cell>
          <cell r="X252">
            <v>0</v>
          </cell>
        </row>
        <row r="253">
          <cell r="B253" t="str">
            <v>End market exposure as % of revenues - Mining</v>
          </cell>
          <cell r="C253" t="str">
            <v>SALES_EMKT_MINING</v>
          </cell>
          <cell r="X253">
            <v>0</v>
          </cell>
          <cell r="AA253">
            <v>0.19</v>
          </cell>
          <cell r="AB253">
            <v>0.19</v>
          </cell>
          <cell r="AC253">
            <v>0</v>
          </cell>
          <cell r="AD253">
            <v>0</v>
          </cell>
          <cell r="AE253">
            <v>0</v>
          </cell>
          <cell r="AF253">
            <v>0</v>
          </cell>
          <cell r="AG253">
            <v>0.06</v>
          </cell>
          <cell r="AH253">
            <v>0</v>
          </cell>
          <cell r="AI253">
            <v>0</v>
          </cell>
          <cell r="AJ253">
            <v>0</v>
          </cell>
        </row>
        <row r="254">
          <cell r="B254" t="str">
            <v>End market exposure as % of revenues - Non-res construction</v>
          </cell>
          <cell r="C254" t="str">
            <v>SALES_EMKT_NRES_CONSRT</v>
          </cell>
          <cell r="X254">
            <v>0</v>
          </cell>
          <cell r="AA254">
            <v>0.19</v>
          </cell>
          <cell r="AB254">
            <v>0.17</v>
          </cell>
          <cell r="AC254">
            <v>0.11</v>
          </cell>
          <cell r="AD254">
            <v>0.13</v>
          </cell>
          <cell r="AE254">
            <v>0.12</v>
          </cell>
          <cell r="AF254">
            <v>0.11</v>
          </cell>
          <cell r="AG254">
            <v>0.11</v>
          </cell>
          <cell r="AH254">
            <v>0</v>
          </cell>
          <cell r="AI254">
            <v>0</v>
          </cell>
          <cell r="AJ254">
            <v>0</v>
          </cell>
        </row>
        <row r="255">
          <cell r="B255" t="str">
            <v>End market exposure as % of revenues - O&amp;G</v>
          </cell>
          <cell r="C255" t="str">
            <v>SALES_EMKT_OIL_GAS</v>
          </cell>
          <cell r="X255">
            <v>0</v>
          </cell>
          <cell r="AA255">
            <v>0.05</v>
          </cell>
          <cell r="AB255">
            <v>0.05</v>
          </cell>
          <cell r="AC255">
            <v>0.06</v>
          </cell>
          <cell r="AD255">
            <v>6.3333333333333325E-2</v>
          </cell>
          <cell r="AE255">
            <v>6.6666666666666666E-2</v>
          </cell>
          <cell r="AF255">
            <v>4.3333333333333335E-2</v>
          </cell>
          <cell r="AG255">
            <v>0.06</v>
          </cell>
          <cell r="AH255">
            <v>0</v>
          </cell>
          <cell r="AI255">
            <v>0</v>
          </cell>
          <cell r="AJ255">
            <v>0</v>
          </cell>
        </row>
        <row r="256">
          <cell r="B256" t="str">
            <v>End market exposure as % of revenues - Power Gen</v>
          </cell>
          <cell r="C256" t="str">
            <v>SALES_EMKT_PWR_GEN</v>
          </cell>
          <cell r="X256">
            <v>0</v>
          </cell>
        </row>
        <row r="257">
          <cell r="B257" t="str">
            <v>End market exposure as % of revenues - Pulp &amp; paper</v>
          </cell>
          <cell r="C257" t="str">
            <v>SALES_EMRKT_PULP</v>
          </cell>
        </row>
        <row r="258">
          <cell r="B258" t="str">
            <v>End market exposure as % of revenues - Rail</v>
          </cell>
          <cell r="C258" t="str">
            <v>SALES_EMKT_RAIL</v>
          </cell>
          <cell r="X258">
            <v>0</v>
          </cell>
        </row>
        <row r="259">
          <cell r="B259" t="str">
            <v>End market exposure as % of revenues - Res construction</v>
          </cell>
          <cell r="C259" t="str">
            <v>SALES_EMKT_RES_CONSRT</v>
          </cell>
          <cell r="X259">
            <v>0</v>
          </cell>
        </row>
        <row r="260">
          <cell r="B260" t="str">
            <v>End market exposure as % of revenues - T&amp;D</v>
          </cell>
          <cell r="C260" t="str">
            <v>SALES_EMKT_TRN_DIST</v>
          </cell>
          <cell r="X260">
            <v>0</v>
          </cell>
        </row>
        <row r="261">
          <cell r="B261" t="str">
            <v>End market exposure as % of revenues - Tech/telecom</v>
          </cell>
          <cell r="C261" t="str">
            <v>SALES_EMKT_TECH_TELCO</v>
          </cell>
          <cell r="X261">
            <v>0</v>
          </cell>
          <cell r="AA261">
            <v>0.1</v>
          </cell>
          <cell r="AB261">
            <v>0.08</v>
          </cell>
          <cell r="AC261">
            <v>0.17</v>
          </cell>
          <cell r="AD261">
            <v>0.15</v>
          </cell>
          <cell r="AE261">
            <v>0.16</v>
          </cell>
          <cell r="AF261">
            <v>0.19</v>
          </cell>
          <cell r="AG261">
            <v>0.24</v>
          </cell>
          <cell r="AH261">
            <v>0</v>
          </cell>
          <cell r="AI261">
            <v>0</v>
          </cell>
          <cell r="AJ261">
            <v>0</v>
          </cell>
        </row>
        <row r="262">
          <cell r="B262" t="str">
            <v>End market exposure as % of revenues - Vehicle</v>
          </cell>
          <cell r="C262" t="str">
            <v>SALES_EMKT_VHCLE</v>
          </cell>
          <cell r="X262">
            <v>0</v>
          </cell>
          <cell r="AA262">
            <v>7.4999999999999997E-2</v>
          </cell>
          <cell r="AB262">
            <v>0.13</v>
          </cell>
          <cell r="AC262">
            <v>0.12</v>
          </cell>
          <cell r="AD262">
            <v>0.11</v>
          </cell>
          <cell r="AE262">
            <v>0.1</v>
          </cell>
          <cell r="AF262">
            <v>0.1</v>
          </cell>
          <cell r="AG262">
            <v>0.09</v>
          </cell>
          <cell r="AH262">
            <v>0</v>
          </cell>
          <cell r="AI262">
            <v>0</v>
          </cell>
          <cell r="AJ262">
            <v>0</v>
          </cell>
        </row>
        <row r="263">
          <cell r="A263" t="str">
            <v>Geographical Breakdown</v>
          </cell>
        </row>
        <row r="264">
          <cell r="B264" t="str">
            <v>Sales - % Canada</v>
          </cell>
          <cell r="C264" t="str">
            <v>SALES_CANADA</v>
          </cell>
          <cell r="Y264">
            <v>3.6161377345336608E-2</v>
          </cell>
          <cell r="Z264">
            <v>3.6161377345336608E-2</v>
          </cell>
          <cell r="AA264">
            <v>3.6161377345336608E-2</v>
          </cell>
          <cell r="AB264">
            <v>3.3226099313175966E-2</v>
          </cell>
          <cell r="AC264">
            <v>1.5774049295363527E-2</v>
          </cell>
          <cell r="AD264">
            <v>1.4617828717636819E-2</v>
          </cell>
          <cell r="AE264">
            <v>1.5661744862947684E-2</v>
          </cell>
          <cell r="AF264">
            <v>1.5661744862947684E-2</v>
          </cell>
          <cell r="AG264">
            <v>1.5661744862947684E-2</v>
          </cell>
          <cell r="AH264">
            <v>1.5661744862947684E-2</v>
          </cell>
          <cell r="AI264">
            <v>1.5661744862947684E-2</v>
          </cell>
          <cell r="AJ264">
            <v>1.5661744862947684E-2</v>
          </cell>
          <cell r="AK264">
            <v>1.5661744862947684E-2</v>
          </cell>
          <cell r="AL264">
            <v>1.5661744862947684E-2</v>
          </cell>
          <cell r="AM264">
            <v>1.5661744862947684E-2</v>
          </cell>
          <cell r="AN264">
            <v>1.5661744862947684E-2</v>
          </cell>
          <cell r="AO264">
            <v>1.5661744862947684E-2</v>
          </cell>
          <cell r="AP264">
            <v>1.5661744862947684E-2</v>
          </cell>
        </row>
        <row r="265">
          <cell r="B265" t="str">
            <v>Sales - % United States</v>
          </cell>
          <cell r="C265" t="str">
            <v>SALES_US</v>
          </cell>
          <cell r="Q265">
            <v>0.104247043693736</v>
          </cell>
          <cell r="R265">
            <v>0.104247043693736</v>
          </cell>
          <cell r="S265">
            <v>0.104247043693736</v>
          </cell>
          <cell r="T265">
            <v>0.104247043693736</v>
          </cell>
          <cell r="U265">
            <v>0.104247043693736</v>
          </cell>
          <cell r="V265">
            <v>0.116450805008945</v>
          </cell>
          <cell r="W265">
            <v>0.117003066389173</v>
          </cell>
          <cell r="X265">
            <v>0.117003066389173</v>
          </cell>
          <cell r="Y265">
            <v>0.18191830095076436</v>
          </cell>
          <cell r="Z265">
            <v>0.18191830095076436</v>
          </cell>
          <cell r="AA265">
            <v>0.18191830095076436</v>
          </cell>
          <cell r="AB265">
            <v>0.18124851977579537</v>
          </cell>
          <cell r="AC265">
            <v>0.20475906920265741</v>
          </cell>
          <cell r="AD265">
            <v>0.20482786825078908</v>
          </cell>
          <cell r="AE265">
            <v>0.21605497513396815</v>
          </cell>
          <cell r="AF265">
            <v>0.21605497513396815</v>
          </cell>
          <cell r="AG265">
            <v>0.2</v>
          </cell>
          <cell r="AH265">
            <v>0.2</v>
          </cell>
          <cell r="AI265">
            <v>0.2</v>
          </cell>
          <cell r="AJ265">
            <v>0.2</v>
          </cell>
          <cell r="AK265">
            <v>0.2</v>
          </cell>
          <cell r="AL265">
            <v>0.2</v>
          </cell>
          <cell r="AM265">
            <v>0.2</v>
          </cell>
          <cell r="AN265">
            <v>0.2</v>
          </cell>
          <cell r="AO265">
            <v>0.2</v>
          </cell>
          <cell r="AP265">
            <v>0.2</v>
          </cell>
        </row>
        <row r="266">
          <cell r="B266" t="str">
            <v>Sales - % Other North Americas</v>
          </cell>
          <cell r="C266" t="str">
            <v>SALES_OTH_NO_AMER</v>
          </cell>
          <cell r="Y266">
            <v>2.1920321703899015E-2</v>
          </cell>
          <cell r="Z266">
            <v>2.1920321703899015E-2</v>
          </cell>
          <cell r="AA266">
            <v>2.1920321703899015E-2</v>
          </cell>
          <cell r="AB266">
            <v>2.5525380911028656E-2</v>
          </cell>
          <cell r="AC266">
            <v>1.9466881501979061E-2</v>
          </cell>
          <cell r="AD266">
            <v>2.05543030315741E-2</v>
          </cell>
          <cell r="AE266">
            <v>1.7598982227533828E-2</v>
          </cell>
          <cell r="AF266">
            <v>1.7598982227533828E-2</v>
          </cell>
          <cell r="AG266">
            <v>1.7499680411143491E-2</v>
          </cell>
          <cell r="AH266">
            <v>1.7499680411143491E-2</v>
          </cell>
          <cell r="AI266">
            <v>1.7499680411143491E-2</v>
          </cell>
          <cell r="AJ266">
            <v>1.7499680411143491E-2</v>
          </cell>
          <cell r="AK266">
            <v>1.7499680411143491E-2</v>
          </cell>
          <cell r="AL266">
            <v>1.7499680411143491E-2</v>
          </cell>
          <cell r="AM266">
            <v>1.7499680411143491E-2</v>
          </cell>
          <cell r="AN266">
            <v>1.7499680411143491E-2</v>
          </cell>
          <cell r="AO266">
            <v>1.7499680411143491E-2</v>
          </cell>
          <cell r="AP266">
            <v>1.7499680411143491E-2</v>
          </cell>
        </row>
        <row r="267">
          <cell r="B267" t="str">
            <v>Sales - % Argentina</v>
          </cell>
          <cell r="C267" t="str">
            <v>SALES_ARGENTINA</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B268" t="str">
            <v>Sales - % Brazil</v>
          </cell>
          <cell r="C268" t="str">
            <v>SALES_BRAZIL</v>
          </cell>
          <cell r="Q268">
            <v>4.4321068975251697E-2</v>
          </cell>
          <cell r="R268">
            <v>4.4321068975251697E-2</v>
          </cell>
          <cell r="S268">
            <v>4.4321068975251697E-2</v>
          </cell>
          <cell r="T268">
            <v>4.4321068975251697E-2</v>
          </cell>
          <cell r="U268">
            <v>4.4321068975251697E-2</v>
          </cell>
          <cell r="V268">
            <v>5.77459749552773E-2</v>
          </cell>
          <cell r="W268">
            <v>4.9160745292661602E-2</v>
          </cell>
          <cell r="X268">
            <v>4.9160745292661602E-2</v>
          </cell>
          <cell r="Y268">
            <v>2.7815666899053276E-2</v>
          </cell>
          <cell r="Z268">
            <v>2.7815666899053276E-2</v>
          </cell>
          <cell r="AA268">
            <v>2.7815666899053276E-2</v>
          </cell>
          <cell r="AB268">
            <v>2.3397410594458042E-2</v>
          </cell>
          <cell r="AC268">
            <v>2.3725291020117459E-2</v>
          </cell>
          <cell r="AD268">
            <v>2.3499680169457755E-2</v>
          </cell>
          <cell r="AE268">
            <v>2.4201010062068699E-2</v>
          </cell>
          <cell r="AF268">
            <v>2.4201010062068699E-2</v>
          </cell>
          <cell r="AG268">
            <v>2.4201010062068699E-2</v>
          </cell>
          <cell r="AH268">
            <v>2.4201010062068699E-2</v>
          </cell>
          <cell r="AI268">
            <v>2.4201010062068699E-2</v>
          </cell>
          <cell r="AJ268">
            <v>2.4201010062068699E-2</v>
          </cell>
          <cell r="AK268">
            <v>2.4201010062068699E-2</v>
          </cell>
          <cell r="AL268">
            <v>2.4201010062068699E-2</v>
          </cell>
          <cell r="AM268">
            <v>2.4201010062068699E-2</v>
          </cell>
          <cell r="AN268">
            <v>2.4201010062068699E-2</v>
          </cell>
          <cell r="AO268">
            <v>2.4201010062068699E-2</v>
          </cell>
          <cell r="AP268">
            <v>2.4201010062068699E-2</v>
          </cell>
        </row>
        <row r="269">
          <cell r="B269" t="str">
            <v>Sales - % Chile</v>
          </cell>
          <cell r="C269" t="str">
            <v>SALES_CHILE</v>
          </cell>
          <cell r="Y269">
            <v>2.2773887827993493E-2</v>
          </cell>
          <cell r="Z269">
            <v>2.2773887827993493E-2</v>
          </cell>
          <cell r="AA269">
            <v>2.2773887827993493E-2</v>
          </cell>
          <cell r="AB269">
            <v>1.9045551432857029E-2</v>
          </cell>
          <cell r="AC269">
            <v>5.3708828096722594E-3</v>
          </cell>
          <cell r="AD269">
            <v>5.2850686324884917E-3</v>
          </cell>
          <cell r="AE269">
            <v>5.7924361000809589E-3</v>
          </cell>
          <cell r="AF269">
            <v>5.7924361000809589E-3</v>
          </cell>
          <cell r="AG269">
            <v>5.7924361000809589E-3</v>
          </cell>
          <cell r="AH269">
            <v>5.7924361000809589E-3</v>
          </cell>
          <cell r="AI269">
            <v>5.7924361000809589E-3</v>
          </cell>
          <cell r="AJ269">
            <v>5.7924361000809589E-3</v>
          </cell>
          <cell r="AK269">
            <v>5.7924361000809589E-3</v>
          </cell>
          <cell r="AL269">
            <v>5.7924361000809589E-3</v>
          </cell>
          <cell r="AM269">
            <v>5.7924361000809589E-3</v>
          </cell>
          <cell r="AN269">
            <v>5.7924361000809589E-3</v>
          </cell>
          <cell r="AO269">
            <v>5.7924361000809589E-3</v>
          </cell>
          <cell r="AP269">
            <v>5.7924361000809589E-3</v>
          </cell>
        </row>
        <row r="270">
          <cell r="B270" t="str">
            <v>Sales - % Colombia</v>
          </cell>
          <cell r="C270" t="str">
            <v>SALES_COLOMBIA</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B271" t="str">
            <v>Sales - % Mexico</v>
          </cell>
          <cell r="C271" t="str">
            <v>SALES_MEXICO</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Sales - % Venezuela</v>
          </cell>
          <cell r="C272" t="str">
            <v>SALES_VENEZUELA</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Sales - % Other Latin Americas</v>
          </cell>
          <cell r="C273" t="str">
            <v>SALES_OTH_LATAM</v>
          </cell>
          <cell r="Y273">
            <v>2.9410445272953237E-2</v>
          </cell>
          <cell r="Z273">
            <v>2.9410445272953237E-2</v>
          </cell>
          <cell r="AA273">
            <v>2.9410445272953237E-2</v>
          </cell>
          <cell r="AB273">
            <v>2.7557037972684939E-2</v>
          </cell>
          <cell r="AC273">
            <v>4.0903826170210288E-2</v>
          </cell>
          <cell r="AD273">
            <v>1.1215251198053753E-2</v>
          </cell>
          <cell r="AE273">
            <v>9.5319788735109302E-3</v>
          </cell>
          <cell r="AF273">
            <v>9.5319788735109302E-3</v>
          </cell>
          <cell r="AG273">
            <v>8.253091633580293E-3</v>
          </cell>
          <cell r="AH273">
            <v>8.253091633580293E-3</v>
          </cell>
          <cell r="AI273">
            <v>8.253091633580293E-3</v>
          </cell>
          <cell r="AJ273">
            <v>8.253091633580293E-3</v>
          </cell>
          <cell r="AK273">
            <v>8.253091633580293E-3</v>
          </cell>
          <cell r="AL273">
            <v>8.253091633580293E-3</v>
          </cell>
          <cell r="AM273">
            <v>8.253091633580293E-3</v>
          </cell>
          <cell r="AN273">
            <v>8.253091633580293E-3</v>
          </cell>
          <cell r="AO273">
            <v>8.253091633580293E-3</v>
          </cell>
          <cell r="AP273">
            <v>8.253091633580293E-3</v>
          </cell>
        </row>
        <row r="274">
          <cell r="B274" t="str">
            <v>Sales - % Austria</v>
          </cell>
          <cell r="C274" t="str">
            <v>SALES_AUSTRIA</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Sales - % Belgium</v>
          </cell>
          <cell r="C275" t="str">
            <v>SALES_BEL</v>
          </cell>
          <cell r="Y275">
            <v>9.4167096076707788E-3</v>
          </cell>
          <cell r="Z275">
            <v>9.4167096076707788E-3</v>
          </cell>
          <cell r="AA275">
            <v>9.4167096076707788E-3</v>
          </cell>
          <cell r="AB275">
            <v>9.5227757164285144E-3</v>
          </cell>
          <cell r="AC275">
            <v>1.2668277931509568E-2</v>
          </cell>
          <cell r="AD275">
            <v>1.2289881819993079E-2</v>
          </cell>
          <cell r="AE275">
            <v>1.1170438336096225E-2</v>
          </cell>
          <cell r="AF275">
            <v>1.1170438336096225E-2</v>
          </cell>
          <cell r="AG275">
            <v>9.8005626081938829E-3</v>
          </cell>
          <cell r="AH275">
            <v>9.8005626081938829E-3</v>
          </cell>
          <cell r="AI275">
            <v>9.8005626081938829E-3</v>
          </cell>
          <cell r="AJ275">
            <v>9.8005626081938829E-3</v>
          </cell>
          <cell r="AK275">
            <v>9.8005626081938829E-3</v>
          </cell>
          <cell r="AL275">
            <v>9.8005626081938829E-3</v>
          </cell>
          <cell r="AM275">
            <v>9.8005626081938829E-3</v>
          </cell>
          <cell r="AN275">
            <v>9.8005626081938829E-3</v>
          </cell>
          <cell r="AO275">
            <v>9.8005626081938829E-3</v>
          </cell>
          <cell r="AP275">
            <v>9.8005626081938829E-3</v>
          </cell>
        </row>
        <row r="276">
          <cell r="B276" t="str">
            <v>Sales - % France</v>
          </cell>
          <cell r="C276" t="str">
            <v>SALES_FRA</v>
          </cell>
          <cell r="Y276">
            <v>2.7512553928849281E-2</v>
          </cell>
          <cell r="Z276">
            <v>2.7512553928849281E-2</v>
          </cell>
          <cell r="AA276">
            <v>2.7512553928849281E-2</v>
          </cell>
          <cell r="AB276">
            <v>3.0699850003947263E-2</v>
          </cell>
          <cell r="AC276">
            <v>3.5634639858955944E-2</v>
          </cell>
          <cell r="AD276">
            <v>3.4468294831328711E-2</v>
          </cell>
          <cell r="AE276">
            <v>3.4744978603647017E-2</v>
          </cell>
          <cell r="AF276">
            <v>3.4744978603647017E-2</v>
          </cell>
          <cell r="AG276">
            <v>2.9500865551067512E-2</v>
          </cell>
          <cell r="AH276">
            <v>2.9500865551067512E-2</v>
          </cell>
          <cell r="AI276">
            <v>2.9500865551067512E-2</v>
          </cell>
          <cell r="AJ276">
            <v>2.9500865551067512E-2</v>
          </cell>
          <cell r="AK276">
            <v>2.9500865551067512E-2</v>
          </cell>
          <cell r="AL276">
            <v>2.9500865551067512E-2</v>
          </cell>
          <cell r="AM276">
            <v>2.9500865551067512E-2</v>
          </cell>
          <cell r="AN276">
            <v>2.9500865551067512E-2</v>
          </cell>
          <cell r="AO276">
            <v>2.9500865551067512E-2</v>
          </cell>
          <cell r="AP276">
            <v>2.9500865551067512E-2</v>
          </cell>
        </row>
        <row r="277">
          <cell r="B277" t="str">
            <v>Sales - % Germany</v>
          </cell>
          <cell r="C277" t="str">
            <v>SALES_GER</v>
          </cell>
          <cell r="Y277">
            <v>4.3759409131783417E-2</v>
          </cell>
          <cell r="Z277">
            <v>4.3759409131783417E-2</v>
          </cell>
          <cell r="AA277">
            <v>4.3759409131783417E-2</v>
          </cell>
          <cell r="AB277">
            <v>4.7870450777611116E-2</v>
          </cell>
          <cell r="AC277">
            <v>6.2337268088783031E-2</v>
          </cell>
          <cell r="AD277">
            <v>6.2351226366620174E-2</v>
          </cell>
          <cell r="AE277">
            <v>6.0690466093527122E-2</v>
          </cell>
          <cell r="AF277">
            <v>6.0690466093527122E-2</v>
          </cell>
          <cell r="AG277">
            <v>5.8316503173687251E-2</v>
          </cell>
          <cell r="AH277">
            <v>5.8316503173687251E-2</v>
          </cell>
          <cell r="AI277">
            <v>5.8316503173687251E-2</v>
          </cell>
          <cell r="AJ277">
            <v>5.8316503173687251E-2</v>
          </cell>
          <cell r="AK277">
            <v>5.8316503173687251E-2</v>
          </cell>
          <cell r="AL277">
            <v>5.8316503173687251E-2</v>
          </cell>
          <cell r="AM277">
            <v>5.8316503173687251E-2</v>
          </cell>
          <cell r="AN277">
            <v>5.8316503173687251E-2</v>
          </cell>
          <cell r="AO277">
            <v>5.8316503173687251E-2</v>
          </cell>
          <cell r="AP277">
            <v>5.8316503173687251E-2</v>
          </cell>
        </row>
        <row r="278">
          <cell r="B278" t="str">
            <v>Sales - % Greece</v>
          </cell>
          <cell r="C278" t="str">
            <v>SALES_GRE</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Sales - % Ireland</v>
          </cell>
          <cell r="C279" t="str">
            <v>SALES_IRE</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Sales - % Italy</v>
          </cell>
          <cell r="C280" t="str">
            <v>SALES_ITA</v>
          </cell>
          <cell r="Y280">
            <v>2.0894587412728725E-2</v>
          </cell>
          <cell r="Z280">
            <v>2.0894587412728725E-2</v>
          </cell>
          <cell r="AA280">
            <v>2.0894587412728725E-2</v>
          </cell>
          <cell r="AB280">
            <v>2.2351385489855529E-2</v>
          </cell>
          <cell r="AC280">
            <v>2.7181337349819607E-2</v>
          </cell>
          <cell r="AD280">
            <v>2.553401214307436E-2</v>
          </cell>
          <cell r="AE280">
            <v>2.7391187015690658E-2</v>
          </cell>
          <cell r="AF280">
            <v>2.7391187015690658E-2</v>
          </cell>
          <cell r="AG280">
            <v>2.6642743796884017E-2</v>
          </cell>
          <cell r="AH280">
            <v>2.6642743796884017E-2</v>
          </cell>
          <cell r="AI280">
            <v>2.6642743796884017E-2</v>
          </cell>
          <cell r="AJ280">
            <v>2.6642743796884017E-2</v>
          </cell>
          <cell r="AK280">
            <v>2.6642743796884017E-2</v>
          </cell>
          <cell r="AL280">
            <v>2.6642743796884017E-2</v>
          </cell>
          <cell r="AM280">
            <v>2.6642743796884017E-2</v>
          </cell>
          <cell r="AN280">
            <v>2.6642743796884017E-2</v>
          </cell>
          <cell r="AO280">
            <v>2.6642743796884017E-2</v>
          </cell>
          <cell r="AP280">
            <v>2.6642743796884017E-2</v>
          </cell>
        </row>
        <row r="281">
          <cell r="B281" t="str">
            <v>Sales - % Netherlands</v>
          </cell>
          <cell r="C281" t="str">
            <v>SALES_NETH</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B282" t="str">
            <v>Sales - % Norway</v>
          </cell>
          <cell r="C282" t="str">
            <v>SALES_NOR</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row>
        <row r="283">
          <cell r="B283" t="str">
            <v>Sales - % Portugal</v>
          </cell>
          <cell r="C283" t="str">
            <v>SALES_POR</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B284" t="str">
            <v>Sales - % Spain</v>
          </cell>
          <cell r="C284" t="str">
            <v>SALES_SPA</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B285" t="str">
            <v>Sales - % Sweden</v>
          </cell>
          <cell r="C285" t="str">
            <v>SALES_SWE</v>
          </cell>
          <cell r="Y285">
            <v>1.8661655198892627E-2</v>
          </cell>
          <cell r="Z285">
            <v>1.8661655198892627E-2</v>
          </cell>
          <cell r="AA285">
            <v>1.8661655198892627E-2</v>
          </cell>
          <cell r="AB285">
            <v>1.9292255466961394E-2</v>
          </cell>
          <cell r="AC285">
            <v>1.2341354630051257E-2</v>
          </cell>
          <cell r="AD285">
            <v>1.524700355483783E-2</v>
          </cell>
          <cell r="AE285">
            <v>1.4302787308685764E-2</v>
          </cell>
          <cell r="AF285">
            <v>1.4302787308685764E-2</v>
          </cell>
          <cell r="AG285">
            <v>1.4047172533179457E-2</v>
          </cell>
          <cell r="AH285">
            <v>1.4047172533179457E-2</v>
          </cell>
          <cell r="AI285">
            <v>1.4047172533179457E-2</v>
          </cell>
          <cell r="AJ285">
            <v>1.4047172533179457E-2</v>
          </cell>
          <cell r="AK285">
            <v>1.4047172533179457E-2</v>
          </cell>
          <cell r="AL285">
            <v>1.4047172533179457E-2</v>
          </cell>
          <cell r="AM285">
            <v>1.4047172533179457E-2</v>
          </cell>
          <cell r="AN285">
            <v>1.4047172533179457E-2</v>
          </cell>
          <cell r="AO285">
            <v>1.4047172533179457E-2</v>
          </cell>
          <cell r="AP285">
            <v>1.4047172533179457E-2</v>
          </cell>
        </row>
        <row r="286">
          <cell r="B286" t="str">
            <v>Sales - % Switzerland</v>
          </cell>
          <cell r="C286" t="str">
            <v>SALES_SWIT</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Sales - % UK</v>
          </cell>
          <cell r="C287" t="str">
            <v>SALES_UK</v>
          </cell>
          <cell r="Q287">
            <v>0</v>
          </cell>
          <cell r="R287">
            <v>0</v>
          </cell>
          <cell r="S287">
            <v>0</v>
          </cell>
          <cell r="T287">
            <v>0</v>
          </cell>
          <cell r="U287">
            <v>0</v>
          </cell>
          <cell r="V287">
            <v>0</v>
          </cell>
          <cell r="W287">
            <v>0</v>
          </cell>
          <cell r="X287">
            <v>0</v>
          </cell>
          <cell r="Y287">
            <v>3.3696058521010784E-2</v>
          </cell>
          <cell r="Z287">
            <v>3.3696058521010784E-2</v>
          </cell>
          <cell r="AA287">
            <v>3.3696058521010784E-2</v>
          </cell>
          <cell r="AB287">
            <v>2.5973000710507618E-2</v>
          </cell>
          <cell r="AC287">
            <v>2.8745898863941528E-2</v>
          </cell>
          <cell r="AD287">
            <v>2.7578830363977642E-2</v>
          </cell>
          <cell r="AE287">
            <v>2.5694899572072941E-2</v>
          </cell>
          <cell r="AF287">
            <v>2.5694899572072941E-2</v>
          </cell>
          <cell r="AG287">
            <v>2.5560804962492786E-2</v>
          </cell>
          <cell r="AH287">
            <v>2.5560804962492786E-2</v>
          </cell>
          <cell r="AI287">
            <v>2.5560804962492786E-2</v>
          </cell>
          <cell r="AJ287">
            <v>2.5560804962492786E-2</v>
          </cell>
          <cell r="AK287">
            <v>2.5560804962492786E-2</v>
          </cell>
          <cell r="AL287">
            <v>2.5560804962492786E-2</v>
          </cell>
          <cell r="AM287">
            <v>2.5560804962492786E-2</v>
          </cell>
          <cell r="AN287">
            <v>2.5560804962492786E-2</v>
          </cell>
          <cell r="AO287">
            <v>2.5560804962492786E-2</v>
          </cell>
          <cell r="AP287">
            <v>2.5560804962492786E-2</v>
          </cell>
        </row>
        <row r="288">
          <cell r="B288" t="str">
            <v>Sales - % Other Western Europe</v>
          </cell>
          <cell r="C288" t="str">
            <v>SALES_OTH_WEST_EURO</v>
          </cell>
          <cell r="Y288">
            <v>0.11272943125903021</v>
          </cell>
          <cell r="Z288">
            <v>0.11272943125903021</v>
          </cell>
          <cell r="AA288">
            <v>0.11272943125903021</v>
          </cell>
          <cell r="AB288">
            <v>0.11873174390147628</v>
          </cell>
          <cell r="AC288">
            <v>9.4850140693777923E-2</v>
          </cell>
          <cell r="AD288">
            <v>0.11742006858005724</v>
          </cell>
          <cell r="AE288">
            <v>0.11739080149581711</v>
          </cell>
          <cell r="AF288">
            <v>0.11739080149581711</v>
          </cell>
          <cell r="AG288">
            <v>0.12303447778418927</v>
          </cell>
          <cell r="AH288">
            <v>0.12303447778418927</v>
          </cell>
          <cell r="AI288">
            <v>0.12303447778418927</v>
          </cell>
          <cell r="AJ288">
            <v>0.12303447778418927</v>
          </cell>
          <cell r="AK288">
            <v>0.12303447778418927</v>
          </cell>
          <cell r="AL288">
            <v>0.12303447778418927</v>
          </cell>
          <cell r="AM288">
            <v>0.12303447778418927</v>
          </cell>
          <cell r="AN288">
            <v>0.12303447778418927</v>
          </cell>
          <cell r="AO288">
            <v>0.12303447778418927</v>
          </cell>
          <cell r="AP288">
            <v>0.12303447778418927</v>
          </cell>
        </row>
        <row r="289">
          <cell r="B289" t="str">
            <v>Sales - % Poland</v>
          </cell>
          <cell r="C289" t="str">
            <v>SALES_POLAND</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B290" t="str">
            <v>Sales - % Russia</v>
          </cell>
          <cell r="C290" t="str">
            <v>SALES_RUSSIA</v>
          </cell>
          <cell r="Q290">
            <v>1.59145158558389E-2</v>
          </cell>
          <cell r="R290">
            <v>1.59145158558389E-2</v>
          </cell>
          <cell r="S290">
            <v>1.59145158558389E-2</v>
          </cell>
          <cell r="T290">
            <v>1.59145158558389E-2</v>
          </cell>
          <cell r="U290">
            <v>1.59145158558389E-2</v>
          </cell>
          <cell r="V290">
            <v>3.2858676207513399E-2</v>
          </cell>
          <cell r="W290">
            <v>4.2202874278043902E-2</v>
          </cell>
          <cell r="X290">
            <v>4.2202874278043902E-2</v>
          </cell>
          <cell r="Y290">
            <v>2.332959494003415E-2</v>
          </cell>
          <cell r="Z290">
            <v>2.332959494003415E-2</v>
          </cell>
          <cell r="AA290">
            <v>2.332959494003415E-2</v>
          </cell>
          <cell r="AB290">
            <v>2.5558537933212284E-2</v>
          </cell>
          <cell r="AC290">
            <v>1.6241082583161114E-2</v>
          </cell>
          <cell r="AD290">
            <v>1.5110682340110945E-2</v>
          </cell>
          <cell r="AE290">
            <v>1.4919619106364933E-2</v>
          </cell>
          <cell r="AF290">
            <v>1.4919619106364933E-2</v>
          </cell>
          <cell r="AG290">
            <v>0</v>
          </cell>
          <cell r="AH290">
            <v>0</v>
          </cell>
          <cell r="AI290">
            <v>0</v>
          </cell>
          <cell r="AJ290">
            <v>0</v>
          </cell>
          <cell r="AK290">
            <v>0</v>
          </cell>
          <cell r="AL290">
            <v>0</v>
          </cell>
          <cell r="AM290">
            <v>0</v>
          </cell>
          <cell r="AN290">
            <v>0</v>
          </cell>
          <cell r="AO290">
            <v>0</v>
          </cell>
          <cell r="AP290">
            <v>0</v>
          </cell>
        </row>
        <row r="291">
          <cell r="B291" t="str">
            <v>Sales - % Turkey</v>
          </cell>
          <cell r="C291" t="str">
            <v>SALES_TURKEY</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B292" t="str">
            <v>Sales - % Other CEE</v>
          </cell>
          <cell r="C292" t="str">
            <v>SALES_OTH_CEE</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B293" t="str">
            <v>Sales - % Saudi Arabia</v>
          </cell>
          <cell r="C293" t="str">
            <v>SALES_SAUDI_ARABIA</v>
          </cell>
          <cell r="Y293">
            <v>7.8297111333393954E-2</v>
          </cell>
          <cell r="Z293">
            <v>7.8297111333393954E-2</v>
          </cell>
          <cell r="AA293">
            <v>7.8297111333393954E-2</v>
          </cell>
          <cell r="AB293">
            <v>7.1319570537617422E-2</v>
          </cell>
          <cell r="AC293">
            <v>7.3192989830350164E-2</v>
          </cell>
          <cell r="AD293">
            <v>5.3666306638843156E-2</v>
          </cell>
          <cell r="AE293">
            <v>4.7775550329619491E-2</v>
          </cell>
          <cell r="AF293">
            <v>4.7775550329619491E-2</v>
          </cell>
          <cell r="AG293">
            <v>4.7775550329619491E-2</v>
          </cell>
          <cell r="AH293">
            <v>4.7775550329619491E-2</v>
          </cell>
          <cell r="AI293">
            <v>4.7775550329619491E-2</v>
          </cell>
          <cell r="AJ293">
            <v>4.7775550329619491E-2</v>
          </cell>
          <cell r="AK293">
            <v>4.7775550329619491E-2</v>
          </cell>
          <cell r="AL293">
            <v>4.7775550329619491E-2</v>
          </cell>
          <cell r="AM293">
            <v>4.7775550329619491E-2</v>
          </cell>
          <cell r="AN293">
            <v>4.7775550329619491E-2</v>
          </cell>
          <cell r="AO293">
            <v>4.7775550329619491E-2</v>
          </cell>
          <cell r="AP293">
            <v>4.7775550329619491E-2</v>
          </cell>
        </row>
        <row r="294">
          <cell r="B294" t="str">
            <v>Sales - % United Arab Emirates</v>
          </cell>
          <cell r="C294" t="str">
            <v>SALES_UAE</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B295" t="str">
            <v>Sales - % Other Middle East</v>
          </cell>
          <cell r="C295" t="str">
            <v>SALES_OTH_ME</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row>
        <row r="296">
          <cell r="B296" t="str">
            <v>Sales - % Nigeria</v>
          </cell>
          <cell r="C296" t="str">
            <v>SALES_NIGERIA</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B297" t="str">
            <v>Sales - % South Africa</v>
          </cell>
          <cell r="C297" t="str">
            <v>SALES_SO_AFRICA</v>
          </cell>
          <cell r="Y297">
            <v>2.1702888666606045E-2</v>
          </cell>
          <cell r="Z297">
            <v>2.1702888666606045E-2</v>
          </cell>
          <cell r="AA297">
            <v>2.1702888666606045E-2</v>
          </cell>
          <cell r="AB297">
            <v>1.8680429462382568E-2</v>
          </cell>
          <cell r="AC297">
            <v>6.8070101696498415E-3</v>
          </cell>
          <cell r="AD297">
            <v>6.3336933611568428E-3</v>
          </cell>
          <cell r="AE297">
            <v>6.4670958787925517E-3</v>
          </cell>
          <cell r="AF297">
            <v>6.4670958787925517E-3</v>
          </cell>
          <cell r="AG297">
            <v>6.4014714368147724E-3</v>
          </cell>
          <cell r="AH297">
            <v>6.4014714368147724E-3</v>
          </cell>
          <cell r="AI297">
            <v>6.4014714368147724E-3</v>
          </cell>
          <cell r="AJ297">
            <v>6.4014714368147724E-3</v>
          </cell>
          <cell r="AK297">
            <v>6.4014714368147724E-3</v>
          </cell>
          <cell r="AL297">
            <v>6.4014714368147724E-3</v>
          </cell>
          <cell r="AM297">
            <v>6.4014714368147724E-3</v>
          </cell>
          <cell r="AN297">
            <v>6.4014714368147724E-3</v>
          </cell>
          <cell r="AO297">
            <v>6.4014714368147724E-3</v>
          </cell>
          <cell r="AP297">
            <v>6.4014714368147724E-3</v>
          </cell>
        </row>
        <row r="298">
          <cell r="B298" t="str">
            <v>Sales - % Other Africa</v>
          </cell>
          <cell r="C298" t="str">
            <v>SALES_OTH_AFRICA</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Sales - % Hong Kong</v>
          </cell>
          <cell r="C299" t="str">
            <v>SALES_HONG_KONG</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Sales - % Japan</v>
          </cell>
          <cell r="C300" t="str">
            <v>SALES_JAPAN</v>
          </cell>
          <cell r="Q300">
            <v>0</v>
          </cell>
          <cell r="R300">
            <v>0</v>
          </cell>
          <cell r="S300">
            <v>0</v>
          </cell>
          <cell r="T300">
            <v>0</v>
          </cell>
          <cell r="U300">
            <v>0</v>
          </cell>
          <cell r="V300">
            <v>0</v>
          </cell>
          <cell r="W300">
            <v>0</v>
          </cell>
          <cell r="X300">
            <v>0</v>
          </cell>
          <cell r="Y300">
            <v>0</v>
          </cell>
          <cell r="Z300">
            <v>0</v>
          </cell>
          <cell r="AA300">
            <v>2.0894587412728725E-2</v>
          </cell>
          <cell r="AB300">
            <v>2.2242835714849609E-2</v>
          </cell>
          <cell r="AC300">
            <v>2.630564993519913E-2</v>
          </cell>
          <cell r="AD300">
            <v>2.8291895179472122E-2</v>
          </cell>
          <cell r="AE300">
            <v>2.8258606731176993E-2</v>
          </cell>
          <cell r="AF300">
            <v>2.8258606731176993E-2</v>
          </cell>
          <cell r="AG300">
            <v>2.2405150028851701E-2</v>
          </cell>
          <cell r="AH300">
            <v>2.2405150028851701E-2</v>
          </cell>
          <cell r="AI300">
            <v>2.2405150028851701E-2</v>
          </cell>
          <cell r="AJ300">
            <v>2.2405150028851701E-2</v>
          </cell>
          <cell r="AK300">
            <v>2.2405150028851701E-2</v>
          </cell>
          <cell r="AL300">
            <v>2.2405150028851701E-2</v>
          </cell>
          <cell r="AM300">
            <v>2.2405150028851701E-2</v>
          </cell>
          <cell r="AN300">
            <v>2.2405150028851701E-2</v>
          </cell>
          <cell r="AO300">
            <v>2.2405150028851701E-2</v>
          </cell>
          <cell r="AP300">
            <v>2.2405150028851701E-2</v>
          </cell>
        </row>
        <row r="301">
          <cell r="B301" t="str">
            <v>Sales - % Singapore</v>
          </cell>
          <cell r="C301" t="str">
            <v>SALES_SINGAPORE</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Sales - % South Korea</v>
          </cell>
          <cell r="C302" t="str">
            <v>SALES_SK</v>
          </cell>
          <cell r="Y302">
            <v>0</v>
          </cell>
          <cell r="Z302">
            <v>0</v>
          </cell>
          <cell r="AA302">
            <v>2.7876289493094075E-2</v>
          </cell>
          <cell r="AB302">
            <v>3.8061498381621539E-2</v>
          </cell>
          <cell r="AC302">
            <v>6.5186171144348312E-2</v>
          </cell>
          <cell r="AD302">
            <v>4.9925023331900215E-2</v>
          </cell>
          <cell r="AE302">
            <v>4.1693974324376423E-2</v>
          </cell>
          <cell r="AF302">
            <v>4.1693974324376423E-2</v>
          </cell>
          <cell r="AG302">
            <v>4.1693974324376423E-2</v>
          </cell>
          <cell r="AH302">
            <v>4.1693974324376423E-2</v>
          </cell>
          <cell r="AI302">
            <v>4.1693974324376423E-2</v>
          </cell>
          <cell r="AJ302">
            <v>4.1693974324376423E-2</v>
          </cell>
          <cell r="AK302">
            <v>4.1693974324376423E-2</v>
          </cell>
          <cell r="AL302">
            <v>4.1693974324376423E-2</v>
          </cell>
          <cell r="AM302">
            <v>4.1693974324376423E-2</v>
          </cell>
          <cell r="AN302">
            <v>4.1693974324376423E-2</v>
          </cell>
          <cell r="AO302">
            <v>4.1693974324376423E-2</v>
          </cell>
          <cell r="AP302">
            <v>4.1693974324376423E-2</v>
          </cell>
        </row>
        <row r="303">
          <cell r="B303" t="str">
            <v>Sales - % Taiwan</v>
          </cell>
          <cell r="C303" t="str">
            <v>SALES_TAIWAN</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Sales - % Other Developed Asia</v>
          </cell>
          <cell r="C304" t="str">
            <v>SALES_OTH_DEV_ASIA</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Sales - % China</v>
          </cell>
          <cell r="C305" t="str">
            <v>SALES_CHINA</v>
          </cell>
          <cell r="Q305">
            <v>0.106583858724632</v>
          </cell>
          <cell r="R305">
            <v>0.106583858724632</v>
          </cell>
          <cell r="S305">
            <v>0.106583858724632</v>
          </cell>
          <cell r="T305">
            <v>0.106583858724632</v>
          </cell>
          <cell r="U305">
            <v>0.106583858724632</v>
          </cell>
          <cell r="V305">
            <v>0.11205724508050099</v>
          </cell>
          <cell r="W305">
            <v>0.11731093678805</v>
          </cell>
          <cell r="X305">
            <v>0.11731093678805</v>
          </cell>
          <cell r="Y305">
            <v>0.12251826255645479</v>
          </cell>
          <cell r="Z305">
            <v>0.12251826255645479</v>
          </cell>
          <cell r="AA305">
            <v>0.12251826255645479</v>
          </cell>
          <cell r="AB305">
            <v>0.12294742243625167</v>
          </cell>
          <cell r="AC305">
            <v>0.16128994594089693</v>
          </cell>
          <cell r="AD305">
            <v>0.18191541792938562</v>
          </cell>
          <cell r="AE305">
            <v>0.18766143644704886</v>
          </cell>
          <cell r="AF305">
            <v>0.18766143644704886</v>
          </cell>
          <cell r="AG305">
            <v>0.23</v>
          </cell>
          <cell r="AH305">
            <v>0.23</v>
          </cell>
          <cell r="AI305">
            <v>0.23</v>
          </cell>
          <cell r="AJ305">
            <v>0.23</v>
          </cell>
          <cell r="AK305">
            <v>0.23</v>
          </cell>
          <cell r="AL305">
            <v>0.23</v>
          </cell>
          <cell r="AM305">
            <v>0.23</v>
          </cell>
          <cell r="AN305">
            <v>0.23</v>
          </cell>
          <cell r="AO305">
            <v>0.23</v>
          </cell>
          <cell r="AP305">
            <v>0.23</v>
          </cell>
        </row>
        <row r="306">
          <cell r="B306" t="str">
            <v>Sales - % India</v>
          </cell>
          <cell r="C306" t="str">
            <v>SALES_INDIA</v>
          </cell>
          <cell r="Q306">
            <v>3.8863272795709003E-2</v>
          </cell>
          <cell r="R306">
            <v>3.8863272795709003E-2</v>
          </cell>
          <cell r="S306">
            <v>3.8863272795709003E-2</v>
          </cell>
          <cell r="T306">
            <v>3.8863272795709003E-2</v>
          </cell>
          <cell r="U306">
            <v>3.8863272795709003E-2</v>
          </cell>
          <cell r="V306">
            <v>4.1302325581395301E-2</v>
          </cell>
          <cell r="W306">
            <v>3.7215373816238302E-2</v>
          </cell>
          <cell r="X306">
            <v>3.7215373816238302E-2</v>
          </cell>
          <cell r="Y306">
            <v>3.4423529649500371E-2</v>
          </cell>
          <cell r="Z306">
            <v>3.4423529649500371E-2</v>
          </cell>
          <cell r="AA306">
            <v>3.4423529649500371E-2</v>
          </cell>
          <cell r="AB306">
            <v>3.8801610483934636E-2</v>
          </cell>
          <cell r="AC306">
            <v>3.7140822212103165E-2</v>
          </cell>
          <cell r="AD306">
            <v>3.3524532575527198E-2</v>
          </cell>
          <cell r="AE306">
            <v>3.9294113111530901E-2</v>
          </cell>
          <cell r="AF306">
            <v>3.9294113111530901E-2</v>
          </cell>
          <cell r="AG306">
            <v>3.9294113111530901E-2</v>
          </cell>
          <cell r="AH306">
            <v>3.9294113111530901E-2</v>
          </cell>
          <cell r="AI306">
            <v>3.9294113111530901E-2</v>
          </cell>
          <cell r="AJ306">
            <v>3.9294113111530901E-2</v>
          </cell>
          <cell r="AK306">
            <v>3.9294113111530901E-2</v>
          </cell>
          <cell r="AL306">
            <v>3.9294113111530901E-2</v>
          </cell>
          <cell r="AM306">
            <v>3.9294113111530901E-2</v>
          </cell>
          <cell r="AN306">
            <v>3.9294113111530901E-2</v>
          </cell>
          <cell r="AO306">
            <v>3.9294113111530901E-2</v>
          </cell>
          <cell r="AP306">
            <v>3.9294113111530901E-2</v>
          </cell>
        </row>
        <row r="307">
          <cell r="B307" t="str">
            <v>Sales - % Indonesia</v>
          </cell>
          <cell r="C307" t="str">
            <v>SALES_INDONESIA</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Sales - % Thailand</v>
          </cell>
          <cell r="C308" t="str">
            <v>SALES_THAILAND</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Sales - % Other Emerging Asia</v>
          </cell>
          <cell r="C309" t="str">
            <v>SALES_OTH_EMERG_ASIA</v>
          </cell>
          <cell r="Y309">
            <v>4.8742283248966872E-2</v>
          </cell>
          <cell r="Z309">
            <v>4.8742283248966872E-2</v>
          </cell>
          <cell r="AA309">
            <v>4.8742283248966872E-2</v>
          </cell>
          <cell r="AB309">
            <v>4.4740269992894932E-2</v>
          </cell>
          <cell r="AC309">
            <v>1.8728501873971071E-2</v>
          </cell>
          <cell r="AD309">
            <v>4.5143818881536846E-2</v>
          </cell>
          <cell r="AE309">
            <v>4.2898723929218549E-2</v>
          </cell>
          <cell r="AF309">
            <v>4.2898723929218549E-2</v>
          </cell>
          <cell r="AG309">
            <v>4.2898723929218549E-2</v>
          </cell>
          <cell r="AH309">
            <v>4.2898723929218549E-2</v>
          </cell>
          <cell r="AI309">
            <v>4.2898723929218549E-2</v>
          </cell>
          <cell r="AJ309">
            <v>4.2898723929218549E-2</v>
          </cell>
          <cell r="AK309">
            <v>4.2898723929218549E-2</v>
          </cell>
          <cell r="AL309">
            <v>4.2898723929218549E-2</v>
          </cell>
          <cell r="AM309">
            <v>4.2898723929218549E-2</v>
          </cell>
          <cell r="AN309">
            <v>4.2898723929218549E-2</v>
          </cell>
          <cell r="AO309">
            <v>4.2898723929218549E-2</v>
          </cell>
          <cell r="AP309">
            <v>4.2898723929218549E-2</v>
          </cell>
        </row>
        <row r="310">
          <cell r="B310" t="str">
            <v>Sales - % Australia</v>
          </cell>
          <cell r="C310" t="str">
            <v>SALES_AUSTRA</v>
          </cell>
          <cell r="Y310">
            <v>3.5545047639255152E-2</v>
          </cell>
          <cell r="Z310">
            <v>3.5545047639255152E-2</v>
          </cell>
          <cell r="AA310">
            <v>3.5545047639255152E-2</v>
          </cell>
          <cell r="AB310">
            <v>3.3206362990447623E-2</v>
          </cell>
          <cell r="AC310">
            <v>1.1348908893481382E-2</v>
          </cell>
          <cell r="AD310">
            <v>1.1199312102177993E-2</v>
          </cell>
          <cell r="AE310">
            <v>1.0804194456224218E-2</v>
          </cell>
          <cell r="AF310">
            <v>1.0804194456224218E-2</v>
          </cell>
          <cell r="AG310">
            <v>1.0804194456224218E-2</v>
          </cell>
          <cell r="AH310">
            <v>1.0804194456224218E-2</v>
          </cell>
          <cell r="AI310">
            <v>1.0804194456224218E-2</v>
          </cell>
          <cell r="AJ310">
            <v>1.0804194456224218E-2</v>
          </cell>
          <cell r="AK310">
            <v>1.0804194456224218E-2</v>
          </cell>
          <cell r="AL310">
            <v>1.0804194456224218E-2</v>
          </cell>
          <cell r="AM310">
            <v>1.0804194456224218E-2</v>
          </cell>
          <cell r="AN310">
            <v>1.0804194456224218E-2</v>
          </cell>
          <cell r="AO310">
            <v>1.0804194456224218E-2</v>
          </cell>
          <cell r="AP310">
            <v>1.0804194456224218E-2</v>
          </cell>
        </row>
        <row r="311">
          <cell r="B311" t="str">
            <v>Sales - % New Zealand</v>
          </cell>
          <cell r="C311" t="str">
            <v>SALES_NZ</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B312" t="str">
            <v>Sales - % Others</v>
          </cell>
          <cell r="C312" t="str">
            <v>SALES_OTHER</v>
          </cell>
          <cell r="Q312">
            <v>0</v>
          </cell>
          <cell r="R312">
            <v>0</v>
          </cell>
          <cell r="S312">
            <v>0</v>
          </cell>
          <cell r="T312">
            <v>0</v>
          </cell>
          <cell r="U312">
            <v>0</v>
          </cell>
          <cell r="V312">
            <v>0</v>
          </cell>
          <cell r="W312">
            <v>0</v>
          </cell>
          <cell r="X312">
            <v>0</v>
          </cell>
          <cell r="Y312">
            <v>4.8770876905822935E-2</v>
          </cell>
          <cell r="Z312">
            <v>4.8770876905822935E-2</v>
          </cell>
          <cell r="AA312">
            <v>0</v>
          </cell>
          <cell r="AB312">
            <v>0</v>
          </cell>
          <cell r="AC312">
            <v>0</v>
          </cell>
          <cell r="AD312">
            <v>0</v>
          </cell>
          <cell r="AE312">
            <v>0</v>
          </cell>
          <cell r="AF312">
            <v>0</v>
          </cell>
          <cell r="AG312">
            <v>4.1572890384866668E-4</v>
          </cell>
          <cell r="AH312">
            <v>4.1572890384866668E-4</v>
          </cell>
          <cell r="AI312">
            <v>4.1572890384866668E-4</v>
          </cell>
          <cell r="AJ312">
            <v>4.1572890384866668E-4</v>
          </cell>
          <cell r="AK312">
            <v>4.1572890384866668E-4</v>
          </cell>
          <cell r="AL312">
            <v>4.1572890384866668E-4</v>
          </cell>
          <cell r="AM312">
            <v>4.1572890384866668E-4</v>
          </cell>
          <cell r="AN312">
            <v>4.1572890384866668E-4</v>
          </cell>
          <cell r="AO312">
            <v>4.1572890384866668E-4</v>
          </cell>
          <cell r="AP312">
            <v>4.1572890384866668E-4</v>
          </cell>
        </row>
        <row r="313">
          <cell r="B313" t="str">
            <v>% of CoGS from U.S. (GS estimate)</v>
          </cell>
          <cell r="C313" t="str">
            <v>COGS_PCT_US</v>
          </cell>
          <cell r="Z313">
            <v>0.13263929492572132</v>
          </cell>
          <cell r="AA313">
            <v>0.13263929492572132</v>
          </cell>
          <cell r="AB313">
            <v>0.13263929492572132</v>
          </cell>
          <cell r="AC313">
            <v>0.13263929492572132</v>
          </cell>
          <cell r="AD313">
            <v>0.13263929492572132</v>
          </cell>
          <cell r="AE313">
            <v>0.13263929492572132</v>
          </cell>
          <cell r="AF313">
            <v>0.13263929492572132</v>
          </cell>
        </row>
        <row r="314">
          <cell r="B314" t="str">
            <v>% of CoGS from non-U.S. (GS estimate)</v>
          </cell>
          <cell r="C314" t="str">
            <v>COGS_PCT_ROW</v>
          </cell>
          <cell r="Z314">
            <v>0.86736070507427865</v>
          </cell>
          <cell r="AA314">
            <v>0.86736070507427865</v>
          </cell>
          <cell r="AB314">
            <v>0.86736070507427865</v>
          </cell>
          <cell r="AC314">
            <v>0.86736070507427865</v>
          </cell>
          <cell r="AD314">
            <v>0.86736070507427865</v>
          </cell>
          <cell r="AE314">
            <v>0.86736070507427865</v>
          </cell>
          <cell r="AF314">
            <v>0.86736070507427865</v>
          </cell>
        </row>
        <row r="315">
          <cell r="B315" t="str">
            <v>% of SG&amp;A from U.S. (GS estimate)</v>
          </cell>
          <cell r="C315" t="str">
            <v>SGA_PCT_US</v>
          </cell>
          <cell r="Z315">
            <v>0.18118460077699999</v>
          </cell>
          <cell r="AA315">
            <v>0.18118460077699999</v>
          </cell>
          <cell r="AB315">
            <v>0.18118460077699999</v>
          </cell>
          <cell r="AC315">
            <v>0.18118460077699999</v>
          </cell>
          <cell r="AD315">
            <v>0.18118460077699999</v>
          </cell>
          <cell r="AE315">
            <v>0.18118460077699999</v>
          </cell>
          <cell r="AF315">
            <v>0.18118460077699999</v>
          </cell>
        </row>
        <row r="316">
          <cell r="B316" t="str">
            <v>% of SG&amp;A from non-U.S. (GS estimate)</v>
          </cell>
          <cell r="C316" t="str">
            <v>SGA_PCT_ROW</v>
          </cell>
          <cell r="Z316">
            <v>0.81881539922300006</v>
          </cell>
          <cell r="AA316">
            <v>0.81881539922300006</v>
          </cell>
          <cell r="AB316">
            <v>0.81881539922300006</v>
          </cell>
          <cell r="AC316">
            <v>0.81881539922300006</v>
          </cell>
          <cell r="AD316">
            <v>0.81881539922300006</v>
          </cell>
          <cell r="AE316">
            <v>0.81881539922300006</v>
          </cell>
          <cell r="AF316">
            <v>0.81881539922300006</v>
          </cell>
        </row>
        <row r="317">
          <cell r="B317" t="str">
            <v>Sales -% Consumer (C)</v>
          </cell>
          <cell r="C317" t="str">
            <v>SALES_CONS</v>
          </cell>
          <cell r="U317">
            <v>0.06</v>
          </cell>
          <cell r="V317">
            <v>0.06</v>
          </cell>
          <cell r="W317">
            <v>0.06</v>
          </cell>
          <cell r="X317">
            <v>0.06</v>
          </cell>
          <cell r="Y317">
            <v>0.06</v>
          </cell>
          <cell r="Z317">
            <v>0.06</v>
          </cell>
          <cell r="AA317">
            <v>0.06</v>
          </cell>
          <cell r="AB317">
            <v>0.06</v>
          </cell>
          <cell r="AC317">
            <v>0.06</v>
          </cell>
          <cell r="AD317">
            <v>0.06</v>
          </cell>
          <cell r="AE317">
            <v>0.06</v>
          </cell>
          <cell r="AF317">
            <v>0.06</v>
          </cell>
          <cell r="AG317">
            <v>0.06</v>
          </cell>
          <cell r="AH317">
            <v>0.06</v>
          </cell>
          <cell r="AI317">
            <v>0.06</v>
          </cell>
          <cell r="AJ317">
            <v>0.06</v>
          </cell>
          <cell r="AK317">
            <v>0.06</v>
          </cell>
          <cell r="AL317">
            <v>0.06</v>
          </cell>
          <cell r="AM317">
            <v>0.06</v>
          </cell>
          <cell r="AN317">
            <v>0.06</v>
          </cell>
          <cell r="AO317">
            <v>0.06</v>
          </cell>
          <cell r="AP317">
            <v>0.06</v>
          </cell>
        </row>
        <row r="318">
          <cell r="B318" t="str">
            <v>Sales -% Industry (I)</v>
          </cell>
          <cell r="C318" t="str">
            <v>SALES_IND</v>
          </cell>
          <cell r="U318">
            <v>0.94</v>
          </cell>
          <cell r="V318">
            <v>0.94</v>
          </cell>
          <cell r="W318">
            <v>0.94</v>
          </cell>
          <cell r="X318">
            <v>0.94</v>
          </cell>
          <cell r="Y318">
            <v>0.94</v>
          </cell>
          <cell r="Z318">
            <v>0.94</v>
          </cell>
          <cell r="AA318">
            <v>0.94</v>
          </cell>
          <cell r="AB318">
            <v>0.94</v>
          </cell>
          <cell r="AC318">
            <v>0.94</v>
          </cell>
          <cell r="AD318">
            <v>0.94</v>
          </cell>
          <cell r="AE318">
            <v>0.94</v>
          </cell>
          <cell r="AF318">
            <v>0.94</v>
          </cell>
          <cell r="AG318">
            <v>0.94</v>
          </cell>
          <cell r="AH318">
            <v>0.94</v>
          </cell>
          <cell r="AI318">
            <v>0.94</v>
          </cell>
          <cell r="AJ318">
            <v>0.94</v>
          </cell>
          <cell r="AK318">
            <v>0.94</v>
          </cell>
          <cell r="AL318">
            <v>0.94</v>
          </cell>
          <cell r="AM318">
            <v>0.94</v>
          </cell>
          <cell r="AN318">
            <v>0.94</v>
          </cell>
          <cell r="AO318">
            <v>0.94</v>
          </cell>
          <cell r="AP318">
            <v>0.94</v>
          </cell>
        </row>
        <row r="319">
          <cell r="B319" t="str">
            <v>Sales -% Government (G)</v>
          </cell>
          <cell r="C319" t="str">
            <v>SALES_GOV</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B320" t="str">
            <v>Sales - % Industry Sub-Segment: Financial Services</v>
          </cell>
          <cell r="C320" t="str">
            <v>SALES_FINAN</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cell r="X323">
            <v>0</v>
          </cell>
        </row>
        <row r="324">
          <cell r="B324" t="str">
            <v>Sales - % Oil derivatives/NGLs/plastics</v>
          </cell>
          <cell r="C324" t="str">
            <v>SALES_OIL_DERIV_NGLS_PLASTICS</v>
          </cell>
          <cell r="X324">
            <v>0</v>
          </cell>
        </row>
        <row r="325">
          <cell r="B325" t="str">
            <v>Sales - % Nat Gas</v>
          </cell>
          <cell r="C325" t="str">
            <v>SALES_NAT_GAS</v>
          </cell>
          <cell r="X325">
            <v>0</v>
          </cell>
        </row>
        <row r="326">
          <cell r="B326" t="str">
            <v>Sales - % Gold</v>
          </cell>
          <cell r="C326" t="str">
            <v>SALES_GOLD</v>
          </cell>
          <cell r="X326">
            <v>8.3700000000000011E-2</v>
          </cell>
        </row>
        <row r="327">
          <cell r="B327" t="str">
            <v>Sales - % Copper</v>
          </cell>
          <cell r="C327" t="str">
            <v>SALES_COPPER</v>
          </cell>
          <cell r="X327">
            <v>4.3200000000000002E-2</v>
          </cell>
        </row>
        <row r="328">
          <cell r="B328" t="str">
            <v>Sales - % Silver</v>
          </cell>
          <cell r="C328" t="str">
            <v>SALES_SILVER</v>
          </cell>
          <cell r="X328">
            <v>0</v>
          </cell>
        </row>
        <row r="329">
          <cell r="B329" t="str">
            <v>Sales - % Platinum</v>
          </cell>
          <cell r="C329" t="str">
            <v>SALES_PLATINUM</v>
          </cell>
          <cell r="X329">
            <v>1.3500000000000002E-2</v>
          </cell>
        </row>
        <row r="330">
          <cell r="B330" t="str">
            <v>Sales - % Palladium</v>
          </cell>
          <cell r="C330" t="str">
            <v>SALES_PALLADIUM</v>
          </cell>
          <cell r="X330">
            <v>0</v>
          </cell>
        </row>
        <row r="331">
          <cell r="B331" t="str">
            <v>Sales - % Aluminium</v>
          </cell>
          <cell r="C331" t="str">
            <v>SALES_ALUMINIUM</v>
          </cell>
          <cell r="X331">
            <v>0</v>
          </cell>
        </row>
        <row r="332">
          <cell r="B332" t="str">
            <v>Sales - % Nickel</v>
          </cell>
          <cell r="C332" t="str">
            <v>SALES_NICKEL</v>
          </cell>
          <cell r="X332">
            <v>1.3500000000000002E-2</v>
          </cell>
        </row>
        <row r="333">
          <cell r="B333" t="str">
            <v>Sales - % Zinc</v>
          </cell>
          <cell r="C333" t="str">
            <v>SALES_ZINC</v>
          </cell>
          <cell r="X333">
            <v>1.6199999999999999E-2</v>
          </cell>
        </row>
        <row r="334">
          <cell r="B334" t="str">
            <v>Sales - % Steel</v>
          </cell>
          <cell r="C334" t="str">
            <v>SALES_STEEL</v>
          </cell>
          <cell r="X334">
            <v>0</v>
          </cell>
        </row>
        <row r="335">
          <cell r="B335" t="str">
            <v>Sales - % Tin</v>
          </cell>
          <cell r="C335" t="str">
            <v>SALES_TIN</v>
          </cell>
          <cell r="X335">
            <v>0</v>
          </cell>
        </row>
        <row r="336">
          <cell r="B336" t="str">
            <v>Sales - % Iron Ore</v>
          </cell>
          <cell r="C336" t="str">
            <v>SALES_IRON_ORE</v>
          </cell>
          <cell r="X336">
            <v>3.7800000000000007E-2</v>
          </cell>
        </row>
        <row r="337">
          <cell r="B337" t="str">
            <v>Sales - % Ferrochrome</v>
          </cell>
          <cell r="C337" t="str">
            <v>SALES_FERROCHROME</v>
          </cell>
          <cell r="X337">
            <v>0</v>
          </cell>
        </row>
        <row r="338">
          <cell r="B338" t="str">
            <v>Sales - % Diamonds</v>
          </cell>
          <cell r="C338" t="str">
            <v>SALES_DIAMONDS</v>
          </cell>
          <cell r="X338">
            <v>0</v>
          </cell>
        </row>
        <row r="339">
          <cell r="B339" t="str">
            <v>Sales - % Coal: thermal</v>
          </cell>
          <cell r="C339" t="str">
            <v>SALES_COAL_THERMAL</v>
          </cell>
          <cell r="X339">
            <v>1.6199999999999999E-2</v>
          </cell>
        </row>
        <row r="340">
          <cell r="B340" t="str">
            <v>Sales - % Coal: Metallurgical</v>
          </cell>
          <cell r="C340" t="str">
            <v>SALES_COAL_MET</v>
          </cell>
          <cell r="X340">
            <v>1.6199999999999999E-2</v>
          </cell>
        </row>
        <row r="341">
          <cell r="B341" t="str">
            <v>Sales - % Paper/pulp</v>
          </cell>
          <cell r="C341" t="str">
            <v>SALES_PAPER_PULP</v>
          </cell>
          <cell r="X341">
            <v>0</v>
          </cell>
        </row>
        <row r="342">
          <cell r="B342" t="str">
            <v>Sales - % Glass</v>
          </cell>
          <cell r="C342" t="str">
            <v>SALES_GLASS</v>
          </cell>
          <cell r="X342">
            <v>0</v>
          </cell>
        </row>
        <row r="343">
          <cell r="B343" t="str">
            <v>Sales - % Cement</v>
          </cell>
          <cell r="C343" t="str">
            <v>SALES_CEMENT</v>
          </cell>
          <cell r="X343">
            <v>0</v>
          </cell>
        </row>
        <row r="344">
          <cell r="B344" t="str">
            <v>Sales - % Palm oil</v>
          </cell>
          <cell r="C344" t="str">
            <v>SALES_PALM_OIL</v>
          </cell>
          <cell r="X344">
            <v>0</v>
          </cell>
        </row>
        <row r="345">
          <cell r="B345" t="str">
            <v>Sales - % Other commodity</v>
          </cell>
          <cell r="C345" t="str">
            <v>SALES_OTH_COMMODITY</v>
          </cell>
          <cell r="X345">
            <v>2.9700000000000001E-2</v>
          </cell>
        </row>
        <row r="346">
          <cell r="B346" t="str">
            <v>Sales - % Other (Non-Commodity) sales sources</v>
          </cell>
          <cell r="C346" t="str">
            <v>SALES_OTH_SALES_SOURCES</v>
          </cell>
          <cell r="X346">
            <v>0</v>
          </cell>
        </row>
        <row r="347">
          <cell r="A347" t="str">
            <v>Commodities Exposure - Expense</v>
          </cell>
        </row>
        <row r="348">
          <cell r="B348" t="str">
            <v>Expense - % Oil/Petrol/Fuel</v>
          </cell>
          <cell r="C348" t="str">
            <v>EXP_OIL_PETRO_FUEL</v>
          </cell>
          <cell r="X348">
            <v>0</v>
          </cell>
          <cell r="Y348">
            <v>0.05</v>
          </cell>
          <cell r="Z348">
            <v>0.05</v>
          </cell>
          <cell r="AA348">
            <v>0.05</v>
          </cell>
          <cell r="AB348">
            <v>0.05</v>
          </cell>
          <cell r="AC348">
            <v>0.05</v>
          </cell>
          <cell r="AD348">
            <v>0.05</v>
          </cell>
          <cell r="AE348">
            <v>0.05</v>
          </cell>
          <cell r="AF348">
            <v>0.05</v>
          </cell>
          <cell r="AG348">
            <v>0.05</v>
          </cell>
          <cell r="AH348">
            <v>0.05</v>
          </cell>
          <cell r="AI348">
            <v>0.05</v>
          </cell>
          <cell r="AJ348">
            <v>0.05</v>
          </cell>
          <cell r="AK348">
            <v>0.05</v>
          </cell>
          <cell r="AL348">
            <v>0.05</v>
          </cell>
          <cell r="AM348">
            <v>0.05</v>
          </cell>
          <cell r="AN348">
            <v>0.05</v>
          </cell>
          <cell r="AO348">
            <v>0.05</v>
          </cell>
          <cell r="AP348">
            <v>0.05</v>
          </cell>
        </row>
        <row r="349">
          <cell r="B349" t="str">
            <v>Expense - % Oil derivatives/NGLs/plastics</v>
          </cell>
          <cell r="C349" t="str">
            <v>EXP_OIL_DERIV_NGLS_PLASTICS</v>
          </cell>
          <cell r="X349">
            <v>0</v>
          </cell>
          <cell r="Y349">
            <v>0.05</v>
          </cell>
          <cell r="Z349">
            <v>0.05</v>
          </cell>
          <cell r="AA349">
            <v>0.05</v>
          </cell>
          <cell r="AB349">
            <v>0.05</v>
          </cell>
          <cell r="AC349">
            <v>0.05</v>
          </cell>
          <cell r="AD349">
            <v>0.05</v>
          </cell>
          <cell r="AE349">
            <v>0.05</v>
          </cell>
          <cell r="AF349">
            <v>0.05</v>
          </cell>
          <cell r="AG349">
            <v>0.05</v>
          </cell>
          <cell r="AH349">
            <v>0.05</v>
          </cell>
          <cell r="AI349">
            <v>0.05</v>
          </cell>
          <cell r="AJ349">
            <v>0.05</v>
          </cell>
          <cell r="AK349">
            <v>0.05</v>
          </cell>
          <cell r="AL349">
            <v>0.05</v>
          </cell>
          <cell r="AM349">
            <v>0.05</v>
          </cell>
          <cell r="AN349">
            <v>0.05</v>
          </cell>
          <cell r="AO349">
            <v>0.05</v>
          </cell>
          <cell r="AP349">
            <v>0.05</v>
          </cell>
        </row>
        <row r="350">
          <cell r="B350" t="str">
            <v>Expense - % Nat Gas</v>
          </cell>
          <cell r="C350" t="str">
            <v>EXP_NAT_GAS</v>
          </cell>
          <cell r="X350">
            <v>0</v>
          </cell>
        </row>
        <row r="351">
          <cell r="B351" t="str">
            <v>Expense - % Gold</v>
          </cell>
          <cell r="C351" t="str">
            <v>EXP_GOLD</v>
          </cell>
          <cell r="X351">
            <v>0</v>
          </cell>
        </row>
        <row r="352">
          <cell r="B352" t="str">
            <v>Expense - % Copper</v>
          </cell>
          <cell r="C352" t="str">
            <v>EXP_COPPER</v>
          </cell>
          <cell r="X352">
            <v>0</v>
          </cell>
        </row>
        <row r="353">
          <cell r="B353" t="str">
            <v>Expense - % Silver</v>
          </cell>
          <cell r="C353" t="str">
            <v>EXP_SILVER</v>
          </cell>
          <cell r="X353">
            <v>0</v>
          </cell>
        </row>
        <row r="354">
          <cell r="B354" t="str">
            <v>Expense - % Platinum</v>
          </cell>
          <cell r="C354" t="str">
            <v>EXP_PLATINUM</v>
          </cell>
          <cell r="X354">
            <v>0</v>
          </cell>
        </row>
        <row r="355">
          <cell r="B355" t="str">
            <v>Expense - % Palladium</v>
          </cell>
          <cell r="C355" t="str">
            <v>EXP_PALLADIUM</v>
          </cell>
          <cell r="X355">
            <v>0</v>
          </cell>
        </row>
        <row r="356">
          <cell r="B356" t="str">
            <v>Expense - % Aluminium</v>
          </cell>
          <cell r="C356" t="str">
            <v>EXP_ALUMINIUM</v>
          </cell>
          <cell r="X356">
            <v>0</v>
          </cell>
        </row>
        <row r="357">
          <cell r="B357" t="str">
            <v>Expense - % Nickel</v>
          </cell>
          <cell r="C357" t="str">
            <v>EXP_NICKEL</v>
          </cell>
          <cell r="X357">
            <v>0</v>
          </cell>
        </row>
        <row r="358">
          <cell r="B358" t="str">
            <v>Expense - % Zinc</v>
          </cell>
          <cell r="C358" t="str">
            <v>EXP_ZINC</v>
          </cell>
          <cell r="X358">
            <v>0</v>
          </cell>
        </row>
        <row r="359">
          <cell r="B359" t="str">
            <v>Expense - % Steel</v>
          </cell>
          <cell r="C359" t="str">
            <v>EXP_STEEL</v>
          </cell>
          <cell r="X359">
            <v>0</v>
          </cell>
        </row>
        <row r="360">
          <cell r="B360" t="str">
            <v>Expense - % Tin</v>
          </cell>
          <cell r="C360" t="str">
            <v>EXP_TIN</v>
          </cell>
          <cell r="X360">
            <v>0</v>
          </cell>
        </row>
        <row r="361">
          <cell r="B361" t="str">
            <v>Expense - % Iron Ore</v>
          </cell>
          <cell r="C361" t="str">
            <v>EXP_IRON_ORE</v>
          </cell>
          <cell r="X361">
            <v>0</v>
          </cell>
        </row>
        <row r="362">
          <cell r="B362" t="str">
            <v>Expense - % Ferrochrome</v>
          </cell>
          <cell r="C362" t="str">
            <v>EXP_FERROCHROME</v>
          </cell>
          <cell r="X362">
            <v>0</v>
          </cell>
        </row>
        <row r="363">
          <cell r="B363" t="str">
            <v>Expense - % Diamonds</v>
          </cell>
          <cell r="C363" t="str">
            <v>EXP_DIAMONDS</v>
          </cell>
          <cell r="X363">
            <v>0</v>
          </cell>
        </row>
        <row r="364">
          <cell r="B364" t="str">
            <v>Expense - % Paper/pulp</v>
          </cell>
          <cell r="C364" t="str">
            <v>EXP_PAPER_PULP</v>
          </cell>
          <cell r="X364">
            <v>0</v>
          </cell>
        </row>
        <row r="365">
          <cell r="B365" t="str">
            <v>Expense - % Lumber</v>
          </cell>
          <cell r="C365" t="str">
            <v>EXP_LUMBER</v>
          </cell>
          <cell r="X365">
            <v>0</v>
          </cell>
        </row>
        <row r="366">
          <cell r="B366" t="str">
            <v>Expense - % Glass</v>
          </cell>
          <cell r="C366" t="str">
            <v>EXP_GLASS</v>
          </cell>
          <cell r="X366">
            <v>0</v>
          </cell>
        </row>
        <row r="367">
          <cell r="B367" t="str">
            <v>Expense - % Cement</v>
          </cell>
          <cell r="C367" t="str">
            <v>EXP_CEMENT</v>
          </cell>
          <cell r="X367">
            <v>0</v>
          </cell>
        </row>
        <row r="368">
          <cell r="B368" t="str">
            <v>Expense - % Rubber</v>
          </cell>
          <cell r="C368" t="str">
            <v>EXP_RUBBER</v>
          </cell>
          <cell r="X368">
            <v>0</v>
          </cell>
        </row>
        <row r="369">
          <cell r="B369" t="str">
            <v>Expense - % Water</v>
          </cell>
          <cell r="C369" t="str">
            <v>EXP_WATER</v>
          </cell>
          <cell r="X369">
            <v>0</v>
          </cell>
        </row>
        <row r="370">
          <cell r="B370" t="str">
            <v>Expense - % Other commodity</v>
          </cell>
          <cell r="C370" t="str">
            <v>EXP_OTH_COMMODITY</v>
          </cell>
          <cell r="X370">
            <v>0</v>
          </cell>
        </row>
        <row r="371">
          <cell r="B371" t="str">
            <v>Expense - % Other (Non-Commodity) cost</v>
          </cell>
          <cell r="C371" t="str">
            <v>EXP_OTH_COST</v>
          </cell>
          <cell r="X371">
            <v>0</v>
          </cell>
        </row>
        <row r="372">
          <cell r="A372" t="str">
            <v>FX Exposure - Sales</v>
          </cell>
        </row>
        <row r="373">
          <cell r="B373" t="str">
            <v>Sales - % FX: British Pounds/Pence</v>
          </cell>
          <cell r="C373" t="str">
            <v>SALES_FX_GPB</v>
          </cell>
          <cell r="X373">
            <v>0</v>
          </cell>
          <cell r="Y373">
            <v>3.3696058521010784E-2</v>
          </cell>
          <cell r="Z373">
            <v>3.3696058521010784E-2</v>
          </cell>
          <cell r="AA373">
            <v>3.3696058521010784E-2</v>
          </cell>
          <cell r="AB373">
            <v>2.5973000710507618E-2</v>
          </cell>
          <cell r="AC373">
            <v>2.8745898863941528E-2</v>
          </cell>
          <cell r="AD373">
            <v>2.7578830363977642E-2</v>
          </cell>
          <cell r="AE373">
            <v>2.5694899572072941E-2</v>
          </cell>
          <cell r="AF373">
            <v>2.5694899572072941E-2</v>
          </cell>
          <cell r="AG373">
            <v>2.5560804962492786E-2</v>
          </cell>
          <cell r="AH373">
            <v>2.5560804962492786E-2</v>
          </cell>
          <cell r="AI373">
            <v>2.5560804962492786E-2</v>
          </cell>
          <cell r="AJ373">
            <v>2.5560804962492786E-2</v>
          </cell>
          <cell r="AK373">
            <v>2.5560804962492786E-2</v>
          </cell>
          <cell r="AL373">
            <v>2.5560804962492786E-2</v>
          </cell>
          <cell r="AM373">
            <v>2.5560804962492786E-2</v>
          </cell>
          <cell r="AN373">
            <v>2.5560804962492786E-2</v>
          </cell>
          <cell r="AO373">
            <v>2.5560804962492786E-2</v>
          </cell>
          <cell r="AP373">
            <v>2.5560804962492786E-2</v>
          </cell>
        </row>
        <row r="374">
          <cell r="B374" t="str">
            <v>Sales - % FX: Euro</v>
          </cell>
          <cell r="C374" t="str">
            <v>SALES_FX_EUR</v>
          </cell>
          <cell r="X374">
            <v>0.24066586209869101</v>
          </cell>
          <cell r="Y374">
            <v>0.38284742803248917</v>
          </cell>
          <cell r="Z374">
            <v>0.26114662150918649</v>
          </cell>
          <cell r="AA374">
            <v>0.26099565358047611</v>
          </cell>
          <cell r="AB374">
            <v>0.26099565358047611</v>
          </cell>
          <cell r="AC374">
            <v>0.26099565358047611</v>
          </cell>
          <cell r="AD374">
            <v>0.26099565358047611</v>
          </cell>
          <cell r="AE374">
            <v>0.26099565358047611</v>
          </cell>
          <cell r="AF374">
            <v>0.26099565358047611</v>
          </cell>
          <cell r="AG374">
            <v>0.26099565358047611</v>
          </cell>
          <cell r="AH374">
            <v>0.26099565358047611</v>
          </cell>
          <cell r="AI374">
            <v>0.26099565358047611</v>
          </cell>
          <cell r="AJ374">
            <v>0.26099565358047611</v>
          </cell>
          <cell r="AK374">
            <v>0.26099565358047611</v>
          </cell>
          <cell r="AL374">
            <v>0.26099565358047611</v>
          </cell>
          <cell r="AM374">
            <v>0.26099565358047611</v>
          </cell>
          <cell r="AN374">
            <v>0.26099565358047611</v>
          </cell>
          <cell r="AO374">
            <v>0.26099565358047611</v>
          </cell>
          <cell r="AP374">
            <v>0.26099565358047611</v>
          </cell>
        </row>
        <row r="375">
          <cell r="B375" t="str">
            <v>Sales - % FX: New Russian Ruble</v>
          </cell>
          <cell r="C375" t="str">
            <v>SALES_FX_RUB</v>
          </cell>
          <cell r="X375">
            <v>4.2202874278043902E-2</v>
          </cell>
          <cell r="Y375">
            <v>2.332959494003415E-2</v>
          </cell>
          <cell r="Z375">
            <v>2.332959494003415E-2</v>
          </cell>
          <cell r="AA375">
            <v>2.332959494003415E-2</v>
          </cell>
          <cell r="AB375">
            <v>2.5558537933212284E-2</v>
          </cell>
          <cell r="AC375">
            <v>1.6241082583161114E-2</v>
          </cell>
          <cell r="AD375">
            <v>1.5110682340110945E-2</v>
          </cell>
          <cell r="AE375">
            <v>1.4919619106364933E-2</v>
          </cell>
          <cell r="AF375">
            <v>1.4919619106364933E-2</v>
          </cell>
          <cell r="AG375">
            <v>0</v>
          </cell>
          <cell r="AH375">
            <v>0</v>
          </cell>
          <cell r="AI375">
            <v>0</v>
          </cell>
          <cell r="AJ375">
            <v>0</v>
          </cell>
          <cell r="AK375">
            <v>0</v>
          </cell>
          <cell r="AL375">
            <v>0</v>
          </cell>
          <cell r="AM375">
            <v>0</v>
          </cell>
          <cell r="AN375">
            <v>0</v>
          </cell>
          <cell r="AO375">
            <v>0</v>
          </cell>
          <cell r="AP375">
            <v>0</v>
          </cell>
        </row>
        <row r="376">
          <cell r="B376" t="str">
            <v>Sales - % FX: U.S. Dollar</v>
          </cell>
          <cell r="C376" t="str">
            <v>SALES_FX_USD</v>
          </cell>
          <cell r="X376">
            <v>0.41589596443481114</v>
          </cell>
          <cell r="Y376">
            <v>0.46286447344940129</v>
          </cell>
          <cell r="Z376">
            <v>0.42759913806081618</v>
          </cell>
          <cell r="AA376">
            <v>0.42255844422405059</v>
          </cell>
          <cell r="AB376">
            <v>0.42188866304908162</v>
          </cell>
          <cell r="AC376">
            <v>0.44539921247594366</v>
          </cell>
          <cell r="AD376">
            <v>0.44546801152407534</v>
          </cell>
          <cell r="AE376">
            <v>0.45669511840725441</v>
          </cell>
          <cell r="AF376">
            <v>0.45669511840725441</v>
          </cell>
          <cell r="AG376">
            <v>0.44064014327328627</v>
          </cell>
          <cell r="AH376">
            <v>0.44064014327328627</v>
          </cell>
          <cell r="AI376">
            <v>0.44064014327328627</v>
          </cell>
          <cell r="AJ376">
            <v>0.44064014327328627</v>
          </cell>
          <cell r="AK376">
            <v>0.44064014327328627</v>
          </cell>
          <cell r="AL376">
            <v>0.44064014327328627</v>
          </cell>
          <cell r="AM376">
            <v>0.44064014327328627</v>
          </cell>
          <cell r="AN376">
            <v>0.44064014327328627</v>
          </cell>
          <cell r="AO376">
            <v>0.44064014327328627</v>
          </cell>
          <cell r="AP376">
            <v>0.44064014327328627</v>
          </cell>
        </row>
        <row r="377">
          <cell r="B377" t="str">
            <v>Sales - % FX: Brazilian Real</v>
          </cell>
          <cell r="C377" t="str">
            <v>SALES_FX_BRL</v>
          </cell>
          <cell r="X377">
            <v>4.9160745292661602E-2</v>
          </cell>
          <cell r="Y377">
            <v>2.7815666899053276E-2</v>
          </cell>
          <cell r="Z377">
            <v>2.7815666899053276E-2</v>
          </cell>
          <cell r="AA377">
            <v>2.7815666899053276E-2</v>
          </cell>
          <cell r="AB377">
            <v>2.3397410594458042E-2</v>
          </cell>
          <cell r="AC377">
            <v>2.3725291020117459E-2</v>
          </cell>
          <cell r="AD377">
            <v>2.3499680169457755E-2</v>
          </cell>
          <cell r="AE377">
            <v>2.4201010062068699E-2</v>
          </cell>
          <cell r="AF377">
            <v>2.4201010062068699E-2</v>
          </cell>
          <cell r="AG377">
            <v>2.4201010062068699E-2</v>
          </cell>
          <cell r="AH377">
            <v>2.4201010062068699E-2</v>
          </cell>
          <cell r="AI377">
            <v>2.4201010062068699E-2</v>
          </cell>
          <cell r="AJ377">
            <v>2.4201010062068699E-2</v>
          </cell>
          <cell r="AK377">
            <v>2.4201010062068699E-2</v>
          </cell>
          <cell r="AL377">
            <v>2.4201010062068699E-2</v>
          </cell>
          <cell r="AM377">
            <v>2.4201010062068699E-2</v>
          </cell>
          <cell r="AN377">
            <v>2.4201010062068699E-2</v>
          </cell>
          <cell r="AO377">
            <v>2.4201010062068699E-2</v>
          </cell>
          <cell r="AP377">
            <v>2.4201010062068699E-2</v>
          </cell>
        </row>
        <row r="378">
          <cell r="B378" t="str">
            <v>Sales - % FX: Japanese Yen</v>
          </cell>
          <cell r="C378" t="str">
            <v>SALES_FX_YEN</v>
          </cell>
          <cell r="X378">
            <v>0</v>
          </cell>
          <cell r="Y378">
            <v>0</v>
          </cell>
          <cell r="Z378">
            <v>0</v>
          </cell>
          <cell r="AA378">
            <v>2.0894587412728725E-2</v>
          </cell>
          <cell r="AB378">
            <v>2.2242835714849609E-2</v>
          </cell>
          <cell r="AC378">
            <v>2.630564993519913E-2</v>
          </cell>
          <cell r="AD378">
            <v>2.8291895179472122E-2</v>
          </cell>
          <cell r="AE378">
            <v>2.8258606731176993E-2</v>
          </cell>
          <cell r="AF378">
            <v>2.8258606731176993E-2</v>
          </cell>
          <cell r="AG378">
            <v>2.2405150028851701E-2</v>
          </cell>
          <cell r="AH378">
            <v>2.2405150028851701E-2</v>
          </cell>
          <cell r="AI378">
            <v>2.2405150028851701E-2</v>
          </cell>
          <cell r="AJ378">
            <v>2.2405150028851701E-2</v>
          </cell>
          <cell r="AK378">
            <v>2.2405150028851701E-2</v>
          </cell>
          <cell r="AL378">
            <v>2.2405150028851701E-2</v>
          </cell>
          <cell r="AM378">
            <v>2.2405150028851701E-2</v>
          </cell>
          <cell r="AN378">
            <v>2.2405150028851701E-2</v>
          </cell>
          <cell r="AO378">
            <v>2.2405150028851701E-2</v>
          </cell>
          <cell r="AP378">
            <v>2.2405150028851701E-2</v>
          </cell>
        </row>
        <row r="379">
          <cell r="B379" t="str">
            <v>Sales - % FX: Chinese Renminbi</v>
          </cell>
          <cell r="C379" t="str">
            <v>SALES_FX_CNY</v>
          </cell>
          <cell r="X379">
            <v>0.11731093678805</v>
          </cell>
          <cell r="Y379">
            <v>0.12251826255645479</v>
          </cell>
          <cell r="Z379">
            <v>0.12251826255645479</v>
          </cell>
          <cell r="AA379">
            <v>0.12251826255645479</v>
          </cell>
          <cell r="AB379">
            <v>0.12294742243625167</v>
          </cell>
          <cell r="AC379">
            <v>0.16128994594089693</v>
          </cell>
          <cell r="AD379">
            <v>0.18191541792938562</v>
          </cell>
          <cell r="AE379">
            <v>0.18766143644704886</v>
          </cell>
          <cell r="AF379">
            <v>0.18766143644704886</v>
          </cell>
          <cell r="AG379">
            <v>0.23</v>
          </cell>
          <cell r="AH379">
            <v>0.23</v>
          </cell>
          <cell r="AI379">
            <v>0.23</v>
          </cell>
          <cell r="AJ379">
            <v>0.23</v>
          </cell>
          <cell r="AK379">
            <v>0.23</v>
          </cell>
          <cell r="AL379">
            <v>0.23</v>
          </cell>
          <cell r="AM379">
            <v>0.23</v>
          </cell>
          <cell r="AN379">
            <v>0.23</v>
          </cell>
          <cell r="AO379">
            <v>0.23</v>
          </cell>
          <cell r="AP379">
            <v>0.23</v>
          </cell>
        </row>
        <row r="380">
          <cell r="B380" t="str">
            <v>Sales - % FX: Indian Rupee</v>
          </cell>
          <cell r="C380" t="str">
            <v>SALES_FX_INR</v>
          </cell>
          <cell r="X380">
            <v>3.7215373816238302E-2</v>
          </cell>
          <cell r="Y380">
            <v>3.4423529649500371E-2</v>
          </cell>
          <cell r="Z380">
            <v>3.4423529649500371E-2</v>
          </cell>
          <cell r="AA380">
            <v>3.4423529649500371E-2</v>
          </cell>
          <cell r="AB380">
            <v>3.8801610483934636E-2</v>
          </cell>
          <cell r="AC380">
            <v>3.7140822212103165E-2</v>
          </cell>
          <cell r="AD380">
            <v>3.3524532575527198E-2</v>
          </cell>
          <cell r="AE380">
            <v>3.9294113111530901E-2</v>
          </cell>
          <cell r="AF380">
            <v>3.9294113111530901E-2</v>
          </cell>
          <cell r="AG380">
            <v>3.9294113111530901E-2</v>
          </cell>
          <cell r="AH380">
            <v>3.9294113111530901E-2</v>
          </cell>
          <cell r="AI380">
            <v>3.9294113111530901E-2</v>
          </cell>
          <cell r="AJ380">
            <v>3.9294113111530901E-2</v>
          </cell>
          <cell r="AK380">
            <v>3.9294113111530901E-2</v>
          </cell>
          <cell r="AL380">
            <v>3.9294113111530901E-2</v>
          </cell>
          <cell r="AM380">
            <v>3.9294113111530901E-2</v>
          </cell>
          <cell r="AN380">
            <v>3.9294113111530901E-2</v>
          </cell>
          <cell r="AO380">
            <v>3.9294113111530901E-2</v>
          </cell>
          <cell r="AP380">
            <v>3.9294113111530901E-2</v>
          </cell>
        </row>
        <row r="381">
          <cell r="B381" t="str">
            <v>Sales - % FX: South African Rand</v>
          </cell>
          <cell r="C381" t="str">
            <v>SALES_FX_ZAR</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B382" t="str">
            <v>Sales - % FX: Nigerian Naira</v>
          </cell>
          <cell r="C382" t="str">
            <v>SALES_FX_NGN</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B383" t="str">
            <v>Sales - % FX: Swiss Franc</v>
          </cell>
          <cell r="C383" t="str">
            <v>SALES_FX_CHF</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B384" t="str">
            <v>Sales - % FX: UAE Dirham</v>
          </cell>
          <cell r="C384" t="str">
            <v>SALES_FX_AED</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row>
        <row r="385">
          <cell r="B385" t="str">
            <v>Sales - % FX: New Turkish Lira</v>
          </cell>
          <cell r="C385" t="str">
            <v>SALES_FX_TRY</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B386" t="str">
            <v>Sales - % FX: Other Currency</v>
          </cell>
          <cell r="C386" t="str">
            <v>SALES_FX_OTH</v>
          </cell>
          <cell r="X386">
            <v>9.7548243291504022E-2</v>
          </cell>
          <cell r="Y386">
            <v>-8.7495014047943798E-2</v>
          </cell>
          <cell r="Z386">
            <v>6.9471127863944049E-2</v>
          </cell>
          <cell r="AA386">
            <v>5.3768202216691208E-2</v>
          </cell>
          <cell r="AB386">
            <v>5.8194865497228521E-2</v>
          </cell>
          <cell r="AC386">
            <v>1.5644338816100944E-4</v>
          </cell>
          <cell r="AD386">
            <v>-1.638470366248268E-2</v>
          </cell>
          <cell r="AE386">
            <v>-3.7720457017993869E-2</v>
          </cell>
          <cell r="AF386">
            <v>-3.7720457017993869E-2</v>
          </cell>
          <cell r="AG386">
            <v>-4.3096875018706626E-2</v>
          </cell>
          <cell r="AH386">
            <v>-4.3096875018706626E-2</v>
          </cell>
          <cell r="AI386">
            <v>-4.3096875018706626E-2</v>
          </cell>
          <cell r="AJ386">
            <v>-4.3096875018706626E-2</v>
          </cell>
          <cell r="AK386">
            <v>-4.3096875018706626E-2</v>
          </cell>
          <cell r="AL386">
            <v>-4.3096875018706626E-2</v>
          </cell>
          <cell r="AM386">
            <v>-4.3096875018706626E-2</v>
          </cell>
          <cell r="AN386">
            <v>-4.3096875018706626E-2</v>
          </cell>
          <cell r="AO386">
            <v>-4.3096875018706626E-2</v>
          </cell>
          <cell r="AP386">
            <v>-4.3096875018706626E-2</v>
          </cell>
        </row>
        <row r="387">
          <cell r="A387" t="str">
            <v>Items to be removed</v>
          </cell>
        </row>
        <row r="388">
          <cell r="B388" t="str">
            <v>Sales - Total % Americas</v>
          </cell>
          <cell r="C388" t="str">
            <v>SALES_TOT_AM</v>
          </cell>
          <cell r="Q388">
            <v>0.252250556757944</v>
          </cell>
          <cell r="R388">
            <v>0.252250556757944</v>
          </cell>
          <cell r="S388">
            <v>0.252250556757944</v>
          </cell>
          <cell r="T388">
            <v>0.252250556757944</v>
          </cell>
          <cell r="U388">
            <v>0.252250556757944</v>
          </cell>
          <cell r="V388">
            <v>0.28734168157424</v>
          </cell>
          <cell r="W388">
            <v>0.29282169377978601</v>
          </cell>
          <cell r="X388">
            <v>0.29282169377978601</v>
          </cell>
          <cell r="Y388">
            <v>0.30061510585542628</v>
          </cell>
          <cell r="Z388">
            <v>0.31913352453480293</v>
          </cell>
          <cell r="AA388">
            <v>0.31913352453480293</v>
          </cell>
          <cell r="AB388">
            <v>0.31913352453480293</v>
          </cell>
          <cell r="AC388">
            <v>0.31913352453480293</v>
          </cell>
          <cell r="AD388">
            <v>0.31913352453480293</v>
          </cell>
          <cell r="AE388">
            <v>0.31913352453480293</v>
          </cell>
          <cell r="AF388">
            <v>0.31913352453480293</v>
          </cell>
          <cell r="AG388">
            <v>0.31913352453480293</v>
          </cell>
          <cell r="AH388">
            <v>0.31913352453480293</v>
          </cell>
          <cell r="AI388">
            <v>0.31913352453480293</v>
          </cell>
          <cell r="AJ388">
            <v>0.31913352453480293</v>
          </cell>
          <cell r="AK388">
            <v>0.31913352453480293</v>
          </cell>
          <cell r="AL388">
            <v>0.31913352453480293</v>
          </cell>
          <cell r="AM388">
            <v>0.31913352453480293</v>
          </cell>
          <cell r="AN388">
            <v>0.31913352453480293</v>
          </cell>
          <cell r="AO388">
            <v>0.31913352453480293</v>
          </cell>
          <cell r="AP388">
            <v>0.31913352453480293</v>
          </cell>
        </row>
        <row r="389">
          <cell r="B389" t="str">
            <v>Sales - % Other Americas</v>
          </cell>
          <cell r="C389" t="str">
            <v>SALES_OTH_AM</v>
          </cell>
          <cell r="Q389">
            <v>0.10368244408895599</v>
          </cell>
          <cell r="R389">
            <v>0.10368244408895599</v>
          </cell>
          <cell r="S389">
            <v>0.10368244408895599</v>
          </cell>
          <cell r="T389">
            <v>0.10368244408895599</v>
          </cell>
          <cell r="U389">
            <v>0.10368244408895599</v>
          </cell>
          <cell r="V389">
            <v>5.2851520572450801E-2</v>
          </cell>
          <cell r="W389">
            <v>5.6906764528404097E-2</v>
          </cell>
          <cell r="X389">
            <v>5.6906764528404097E-2</v>
          </cell>
          <cell r="Y389">
            <v>9.0881138005608639E-2</v>
          </cell>
          <cell r="Z389">
            <v>5.189847397734948E-2</v>
          </cell>
          <cell r="AA389">
            <v>0.10939955668498529</v>
          </cell>
          <cell r="AB389">
            <v>0.10939955668498529</v>
          </cell>
          <cell r="AC389">
            <v>0.10939955668498529</v>
          </cell>
          <cell r="AD389">
            <v>0.10939955668498529</v>
          </cell>
          <cell r="AE389">
            <v>0.10939955668498529</v>
          </cell>
          <cell r="AF389">
            <v>0.10939955668498529</v>
          </cell>
          <cell r="AG389">
            <v>0.10939955668498529</v>
          </cell>
          <cell r="AH389">
            <v>0.10939955668498529</v>
          </cell>
          <cell r="AI389">
            <v>0.10939955668498529</v>
          </cell>
          <cell r="AJ389">
            <v>0.10939955668498529</v>
          </cell>
          <cell r="AK389">
            <v>0.10939955668498529</v>
          </cell>
          <cell r="AL389">
            <v>0.10939955668498529</v>
          </cell>
          <cell r="AM389">
            <v>0.10939955668498529</v>
          </cell>
          <cell r="AN389">
            <v>0.10939955668498529</v>
          </cell>
          <cell r="AO389">
            <v>0.10939955668498529</v>
          </cell>
          <cell r="AP389">
            <v>0.10939955668498529</v>
          </cell>
        </row>
        <row r="390">
          <cell r="B390" t="str">
            <v>Sales - Total % EMEA</v>
          </cell>
          <cell r="C390" t="str">
            <v>SALES_TOT_EMEA</v>
          </cell>
          <cell r="Q390">
            <v>0.48721809228066898</v>
          </cell>
          <cell r="R390">
            <v>0.48721809228066898</v>
          </cell>
          <cell r="S390">
            <v>0.48721809228066898</v>
          </cell>
          <cell r="T390">
            <v>0.48721809228066898</v>
          </cell>
          <cell r="U390">
            <v>0.48721809228066898</v>
          </cell>
          <cell r="V390">
            <v>0.43437567084078699</v>
          </cell>
          <cell r="W390">
            <v>0.41696735342290298</v>
          </cell>
          <cell r="X390">
            <v>0.41696735342290298</v>
          </cell>
          <cell r="Y390">
            <v>0.41654348655349993</v>
          </cell>
          <cell r="Z390">
            <v>0.39268409667094095</v>
          </cell>
          <cell r="AA390">
            <v>0.39268409667094095</v>
          </cell>
          <cell r="AB390">
            <v>0.39268409667094095</v>
          </cell>
          <cell r="AC390">
            <v>0.39268409667094095</v>
          </cell>
          <cell r="AD390">
            <v>0.39268409667094095</v>
          </cell>
          <cell r="AE390">
            <v>0.39268409667094095</v>
          </cell>
          <cell r="AF390">
            <v>0.39268409667094095</v>
          </cell>
          <cell r="AG390">
            <v>0.39268409667094095</v>
          </cell>
          <cell r="AH390">
            <v>0.39268409667094095</v>
          </cell>
          <cell r="AI390">
            <v>0.39268409667094095</v>
          </cell>
          <cell r="AJ390">
            <v>0.39268409667094095</v>
          </cell>
          <cell r="AK390">
            <v>0.39268409667094095</v>
          </cell>
          <cell r="AL390">
            <v>0.39268409667094095</v>
          </cell>
          <cell r="AM390">
            <v>0.39268409667094095</v>
          </cell>
          <cell r="AN390">
            <v>0.39268409667094095</v>
          </cell>
          <cell r="AO390">
            <v>0.39268409667094095</v>
          </cell>
          <cell r="AP390">
            <v>0.39268409667094095</v>
          </cell>
        </row>
        <row r="391">
          <cell r="B391" t="str">
            <v>Sales - % Western Europe-Ex UK</v>
          </cell>
          <cell r="C391" t="str">
            <v>SALES_EU_EX_UK</v>
          </cell>
          <cell r="Q391">
            <v>0.38487278692638199</v>
          </cell>
          <cell r="R391">
            <v>0.38487278692638199</v>
          </cell>
          <cell r="S391">
            <v>0.38487278692638199</v>
          </cell>
          <cell r="T391">
            <v>0.38487278692638199</v>
          </cell>
          <cell r="U391">
            <v>0.38487278692638199</v>
          </cell>
          <cell r="V391">
            <v>0.250601073345259</v>
          </cell>
          <cell r="W391">
            <v>0.24066586209869101</v>
          </cell>
          <cell r="X391">
            <v>0.24066586209869101</v>
          </cell>
          <cell r="Y391">
            <v>0.38284742803248917</v>
          </cell>
          <cell r="Z391">
            <v>0.26114662150918649</v>
          </cell>
          <cell r="AA391">
            <v>0.26099565358047611</v>
          </cell>
          <cell r="AB391">
            <v>0.26099565358047611</v>
          </cell>
          <cell r="AC391">
            <v>0.26099565358047611</v>
          </cell>
          <cell r="AD391">
            <v>0.26099565358047611</v>
          </cell>
          <cell r="AE391">
            <v>0.26099565358047611</v>
          </cell>
          <cell r="AF391">
            <v>0.26099565358047611</v>
          </cell>
          <cell r="AG391">
            <v>0.26099565358047611</v>
          </cell>
          <cell r="AH391">
            <v>0.26099565358047611</v>
          </cell>
          <cell r="AI391">
            <v>0.26099565358047611</v>
          </cell>
          <cell r="AJ391">
            <v>0.26099565358047611</v>
          </cell>
          <cell r="AK391">
            <v>0.26099565358047611</v>
          </cell>
          <cell r="AL391">
            <v>0.26099565358047611</v>
          </cell>
          <cell r="AM391">
            <v>0.26099565358047611</v>
          </cell>
          <cell r="AN391">
            <v>0.26099565358047611</v>
          </cell>
          <cell r="AO391">
            <v>0.26099565358047611</v>
          </cell>
          <cell r="AP391">
            <v>0.26099565358047611</v>
          </cell>
        </row>
        <row r="392">
          <cell r="B392" t="str">
            <v>Sales - % Other Western Europe-Ex UK</v>
          </cell>
          <cell r="C392" t="str">
            <v>SALES_OTH_EU_EX_UK</v>
          </cell>
          <cell r="AA392">
            <v>0.1351330445861039</v>
          </cell>
        </row>
        <row r="393">
          <cell r="B393" t="str">
            <v>Sales - % Central &amp; Eastern Europe</v>
          </cell>
          <cell r="C393" t="str">
            <v>SALES_CEE</v>
          </cell>
          <cell r="V393">
            <v>3.7141323792486601E-2</v>
          </cell>
          <cell r="W393">
            <v>2.7797125721956101E-2</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Sales - % Middle East</v>
          </cell>
          <cell r="C394" t="str">
            <v>SALES_ME</v>
          </cell>
          <cell r="Q394">
            <v>8.6430789498447305E-2</v>
          </cell>
          <cell r="R394">
            <v>8.6430789498447305E-2</v>
          </cell>
          <cell r="S394">
            <v>8.6430789498447305E-2</v>
          </cell>
          <cell r="T394">
            <v>8.6430789498447305E-2</v>
          </cell>
          <cell r="U394">
            <v>8.6430789498447305E-2</v>
          </cell>
          <cell r="V394">
            <v>0.113774597495528</v>
          </cell>
          <cell r="W394">
            <v>0.106301491324212</v>
          </cell>
          <cell r="X394">
            <v>0.106301491324212</v>
          </cell>
          <cell r="Y394">
            <v>0.11293629601373259</v>
          </cell>
          <cell r="Z394">
            <v>9.7992384569454097E-2</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Sales - % Total Africa</v>
          </cell>
          <cell r="C395" t="str">
            <v>SALES_TOT_AFRICA</v>
          </cell>
          <cell r="AA395">
            <v>9.7992384569454097E-2</v>
          </cell>
          <cell r="AB395">
            <v>9.7992384569454097E-2</v>
          </cell>
          <cell r="AC395">
            <v>9.7992384569454097E-2</v>
          </cell>
          <cell r="AD395">
            <v>9.7992384569454097E-2</v>
          </cell>
          <cell r="AE395">
            <v>9.7992384569454097E-2</v>
          </cell>
          <cell r="AF395">
            <v>9.7992384569454097E-2</v>
          </cell>
          <cell r="AG395">
            <v>9.7992384569454097E-2</v>
          </cell>
          <cell r="AH395">
            <v>9.7992384569454097E-2</v>
          </cell>
          <cell r="AI395">
            <v>9.7992384569454097E-2</v>
          </cell>
          <cell r="AJ395">
            <v>9.7992384569454097E-2</v>
          </cell>
          <cell r="AK395">
            <v>9.7992384569454097E-2</v>
          </cell>
          <cell r="AL395">
            <v>9.7992384569454097E-2</v>
          </cell>
          <cell r="AM395">
            <v>9.7992384569454097E-2</v>
          </cell>
          <cell r="AN395">
            <v>9.7992384569454097E-2</v>
          </cell>
          <cell r="AO395">
            <v>9.7992384569454097E-2</v>
          </cell>
          <cell r="AP395">
            <v>9.7992384569454097E-2</v>
          </cell>
        </row>
        <row r="396">
          <cell r="B396" t="str">
            <v>Sales - % Other EMEA</v>
          </cell>
          <cell r="C396" t="str">
            <v>SALES_OTH_EMEA</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B397" t="str">
            <v>Sales - Total % Asia (incl Australia &amp; New Zealand)</v>
          </cell>
          <cell r="C397" t="str">
            <v>SALES_TOT_ASIA</v>
          </cell>
          <cell r="Q397">
            <v>0.26053135096138802</v>
          </cell>
          <cell r="R397">
            <v>0.26053135096138802</v>
          </cell>
          <cell r="S397">
            <v>0.26053135096138802</v>
          </cell>
          <cell r="T397">
            <v>0.26053135096138802</v>
          </cell>
          <cell r="U397">
            <v>0.26053135096138802</v>
          </cell>
          <cell r="V397">
            <v>0.27828264758497301</v>
          </cell>
          <cell r="W397">
            <v>0.29021095279731002</v>
          </cell>
          <cell r="X397">
            <v>0.29021095279731002</v>
          </cell>
          <cell r="Y397">
            <v>0.23407053068525085</v>
          </cell>
          <cell r="Z397">
            <v>0.28818237879425612</v>
          </cell>
          <cell r="AA397">
            <v>0.28818237879425612</v>
          </cell>
          <cell r="AB397">
            <v>0.28818237879425612</v>
          </cell>
          <cell r="AC397">
            <v>0.28818237879425612</v>
          </cell>
          <cell r="AD397">
            <v>0.28818237879425612</v>
          </cell>
          <cell r="AE397">
            <v>0.28818237879425612</v>
          </cell>
          <cell r="AF397">
            <v>0.28818237879425612</v>
          </cell>
          <cell r="AG397">
            <v>0.28818237879425612</v>
          </cell>
          <cell r="AH397">
            <v>0.28818237879425612</v>
          </cell>
          <cell r="AI397">
            <v>0.28818237879425612</v>
          </cell>
          <cell r="AJ397">
            <v>0.28818237879425612</v>
          </cell>
          <cell r="AK397">
            <v>0.28818237879425612</v>
          </cell>
          <cell r="AL397">
            <v>0.28818237879425612</v>
          </cell>
          <cell r="AM397">
            <v>0.28818237879425612</v>
          </cell>
          <cell r="AN397">
            <v>0.28818237879425612</v>
          </cell>
          <cell r="AO397">
            <v>0.28818237879425612</v>
          </cell>
          <cell r="AP397">
            <v>0.28818237879425612</v>
          </cell>
        </row>
        <row r="398">
          <cell r="B398" t="str">
            <v>Sales - % Other Asia</v>
          </cell>
          <cell r="C398" t="str">
            <v>SALES_OTH_AEJ</v>
          </cell>
          <cell r="Q398">
            <v>0.11508421944104601</v>
          </cell>
          <cell r="R398">
            <v>0.11508421944104601</v>
          </cell>
          <cell r="S398">
            <v>0.11508421944104601</v>
          </cell>
          <cell r="T398">
            <v>0.11508421944104601</v>
          </cell>
          <cell r="U398">
            <v>0.11508421944104601</v>
          </cell>
          <cell r="V398">
            <v>0.124923076923077</v>
          </cell>
          <cell r="W398">
            <v>0.13568464219302201</v>
          </cell>
          <cell r="X398">
            <v>0.13568464219302201</v>
          </cell>
          <cell r="Y398">
            <v>7.7128738479295689E-2</v>
          </cell>
          <cell r="Z398">
            <v>9.578997856324821E-2</v>
          </cell>
          <cell r="AA398">
            <v>0.13124058658830096</v>
          </cell>
          <cell r="AB398">
            <v>0.13124058658830096</v>
          </cell>
          <cell r="AC398">
            <v>0.13124058658830096</v>
          </cell>
          <cell r="AD398">
            <v>0.13124058658830096</v>
          </cell>
          <cell r="AE398">
            <v>0.13124058658830096</v>
          </cell>
          <cell r="AF398">
            <v>0.13124058658830096</v>
          </cell>
          <cell r="AG398">
            <v>0.13124058658830096</v>
          </cell>
          <cell r="AH398">
            <v>0.13124058658830096</v>
          </cell>
          <cell r="AI398">
            <v>0.13124058658830096</v>
          </cell>
          <cell r="AJ398">
            <v>0.13124058658830096</v>
          </cell>
          <cell r="AK398">
            <v>0.13124058658830096</v>
          </cell>
          <cell r="AL398">
            <v>0.13124058658830096</v>
          </cell>
          <cell r="AM398">
            <v>0.13124058658830096</v>
          </cell>
          <cell r="AN398">
            <v>0.13124058658830096</v>
          </cell>
          <cell r="AO398">
            <v>0.13124058658830096</v>
          </cell>
          <cell r="AP398">
            <v>0.13124058658830096</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D430" t="str">
            <v>SEK</v>
          </cell>
          <cell r="F430">
            <v>1956</v>
          </cell>
          <cell r="G430">
            <v>2753.9999999999995</v>
          </cell>
          <cell r="H430">
            <v>2931</v>
          </cell>
          <cell r="I430">
            <v>3813</v>
          </cell>
          <cell r="J430">
            <v>4345</v>
          </cell>
          <cell r="K430">
            <v>4470</v>
          </cell>
          <cell r="L430">
            <v>6392</v>
          </cell>
          <cell r="M430">
            <v>6130</v>
          </cell>
          <cell r="N430">
            <v>-1689</v>
          </cell>
          <cell r="O430">
            <v>5310</v>
          </cell>
          <cell r="P430">
            <v>6651</v>
          </cell>
          <cell r="Q430">
            <v>6938</v>
          </cell>
          <cell r="R430">
            <v>9203</v>
          </cell>
          <cell r="S430">
            <v>12066</v>
          </cell>
          <cell r="T430">
            <v>13806</v>
          </cell>
          <cell r="U430">
            <v>9090</v>
          </cell>
          <cell r="V430">
            <v>13915</v>
          </cell>
          <cell r="W430">
            <v>17560</v>
          </cell>
          <cell r="X430">
            <v>19228</v>
          </cell>
          <cell r="Y430">
            <v>17056</v>
          </cell>
          <cell r="Z430">
            <v>17015</v>
          </cell>
          <cell r="AA430">
            <v>19772</v>
          </cell>
          <cell r="AB430">
            <v>19798</v>
          </cell>
          <cell r="AC430">
            <v>24200</v>
          </cell>
          <cell r="AD430">
            <v>21187</v>
          </cell>
          <cell r="AE430">
            <v>21897</v>
          </cell>
          <cell r="AF430">
            <v>19146</v>
          </cell>
          <cell r="AG430">
            <v>23559</v>
          </cell>
          <cell r="AH430">
            <v>31724.123341479419</v>
          </cell>
          <cell r="AI430">
            <v>35835.146750582207</v>
          </cell>
          <cell r="AJ430">
            <v>39134.432773108332</v>
          </cell>
          <cell r="AK430">
            <v>44179.197737453513</v>
          </cell>
          <cell r="AL430">
            <v>50207.402124863213</v>
          </cell>
          <cell r="AM430">
            <v>56008.493556927031</v>
          </cell>
          <cell r="AN430">
            <v>62460.747757170342</v>
          </cell>
          <cell r="AO430">
            <v>69641.187004077976</v>
          </cell>
          <cell r="AP430">
            <v>77636.196083854375</v>
          </cell>
        </row>
        <row r="431">
          <cell r="B431" t="str">
            <v>Division 1 EBIT</v>
          </cell>
          <cell r="C431" t="str">
            <v>DIV1_EBIT</v>
          </cell>
          <cell r="D431" t="str">
            <v>SEK</v>
          </cell>
          <cell r="F431">
            <v>1433</v>
          </cell>
          <cell r="G431">
            <v>1700</v>
          </cell>
          <cell r="H431">
            <v>1807</v>
          </cell>
          <cell r="I431">
            <v>2537</v>
          </cell>
          <cell r="J431">
            <v>2283</v>
          </cell>
          <cell r="K431">
            <v>2153</v>
          </cell>
          <cell r="L431">
            <v>2737</v>
          </cell>
          <cell r="M431">
            <v>3202</v>
          </cell>
          <cell r="N431">
            <v>3005</v>
          </cell>
          <cell r="O431">
            <v>2962</v>
          </cell>
          <cell r="P431">
            <v>3322</v>
          </cell>
          <cell r="Q431">
            <v>4032</v>
          </cell>
          <cell r="R431">
            <v>5323</v>
          </cell>
          <cell r="S431">
            <v>6749</v>
          </cell>
          <cell r="T431">
            <v>7291</v>
          </cell>
          <cell r="U431">
            <v>5752</v>
          </cell>
          <cell r="V431">
            <v>8127</v>
          </cell>
          <cell r="W431">
            <v>7592</v>
          </cell>
          <cell r="X431">
            <v>7474</v>
          </cell>
          <cell r="Y431">
            <v>7279</v>
          </cell>
          <cell r="Z431">
            <v>7420</v>
          </cell>
          <cell r="AA431">
            <v>8556</v>
          </cell>
          <cell r="AB431">
            <v>8115</v>
          </cell>
          <cell r="AC431">
            <v>8960</v>
          </cell>
          <cell r="AD431">
            <v>10263</v>
          </cell>
          <cell r="AE431">
            <v>11198</v>
          </cell>
          <cell r="AF431">
            <v>10658</v>
          </cell>
          <cell r="AG431">
            <v>11874</v>
          </cell>
          <cell r="AH431">
            <v>14971.10343377155</v>
          </cell>
          <cell r="AI431">
            <v>17203.521842585476</v>
          </cell>
          <cell r="AJ431">
            <v>18845.274778851002</v>
          </cell>
          <cell r="AK431">
            <v>21073.277946405426</v>
          </cell>
          <cell r="AL431">
            <v>24139.908309635743</v>
          </cell>
          <cell r="AM431">
            <v>27613.378225840941</v>
          </cell>
          <cell r="AN431">
            <v>31546.781277051632</v>
          </cell>
          <cell r="AO431">
            <v>36000.118321965994</v>
          </cell>
          <cell r="AP431">
            <v>41041.19556969167</v>
          </cell>
          <cell r="CF431">
            <v>1575</v>
          </cell>
          <cell r="CG431">
            <v>1822</v>
          </cell>
          <cell r="CH431">
            <v>2031</v>
          </cell>
          <cell r="CI431">
            <v>2172</v>
          </cell>
          <cell r="CJ431">
            <v>1976</v>
          </cell>
          <cell r="CK431">
            <v>2092</v>
          </cell>
          <cell r="CL431">
            <v>2215</v>
          </cell>
          <cell r="CM431">
            <v>2273</v>
          </cell>
          <cell r="CN431">
            <v>1792</v>
          </cell>
          <cell r="CO431">
            <v>2007</v>
          </cell>
          <cell r="CP431">
            <v>2173</v>
          </cell>
          <cell r="CQ431">
            <v>2143</v>
          </cell>
          <cell r="CR431">
            <v>2130</v>
          </cell>
          <cell r="CS431">
            <v>2237</v>
          </cell>
          <cell r="CT431">
            <v>2225</v>
          </cell>
          <cell r="CU431">
            <v>2370</v>
          </cell>
          <cell r="CV431">
            <v>2249</v>
          </cell>
          <cell r="CW431">
            <v>2638</v>
          </cell>
          <cell r="CX431">
            <v>2667</v>
          </cell>
          <cell r="CY431">
            <v>2709</v>
          </cell>
          <cell r="CZ431">
            <v>2618</v>
          </cell>
          <cell r="DA431">
            <v>2773</v>
          </cell>
          <cell r="DB431">
            <v>2897</v>
          </cell>
          <cell r="DC431">
            <v>2910</v>
          </cell>
          <cell r="DD431">
            <v>2520</v>
          </cell>
          <cell r="DE431">
            <v>2444</v>
          </cell>
          <cell r="DF431">
            <v>2729</v>
          </cell>
          <cell r="DG431">
            <v>2965</v>
          </cell>
          <cell r="DH431">
            <v>2730</v>
          </cell>
          <cell r="DI431">
            <v>2916</v>
          </cell>
          <cell r="DJ431">
            <v>3087</v>
          </cell>
          <cell r="DK431">
            <v>3141</v>
          </cell>
          <cell r="DL431">
            <v>3170</v>
          </cell>
          <cell r="DM431">
            <v>3266</v>
          </cell>
          <cell r="DN431">
            <v>3963</v>
          </cell>
          <cell r="DO431">
            <v>4572.10343377155</v>
          </cell>
        </row>
        <row r="432">
          <cell r="B432" t="str">
            <v>Division 1 Name</v>
          </cell>
          <cell r="C432" t="str">
            <v>DIV1_NAME</v>
          </cell>
          <cell r="E432" t="str">
            <v>Compressor Technique</v>
          </cell>
        </row>
        <row r="433">
          <cell r="B433" t="str">
            <v>Division 1 OGS</v>
          </cell>
          <cell r="C433" t="str">
            <v>DIV1_OGS</v>
          </cell>
          <cell r="F433">
            <v>0.10800339943342778</v>
          </cell>
          <cell r="G433">
            <v>0.14853118513393299</v>
          </cell>
          <cell r="H433">
            <v>5.7747925044921719E-3</v>
          </cell>
          <cell r="I433">
            <v>0.136781692698874</v>
          </cell>
          <cell r="J433">
            <v>-2.392073170731706E-2</v>
          </cell>
          <cell r="K433">
            <v>-1.7475115872654056E-2</v>
          </cell>
          <cell r="L433">
            <v>0.16260547628229849</v>
          </cell>
          <cell r="M433">
            <v>1.4654921181613456E-2</v>
          </cell>
          <cell r="N433">
            <v>-2.8722719894186257E-2</v>
          </cell>
          <cell r="O433">
            <v>6.0000000000000005E-2</v>
          </cell>
          <cell r="P433">
            <v>0.13</v>
          </cell>
          <cell r="Q433">
            <v>0.12000000000000001</v>
          </cell>
          <cell r="R433">
            <v>0.16999999999999998</v>
          </cell>
          <cell r="S433">
            <v>0.18</v>
          </cell>
          <cell r="T433">
            <v>9.0000000000000011E-2</v>
          </cell>
          <cell r="U433">
            <v>-0.16999999999999998</v>
          </cell>
          <cell r="V433">
            <v>0.08</v>
          </cell>
          <cell r="W433">
            <v>0.12</v>
          </cell>
          <cell r="X433">
            <v>6.9999999999999993E-2</v>
          </cell>
          <cell r="Y433">
            <v>0.01</v>
          </cell>
          <cell r="Z433">
            <v>0.01</v>
          </cell>
          <cell r="AA433">
            <v>0</v>
          </cell>
          <cell r="AB433">
            <v>0.02</v>
          </cell>
          <cell r="AC433">
            <v>3.7290130927494766E-2</v>
          </cell>
          <cell r="AD433">
            <v>0.1</v>
          </cell>
          <cell r="AE433">
            <v>0.04</v>
          </cell>
          <cell r="AF433">
            <v>0.01</v>
          </cell>
          <cell r="AG433">
            <v>8.6142956749561586E-2</v>
          </cell>
          <cell r="AH433">
            <v>0.09</v>
          </cell>
          <cell r="AI433">
            <v>7.0000000000000007E-2</v>
          </cell>
          <cell r="AJ433">
            <v>7.0000000000000007E-2</v>
          </cell>
          <cell r="AK433">
            <v>0.08</v>
          </cell>
          <cell r="AL433">
            <v>0.1</v>
          </cell>
          <cell r="AM433">
            <v>0.1</v>
          </cell>
          <cell r="AN433">
            <v>0.1</v>
          </cell>
          <cell r="AO433">
            <v>0.1</v>
          </cell>
          <cell r="AP433">
            <v>0.1</v>
          </cell>
          <cell r="CJ433">
            <v>-1.9999999999999997E-2</v>
          </cell>
          <cell r="CK433">
            <v>-4.9999999999999996E-2</v>
          </cell>
          <cell r="CL433">
            <v>-0.01</v>
          </cell>
          <cell r="CM433">
            <v>-0.01</v>
          </cell>
          <cell r="CN433">
            <v>-0.03</v>
          </cell>
          <cell r="CO433">
            <v>0.01</v>
          </cell>
          <cell r="CP433">
            <v>-0.01</v>
          </cell>
          <cell r="CQ433">
            <v>-0.04</v>
          </cell>
          <cell r="CR433">
            <v>0.06</v>
          </cell>
          <cell r="CS433">
            <v>0.01</v>
          </cell>
          <cell r="CT433">
            <v>0.02</v>
          </cell>
          <cell r="CU433">
            <v>0.06</v>
          </cell>
          <cell r="CV433">
            <v>7.0000000000000007E-2</v>
          </cell>
          <cell r="CW433">
            <v>0.13</v>
          </cell>
          <cell r="CX433">
            <v>0.11</v>
          </cell>
          <cell r="CY433">
            <v>0.08</v>
          </cell>
          <cell r="CZ433">
            <v>0.1</v>
          </cell>
          <cell r="DA433">
            <v>0.02</v>
          </cell>
          <cell r="DB433">
            <v>0.02</v>
          </cell>
          <cell r="DC433">
            <v>0.02</v>
          </cell>
          <cell r="DD433">
            <v>-0.04</v>
          </cell>
          <cell r="DE433">
            <v>-0.04</v>
          </cell>
          <cell r="DF433">
            <v>0.04</v>
          </cell>
          <cell r="DG433">
            <v>7.0000000000000007E-2</v>
          </cell>
          <cell r="DH433">
            <v>0.11</v>
          </cell>
          <cell r="DI433">
            <v>0.14000000000000001</v>
          </cell>
          <cell r="DJ433">
            <v>7.0000000000000007E-2</v>
          </cell>
          <cell r="DK433">
            <v>0.03</v>
          </cell>
          <cell r="DL433">
            <v>7.0000000000000007E-2</v>
          </cell>
          <cell r="DM433">
            <v>0.06</v>
          </cell>
          <cell r="DN433">
            <v>0.13</v>
          </cell>
          <cell r="DO433">
            <v>9.6482369964206824E-2</v>
          </cell>
        </row>
        <row r="434">
          <cell r="B434" t="str">
            <v>Division 1 Order Backlog</v>
          </cell>
          <cell r="C434" t="str">
            <v>DIV1_ORDERBACKLOG</v>
          </cell>
        </row>
        <row r="435">
          <cell r="B435" t="str">
            <v>Division 1 Order Intake</v>
          </cell>
          <cell r="C435" t="str">
            <v>DIV1_ORDERINTAKE</v>
          </cell>
          <cell r="F435">
            <v>9889</v>
          </cell>
          <cell r="G435">
            <v>11177</v>
          </cell>
          <cell r="H435">
            <v>11072</v>
          </cell>
          <cell r="I435">
            <v>14263</v>
          </cell>
          <cell r="J435">
            <v>13540</v>
          </cell>
          <cell r="K435">
            <v>13202</v>
          </cell>
          <cell r="L435">
            <v>14720</v>
          </cell>
          <cell r="M435">
            <v>16633</v>
          </cell>
          <cell r="N435">
            <v>16334</v>
          </cell>
          <cell r="O435">
            <v>16480</v>
          </cell>
          <cell r="P435">
            <v>18337</v>
          </cell>
          <cell r="Q435">
            <v>21770</v>
          </cell>
          <cell r="R435">
            <v>27910</v>
          </cell>
          <cell r="S435">
            <v>35005</v>
          </cell>
          <cell r="T435">
            <v>36511</v>
          </cell>
          <cell r="U435">
            <v>29680</v>
          </cell>
          <cell r="V435">
            <v>35420</v>
          </cell>
          <cell r="W435">
            <v>34664</v>
          </cell>
          <cell r="X435">
            <v>33480</v>
          </cell>
          <cell r="Y435">
            <v>31765</v>
          </cell>
          <cell r="Z435">
            <v>33476</v>
          </cell>
          <cell r="AA435">
            <v>35306</v>
          </cell>
          <cell r="AB435">
            <v>36515</v>
          </cell>
          <cell r="AC435">
            <v>40772</v>
          </cell>
          <cell r="AD435">
            <v>45580</v>
          </cell>
          <cell r="AE435">
            <v>50654</v>
          </cell>
          <cell r="AF435">
            <v>47401</v>
          </cell>
          <cell r="AG435">
            <v>55012</v>
          </cell>
          <cell r="AH435">
            <v>71962.100268551178</v>
          </cell>
          <cell r="AI435">
            <v>75297.142412667061</v>
          </cell>
          <cell r="AJ435">
            <v>81320.913805680437</v>
          </cell>
          <cell r="AK435">
            <v>89453.005186248483</v>
          </cell>
          <cell r="AL435">
            <v>98398.305704873346</v>
          </cell>
          <cell r="AM435">
            <v>106270.17016126322</v>
          </cell>
          <cell r="AN435">
            <v>114771.78377416429</v>
          </cell>
          <cell r="AO435">
            <v>123953.52647609744</v>
          </cell>
          <cell r="AP435">
            <v>133869.80859418525</v>
          </cell>
          <cell r="CF435">
            <v>7640</v>
          </cell>
          <cell r="CG435">
            <v>8395</v>
          </cell>
          <cell r="CH435">
            <v>8627</v>
          </cell>
          <cell r="CI435">
            <v>8814</v>
          </cell>
          <cell r="CJ435">
            <v>8723</v>
          </cell>
          <cell r="CK435">
            <v>9243</v>
          </cell>
          <cell r="CL435">
            <v>8840</v>
          </cell>
          <cell r="CM435">
            <v>8500</v>
          </cell>
          <cell r="CN435">
            <v>8520</v>
          </cell>
          <cell r="CO435">
            <v>9293</v>
          </cell>
          <cell r="CP435">
            <v>9125</v>
          </cell>
          <cell r="CQ435">
            <v>9577</v>
          </cell>
          <cell r="CR435">
            <v>10125</v>
          </cell>
          <cell r="CS435">
            <v>10279</v>
          </cell>
          <cell r="CT435">
            <v>10240</v>
          </cell>
          <cell r="CU435">
            <v>10128</v>
          </cell>
          <cell r="CV435">
            <v>11141</v>
          </cell>
          <cell r="CW435">
            <v>11924</v>
          </cell>
          <cell r="CX435">
            <v>11231</v>
          </cell>
          <cell r="CY435">
            <v>11284</v>
          </cell>
          <cell r="CZ435">
            <v>12526</v>
          </cell>
          <cell r="DA435">
            <v>12902</v>
          </cell>
          <cell r="DB435">
            <v>12937</v>
          </cell>
          <cell r="DC435">
            <v>12289</v>
          </cell>
          <cell r="DD435">
            <v>12800</v>
          </cell>
          <cell r="DE435">
            <v>11134</v>
          </cell>
          <cell r="DF435">
            <v>11600</v>
          </cell>
          <cell r="DG435">
            <v>11867</v>
          </cell>
          <cell r="DH435">
            <v>13032</v>
          </cell>
          <cell r="DI435">
            <v>14272</v>
          </cell>
          <cell r="DJ435">
            <v>13874</v>
          </cell>
          <cell r="DK435">
            <v>13834</v>
          </cell>
          <cell r="DL435">
            <v>16859</v>
          </cell>
          <cell r="DM435">
            <v>17964</v>
          </cell>
          <cell r="DN435">
            <v>18809</v>
          </cell>
          <cell r="DO435">
            <v>18330.100268551178</v>
          </cell>
        </row>
        <row r="436">
          <cell r="B436" t="str">
            <v>Division 2 Sales</v>
          </cell>
          <cell r="C436" t="str">
            <v>DIV2_REVS</v>
          </cell>
          <cell r="D436" t="str">
            <v>SEK</v>
          </cell>
          <cell r="Z436">
            <v>8540</v>
          </cell>
          <cell r="AA436">
            <v>9955</v>
          </cell>
          <cell r="AB436">
            <v>13635</v>
          </cell>
          <cell r="AC436">
            <v>19582</v>
          </cell>
          <cell r="AD436">
            <v>22007</v>
          </cell>
          <cell r="AE436">
            <v>23570</v>
          </cell>
          <cell r="AF436">
            <v>24685</v>
          </cell>
          <cell r="AG436">
            <v>29219</v>
          </cell>
          <cell r="AH436">
            <v>38938.275311355181</v>
          </cell>
          <cell r="AI436">
            <v>43814.335939198711</v>
          </cell>
          <cell r="AJ436">
            <v>47757.626173726596</v>
          </cell>
          <cell r="AK436">
            <v>53010.965052836524</v>
          </cell>
          <cell r="AL436">
            <v>58842.17120864855</v>
          </cell>
          <cell r="AM436">
            <v>64137.966617426922</v>
          </cell>
          <cell r="AN436">
            <v>69910.383612995356</v>
          </cell>
          <cell r="AO436">
            <v>76202.318138164948</v>
          </cell>
          <cell r="AP436">
            <v>83060.526770599798</v>
          </cell>
          <cell r="CF436">
            <v>1883</v>
          </cell>
          <cell r="CG436">
            <v>2039</v>
          </cell>
          <cell r="CH436">
            <v>2104</v>
          </cell>
          <cell r="CI436">
            <v>2514</v>
          </cell>
          <cell r="CJ436">
            <v>2439</v>
          </cell>
          <cell r="CK436">
            <v>2540</v>
          </cell>
          <cell r="CL436">
            <v>2614</v>
          </cell>
          <cell r="CM436">
            <v>2362</v>
          </cell>
          <cell r="CN436">
            <v>2536</v>
          </cell>
          <cell r="CO436">
            <v>2953</v>
          </cell>
          <cell r="CP436">
            <v>3511</v>
          </cell>
          <cell r="CQ436">
            <v>4635</v>
          </cell>
          <cell r="CR436">
            <v>4753</v>
          </cell>
          <cell r="CS436">
            <v>4767</v>
          </cell>
          <cell r="CT436">
            <v>4754</v>
          </cell>
          <cell r="CU436">
            <v>5229</v>
          </cell>
          <cell r="CV436">
            <v>5255</v>
          </cell>
          <cell r="CW436">
            <v>5740</v>
          </cell>
          <cell r="CX436">
            <v>5272</v>
          </cell>
          <cell r="CY436">
            <v>5740</v>
          </cell>
          <cell r="CZ436">
            <v>5253</v>
          </cell>
          <cell r="DA436">
            <v>5650</v>
          </cell>
          <cell r="DB436">
            <v>6107</v>
          </cell>
          <cell r="DC436">
            <v>6560</v>
          </cell>
          <cell r="DD436">
            <v>6159</v>
          </cell>
          <cell r="DE436">
            <v>6535</v>
          </cell>
          <cell r="DF436">
            <v>5928</v>
          </cell>
          <cell r="DG436">
            <v>6063</v>
          </cell>
          <cell r="DH436">
            <v>6808</v>
          </cell>
          <cell r="DI436">
            <v>7220</v>
          </cell>
          <cell r="DJ436">
            <v>7249</v>
          </cell>
          <cell r="DK436">
            <v>7942</v>
          </cell>
          <cell r="DL436">
            <v>8179</v>
          </cell>
          <cell r="DM436">
            <v>9335</v>
          </cell>
          <cell r="DN436">
            <v>10781</v>
          </cell>
          <cell r="DO436">
            <v>10643.275311355181</v>
          </cell>
        </row>
        <row r="437">
          <cell r="B437" t="str">
            <v>Division 1 Sales</v>
          </cell>
          <cell r="C437" t="str">
            <v>DIV1_REVS</v>
          </cell>
          <cell r="D437" t="str">
            <v>SEK</v>
          </cell>
          <cell r="F437">
            <v>9889</v>
          </cell>
          <cell r="G437">
            <v>11177</v>
          </cell>
          <cell r="H437">
            <v>11072</v>
          </cell>
          <cell r="I437">
            <v>14263</v>
          </cell>
          <cell r="J437">
            <v>13540</v>
          </cell>
          <cell r="K437">
            <v>13202</v>
          </cell>
          <cell r="L437">
            <v>14720</v>
          </cell>
          <cell r="M437">
            <v>16873</v>
          </cell>
          <cell r="N437">
            <v>15993</v>
          </cell>
          <cell r="O437">
            <v>16045</v>
          </cell>
          <cell r="P437">
            <v>17787</v>
          </cell>
          <cell r="Q437">
            <v>20672</v>
          </cell>
          <cell r="R437">
            <v>24907</v>
          </cell>
          <cell r="S437">
            <v>31900</v>
          </cell>
          <cell r="T437">
            <v>35587</v>
          </cell>
          <cell r="U437">
            <v>32524</v>
          </cell>
          <cell r="V437">
            <v>34602</v>
          </cell>
          <cell r="W437">
            <v>31760</v>
          </cell>
          <cell r="X437">
            <v>32725</v>
          </cell>
          <cell r="Y437">
            <v>31782</v>
          </cell>
          <cell r="Z437">
            <v>33625</v>
          </cell>
          <cell r="AA437">
            <v>36282</v>
          </cell>
          <cell r="AB437">
            <v>36356</v>
          </cell>
          <cell r="AC437">
            <v>38768</v>
          </cell>
          <cell r="AD437">
            <v>43972</v>
          </cell>
          <cell r="AE437">
            <v>48286</v>
          </cell>
          <cell r="AF437">
            <v>47329</v>
          </cell>
          <cell r="AG437">
            <v>49657</v>
          </cell>
          <cell r="AH437">
            <v>60285.564174233448</v>
          </cell>
          <cell r="AI437">
            <v>68991.608014260724</v>
          </cell>
          <cell r="AJ437">
            <v>75890.76881568681</v>
          </cell>
          <cell r="AK437">
            <v>84238.753385412361</v>
          </cell>
          <cell r="AL437">
            <v>95189.79132551598</v>
          </cell>
          <cell r="AM437">
            <v>107564.46419783306</v>
          </cell>
          <cell r="AN437">
            <v>121547.84454355137</v>
          </cell>
          <cell r="AO437">
            <v>137349.06433421306</v>
          </cell>
          <cell r="AP437">
            <v>155204.44269766076</v>
          </cell>
          <cell r="CF437">
            <v>7526</v>
          </cell>
          <cell r="CG437">
            <v>8314</v>
          </cell>
          <cell r="CH437">
            <v>8614</v>
          </cell>
          <cell r="CI437">
            <v>9171</v>
          </cell>
          <cell r="CJ437">
            <v>8610</v>
          </cell>
          <cell r="CK437">
            <v>8922</v>
          </cell>
          <cell r="CL437">
            <v>9261</v>
          </cell>
          <cell r="CM437">
            <v>9489</v>
          </cell>
          <cell r="CN437">
            <v>8156</v>
          </cell>
          <cell r="CO437">
            <v>8976</v>
          </cell>
          <cell r="CP437">
            <v>9421</v>
          </cell>
          <cell r="CQ437">
            <v>9803</v>
          </cell>
          <cell r="CR437">
            <v>9268</v>
          </cell>
          <cell r="CS437">
            <v>9667</v>
          </cell>
          <cell r="CT437">
            <v>9552</v>
          </cell>
          <cell r="CU437">
            <v>10437</v>
          </cell>
          <cell r="CV437">
            <v>9735</v>
          </cell>
          <cell r="CW437">
            <v>11266</v>
          </cell>
          <cell r="CX437">
            <v>11269</v>
          </cell>
          <cell r="CY437">
            <v>11702</v>
          </cell>
          <cell r="CZ437">
            <v>11397</v>
          </cell>
          <cell r="DA437">
            <v>11974</v>
          </cell>
          <cell r="DB437">
            <v>12314</v>
          </cell>
          <cell r="DC437">
            <v>12601</v>
          </cell>
          <cell r="DD437">
            <v>11588</v>
          </cell>
          <cell r="DE437">
            <v>11405</v>
          </cell>
          <cell r="DF437">
            <v>11890</v>
          </cell>
          <cell r="DG437">
            <v>12446</v>
          </cell>
          <cell r="DH437">
            <v>11522</v>
          </cell>
          <cell r="DI437">
            <v>12212</v>
          </cell>
          <cell r="DJ437">
            <v>12792</v>
          </cell>
          <cell r="DK437">
            <v>13131</v>
          </cell>
          <cell r="DL437">
            <v>13305</v>
          </cell>
          <cell r="DM437">
            <v>14291</v>
          </cell>
          <cell r="DN437">
            <v>16377</v>
          </cell>
          <cell r="DO437">
            <v>16312.564174233448</v>
          </cell>
        </row>
        <row r="438">
          <cell r="B438" t="str">
            <v>Division 2 EBIT</v>
          </cell>
          <cell r="C438" t="str">
            <v>DIV2_EBIT</v>
          </cell>
          <cell r="D438" t="str">
            <v>SEK</v>
          </cell>
          <cell r="Z438">
            <v>1554</v>
          </cell>
          <cell r="AA438">
            <v>1823</v>
          </cell>
          <cell r="AB438">
            <v>3010</v>
          </cell>
          <cell r="AC438">
            <v>4956</v>
          </cell>
          <cell r="AD438">
            <v>5522</v>
          </cell>
          <cell r="AE438">
            <v>5792</v>
          </cell>
          <cell r="AF438">
            <v>5819</v>
          </cell>
          <cell r="AG438">
            <v>7066</v>
          </cell>
          <cell r="AH438">
            <v>8907.1743500408229</v>
          </cell>
          <cell r="AI438">
            <v>9676.1541359981093</v>
          </cell>
          <cell r="AJ438">
            <v>10437.805406237581</v>
          </cell>
          <cell r="AK438">
            <v>11699.272809733093</v>
          </cell>
          <cell r="AL438">
            <v>13102.334347833345</v>
          </cell>
          <cell r="AM438">
            <v>14250.740994889826</v>
          </cell>
          <cell r="AN438">
            <v>15501.734154075177</v>
          </cell>
          <cell r="AO438">
            <v>16864.527359328342</v>
          </cell>
          <cell r="AP438">
            <v>18349.162881338951</v>
          </cell>
          <cell r="CF438">
            <v>340</v>
          </cell>
          <cell r="CG438">
            <v>397</v>
          </cell>
          <cell r="CH438">
            <v>398</v>
          </cell>
          <cell r="CI438">
            <v>419</v>
          </cell>
          <cell r="CJ438">
            <v>416</v>
          </cell>
          <cell r="CK438">
            <v>511</v>
          </cell>
          <cell r="CL438">
            <v>494</v>
          </cell>
          <cell r="CM438">
            <v>402</v>
          </cell>
          <cell r="CN438">
            <v>504</v>
          </cell>
          <cell r="CO438">
            <v>693</v>
          </cell>
          <cell r="CP438">
            <v>732</v>
          </cell>
          <cell r="CQ438">
            <v>1081</v>
          </cell>
          <cell r="CR438">
            <v>1176</v>
          </cell>
          <cell r="CS438">
            <v>1193</v>
          </cell>
          <cell r="CT438">
            <v>1205</v>
          </cell>
          <cell r="CU438">
            <v>1350</v>
          </cell>
          <cell r="CV438">
            <v>1292</v>
          </cell>
          <cell r="CW438">
            <v>1479</v>
          </cell>
          <cell r="CX438">
            <v>1315</v>
          </cell>
          <cell r="CY438">
            <v>1436</v>
          </cell>
          <cell r="CZ438">
            <v>1292</v>
          </cell>
          <cell r="DA438">
            <v>1401</v>
          </cell>
          <cell r="DB438">
            <v>1508</v>
          </cell>
          <cell r="DC438">
            <v>1591</v>
          </cell>
          <cell r="DD438">
            <v>1497</v>
          </cell>
          <cell r="DE438">
            <v>1578</v>
          </cell>
          <cell r="DF438">
            <v>1354</v>
          </cell>
          <cell r="DG438">
            <v>1390</v>
          </cell>
          <cell r="DH438">
            <v>1695</v>
          </cell>
          <cell r="DI438">
            <v>1789</v>
          </cell>
          <cell r="DJ438">
            <v>1748</v>
          </cell>
          <cell r="DK438">
            <v>1834</v>
          </cell>
          <cell r="DL438">
            <v>1859</v>
          </cell>
          <cell r="DM438">
            <v>2123</v>
          </cell>
          <cell r="DN438">
            <v>2484</v>
          </cell>
          <cell r="DO438">
            <v>2441.1743500408229</v>
          </cell>
        </row>
        <row r="439">
          <cell r="B439" t="str">
            <v>Division 2 Name</v>
          </cell>
          <cell r="C439" t="str">
            <v>DIV2_NAME</v>
          </cell>
          <cell r="E439" t="str">
            <v>Vacuum Technique</v>
          </cell>
        </row>
        <row r="440">
          <cell r="B440" t="str">
            <v>Division 2 OGS</v>
          </cell>
          <cell r="C440" t="str">
            <v>DIV2_OGS</v>
          </cell>
          <cell r="Z440">
            <v>0</v>
          </cell>
          <cell r="AA440">
            <v>0.01</v>
          </cell>
          <cell r="AB440">
            <v>0.16</v>
          </cell>
          <cell r="AC440">
            <v>0.20867766776677668</v>
          </cell>
          <cell r="AD440">
            <v>0.08</v>
          </cell>
          <cell r="AE440">
            <v>-0.02</v>
          </cell>
          <cell r="AF440">
            <v>0.03</v>
          </cell>
          <cell r="AG440">
            <v>0.24184362973465667</v>
          </cell>
          <cell r="AH440">
            <v>0.18</v>
          </cell>
          <cell r="AI440">
            <v>0.05</v>
          </cell>
          <cell r="AJ440">
            <v>0.05</v>
          </cell>
          <cell r="AK440">
            <v>7.0000000000000007E-2</v>
          </cell>
          <cell r="AL440">
            <v>7.0000000000000007E-2</v>
          </cell>
          <cell r="AM440">
            <v>0.05</v>
          </cell>
          <cell r="AN440">
            <v>0.05</v>
          </cell>
          <cell r="AO440">
            <v>0.05</v>
          </cell>
          <cell r="AP440">
            <v>0.05</v>
          </cell>
          <cell r="CJ440">
            <v>7.0000000000000007E-2</v>
          </cell>
          <cell r="CK440">
            <v>0.05</v>
          </cell>
          <cell r="CL440">
            <v>7.0000000000000007E-2</v>
          </cell>
          <cell r="CM440">
            <v>-0.14000000000000001</v>
          </cell>
          <cell r="CN440">
            <v>1.9999999999999997E-2</v>
          </cell>
          <cell r="CO440">
            <v>0.16</v>
          </cell>
          <cell r="CP440">
            <v>0.12000000000000001</v>
          </cell>
          <cell r="CQ440">
            <v>0.32</v>
          </cell>
          <cell r="CR440">
            <v>0.28000000000000003</v>
          </cell>
          <cell r="CS440">
            <v>0.12</v>
          </cell>
          <cell r="CT440">
            <v>0.23</v>
          </cell>
          <cell r="CU440">
            <v>0.21000000000000002</v>
          </cell>
          <cell r="CV440">
            <v>0.15</v>
          </cell>
          <cell r="CW440">
            <v>0.16</v>
          </cell>
          <cell r="CX440">
            <v>0</v>
          </cell>
          <cell r="CY440">
            <v>0.01</v>
          </cell>
          <cell r="CZ440">
            <v>-0.08</v>
          </cell>
          <cell r="DA440">
            <v>-7.0000000000000007E-2</v>
          </cell>
          <cell r="DB440">
            <v>0.02</v>
          </cell>
          <cell r="DC440">
            <v>0.03</v>
          </cell>
          <cell r="DD440">
            <v>0.05</v>
          </cell>
          <cell r="DE440">
            <v>7.0000000000000007E-2</v>
          </cell>
          <cell r="DF440">
            <v>0.03</v>
          </cell>
          <cell r="DG440">
            <v>-0.02</v>
          </cell>
          <cell r="DH440">
            <v>0.23</v>
          </cell>
          <cell r="DI440">
            <v>0.21</v>
          </cell>
          <cell r="DJ440">
            <v>0.24</v>
          </cell>
          <cell r="DK440">
            <v>0.28999999999999998</v>
          </cell>
          <cell r="DL440">
            <v>0.1</v>
          </cell>
          <cell r="DM440">
            <v>0.15</v>
          </cell>
          <cell r="DN440">
            <v>0.27</v>
          </cell>
          <cell r="DO440">
            <v>0.19370309745656006</v>
          </cell>
        </row>
        <row r="441">
          <cell r="B441" t="str">
            <v>Division 2 Order Backlog</v>
          </cell>
          <cell r="C441" t="str">
            <v>DIV2_ORDERBACKLOG</v>
          </cell>
        </row>
        <row r="442">
          <cell r="B442" t="str">
            <v>Division 2 Order Intake</v>
          </cell>
          <cell r="C442" t="str">
            <v>DIV2_ORDERINTAKE</v>
          </cell>
          <cell r="Z442">
            <v>8773</v>
          </cell>
          <cell r="AA442">
            <v>10152</v>
          </cell>
          <cell r="AB442">
            <v>14021</v>
          </cell>
          <cell r="AC442">
            <v>21890</v>
          </cell>
          <cell r="AD442">
            <v>21471</v>
          </cell>
          <cell r="AE442">
            <v>23876</v>
          </cell>
          <cell r="AF442">
            <v>25583</v>
          </cell>
          <cell r="AG442">
            <v>39529</v>
          </cell>
          <cell r="AH442">
            <v>42511.196249189226</v>
          </cell>
          <cell r="AI442">
            <v>38370.895303921439</v>
          </cell>
          <cell r="AJ442">
            <v>45661.365411666513</v>
          </cell>
          <cell r="AK442">
            <v>50684.115606949832</v>
          </cell>
          <cell r="AL442">
            <v>56259.36832371432</v>
          </cell>
          <cell r="AM442">
            <v>60197.524106374323</v>
          </cell>
          <cell r="AN442">
            <v>64411.350793820529</v>
          </cell>
          <cell r="AO442">
            <v>68920.145349387967</v>
          </cell>
          <cell r="AP442">
            <v>73744.555523845134</v>
          </cell>
          <cell r="CF442">
            <v>2300</v>
          </cell>
          <cell r="CG442">
            <v>2079</v>
          </cell>
          <cell r="CH442">
            <v>2173</v>
          </cell>
          <cell r="CI442">
            <v>2221</v>
          </cell>
          <cell r="CJ442">
            <v>2498</v>
          </cell>
          <cell r="CK442">
            <v>2771</v>
          </cell>
          <cell r="CL442">
            <v>2182</v>
          </cell>
          <cell r="CM442">
            <v>2701</v>
          </cell>
          <cell r="CN442">
            <v>3275</v>
          </cell>
          <cell r="CO442">
            <v>2784</v>
          </cell>
          <cell r="CP442">
            <v>3555</v>
          </cell>
          <cell r="CQ442">
            <v>4407</v>
          </cell>
          <cell r="CR442">
            <v>6067</v>
          </cell>
          <cell r="CS442">
            <v>4989</v>
          </cell>
          <cell r="CT442">
            <v>5160</v>
          </cell>
          <cell r="CU442">
            <v>5674</v>
          </cell>
          <cell r="CV442">
            <v>5992</v>
          </cell>
          <cell r="CW442">
            <v>5596</v>
          </cell>
          <cell r="CX442">
            <v>4726</v>
          </cell>
          <cell r="CY442">
            <v>5157</v>
          </cell>
          <cell r="CZ442">
            <v>5687</v>
          </cell>
          <cell r="DA442">
            <v>5451</v>
          </cell>
          <cell r="DB442">
            <v>6486</v>
          </cell>
          <cell r="DC442">
            <v>6252</v>
          </cell>
          <cell r="DD442">
            <v>7116</v>
          </cell>
          <cell r="DE442">
            <v>5723</v>
          </cell>
          <cell r="DF442">
            <v>5736</v>
          </cell>
          <cell r="DG442">
            <v>7008</v>
          </cell>
          <cell r="DH442">
            <v>8799</v>
          </cell>
          <cell r="DI442">
            <v>9137</v>
          </cell>
          <cell r="DJ442">
            <v>10782</v>
          </cell>
          <cell r="DK442">
            <v>10811</v>
          </cell>
          <cell r="DL442">
            <v>11564</v>
          </cell>
          <cell r="DM442">
            <v>11403</v>
          </cell>
          <cell r="DN442">
            <v>9764</v>
          </cell>
          <cell r="DO442">
            <v>9780.1962491892264</v>
          </cell>
        </row>
        <row r="443">
          <cell r="B443" t="str">
            <v>Division 3 EBIT</v>
          </cell>
          <cell r="C443" t="str">
            <v>DIV3_EBIT</v>
          </cell>
          <cell r="D443" t="str">
            <v>SEK</v>
          </cell>
          <cell r="T443">
            <v>1643</v>
          </cell>
          <cell r="U443">
            <v>395</v>
          </cell>
          <cell r="V443">
            <v>1218</v>
          </cell>
          <cell r="W443">
            <v>1460</v>
          </cell>
          <cell r="X443">
            <v>1326</v>
          </cell>
          <cell r="Y443">
            <v>1214</v>
          </cell>
          <cell r="Z443">
            <v>1768</v>
          </cell>
          <cell r="AA443">
            <v>1978</v>
          </cell>
          <cell r="AB443">
            <v>1769</v>
          </cell>
          <cell r="AC443">
            <v>2167</v>
          </cell>
          <cell r="AD443">
            <v>1897</v>
          </cell>
          <cell r="AE443">
            <v>2308</v>
          </cell>
          <cell r="AF443">
            <v>1644</v>
          </cell>
          <cell r="AG443">
            <v>2121</v>
          </cell>
          <cell r="AH443">
            <v>3662.8354274382223</v>
          </cell>
          <cell r="AI443">
            <v>4430.1939203537049</v>
          </cell>
          <cell r="AJ443">
            <v>4146.5062249418779</v>
          </cell>
          <cell r="AK443">
            <v>4287.4017022719172</v>
          </cell>
          <cell r="AL443">
            <v>4582.357063655094</v>
          </cell>
          <cell r="AM443">
            <v>4899.7079345789607</v>
          </cell>
          <cell r="AN443">
            <v>5241.2159328225234</v>
          </cell>
          <cell r="AO443">
            <v>5608.7828550125023</v>
          </cell>
          <cell r="AP443">
            <v>6004.4618721667839</v>
          </cell>
          <cell r="BP443">
            <v>198</v>
          </cell>
          <cell r="BQ443">
            <v>405</v>
          </cell>
          <cell r="BR443">
            <v>407</v>
          </cell>
          <cell r="BS443">
            <v>308</v>
          </cell>
          <cell r="BT443">
            <v>449</v>
          </cell>
          <cell r="BU443">
            <v>499</v>
          </cell>
          <cell r="BV443">
            <v>420</v>
          </cell>
          <cell r="BW443">
            <v>197</v>
          </cell>
          <cell r="BX443">
            <v>342</v>
          </cell>
          <cell r="BY443">
            <v>488</v>
          </cell>
          <cell r="BZ443">
            <v>355</v>
          </cell>
          <cell r="CA443">
            <v>206</v>
          </cell>
          <cell r="CB443">
            <v>263</v>
          </cell>
          <cell r="CC443">
            <v>381</v>
          </cell>
          <cell r="CD443">
            <v>316</v>
          </cell>
          <cell r="CE443">
            <v>254</v>
          </cell>
          <cell r="CF443">
            <v>406</v>
          </cell>
          <cell r="CG443">
            <v>545</v>
          </cell>
          <cell r="CH443">
            <v>422</v>
          </cell>
          <cell r="CI443">
            <v>395</v>
          </cell>
          <cell r="CJ443">
            <v>458</v>
          </cell>
          <cell r="CK443">
            <v>522</v>
          </cell>
          <cell r="CL443">
            <v>546</v>
          </cell>
          <cell r="CM443">
            <v>452</v>
          </cell>
          <cell r="CN443">
            <v>408</v>
          </cell>
          <cell r="CO443">
            <v>484</v>
          </cell>
          <cell r="CP443">
            <v>449</v>
          </cell>
          <cell r="CQ443">
            <v>428</v>
          </cell>
          <cell r="CR443">
            <v>404</v>
          </cell>
          <cell r="CS443">
            <v>475</v>
          </cell>
          <cell r="CT443">
            <v>410</v>
          </cell>
          <cell r="CU443">
            <v>446</v>
          </cell>
          <cell r="CV443">
            <v>438</v>
          </cell>
          <cell r="CW443">
            <v>464</v>
          </cell>
          <cell r="CX443">
            <v>480</v>
          </cell>
          <cell r="CY443">
            <v>515</v>
          </cell>
          <cell r="CZ443">
            <v>524</v>
          </cell>
          <cell r="DA443">
            <v>619</v>
          </cell>
          <cell r="DB443">
            <v>606</v>
          </cell>
          <cell r="DC443">
            <v>559</v>
          </cell>
          <cell r="DD443">
            <v>473</v>
          </cell>
          <cell r="DE443">
            <v>336</v>
          </cell>
          <cell r="DF443">
            <v>410</v>
          </cell>
          <cell r="DG443">
            <v>425</v>
          </cell>
          <cell r="DH443">
            <v>476</v>
          </cell>
          <cell r="DI443">
            <v>539</v>
          </cell>
          <cell r="DJ443">
            <v>548</v>
          </cell>
          <cell r="DK443">
            <v>558</v>
          </cell>
          <cell r="DL443">
            <v>664</v>
          </cell>
          <cell r="DM443">
            <v>807</v>
          </cell>
          <cell r="DN443">
            <v>983</v>
          </cell>
          <cell r="DO443">
            <v>1208.8354274382223</v>
          </cell>
        </row>
        <row r="444">
          <cell r="B444" t="str">
            <v>Division 3 Name</v>
          </cell>
          <cell r="C444" t="str">
            <v>DIV3_NAME</v>
          </cell>
          <cell r="E444" t="str">
            <v>Power Technique</v>
          </cell>
        </row>
        <row r="445">
          <cell r="B445" t="str">
            <v>Division 3 OGS</v>
          </cell>
          <cell r="C445" t="str">
            <v>DIV3_OGS</v>
          </cell>
          <cell r="V445">
            <v>0.23</v>
          </cell>
          <cell r="W445">
            <v>0.18000000000000002</v>
          </cell>
          <cell r="X445">
            <v>-9.9999999999999985E-3</v>
          </cell>
          <cell r="Y445">
            <v>0</v>
          </cell>
          <cell r="Z445">
            <v>2.4940416367552044E-2</v>
          </cell>
          <cell r="AA445">
            <v>-4.9999999999999996E-2</v>
          </cell>
          <cell r="AB445">
            <v>-0.04</v>
          </cell>
          <cell r="AC445">
            <v>9.9931321010683402E-2</v>
          </cell>
          <cell r="AD445">
            <v>7.0000000000000007E-2</v>
          </cell>
          <cell r="AE445">
            <v>0.11</v>
          </cell>
          <cell r="AF445">
            <v>-0.1</v>
          </cell>
          <cell r="AG445">
            <v>0.13464150008260367</v>
          </cell>
          <cell r="AH445">
            <v>0.12</v>
          </cell>
          <cell r="AI445">
            <v>0.03</v>
          </cell>
          <cell r="AJ445">
            <v>-0.05</v>
          </cell>
          <cell r="AK445">
            <v>0</v>
          </cell>
          <cell r="AL445">
            <v>0.03</v>
          </cell>
          <cell r="AM445">
            <v>0.03</v>
          </cell>
          <cell r="AN445">
            <v>0.03</v>
          </cell>
          <cell r="AO445">
            <v>0.03</v>
          </cell>
          <cell r="AP445">
            <v>0.03</v>
          </cell>
          <cell r="BT445">
            <v>0.38</v>
          </cell>
          <cell r="BU445">
            <v>0.28000000000000003</v>
          </cell>
          <cell r="BV445">
            <v>9.9999999999999992E-2</v>
          </cell>
          <cell r="BW445">
            <v>-0.01</v>
          </cell>
          <cell r="BX445">
            <v>0.02</v>
          </cell>
          <cell r="BY445">
            <v>-3.0000000000000002E-2</v>
          </cell>
          <cell r="BZ445">
            <v>-3.0000000000000002E-2</v>
          </cell>
          <cell r="CA445">
            <v>1.9999999999999997E-2</v>
          </cell>
          <cell r="CB445">
            <v>-9.0000000000000011E-2</v>
          </cell>
          <cell r="CC445">
            <v>-0.03</v>
          </cell>
          <cell r="CD445">
            <v>0.05</v>
          </cell>
          <cell r="CE445">
            <v>0.06</v>
          </cell>
          <cell r="CF445">
            <v>6.9999999999999993E-2</v>
          </cell>
          <cell r="CG445">
            <v>0.06</v>
          </cell>
          <cell r="CH445">
            <v>0</v>
          </cell>
          <cell r="CI445">
            <v>-0.03</v>
          </cell>
          <cell r="CJ445">
            <v>-0.03</v>
          </cell>
          <cell r="CK445">
            <v>-6.0000000000000005E-2</v>
          </cell>
          <cell r="CL445">
            <v>-0.03</v>
          </cell>
          <cell r="CM445">
            <v>-6.0000000000000005E-2</v>
          </cell>
          <cell r="CN445">
            <v>-6.0000000000000005E-2</v>
          </cell>
          <cell r="CO445">
            <v>-6.0000000000000005E-2</v>
          </cell>
          <cell r="CP445">
            <v>-6.0000000000000005E-2</v>
          </cell>
          <cell r="CQ445">
            <v>-0.01</v>
          </cell>
          <cell r="CR445">
            <v>0.1</v>
          </cell>
          <cell r="CS445">
            <v>0.09</v>
          </cell>
          <cell r="CT445">
            <v>0.11</v>
          </cell>
          <cell r="CU445">
            <v>9.9999999999999992E-2</v>
          </cell>
          <cell r="CV445">
            <v>0.1</v>
          </cell>
          <cell r="CW445">
            <v>0.06</v>
          </cell>
          <cell r="CX445">
            <v>0.05</v>
          </cell>
          <cell r="CY445">
            <v>0.09</v>
          </cell>
          <cell r="CZ445">
            <v>0.08</v>
          </cell>
          <cell r="DA445">
            <v>0.13</v>
          </cell>
          <cell r="DB445">
            <v>0.17</v>
          </cell>
          <cell r="DC445">
            <v>0.04</v>
          </cell>
          <cell r="DD445">
            <v>-0.01</v>
          </cell>
          <cell r="DE445">
            <v>-0.17</v>
          </cell>
          <cell r="DF445">
            <v>-0.13</v>
          </cell>
          <cell r="DG445">
            <v>-7.0000000000000007E-2</v>
          </cell>
          <cell r="DH445">
            <v>0.05</v>
          </cell>
          <cell r="DI445">
            <v>0.23</v>
          </cell>
          <cell r="DJ445">
            <v>0.13</v>
          </cell>
          <cell r="DK445">
            <v>0.14000000000000001</v>
          </cell>
          <cell r="DL445">
            <v>0.09</v>
          </cell>
          <cell r="DM445">
            <v>0.09</v>
          </cell>
          <cell r="DN445">
            <v>0.2</v>
          </cell>
          <cell r="DO445">
            <v>9.9550233644859779E-2</v>
          </cell>
        </row>
        <row r="446">
          <cell r="B446" t="str">
            <v>Division 3 Order Backlog</v>
          </cell>
          <cell r="C446" t="str">
            <v>DIV3_ORDERBACKLOG</v>
          </cell>
        </row>
        <row r="447">
          <cell r="B447" t="str">
            <v>Division 3 Order Intake</v>
          </cell>
          <cell r="C447" t="str">
            <v>DIV3_ORDERINTAKE</v>
          </cell>
          <cell r="V447">
            <v>12534</v>
          </cell>
          <cell r="W447">
            <v>12786</v>
          </cell>
          <cell r="X447">
            <v>9435</v>
          </cell>
          <cell r="Y447">
            <v>12471</v>
          </cell>
          <cell r="Z447">
            <v>14847</v>
          </cell>
          <cell r="AA447">
            <v>11927</v>
          </cell>
          <cell r="AB447">
            <v>12110</v>
          </cell>
          <cell r="AC447">
            <v>11259</v>
          </cell>
          <cell r="AD447">
            <v>12498</v>
          </cell>
          <cell r="AE447">
            <v>13954</v>
          </cell>
          <cell r="AF447">
            <v>11810</v>
          </cell>
          <cell r="AG447">
            <v>15155</v>
          </cell>
          <cell r="AH447">
            <v>21126.812290834045</v>
          </cell>
          <cell r="AI447">
            <v>19675.755321654611</v>
          </cell>
          <cell r="AJ447">
            <v>21249.815747386983</v>
          </cell>
          <cell r="AK447">
            <v>22949.801007177943</v>
          </cell>
          <cell r="AL447">
            <v>24785.785087752181</v>
          </cell>
          <cell r="AM447">
            <v>26768.647894772359</v>
          </cell>
          <cell r="AN447">
            <v>28910.139726354151</v>
          </cell>
          <cell r="AO447">
            <v>31222.950904462487</v>
          </cell>
          <cell r="AP447">
            <v>33720.786976819487</v>
          </cell>
          <cell r="CN447">
            <v>2600</v>
          </cell>
          <cell r="CO447">
            <v>2503</v>
          </cell>
          <cell r="CP447">
            <v>2550</v>
          </cell>
          <cell r="CQ447">
            <v>2662</v>
          </cell>
          <cell r="CR447">
            <v>2935</v>
          </cell>
          <cell r="CS447">
            <v>2946</v>
          </cell>
          <cell r="CT447">
            <v>2648</v>
          </cell>
          <cell r="CU447">
            <v>2730</v>
          </cell>
          <cell r="CV447">
            <v>3337</v>
          </cell>
          <cell r="CW447">
            <v>3091</v>
          </cell>
          <cell r="CX447">
            <v>3043</v>
          </cell>
          <cell r="CY447">
            <v>3027</v>
          </cell>
          <cell r="CZ447">
            <v>4101</v>
          </cell>
          <cell r="DA447">
            <v>-137</v>
          </cell>
          <cell r="DB447">
            <v>3224</v>
          </cell>
          <cell r="DC447">
            <v>3148</v>
          </cell>
          <cell r="DD447">
            <v>3823</v>
          </cell>
          <cell r="DE447">
            <v>2400</v>
          </cell>
          <cell r="DF447">
            <v>2674</v>
          </cell>
          <cell r="DG447">
            <v>2913</v>
          </cell>
          <cell r="DH447">
            <v>3674</v>
          </cell>
          <cell r="DI447">
            <v>3902</v>
          </cell>
          <cell r="DJ447">
            <v>3331</v>
          </cell>
          <cell r="DK447">
            <v>4248</v>
          </cell>
          <cell r="DL447">
            <v>6164</v>
          </cell>
          <cell r="DM447">
            <v>4997</v>
          </cell>
          <cell r="DN447">
            <v>5161</v>
          </cell>
          <cell r="DO447">
            <v>4804.8122908340447</v>
          </cell>
        </row>
        <row r="448">
          <cell r="B448" t="str">
            <v>Division 3 Sales</v>
          </cell>
          <cell r="C448" t="str">
            <v>DIV3_REVS</v>
          </cell>
          <cell r="D448" t="str">
            <v>SEK</v>
          </cell>
          <cell r="T448">
            <v>13126</v>
          </cell>
          <cell r="U448">
            <v>9627</v>
          </cell>
          <cell r="V448">
            <v>11485</v>
          </cell>
          <cell r="W448">
            <v>12918</v>
          </cell>
          <cell r="X448">
            <v>12888</v>
          </cell>
          <cell r="Y448">
            <v>12257</v>
          </cell>
          <cell r="Z448">
            <v>14739</v>
          </cell>
          <cell r="AA448">
            <v>12112</v>
          </cell>
          <cell r="AB448">
            <v>11794</v>
          </cell>
          <cell r="AC448">
            <v>13246</v>
          </cell>
          <cell r="AD448">
            <v>12042</v>
          </cell>
          <cell r="AE448">
            <v>13915</v>
          </cell>
          <cell r="AF448">
            <v>12106</v>
          </cell>
          <cell r="AG448">
            <v>13234</v>
          </cell>
          <cell r="AH448">
            <v>18336.81030221652</v>
          </cell>
          <cell r="AI448">
            <v>21676.227281544496</v>
          </cell>
          <cell r="AJ448">
            <v>21676.227281544496</v>
          </cell>
          <cell r="AK448">
            <v>22760.03864562172</v>
          </cell>
          <cell r="AL448">
            <v>24580.841737271461</v>
          </cell>
          <cell r="AM448">
            <v>26547.309076253179</v>
          </cell>
          <cell r="AN448">
            <v>28671.093802353436</v>
          </cell>
          <cell r="AO448">
            <v>30964.781306541714</v>
          </cell>
          <cell r="AP448">
            <v>33441.963811065056</v>
          </cell>
          <cell r="CN448">
            <v>2331</v>
          </cell>
          <cell r="CO448">
            <v>2519</v>
          </cell>
          <cell r="CP448">
            <v>2519</v>
          </cell>
          <cell r="CQ448">
            <v>2647</v>
          </cell>
          <cell r="CR448">
            <v>2685</v>
          </cell>
          <cell r="CS448">
            <v>2908</v>
          </cell>
          <cell r="CT448">
            <v>2732</v>
          </cell>
          <cell r="CU448">
            <v>2892</v>
          </cell>
          <cell r="CV448">
            <v>2894</v>
          </cell>
          <cell r="CW448">
            <v>3091</v>
          </cell>
          <cell r="CX448">
            <v>2911</v>
          </cell>
          <cell r="CY448">
            <v>3146</v>
          </cell>
          <cell r="CZ448">
            <v>3177</v>
          </cell>
          <cell r="DA448">
            <v>3555</v>
          </cell>
          <cell r="DB448">
            <v>3697</v>
          </cell>
          <cell r="DC448">
            <v>3486</v>
          </cell>
          <cell r="DD448">
            <v>3325</v>
          </cell>
          <cell r="DE448">
            <v>2930</v>
          </cell>
          <cell r="DF448">
            <v>2932</v>
          </cell>
          <cell r="DG448">
            <v>2919</v>
          </cell>
          <cell r="DH448">
            <v>3121</v>
          </cell>
          <cell r="DI448">
            <v>3377</v>
          </cell>
          <cell r="DJ448">
            <v>3312</v>
          </cell>
          <cell r="DK448">
            <v>3424</v>
          </cell>
          <cell r="DL448">
            <v>3702</v>
          </cell>
          <cell r="DM448">
            <v>4247</v>
          </cell>
          <cell r="DN448">
            <v>5207</v>
          </cell>
          <cell r="DO448">
            <v>5180.8103022165196</v>
          </cell>
        </row>
        <row r="449">
          <cell r="B449" t="str">
            <v>Division 4 EBIT</v>
          </cell>
          <cell r="C449" t="str">
            <v>DIV4_EBIT</v>
          </cell>
          <cell r="D449" t="str">
            <v>SEK</v>
          </cell>
          <cell r="F449">
            <v>470</v>
          </cell>
          <cell r="G449">
            <v>674</v>
          </cell>
          <cell r="H449">
            <v>836</v>
          </cell>
          <cell r="I449">
            <v>942</v>
          </cell>
          <cell r="J449">
            <v>1046</v>
          </cell>
          <cell r="K449">
            <v>1032</v>
          </cell>
          <cell r="L449">
            <v>1238</v>
          </cell>
          <cell r="M449">
            <v>1123</v>
          </cell>
          <cell r="N449">
            <v>1050</v>
          </cell>
          <cell r="O449">
            <v>1051</v>
          </cell>
          <cell r="P449">
            <v>751</v>
          </cell>
          <cell r="Q449">
            <v>1200</v>
          </cell>
          <cell r="R449">
            <v>1346</v>
          </cell>
          <cell r="S449">
            <v>1539</v>
          </cell>
          <cell r="T449">
            <v>1328</v>
          </cell>
          <cell r="U449">
            <v>253</v>
          </cell>
          <cell r="V449">
            <v>1262</v>
          </cell>
          <cell r="W449">
            <v>1767</v>
          </cell>
          <cell r="X449">
            <v>2155</v>
          </cell>
          <cell r="Y449">
            <v>2138</v>
          </cell>
          <cell r="Z449">
            <v>2557</v>
          </cell>
          <cell r="AA449">
            <v>3355</v>
          </cell>
          <cell r="AB449">
            <v>3430</v>
          </cell>
          <cell r="AC449">
            <v>3795</v>
          </cell>
          <cell r="AD449">
            <v>4188</v>
          </cell>
          <cell r="AE449">
            <v>4186</v>
          </cell>
          <cell r="AF449">
            <v>2612</v>
          </cell>
          <cell r="AG449">
            <v>3976</v>
          </cell>
          <cell r="AH449">
            <v>4729.0101302288249</v>
          </cell>
          <cell r="AI449">
            <v>5441.276851644916</v>
          </cell>
          <cell r="AJ449">
            <v>6620.8463630778679</v>
          </cell>
          <cell r="AK449">
            <v>8035.2452790430707</v>
          </cell>
          <cell r="AL449">
            <v>9298.8024037390223</v>
          </cell>
          <cell r="AM449">
            <v>10160.666401617293</v>
          </cell>
          <cell r="AN449">
            <v>11087.016393220998</v>
          </cell>
          <cell r="AO449">
            <v>12083.758467771124</v>
          </cell>
          <cell r="AP449">
            <v>13157.375760656963</v>
          </cell>
          <cell r="AR449">
            <v>213</v>
          </cell>
          <cell r="AS449">
            <v>215</v>
          </cell>
          <cell r="AT449">
            <v>244</v>
          </cell>
          <cell r="AU449">
            <v>271</v>
          </cell>
          <cell r="AV449">
            <v>262</v>
          </cell>
          <cell r="AW449">
            <v>280</v>
          </cell>
          <cell r="AX449">
            <v>311</v>
          </cell>
          <cell r="AY449">
            <v>347</v>
          </cell>
          <cell r="AZ449">
            <v>351</v>
          </cell>
          <cell r="BA449">
            <v>336</v>
          </cell>
          <cell r="BB449">
            <v>311</v>
          </cell>
          <cell r="BC449">
            <v>348</v>
          </cell>
          <cell r="BD449">
            <v>378</v>
          </cell>
          <cell r="BE449">
            <v>392</v>
          </cell>
          <cell r="BF449">
            <v>371</v>
          </cell>
          <cell r="BG449">
            <v>443</v>
          </cell>
          <cell r="BH449">
            <v>412</v>
          </cell>
          <cell r="BI449">
            <v>318</v>
          </cell>
          <cell r="BJ449">
            <v>337</v>
          </cell>
          <cell r="BK449">
            <v>320</v>
          </cell>
          <cell r="BL449">
            <v>125</v>
          </cell>
          <cell r="BM449">
            <v>45</v>
          </cell>
          <cell r="BN449">
            <v>83</v>
          </cell>
          <cell r="BO449">
            <v>187</v>
          </cell>
          <cell r="BP449">
            <v>243</v>
          </cell>
          <cell r="BQ449">
            <v>289</v>
          </cell>
          <cell r="BR449">
            <v>317</v>
          </cell>
          <cell r="BS449">
            <v>413</v>
          </cell>
          <cell r="BT449">
            <v>401</v>
          </cell>
          <cell r="BU449">
            <v>392</v>
          </cell>
          <cell r="BV449">
            <v>398</v>
          </cell>
          <cell r="BW449">
            <v>576</v>
          </cell>
          <cell r="BX449">
            <v>592</v>
          </cell>
          <cell r="BY449">
            <v>552</v>
          </cell>
          <cell r="BZ449">
            <v>479</v>
          </cell>
          <cell r="CA449">
            <v>532</v>
          </cell>
          <cell r="CB449">
            <v>487</v>
          </cell>
          <cell r="CC449">
            <v>482</v>
          </cell>
          <cell r="CD449">
            <v>548</v>
          </cell>
          <cell r="CE449">
            <v>621</v>
          </cell>
          <cell r="CF449">
            <v>543</v>
          </cell>
          <cell r="CG449">
            <v>595</v>
          </cell>
          <cell r="CH449">
            <v>636</v>
          </cell>
          <cell r="CI449">
            <v>783</v>
          </cell>
          <cell r="CJ449">
            <v>770</v>
          </cell>
          <cell r="CK449">
            <v>865</v>
          </cell>
          <cell r="CL449">
            <v>866</v>
          </cell>
          <cell r="CM449">
            <v>854</v>
          </cell>
          <cell r="CN449">
            <v>737</v>
          </cell>
          <cell r="CO449">
            <v>799</v>
          </cell>
          <cell r="CP449">
            <v>897</v>
          </cell>
          <cell r="CQ449">
            <v>997</v>
          </cell>
          <cell r="CR449">
            <v>893</v>
          </cell>
          <cell r="CS449">
            <v>966</v>
          </cell>
          <cell r="CT449">
            <v>979</v>
          </cell>
          <cell r="CU449">
            <v>976</v>
          </cell>
          <cell r="CV449">
            <v>974</v>
          </cell>
          <cell r="CW449">
            <v>1056</v>
          </cell>
          <cell r="CX449">
            <v>1018</v>
          </cell>
          <cell r="CY449">
            <v>1140</v>
          </cell>
          <cell r="CZ449">
            <v>1030</v>
          </cell>
          <cell r="DA449">
            <v>1046</v>
          </cell>
          <cell r="DB449">
            <v>1051</v>
          </cell>
          <cell r="DC449">
            <v>1059</v>
          </cell>
          <cell r="DD449">
            <v>829</v>
          </cell>
          <cell r="DE449">
            <v>334</v>
          </cell>
          <cell r="DF449">
            <v>673</v>
          </cell>
          <cell r="DG449">
            <v>776</v>
          </cell>
          <cell r="DH449">
            <v>917</v>
          </cell>
          <cell r="DI449">
            <v>981</v>
          </cell>
          <cell r="DJ449">
            <v>958</v>
          </cell>
          <cell r="DK449">
            <v>1120</v>
          </cell>
          <cell r="DL449">
            <v>1065</v>
          </cell>
          <cell r="DM449">
            <v>1077</v>
          </cell>
          <cell r="DN449">
            <v>1267</v>
          </cell>
          <cell r="DO449">
            <v>1320.0101302288249</v>
          </cell>
        </row>
        <row r="450">
          <cell r="B450" t="str">
            <v>Division 4 Name</v>
          </cell>
          <cell r="C450" t="str">
            <v>DIV4_NAME</v>
          </cell>
          <cell r="E450" t="str">
            <v>Industrial Technique</v>
          </cell>
        </row>
        <row r="451">
          <cell r="B451" t="str">
            <v>Division 4 OGS</v>
          </cell>
          <cell r="C451" t="str">
            <v>DIV4_OGS</v>
          </cell>
          <cell r="F451">
            <v>0.13114494988434849</v>
          </cell>
          <cell r="G451">
            <v>2.0086281276962925E-3</v>
          </cell>
          <cell r="H451">
            <v>-1.734169994295493E-3</v>
          </cell>
          <cell r="I451">
            <v>2.757487922705314E-2</v>
          </cell>
          <cell r="J451">
            <v>5.1265266766659531E-2</v>
          </cell>
          <cell r="K451">
            <v>4.501847229156266E-2</v>
          </cell>
          <cell r="L451">
            <v>5.2622950819672137E-2</v>
          </cell>
          <cell r="M451">
            <v>-2.5559737417943106E-2</v>
          </cell>
          <cell r="N451">
            <v>-5.9661915810405725E-5</v>
          </cell>
          <cell r="O451">
            <v>0</v>
          </cell>
          <cell r="P451">
            <v>0.08</v>
          </cell>
          <cell r="Q451">
            <v>9.9999999999999992E-2</v>
          </cell>
          <cell r="R451">
            <v>0.03</v>
          </cell>
          <cell r="S451">
            <v>6.9999999999999993E-2</v>
          </cell>
          <cell r="T451">
            <v>0.04</v>
          </cell>
          <cell r="U451">
            <v>-0.35</v>
          </cell>
          <cell r="V451">
            <v>0.27</v>
          </cell>
          <cell r="W451">
            <v>0.24</v>
          </cell>
          <cell r="X451">
            <v>0.12</v>
          </cell>
          <cell r="Y451">
            <v>0.01</v>
          </cell>
          <cell r="Z451">
            <v>9.1685085780444153E-2</v>
          </cell>
          <cell r="AA451">
            <v>7.0000000000000007E-2</v>
          </cell>
          <cell r="AB451">
            <v>0.03</v>
          </cell>
          <cell r="AC451">
            <v>8.5317972963974156E-2</v>
          </cell>
          <cell r="AD451">
            <v>0.06</v>
          </cell>
          <cell r="AE451">
            <v>-0.01</v>
          </cell>
          <cell r="AF451">
            <v>-0.18</v>
          </cell>
          <cell r="AG451">
            <v>0.1684013353115727</v>
          </cell>
          <cell r="AH451">
            <v>0.05</v>
          </cell>
          <cell r="AI451">
            <v>0.03</v>
          </cell>
          <cell r="AJ451">
            <v>0.1</v>
          </cell>
          <cell r="AK451">
            <v>0.1</v>
          </cell>
          <cell r="AL451">
            <v>7.0000000000000007E-2</v>
          </cell>
          <cell r="AM451">
            <v>0.03</v>
          </cell>
          <cell r="AN451">
            <v>0.03</v>
          </cell>
          <cell r="AO451">
            <v>0.03</v>
          </cell>
          <cell r="AP451">
            <v>0.03</v>
          </cell>
          <cell r="AR451">
            <v>0.06</v>
          </cell>
          <cell r="AS451">
            <v>0.05</v>
          </cell>
          <cell r="AT451">
            <v>0.04</v>
          </cell>
          <cell r="AU451">
            <v>0.03</v>
          </cell>
          <cell r="AV451">
            <v>0.12</v>
          </cell>
          <cell r="AW451">
            <v>0.09</v>
          </cell>
          <cell r="AX451">
            <v>0.12000000000000001</v>
          </cell>
          <cell r="AY451">
            <v>0.08</v>
          </cell>
          <cell r="AZ451">
            <v>0.11</v>
          </cell>
          <cell r="BA451">
            <v>7.0000000000000007E-2</v>
          </cell>
          <cell r="BB451">
            <v>-3.0000000000000002E-2</v>
          </cell>
          <cell r="BC451">
            <v>0</v>
          </cell>
          <cell r="BD451">
            <v>-0.01</v>
          </cell>
          <cell r="BE451">
            <v>0.09</v>
          </cell>
          <cell r="BF451">
            <v>0.09</v>
          </cell>
          <cell r="BG451">
            <v>0.14000000000000001</v>
          </cell>
          <cell r="BH451">
            <v>0.14000000000000001</v>
          </cell>
          <cell r="BI451">
            <v>0.09</v>
          </cell>
          <cell r="BJ451">
            <v>6.9999999999999993E-2</v>
          </cell>
          <cell r="BK451">
            <v>-0.1</v>
          </cell>
          <cell r="BL451">
            <v>-0.32</v>
          </cell>
          <cell r="BM451">
            <v>-0.45</v>
          </cell>
          <cell r="BN451">
            <v>-0.36</v>
          </cell>
          <cell r="BO451">
            <v>-0.27</v>
          </cell>
          <cell r="BP451">
            <v>0.09</v>
          </cell>
          <cell r="BQ451">
            <v>0.34</v>
          </cell>
          <cell r="BR451">
            <v>0.3</v>
          </cell>
          <cell r="BS451">
            <v>0.34</v>
          </cell>
          <cell r="BT451">
            <v>0.27</v>
          </cell>
          <cell r="BU451">
            <v>0.29000000000000004</v>
          </cell>
          <cell r="BV451">
            <v>0.21</v>
          </cell>
          <cell r="BW451">
            <v>0.19</v>
          </cell>
          <cell r="BX451">
            <v>0.24000000000000002</v>
          </cell>
          <cell r="BY451">
            <v>0.15000000000000002</v>
          </cell>
          <cell r="BZ451">
            <v>0.13</v>
          </cell>
          <cell r="CA451">
            <v>0</v>
          </cell>
          <cell r="CB451">
            <v>-7.0000000000000007E-2</v>
          </cell>
          <cell r="CC451">
            <v>-0.03</v>
          </cell>
          <cell r="CD451">
            <v>0.05</v>
          </cell>
          <cell r="CE451">
            <v>0.11</v>
          </cell>
          <cell r="CF451">
            <v>0.15</v>
          </cell>
          <cell r="CG451">
            <v>0.12</v>
          </cell>
          <cell r="CH451">
            <v>6.9999999999999993E-2</v>
          </cell>
          <cell r="CI451">
            <v>0.04</v>
          </cell>
          <cell r="CJ451">
            <v>0.04</v>
          </cell>
          <cell r="CK451">
            <v>0.1</v>
          </cell>
          <cell r="CL451">
            <v>0.1</v>
          </cell>
          <cell r="CM451">
            <v>0.03</v>
          </cell>
          <cell r="CN451">
            <v>0.03</v>
          </cell>
          <cell r="CO451">
            <v>0</v>
          </cell>
          <cell r="CP451">
            <v>0.04</v>
          </cell>
          <cell r="CQ451">
            <v>0.03</v>
          </cell>
          <cell r="CR451">
            <v>0.12</v>
          </cell>
          <cell r="CS451">
            <v>0.11</v>
          </cell>
          <cell r="CT451">
            <v>0.08</v>
          </cell>
          <cell r="CU451">
            <v>0.04</v>
          </cell>
          <cell r="CV451">
            <v>7.0000000000000007E-2</v>
          </cell>
          <cell r="CW451">
            <v>0.06</v>
          </cell>
          <cell r="CX451">
            <v>0</v>
          </cell>
          <cell r="CY451">
            <v>0.1</v>
          </cell>
          <cell r="CZ451">
            <v>0.03</v>
          </cell>
          <cell r="DA451">
            <v>-0.03</v>
          </cell>
          <cell r="DB451">
            <v>0.04</v>
          </cell>
          <cell r="DC451">
            <v>-0.05</v>
          </cell>
          <cell r="DD451">
            <v>-0.14000000000000001</v>
          </cell>
          <cell r="DE451">
            <v>-0.28999999999999998</v>
          </cell>
          <cell r="DF451">
            <v>-0.17</v>
          </cell>
          <cell r="DG451">
            <v>-0.12</v>
          </cell>
          <cell r="DH451">
            <v>0.12</v>
          </cell>
          <cell r="DI451">
            <v>0.39</v>
          </cell>
          <cell r="DJ451">
            <v>7.0000000000000007E-2</v>
          </cell>
          <cell r="DK451">
            <v>0.14000000000000001</v>
          </cell>
          <cell r="DL451">
            <v>0.01</v>
          </cell>
          <cell r="DM451">
            <v>0.02</v>
          </cell>
          <cell r="DN451">
            <v>0.14000000000000001</v>
          </cell>
          <cell r="DO451">
            <v>3.4267025779145824E-2</v>
          </cell>
        </row>
        <row r="452">
          <cell r="B452" t="str">
            <v>Division 4 Order Backlog</v>
          </cell>
          <cell r="C452" t="str">
            <v>DIV4_ORDERBACKLOG</v>
          </cell>
        </row>
        <row r="453">
          <cell r="B453" t="str">
            <v>Division 4 Order Intake</v>
          </cell>
          <cell r="C453" t="str">
            <v>DIV4_ORDERINTAKE</v>
          </cell>
          <cell r="F453">
            <v>5553</v>
          </cell>
          <cell r="G453">
            <v>7083</v>
          </cell>
          <cell r="H453">
            <v>8128</v>
          </cell>
          <cell r="I453">
            <v>9316</v>
          </cell>
          <cell r="J453">
            <v>10059</v>
          </cell>
          <cell r="K453">
            <v>10345</v>
          </cell>
          <cell r="L453">
            <v>11454</v>
          </cell>
          <cell r="M453">
            <v>12068</v>
          </cell>
          <cell r="N453">
            <v>11502</v>
          </cell>
          <cell r="O453">
            <v>10528</v>
          </cell>
          <cell r="P453">
            <v>5180</v>
          </cell>
          <cell r="Q453">
            <v>6086</v>
          </cell>
          <cell r="R453">
            <v>6533</v>
          </cell>
          <cell r="S453">
            <v>7043</v>
          </cell>
          <cell r="T453">
            <v>7407</v>
          </cell>
          <cell r="U453">
            <v>5367</v>
          </cell>
          <cell r="V453">
            <v>6730</v>
          </cell>
          <cell r="W453">
            <v>8462</v>
          </cell>
          <cell r="X453">
            <v>13001</v>
          </cell>
          <cell r="Y453">
            <v>9594</v>
          </cell>
          <cell r="Z453">
            <v>11335</v>
          </cell>
          <cell r="AA453">
            <v>14612</v>
          </cell>
          <cell r="AB453">
            <v>15112</v>
          </cell>
          <cell r="AC453">
            <v>16651</v>
          </cell>
          <cell r="AD453">
            <v>18264</v>
          </cell>
          <cell r="AE453">
            <v>18267</v>
          </cell>
          <cell r="AF453">
            <v>16254</v>
          </cell>
          <cell r="AG453">
            <v>20545</v>
          </cell>
          <cell r="AH453">
            <v>26477.631761649547</v>
          </cell>
          <cell r="AI453">
            <v>28794.836282735872</v>
          </cell>
          <cell r="AJ453">
            <v>31386.371548182102</v>
          </cell>
          <cell r="AK453">
            <v>35152.736133963961</v>
          </cell>
          <cell r="AL453">
            <v>39371.064470039637</v>
          </cell>
          <cell r="AM453">
            <v>44095.592206444395</v>
          </cell>
          <cell r="AN453">
            <v>49387.063271217725</v>
          </cell>
          <cell r="AO453">
            <v>55313.510863763855</v>
          </cell>
          <cell r="AP453">
            <v>61951.132167415526</v>
          </cell>
          <cell r="AR453">
            <v>1247</v>
          </cell>
          <cell r="AS453">
            <v>1334</v>
          </cell>
          <cell r="AT453">
            <v>1260</v>
          </cell>
          <cell r="AU453">
            <v>2701</v>
          </cell>
          <cell r="AV453">
            <v>1393</v>
          </cell>
          <cell r="AW453">
            <v>1591</v>
          </cell>
          <cell r="AX453">
            <v>1480</v>
          </cell>
          <cell r="AY453">
            <v>1622</v>
          </cell>
          <cell r="AZ453">
            <v>1734</v>
          </cell>
          <cell r="BA453">
            <v>1722</v>
          </cell>
          <cell r="BB453">
            <v>1480</v>
          </cell>
          <cell r="BC453">
            <v>1597</v>
          </cell>
          <cell r="BD453">
            <v>1774</v>
          </cell>
          <cell r="BE453">
            <v>1758</v>
          </cell>
          <cell r="BF453">
            <v>1685</v>
          </cell>
          <cell r="BG453">
            <v>1826</v>
          </cell>
          <cell r="BH453">
            <v>1959</v>
          </cell>
          <cell r="BI453">
            <v>1940</v>
          </cell>
          <cell r="BJ453">
            <v>1776</v>
          </cell>
          <cell r="BK453">
            <v>1732</v>
          </cell>
          <cell r="BL453">
            <v>1377</v>
          </cell>
          <cell r="BM453">
            <v>1283</v>
          </cell>
          <cell r="BN453">
            <v>1201</v>
          </cell>
          <cell r="BO453">
            <v>1505</v>
          </cell>
          <cell r="BP453">
            <v>1598</v>
          </cell>
          <cell r="BQ453">
            <v>1701</v>
          </cell>
          <cell r="BR453">
            <v>1693</v>
          </cell>
          <cell r="BS453">
            <v>1738</v>
          </cell>
          <cell r="BT453">
            <v>1995</v>
          </cell>
          <cell r="BU453">
            <v>2111</v>
          </cell>
          <cell r="BV453">
            <v>2013</v>
          </cell>
          <cell r="BW453">
            <v>2343</v>
          </cell>
          <cell r="BX453">
            <v>2498</v>
          </cell>
          <cell r="BY453">
            <v>2465</v>
          </cell>
          <cell r="BZ453">
            <v>2218</v>
          </cell>
          <cell r="CA453">
            <v>2254</v>
          </cell>
          <cell r="CB453">
            <v>2187</v>
          </cell>
          <cell r="CC453">
            <v>2457</v>
          </cell>
          <cell r="CD453">
            <v>2402</v>
          </cell>
          <cell r="CE453">
            <v>2548</v>
          </cell>
          <cell r="CF453">
            <v>2593</v>
          </cell>
          <cell r="CG453">
            <v>2754</v>
          </cell>
          <cell r="CH453">
            <v>2822</v>
          </cell>
          <cell r="CI453">
            <v>3166</v>
          </cell>
          <cell r="CJ453">
            <v>3732</v>
          </cell>
          <cell r="CK453">
            <v>3702</v>
          </cell>
          <cell r="CL453">
            <v>3604</v>
          </cell>
          <cell r="CM453">
            <v>3574</v>
          </cell>
          <cell r="CN453">
            <v>3512</v>
          </cell>
          <cell r="CO453">
            <v>3862</v>
          </cell>
          <cell r="CP453">
            <v>3841</v>
          </cell>
          <cell r="CQ453">
            <v>3897</v>
          </cell>
          <cell r="CR453">
            <v>4303</v>
          </cell>
          <cell r="CS453">
            <v>4230</v>
          </cell>
          <cell r="CT453">
            <v>4091</v>
          </cell>
          <cell r="CU453">
            <v>4027</v>
          </cell>
          <cell r="CV453">
            <v>4578</v>
          </cell>
          <cell r="CW453">
            <v>4713</v>
          </cell>
          <cell r="CX453">
            <v>4556</v>
          </cell>
          <cell r="CY453">
            <v>4417</v>
          </cell>
          <cell r="CZ453">
            <v>4686</v>
          </cell>
          <cell r="DA453">
            <v>4868</v>
          </cell>
          <cell r="DB453">
            <v>4669</v>
          </cell>
          <cell r="DC453">
            <v>4044</v>
          </cell>
          <cell r="DD453">
            <v>4463</v>
          </cell>
          <cell r="DE453">
            <v>3246</v>
          </cell>
          <cell r="DF453">
            <v>4359</v>
          </cell>
          <cell r="DG453">
            <v>4186</v>
          </cell>
          <cell r="DH453">
            <v>5143</v>
          </cell>
          <cell r="DI453">
            <v>5395</v>
          </cell>
          <cell r="DJ453">
            <v>5206</v>
          </cell>
          <cell r="DK453">
            <v>4801</v>
          </cell>
          <cell r="DL453">
            <v>6002</v>
          </cell>
          <cell r="DM453">
            <v>6868</v>
          </cell>
          <cell r="DN453">
            <v>7001</v>
          </cell>
          <cell r="DO453">
            <v>6606.6317616495471</v>
          </cell>
        </row>
        <row r="454">
          <cell r="B454" t="str">
            <v>Division 4 Sales</v>
          </cell>
          <cell r="C454" t="str">
            <v>DIV4_REVS</v>
          </cell>
          <cell r="D454" t="str">
            <v>SEK</v>
          </cell>
          <cell r="F454">
            <v>5553</v>
          </cell>
          <cell r="G454">
            <v>7083</v>
          </cell>
          <cell r="H454">
            <v>8128</v>
          </cell>
          <cell r="I454">
            <v>9316</v>
          </cell>
          <cell r="J454">
            <v>10059</v>
          </cell>
          <cell r="K454">
            <v>10345</v>
          </cell>
          <cell r="L454">
            <v>11454</v>
          </cell>
          <cell r="M454">
            <v>12126</v>
          </cell>
          <cell r="N454">
            <v>11481</v>
          </cell>
          <cell r="O454">
            <v>10526</v>
          </cell>
          <cell r="P454">
            <v>5046</v>
          </cell>
          <cell r="Q454">
            <v>6064</v>
          </cell>
          <cell r="R454">
            <v>6440</v>
          </cell>
          <cell r="S454">
            <v>6871</v>
          </cell>
          <cell r="T454">
            <v>7450</v>
          </cell>
          <cell r="U454">
            <v>5392</v>
          </cell>
          <cell r="V454">
            <v>6472</v>
          </cell>
          <cell r="W454">
            <v>7821</v>
          </cell>
          <cell r="X454">
            <v>9566</v>
          </cell>
          <cell r="Y454">
            <v>9501</v>
          </cell>
          <cell r="Z454">
            <v>11450</v>
          </cell>
          <cell r="AA454">
            <v>14578</v>
          </cell>
          <cell r="AB454">
            <v>15017</v>
          </cell>
          <cell r="AC454">
            <v>16377</v>
          </cell>
          <cell r="AD454">
            <v>17933</v>
          </cell>
          <cell r="AE454">
            <v>18712</v>
          </cell>
          <cell r="AF454">
            <v>16176</v>
          </cell>
          <cell r="AG454">
            <v>19421</v>
          </cell>
          <cell r="AH454">
            <v>22521.350405551831</v>
          </cell>
          <cell r="AI454">
            <v>25360.020234486768</v>
          </cell>
          <cell r="AJ454">
            <v>29671.223674349523</v>
          </cell>
          <cell r="AK454">
            <v>34715.33169898895</v>
          </cell>
          <cell r="AL454">
            <v>39575.478136847407</v>
          </cell>
          <cell r="AM454">
            <v>43533.025950532152</v>
          </cell>
          <cell r="AN454">
            <v>47886.328545585369</v>
          </cell>
          <cell r="AO454">
            <v>52674.961400143911</v>
          </cell>
          <cell r="AP454">
            <v>57942.457540158306</v>
          </cell>
          <cell r="AR454">
            <v>1183</v>
          </cell>
          <cell r="AS454">
            <v>1251</v>
          </cell>
          <cell r="AT454">
            <v>1248</v>
          </cell>
          <cell r="AU454">
            <v>1364</v>
          </cell>
          <cell r="AV454">
            <v>1340</v>
          </cell>
          <cell r="AW454">
            <v>1464</v>
          </cell>
          <cell r="AX454">
            <v>1544</v>
          </cell>
          <cell r="AY454">
            <v>1716</v>
          </cell>
          <cell r="AZ454">
            <v>1676</v>
          </cell>
          <cell r="BA454">
            <v>1629</v>
          </cell>
          <cell r="BB454">
            <v>1493</v>
          </cell>
          <cell r="BC454">
            <v>1642</v>
          </cell>
          <cell r="BD454">
            <v>1591</v>
          </cell>
          <cell r="BE454">
            <v>1714</v>
          </cell>
          <cell r="BF454">
            <v>1646</v>
          </cell>
          <cell r="BG454">
            <v>1920</v>
          </cell>
          <cell r="BH454">
            <v>1825</v>
          </cell>
          <cell r="BI454">
            <v>1836</v>
          </cell>
          <cell r="BJ454">
            <v>1788</v>
          </cell>
          <cell r="BK454">
            <v>2001</v>
          </cell>
          <cell r="BL454">
            <v>1483</v>
          </cell>
          <cell r="BM454">
            <v>1211</v>
          </cell>
          <cell r="BN454">
            <v>1243</v>
          </cell>
          <cell r="BO454">
            <v>1455</v>
          </cell>
          <cell r="BP454">
            <v>1483</v>
          </cell>
          <cell r="BQ454">
            <v>1535</v>
          </cell>
          <cell r="BR454">
            <v>1569</v>
          </cell>
          <cell r="BS454">
            <v>1885</v>
          </cell>
          <cell r="BT454">
            <v>1768</v>
          </cell>
          <cell r="BU454">
            <v>1800</v>
          </cell>
          <cell r="BV454">
            <v>1816</v>
          </cell>
          <cell r="BW454">
            <v>2437</v>
          </cell>
          <cell r="BX454">
            <v>2471</v>
          </cell>
          <cell r="BY454">
            <v>2420</v>
          </cell>
          <cell r="BZ454">
            <v>2280</v>
          </cell>
          <cell r="CA454">
            <v>2395</v>
          </cell>
          <cell r="CB454">
            <v>2183</v>
          </cell>
          <cell r="CC454">
            <v>2243</v>
          </cell>
          <cell r="CD454">
            <v>2383</v>
          </cell>
          <cell r="CE454">
            <v>2692</v>
          </cell>
          <cell r="CF454">
            <v>2505</v>
          </cell>
          <cell r="CG454">
            <v>2650</v>
          </cell>
          <cell r="CH454">
            <v>2827</v>
          </cell>
          <cell r="CI454">
            <v>3468</v>
          </cell>
          <cell r="CJ454">
            <v>3394</v>
          </cell>
          <cell r="CK454">
            <v>3697</v>
          </cell>
          <cell r="CL454">
            <v>3668</v>
          </cell>
          <cell r="CM454">
            <v>3819</v>
          </cell>
          <cell r="CN454">
            <v>3417</v>
          </cell>
          <cell r="CO454">
            <v>3622</v>
          </cell>
          <cell r="CP454">
            <v>3841</v>
          </cell>
          <cell r="CQ454">
            <v>4137</v>
          </cell>
          <cell r="CR454">
            <v>3965</v>
          </cell>
          <cell r="CS454">
            <v>4153</v>
          </cell>
          <cell r="CT454">
            <v>4098</v>
          </cell>
          <cell r="CU454">
            <v>4215</v>
          </cell>
          <cell r="CV454">
            <v>4178</v>
          </cell>
          <cell r="CW454">
            <v>4519</v>
          </cell>
          <cell r="CX454">
            <v>4365</v>
          </cell>
          <cell r="CY454">
            <v>4871</v>
          </cell>
          <cell r="CZ454">
            <v>4547</v>
          </cell>
          <cell r="DA454">
            <v>4576</v>
          </cell>
          <cell r="DB454">
            <v>4783</v>
          </cell>
          <cell r="DC454">
            <v>4806</v>
          </cell>
          <cell r="DD454">
            <v>4193</v>
          </cell>
          <cell r="DE454">
            <v>3355</v>
          </cell>
          <cell r="DF454">
            <v>4221</v>
          </cell>
          <cell r="DG454">
            <v>4407</v>
          </cell>
          <cell r="DH454">
            <v>4713</v>
          </cell>
          <cell r="DI454">
            <v>4880</v>
          </cell>
          <cell r="DJ454">
            <v>4630</v>
          </cell>
          <cell r="DK454">
            <v>5198</v>
          </cell>
          <cell r="DL454">
            <v>5083</v>
          </cell>
          <cell r="DM454">
            <v>5405</v>
          </cell>
          <cell r="DN454">
            <v>5911</v>
          </cell>
          <cell r="DO454">
            <v>6122.3504055518315</v>
          </cell>
        </row>
        <row r="455">
          <cell r="B455" t="str">
            <v>Division 5 EBIT</v>
          </cell>
          <cell r="C455" t="str">
            <v>DIV5_EBIT</v>
          </cell>
          <cell r="D455" t="str">
            <v>SEK</v>
          </cell>
        </row>
        <row r="456">
          <cell r="B456" t="str">
            <v>Division 5 Name</v>
          </cell>
          <cell r="C456" t="str">
            <v>DIV5_NAME</v>
          </cell>
        </row>
        <row r="457">
          <cell r="B457" t="str">
            <v>Division 5 OGS</v>
          </cell>
          <cell r="C457" t="str">
            <v>DIV5_OGS</v>
          </cell>
        </row>
        <row r="458">
          <cell r="B458" t="str">
            <v>Division 5 Order Backlog</v>
          </cell>
          <cell r="C458" t="str">
            <v>DIV5_ORDERBACKLOG</v>
          </cell>
        </row>
        <row r="459">
          <cell r="B459" t="str">
            <v>Division 5 Order Intake</v>
          </cell>
          <cell r="C459" t="str">
            <v>DIV5_ORDERINTAKE</v>
          </cell>
        </row>
        <row r="460">
          <cell r="B460" t="str">
            <v>Division 5 Sales</v>
          </cell>
          <cell r="C460" t="str">
            <v>DIV5_REVS</v>
          </cell>
          <cell r="D460" t="str">
            <v>SEK</v>
          </cell>
        </row>
        <row r="461">
          <cell r="B461" t="str">
            <v>Division 6 EBIT</v>
          </cell>
          <cell r="C461" t="str">
            <v>DIV6_EBIT</v>
          </cell>
          <cell r="D461" t="str">
            <v>SEK</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row>
        <row r="466">
          <cell r="B466" t="str">
            <v>Division 6 Sales</v>
          </cell>
          <cell r="C466" t="str">
            <v>DIV6_REVS</v>
          </cell>
          <cell r="D466" t="str">
            <v>SEK</v>
          </cell>
        </row>
        <row r="467">
          <cell r="B467" t="str">
            <v>Group order backlog</v>
          </cell>
          <cell r="C467" t="str">
            <v>GROUP_ORDERBACKLOG</v>
          </cell>
          <cell r="M467">
            <v>4034</v>
          </cell>
          <cell r="N467">
            <v>3934</v>
          </cell>
          <cell r="O467">
            <v>4095</v>
          </cell>
          <cell r="P467">
            <v>5823</v>
          </cell>
          <cell r="Q467">
            <v>9014</v>
          </cell>
          <cell r="R467">
            <v>12639</v>
          </cell>
          <cell r="S467">
            <v>19618</v>
          </cell>
          <cell r="T467">
            <v>20692</v>
          </cell>
          <cell r="U467">
            <v>14265</v>
          </cell>
          <cell r="V467">
            <v>18677</v>
          </cell>
          <cell r="W467">
            <v>24714</v>
          </cell>
          <cell r="X467">
            <v>24020</v>
          </cell>
          <cell r="Y467">
            <v>19263</v>
          </cell>
          <cell r="Z467">
            <v>22830</v>
          </cell>
          <cell r="AA467">
            <v>20254</v>
          </cell>
          <cell r="AB467">
            <v>21597</v>
          </cell>
          <cell r="AC467">
            <v>26841</v>
          </cell>
        </row>
        <row r="468">
          <cell r="B468" t="str">
            <v>Group order intake</v>
          </cell>
          <cell r="C468" t="str">
            <v>GROUP_ORDERINTAKE</v>
          </cell>
          <cell r="O468">
            <v>45149</v>
          </cell>
          <cell r="P468">
            <v>44659</v>
          </cell>
          <cell r="Q468">
            <v>44744</v>
          </cell>
          <cell r="R468">
            <v>55239</v>
          </cell>
          <cell r="S468">
            <v>69059</v>
          </cell>
          <cell r="T468">
            <v>73572</v>
          </cell>
          <cell r="U468">
            <v>58451</v>
          </cell>
          <cell r="V468">
            <v>75178</v>
          </cell>
          <cell r="W468">
            <v>86955</v>
          </cell>
          <cell r="X468">
            <v>90570</v>
          </cell>
          <cell r="Y468">
            <v>81290</v>
          </cell>
          <cell r="Z468">
            <v>93873</v>
          </cell>
          <cell r="AA468">
            <v>97002</v>
          </cell>
          <cell r="AB468">
            <v>102812</v>
          </cell>
          <cell r="AC468">
            <v>121605</v>
          </cell>
          <cell r="AD468">
            <v>97132</v>
          </cell>
          <cell r="AE468">
            <v>106104</v>
          </cell>
          <cell r="AF468">
            <v>100554</v>
          </cell>
          <cell r="AG468">
            <v>129545</v>
          </cell>
          <cell r="AH468">
            <v>161277.74057022398</v>
          </cell>
          <cell r="AI468">
            <v>161338.32878001369</v>
          </cell>
          <cell r="AJ468">
            <v>178731.88719175334</v>
          </cell>
          <cell r="AK468">
            <v>197261.16621925641</v>
          </cell>
          <cell r="AL468">
            <v>217734.47633094987</v>
          </cell>
          <cell r="AM468">
            <v>236160.48697066685</v>
          </cell>
          <cell r="AN468">
            <v>256209.43960432062</v>
          </cell>
          <cell r="AO468">
            <v>278030.99228727113</v>
          </cell>
          <cell r="AP468">
            <v>301789.29159791843</v>
          </cell>
          <cell r="AR468">
            <v>10278</v>
          </cell>
          <cell r="AS468">
            <v>11201</v>
          </cell>
          <cell r="AT468">
            <v>11418</v>
          </cell>
          <cell r="AU468">
            <v>13124</v>
          </cell>
          <cell r="AV468">
            <v>11990</v>
          </cell>
          <cell r="AW468">
            <v>13838</v>
          </cell>
          <cell r="AX468">
            <v>14257</v>
          </cell>
          <cell r="AY468">
            <v>15196</v>
          </cell>
          <cell r="AZ468">
            <v>16614</v>
          </cell>
          <cell r="BA468">
            <v>16526</v>
          </cell>
          <cell r="BB468">
            <v>13847</v>
          </cell>
          <cell r="BC468">
            <v>14131</v>
          </cell>
          <cell r="BD468">
            <v>16120</v>
          </cell>
          <cell r="BE468">
            <v>16735</v>
          </cell>
          <cell r="BF468">
            <v>17388</v>
          </cell>
          <cell r="BG468">
            <v>18816</v>
          </cell>
          <cell r="BH468">
            <v>19505</v>
          </cell>
          <cell r="BI468">
            <v>19788</v>
          </cell>
          <cell r="BJ468">
            <v>18842</v>
          </cell>
          <cell r="BK468">
            <v>15437</v>
          </cell>
          <cell r="BL468">
            <v>14331</v>
          </cell>
          <cell r="BM468">
            <v>14535</v>
          </cell>
          <cell r="BN468">
            <v>14309</v>
          </cell>
          <cell r="BO468">
            <v>15276</v>
          </cell>
          <cell r="BP468">
            <v>17267</v>
          </cell>
          <cell r="BQ468">
            <v>19221</v>
          </cell>
          <cell r="BR468">
            <v>19316</v>
          </cell>
          <cell r="BS468">
            <v>19374</v>
          </cell>
          <cell r="BT468">
            <v>21675</v>
          </cell>
          <cell r="BU468">
            <v>22202</v>
          </cell>
          <cell r="BV468">
            <v>21151</v>
          </cell>
          <cell r="BW468">
            <v>21927</v>
          </cell>
          <cell r="BX468">
            <v>24827</v>
          </cell>
          <cell r="BY468">
            <v>23263</v>
          </cell>
          <cell r="BZ468">
            <v>21379</v>
          </cell>
          <cell r="CA468">
            <v>21101</v>
          </cell>
          <cell r="CB468">
            <v>21008</v>
          </cell>
          <cell r="CC468">
            <v>21135</v>
          </cell>
          <cell r="CD468">
            <v>19433</v>
          </cell>
          <cell r="CE468">
            <v>19714</v>
          </cell>
          <cell r="CF468">
            <v>22653</v>
          </cell>
          <cell r="CG468">
            <v>23450</v>
          </cell>
          <cell r="CH468">
            <v>23395</v>
          </cell>
          <cell r="CI468">
            <v>24375</v>
          </cell>
          <cell r="CJ468">
            <v>24493</v>
          </cell>
          <cell r="CK468">
            <v>25847</v>
          </cell>
          <cell r="CL468">
            <v>23456</v>
          </cell>
          <cell r="CM468">
            <v>23206</v>
          </cell>
          <cell r="CN468">
            <v>23506</v>
          </cell>
          <cell r="CO468">
            <v>24715</v>
          </cell>
          <cell r="CP468">
            <v>25644</v>
          </cell>
          <cell r="CQ468">
            <v>27198</v>
          </cell>
          <cell r="CR468">
            <v>31232</v>
          </cell>
          <cell r="CS468">
            <v>30354</v>
          </cell>
          <cell r="CT468">
            <v>30021</v>
          </cell>
          <cell r="CU468">
            <v>29998</v>
          </cell>
          <cell r="CV468">
            <v>24829</v>
          </cell>
          <cell r="CW468">
            <v>25120</v>
          </cell>
          <cell r="CX468">
            <v>23440</v>
          </cell>
          <cell r="CY468">
            <v>23743</v>
          </cell>
          <cell r="CZ468">
            <v>26812</v>
          </cell>
          <cell r="DA468">
            <v>26565</v>
          </cell>
          <cell r="DB468">
            <v>27102</v>
          </cell>
          <cell r="DC468">
            <v>25625</v>
          </cell>
          <cell r="DD468">
            <v>28039</v>
          </cell>
          <cell r="DE468">
            <v>22401</v>
          </cell>
          <cell r="DF468">
            <v>24246</v>
          </cell>
          <cell r="DG468">
            <v>25868</v>
          </cell>
          <cell r="DH468">
            <v>30468</v>
          </cell>
          <cell r="DI468">
            <v>32529</v>
          </cell>
          <cell r="DJ468">
            <v>33023</v>
          </cell>
          <cell r="DK468">
            <v>33525</v>
          </cell>
          <cell r="DL468">
            <v>40379</v>
          </cell>
          <cell r="DM468">
            <v>41010</v>
          </cell>
          <cell r="DN468">
            <v>40555</v>
          </cell>
          <cell r="DO468">
            <v>39333.740570223992</v>
          </cell>
        </row>
        <row r="469">
          <cell r="B469" t="str">
            <v>Group organic sales growth</v>
          </cell>
          <cell r="C469" t="str">
            <v>GROUP_OGS</v>
          </cell>
          <cell r="O469">
            <v>0.03</v>
          </cell>
          <cell r="P469">
            <v>0.1</v>
          </cell>
          <cell r="Q469">
            <v>0.15</v>
          </cell>
          <cell r="R469">
            <v>0.16999999999999998</v>
          </cell>
          <cell r="S469">
            <v>0.18</v>
          </cell>
          <cell r="T469">
            <v>0.12</v>
          </cell>
          <cell r="U469">
            <v>-0.22</v>
          </cell>
          <cell r="V469">
            <v>0.11708562901744719</v>
          </cell>
          <cell r="W469">
            <v>0.15185175799809944</v>
          </cell>
          <cell r="X469">
            <v>5.8490173009045826E-2</v>
          </cell>
          <cell r="Y469">
            <v>7.8400821544290754E-3</v>
          </cell>
          <cell r="Z469">
            <v>2.7611565984821597E-2</v>
          </cell>
          <cell r="AA469">
            <v>2.2050497772157151E-3</v>
          </cell>
          <cell r="AB469">
            <v>3.1411462078884775E-2</v>
          </cell>
          <cell r="AC469">
            <v>8.7283293803152792E-2</v>
          </cell>
          <cell r="AD469">
            <v>0.08</v>
          </cell>
          <cell r="AE469">
            <v>0.02</v>
          </cell>
          <cell r="AF469">
            <v>-0.03</v>
          </cell>
          <cell r="AG469">
            <v>0.14358498843423467</v>
          </cell>
          <cell r="AH469">
            <v>0.11017277707543192</v>
          </cell>
          <cell r="AI469">
            <v>5.2773718741829678E-2</v>
          </cell>
          <cell r="AJ469">
            <v>5.3004278403845348E-2</v>
          </cell>
          <cell r="AK469">
            <v>7.0752637801016163E-2</v>
          </cell>
          <cell r="AL469">
            <v>7.830278761634242E-2</v>
          </cell>
          <cell r="AM469">
            <v>6.5932859136258737E-2</v>
          </cell>
          <cell r="AN469">
            <v>6.6447063526247532E-2</v>
          </cell>
          <cell r="AO469">
            <v>6.6962605622699303E-2</v>
          </cell>
          <cell r="AP469">
            <v>6.7479184008092608E-2</v>
          </cell>
          <cell r="BT469">
            <v>0.20451894484412475</v>
          </cell>
          <cell r="BU469">
            <v>0.20559390182610154</v>
          </cell>
          <cell r="BV469">
            <v>0.10423481981240743</v>
          </cell>
          <cell r="BW469">
            <v>9.8694500701043755E-2</v>
          </cell>
          <cell r="BX469">
            <v>0.11434099256854871</v>
          </cell>
          <cell r="BY469">
            <v>3.6021455583854285E-2</v>
          </cell>
          <cell r="BZ469">
            <v>4.8330151943193088E-2</v>
          </cell>
          <cell r="CA469">
            <v>3.4175777367599032E-2</v>
          </cell>
          <cell r="CB469">
            <v>-4.3897250361794489E-2</v>
          </cell>
          <cell r="CC469">
            <v>4.2505654170378986E-3</v>
          </cell>
          <cell r="CD469">
            <v>1.3924435437174299E-2</v>
          </cell>
          <cell r="CE469">
            <v>3.7496491720460295E-2</v>
          </cell>
          <cell r="CF469">
            <v>4.5923284197178636E-2</v>
          </cell>
          <cell r="CG469">
            <v>4.8648648648648637E-2</v>
          </cell>
          <cell r="CH469">
            <v>2.0301456062047269E-2</v>
          </cell>
          <cell r="CI469">
            <v>-2.3473243113278884E-3</v>
          </cell>
          <cell r="CJ469">
            <v>-7.6397310835750083E-3</v>
          </cell>
          <cell r="CK469">
            <v>-2.6226993865030669E-2</v>
          </cell>
          <cell r="CL469">
            <v>1.5049297007175777E-2</v>
          </cell>
          <cell r="CM469">
            <v>-2.7067990180382112E-2</v>
          </cell>
          <cell r="CN469">
            <v>-1.0361606883320731E-2</v>
          </cell>
          <cell r="CO469">
            <v>1.6534569597609176E-2</v>
          </cell>
          <cell r="CP469">
            <v>1.0029713750554429E-2</v>
          </cell>
          <cell r="CQ469">
            <v>2.4878679346304316E-2</v>
          </cell>
          <cell r="CR469">
            <v>0.11178616647009305</v>
          </cell>
          <cell r="CS469">
            <v>6.0501889989482645E-2</v>
          </cell>
          <cell r="CT469">
            <v>8.3144680653248246E-2</v>
          </cell>
          <cell r="CU469">
            <v>9.3851471714666665E-2</v>
          </cell>
          <cell r="CV469">
            <v>0.09</v>
          </cell>
          <cell r="CW469">
            <v>0.11</v>
          </cell>
          <cell r="CX469">
            <v>0.06</v>
          </cell>
          <cell r="CY469">
            <v>7.0000000000000007E-2</v>
          </cell>
          <cell r="CZ469">
            <v>0.04</v>
          </cell>
          <cell r="DA469">
            <v>0.01</v>
          </cell>
          <cell r="DB469">
            <v>0.04</v>
          </cell>
          <cell r="DC469">
            <v>0.01</v>
          </cell>
          <cell r="DD469">
            <v>-0.03</v>
          </cell>
          <cell r="DE469">
            <v>-0.08</v>
          </cell>
          <cell r="DF469">
            <v>-0.02</v>
          </cell>
          <cell r="DG469">
            <v>0</v>
          </cell>
          <cell r="DH469">
            <v>0.13</v>
          </cell>
          <cell r="DI469">
            <v>0.21</v>
          </cell>
          <cell r="DJ469">
            <v>0.12</v>
          </cell>
          <cell r="DK469">
            <v>0.12</v>
          </cell>
          <cell r="DL469">
            <v>7.0000000000000007E-2</v>
          </cell>
          <cell r="DM469">
            <v>0.08</v>
          </cell>
          <cell r="DN469">
            <v>0.18</v>
          </cell>
          <cell r="DO469">
            <v>0.11194746590335072</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cell r="AA472">
            <v>-4.0219140987388109E-2</v>
          </cell>
          <cell r="AB472">
            <v>3.6202126799755222E-2</v>
          </cell>
          <cell r="AC472">
            <v>0.16872222633746903</v>
          </cell>
          <cell r="AD472">
            <v>0.05</v>
          </cell>
          <cell r="AE472">
            <v>0.03</v>
          </cell>
          <cell r="AF472">
            <v>-0.05</v>
          </cell>
          <cell r="AG472">
            <v>0.32659092708415804</v>
          </cell>
          <cell r="AH472">
            <v>0.10017674925714637</v>
          </cell>
          <cell r="AI472">
            <v>-9.4753034372302758E-2</v>
          </cell>
          <cell r="AJ472">
            <v>6.5910639841231133E-2</v>
          </cell>
          <cell r="AK472">
            <v>6.1773005918893877E-2</v>
          </cell>
          <cell r="AL472">
            <v>6.1822792775886898E-2</v>
          </cell>
          <cell r="AM472">
            <v>4.2592342401854055E-2</v>
          </cell>
          <cell r="AN472">
            <v>4.2671346801059967E-2</v>
          </cell>
          <cell r="AO472">
            <v>4.2751175378864477E-2</v>
          </cell>
          <cell r="AP472">
            <v>4.2831820738508518E-2</v>
          </cell>
          <cell r="AR472">
            <v>0.12</v>
          </cell>
          <cell r="AS472">
            <v>0.13</v>
          </cell>
          <cell r="AT472">
            <v>0.08</v>
          </cell>
          <cell r="AU472">
            <v>0.15</v>
          </cell>
          <cell r="AV472">
            <v>0.11</v>
          </cell>
          <cell r="AW472">
            <v>0.14000000000000001</v>
          </cell>
          <cell r="AX472">
            <v>0.18</v>
          </cell>
          <cell r="AY472">
            <v>0.14000000000000001</v>
          </cell>
          <cell r="AZ472">
            <v>0.26</v>
          </cell>
          <cell r="BA472">
            <v>0.16</v>
          </cell>
          <cell r="BB472">
            <v>0.22</v>
          </cell>
          <cell r="BC472">
            <v>0.21</v>
          </cell>
          <cell r="BD472">
            <v>0.24</v>
          </cell>
          <cell r="BE472">
            <v>0.18</v>
          </cell>
          <cell r="BF472">
            <v>0.15</v>
          </cell>
          <cell r="BG472">
            <v>0.2</v>
          </cell>
          <cell r="BH472">
            <v>0.11</v>
          </cell>
          <cell r="BI472">
            <v>0.18</v>
          </cell>
          <cell r="BJ472">
            <v>0.09</v>
          </cell>
          <cell r="BK472">
            <v>-0.19</v>
          </cell>
          <cell r="BL472">
            <v>-0.33</v>
          </cell>
          <cell r="BM472">
            <v>-0.37</v>
          </cell>
          <cell r="BN472">
            <v>-0.3</v>
          </cell>
          <cell r="BO472">
            <v>-9.0000000000000011E-2</v>
          </cell>
          <cell r="BP472">
            <v>0.22</v>
          </cell>
          <cell r="BQ472">
            <v>0.33</v>
          </cell>
          <cell r="BR472">
            <v>0.35000000000000003</v>
          </cell>
          <cell r="BS472">
            <v>0.28000000000000003</v>
          </cell>
          <cell r="BT472">
            <v>0.33</v>
          </cell>
          <cell r="BU472">
            <v>0.29000000000000004</v>
          </cell>
          <cell r="BV472">
            <v>0.13999999999999999</v>
          </cell>
          <cell r="BW472">
            <v>0.13999999999999999</v>
          </cell>
          <cell r="BX472">
            <v>0.1</v>
          </cell>
          <cell r="BY472">
            <v>-0.02</v>
          </cell>
          <cell r="BZ472">
            <v>0.01</v>
          </cell>
          <cell r="CA472">
            <v>-3.0000000000000002E-2</v>
          </cell>
          <cell r="CB472">
            <v>-0.11</v>
          </cell>
          <cell r="CC472">
            <v>-0.05</v>
          </cell>
          <cell r="CD472">
            <v>-6.0000000000000005E-2</v>
          </cell>
          <cell r="CE472">
            <v>-0.04</v>
          </cell>
          <cell r="CF472">
            <v>-1.9999999999999997E-2</v>
          </cell>
          <cell r="CG472">
            <v>0.01</v>
          </cell>
          <cell r="CH472">
            <v>0.02</v>
          </cell>
          <cell r="CI472">
            <v>0.02</v>
          </cell>
          <cell r="CJ472">
            <v>-0.05</v>
          </cell>
          <cell r="CK472">
            <v>0</v>
          </cell>
          <cell r="CL472">
            <v>-0.05</v>
          </cell>
          <cell r="CM472">
            <v>-0.05</v>
          </cell>
          <cell r="CN472">
            <v>0</v>
          </cell>
          <cell r="CO472">
            <v>-0.01</v>
          </cell>
          <cell r="CP472">
            <v>7.0000000000000007E-2</v>
          </cell>
          <cell r="CQ472">
            <v>7.0000000000000007E-2</v>
          </cell>
          <cell r="CR472">
            <v>0.14907410509856481</v>
          </cell>
          <cell r="CS472">
            <v>8.5620865415898487E-2</v>
          </cell>
          <cell r="CT472">
            <v>0.16082586125530915</v>
          </cell>
          <cell r="CU472">
            <v>0.13391130798812248</v>
          </cell>
          <cell r="CV472">
            <v>0.1</v>
          </cell>
          <cell r="CW472">
            <v>0.1</v>
          </cell>
          <cell r="CX472">
            <v>-0.01</v>
          </cell>
          <cell r="CY472">
            <v>0.01</v>
          </cell>
          <cell r="CZ472">
            <v>0.01</v>
          </cell>
          <cell r="DA472">
            <v>0.02</v>
          </cell>
          <cell r="DB472">
            <v>0.06</v>
          </cell>
          <cell r="DC472">
            <v>0.01</v>
          </cell>
          <cell r="DD472">
            <v>-0.02</v>
          </cell>
          <cell r="DE472">
            <v>-0.17</v>
          </cell>
          <cell r="DF472">
            <v>-0.06</v>
          </cell>
          <cell r="DG472">
            <v>7.0000000000000007E-2</v>
          </cell>
          <cell r="DH472">
            <v>0.18</v>
          </cell>
          <cell r="DI472">
            <v>0.54</v>
          </cell>
          <cell r="DJ472">
            <v>0.36</v>
          </cell>
          <cell r="DK472">
            <v>0.26</v>
          </cell>
          <cell r="DL472">
            <v>0.23</v>
          </cell>
          <cell r="DM472">
            <v>0.13</v>
          </cell>
          <cell r="DN472">
            <v>0.06</v>
          </cell>
          <cell r="DO472">
            <v>-8.1886982845610998E-3</v>
          </cell>
        </row>
        <row r="473">
          <cell r="B473" t="str">
            <v>Customer advances</v>
          </cell>
          <cell r="C473" t="str">
            <v>CUST_ADVANCES</v>
          </cell>
          <cell r="D473" t="str">
            <v>SEK</v>
          </cell>
        </row>
        <row r="474">
          <cell r="B474" t="str">
            <v>EBIT bridge - Pricing</v>
          </cell>
          <cell r="C474" t="str">
            <v>EBIT_BRIDGE_PRICE</v>
          </cell>
          <cell r="D474" t="str">
            <v>SEK</v>
          </cell>
          <cell r="N474">
            <v>133.37109974700854</v>
          </cell>
          <cell r="O474">
            <v>348.29108407587489</v>
          </cell>
          <cell r="P474">
            <v>685.30664007665052</v>
          </cell>
          <cell r="Q474">
            <v>741.3974675547621</v>
          </cell>
          <cell r="R474">
            <v>831.62934160840473</v>
          </cell>
          <cell r="S474">
            <v>1010.24</v>
          </cell>
          <cell r="T474">
            <v>1900.6499999999996</v>
          </cell>
          <cell r="U474">
            <v>519.23899999999992</v>
          </cell>
          <cell r="V474">
            <v>446.33399999999995</v>
          </cell>
          <cell r="W474">
            <v>978.24999999999989</v>
          </cell>
          <cell r="X474">
            <v>1074.3949999999998</v>
          </cell>
          <cell r="Y474">
            <v>809.96999999999991</v>
          </cell>
          <cell r="Z474">
            <v>590.74439748743714</v>
          </cell>
          <cell r="AA474">
            <v>103.17299999999999</v>
          </cell>
          <cell r="AB474">
            <v>15.098999999999975</v>
          </cell>
          <cell r="AC474">
            <v>142.00199999999998</v>
          </cell>
          <cell r="AD474">
            <v>523.49849999999992</v>
          </cell>
          <cell r="AE474">
            <v>0</v>
          </cell>
          <cell r="AF474">
            <v>0</v>
          </cell>
          <cell r="AG474">
            <v>0</v>
          </cell>
          <cell r="AH474">
            <v>0</v>
          </cell>
          <cell r="AI474">
            <v>901.74927493406722</v>
          </cell>
          <cell r="AJ474">
            <v>1030.1352694657312</v>
          </cell>
          <cell r="AK474">
            <v>1121.1216387569286</v>
          </cell>
          <cell r="AL474">
            <v>1241.5719605335553</v>
          </cell>
          <cell r="AM474">
            <v>1388.8038033790176</v>
          </cell>
          <cell r="AN474">
            <v>1540.1137700674544</v>
          </cell>
          <cell r="AO474">
            <v>1708.5074036218498</v>
          </cell>
          <cell r="AP474">
            <v>1895.9755113529418</v>
          </cell>
        </row>
        <row r="475">
          <cell r="B475" t="str">
            <v>EBIT bridge - Volume</v>
          </cell>
          <cell r="C475" t="str">
            <v>EBIT_BRIDGE_VOL</v>
          </cell>
          <cell r="D475" t="str">
            <v>SEK</v>
          </cell>
          <cell r="N475">
            <v>-613.66800000000001</v>
          </cell>
          <cell r="O475">
            <v>120.53999999999996</v>
          </cell>
          <cell r="P475">
            <v>1127.2929999999999</v>
          </cell>
          <cell r="Q475">
            <v>2214.6930000000002</v>
          </cell>
          <cell r="R475">
            <v>2829.9</v>
          </cell>
          <cell r="S475">
            <v>2957.723</v>
          </cell>
          <cell r="T475">
            <v>1947.1299999999997</v>
          </cell>
          <cell r="U475">
            <v>-5118.2130000000006</v>
          </cell>
          <cell r="V475">
            <v>1867.4059999999999</v>
          </cell>
          <cell r="W475">
            <v>4018.8125</v>
          </cell>
          <cell r="X475">
            <v>1539.1155000000001</v>
          </cell>
          <cell r="Y475">
            <v>-2024.9699999999998</v>
          </cell>
          <cell r="Z475">
            <v>-2129.7443974874373</v>
          </cell>
          <cell r="AA475">
            <v>-1168.548</v>
          </cell>
          <cell r="AB475">
            <v>-258.09899999999999</v>
          </cell>
          <cell r="AC475">
            <v>3990.998</v>
          </cell>
          <cell r="AD475">
            <v>2321.433</v>
          </cell>
          <cell r="AE475">
            <v>-172.905</v>
          </cell>
          <cell r="AF475">
            <v>-196.52249999999998</v>
          </cell>
          <cell r="AG475">
            <v>-233.89499999999998</v>
          </cell>
          <cell r="AH475">
            <v>-210.55749999999995</v>
          </cell>
          <cell r="AI475">
            <v>494.82439569534142</v>
          </cell>
          <cell r="AJ475">
            <v>573.1046929881602</v>
          </cell>
          <cell r="AK475">
            <v>620.27045760089118</v>
          </cell>
          <cell r="AL475">
            <v>692.9324354960047</v>
          </cell>
          <cell r="AM475">
            <v>788.13287305138556</v>
          </cell>
          <cell r="AN475">
            <v>889.93527835377586</v>
          </cell>
          <cell r="AO475">
            <v>1004.3640145149514</v>
          </cell>
          <cell r="AP475">
            <v>1133.0161998271114</v>
          </cell>
        </row>
        <row r="476">
          <cell r="B476" t="str">
            <v>EBIT bridge - Depreciation</v>
          </cell>
          <cell r="C476" t="str">
            <v>EBIT_BRIDGE_DEPREC</v>
          </cell>
          <cell r="D476" t="str">
            <v>SEK</v>
          </cell>
          <cell r="N476">
            <v>600</v>
          </cell>
          <cell r="O476">
            <v>643</v>
          </cell>
          <cell r="P476">
            <v>150</v>
          </cell>
          <cell r="Q476">
            <v>-199</v>
          </cell>
          <cell r="R476">
            <v>-220</v>
          </cell>
          <cell r="S476">
            <v>-163</v>
          </cell>
          <cell r="T476">
            <v>-280</v>
          </cell>
          <cell r="U476">
            <v>-390</v>
          </cell>
          <cell r="V476">
            <v>-28</v>
          </cell>
          <cell r="W476">
            <v>-24</v>
          </cell>
          <cell r="X476">
            <v>-142</v>
          </cell>
          <cell r="Y476">
            <v>-39</v>
          </cell>
          <cell r="Z476">
            <v>-1006</v>
          </cell>
          <cell r="AA476">
            <v>-638</v>
          </cell>
          <cell r="AB476">
            <v>-45</v>
          </cell>
          <cell r="AC476">
            <v>-58</v>
          </cell>
          <cell r="AD476">
            <v>1.5649803316552524E-3</v>
          </cell>
          <cell r="AE476">
            <v>-1377</v>
          </cell>
          <cell r="AF476">
            <v>-488.99999999999994</v>
          </cell>
          <cell r="AG476">
            <v>-277</v>
          </cell>
          <cell r="AH476">
            <v>-420.23603286840017</v>
          </cell>
          <cell r="AI476">
            <v>-303.73371941137805</v>
          </cell>
          <cell r="AJ476">
            <v>-333.67109725375366</v>
          </cell>
          <cell r="AK476">
            <v>0</v>
          </cell>
          <cell r="AL476">
            <v>0</v>
          </cell>
          <cell r="AM476">
            <v>0</v>
          </cell>
          <cell r="AN476">
            <v>0</v>
          </cell>
          <cell r="AO476">
            <v>0</v>
          </cell>
          <cell r="AP476">
            <v>0</v>
          </cell>
        </row>
        <row r="477">
          <cell r="B477" t="str">
            <v>EBIT bridge - Mix</v>
          </cell>
          <cell r="C477" t="str">
            <v>EBIT_BRIDGE_MIX</v>
          </cell>
          <cell r="D477" t="str">
            <v>SEK</v>
          </cell>
        </row>
        <row r="478">
          <cell r="B478" t="str">
            <v>EBIT bridge - Raw materials</v>
          </cell>
          <cell r="C478" t="str">
            <v>EBIT_BRIDGE_RAW_MAT</v>
          </cell>
          <cell r="D478" t="str">
            <v>SEK</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-1150</v>
          </cell>
          <cell r="AI478">
            <v>65</v>
          </cell>
          <cell r="AJ478">
            <v>0</v>
          </cell>
          <cell r="AK478">
            <v>0</v>
          </cell>
          <cell r="AL478">
            <v>0</v>
          </cell>
          <cell r="AM478">
            <v>0</v>
          </cell>
          <cell r="AN478">
            <v>0</v>
          </cell>
          <cell r="AO478">
            <v>0</v>
          </cell>
          <cell r="AP478">
            <v>0</v>
          </cell>
        </row>
        <row r="479">
          <cell r="B479" t="str">
            <v>EBIT bridge - Restructuring</v>
          </cell>
          <cell r="C479" t="str">
            <v>EBIT_BRIDGE_REST</v>
          </cell>
          <cell r="D479" t="str">
            <v>SEK</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B480" t="str">
            <v>EBIT bridge - FX</v>
          </cell>
          <cell r="C480" t="str">
            <v>EBIT_BRIDGE_FX</v>
          </cell>
          <cell r="D480" t="str">
            <v>SEK</v>
          </cell>
          <cell r="N480">
            <v>-410</v>
          </cell>
          <cell r="O480">
            <v>-1120</v>
          </cell>
          <cell r="P480">
            <v>-745</v>
          </cell>
          <cell r="Q480">
            <v>650</v>
          </cell>
          <cell r="R480">
            <v>-450</v>
          </cell>
          <cell r="S480">
            <v>-870</v>
          </cell>
          <cell r="T480">
            <v>-340</v>
          </cell>
          <cell r="U480">
            <v>960</v>
          </cell>
          <cell r="V480">
            <v>-65</v>
          </cell>
          <cell r="W480">
            <v>-1840</v>
          </cell>
          <cell r="X480">
            <v>250</v>
          </cell>
          <cell r="Y480">
            <v>-1225</v>
          </cell>
          <cell r="Z480">
            <v>670</v>
          </cell>
          <cell r="AA480">
            <v>3070</v>
          </cell>
          <cell r="AB480">
            <v>-245</v>
          </cell>
          <cell r="AC480">
            <v>285</v>
          </cell>
          <cell r="AD480">
            <v>540</v>
          </cell>
          <cell r="AE480">
            <v>1650</v>
          </cell>
          <cell r="AF480">
            <v>-875</v>
          </cell>
          <cell r="AG480">
            <v>-1345</v>
          </cell>
          <cell r="AH480">
            <v>6425.6726243478188</v>
          </cell>
          <cell r="AI480">
            <v>2878.5205240736464</v>
          </cell>
          <cell r="AJ480">
            <v>0</v>
          </cell>
          <cell r="AK480">
            <v>0</v>
          </cell>
          <cell r="AL480">
            <v>0</v>
          </cell>
          <cell r="AM480">
            <v>0</v>
          </cell>
          <cell r="AN480">
            <v>0</v>
          </cell>
          <cell r="AO480">
            <v>0</v>
          </cell>
          <cell r="AP480">
            <v>0</v>
          </cell>
        </row>
        <row r="481">
          <cell r="B481" t="str">
            <v>EBIT bridge - M&amp;A</v>
          </cell>
          <cell r="C481" t="str">
            <v>EBIT_BRIDGE_MA</v>
          </cell>
          <cell r="D481" t="str">
            <v>SEK</v>
          </cell>
          <cell r="N481">
            <v>0</v>
          </cell>
          <cell r="O481">
            <v>0</v>
          </cell>
          <cell r="P481">
            <v>163.51100000000002</v>
          </cell>
          <cell r="Q481">
            <v>-1732</v>
          </cell>
          <cell r="R481">
            <v>116.03399999999999</v>
          </cell>
          <cell r="S481">
            <v>577.00699999999995</v>
          </cell>
          <cell r="T481">
            <v>-80</v>
          </cell>
          <cell r="U481">
            <v>-237</v>
          </cell>
          <cell r="V481">
            <v>569</v>
          </cell>
          <cell r="W481">
            <v>35</v>
          </cell>
          <cell r="X481">
            <v>135</v>
          </cell>
          <cell r="Y481">
            <v>-15</v>
          </cell>
          <cell r="Z481">
            <v>1570</v>
          </cell>
          <cell r="AA481">
            <v>230</v>
          </cell>
          <cell r="AB481">
            <v>180</v>
          </cell>
          <cell r="AC481">
            <v>610</v>
          </cell>
          <cell r="AD481">
            <v>35</v>
          </cell>
          <cell r="AE481">
            <v>37</v>
          </cell>
          <cell r="AF481">
            <v>252.0111</v>
          </cell>
          <cell r="AG481">
            <v>115</v>
          </cell>
          <cell r="AH481">
            <v>201.97</v>
          </cell>
          <cell r="AI481">
            <v>822.77419494640492</v>
          </cell>
          <cell r="AJ481">
            <v>868.57347960331902</v>
          </cell>
          <cell r="AK481">
            <v>955.21726725117674</v>
          </cell>
          <cell r="AL481">
            <v>1068.0379261351986</v>
          </cell>
          <cell r="AM481">
            <v>1197.1317987920606</v>
          </cell>
          <cell r="AN481">
            <v>1321.7268819276574</v>
          </cell>
          <cell r="AO481">
            <v>1459.6982879875504</v>
          </cell>
          <cell r="AP481">
            <v>1612.5266324557197</v>
          </cell>
        </row>
        <row r="482">
          <cell r="B482" t="str">
            <v>EBIT bridge - Other</v>
          </cell>
          <cell r="C482" t="str">
            <v>EBIT_BRIDGE_OTH</v>
          </cell>
          <cell r="D482" t="str">
            <v>SEK</v>
          </cell>
          <cell r="N482">
            <v>-785.70309974700922</v>
          </cell>
          <cell r="O482">
            <v>-191.83108407587497</v>
          </cell>
          <cell r="P482">
            <v>-359.11064007665027</v>
          </cell>
          <cell r="Q482">
            <v>-1528.0904675547608</v>
          </cell>
          <cell r="R482">
            <v>-900.56334160840379</v>
          </cell>
          <cell r="S482">
            <v>-718.96999999999935</v>
          </cell>
          <cell r="T482">
            <v>-1050.7799999999988</v>
          </cell>
          <cell r="U482">
            <v>-168.02599999999984</v>
          </cell>
          <cell r="V482">
            <v>1566.2600000000002</v>
          </cell>
          <cell r="W482">
            <v>531.9375</v>
          </cell>
          <cell r="X482">
            <v>-1161.5105000000003</v>
          </cell>
          <cell r="Y482">
            <v>77</v>
          </cell>
          <cell r="Z482">
            <v>1056</v>
          </cell>
          <cell r="AA482">
            <v>681.375</v>
          </cell>
          <cell r="AB482">
            <v>393.00000000000006</v>
          </cell>
          <cell r="AC482">
            <v>-56.000000000000142</v>
          </cell>
          <cell r="AD482">
            <v>117.28399999999985</v>
          </cell>
          <cell r="AE482">
            <v>0</v>
          </cell>
          <cell r="AF482">
            <v>234.98890000000165</v>
          </cell>
          <cell r="AG482">
            <v>247</v>
          </cell>
          <cell r="AH482">
            <v>-1775</v>
          </cell>
          <cell r="AI482">
            <v>-1150</v>
          </cell>
          <cell r="AJ482">
            <v>200</v>
          </cell>
          <cell r="AK482">
            <v>200</v>
          </cell>
          <cell r="AL482">
            <v>200</v>
          </cell>
          <cell r="AM482">
            <v>200</v>
          </cell>
          <cell r="AN482">
            <v>200</v>
          </cell>
          <cell r="AO482">
            <v>200</v>
          </cell>
          <cell r="AP482">
            <v>200</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cell r="AA485">
            <v>-4.3472935834627788E-2</v>
          </cell>
          <cell r="AB485">
            <v>1.2248059819860647E-2</v>
          </cell>
          <cell r="AC485">
            <v>8.7069423524578943E-2</v>
          </cell>
          <cell r="AD485">
            <v>0.09</v>
          </cell>
          <cell r="AE485">
            <v>0.05</v>
          </cell>
          <cell r="AF485">
            <v>-0.03</v>
          </cell>
          <cell r="AG485">
            <v>0.20111305668656779</v>
          </cell>
          <cell r="AH485">
            <v>0.18</v>
          </cell>
          <cell r="AI485">
            <v>-0.03</v>
          </cell>
          <cell r="AJ485">
            <v>0.05</v>
          </cell>
          <cell r="AK485">
            <v>7.0000000000000007E-2</v>
          </cell>
          <cell r="AL485">
            <v>7.0000000000000007E-2</v>
          </cell>
          <cell r="AM485">
            <v>0.05</v>
          </cell>
          <cell r="AN485">
            <v>0.05</v>
          </cell>
          <cell r="AO485">
            <v>0.05</v>
          </cell>
          <cell r="AP485">
            <v>0.05</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0.31</v>
          </cell>
          <cell r="BU485">
            <v>0.27</v>
          </cell>
          <cell r="BV485">
            <v>0.17</v>
          </cell>
          <cell r="BW485">
            <v>0.12</v>
          </cell>
          <cell r="BX485">
            <v>0.05</v>
          </cell>
          <cell r="BY485">
            <v>-7.0000000000000007E-2</v>
          </cell>
          <cell r="BZ485">
            <v>0.02</v>
          </cell>
          <cell r="CA485">
            <v>0</v>
          </cell>
          <cell r="CB485">
            <v>-0.04</v>
          </cell>
          <cell r="CC485">
            <v>0.01</v>
          </cell>
          <cell r="CD485">
            <v>-0.04</v>
          </cell>
          <cell r="CE485">
            <v>0.02</v>
          </cell>
          <cell r="CF485">
            <v>-0.04</v>
          </cell>
          <cell r="CG485">
            <v>0</v>
          </cell>
          <cell r="CH485">
            <v>0.04</v>
          </cell>
          <cell r="CI485">
            <v>0.04</v>
          </cell>
          <cell r="CJ485">
            <v>-1.9999999999999997E-2</v>
          </cell>
          <cell r="CK485">
            <v>-1.9999999999999997E-2</v>
          </cell>
          <cell r="CL485">
            <v>-6.0000000000000005E-2</v>
          </cell>
          <cell r="CM485">
            <v>-7.0000000000000007E-2</v>
          </cell>
          <cell r="CN485">
            <v>0</v>
          </cell>
          <cell r="CO485">
            <v>0.01</v>
          </cell>
          <cell r="CP485">
            <v>0</v>
          </cell>
          <cell r="CQ485">
            <v>0.04</v>
          </cell>
          <cell r="CR485">
            <v>0.09</v>
          </cell>
          <cell r="CS485">
            <v>0.05</v>
          </cell>
          <cell r="CT485">
            <v>0.14000000000000001</v>
          </cell>
          <cell r="CU485">
            <v>7.0000000000000007E-2</v>
          </cell>
          <cell r="CV485">
            <v>0.13</v>
          </cell>
          <cell r="CW485">
            <v>0.12</v>
          </cell>
          <cell r="CX485">
            <v>0.04</v>
          </cell>
          <cell r="CY485">
            <v>7.0000000000000007E-2</v>
          </cell>
          <cell r="CZ485">
            <v>0.05</v>
          </cell>
          <cell r="DA485">
            <v>0.03</v>
          </cell>
          <cell r="DB485">
            <v>7.0000000000000007E-2</v>
          </cell>
          <cell r="DC485">
            <v>0.03</v>
          </cell>
          <cell r="DD485">
            <v>-0.03</v>
          </cell>
          <cell r="DE485">
            <v>-0.13</v>
          </cell>
          <cell r="DF485">
            <v>-0.02</v>
          </cell>
          <cell r="DG485">
            <v>0.05</v>
          </cell>
          <cell r="DH485">
            <v>0.13</v>
          </cell>
          <cell r="DI485">
            <v>0.37</v>
          </cell>
          <cell r="DJ485">
            <v>0.18</v>
          </cell>
          <cell r="DK485">
            <v>0.14000000000000001</v>
          </cell>
          <cell r="DL485">
            <v>0.2</v>
          </cell>
          <cell r="DM485">
            <v>0.14000000000000001</v>
          </cell>
          <cell r="DN485">
            <v>0.21</v>
          </cell>
          <cell r="DO485">
            <v>0.17233916437762031</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cell r="AA488">
            <v>-7.0876553060526624E-3</v>
          </cell>
          <cell r="AB488">
            <v>0.19495862884160758</v>
          </cell>
          <cell r="AC488">
            <v>0.32729548534341346</v>
          </cell>
          <cell r="AD488">
            <v>-0.06</v>
          </cell>
          <cell r="AE488">
            <v>0.01</v>
          </cell>
          <cell r="AF488">
            <v>0.06</v>
          </cell>
          <cell r="AG488">
            <v>0.62393464409959742</v>
          </cell>
          <cell r="AH488">
            <v>-0.06</v>
          </cell>
          <cell r="AI488">
            <v>-0.18</v>
          </cell>
          <cell r="AJ488">
            <v>0.15</v>
          </cell>
          <cell r="AK488">
            <v>7.0000000000000007E-2</v>
          </cell>
          <cell r="AL488">
            <v>7.0000000000000007E-2</v>
          </cell>
          <cell r="AM488">
            <v>0.03</v>
          </cell>
          <cell r="AN488">
            <v>0.03</v>
          </cell>
          <cell r="AO488">
            <v>0.03</v>
          </cell>
          <cell r="AP488">
            <v>0.03</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0</v>
          </cell>
          <cell r="CI488">
            <v>0</v>
          </cell>
          <cell r="CJ488">
            <v>-0.1</v>
          </cell>
          <cell r="CK488">
            <v>0.11</v>
          </cell>
          <cell r="CL488">
            <v>-0.12</v>
          </cell>
          <cell r="CM488">
            <v>0.09</v>
          </cell>
          <cell r="CN488">
            <v>0.3</v>
          </cell>
          <cell r="CO488">
            <v>0.01</v>
          </cell>
          <cell r="CP488">
            <v>0.39</v>
          </cell>
          <cell r="CQ488">
            <v>0.13</v>
          </cell>
          <cell r="CR488">
            <v>0.33</v>
          </cell>
          <cell r="CS488">
            <v>0.25</v>
          </cell>
          <cell r="CT488">
            <v>0.32</v>
          </cell>
          <cell r="CU488">
            <v>0.38</v>
          </cell>
          <cell r="CV488">
            <v>0.02</v>
          </cell>
          <cell r="CW488">
            <v>0.08</v>
          </cell>
          <cell r="CX488">
            <v>-0.19</v>
          </cell>
          <cell r="CY488">
            <v>-0.17</v>
          </cell>
          <cell r="CZ488">
            <v>-0.13</v>
          </cell>
          <cell r="DA488">
            <v>-7.0000000000000007E-2</v>
          </cell>
          <cell r="DB488">
            <v>0.21</v>
          </cell>
          <cell r="DC488">
            <v>0.09</v>
          </cell>
          <cell r="DD488">
            <v>0.13</v>
          </cell>
          <cell r="DE488">
            <v>-0.02</v>
          </cell>
          <cell r="DF488">
            <v>-0.06</v>
          </cell>
          <cell r="DG488">
            <v>0.19</v>
          </cell>
          <cell r="DH488">
            <v>0.38</v>
          </cell>
          <cell r="DI488">
            <v>0.76</v>
          </cell>
          <cell r="DJ488">
            <v>0.93</v>
          </cell>
          <cell r="DK488">
            <v>0.51</v>
          </cell>
          <cell r="DL488">
            <v>0.2</v>
          </cell>
          <cell r="DM488">
            <v>0.11</v>
          </cell>
          <cell r="DN488">
            <v>-0.23</v>
          </cell>
          <cell r="DO488">
            <v>-0.24574507446119692</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cell r="AA491">
            <v>-6.5384926247726821E-2</v>
          </cell>
          <cell r="AB491">
            <v>-1.9786199379558989E-2</v>
          </cell>
          <cell r="AC491">
            <v>8.4089443431936084E-2</v>
          </cell>
          <cell r="AD491">
            <v>0.11</v>
          </cell>
          <cell r="AE491">
            <v>7.0000000000000007E-2</v>
          </cell>
          <cell r="AF491">
            <v>-0.12</v>
          </cell>
          <cell r="AG491">
            <v>0.32415410668924644</v>
          </cell>
          <cell r="AH491">
            <v>0.12</v>
          </cell>
          <cell r="AI491">
            <v>-0.25</v>
          </cell>
          <cell r="AJ491">
            <v>0.03</v>
          </cell>
          <cell r="AK491">
            <v>0.03</v>
          </cell>
          <cell r="AL491">
            <v>0.03</v>
          </cell>
          <cell r="AM491">
            <v>0.03</v>
          </cell>
          <cell r="AN491">
            <v>0.03</v>
          </cell>
          <cell r="AO491">
            <v>0.03</v>
          </cell>
          <cell r="AP491">
            <v>0.03</v>
          </cell>
          <cell r="BT491">
            <v>0.2</v>
          </cell>
          <cell r="BU491">
            <v>0.17</v>
          </cell>
          <cell r="BV491">
            <v>-0.01</v>
          </cell>
          <cell r="BW491">
            <v>-9.0000000000000011E-2</v>
          </cell>
          <cell r="BX491">
            <v>-0.04</v>
          </cell>
          <cell r="BY491">
            <v>-0.02</v>
          </cell>
          <cell r="BZ491">
            <v>0.01</v>
          </cell>
          <cell r="CA491">
            <v>0.1</v>
          </cell>
          <cell r="CB491">
            <v>-0.04</v>
          </cell>
          <cell r="CC491">
            <v>-0.02</v>
          </cell>
          <cell r="CD491">
            <v>0.03</v>
          </cell>
          <cell r="CE491">
            <v>0.01</v>
          </cell>
          <cell r="CF491">
            <v>0.04</v>
          </cell>
          <cell r="CG491">
            <v>0</v>
          </cell>
          <cell r="CH491">
            <v>-1.9999999999999997E-2</v>
          </cell>
          <cell r="CI491">
            <v>0.01</v>
          </cell>
          <cell r="CJ491">
            <v>-4.9999999999999996E-2</v>
          </cell>
          <cell r="CK491">
            <v>-4.9999999999999996E-2</v>
          </cell>
          <cell r="CL491">
            <v>-0.03</v>
          </cell>
          <cell r="CM491">
            <v>-0.13</v>
          </cell>
          <cell r="CN491">
            <v>-7.0000000000000007E-2</v>
          </cell>
          <cell r="CO491">
            <v>-7.0000000000000007E-2</v>
          </cell>
          <cell r="CP491">
            <v>-0.01</v>
          </cell>
          <cell r="CQ491">
            <v>0.09</v>
          </cell>
          <cell r="CR491">
            <v>0.1</v>
          </cell>
          <cell r="CS491">
            <v>0.09</v>
          </cell>
          <cell r="CT491">
            <v>0.09</v>
          </cell>
          <cell r="CU491">
            <v>0.05</v>
          </cell>
          <cell r="CV491">
            <v>0.16</v>
          </cell>
          <cell r="CW491">
            <v>0.05</v>
          </cell>
          <cell r="CX491">
            <v>0.13</v>
          </cell>
          <cell r="CY491">
            <v>0.11</v>
          </cell>
          <cell r="CZ491">
            <v>0.19</v>
          </cell>
          <cell r="DA491">
            <v>0.1</v>
          </cell>
          <cell r="DB491">
            <v>-0.02</v>
          </cell>
          <cell r="DC491">
            <v>-0.02</v>
          </cell>
          <cell r="DD491">
            <v>-0.11</v>
          </cell>
          <cell r="DE491">
            <v>-0.3</v>
          </cell>
          <cell r="DF491">
            <v>-0.09</v>
          </cell>
          <cell r="DG491">
            <v>0.02</v>
          </cell>
          <cell r="DH491">
            <v>7.0000000000000007E-2</v>
          </cell>
          <cell r="DI491">
            <v>0.75</v>
          </cell>
          <cell r="DJ491">
            <v>0.19</v>
          </cell>
          <cell r="DK491">
            <v>0.43</v>
          </cell>
          <cell r="DL491">
            <v>0.55000000000000004</v>
          </cell>
          <cell r="DM491">
            <v>0.1</v>
          </cell>
          <cell r="DN491">
            <v>0.16</v>
          </cell>
          <cell r="DO491">
            <v>-0.26489171374764608</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cell r="AA494">
            <v>8.3908248786943085E-2</v>
          </cell>
          <cell r="AB494">
            <v>2.9567478784560633E-2</v>
          </cell>
          <cell r="AC494">
            <v>9.5971413446267861E-2</v>
          </cell>
          <cell r="AD494">
            <v>0.06</v>
          </cell>
          <cell r="AE494">
            <v>-0.05</v>
          </cell>
          <cell r="AF494">
            <v>-0.16</v>
          </cell>
          <cell r="AG494">
            <v>0.22628399163282886</v>
          </cell>
          <cell r="AH494">
            <v>0.18</v>
          </cell>
          <cell r="AI494">
            <v>-0.01</v>
          </cell>
          <cell r="AJ494">
            <v>0.02</v>
          </cell>
          <cell r="AK494">
            <v>0.05</v>
          </cell>
          <cell r="AL494">
            <v>0.05</v>
          </cell>
          <cell r="AM494">
            <v>0.05</v>
          </cell>
          <cell r="AN494">
            <v>0.05</v>
          </cell>
          <cell r="AO494">
            <v>0.05</v>
          </cell>
          <cell r="AP494">
            <v>0.05</v>
          </cell>
          <cell r="BN494">
            <v>-0.38</v>
          </cell>
          <cell r="BO494">
            <v>-0.14000000000000001</v>
          </cell>
          <cell r="BP494">
            <v>0.27</v>
          </cell>
          <cell r="BQ494">
            <v>0.4</v>
          </cell>
          <cell r="BR494">
            <v>0.45</v>
          </cell>
          <cell r="BS494">
            <v>0.19</v>
          </cell>
          <cell r="BT494">
            <v>0.33</v>
          </cell>
          <cell r="BU494">
            <v>0.37</v>
          </cell>
          <cell r="BV494">
            <v>0.24</v>
          </cell>
          <cell r="BW494">
            <v>0.26</v>
          </cell>
          <cell r="BX494">
            <v>9.9999999999999992E-2</v>
          </cell>
          <cell r="BY494">
            <v>0.01</v>
          </cell>
          <cell r="BZ494">
            <v>0.01</v>
          </cell>
          <cell r="CA494">
            <v>-1.9999999999999997E-2</v>
          </cell>
          <cell r="CB494">
            <v>-0.08</v>
          </cell>
          <cell r="CC494">
            <v>0.04</v>
          </cell>
          <cell r="CD494">
            <v>0.09</v>
          </cell>
          <cell r="CE494">
            <v>0.1</v>
          </cell>
          <cell r="CF494">
            <v>0.13</v>
          </cell>
          <cell r="CG494">
            <v>7.0000000000000007E-2</v>
          </cell>
          <cell r="CH494">
            <v>6.9999999999999993E-2</v>
          </cell>
          <cell r="CI494">
            <v>0.04</v>
          </cell>
          <cell r="CJ494">
            <v>0.1</v>
          </cell>
          <cell r="CK494">
            <v>0.09</v>
          </cell>
          <cell r="CL494">
            <v>0.09</v>
          </cell>
          <cell r="CM494">
            <v>0.06</v>
          </cell>
          <cell r="CN494">
            <v>-0.04</v>
          </cell>
          <cell r="CO494">
            <v>0.06</v>
          </cell>
          <cell r="CP494">
            <v>0.06</v>
          </cell>
          <cell r="CQ494">
            <v>0.04</v>
          </cell>
          <cell r="CR494">
            <v>0.16</v>
          </cell>
          <cell r="CS494">
            <v>0.05</v>
          </cell>
          <cell r="CT494">
            <v>0.11</v>
          </cell>
          <cell r="CU494">
            <v>7.0000000000000007E-2</v>
          </cell>
          <cell r="CV494">
            <v>0.09</v>
          </cell>
          <cell r="CW494">
            <v>0.08</v>
          </cell>
          <cell r="CX494">
            <v>0.04</v>
          </cell>
          <cell r="CY494">
            <v>0.04</v>
          </cell>
          <cell r="CZ494">
            <v>-0.04</v>
          </cell>
          <cell r="DA494">
            <v>-0.01</v>
          </cell>
          <cell r="DB494">
            <v>-0.04</v>
          </cell>
          <cell r="DC494">
            <v>-0.11</v>
          </cell>
          <cell r="DD494">
            <v>-0.11</v>
          </cell>
          <cell r="DE494">
            <v>-0.35</v>
          </cell>
          <cell r="DF494">
            <v>-0.15</v>
          </cell>
          <cell r="DG494">
            <v>-0.01</v>
          </cell>
          <cell r="DH494">
            <v>0.13</v>
          </cell>
          <cell r="DI494">
            <v>0.61</v>
          </cell>
          <cell r="DJ494">
            <v>0.17</v>
          </cell>
          <cell r="DK494">
            <v>0.09</v>
          </cell>
          <cell r="DL494">
            <v>0.11</v>
          </cell>
          <cell r="DM494">
            <v>0.17</v>
          </cell>
          <cell r="DN494">
            <v>0.21</v>
          </cell>
          <cell r="DO494">
            <v>0.23369298062903554</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Atlas Copco</v>
          </cell>
        </row>
        <row r="502">
          <cell r="A502" t="str">
            <v>Reference Data</v>
          </cell>
        </row>
        <row r="503">
          <cell r="B503" t="str">
            <v>Ticker</v>
          </cell>
          <cell r="C503" t="str">
            <v>Ticker</v>
          </cell>
          <cell r="E503" t="str">
            <v>ATCOa.ST</v>
          </cell>
        </row>
        <row r="504">
          <cell r="B504" t="str">
            <v>Security Name</v>
          </cell>
          <cell r="C504" t="str">
            <v>Security Name</v>
          </cell>
          <cell r="E504" t="str">
            <v>Atlas Copco</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cell r="E510" t="str">
            <v>Buy</v>
          </cell>
          <cell r="I510" t="str">
            <v>Acceptable values include BUY or SELL</v>
          </cell>
        </row>
        <row r="511">
          <cell r="B511" t="str">
            <v>Pan Europe Conviction List</v>
          </cell>
          <cell r="C511" t="str">
            <v>EURO_CONVICTION</v>
          </cell>
          <cell r="E511" t="str">
            <v>Buy</v>
          </cell>
          <cell r="I511" t="str">
            <v>Acceptable values include BUY or SELL</v>
          </cell>
        </row>
        <row r="512">
          <cell r="B512" t="str">
            <v>Legal rating</v>
          </cell>
          <cell r="C512" t="str">
            <v>LEGAL_RATING</v>
          </cell>
          <cell r="I512" t="str">
            <v>Acceptable values include RS, CS or NR</v>
          </cell>
        </row>
        <row r="513">
          <cell r="B513" t="str">
            <v>Target price</v>
          </cell>
          <cell r="C513" t="str">
            <v>TARGET_PRICE</v>
          </cell>
          <cell r="D513" t="str">
            <v>SEK</v>
          </cell>
          <cell r="E513">
            <v>174</v>
          </cell>
        </row>
        <row r="514">
          <cell r="B514" t="str">
            <v>Target price period</v>
          </cell>
          <cell r="C514" t="str">
            <v>TP_PERIOD</v>
          </cell>
          <cell r="E514" t="str">
            <v>12 months</v>
          </cell>
          <cell r="I514" t="str">
            <v>Acceptable values  for this cell are "6 months", "12 months", "18 months" unless there is no target price, in which case it must  be left blank.</v>
          </cell>
        </row>
        <row r="515">
          <cell r="B515" t="str">
            <v>Fundamental value</v>
          </cell>
          <cell r="C515" t="str">
            <v>TARGET_PRICE_FUNDAMENTAL</v>
          </cell>
          <cell r="D515" t="str">
            <v>SEK</v>
          </cell>
        </row>
        <row r="516">
          <cell r="B516" t="str">
            <v>M&amp;A value</v>
          </cell>
          <cell r="C516" t="str">
            <v>TARGET_PRICE_MA</v>
          </cell>
          <cell r="D516" t="str">
            <v>SEK</v>
          </cell>
        </row>
        <row r="517">
          <cell r="B517" t="str">
            <v>Current shares outstanding (mn)</v>
          </cell>
          <cell r="C517" t="str">
            <v>NUM_SH</v>
          </cell>
          <cell r="E517">
            <v>4872.7614720000001</v>
          </cell>
        </row>
        <row r="518">
          <cell r="B518" t="str">
            <v>Free float</v>
          </cell>
          <cell r="C518" t="str">
            <v>FREE_FLOAT</v>
          </cell>
          <cell r="E518">
            <v>0.94135800000000003</v>
          </cell>
        </row>
        <row r="519">
          <cell r="B519" t="str">
            <v>Indirect Sales - % UK</v>
          </cell>
          <cell r="C519" t="str">
            <v>ACT1</v>
          </cell>
          <cell r="E519">
            <v>0.2321</v>
          </cell>
        </row>
        <row r="520">
          <cell r="A520" t="str">
            <v>Publishing Items</v>
          </cell>
        </row>
        <row r="521">
          <cell r="B521" t="str">
            <v>Book value per share, BVPS (Pub)</v>
          </cell>
          <cell r="C521" t="str">
            <v>BVPS_PUB</v>
          </cell>
          <cell r="D521" t="str">
            <v>SEK</v>
          </cell>
          <cell r="F521">
            <v>2.0849689770783923</v>
          </cell>
          <cell r="G521">
            <v>2.3780861446062374</v>
          </cell>
          <cell r="H521">
            <v>2.6907293201955818</v>
          </cell>
          <cell r="I521">
            <v>3.0544579819923348</v>
          </cell>
          <cell r="J521">
            <v>3.4670016639428343</v>
          </cell>
          <cell r="K521">
            <v>4.151714055295022</v>
          </cell>
          <cell r="L521">
            <v>4.7673644469277097</v>
          </cell>
          <cell r="M521">
            <v>5.4802227951339795</v>
          </cell>
          <cell r="N521">
            <v>4.0143506647176288</v>
          </cell>
          <cell r="O521">
            <v>4.1775566613370785</v>
          </cell>
          <cell r="P521">
            <v>4.4799151520291414</v>
          </cell>
          <cell r="Q521">
            <v>5.1120650536732954</v>
          </cell>
          <cell r="R521">
            <v>6.5012989753220882</v>
          </cell>
          <cell r="S521">
            <v>2.9743164278703151</v>
          </cell>
          <cell r="T521">
            <v>4.8451755497926943</v>
          </cell>
          <cell r="U521">
            <v>5.2448803355539102</v>
          </cell>
          <cell r="V521">
            <v>5.991652274035693</v>
          </cell>
          <cell r="W521">
            <v>5.9244008894013014</v>
          </cell>
          <cell r="X521">
            <v>7.2248311089141541</v>
          </cell>
          <cell r="Y521">
            <v>8.1658840006590871</v>
          </cell>
          <cell r="Z521">
            <v>10.401242184929254</v>
          </cell>
          <cell r="AA521">
            <v>9.5677263019549859</v>
          </cell>
          <cell r="AB521">
            <v>10.917070964558837</v>
          </cell>
          <cell r="AC521">
            <v>12.461288197018369</v>
          </cell>
          <cell r="AD521">
            <v>8.7402142562834779</v>
          </cell>
          <cell r="AE521">
            <v>10.955585741335309</v>
          </cell>
          <cell r="AF521">
            <v>10.945984860951127</v>
          </cell>
          <cell r="AG521">
            <v>13.885398702471873</v>
          </cell>
          <cell r="AH521">
            <v>14.706928301841454</v>
          </cell>
          <cell r="AI521">
            <v>17.848779009661715</v>
          </cell>
          <cell r="AJ521">
            <v>18.191484679006088</v>
          </cell>
          <cell r="AK521">
            <v>22.079014667853315</v>
          </cell>
          <cell r="AL521">
            <v>26.525944479757815</v>
          </cell>
          <cell r="AM521">
            <v>31.434127987595115</v>
          </cell>
          <cell r="AN521">
            <v>36.896189106663748</v>
          </cell>
          <cell r="AO521">
            <v>42.989168066560765</v>
          </cell>
          <cell r="AP521">
            <v>49.781912339395021</v>
          </cell>
        </row>
        <row r="522">
          <cell r="B522" t="str">
            <v>DPS, dividend per share (Pub)</v>
          </cell>
          <cell r="C522" t="str">
            <v>DPS_PUB</v>
          </cell>
          <cell r="D522" t="str">
            <v>SEK</v>
          </cell>
          <cell r="F522">
            <v>9.5833333333333326E-2</v>
          </cell>
          <cell r="G522">
            <v>0.125</v>
          </cell>
          <cell r="H522">
            <v>0.15</v>
          </cell>
          <cell r="I522">
            <v>0.17</v>
          </cell>
          <cell r="J522">
            <v>0.18000000000000002</v>
          </cell>
          <cell r="K522">
            <v>0.19791666666666666</v>
          </cell>
          <cell r="L522">
            <v>0.21875</v>
          </cell>
          <cell r="M522">
            <v>0.22916666666666666</v>
          </cell>
          <cell r="N522">
            <v>0.23958333333333334</v>
          </cell>
          <cell r="O522">
            <v>0.3125</v>
          </cell>
          <cell r="P522">
            <v>0.375</v>
          </cell>
          <cell r="Q522">
            <v>0.53249999999999997</v>
          </cell>
          <cell r="R522">
            <v>0.59499999999999997</v>
          </cell>
          <cell r="S522">
            <v>0.75</v>
          </cell>
          <cell r="T522">
            <v>0.75</v>
          </cell>
          <cell r="U522">
            <v>0.75</v>
          </cell>
          <cell r="V522">
            <v>1</v>
          </cell>
          <cell r="W522">
            <v>1.25</v>
          </cell>
          <cell r="X522">
            <v>1.375</v>
          </cell>
          <cell r="Y522">
            <v>1.375</v>
          </cell>
          <cell r="Z522">
            <v>1.5</v>
          </cell>
          <cell r="AA522">
            <v>1.575</v>
          </cell>
          <cell r="AB522">
            <v>1.7</v>
          </cell>
          <cell r="AC522">
            <v>1.75</v>
          </cell>
          <cell r="AD522">
            <v>1.575</v>
          </cell>
          <cell r="AE522">
            <v>1.75</v>
          </cell>
          <cell r="AF522">
            <v>1.825</v>
          </cell>
          <cell r="AG522">
            <v>1.9</v>
          </cell>
          <cell r="AH522">
            <v>2.5174763306656907</v>
          </cell>
          <cell r="AI522">
            <v>2.8296635192429762</v>
          </cell>
          <cell r="AJ522">
            <v>3.0861845942936741</v>
          </cell>
          <cell r="AK522">
            <v>3.4868572915704497</v>
          </cell>
          <cell r="AL522">
            <v>3.966893551737475</v>
          </cell>
          <cell r="AM522">
            <v>4.4375385297873891</v>
          </cell>
          <cell r="AN522">
            <v>4.9497998244280099</v>
          </cell>
          <cell r="AO522">
            <v>5.5213893921625123</v>
          </cell>
          <cell r="AP522">
            <v>6.1570668324983808</v>
          </cell>
        </row>
        <row r="523">
          <cell r="B523" t="str">
            <v>Special dividend per share</v>
          </cell>
          <cell r="C523" t="str">
            <v>DPS_SPECIAL_PUB</v>
          </cell>
          <cell r="D523" t="str">
            <v>SEK</v>
          </cell>
          <cell r="F523">
            <v>0</v>
          </cell>
          <cell r="G523">
            <v>0</v>
          </cell>
          <cell r="H523">
            <v>0</v>
          </cell>
          <cell r="I523">
            <v>0</v>
          </cell>
          <cell r="J523">
            <v>0</v>
          </cell>
          <cell r="K523">
            <v>0</v>
          </cell>
          <cell r="L523">
            <v>0</v>
          </cell>
          <cell r="M523">
            <v>0</v>
          </cell>
          <cell r="N523">
            <v>0</v>
          </cell>
          <cell r="O523">
            <v>0</v>
          </cell>
          <cell r="P523">
            <v>0.83374999999999999</v>
          </cell>
          <cell r="Q523">
            <v>0</v>
          </cell>
          <cell r="R523">
            <v>5</v>
          </cell>
          <cell r="S523">
            <v>0</v>
          </cell>
          <cell r="T523">
            <v>0</v>
          </cell>
          <cell r="U523">
            <v>0</v>
          </cell>
          <cell r="V523">
            <v>1.25</v>
          </cell>
          <cell r="W523">
            <v>0</v>
          </cell>
          <cell r="X523">
            <v>0</v>
          </cell>
          <cell r="Y523">
            <v>0</v>
          </cell>
          <cell r="Z523">
            <v>1.5</v>
          </cell>
          <cell r="AA523">
            <v>0</v>
          </cell>
          <cell r="AB523">
            <v>0</v>
          </cell>
          <cell r="AC523">
            <v>2</v>
          </cell>
          <cell r="AD523">
            <v>0</v>
          </cell>
          <cell r="AE523">
            <v>0</v>
          </cell>
          <cell r="AF523">
            <v>0</v>
          </cell>
          <cell r="AG523">
            <v>2</v>
          </cell>
          <cell r="AH523">
            <v>0</v>
          </cell>
          <cell r="AI523">
            <v>3</v>
          </cell>
          <cell r="AJ523">
            <v>0</v>
          </cell>
          <cell r="AK523">
            <v>0</v>
          </cell>
          <cell r="AL523">
            <v>0</v>
          </cell>
          <cell r="AM523">
            <v>0</v>
          </cell>
          <cell r="AN523">
            <v>0</v>
          </cell>
          <cell r="AO523">
            <v>0</v>
          </cell>
          <cell r="AP523">
            <v>0</v>
          </cell>
        </row>
        <row r="524">
          <cell r="B524" t="str">
            <v>EBITDA (Pub)</v>
          </cell>
          <cell r="C524" t="str">
            <v>EBITDA_PUB</v>
          </cell>
          <cell r="D524" t="str">
            <v>SEK</v>
          </cell>
          <cell r="F524">
            <v>2843</v>
          </cell>
          <cell r="G524">
            <v>3465.9999999999995</v>
          </cell>
          <cell r="H524">
            <v>3702</v>
          </cell>
          <cell r="I524">
            <v>4877</v>
          </cell>
          <cell r="J524">
            <v>5553</v>
          </cell>
          <cell r="K524">
            <v>5813</v>
          </cell>
          <cell r="L524">
            <v>7959</v>
          </cell>
          <cell r="M524">
            <v>7812</v>
          </cell>
          <cell r="N524">
            <v>6884</v>
          </cell>
          <cell r="O524">
            <v>6663</v>
          </cell>
          <cell r="P524">
            <v>7893</v>
          </cell>
          <cell r="Q524">
            <v>8017</v>
          </cell>
          <cell r="R524">
            <v>10206</v>
          </cell>
          <cell r="S524">
            <v>13278</v>
          </cell>
          <cell r="T524">
            <v>15301</v>
          </cell>
          <cell r="U524">
            <v>10840</v>
          </cell>
          <cell r="V524">
            <v>15733</v>
          </cell>
          <cell r="W524">
            <v>19366</v>
          </cell>
          <cell r="X524">
            <v>21211</v>
          </cell>
          <cell r="Y524">
            <v>19064</v>
          </cell>
          <cell r="Z524">
            <v>19829</v>
          </cell>
          <cell r="AA524">
            <v>23113</v>
          </cell>
          <cell r="AB524">
            <v>23202</v>
          </cell>
          <cell r="AC524">
            <v>27664</v>
          </cell>
          <cell r="AD524">
            <v>25105</v>
          </cell>
          <cell r="AE524">
            <v>24820</v>
          </cell>
          <cell r="AF524">
            <v>22436</v>
          </cell>
          <cell r="AG524">
            <v>27171</v>
          </cell>
          <cell r="AH524">
            <v>35754.027053250138</v>
          </cell>
          <cell r="AI524">
            <v>40167.157989325278</v>
          </cell>
          <cell r="AJ524">
            <v>43798.445106489766</v>
          </cell>
          <cell r="AK524">
            <v>48843.210070834946</v>
          </cell>
          <cell r="AL524">
            <v>54871.414458244646</v>
          </cell>
          <cell r="AM524">
            <v>60672.505890308465</v>
          </cell>
          <cell r="AN524">
            <v>67124.760090551776</v>
          </cell>
          <cell r="AO524">
            <v>74305.199337459417</v>
          </cell>
          <cell r="AP524">
            <v>82300.208417235815</v>
          </cell>
        </row>
        <row r="525">
          <cell r="B525" t="str">
            <v>EPS (Pub)</v>
          </cell>
          <cell r="C525" t="str">
            <v>EPS_PUB</v>
          </cell>
          <cell r="D525" t="str">
            <v>SEK</v>
          </cell>
          <cell r="F525">
            <v>0.28267302368099728</v>
          </cell>
          <cell r="G525">
            <v>0.43411310946029458</v>
          </cell>
          <cell r="H525">
            <v>0.44887113880910173</v>
          </cell>
          <cell r="I525">
            <v>0.57601723781420899</v>
          </cell>
          <cell r="J525">
            <v>0.61257174127817726</v>
          </cell>
          <cell r="K525">
            <v>0.57629011473786296</v>
          </cell>
          <cell r="L525">
            <v>0.71584018736496879</v>
          </cell>
          <cell r="M525">
            <v>0.8031086800762216</v>
          </cell>
          <cell r="N525">
            <v>0.76076656402269804</v>
          </cell>
          <cell r="O525">
            <v>0.75361015004182075</v>
          </cell>
          <cell r="P525">
            <v>0.91781009304750372</v>
          </cell>
          <cell r="Q525">
            <v>0.99494033261918047</v>
          </cell>
          <cell r="R525">
            <v>1.2464012292337814</v>
          </cell>
          <cell r="S525">
            <v>1.4988310338462434</v>
          </cell>
          <cell r="T525">
            <v>2.1068833791243127</v>
          </cell>
          <cell r="U525">
            <v>1.4008142116950406</v>
          </cell>
          <cell r="V525">
            <v>2.0604079282835759</v>
          </cell>
          <cell r="W525">
            <v>2.7007329325537346</v>
          </cell>
          <cell r="X525">
            <v>2.9006014170374033</v>
          </cell>
          <cell r="Y525">
            <v>2.4748723018619212</v>
          </cell>
          <cell r="Z525">
            <v>2.6540391576176376</v>
          </cell>
          <cell r="AA525">
            <v>2.4685805815672746</v>
          </cell>
          <cell r="AB525">
            <v>2.8846311980922623</v>
          </cell>
          <cell r="AC525">
            <v>3.6</v>
          </cell>
          <cell r="AD525">
            <v>3.35</v>
          </cell>
          <cell r="AE525">
            <v>3.56</v>
          </cell>
          <cell r="AF525">
            <v>3.22</v>
          </cell>
          <cell r="AG525">
            <v>3.86</v>
          </cell>
          <cell r="AH525">
            <v>4.96</v>
          </cell>
          <cell r="AI525">
            <v>5.66</v>
          </cell>
          <cell r="AJ525">
            <v>6.17</v>
          </cell>
          <cell r="AK525">
            <v>6.97</v>
          </cell>
          <cell r="AL525">
            <v>7.93</v>
          </cell>
          <cell r="AM525">
            <v>8.8800000000000008</v>
          </cell>
          <cell r="AN525">
            <v>9.9</v>
          </cell>
          <cell r="AO525">
            <v>11.04</v>
          </cell>
          <cell r="AP525">
            <v>12.31</v>
          </cell>
          <cell r="AR525">
            <v>0.2737356870229008</v>
          </cell>
          <cell r="AS525">
            <v>0.1983937659033079</v>
          </cell>
          <cell r="AT525">
            <v>0.26638040712468197</v>
          </cell>
          <cell r="AU525">
            <v>0.23576653944020359</v>
          </cell>
          <cell r="AV525">
            <v>0.21350190839694658</v>
          </cell>
          <cell r="AW525">
            <v>0.24908555979643768</v>
          </cell>
          <cell r="AX525">
            <v>0.33854166666666669</v>
          </cell>
          <cell r="AY525">
            <v>0.43256997455470741</v>
          </cell>
          <cell r="AZ525">
            <v>0.28963899491094147</v>
          </cell>
          <cell r="BA525">
            <v>0.22463422391857507</v>
          </cell>
          <cell r="BB525">
            <v>0.41964853689567433</v>
          </cell>
          <cell r="BC525">
            <v>1.842242765273312</v>
          </cell>
          <cell r="BD525">
            <v>0.37270642201834864</v>
          </cell>
          <cell r="BE525">
            <v>0.48451834862385323</v>
          </cell>
          <cell r="BF525">
            <v>0.38601736566186107</v>
          </cell>
          <cell r="BG525">
            <v>0.28014416775884665</v>
          </cell>
          <cell r="BH525">
            <v>0.48492791612057667</v>
          </cell>
          <cell r="BI525">
            <v>0.50253931847968547</v>
          </cell>
          <cell r="BJ525">
            <v>0.49716957912872256</v>
          </cell>
          <cell r="BK525">
            <v>0.59852783946048194</v>
          </cell>
          <cell r="BL525">
            <v>0.28209556706966032</v>
          </cell>
          <cell r="BM525">
            <v>0.3003947693066864</v>
          </cell>
          <cell r="BN525">
            <v>0.35385311292047039</v>
          </cell>
          <cell r="BO525">
            <v>0.34747923348959614</v>
          </cell>
          <cell r="BP525">
            <v>0.38126182446327217</v>
          </cell>
          <cell r="BQ525">
            <v>0.51821995558114664</v>
          </cell>
          <cell r="BR525">
            <v>0.54314741691345847</v>
          </cell>
          <cell r="BS525">
            <v>0.5970087928342509</v>
          </cell>
          <cell r="BT525">
            <v>0.62094322570043547</v>
          </cell>
          <cell r="BU525">
            <v>0.62315312345475515</v>
          </cell>
          <cell r="BV525">
            <v>0.74089335750782914</v>
          </cell>
          <cell r="BW525">
            <v>0.69426121372031668</v>
          </cell>
          <cell r="BX525">
            <v>0.69971205265322911</v>
          </cell>
          <cell r="BY525">
            <v>0.74429524672543035</v>
          </cell>
          <cell r="BZ525">
            <v>0.71693295997364515</v>
          </cell>
          <cell r="CA525">
            <v>0.70026339616429334</v>
          </cell>
          <cell r="CB525">
            <v>0.60592940788388594</v>
          </cell>
          <cell r="CC525">
            <v>0.64603266248762781</v>
          </cell>
          <cell r="CD525">
            <v>0.62896841758060529</v>
          </cell>
          <cell r="CE525">
            <v>0.59795598780186276</v>
          </cell>
          <cell r="CF525">
            <v>0.56718016311063513</v>
          </cell>
          <cell r="CG525">
            <v>0.65920500370339896</v>
          </cell>
          <cell r="CH525">
            <v>0.5915967768459135</v>
          </cell>
          <cell r="CI525">
            <v>0.68456293131777846</v>
          </cell>
          <cell r="CJ525">
            <v>0.66406570841889112</v>
          </cell>
          <cell r="CK525">
            <v>0.74907597535934289</v>
          </cell>
          <cell r="CL525">
            <v>0.78112169485958294</v>
          </cell>
          <cell r="CM525">
            <v>0.21160325417043305</v>
          </cell>
          <cell r="CN525">
            <v>0.59795129175580053</v>
          </cell>
          <cell r="CO525">
            <v>0.83422415919743453</v>
          </cell>
          <cell r="CP525">
            <v>0.83710035341497491</v>
          </cell>
          <cell r="CQ525">
            <v>0.50341086545574087</v>
          </cell>
          <cell r="CR525">
            <v>0.82</v>
          </cell>
          <cell r="CS525">
            <v>0.84</v>
          </cell>
          <cell r="CT525">
            <v>0.91</v>
          </cell>
          <cell r="CU525">
            <v>0.86</v>
          </cell>
          <cell r="CV525">
            <v>0.91</v>
          </cell>
          <cell r="CW525">
            <v>19.12</v>
          </cell>
          <cell r="CX525">
            <v>0.78</v>
          </cell>
          <cell r="CY525">
            <v>1.07</v>
          </cell>
          <cell r="CZ525">
            <v>0.76</v>
          </cell>
          <cell r="DA525">
            <v>0.84</v>
          </cell>
          <cell r="DB525">
            <v>0.91</v>
          </cell>
          <cell r="DC525">
            <v>0.89</v>
          </cell>
          <cell r="DD525">
            <v>0.79</v>
          </cell>
          <cell r="DE525">
            <v>0.64</v>
          </cell>
          <cell r="DF525">
            <v>0.74</v>
          </cell>
          <cell r="DG525">
            <v>0.86</v>
          </cell>
          <cell r="DH525">
            <v>0.85</v>
          </cell>
          <cell r="DI525">
            <v>0.94</v>
          </cell>
          <cell r="DJ525">
            <v>0.94</v>
          </cell>
          <cell r="DK525">
            <v>1</v>
          </cell>
          <cell r="DL525">
            <v>1.07</v>
          </cell>
          <cell r="DM525">
            <v>1.17</v>
          </cell>
          <cell r="DN525">
            <v>1.34</v>
          </cell>
          <cell r="DO525">
            <v>1.46</v>
          </cell>
        </row>
        <row r="526">
          <cell r="B526" t="str">
            <v>Consensus earnings equivalent estimate</v>
          </cell>
          <cell r="C526" t="str">
            <v>CEEE_EPS</v>
          </cell>
          <cell r="D526" t="str">
            <v>SEK</v>
          </cell>
        </row>
        <row r="527">
          <cell r="B527" t="str">
            <v>EV adjustment (Pub)</v>
          </cell>
          <cell r="C527" t="str">
            <v>EV_ADJ_PUB</v>
          </cell>
          <cell r="D527" t="str">
            <v>SEK</v>
          </cell>
        </row>
        <row r="528">
          <cell r="B528" t="str">
            <v>Net debt (Pub)</v>
          </cell>
          <cell r="C528" t="str">
            <v>NET_DEBT_PUB</v>
          </cell>
          <cell r="D528" t="str">
            <v>SEK</v>
          </cell>
          <cell r="F528">
            <v>-875.16337285425971</v>
          </cell>
          <cell r="G528">
            <v>1812.913274802796</v>
          </cell>
          <cell r="H528">
            <v>585.51730973359645</v>
          </cell>
          <cell r="I528">
            <v>9114.5004187974901</v>
          </cell>
          <cell r="J528">
            <v>9091.0932614264875</v>
          </cell>
          <cell r="K528">
            <v>19288.344279059653</v>
          </cell>
          <cell r="L528">
            <v>22374.09565492324</v>
          </cell>
          <cell r="M528">
            <v>20037.407227724922</v>
          </cell>
          <cell r="N528">
            <v>13198.099522335046</v>
          </cell>
          <cell r="O528">
            <v>7029.1788504423821</v>
          </cell>
          <cell r="P528">
            <v>5471.9276278424113</v>
          </cell>
          <cell r="Q528">
            <v>6850.7229236854282</v>
          </cell>
          <cell r="R528">
            <v>-12810</v>
          </cell>
          <cell r="S528">
            <v>19595</v>
          </cell>
          <cell r="T528">
            <v>21696</v>
          </cell>
          <cell r="U528">
            <v>11059</v>
          </cell>
          <cell r="V528">
            <v>5990</v>
          </cell>
          <cell r="W528">
            <v>14736</v>
          </cell>
          <cell r="X528">
            <v>9124</v>
          </cell>
          <cell r="Y528">
            <v>8159</v>
          </cell>
          <cell r="Z528">
            <v>15720</v>
          </cell>
          <cell r="AA528">
            <v>15646</v>
          </cell>
          <cell r="AB528">
            <v>13997</v>
          </cell>
          <cell r="AC528">
            <v>2654</v>
          </cell>
          <cell r="AD528">
            <v>7124</v>
          </cell>
          <cell r="AE528">
            <v>8525</v>
          </cell>
          <cell r="AF528">
            <v>12933</v>
          </cell>
          <cell r="AG528">
            <v>5037</v>
          </cell>
          <cell r="AH528">
            <v>17271.820115092869</v>
          </cell>
          <cell r="AI528">
            <v>12774.192585795383</v>
          </cell>
          <cell r="AJ528">
            <v>21372.403769105898</v>
          </cell>
          <cell r="AK528">
            <v>17400.033486755237</v>
          </cell>
          <cell r="AL528">
            <v>13147.410853214147</v>
          </cell>
          <cell r="AM528">
            <v>8948.1768911847248</v>
          </cell>
          <cell r="AN528">
            <v>4286.4527475459181</v>
          </cell>
          <cell r="AO528">
            <v>-967.53726472132985</v>
          </cell>
          <cell r="AP528">
            <v>-6875.8399968045778</v>
          </cell>
        </row>
        <row r="529">
          <cell r="B529" t="str">
            <v>Net Debt (ex leases) (Pub)</v>
          </cell>
          <cell r="C529" t="str">
            <v>NET_DEBT_EX_LEASES_PUB</v>
          </cell>
          <cell r="D529" t="str">
            <v>SEK</v>
          </cell>
          <cell r="F529">
            <v>-1489</v>
          </cell>
          <cell r="G529">
            <v>1226</v>
          </cell>
          <cell r="H529">
            <v>-25</v>
          </cell>
          <cell r="I529">
            <v>8198</v>
          </cell>
          <cell r="J529">
            <v>8112</v>
          </cell>
          <cell r="K529">
            <v>17875</v>
          </cell>
          <cell r="L529">
            <v>20749</v>
          </cell>
          <cell r="M529">
            <v>18342</v>
          </cell>
          <cell r="N529">
            <v>11916</v>
          </cell>
          <cell r="O529">
            <v>5821</v>
          </cell>
          <cell r="P529">
            <v>4203</v>
          </cell>
          <cell r="Q529">
            <v>5403</v>
          </cell>
          <cell r="R529">
            <v>-14011</v>
          </cell>
          <cell r="S529">
            <v>18047</v>
          </cell>
          <cell r="T529">
            <v>19764</v>
          </cell>
          <cell r="U529">
            <v>9138</v>
          </cell>
          <cell r="V529">
            <v>3932</v>
          </cell>
          <cell r="W529">
            <v>12690</v>
          </cell>
          <cell r="X529">
            <v>7113</v>
          </cell>
          <cell r="Y529">
            <v>6090</v>
          </cell>
          <cell r="Z529">
            <v>12897</v>
          </cell>
          <cell r="AA529">
            <v>12580</v>
          </cell>
          <cell r="AB529">
            <v>10922</v>
          </cell>
          <cell r="AC529">
            <v>-387</v>
          </cell>
          <cell r="AD529">
            <v>3865</v>
          </cell>
          <cell r="AE529">
            <v>4882</v>
          </cell>
          <cell r="AF529">
            <v>9564</v>
          </cell>
          <cell r="AG529">
            <v>1665</v>
          </cell>
          <cell r="AH529">
            <v>13899.820115092869</v>
          </cell>
          <cell r="AI529">
            <v>9402.1925857953829</v>
          </cell>
          <cell r="AJ529">
            <v>18000.403769105898</v>
          </cell>
          <cell r="AK529">
            <v>14028.033486755237</v>
          </cell>
          <cell r="AL529">
            <v>9775.4108532141472</v>
          </cell>
          <cell r="AM529">
            <v>5576.1768911847248</v>
          </cell>
          <cell r="AN529">
            <v>914.4527475459181</v>
          </cell>
          <cell r="AO529">
            <v>-4339.5372647213298</v>
          </cell>
          <cell r="AP529">
            <v>-10247.839996804578</v>
          </cell>
        </row>
        <row r="530">
          <cell r="B530" t="str">
            <v>Consensus equivalent net debt</v>
          </cell>
          <cell r="C530" t="str">
            <v>CEEE_NDEBT</v>
          </cell>
          <cell r="D530" t="str">
            <v>SEK</v>
          </cell>
        </row>
        <row r="531">
          <cell r="B531" t="str">
            <v>Net income (Pub)</v>
          </cell>
          <cell r="C531" t="str">
            <v>NI_PUB</v>
          </cell>
          <cell r="D531" t="str">
            <v>SEK</v>
          </cell>
          <cell r="F531">
            <v>1194</v>
          </cell>
          <cell r="G531">
            <v>1822.9999999999995</v>
          </cell>
          <cell r="H531">
            <v>1938</v>
          </cell>
          <cell r="I531">
            <v>2208</v>
          </cell>
          <cell r="J531">
            <v>2283</v>
          </cell>
          <cell r="K531">
            <v>2247</v>
          </cell>
          <cell r="L531">
            <v>2924</v>
          </cell>
          <cell r="M531">
            <v>3067</v>
          </cell>
          <cell r="N531">
            <v>-3889</v>
          </cell>
          <cell r="O531">
            <v>3274</v>
          </cell>
          <cell r="P531">
            <v>4416</v>
          </cell>
          <cell r="Q531">
            <v>4943</v>
          </cell>
          <cell r="R531">
            <v>6236</v>
          </cell>
          <cell r="S531">
            <v>7386</v>
          </cell>
          <cell r="T531">
            <v>9973</v>
          </cell>
          <cell r="U531">
            <v>6244</v>
          </cell>
          <cell r="V531">
            <v>9921</v>
          </cell>
          <cell r="W531">
            <v>12963</v>
          </cell>
          <cell r="X531">
            <v>13901</v>
          </cell>
          <cell r="Y531">
            <v>12072</v>
          </cell>
          <cell r="Z531">
            <v>12169</v>
          </cell>
          <cell r="AA531">
            <v>11771</v>
          </cell>
          <cell r="AB531">
            <v>13768</v>
          </cell>
          <cell r="AC531">
            <v>16740</v>
          </cell>
          <cell r="AD531">
            <v>16331</v>
          </cell>
          <cell r="AE531">
            <v>16522</v>
          </cell>
          <cell r="AF531">
            <v>14779</v>
          </cell>
          <cell r="AG531">
            <v>18130</v>
          </cell>
          <cell r="AH531">
            <v>24534.123341479419</v>
          </cell>
          <cell r="AI531">
            <v>27576.55075058221</v>
          </cell>
          <cell r="AJ531">
            <v>30076.482773108335</v>
          </cell>
          <cell r="AK531">
            <v>33981.247737453516</v>
          </cell>
          <cell r="AL531">
            <v>38659.452124863215</v>
          </cell>
          <cell r="AM531">
            <v>43246.13355692703</v>
          </cell>
          <cell r="AN531">
            <v>48238.387757170342</v>
          </cell>
          <cell r="AO531">
            <v>53808.827004077975</v>
          </cell>
          <cell r="AP531">
            <v>60003.836083854374</v>
          </cell>
          <cell r="AR531">
            <v>877</v>
          </cell>
          <cell r="AS531">
            <v>1016</v>
          </cell>
          <cell r="AT531">
            <v>1282</v>
          </cell>
          <cell r="AU531">
            <v>1349</v>
          </cell>
          <cell r="AV531">
            <v>1074</v>
          </cell>
          <cell r="AW531">
            <v>1253</v>
          </cell>
          <cell r="AX531">
            <v>1266</v>
          </cell>
          <cell r="AY531">
            <v>1587</v>
          </cell>
          <cell r="AZ531">
            <v>1457</v>
          </cell>
          <cell r="BA531">
            <v>1130</v>
          </cell>
          <cell r="BB531">
            <v>1469</v>
          </cell>
          <cell r="BC531">
            <v>1762</v>
          </cell>
          <cell r="BD531">
            <v>1767</v>
          </cell>
          <cell r="BE531">
            <v>2366</v>
          </cell>
          <cell r="BF531">
            <v>1835</v>
          </cell>
          <cell r="BG531">
            <v>1348</v>
          </cell>
          <cell r="BH531">
            <v>2175</v>
          </cell>
          <cell r="BI531">
            <v>2454</v>
          </cell>
          <cell r="BJ531">
            <v>2424</v>
          </cell>
          <cell r="BK531">
            <v>3163</v>
          </cell>
          <cell r="BL531">
            <v>1599</v>
          </cell>
          <cell r="BM531">
            <v>1720</v>
          </cell>
          <cell r="BN531">
            <v>1721</v>
          </cell>
          <cell r="BO531">
            <v>1770</v>
          </cell>
          <cell r="BP531">
            <v>1854</v>
          </cell>
          <cell r="BQ531">
            <v>2520</v>
          </cell>
          <cell r="BR531">
            <v>2741</v>
          </cell>
          <cell r="BS531">
            <v>2906</v>
          </cell>
          <cell r="BT531">
            <v>3023</v>
          </cell>
          <cell r="BU531">
            <v>2976</v>
          </cell>
          <cell r="BV531">
            <v>3626</v>
          </cell>
          <cell r="BW531">
            <v>3493</v>
          </cell>
          <cell r="BX531">
            <v>3471</v>
          </cell>
          <cell r="BY531">
            <v>3603</v>
          </cell>
          <cell r="BZ531">
            <v>3414</v>
          </cell>
          <cell r="CA531">
            <v>3595</v>
          </cell>
          <cell r="CB531">
            <v>2986</v>
          </cell>
          <cell r="CC531">
            <v>3133</v>
          </cell>
          <cell r="CD531">
            <v>3101</v>
          </cell>
          <cell r="CE531">
            <v>2845</v>
          </cell>
          <cell r="CF531">
            <v>2866</v>
          </cell>
          <cell r="CG531">
            <v>3247</v>
          </cell>
          <cell r="CH531">
            <v>3337</v>
          </cell>
          <cell r="CI531">
            <v>3448</v>
          </cell>
          <cell r="CJ531">
            <v>3482</v>
          </cell>
          <cell r="CK531">
            <v>3741</v>
          </cell>
          <cell r="CL531">
            <v>3748</v>
          </cell>
          <cell r="CM531">
            <v>1115</v>
          </cell>
          <cell r="CN531">
            <v>2883</v>
          </cell>
          <cell r="CO531">
            <v>3248</v>
          </cell>
          <cell r="CP531">
            <v>3549</v>
          </cell>
          <cell r="CQ531">
            <v>4307</v>
          </cell>
          <cell r="CR531">
            <v>4150</v>
          </cell>
          <cell r="CS531">
            <v>4335</v>
          </cell>
          <cell r="CT531">
            <v>4360</v>
          </cell>
          <cell r="CU531">
            <v>4644</v>
          </cell>
          <cell r="CV531">
            <v>3280</v>
          </cell>
          <cell r="CW531">
            <v>3635</v>
          </cell>
          <cell r="CX531">
            <v>3955</v>
          </cell>
          <cell r="CY531">
            <v>5084.299</v>
          </cell>
          <cell r="CZ531">
            <v>3912</v>
          </cell>
          <cell r="DA531">
            <v>4323</v>
          </cell>
          <cell r="DB531">
            <v>4455</v>
          </cell>
          <cell r="DC531">
            <v>4612</v>
          </cell>
          <cell r="DD531">
            <v>3811</v>
          </cell>
          <cell r="DE531">
            <v>3716</v>
          </cell>
          <cell r="DF531">
            <v>3879</v>
          </cell>
          <cell r="DG531">
            <v>4225</v>
          </cell>
          <cell r="DH531">
            <v>4377</v>
          </cell>
          <cell r="DI531">
            <v>4671</v>
          </cell>
          <cell r="DJ531">
            <v>4666</v>
          </cell>
          <cell r="DK531">
            <v>5103</v>
          </cell>
          <cell r="DL531">
            <v>4989</v>
          </cell>
          <cell r="DM531">
            <v>5441</v>
          </cell>
          <cell r="DN531">
            <v>6630</v>
          </cell>
          <cell r="DO531">
            <v>6117.6920303071238</v>
          </cell>
        </row>
        <row r="532">
          <cell r="B532" t="str">
            <v>EBIT, operating profit (Pub)</v>
          </cell>
          <cell r="C532" t="str">
            <v>EBIT_PUB</v>
          </cell>
          <cell r="D532" t="str">
            <v>SEK</v>
          </cell>
          <cell r="F532">
            <v>1941</v>
          </cell>
          <cell r="G532">
            <v>2753.9999999999995</v>
          </cell>
          <cell r="H532">
            <v>2970</v>
          </cell>
          <cell r="I532">
            <v>4142</v>
          </cell>
          <cell r="J532">
            <v>4760</v>
          </cell>
          <cell r="K532">
            <v>5122</v>
          </cell>
          <cell r="L532">
            <v>7069</v>
          </cell>
          <cell r="M532">
            <v>7103</v>
          </cell>
          <cell r="N532">
            <v>6027</v>
          </cell>
          <cell r="O532">
            <v>5827</v>
          </cell>
          <cell r="P532">
            <v>6849</v>
          </cell>
          <cell r="Q532">
            <v>6996</v>
          </cell>
          <cell r="R532">
            <v>9203</v>
          </cell>
          <cell r="S532">
            <v>11996</v>
          </cell>
          <cell r="T532">
            <v>14093</v>
          </cell>
          <cell r="U532">
            <v>9659</v>
          </cell>
          <cell r="V532">
            <v>14015</v>
          </cell>
          <cell r="W532">
            <v>17715</v>
          </cell>
          <cell r="X532">
            <v>19410</v>
          </cell>
          <cell r="Y532">
            <v>16993</v>
          </cell>
          <cell r="Z532">
            <v>17744</v>
          </cell>
          <cell r="AA532">
            <v>20022</v>
          </cell>
          <cell r="AB532">
            <v>20062</v>
          </cell>
          <cell r="AC532">
            <v>24949</v>
          </cell>
          <cell r="AD532">
            <v>21135</v>
          </cell>
          <cell r="AE532">
            <v>22677</v>
          </cell>
          <cell r="AF532">
            <v>19998</v>
          </cell>
          <cell r="AG532">
            <v>24246</v>
          </cell>
          <cell r="AH532">
            <v>31354.123341479419</v>
          </cell>
          <cell r="AI532">
            <v>35835.146750582207</v>
          </cell>
          <cell r="AJ532">
            <v>39134.432773108332</v>
          </cell>
          <cell r="AK532">
            <v>44179.197737453513</v>
          </cell>
          <cell r="AL532">
            <v>50207.402124863213</v>
          </cell>
          <cell r="AM532">
            <v>56008.493556927031</v>
          </cell>
          <cell r="AN532">
            <v>62460.747757170342</v>
          </cell>
          <cell r="AO532">
            <v>69641.187004077976</v>
          </cell>
          <cell r="AP532">
            <v>77636.196083854375</v>
          </cell>
          <cell r="AR532">
            <v>1327</v>
          </cell>
          <cell r="AS532">
            <v>1602</v>
          </cell>
          <cell r="AT532">
            <v>1968</v>
          </cell>
          <cell r="AU532">
            <v>1947</v>
          </cell>
          <cell r="AV532">
            <v>1344</v>
          </cell>
          <cell r="AW532">
            <v>1667</v>
          </cell>
          <cell r="AX532">
            <v>1781</v>
          </cell>
          <cell r="AY532">
            <v>2204</v>
          </cell>
          <cell r="AZ532">
            <v>2096</v>
          </cell>
          <cell r="BA532">
            <v>2337</v>
          </cell>
          <cell r="BB532">
            <v>2306</v>
          </cell>
          <cell r="BC532">
            <v>2464</v>
          </cell>
          <cell r="BD532">
            <v>2541</v>
          </cell>
          <cell r="BE532">
            <v>3037</v>
          </cell>
          <cell r="BF532">
            <v>3077</v>
          </cell>
          <cell r="BG532">
            <v>3341</v>
          </cell>
          <cell r="BH532">
            <v>3239</v>
          </cell>
          <cell r="BI532">
            <v>3630</v>
          </cell>
          <cell r="BJ532">
            <v>3640</v>
          </cell>
          <cell r="BK532">
            <v>3540</v>
          </cell>
          <cell r="BL532">
            <v>2399</v>
          </cell>
          <cell r="BM532">
            <v>2325</v>
          </cell>
          <cell r="BN532">
            <v>2402</v>
          </cell>
          <cell r="BO532">
            <v>2530</v>
          </cell>
          <cell r="BP532">
            <v>2627</v>
          </cell>
          <cell r="BQ532">
            <v>3499</v>
          </cell>
          <cell r="BR532">
            <v>3882</v>
          </cell>
          <cell r="BS532">
            <v>4007</v>
          </cell>
          <cell r="BT532">
            <v>3987</v>
          </cell>
          <cell r="BU532">
            <v>4177</v>
          </cell>
          <cell r="BV532">
            <v>4830</v>
          </cell>
          <cell r="BW532">
            <v>4721</v>
          </cell>
          <cell r="BX532">
            <v>4673</v>
          </cell>
          <cell r="BY532">
            <v>5008</v>
          </cell>
          <cell r="BZ532">
            <v>4850</v>
          </cell>
          <cell r="CA532">
            <v>4879</v>
          </cell>
          <cell r="CB532">
            <v>4156</v>
          </cell>
          <cell r="CC532">
            <v>4533</v>
          </cell>
          <cell r="CD532">
            <v>4262</v>
          </cell>
          <cell r="CE532">
            <v>4098</v>
          </cell>
          <cell r="CF532">
            <v>3872</v>
          </cell>
          <cell r="CG532">
            <v>4382</v>
          </cell>
          <cell r="CH532">
            <v>4604</v>
          </cell>
          <cell r="CI532">
            <v>4886</v>
          </cell>
          <cell r="CJ532">
            <v>4767</v>
          </cell>
          <cell r="CK532">
            <v>5162</v>
          </cell>
          <cell r="CL532">
            <v>5239</v>
          </cell>
          <cell r="CM532">
            <v>4919</v>
          </cell>
          <cell r="CN532">
            <v>4157</v>
          </cell>
          <cell r="CO532">
            <v>4822</v>
          </cell>
          <cell r="CP532">
            <v>5189</v>
          </cell>
          <cell r="CQ532">
            <v>5849</v>
          </cell>
          <cell r="CR532">
            <v>5878</v>
          </cell>
          <cell r="CS532">
            <v>6244</v>
          </cell>
          <cell r="CT532">
            <v>6187</v>
          </cell>
          <cell r="CU532">
            <v>6640</v>
          </cell>
          <cell r="CV532">
            <v>4779</v>
          </cell>
          <cell r="CW532">
            <v>5430</v>
          </cell>
          <cell r="CX532">
            <v>5322</v>
          </cell>
          <cell r="CY532">
            <v>5545.299</v>
          </cell>
          <cell r="CZ532">
            <v>5262</v>
          </cell>
          <cell r="DA532">
            <v>5622</v>
          </cell>
          <cell r="DB532">
            <v>5880</v>
          </cell>
          <cell r="DC532">
            <v>5913</v>
          </cell>
          <cell r="DD532">
            <v>5099</v>
          </cell>
          <cell r="DE532">
            <v>4476</v>
          </cell>
          <cell r="DF532">
            <v>5021</v>
          </cell>
          <cell r="DG532">
            <v>5402</v>
          </cell>
          <cell r="DH532">
            <v>5649</v>
          </cell>
          <cell r="DI532">
            <v>6026</v>
          </cell>
          <cell r="DJ532">
            <v>6109</v>
          </cell>
          <cell r="DK532">
            <v>6462</v>
          </cell>
          <cell r="DL532">
            <v>6525</v>
          </cell>
          <cell r="DM532">
            <v>7042</v>
          </cell>
          <cell r="DN532">
            <v>8469</v>
          </cell>
          <cell r="DO532">
            <v>8331.6920303071238</v>
          </cell>
        </row>
        <row r="533">
          <cell r="B533" t="str">
            <v>Pre-tax profit (Pub)</v>
          </cell>
          <cell r="C533" t="str">
            <v>PTP_PUB</v>
          </cell>
          <cell r="D533" t="str">
            <v>SEK</v>
          </cell>
          <cell r="F533">
            <v>1955</v>
          </cell>
          <cell r="G533">
            <v>2839.9999999999995</v>
          </cell>
          <cell r="H533">
            <v>3070</v>
          </cell>
          <cell r="I533">
            <v>3520</v>
          </cell>
          <cell r="J533">
            <v>3637</v>
          </cell>
          <cell r="K533">
            <v>3412</v>
          </cell>
          <cell r="L533">
            <v>4689</v>
          </cell>
          <cell r="M533">
            <v>4700</v>
          </cell>
          <cell r="N533">
            <v>-2469</v>
          </cell>
          <cell r="O533">
            <v>4913</v>
          </cell>
          <cell r="P533">
            <v>6382</v>
          </cell>
          <cell r="Q533">
            <v>6863</v>
          </cell>
          <cell r="R533">
            <v>8695</v>
          </cell>
          <cell r="S533">
            <v>10534</v>
          </cell>
          <cell r="T533">
            <v>13112</v>
          </cell>
          <cell r="U533">
            <v>8271</v>
          </cell>
          <cell r="V533">
            <v>13495</v>
          </cell>
          <cell r="W533">
            <v>17276</v>
          </cell>
          <cell r="X533">
            <v>18538</v>
          </cell>
          <cell r="Y533">
            <v>16266</v>
          </cell>
          <cell r="Z533">
            <v>16091</v>
          </cell>
          <cell r="AA533">
            <v>18875</v>
          </cell>
          <cell r="AB533">
            <v>18805</v>
          </cell>
          <cell r="AC533">
            <v>23129</v>
          </cell>
          <cell r="AD533">
            <v>21110</v>
          </cell>
          <cell r="AE533">
            <v>21572</v>
          </cell>
          <cell r="AF533">
            <v>18825</v>
          </cell>
          <cell r="AG533">
            <v>23410</v>
          </cell>
          <cell r="AH533">
            <v>31654.123341479419</v>
          </cell>
          <cell r="AI533">
            <v>35576.55075058221</v>
          </cell>
          <cell r="AJ533">
            <v>38806.482773108335</v>
          </cell>
          <cell r="AK533">
            <v>43851.247737453516</v>
          </cell>
          <cell r="AL533">
            <v>49879.452124863215</v>
          </cell>
          <cell r="AM533">
            <v>55796.13355692703</v>
          </cell>
          <cell r="AN533">
            <v>62248.387757170342</v>
          </cell>
          <cell r="AO533">
            <v>69428.827004077975</v>
          </cell>
          <cell r="AP533">
            <v>77423.836083854374</v>
          </cell>
        </row>
        <row r="534">
          <cell r="B534" t="str">
            <v>Sales, revenue (Pub)</v>
          </cell>
          <cell r="C534" t="str">
            <v>REVS_PUB</v>
          </cell>
          <cell r="D534" t="str">
            <v>SEK</v>
          </cell>
          <cell r="F534">
            <v>20914</v>
          </cell>
          <cell r="G534">
            <v>24454</v>
          </cell>
          <cell r="H534">
            <v>25121</v>
          </cell>
          <cell r="I534">
            <v>30032</v>
          </cell>
          <cell r="J534">
            <v>33740</v>
          </cell>
          <cell r="K534">
            <v>36234</v>
          </cell>
          <cell r="L534">
            <v>46527</v>
          </cell>
          <cell r="M534">
            <v>51139</v>
          </cell>
          <cell r="N534">
            <v>47562</v>
          </cell>
          <cell r="O534">
            <v>44619</v>
          </cell>
          <cell r="P534">
            <v>43192</v>
          </cell>
          <cell r="Q534">
            <v>42205</v>
          </cell>
          <cell r="R534">
            <v>50512</v>
          </cell>
          <cell r="S534">
            <v>63355</v>
          </cell>
          <cell r="T534">
            <v>74177</v>
          </cell>
          <cell r="U534">
            <v>63762</v>
          </cell>
          <cell r="V534">
            <v>69875</v>
          </cell>
          <cell r="W534">
            <v>81203</v>
          </cell>
          <cell r="X534">
            <v>90533</v>
          </cell>
          <cell r="Y534">
            <v>83888</v>
          </cell>
          <cell r="Z534">
            <v>93721</v>
          </cell>
          <cell r="AA534">
            <v>98973</v>
          </cell>
          <cell r="AB534">
            <v>101356</v>
          </cell>
          <cell r="AC534">
            <v>116421</v>
          </cell>
          <cell r="AD534">
            <v>95363</v>
          </cell>
          <cell r="AE534">
            <v>103756</v>
          </cell>
          <cell r="AF534">
            <v>99787</v>
          </cell>
          <cell r="AG534">
            <v>110912</v>
          </cell>
          <cell r="AH534">
            <v>139332.00019335697</v>
          </cell>
          <cell r="AI534">
            <v>159042.1914694907</v>
          </cell>
          <cell r="AJ534">
            <v>174108.10419463893</v>
          </cell>
          <cell r="AK534">
            <v>193729.38741082948</v>
          </cell>
          <cell r="AL534">
            <v>217067.26860834265</v>
          </cell>
          <cell r="AM534">
            <v>240536.5228441793</v>
          </cell>
          <cell r="AN534">
            <v>266629.812490854</v>
          </cell>
          <cell r="AO534">
            <v>295649.63790794165</v>
          </cell>
          <cell r="AP534">
            <v>327934.30893951823</v>
          </cell>
          <cell r="AR534">
            <v>9595</v>
          </cell>
          <cell r="AS534">
            <v>10680</v>
          </cell>
          <cell r="AT534">
            <v>11325</v>
          </cell>
          <cell r="AU534">
            <v>11592</v>
          </cell>
          <cell r="AV534">
            <v>9010</v>
          </cell>
          <cell r="AW534">
            <v>10539</v>
          </cell>
          <cell r="AX534">
            <v>10674</v>
          </cell>
          <cell r="AY534">
            <v>11982</v>
          </cell>
          <cell r="AZ534">
            <v>11948</v>
          </cell>
          <cell r="BA534">
            <v>12444</v>
          </cell>
          <cell r="BB534">
            <v>12538</v>
          </cell>
          <cell r="BC534">
            <v>13582</v>
          </cell>
          <cell r="BD534">
            <v>13390</v>
          </cell>
          <cell r="BE534">
            <v>15985</v>
          </cell>
          <cell r="BF534">
            <v>16431</v>
          </cell>
          <cell r="BG534">
            <v>17549</v>
          </cell>
          <cell r="BH534">
            <v>17122</v>
          </cell>
          <cell r="BI534">
            <v>18884</v>
          </cell>
          <cell r="BJ534">
            <v>18440</v>
          </cell>
          <cell r="BK534">
            <v>19731</v>
          </cell>
          <cell r="BL534">
            <v>16577</v>
          </cell>
          <cell r="BM534">
            <v>16155</v>
          </cell>
          <cell r="BN534">
            <v>15088</v>
          </cell>
          <cell r="BO534">
            <v>15942</v>
          </cell>
          <cell r="BP534">
            <v>15301</v>
          </cell>
          <cell r="BQ534">
            <v>17430</v>
          </cell>
          <cell r="BR534">
            <v>17743</v>
          </cell>
          <cell r="BS534">
            <v>19401</v>
          </cell>
          <cell r="BT534">
            <v>18223</v>
          </cell>
          <cell r="BU534">
            <v>19951</v>
          </cell>
          <cell r="BV534">
            <v>20739</v>
          </cell>
          <cell r="BW534">
            <v>22290</v>
          </cell>
          <cell r="BX534">
            <v>22254</v>
          </cell>
          <cell r="BY534">
            <v>23437</v>
          </cell>
          <cell r="BZ534">
            <v>22094</v>
          </cell>
          <cell r="CA534">
            <v>22748</v>
          </cell>
          <cell r="CB534">
            <v>20180</v>
          </cell>
          <cell r="CC534">
            <v>21843</v>
          </cell>
          <cell r="CD534">
            <v>20552</v>
          </cell>
          <cell r="CE534">
            <v>21266</v>
          </cell>
          <cell r="CF534">
            <v>21423</v>
          </cell>
          <cell r="CG534">
            <v>23348</v>
          </cell>
          <cell r="CH534">
            <v>23590</v>
          </cell>
          <cell r="CI534">
            <v>25360</v>
          </cell>
          <cell r="CJ534">
            <v>23957</v>
          </cell>
          <cell r="CK534">
            <v>25091</v>
          </cell>
          <cell r="CL534">
            <v>24922</v>
          </cell>
          <cell r="CM534">
            <v>25003</v>
          </cell>
          <cell r="CN534">
            <v>22453</v>
          </cell>
          <cell r="CO534">
            <v>25438</v>
          </cell>
          <cell r="CP534">
            <v>26528</v>
          </cell>
          <cell r="CQ534">
            <v>28495</v>
          </cell>
          <cell r="CR534">
            <v>28027</v>
          </cell>
          <cell r="CS534">
            <v>29030</v>
          </cell>
          <cell r="CT534">
            <v>28499</v>
          </cell>
          <cell r="CU534">
            <v>30865</v>
          </cell>
          <cell r="CV534">
            <v>21906</v>
          </cell>
          <cell r="CW534">
            <v>24461</v>
          </cell>
          <cell r="CX534">
            <v>23675</v>
          </cell>
          <cell r="CY534">
            <v>25321</v>
          </cell>
          <cell r="CZ534">
            <v>24181</v>
          </cell>
          <cell r="DA534">
            <v>25580</v>
          </cell>
          <cell r="DB534">
            <v>26676</v>
          </cell>
          <cell r="DC534">
            <v>27319</v>
          </cell>
          <cell r="DD534">
            <v>25098</v>
          </cell>
          <cell r="DE534">
            <v>24102</v>
          </cell>
          <cell r="DF534">
            <v>24849</v>
          </cell>
          <cell r="DG534">
            <v>25738</v>
          </cell>
          <cell r="DH534">
            <v>26021</v>
          </cell>
          <cell r="DI534">
            <v>27534</v>
          </cell>
          <cell r="DJ534">
            <v>27824</v>
          </cell>
          <cell r="DK534">
            <v>29533</v>
          </cell>
          <cell r="DL534">
            <v>30086</v>
          </cell>
          <cell r="DM534">
            <v>33111</v>
          </cell>
          <cell r="DN534">
            <v>38074</v>
          </cell>
          <cell r="DO534">
            <v>38061.00019335698</v>
          </cell>
        </row>
        <row r="535">
          <cell r="B535" t="str">
            <v>Total shareholders' equity (Pub)</v>
          </cell>
          <cell r="C535" t="str">
            <v>EQ_PUB</v>
          </cell>
          <cell r="D535" t="str">
            <v>SEK</v>
          </cell>
          <cell r="F535">
            <v>9303</v>
          </cell>
          <cell r="G535">
            <v>10599</v>
          </cell>
          <cell r="H535">
            <v>12005</v>
          </cell>
          <cell r="I535">
            <v>13635</v>
          </cell>
          <cell r="J535">
            <v>15465</v>
          </cell>
          <cell r="K535">
            <v>21077</v>
          </cell>
          <cell r="L535">
            <v>24201</v>
          </cell>
          <cell r="M535">
            <v>27789</v>
          </cell>
          <cell r="N535">
            <v>20354</v>
          </cell>
          <cell r="O535">
            <v>21068</v>
          </cell>
          <cell r="P535">
            <v>22601</v>
          </cell>
          <cell r="Q535">
            <v>25808</v>
          </cell>
          <cell r="R535">
            <v>32708</v>
          </cell>
          <cell r="S535">
            <v>14640</v>
          </cell>
          <cell r="T535">
            <v>23768</v>
          </cell>
          <cell r="U535">
            <v>25671</v>
          </cell>
          <cell r="V535">
            <v>29321</v>
          </cell>
          <cell r="W535">
            <v>28839</v>
          </cell>
          <cell r="X535">
            <v>35132</v>
          </cell>
          <cell r="Y535">
            <v>39794</v>
          </cell>
          <cell r="Z535">
            <v>50753</v>
          </cell>
          <cell r="AA535">
            <v>46750</v>
          </cell>
          <cell r="AB535">
            <v>53177</v>
          </cell>
          <cell r="AC535">
            <v>60601</v>
          </cell>
          <cell r="AD535">
            <v>42472</v>
          </cell>
          <cell r="AE535">
            <v>53290</v>
          </cell>
          <cell r="AF535">
            <v>53534</v>
          </cell>
          <cell r="AG535">
            <v>67634</v>
          </cell>
          <cell r="AH535">
            <v>71664.353600679431</v>
          </cell>
          <cell r="AI535">
            <v>86973.842680521921</v>
          </cell>
          <cell r="AJ535">
            <v>88643.765662339152</v>
          </cell>
          <cell r="AK535">
            <v>107586.77201323851</v>
          </cell>
          <cell r="AL535">
            <v>129255.60026937496</v>
          </cell>
          <cell r="AM535">
            <v>153172.00776387038</v>
          </cell>
          <cell r="AN535">
            <v>179787.32874257723</v>
          </cell>
          <cell r="AO535">
            <v>209476.96186807004</v>
          </cell>
          <cell r="AP535">
            <v>242576.38444988546</v>
          </cell>
        </row>
        <row r="536">
          <cell r="A536" t="str">
            <v>Income Statement</v>
          </cell>
        </row>
        <row r="537">
          <cell r="B537" t="str">
            <v>Provision for income tax</v>
          </cell>
          <cell r="C537" t="str">
            <v>PROV_INC_TAX</v>
          </cell>
          <cell r="D537" t="str">
            <v>SEK</v>
          </cell>
          <cell r="F537">
            <v>-737</v>
          </cell>
          <cell r="G537">
            <v>-990</v>
          </cell>
          <cell r="H537">
            <v>-1107</v>
          </cell>
          <cell r="I537">
            <v>-1280</v>
          </cell>
          <cell r="J537">
            <v>-1322</v>
          </cell>
          <cell r="K537">
            <v>-1137</v>
          </cell>
          <cell r="L537">
            <v>-1723</v>
          </cell>
          <cell r="M537">
            <v>-1622</v>
          </cell>
          <cell r="N537">
            <v>-1361</v>
          </cell>
          <cell r="O537">
            <v>-1619</v>
          </cell>
          <cell r="P537">
            <v>-1952</v>
          </cell>
          <cell r="Q537">
            <v>-1899</v>
          </cell>
          <cell r="R537">
            <v>-2435</v>
          </cell>
          <cell r="S537">
            <v>-3118</v>
          </cell>
          <cell r="T537">
            <v>-3106</v>
          </cell>
          <cell r="U537">
            <v>-1995</v>
          </cell>
          <cell r="V537">
            <v>-3551</v>
          </cell>
          <cell r="W537">
            <v>-4288</v>
          </cell>
          <cell r="X537">
            <v>-4624</v>
          </cell>
          <cell r="Y537">
            <v>-4184</v>
          </cell>
          <cell r="Z537">
            <v>-3916</v>
          </cell>
          <cell r="AA537">
            <v>-7098</v>
          </cell>
          <cell r="AB537">
            <v>-5020</v>
          </cell>
          <cell r="AC537">
            <v>-6367</v>
          </cell>
          <cell r="AD537">
            <v>-4508</v>
          </cell>
          <cell r="AE537">
            <v>-5029</v>
          </cell>
          <cell r="AF537">
            <v>-4042</v>
          </cell>
          <cell r="AG537">
            <v>-5276</v>
          </cell>
          <cell r="AH537">
            <v>-7120</v>
          </cell>
          <cell r="AI537">
            <v>-8000</v>
          </cell>
          <cell r="AJ537">
            <v>-8730</v>
          </cell>
          <cell r="AK537">
            <v>-9870</v>
          </cell>
          <cell r="AL537">
            <v>-11220</v>
          </cell>
          <cell r="AM537">
            <v>-12550</v>
          </cell>
          <cell r="AN537">
            <v>-14010</v>
          </cell>
          <cell r="AO537">
            <v>-15620</v>
          </cell>
          <cell r="AP537">
            <v>-17420</v>
          </cell>
          <cell r="AQ537" t="str">
            <v>must be 0 or -ve</v>
          </cell>
        </row>
        <row r="538">
          <cell r="B538" t="str">
            <v>Minority interest</v>
          </cell>
          <cell r="C538" t="str">
            <v>INC_MINORITY</v>
          </cell>
          <cell r="D538" t="str">
            <v>SEK</v>
          </cell>
          <cell r="F538">
            <v>-24</v>
          </cell>
          <cell r="G538">
            <v>-27</v>
          </cell>
          <cell r="H538">
            <v>-25</v>
          </cell>
          <cell r="I538">
            <v>-32</v>
          </cell>
          <cell r="J538">
            <v>-32</v>
          </cell>
          <cell r="K538">
            <v>-28</v>
          </cell>
          <cell r="L538">
            <v>-42</v>
          </cell>
          <cell r="M538">
            <v>-11</v>
          </cell>
          <cell r="N538">
            <v>-59</v>
          </cell>
          <cell r="O538">
            <v>-20</v>
          </cell>
          <cell r="P538">
            <v>-14</v>
          </cell>
          <cell r="Q538">
            <v>-21</v>
          </cell>
          <cell r="R538">
            <v>-24</v>
          </cell>
          <cell r="S538">
            <v>-30</v>
          </cell>
          <cell r="T538">
            <v>-33</v>
          </cell>
          <cell r="U538">
            <v>-32</v>
          </cell>
          <cell r="V538">
            <v>-23</v>
          </cell>
          <cell r="W538">
            <v>-25</v>
          </cell>
          <cell r="X538">
            <v>-13</v>
          </cell>
          <cell r="Y538">
            <v>-10</v>
          </cell>
          <cell r="Z538">
            <v>-6</v>
          </cell>
          <cell r="AA538">
            <v>-6</v>
          </cell>
          <cell r="AB538">
            <v>-17</v>
          </cell>
          <cell r="AC538">
            <v>-22</v>
          </cell>
          <cell r="AD538">
            <v>-271</v>
          </cell>
          <cell r="AE538">
            <v>-21</v>
          </cell>
          <cell r="AF538">
            <v>-4</v>
          </cell>
          <cell r="AG538">
            <v>-4</v>
          </cell>
          <cell r="AH538">
            <v>0</v>
          </cell>
          <cell r="AI538">
            <v>0</v>
          </cell>
          <cell r="AJ538">
            <v>0</v>
          </cell>
          <cell r="AK538">
            <v>0</v>
          </cell>
          <cell r="AL538">
            <v>0</v>
          </cell>
          <cell r="AM538">
            <v>0</v>
          </cell>
          <cell r="AN538">
            <v>0</v>
          </cell>
          <cell r="AO538">
            <v>0</v>
          </cell>
          <cell r="AP538">
            <v>0</v>
          </cell>
        </row>
        <row r="539">
          <cell r="B539" t="str">
            <v>Net income (pre-preferred dividends)</v>
          </cell>
          <cell r="C539" t="str">
            <v>NI_PRE_PREF</v>
          </cell>
          <cell r="D539" t="str">
            <v>SEK</v>
          </cell>
          <cell r="F539">
            <v>1194</v>
          </cell>
          <cell r="G539">
            <v>1822.9999999999995</v>
          </cell>
          <cell r="H539">
            <v>1938</v>
          </cell>
          <cell r="I539">
            <v>2208</v>
          </cell>
          <cell r="J539">
            <v>2283</v>
          </cell>
          <cell r="K539">
            <v>2247</v>
          </cell>
          <cell r="L539">
            <v>2924</v>
          </cell>
          <cell r="M539">
            <v>3067</v>
          </cell>
          <cell r="N539">
            <v>-3889</v>
          </cell>
          <cell r="O539">
            <v>3274</v>
          </cell>
          <cell r="P539">
            <v>4416</v>
          </cell>
          <cell r="Q539">
            <v>4943</v>
          </cell>
          <cell r="R539">
            <v>6236</v>
          </cell>
          <cell r="S539">
            <v>7386</v>
          </cell>
          <cell r="T539">
            <v>9973</v>
          </cell>
          <cell r="U539">
            <v>6244</v>
          </cell>
          <cell r="V539">
            <v>9921</v>
          </cell>
          <cell r="W539">
            <v>12963</v>
          </cell>
          <cell r="X539">
            <v>13901</v>
          </cell>
          <cell r="Y539">
            <v>12072</v>
          </cell>
          <cell r="Z539">
            <v>12169</v>
          </cell>
          <cell r="AA539">
            <v>11771</v>
          </cell>
          <cell r="AB539">
            <v>13768</v>
          </cell>
          <cell r="AC539">
            <v>16740</v>
          </cell>
          <cell r="AD539">
            <v>16331</v>
          </cell>
          <cell r="AE539">
            <v>16522</v>
          </cell>
          <cell r="AF539">
            <v>14779</v>
          </cell>
          <cell r="AG539">
            <v>18130</v>
          </cell>
          <cell r="AH539">
            <v>24534.123341479419</v>
          </cell>
          <cell r="AI539">
            <v>27576.55075058221</v>
          </cell>
          <cell r="AJ539">
            <v>30076.482773108335</v>
          </cell>
          <cell r="AK539">
            <v>33981.247737453516</v>
          </cell>
          <cell r="AL539">
            <v>38659.452124863215</v>
          </cell>
          <cell r="AM539">
            <v>43246.13355692703</v>
          </cell>
          <cell r="AN539">
            <v>48238.387757170342</v>
          </cell>
          <cell r="AO539">
            <v>53808.827004077975</v>
          </cell>
          <cell r="AP539">
            <v>60003.836083854374</v>
          </cell>
        </row>
        <row r="540">
          <cell r="B540" t="str">
            <v>Preferred dividends</v>
          </cell>
          <cell r="C540" t="str">
            <v>PREF_DIV</v>
          </cell>
          <cell r="D540" t="str">
            <v>SEK</v>
          </cell>
        </row>
        <row r="541">
          <cell r="B541" t="str">
            <v>Net income (pre-exceptionals)</v>
          </cell>
          <cell r="C541" t="str">
            <v>NET_EARNING</v>
          </cell>
          <cell r="D541" t="str">
            <v>SEK</v>
          </cell>
          <cell r="F541">
            <v>1194</v>
          </cell>
          <cell r="G541">
            <v>1822.9999999999995</v>
          </cell>
          <cell r="H541">
            <v>1938</v>
          </cell>
          <cell r="I541">
            <v>2208</v>
          </cell>
          <cell r="J541">
            <v>2283</v>
          </cell>
          <cell r="K541">
            <v>2247</v>
          </cell>
          <cell r="L541">
            <v>2924</v>
          </cell>
          <cell r="M541">
            <v>3067</v>
          </cell>
          <cell r="N541">
            <v>-3889</v>
          </cell>
          <cell r="O541">
            <v>3274</v>
          </cell>
          <cell r="P541">
            <v>4416</v>
          </cell>
          <cell r="Q541">
            <v>4943</v>
          </cell>
          <cell r="R541">
            <v>6236</v>
          </cell>
          <cell r="S541">
            <v>7386</v>
          </cell>
          <cell r="T541">
            <v>9973</v>
          </cell>
          <cell r="U541">
            <v>6244</v>
          </cell>
          <cell r="V541">
            <v>9921</v>
          </cell>
          <cell r="W541">
            <v>12963</v>
          </cell>
          <cell r="X541">
            <v>13901</v>
          </cell>
          <cell r="Y541">
            <v>12072</v>
          </cell>
          <cell r="Z541">
            <v>12169</v>
          </cell>
          <cell r="AA541">
            <v>11771</v>
          </cell>
          <cell r="AB541">
            <v>13768</v>
          </cell>
          <cell r="AC541">
            <v>16740</v>
          </cell>
          <cell r="AD541">
            <v>16331</v>
          </cell>
          <cell r="AE541">
            <v>16522</v>
          </cell>
          <cell r="AF541">
            <v>14779</v>
          </cell>
          <cell r="AG541">
            <v>18130</v>
          </cell>
          <cell r="AH541">
            <v>24534.123341479419</v>
          </cell>
          <cell r="AI541">
            <v>27576.55075058221</v>
          </cell>
          <cell r="AJ541">
            <v>30076.482773108335</v>
          </cell>
          <cell r="AK541">
            <v>33981.247737453516</v>
          </cell>
          <cell r="AL541">
            <v>38659.452124863215</v>
          </cell>
          <cell r="AM541">
            <v>43246.13355692703</v>
          </cell>
          <cell r="AN541">
            <v>48238.387757170342</v>
          </cell>
          <cell r="AO541">
            <v>53808.827004077975</v>
          </cell>
          <cell r="AP541">
            <v>60003.836083854374</v>
          </cell>
        </row>
        <row r="542">
          <cell r="B542" t="str">
            <v>Post-tax exceptionals</v>
          </cell>
          <cell r="C542" t="str">
            <v>TAX_EXC</v>
          </cell>
          <cell r="D542" t="str">
            <v>SEK</v>
          </cell>
          <cell r="F542">
            <v>0</v>
          </cell>
          <cell r="G542">
            <v>0</v>
          </cell>
          <cell r="H542">
            <v>0</v>
          </cell>
          <cell r="I542">
            <v>0</v>
          </cell>
          <cell r="J542">
            <v>0</v>
          </cell>
          <cell r="K542">
            <v>0</v>
          </cell>
          <cell r="L542">
            <v>0</v>
          </cell>
          <cell r="M542">
            <v>0</v>
          </cell>
          <cell r="N542">
            <v>0</v>
          </cell>
          <cell r="O542">
            <v>0</v>
          </cell>
          <cell r="P542">
            <v>241</v>
          </cell>
          <cell r="Q542">
            <v>1617</v>
          </cell>
          <cell r="R542">
            <v>9113</v>
          </cell>
          <cell r="S542">
            <v>53</v>
          </cell>
          <cell r="T542">
            <v>184</v>
          </cell>
          <cell r="U542">
            <v>0</v>
          </cell>
          <cell r="V542">
            <v>0</v>
          </cell>
          <cell r="W542">
            <v>0</v>
          </cell>
          <cell r="X542">
            <v>0</v>
          </cell>
          <cell r="Y542">
            <v>0</v>
          </cell>
          <cell r="Z542">
            <v>0</v>
          </cell>
          <cell r="AA542">
            <v>-54</v>
          </cell>
          <cell r="AB542">
            <v>-1837</v>
          </cell>
          <cell r="AC542">
            <v>-69</v>
          </cell>
          <cell r="AD542">
            <v>90099</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Net income (post-exceptionals)</v>
          </cell>
          <cell r="C543" t="str">
            <v>NET_INC</v>
          </cell>
          <cell r="D543" t="str">
            <v>SEK</v>
          </cell>
          <cell r="F543">
            <v>1194</v>
          </cell>
          <cell r="G543">
            <v>1822.9999999999995</v>
          </cell>
          <cell r="H543">
            <v>1938</v>
          </cell>
          <cell r="I543">
            <v>2208</v>
          </cell>
          <cell r="J543">
            <v>2283</v>
          </cell>
          <cell r="K543">
            <v>2247</v>
          </cell>
          <cell r="L543">
            <v>2924</v>
          </cell>
          <cell r="M543">
            <v>3067</v>
          </cell>
          <cell r="N543">
            <v>-3889</v>
          </cell>
          <cell r="O543">
            <v>3274</v>
          </cell>
          <cell r="P543">
            <v>4657</v>
          </cell>
          <cell r="Q543">
            <v>6560</v>
          </cell>
          <cell r="R543">
            <v>15349</v>
          </cell>
          <cell r="S543">
            <v>7439</v>
          </cell>
          <cell r="T543">
            <v>10157</v>
          </cell>
          <cell r="U543">
            <v>6244</v>
          </cell>
          <cell r="V543">
            <v>9921</v>
          </cell>
          <cell r="W543">
            <v>12963</v>
          </cell>
          <cell r="X543">
            <v>13901</v>
          </cell>
          <cell r="Y543">
            <v>12072</v>
          </cell>
          <cell r="Z543">
            <v>12169</v>
          </cell>
          <cell r="AA543">
            <v>11717</v>
          </cell>
          <cell r="AB543">
            <v>11931</v>
          </cell>
          <cell r="AC543">
            <v>16671</v>
          </cell>
          <cell r="AD543">
            <v>106430</v>
          </cell>
          <cell r="AE543">
            <v>16522</v>
          </cell>
          <cell r="AF543">
            <v>14779</v>
          </cell>
          <cell r="AG543">
            <v>18130</v>
          </cell>
          <cell r="AH543">
            <v>24534.123341479419</v>
          </cell>
          <cell r="AI543">
            <v>27576.55075058221</v>
          </cell>
          <cell r="AJ543">
            <v>30076.482773108335</v>
          </cell>
          <cell r="AK543">
            <v>33981.247737453516</v>
          </cell>
          <cell r="AL543">
            <v>38659.452124863215</v>
          </cell>
          <cell r="AM543">
            <v>43246.13355692703</v>
          </cell>
          <cell r="AN543">
            <v>48238.387757170342</v>
          </cell>
          <cell r="AO543">
            <v>53808.827004077975</v>
          </cell>
          <cell r="AP543">
            <v>60003.836083854374</v>
          </cell>
        </row>
        <row r="544">
          <cell r="B544" t="str">
            <v>EPS (pre-exceptionals, basic)</v>
          </cell>
          <cell r="C544" t="str">
            <v>EPS</v>
          </cell>
          <cell r="D544" t="str">
            <v>SEK</v>
          </cell>
          <cell r="E544" t="str">
            <v>Must be multiplied by 100 for GBP companies</v>
          </cell>
          <cell r="F544">
            <v>0.2710936468073179</v>
          </cell>
          <cell r="G544">
            <v>0.41390596158269716</v>
          </cell>
          <cell r="H544">
            <v>0.44001632119981748</v>
          </cell>
          <cell r="I544">
            <v>0.50131890464870843</v>
          </cell>
          <cell r="J544">
            <v>0.51834740005117819</v>
          </cell>
          <cell r="K544">
            <v>0.44667950597308659</v>
          </cell>
          <cell r="L544">
            <v>0.58125984666902775</v>
          </cell>
          <cell r="M544">
            <v>0.60968671331529001</v>
          </cell>
          <cell r="N544">
            <v>-0.77309149921198661</v>
          </cell>
          <cell r="O544">
            <v>0.65083609370533402</v>
          </cell>
          <cell r="P544">
            <v>0.92576166413736727</v>
          </cell>
          <cell r="Q544">
            <v>1.3040576587376271</v>
          </cell>
          <cell r="R544">
            <v>3.0594934379512733</v>
          </cell>
          <cell r="S544">
            <v>1.523405391553792</v>
          </cell>
          <cell r="T544">
            <v>2.082890255184509</v>
          </cell>
          <cell r="U544">
            <v>1.2838226827864132</v>
          </cell>
          <cell r="V544">
            <v>2.0398470268936588</v>
          </cell>
          <cell r="W544">
            <v>2.6688215432759614</v>
          </cell>
          <cell r="X544">
            <v>2.8631158345691219</v>
          </cell>
          <cell r="Y544">
            <v>2.4864063272367773</v>
          </cell>
          <cell r="Z544">
            <v>2.5026735768344852</v>
          </cell>
          <cell r="AA544">
            <v>2.4061524560538849</v>
          </cell>
          <cell r="AB544">
            <v>2.4527177041361732</v>
          </cell>
          <cell r="AC544">
            <v>3.4327897207808258</v>
          </cell>
          <cell r="AD544">
            <v>21.926246394726</v>
          </cell>
          <cell r="AE544">
            <v>3.4004280892401413</v>
          </cell>
          <cell r="AF544">
            <v>3.0399456968899123</v>
          </cell>
          <cell r="AG544">
            <v>3.7221811612055511</v>
          </cell>
          <cell r="AH544">
            <v>5.0349526613313813</v>
          </cell>
          <cell r="AI544">
            <v>5.6593270384859524</v>
          </cell>
          <cell r="AJ544">
            <v>6.1723691885873482</v>
          </cell>
          <cell r="AK544">
            <v>6.9737145831408993</v>
          </cell>
          <cell r="AL544">
            <v>7.9337871034749501</v>
          </cell>
          <cell r="AM544">
            <v>8.8750770595747781</v>
          </cell>
          <cell r="AN544">
            <v>9.8995996488560198</v>
          </cell>
          <cell r="AO544">
            <v>11.042778784325025</v>
          </cell>
          <cell r="AP544">
            <v>12.314133664996762</v>
          </cell>
        </row>
        <row r="545">
          <cell r="B545" t="str">
            <v>EPS (pre-exceptionals, diluted)</v>
          </cell>
          <cell r="C545" t="str">
            <v>EPS_FUL_DIL</v>
          </cell>
          <cell r="D545" t="str">
            <v>SEK</v>
          </cell>
          <cell r="E545" t="str">
            <v>Must be multiplied by 100 for GBP companies</v>
          </cell>
          <cell r="F545">
            <v>0.2710936468073179</v>
          </cell>
          <cell r="G545">
            <v>0.41390596158269716</v>
          </cell>
          <cell r="H545">
            <v>0.44001632119981748</v>
          </cell>
          <cell r="I545">
            <v>0.50131890464870843</v>
          </cell>
          <cell r="J545">
            <v>0.51834740005117819</v>
          </cell>
          <cell r="K545">
            <v>0.44667950597308659</v>
          </cell>
          <cell r="L545">
            <v>0.58125984666902775</v>
          </cell>
          <cell r="M545">
            <v>0.60968671331529001</v>
          </cell>
          <cell r="N545">
            <v>-0.77309149921198661</v>
          </cell>
          <cell r="O545">
            <v>0.65083609370533402</v>
          </cell>
          <cell r="P545">
            <v>0.87785344832093926</v>
          </cell>
          <cell r="Q545">
            <v>0.9826153974298919</v>
          </cell>
          <cell r="R545">
            <v>1.2430126444109806</v>
          </cell>
          <cell r="S545">
            <v>1.5125517168996248</v>
          </cell>
          <cell r="T545">
            <v>2.0451574790740481</v>
          </cell>
          <cell r="U545">
            <v>1.2838226827864132</v>
          </cell>
          <cell r="V545">
            <v>2.0398470268936588</v>
          </cell>
          <cell r="W545">
            <v>2.6688215432759614</v>
          </cell>
          <cell r="X545">
            <v>2.8631158345691219</v>
          </cell>
          <cell r="Y545">
            <v>2.4864063272367773</v>
          </cell>
          <cell r="Z545">
            <v>2.5026735768344852</v>
          </cell>
          <cell r="AA545">
            <v>2.4172416625595528</v>
          </cell>
          <cell r="AB545">
            <v>2.8303593454485654</v>
          </cell>
          <cell r="AC545">
            <v>3.4469977761304671</v>
          </cell>
          <cell r="AD545">
            <v>3.3644416975690152</v>
          </cell>
          <cell r="AE545">
            <v>3.4004280892401413</v>
          </cell>
          <cell r="AF545">
            <v>3.0399456968899123</v>
          </cell>
          <cell r="AG545">
            <v>3.7221811612055511</v>
          </cell>
          <cell r="AH545">
            <v>5.0349526613313813</v>
          </cell>
          <cell r="AI545">
            <v>5.6593270384859524</v>
          </cell>
          <cell r="AJ545">
            <v>6.1723691885873482</v>
          </cell>
          <cell r="AK545">
            <v>6.9737145831408993</v>
          </cell>
          <cell r="AL545">
            <v>7.9337871034749501</v>
          </cell>
          <cell r="AM545">
            <v>8.8750770595747781</v>
          </cell>
          <cell r="AN545">
            <v>9.8995996488560198</v>
          </cell>
          <cell r="AO545">
            <v>11.042778784325025</v>
          </cell>
          <cell r="AP545">
            <v>12.314133664996762</v>
          </cell>
        </row>
        <row r="546">
          <cell r="B546" t="str">
            <v>EPS (post-exceptionals, basic)</v>
          </cell>
          <cell r="C546" t="str">
            <v>EPS_POST_BASIC</v>
          </cell>
          <cell r="D546" t="str">
            <v>SEK</v>
          </cell>
          <cell r="E546" t="str">
            <v>Must be multiplied by 100 for GBP companies</v>
          </cell>
          <cell r="F546">
            <v>0.2710936468073179</v>
          </cell>
          <cell r="G546">
            <v>0.41390596158269716</v>
          </cell>
          <cell r="H546">
            <v>0.44001632119981748</v>
          </cell>
          <cell r="I546">
            <v>0.50131890464870843</v>
          </cell>
          <cell r="J546">
            <v>0.51834740005117819</v>
          </cell>
          <cell r="K546">
            <v>0.44667950597308659</v>
          </cell>
          <cell r="L546">
            <v>0.58125984666902775</v>
          </cell>
          <cell r="M546">
            <v>0.60968671331529001</v>
          </cell>
          <cell r="N546">
            <v>-0.77309149921198661</v>
          </cell>
          <cell r="O546">
            <v>0.65083609370533402</v>
          </cell>
          <cell r="P546">
            <v>0.92576166413736727</v>
          </cell>
          <cell r="Q546">
            <v>1.3040576587376271</v>
          </cell>
          <cell r="R546">
            <v>3.0594934379512733</v>
          </cell>
          <cell r="S546">
            <v>1.523405391553792</v>
          </cell>
          <cell r="T546">
            <v>2.082890255184509</v>
          </cell>
          <cell r="U546">
            <v>1.2838226827864132</v>
          </cell>
          <cell r="V546">
            <v>2.0398470268936588</v>
          </cell>
          <cell r="W546">
            <v>2.6688215432759614</v>
          </cell>
          <cell r="X546">
            <v>2.8631158345691219</v>
          </cell>
          <cell r="Y546">
            <v>2.4864063272367773</v>
          </cell>
          <cell r="Z546">
            <v>2.5026735768344852</v>
          </cell>
          <cell r="AA546">
            <v>2.4061524560538849</v>
          </cell>
          <cell r="AB546">
            <v>2.4527177041361732</v>
          </cell>
          <cell r="AC546">
            <v>3.4327897207808258</v>
          </cell>
          <cell r="AD546">
            <v>21.926246394726</v>
          </cell>
          <cell r="AE546">
            <v>3.4004280892401413</v>
          </cell>
          <cell r="AF546">
            <v>3.0399456968899123</v>
          </cell>
          <cell r="AG546">
            <v>3.7221811612055511</v>
          </cell>
          <cell r="AH546">
            <v>5.0349526613313813</v>
          </cell>
          <cell r="AI546">
            <v>5.6593270384859524</v>
          </cell>
          <cell r="AJ546">
            <v>6.1723691885873482</v>
          </cell>
          <cell r="AK546">
            <v>6.9737145831408993</v>
          </cell>
          <cell r="AL546">
            <v>7.9337871034749501</v>
          </cell>
          <cell r="AM546">
            <v>8.8750770595747781</v>
          </cell>
          <cell r="AN546">
            <v>9.8995996488560198</v>
          </cell>
          <cell r="AO546">
            <v>11.042778784325025</v>
          </cell>
          <cell r="AP546">
            <v>12.314133664996762</v>
          </cell>
        </row>
        <row r="547">
          <cell r="B547" t="str">
            <v>EPS (post-exceptionals, diluted)</v>
          </cell>
          <cell r="C547" t="str">
            <v>FULLY_DIL_EPS</v>
          </cell>
          <cell r="D547" t="str">
            <v>SEK</v>
          </cell>
          <cell r="E547" t="str">
            <v>Must be multiplied by 100 for GBP companies</v>
          </cell>
          <cell r="F547">
            <v>0.2710936468073179</v>
          </cell>
          <cell r="G547">
            <v>0.41390596158269716</v>
          </cell>
          <cell r="H547">
            <v>0.44001632119981748</v>
          </cell>
          <cell r="I547">
            <v>0.50131890464870843</v>
          </cell>
          <cell r="J547">
            <v>0.51834740005117819</v>
          </cell>
          <cell r="K547">
            <v>0.44667950597308659</v>
          </cell>
          <cell r="L547">
            <v>0.58125984666902775</v>
          </cell>
          <cell r="M547">
            <v>0.60968671331529001</v>
          </cell>
          <cell r="N547">
            <v>-0.77309149921198661</v>
          </cell>
          <cell r="O547">
            <v>0.65083609370533402</v>
          </cell>
          <cell r="P547">
            <v>0.92576166413736727</v>
          </cell>
          <cell r="Q547">
            <v>1.3040576587376271</v>
          </cell>
          <cell r="R547">
            <v>3.0594934379512733</v>
          </cell>
          <cell r="S547">
            <v>1.523405391553792</v>
          </cell>
          <cell r="T547">
            <v>2.082890255184509</v>
          </cell>
          <cell r="U547">
            <v>1.2838226827864132</v>
          </cell>
          <cell r="V547">
            <v>2.0398470268936588</v>
          </cell>
          <cell r="W547">
            <v>2.6688215432759614</v>
          </cell>
          <cell r="X547">
            <v>2.8631158345691219</v>
          </cell>
          <cell r="Y547">
            <v>2.4864063272367773</v>
          </cell>
          <cell r="Z547">
            <v>2.5026735768344852</v>
          </cell>
          <cell r="AA547">
            <v>2.4061524560538849</v>
          </cell>
          <cell r="AB547">
            <v>2.4527177041361732</v>
          </cell>
          <cell r="AC547">
            <v>3.4327897207808258</v>
          </cell>
          <cell r="AD547">
            <v>21.926246394726</v>
          </cell>
          <cell r="AE547">
            <v>3.4004280892401413</v>
          </cell>
          <cell r="AF547">
            <v>3.0399456968899123</v>
          </cell>
          <cell r="AG547">
            <v>3.7221811612055511</v>
          </cell>
          <cell r="AH547">
            <v>5.0349526613313813</v>
          </cell>
          <cell r="AI547">
            <v>5.6593270384859524</v>
          </cell>
          <cell r="AJ547">
            <v>6.1723691885873482</v>
          </cell>
          <cell r="AK547">
            <v>6.9737145831408993</v>
          </cell>
          <cell r="AL547">
            <v>7.9337871034749501</v>
          </cell>
          <cell r="AM547">
            <v>8.8750770595747781</v>
          </cell>
          <cell r="AN547">
            <v>9.8995996488560198</v>
          </cell>
          <cell r="AO547">
            <v>11.042778784325025</v>
          </cell>
          <cell r="AP547">
            <v>12.314133664996762</v>
          </cell>
        </row>
        <row r="548">
          <cell r="B548" t="str">
            <v>Common dividends paid</v>
          </cell>
          <cell r="C548" t="str">
            <v>COMMON_DIV_PAID</v>
          </cell>
          <cell r="D548" t="str">
            <v>SEK</v>
          </cell>
          <cell r="F548">
            <v>-422.08661599999994</v>
          </cell>
          <cell r="G548">
            <v>-550.54775999999993</v>
          </cell>
          <cell r="H548">
            <v>-660.65731199999993</v>
          </cell>
          <cell r="I548">
            <v>-748.74495359999992</v>
          </cell>
          <cell r="J548">
            <v>-792.78877439999997</v>
          </cell>
          <cell r="K548">
            <v>-995.61037399999998</v>
          </cell>
          <cell r="L548">
            <v>-1100.411466</v>
          </cell>
          <cell r="M548">
            <v>-1152.8120119999999</v>
          </cell>
          <cell r="N548">
            <v>-1205.2125580000002</v>
          </cell>
          <cell r="O548">
            <v>-1572.01638</v>
          </cell>
          <cell r="P548">
            <v>-1886.419656</v>
          </cell>
          <cell r="Q548">
            <v>-2678.7159115199997</v>
          </cell>
          <cell r="R548">
            <v>-2985.0219277199999</v>
          </cell>
          <cell r="S548">
            <v>-3662.354112</v>
          </cell>
          <cell r="T548">
            <v>-3657.2978250000001</v>
          </cell>
          <cell r="U548">
            <v>-3647.7000000000003</v>
          </cell>
          <cell r="V548">
            <v>-4863.6000000000004</v>
          </cell>
          <cell r="W548">
            <v>-6071.5</v>
          </cell>
          <cell r="X548">
            <v>-6675.9</v>
          </cell>
          <cell r="Y548">
            <v>-6675.9</v>
          </cell>
          <cell r="Z548">
            <v>-7293.5999999999995</v>
          </cell>
          <cell r="AA548">
            <v>-7669.6200000000008</v>
          </cell>
          <cell r="AB548">
            <v>-8269.48</v>
          </cell>
          <cell r="AC548">
            <v>-8498.6999999999989</v>
          </cell>
          <cell r="AD548">
            <v>-7645.05</v>
          </cell>
          <cell r="AE548">
            <v>-8502.9</v>
          </cell>
          <cell r="AF548">
            <v>-8872.42</v>
          </cell>
          <cell r="AG548">
            <v>-9254.52</v>
          </cell>
          <cell r="AH548">
            <v>-12267.061670739709</v>
          </cell>
          <cell r="AI548">
            <v>-13788.275375291105</v>
          </cell>
          <cell r="AJ548">
            <v>-15038.241386554166</v>
          </cell>
          <cell r="AK548">
            <v>-16990.623868726758</v>
          </cell>
          <cell r="AL548">
            <v>-19329.726062431608</v>
          </cell>
          <cell r="AM548">
            <v>-21623.066778463515</v>
          </cell>
          <cell r="AN548">
            <v>-24119.193878585171</v>
          </cell>
          <cell r="AO548">
            <v>-26904.413502038991</v>
          </cell>
          <cell r="AP548">
            <v>-30001.918041927187</v>
          </cell>
        </row>
        <row r="549">
          <cell r="B549" t="str">
            <v>DPS, dividend per share</v>
          </cell>
          <cell r="C549" t="str">
            <v>DPS</v>
          </cell>
          <cell r="D549" t="str">
            <v>SEK</v>
          </cell>
          <cell r="F549">
            <v>9.5833333333333326E-2</v>
          </cell>
          <cell r="G549">
            <v>0.125</v>
          </cell>
          <cell r="H549">
            <v>0.15</v>
          </cell>
          <cell r="I549">
            <v>0.17</v>
          </cell>
          <cell r="J549">
            <v>0.18000000000000002</v>
          </cell>
          <cell r="K549">
            <v>0.19791666666666666</v>
          </cell>
          <cell r="L549">
            <v>0.21875</v>
          </cell>
          <cell r="M549">
            <v>0.22916666666666666</v>
          </cell>
          <cell r="N549">
            <v>0.23958333333333334</v>
          </cell>
          <cell r="O549">
            <v>0.3125</v>
          </cell>
          <cell r="P549">
            <v>0.375</v>
          </cell>
          <cell r="Q549">
            <v>0.53249999999999997</v>
          </cell>
          <cell r="R549">
            <v>0.59499999999999997</v>
          </cell>
          <cell r="S549">
            <v>0.75</v>
          </cell>
          <cell r="T549">
            <v>0.75</v>
          </cell>
          <cell r="U549">
            <v>0.75</v>
          </cell>
          <cell r="V549">
            <v>1</v>
          </cell>
          <cell r="W549">
            <v>1.25</v>
          </cell>
          <cell r="X549">
            <v>1.375</v>
          </cell>
          <cell r="Y549">
            <v>1.375</v>
          </cell>
          <cell r="Z549">
            <v>1.5</v>
          </cell>
          <cell r="AA549">
            <v>1.575</v>
          </cell>
          <cell r="AB549">
            <v>1.7</v>
          </cell>
          <cell r="AC549">
            <v>1.75</v>
          </cell>
          <cell r="AD549">
            <v>1.575</v>
          </cell>
          <cell r="AE549">
            <v>1.75</v>
          </cell>
          <cell r="AF549">
            <v>1.825</v>
          </cell>
          <cell r="AG549">
            <v>1.9</v>
          </cell>
          <cell r="AH549">
            <v>2.5174763306656907</v>
          </cell>
          <cell r="AI549">
            <v>2.8296635192429762</v>
          </cell>
          <cell r="AJ549">
            <v>3.0861845942936741</v>
          </cell>
          <cell r="AK549">
            <v>3.4868572915704497</v>
          </cell>
          <cell r="AL549">
            <v>3.966893551737475</v>
          </cell>
          <cell r="AM549">
            <v>4.4375385297873891</v>
          </cell>
          <cell r="AN549">
            <v>4.9497998244280099</v>
          </cell>
          <cell r="AO549">
            <v>5.5213893921625123</v>
          </cell>
          <cell r="AP549">
            <v>6.1570668324983808</v>
          </cell>
          <cell r="AQ549" t="str">
            <v>must be 0 or +ve</v>
          </cell>
        </row>
        <row r="550">
          <cell r="B550" t="str">
            <v>Weighted average shares outstanding, basic</v>
          </cell>
          <cell r="C550" t="str">
            <v>SH</v>
          </cell>
          <cell r="F550">
            <v>4404.3820799999994</v>
          </cell>
          <cell r="G550">
            <v>4404.3820799999994</v>
          </cell>
          <cell r="H550">
            <v>4404.3820799999994</v>
          </cell>
          <cell r="I550">
            <v>4404.3820799999994</v>
          </cell>
          <cell r="J550">
            <v>4404.3820799999994</v>
          </cell>
          <cell r="K550">
            <v>5030.4524160000001</v>
          </cell>
          <cell r="L550">
            <v>5030.4524160000001</v>
          </cell>
          <cell r="M550">
            <v>5030.4524160000001</v>
          </cell>
          <cell r="N550">
            <v>5030.4524160000001</v>
          </cell>
          <cell r="O550">
            <v>5030.4524160000001</v>
          </cell>
          <cell r="P550">
            <v>5030.4524160000001</v>
          </cell>
          <cell r="Q550">
            <v>5030.4524160000001</v>
          </cell>
          <cell r="R550">
            <v>5016.8435760000002</v>
          </cell>
          <cell r="S550">
            <v>4883.1388159999997</v>
          </cell>
          <cell r="T550">
            <v>4876.3971000000001</v>
          </cell>
          <cell r="U550">
            <v>4863.6000000000004</v>
          </cell>
          <cell r="V550">
            <v>4863.6000000000004</v>
          </cell>
          <cell r="W550">
            <v>4857.2</v>
          </cell>
          <cell r="X550">
            <v>4855.2</v>
          </cell>
          <cell r="Y550">
            <v>4855.2</v>
          </cell>
          <cell r="Z550">
            <v>4862.3999999999996</v>
          </cell>
          <cell r="AA550">
            <v>4869.6000000000004</v>
          </cell>
          <cell r="AB550">
            <v>4864.3999999999996</v>
          </cell>
          <cell r="AC550">
            <v>4856.3999999999996</v>
          </cell>
          <cell r="AD550">
            <v>4854</v>
          </cell>
          <cell r="AE550">
            <v>4858.8</v>
          </cell>
          <cell r="AF550">
            <v>4861.6000000000004</v>
          </cell>
          <cell r="AG550">
            <v>4870.8</v>
          </cell>
          <cell r="AH550">
            <v>4872.7614720000001</v>
          </cell>
          <cell r="AI550">
            <v>4872.7614720000001</v>
          </cell>
          <cell r="AJ550">
            <v>4872.7614720000001</v>
          </cell>
          <cell r="AK550">
            <v>4872.7614720000001</v>
          </cell>
          <cell r="AL550">
            <v>4872.7614720000001</v>
          </cell>
          <cell r="AM550">
            <v>4872.7614720000001</v>
          </cell>
          <cell r="AN550">
            <v>4872.7614720000001</v>
          </cell>
          <cell r="AO550">
            <v>4872.7614720000001</v>
          </cell>
          <cell r="AP550">
            <v>4872.7614720000001</v>
          </cell>
          <cell r="AQ550" t="str">
            <v>must be +ve</v>
          </cell>
        </row>
        <row r="551">
          <cell r="B551" t="str">
            <v>Diluted average shares outstanding (mn)</v>
          </cell>
          <cell r="C551" t="str">
            <v>DILUTE_SHARES</v>
          </cell>
          <cell r="F551">
            <v>4404.3820799999994</v>
          </cell>
          <cell r="G551">
            <v>4404.3820799999994</v>
          </cell>
          <cell r="H551">
            <v>4404.3820799999994</v>
          </cell>
          <cell r="I551">
            <v>4404.3820799999994</v>
          </cell>
          <cell r="J551">
            <v>4404.3820799999994</v>
          </cell>
          <cell r="K551">
            <v>5030.4524160000001</v>
          </cell>
          <cell r="L551">
            <v>5030.4524160000001</v>
          </cell>
          <cell r="M551">
            <v>5030.4524160000001</v>
          </cell>
          <cell r="N551">
            <v>5030.4524160000001</v>
          </cell>
          <cell r="O551">
            <v>5030.4524160000001</v>
          </cell>
          <cell r="P551">
            <v>5030.4524160000001</v>
          </cell>
          <cell r="Q551">
            <v>5030.4524160000001</v>
          </cell>
          <cell r="R551">
            <v>5016.8435760000002</v>
          </cell>
          <cell r="S551">
            <v>4883.1388159999997</v>
          </cell>
          <cell r="T551">
            <v>4876.3971000000001</v>
          </cell>
          <cell r="U551">
            <v>4863.6000000000004</v>
          </cell>
          <cell r="V551">
            <v>4863.6000000000004</v>
          </cell>
          <cell r="W551">
            <v>4857.2</v>
          </cell>
          <cell r="X551">
            <v>4855.2</v>
          </cell>
          <cell r="Y551">
            <v>4855.2</v>
          </cell>
          <cell r="Z551">
            <v>4862.3999999999996</v>
          </cell>
          <cell r="AA551">
            <v>4869.6000000000004</v>
          </cell>
          <cell r="AB551">
            <v>4864.3999999999996</v>
          </cell>
          <cell r="AC551">
            <v>4856.3999999999996</v>
          </cell>
          <cell r="AD551">
            <v>4854</v>
          </cell>
          <cell r="AE551">
            <v>4858.8</v>
          </cell>
          <cell r="AF551">
            <v>4861.6000000000004</v>
          </cell>
          <cell r="AG551">
            <v>4870.8</v>
          </cell>
          <cell r="AH551">
            <v>4872.7614720000001</v>
          </cell>
          <cell r="AI551">
            <v>4872.7614720000001</v>
          </cell>
          <cell r="AJ551">
            <v>4872.7614720000001</v>
          </cell>
          <cell r="AK551">
            <v>4872.7614720000001</v>
          </cell>
          <cell r="AL551">
            <v>4872.7614720000001</v>
          </cell>
          <cell r="AM551">
            <v>4872.7614720000001</v>
          </cell>
          <cell r="AN551">
            <v>4872.7614720000001</v>
          </cell>
          <cell r="AO551">
            <v>4872.7614720000001</v>
          </cell>
          <cell r="AP551">
            <v>4872.7614720000001</v>
          </cell>
        </row>
        <row r="552">
          <cell r="B552" t="str">
            <v>Period-end shares outstanding</v>
          </cell>
          <cell r="C552" t="str">
            <v>NON_OP_ADD</v>
          </cell>
          <cell r="F552">
            <v>4404.3820799999994</v>
          </cell>
          <cell r="G552">
            <v>4404.3820799999994</v>
          </cell>
          <cell r="H552">
            <v>4404.3820799999994</v>
          </cell>
          <cell r="I552">
            <v>4404.3820799999994</v>
          </cell>
          <cell r="J552">
            <v>4404.3820799999994</v>
          </cell>
          <cell r="K552">
            <v>5030.4524160000001</v>
          </cell>
          <cell r="L552">
            <v>5030.4524160000001</v>
          </cell>
          <cell r="M552">
            <v>5030.4524160000001</v>
          </cell>
          <cell r="N552">
            <v>5030.4524160000001</v>
          </cell>
          <cell r="O552">
            <v>5030.4524160000001</v>
          </cell>
          <cell r="P552">
            <v>5030.4524160000001</v>
          </cell>
          <cell r="Q552">
            <v>5030.4524160000001</v>
          </cell>
          <cell r="R552">
            <v>5016.8435760000002</v>
          </cell>
          <cell r="S552">
            <v>4883.1388159999997</v>
          </cell>
          <cell r="T552">
            <v>4876.3971000000001</v>
          </cell>
          <cell r="U552">
            <v>4863.6000000000004</v>
          </cell>
          <cell r="V552">
            <v>4863.6000000000004</v>
          </cell>
          <cell r="W552">
            <v>4857.2</v>
          </cell>
          <cell r="X552">
            <v>4855.2</v>
          </cell>
          <cell r="Y552">
            <v>4855.2</v>
          </cell>
          <cell r="Z552">
            <v>4862.3999999999996</v>
          </cell>
          <cell r="AA552">
            <v>4869.6000000000004</v>
          </cell>
          <cell r="AB552">
            <v>4864.3999999999996</v>
          </cell>
          <cell r="AC552">
            <v>4856.3999999999996</v>
          </cell>
          <cell r="AD552">
            <v>4854</v>
          </cell>
          <cell r="AE552">
            <v>4858.8</v>
          </cell>
          <cell r="AF552">
            <v>4861.6000000000004</v>
          </cell>
          <cell r="AG552">
            <v>4870.8</v>
          </cell>
          <cell r="AH552">
            <v>4872.7614720000001</v>
          </cell>
          <cell r="AI552">
            <v>4872.7614720000001</v>
          </cell>
          <cell r="AJ552">
            <v>4872.7614720000001</v>
          </cell>
          <cell r="AK552">
            <v>4872.7614720000001</v>
          </cell>
          <cell r="AL552">
            <v>4872.7614720000001</v>
          </cell>
          <cell r="AM552">
            <v>4872.7614720000001</v>
          </cell>
          <cell r="AN552">
            <v>4872.7614720000001</v>
          </cell>
          <cell r="AO552">
            <v>4872.7614720000001</v>
          </cell>
          <cell r="AP552">
            <v>4872.7614720000001</v>
          </cell>
          <cell r="AQ552" t="str">
            <v>must be +ve</v>
          </cell>
        </row>
        <row r="553">
          <cell r="A553" t="str">
            <v>Additional Income Statement Items</v>
          </cell>
        </row>
        <row r="554">
          <cell r="B554" t="str">
            <v>Organic net income (excl. acquisitions)</v>
          </cell>
          <cell r="C554" t="str">
            <v>ORG_NI</v>
          </cell>
          <cell r="D554" t="str">
            <v>SEK</v>
          </cell>
        </row>
        <row r="555">
          <cell r="B555" t="str">
            <v>Organic EPS (excl. acquisitions)</v>
          </cell>
          <cell r="C555" t="str">
            <v>ORG_EPS</v>
          </cell>
          <cell r="D555" t="str">
            <v>SEK</v>
          </cell>
        </row>
        <row r="556">
          <cell r="B556" t="str">
            <v>Marginal tax rate</v>
          </cell>
          <cell r="C556" t="str">
            <v>MARGIN_TAX_RATE</v>
          </cell>
          <cell r="F556">
            <v>0.37698209718670078</v>
          </cell>
          <cell r="G556">
            <v>0.34859154929577468</v>
          </cell>
          <cell r="H556">
            <v>0.36058631921824102</v>
          </cell>
          <cell r="I556">
            <v>0.36363636363636365</v>
          </cell>
          <cell r="J556">
            <v>0.36348638988177068</v>
          </cell>
          <cell r="K556">
            <v>0.33323563892145369</v>
          </cell>
          <cell r="L556">
            <v>0.36745574749413523</v>
          </cell>
          <cell r="M556">
            <v>0.34510638297872342</v>
          </cell>
          <cell r="N556">
            <v>0.3</v>
          </cell>
          <cell r="O556">
            <v>0.32953388968043967</v>
          </cell>
          <cell r="P556">
            <v>0.305860231902225</v>
          </cell>
          <cell r="Q556">
            <v>0.27670115110010202</v>
          </cell>
          <cell r="R556">
            <v>0.28004600345025876</v>
          </cell>
          <cell r="S556">
            <v>0.29599392443516231</v>
          </cell>
          <cell r="T556">
            <v>0.236882245271507</v>
          </cell>
          <cell r="U556">
            <v>0.24120420747188973</v>
          </cell>
          <cell r="V556">
            <v>0.26313449425713226</v>
          </cell>
          <cell r="W556">
            <v>0.24820560314887705</v>
          </cell>
          <cell r="X556">
            <v>0.24943359585715827</v>
          </cell>
          <cell r="Y556">
            <v>0.25722365670724212</v>
          </cell>
          <cell r="Z556">
            <v>0.24336585669007521</v>
          </cell>
          <cell r="AA556">
            <v>0.37605298013245031</v>
          </cell>
          <cell r="AB556">
            <v>0.26695027918106884</v>
          </cell>
          <cell r="AC556">
            <v>0.27528211336417485</v>
          </cell>
          <cell r="AD556">
            <v>0.21354808147797252</v>
          </cell>
          <cell r="AE556">
            <v>0.23312627480066753</v>
          </cell>
          <cell r="AF556">
            <v>0.2147144754316069</v>
          </cell>
          <cell r="AG556">
            <v>0.22537377189235369</v>
          </cell>
          <cell r="AH556">
            <v>0.22500000000000001</v>
          </cell>
          <cell r="AI556">
            <v>0.22500000000000001</v>
          </cell>
          <cell r="AJ556">
            <v>0.22500000000000001</v>
          </cell>
          <cell r="AK556">
            <v>0.22500000000000001</v>
          </cell>
          <cell r="AL556">
            <v>0.22500000000000001</v>
          </cell>
          <cell r="AM556">
            <v>0.22500000000000001</v>
          </cell>
          <cell r="AN556">
            <v>0.22500000000000001</v>
          </cell>
          <cell r="AO556">
            <v>0.22500000000000001</v>
          </cell>
          <cell r="AP556">
            <v>0.22500000000000001</v>
          </cell>
          <cell r="AQ556">
            <v>0</v>
          </cell>
        </row>
        <row r="557">
          <cell r="A557" t="str">
            <v>Balance Sheet</v>
          </cell>
        </row>
        <row r="558">
          <cell r="B558" t="str">
            <v>BVPS, book value per share</v>
          </cell>
          <cell r="C558" t="str">
            <v>BVPS</v>
          </cell>
          <cell r="D558" t="str">
            <v>SEK</v>
          </cell>
          <cell r="E558" t="str">
            <v>Must be multiplied by 100 for GBP companies</v>
          </cell>
          <cell r="F558">
            <v>2.0849689770783923</v>
          </cell>
          <cell r="G558">
            <v>2.3780861446062374</v>
          </cell>
          <cell r="H558">
            <v>2.6907293201955818</v>
          </cell>
          <cell r="I558">
            <v>3.0544579819923348</v>
          </cell>
          <cell r="J558">
            <v>3.4670016639428343</v>
          </cell>
          <cell r="K558">
            <v>4.151714055295022</v>
          </cell>
          <cell r="L558">
            <v>4.7673644469277097</v>
          </cell>
          <cell r="M558">
            <v>5.4802227951339795</v>
          </cell>
          <cell r="N558">
            <v>4.0143506647176288</v>
          </cell>
          <cell r="O558">
            <v>4.1775566613370785</v>
          </cell>
          <cell r="P558">
            <v>4.4799151520291414</v>
          </cell>
          <cell r="Q558">
            <v>5.1120650536732954</v>
          </cell>
          <cell r="R558">
            <v>6.5012989753220882</v>
          </cell>
          <cell r="S558">
            <v>2.9743164278703151</v>
          </cell>
          <cell r="T558">
            <v>4.8451755497926943</v>
          </cell>
          <cell r="U558">
            <v>5.2448803355539102</v>
          </cell>
          <cell r="V558">
            <v>5.991652274035693</v>
          </cell>
          <cell r="W558">
            <v>5.9244008894013014</v>
          </cell>
          <cell r="X558">
            <v>7.2248311089141541</v>
          </cell>
          <cell r="Y558">
            <v>8.1658840006590871</v>
          </cell>
          <cell r="Z558">
            <v>10.401242184929254</v>
          </cell>
          <cell r="AA558">
            <v>9.5677263019549859</v>
          </cell>
          <cell r="AB558">
            <v>10.917070964558837</v>
          </cell>
          <cell r="AC558">
            <v>12.461288197018369</v>
          </cell>
          <cell r="AD558">
            <v>8.7402142562834779</v>
          </cell>
          <cell r="AE558">
            <v>10.955585741335309</v>
          </cell>
          <cell r="AF558">
            <v>10.945984860951127</v>
          </cell>
          <cell r="AG558">
            <v>13.885398702471873</v>
          </cell>
          <cell r="AH558">
            <v>14.706928301841454</v>
          </cell>
          <cell r="AI558">
            <v>17.848779009661715</v>
          </cell>
          <cell r="AJ558">
            <v>18.191484679006088</v>
          </cell>
          <cell r="AK558">
            <v>22.079014667853315</v>
          </cell>
          <cell r="AL558">
            <v>26.525944479757815</v>
          </cell>
          <cell r="AM558">
            <v>31.434127987595115</v>
          </cell>
          <cell r="AN558">
            <v>36.896189106663748</v>
          </cell>
          <cell r="AO558">
            <v>42.989168066560765</v>
          </cell>
          <cell r="AP558">
            <v>49.781912339395021</v>
          </cell>
          <cell r="AQ558" t="str">
            <v>must be +ve</v>
          </cell>
        </row>
        <row r="559">
          <cell r="A559" t="str">
            <v>Cash Flow Statement</v>
          </cell>
        </row>
        <row r="560">
          <cell r="B560" t="str">
            <v>Net income (pre-preferred dividends)</v>
          </cell>
          <cell r="C560" t="str">
            <v>CF_NI_PRE_PREF</v>
          </cell>
          <cell r="D560" t="str">
            <v>SEK</v>
          </cell>
          <cell r="F560">
            <v>1194</v>
          </cell>
          <cell r="G560">
            <v>1822.9999999999995</v>
          </cell>
          <cell r="H560">
            <v>1938</v>
          </cell>
          <cell r="I560">
            <v>2208</v>
          </cell>
          <cell r="J560">
            <v>2283</v>
          </cell>
          <cell r="K560">
            <v>2247</v>
          </cell>
          <cell r="L560">
            <v>2924</v>
          </cell>
          <cell r="M560">
            <v>3067</v>
          </cell>
          <cell r="N560">
            <v>-3889</v>
          </cell>
          <cell r="O560">
            <v>3274</v>
          </cell>
          <cell r="P560">
            <v>4416</v>
          </cell>
          <cell r="Q560">
            <v>4943</v>
          </cell>
          <cell r="R560">
            <v>6236</v>
          </cell>
          <cell r="S560">
            <v>7386</v>
          </cell>
          <cell r="T560">
            <v>9973</v>
          </cell>
          <cell r="U560">
            <v>6244</v>
          </cell>
          <cell r="V560">
            <v>9921</v>
          </cell>
          <cell r="W560">
            <v>12963</v>
          </cell>
          <cell r="X560">
            <v>13901</v>
          </cell>
          <cell r="Y560">
            <v>12072</v>
          </cell>
          <cell r="Z560">
            <v>12169</v>
          </cell>
          <cell r="AA560">
            <v>11771</v>
          </cell>
          <cell r="AB560">
            <v>13768</v>
          </cell>
          <cell r="AC560">
            <v>16740</v>
          </cell>
          <cell r="AD560">
            <v>16331</v>
          </cell>
          <cell r="AE560">
            <v>16522</v>
          </cell>
          <cell r="AF560">
            <v>14779</v>
          </cell>
          <cell r="AG560">
            <v>18130</v>
          </cell>
          <cell r="AH560">
            <v>24534.123341479419</v>
          </cell>
          <cell r="AI560">
            <v>27576.55075058221</v>
          </cell>
          <cell r="AJ560">
            <v>30076.482773108335</v>
          </cell>
          <cell r="AK560">
            <v>33981.247737453516</v>
          </cell>
          <cell r="AL560">
            <v>38659.452124863215</v>
          </cell>
          <cell r="AM560">
            <v>43246.13355692703</v>
          </cell>
          <cell r="AN560">
            <v>48238.387757170342</v>
          </cell>
          <cell r="AO560">
            <v>53808.827004077975</v>
          </cell>
          <cell r="AP560">
            <v>60003.836083854374</v>
          </cell>
        </row>
        <row r="561">
          <cell r="A561" t="str">
            <v>Other Items</v>
          </cell>
        </row>
        <row r="562">
          <cell r="B562" t="str">
            <v>Beta</v>
          </cell>
          <cell r="C562" t="str">
            <v>BETA_ANALYST</v>
          </cell>
          <cell r="F562">
            <v>1.2</v>
          </cell>
          <cell r="G562">
            <v>1.2</v>
          </cell>
          <cell r="H562">
            <v>1.2</v>
          </cell>
          <cell r="I562">
            <v>1.2</v>
          </cell>
          <cell r="J562">
            <v>1.2</v>
          </cell>
          <cell r="K562">
            <v>1.2</v>
          </cell>
          <cell r="L562">
            <v>1.2</v>
          </cell>
          <cell r="M562">
            <v>1.2</v>
          </cell>
          <cell r="N562">
            <v>1.2</v>
          </cell>
          <cell r="O562">
            <v>1.2</v>
          </cell>
          <cell r="P562">
            <v>1.2</v>
          </cell>
          <cell r="Q562">
            <v>1.2</v>
          </cell>
          <cell r="R562">
            <v>1.2</v>
          </cell>
          <cell r="S562">
            <v>1.2</v>
          </cell>
          <cell r="T562">
            <v>1.2</v>
          </cell>
          <cell r="U562">
            <v>1.2</v>
          </cell>
          <cell r="V562">
            <v>1.2</v>
          </cell>
          <cell r="W562">
            <v>1.2</v>
          </cell>
          <cell r="X562">
            <v>1.2</v>
          </cell>
          <cell r="Y562">
            <v>1.2</v>
          </cell>
          <cell r="Z562">
            <v>1.2</v>
          </cell>
          <cell r="AA562">
            <v>1.2</v>
          </cell>
          <cell r="AB562">
            <v>1.2</v>
          </cell>
          <cell r="AC562">
            <v>1.2</v>
          </cell>
          <cell r="AD562">
            <v>1.2</v>
          </cell>
          <cell r="AE562">
            <v>1.2</v>
          </cell>
          <cell r="AF562">
            <v>1.2</v>
          </cell>
          <cell r="AG562">
            <v>1.2</v>
          </cell>
          <cell r="AH562">
            <v>1.2</v>
          </cell>
          <cell r="AI562">
            <v>1.2</v>
          </cell>
          <cell r="AJ562">
            <v>1.2</v>
          </cell>
          <cell r="AK562">
            <v>1.2</v>
          </cell>
          <cell r="AL562">
            <v>1.2</v>
          </cell>
          <cell r="AM562">
            <v>1.2</v>
          </cell>
          <cell r="AN562">
            <v>1.2</v>
          </cell>
          <cell r="AO562">
            <v>1.2</v>
          </cell>
          <cell r="AP562">
            <v>1.2</v>
          </cell>
        </row>
        <row r="563">
          <cell r="B563" t="str">
            <v>Market equity risk premium</v>
          </cell>
          <cell r="C563" t="str">
            <v>MKT_EQ_RISK_PREM</v>
          </cell>
        </row>
        <row r="564">
          <cell r="B564" t="str">
            <v>Risk-free rate</v>
          </cell>
          <cell r="C564" t="str">
            <v>RISK_FR_RATE</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A565" t="str">
            <v>Security: Atlas Copco (B)</v>
          </cell>
        </row>
        <row r="566">
          <cell r="A566" t="str">
            <v>Reference Data</v>
          </cell>
        </row>
        <row r="567">
          <cell r="B567" t="str">
            <v>Ticker</v>
          </cell>
          <cell r="C567" t="str">
            <v>Ticker</v>
          </cell>
          <cell r="E567" t="str">
            <v>ATCOb.ST</v>
          </cell>
        </row>
        <row r="568">
          <cell r="B568" t="str">
            <v>Security Name</v>
          </cell>
          <cell r="C568" t="str">
            <v>Security Name</v>
          </cell>
          <cell r="E568" t="str">
            <v>Atlas Copco (B)</v>
          </cell>
        </row>
        <row r="569">
          <cell r="B569" t="str">
            <v>Interim Type</v>
          </cell>
          <cell r="C569" t="str">
            <v>Interim Type</v>
          </cell>
        </row>
        <row r="570">
          <cell r="B570" t="str">
            <v>Publishing Currency</v>
          </cell>
          <cell r="C570" t="str">
            <v>PUB_CURRENCY_ISO</v>
          </cell>
        </row>
        <row r="571">
          <cell r="B571" t="str">
            <v>Pricing Currency</v>
          </cell>
          <cell r="C571" t="str">
            <v>PRICE_CURRENCY_ISO</v>
          </cell>
          <cell r="E571" t="str">
            <v>SEK</v>
          </cell>
        </row>
        <row r="572">
          <cell r="B572" t="str">
            <v>Reporting Currency</v>
          </cell>
          <cell r="C572" t="str">
            <v>CURRENCY_ISO</v>
          </cell>
          <cell r="E572" t="str">
            <v>SEK</v>
          </cell>
        </row>
        <row r="573">
          <cell r="A573" t="str">
            <v>General Information</v>
          </cell>
        </row>
        <row r="574">
          <cell r="B574" t="str">
            <v>Current shares outstanding (mn)</v>
          </cell>
          <cell r="C574" t="str">
            <v>NUM_SH</v>
          </cell>
          <cell r="E574">
            <v>389.57362899999998</v>
          </cell>
        </row>
        <row r="575">
          <cell r="A575" t="str">
            <v>Income Statement</v>
          </cell>
        </row>
        <row r="576">
          <cell r="B576" t="str">
            <v>Weighted average shares outstanding, basic</v>
          </cell>
          <cell r="C576" t="str">
            <v>SH</v>
          </cell>
        </row>
      </sheetData>
      <sheetData sheetId="7"/>
      <sheetData sheetId="8">
        <row r="3">
          <cell r="A3" t="str">
            <v>SEKmn (Dec Y/E)</v>
          </cell>
        </row>
      </sheetData>
      <sheetData sheetId="9">
        <row r="3">
          <cell r="C3" t="str">
            <v>1Q 1990</v>
          </cell>
        </row>
      </sheetData>
      <sheetData sheetId="10"/>
      <sheetData sheetId="11">
        <row r="7">
          <cell r="J7">
            <v>14.842255038996804</v>
          </cell>
        </row>
      </sheetData>
      <sheetData sheetId="12">
        <row r="28">
          <cell r="C28">
            <v>10075.099522335046</v>
          </cell>
        </row>
      </sheetData>
      <sheetData sheetId="13"/>
      <sheetData sheetId="14">
        <row r="11">
          <cell r="AW11">
            <v>13.5</v>
          </cell>
        </row>
      </sheetData>
      <sheetData sheetId="15">
        <row r="4">
          <cell r="AW4">
            <v>78294.734501039289</v>
          </cell>
        </row>
      </sheetData>
      <sheetData sheetId="16"/>
      <sheetData sheetId="17">
        <row r="34">
          <cell r="V34">
            <v>0.14000000000000001</v>
          </cell>
        </row>
      </sheetData>
      <sheetData sheetId="18">
        <row r="8">
          <cell r="J8">
            <v>2.3241923671576178E-2</v>
          </cell>
        </row>
      </sheetData>
      <sheetData sheetId="19"/>
      <sheetData sheetId="20"/>
      <sheetData sheetId="21"/>
      <sheetData sheetId="22">
        <row r="4">
          <cell r="E4">
            <v>1990</v>
          </cell>
        </row>
      </sheetData>
      <sheetData sheetId="23">
        <row r="4">
          <cell r="H4" t="str">
            <v>4Q 1990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9">
          <cell r="B9" t="str">
            <v>Compressor Equip</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sheetData sheetId="75"/>
      <sheetData sheetId="7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ES.L_Live_Sheet"/>
      <sheetName val="BAES.L_Validation_Sheet"/>
      <sheetName val="BAES.L_Annotation_Sheet"/>
      <sheetName val="BAES.L_Exchange_Sheet"/>
      <sheetName val="Sheet5"/>
      <sheetName val="Sheet4"/>
      <sheetName val="MigrationOutput_QP_BAES.L"/>
      <sheetName val="QP_BAES.L_migrated"/>
      <sheetName val="Financials"/>
      <sheetName val="Use of cash"/>
      <sheetName val="Interims"/>
      <sheetName val="Cyber &amp; Intelligence"/>
      <sheetName val="Electronic Systems"/>
      <sheetName val="Platforms &amp; Services (US)"/>
      <sheetName val="Platforms &amp; services (UK)"/>
      <sheetName val="Platforms &amp; Services (Intl)"/>
      <sheetName val="Salam pricing"/>
      <sheetName val="Buyback"/>
      <sheetName val="Old Model ---&gt;"/>
      <sheetName val="Data"/>
      <sheetName val="CROCI"/>
      <sheetName val="Val"/>
      <sheetName val="FinancialsDP"/>
      <sheetName val="_QP_BAES.L"/>
      <sheetName val="InterimsDP"/>
      <sheetName val="ElectronicsDP"/>
      <sheetName val="Cyber &amp; IntelDP"/>
      <sheetName val="P&amp;S USDP"/>
      <sheetName val="P&amp;S UKDP"/>
      <sheetName val="P&amp;S Int'lDP"/>
      <sheetName val="R4"/>
      <sheetName val="Structure"/>
      <sheetName val="DPS cover"/>
      <sheetName val="M.East sales"/>
      <sheetName val="Potential exports Sep 2010"/>
      <sheetName val="Exports since 2007"/>
      <sheetName val="R1"/>
      <sheetName val="R1b"/>
      <sheetName val="DCF-old"/>
      <sheetName val="SOTP-old"/>
      <sheetName val="Finmec potential exports"/>
      <sheetName val="M&amp;A flex"/>
      <sheetName val="Detica"/>
      <sheetName val="Top 10"/>
      <sheetName val="Ch1"/>
      <sheetName val="Ch2"/>
      <sheetName val="R5"/>
      <sheetName val="P1"/>
      <sheetName val="P2"/>
      <sheetName val="P3"/>
      <sheetName val="P4"/>
      <sheetName val="P5"/>
      <sheetName val="P6-MATV"/>
      <sheetName val="P7"/>
      <sheetName val="AH2"/>
      <sheetName val="AH3"/>
      <sheetName val="AH1"/>
      <sheetName val="Z2_GS"/>
      <sheetName val="Z3 (GS)"/>
      <sheetName val="Z2 (pres)"/>
      <sheetName val="CSS - old"/>
      <sheetName val="Com Aero -old"/>
      <sheetName val="L-3 txn"/>
      <sheetName val="Sheet1"/>
      <sheetName val="Sheet2"/>
      <sheetName val="Sheet3"/>
    </sheetNames>
    <sheetDataSet>
      <sheetData sheetId="0">
        <row r="1">
          <cell r="A1" t="str">
            <v>Issuer: BAE Systems</v>
          </cell>
          <cell r="C1">
            <v>961894861</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t="str">
            <v>2005 H1</v>
          </cell>
          <cell r="V1" t="str">
            <v>2005 H2</v>
          </cell>
          <cell r="W1">
            <v>2005</v>
          </cell>
          <cell r="X1" t="str">
            <v>2006 H1</v>
          </cell>
          <cell r="Y1" t="str">
            <v>2006 H2</v>
          </cell>
          <cell r="Z1">
            <v>2006</v>
          </cell>
          <cell r="AA1" t="str">
            <v>2007 H1</v>
          </cell>
          <cell r="AB1" t="str">
            <v>2007 H2</v>
          </cell>
          <cell r="AC1">
            <v>2007</v>
          </cell>
          <cell r="AD1" t="str">
            <v>2008 H1</v>
          </cell>
          <cell r="AE1" t="str">
            <v>2008 H2</v>
          </cell>
          <cell r="AF1">
            <v>2008</v>
          </cell>
          <cell r="AG1" t="str">
            <v>2009 H1</v>
          </cell>
          <cell r="AH1" t="str">
            <v>2009 H2</v>
          </cell>
          <cell r="AI1">
            <v>2009</v>
          </cell>
          <cell r="AJ1" t="str">
            <v>2010 H1</v>
          </cell>
          <cell r="AK1" t="str">
            <v>2010 H2</v>
          </cell>
          <cell r="AL1">
            <v>2010</v>
          </cell>
          <cell r="AM1" t="str">
            <v>2011 H1</v>
          </cell>
          <cell r="AN1" t="str">
            <v>2011 H2</v>
          </cell>
          <cell r="AO1">
            <v>2011</v>
          </cell>
          <cell r="AP1">
            <v>2012</v>
          </cell>
          <cell r="AQ1">
            <v>2013</v>
          </cell>
          <cell r="AR1">
            <v>2014</v>
          </cell>
          <cell r="AS1">
            <v>2015</v>
          </cell>
          <cell r="AT1">
            <v>2016</v>
          </cell>
          <cell r="AU1">
            <v>2017</v>
          </cell>
          <cell r="AV1">
            <v>2018</v>
          </cell>
          <cell r="AW1">
            <v>2019</v>
          </cell>
          <cell r="AX1">
            <v>2020</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Estimate</v>
          </cell>
          <cell r="AQ2" t="str">
            <v>Estimate</v>
          </cell>
          <cell r="AR2" t="str">
            <v>Estimate</v>
          </cell>
          <cell r="AS2" t="str">
            <v>Estimate</v>
          </cell>
        </row>
        <row r="3">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38533</v>
          </cell>
          <cell r="V3">
            <v>38717</v>
          </cell>
          <cell r="W3">
            <v>38717</v>
          </cell>
          <cell r="X3">
            <v>38898</v>
          </cell>
          <cell r="Y3">
            <v>39082</v>
          </cell>
          <cell r="Z3">
            <v>39082</v>
          </cell>
          <cell r="AA3">
            <v>39263</v>
          </cell>
          <cell r="AB3">
            <v>39447</v>
          </cell>
          <cell r="AC3">
            <v>39447</v>
          </cell>
          <cell r="AD3">
            <v>39629</v>
          </cell>
          <cell r="AE3">
            <v>39813</v>
          </cell>
          <cell r="AF3">
            <v>39813</v>
          </cell>
          <cell r="AG3">
            <v>39994</v>
          </cell>
          <cell r="AH3">
            <v>40178</v>
          </cell>
          <cell r="AI3">
            <v>40178</v>
          </cell>
          <cell r="AJ3">
            <v>40359</v>
          </cell>
          <cell r="AK3">
            <v>40543</v>
          </cell>
          <cell r="AL3">
            <v>40543</v>
          </cell>
          <cell r="AM3">
            <v>40724</v>
          </cell>
          <cell r="AN3">
            <v>40908</v>
          </cell>
          <cell r="AO3">
            <v>40908</v>
          </cell>
          <cell r="AP3">
            <v>41274</v>
          </cell>
          <cell r="AQ3">
            <v>41639</v>
          </cell>
          <cell r="AR3">
            <v>42004</v>
          </cell>
          <cell r="AS3">
            <v>42369</v>
          </cell>
        </row>
        <row r="4">
          <cell r="A4" t="str">
            <v>Issuer: BAE Systems</v>
          </cell>
          <cell r="B4" t="str">
            <v>161ML</v>
          </cell>
        </row>
        <row r="5">
          <cell r="A5" t="str">
            <v>Reference Data</v>
          </cell>
        </row>
        <row r="6">
          <cell r="B6" t="str">
            <v>Issuer Name</v>
          </cell>
          <cell r="C6" t="str">
            <v>Issuer Name</v>
          </cell>
          <cell r="E6" t="str">
            <v>BAE Systems</v>
          </cell>
        </row>
        <row r="7">
          <cell r="B7" t="str">
            <v>Reporting Currency</v>
          </cell>
          <cell r="C7" t="str">
            <v>CURRENCY_ISO</v>
          </cell>
          <cell r="E7" t="str">
            <v>GBP</v>
          </cell>
        </row>
        <row r="8">
          <cell r="A8" t="str">
            <v>Income Statement</v>
          </cell>
        </row>
        <row r="9">
          <cell r="B9" t="str">
            <v>Sales, net revenue</v>
          </cell>
          <cell r="C9" t="str">
            <v>SALES</v>
          </cell>
          <cell r="D9" t="str">
            <v>GBP</v>
          </cell>
          <cell r="F9">
            <v>10540</v>
          </cell>
          <cell r="G9">
            <v>10562</v>
          </cell>
          <cell r="H9">
            <v>9977</v>
          </cell>
          <cell r="I9">
            <v>10747</v>
          </cell>
          <cell r="J9">
            <v>7153</v>
          </cell>
          <cell r="K9">
            <v>6627</v>
          </cell>
          <cell r="L9">
            <v>7441</v>
          </cell>
          <cell r="M9">
            <v>8546</v>
          </cell>
          <cell r="N9">
            <v>8611</v>
          </cell>
          <cell r="O9">
            <v>8929</v>
          </cell>
          <cell r="P9">
            <v>12185</v>
          </cell>
          <cell r="Q9">
            <v>13138</v>
          </cell>
          <cell r="R9">
            <v>12145</v>
          </cell>
          <cell r="S9">
            <v>12572</v>
          </cell>
          <cell r="T9">
            <v>13479</v>
          </cell>
          <cell r="W9">
            <v>15411</v>
          </cell>
          <cell r="Z9">
            <v>13765</v>
          </cell>
          <cell r="AC9">
            <v>15710</v>
          </cell>
          <cell r="AF9">
            <v>18543</v>
          </cell>
          <cell r="AI9">
            <v>22415</v>
          </cell>
          <cell r="AL9">
            <v>22392</v>
          </cell>
          <cell r="AO9">
            <v>19154</v>
          </cell>
        </row>
        <row r="10">
          <cell r="B10" t="str">
            <v>Cost of goods sold, COGS</v>
          </cell>
          <cell r="C10" t="str">
            <v>COST_GD_SD</v>
          </cell>
          <cell r="D10" t="str">
            <v>GBP</v>
          </cell>
        </row>
        <row r="11">
          <cell r="B11" t="str">
            <v>SG&amp;A, selling, general and admin. expense</v>
          </cell>
          <cell r="C11" t="str">
            <v>SEL_GL_AD</v>
          </cell>
          <cell r="D11" t="str">
            <v>GBP</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C11">
            <v>0</v>
          </cell>
        </row>
        <row r="12">
          <cell r="B12" t="str">
            <v>Total operating expense</v>
          </cell>
          <cell r="C12" t="str">
            <v>OP_COST</v>
          </cell>
          <cell r="D12" t="str">
            <v>GBP</v>
          </cell>
          <cell r="F12">
            <v>-9722</v>
          </cell>
          <cell r="G12">
            <v>-10044</v>
          </cell>
          <cell r="H12">
            <v>-9721</v>
          </cell>
          <cell r="I12">
            <v>-10178</v>
          </cell>
          <cell r="J12">
            <v>-6698</v>
          </cell>
          <cell r="K12">
            <v>-6114</v>
          </cell>
          <cell r="L12">
            <v>-6822</v>
          </cell>
          <cell r="M12">
            <v>-7827</v>
          </cell>
          <cell r="N12">
            <v>-7835</v>
          </cell>
          <cell r="O12">
            <v>-7955</v>
          </cell>
          <cell r="P12">
            <v>-10926</v>
          </cell>
          <cell r="Q12">
            <v>-11639</v>
          </cell>
          <cell r="R12">
            <v>-10931</v>
          </cell>
          <cell r="S12">
            <v>-11370</v>
          </cell>
          <cell r="T12">
            <v>-12264</v>
          </cell>
          <cell r="U12">
            <v>0</v>
          </cell>
          <cell r="V12">
            <v>0</v>
          </cell>
          <cell r="W12">
            <v>-14036</v>
          </cell>
          <cell r="X12">
            <v>0</v>
          </cell>
          <cell r="Y12">
            <v>0</v>
          </cell>
          <cell r="Z12">
            <v>-12646</v>
          </cell>
          <cell r="AC12">
            <v>-14117</v>
          </cell>
          <cell r="AF12">
            <v>-16730</v>
          </cell>
          <cell r="AI12">
            <v>-20319</v>
          </cell>
          <cell r="AL12">
            <v>-19965</v>
          </cell>
          <cell r="AO12">
            <v>-16883</v>
          </cell>
        </row>
        <row r="13">
          <cell r="B13" t="str">
            <v>R&amp;D expense</v>
          </cell>
          <cell r="C13" t="str">
            <v>RD_EXP</v>
          </cell>
          <cell r="D13" t="str">
            <v>GBP</v>
          </cell>
        </row>
        <row r="14">
          <cell r="B14" t="str">
            <v>Other operating income/(expense) (incl. leases)</v>
          </cell>
          <cell r="C14" t="str">
            <v>OTH_OP_INC_EXP</v>
          </cell>
          <cell r="D14" t="str">
            <v>GBP</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247</v>
          </cell>
          <cell r="X14">
            <v>0</v>
          </cell>
          <cell r="Y14">
            <v>0</v>
          </cell>
          <cell r="Z14">
            <v>371</v>
          </cell>
          <cell r="AC14">
            <v>209</v>
          </cell>
          <cell r="AF14">
            <v>415</v>
          </cell>
          <cell r="AI14">
            <v>465</v>
          </cell>
          <cell r="AL14">
            <v>169</v>
          </cell>
          <cell r="AO14">
            <v>157</v>
          </cell>
        </row>
        <row r="15">
          <cell r="B15" t="str">
            <v>Total operating expense (incl. D&amp;A)</v>
          </cell>
          <cell r="C15" t="str">
            <v>TOT_OPS_EXP_DDA</v>
          </cell>
          <cell r="D15" t="str">
            <v>GBP</v>
          </cell>
          <cell r="F15">
            <v>-10002</v>
          </cell>
          <cell r="G15">
            <v>-10350</v>
          </cell>
          <cell r="H15">
            <v>-10052</v>
          </cell>
          <cell r="I15">
            <v>-10528</v>
          </cell>
          <cell r="J15">
            <v>-6888</v>
          </cell>
          <cell r="K15">
            <v>-6273</v>
          </cell>
          <cell r="L15">
            <v>-6986</v>
          </cell>
          <cell r="M15">
            <v>-7988</v>
          </cell>
          <cell r="N15">
            <v>-7973</v>
          </cell>
          <cell r="O15">
            <v>-8166</v>
          </cell>
          <cell r="P15">
            <v>-11235</v>
          </cell>
          <cell r="Q15">
            <v>-11878</v>
          </cell>
          <cell r="R15">
            <v>-11143</v>
          </cell>
          <cell r="S15">
            <v>-11592</v>
          </cell>
          <cell r="T15">
            <v>-12466</v>
          </cell>
          <cell r="W15">
            <v>-14185</v>
          </cell>
          <cell r="Z15">
            <v>-12558</v>
          </cell>
          <cell r="AC15">
            <v>-14221</v>
          </cell>
          <cell r="AF15">
            <v>-16646</v>
          </cell>
          <cell r="AI15">
            <v>-20195</v>
          </cell>
          <cell r="AL15">
            <v>-20178</v>
          </cell>
          <cell r="AO15">
            <v>-17129</v>
          </cell>
        </row>
        <row r="16">
          <cell r="B16" t="str">
            <v>Total operating expense (excl. D&amp;A)</v>
          </cell>
          <cell r="C16" t="str">
            <v>TOT_OPS_EXP</v>
          </cell>
          <cell r="D16" t="str">
            <v>GBP</v>
          </cell>
          <cell r="F16">
            <v>-9722</v>
          </cell>
          <cell r="G16">
            <v>-10044</v>
          </cell>
          <cell r="H16">
            <v>-9721</v>
          </cell>
          <cell r="I16">
            <v>-10178</v>
          </cell>
          <cell r="J16">
            <v>-6698</v>
          </cell>
          <cell r="K16">
            <v>-6114</v>
          </cell>
          <cell r="L16">
            <v>-6822</v>
          </cell>
          <cell r="M16">
            <v>-7827</v>
          </cell>
          <cell r="N16">
            <v>-7835</v>
          </cell>
          <cell r="O16">
            <v>-7955</v>
          </cell>
          <cell r="P16">
            <v>-10926</v>
          </cell>
          <cell r="Q16">
            <v>-11639</v>
          </cell>
          <cell r="R16">
            <v>-10931</v>
          </cell>
          <cell r="S16">
            <v>-11370</v>
          </cell>
          <cell r="T16">
            <v>-12264</v>
          </cell>
          <cell r="W16">
            <v>-13789</v>
          </cell>
          <cell r="Z16">
            <v>-12275</v>
          </cell>
          <cell r="AC16">
            <v>-13908</v>
          </cell>
          <cell r="AF16">
            <v>-16315</v>
          </cell>
          <cell r="AI16">
            <v>-19854</v>
          </cell>
          <cell r="AL16">
            <v>-19796</v>
          </cell>
          <cell r="AO16">
            <v>-16726</v>
          </cell>
        </row>
        <row r="17">
          <cell r="B17" t="str">
            <v>EBITDA</v>
          </cell>
          <cell r="C17" t="str">
            <v>EBITDA_CALC</v>
          </cell>
          <cell r="D17" t="str">
            <v>GBP</v>
          </cell>
          <cell r="F17">
            <v>818</v>
          </cell>
          <cell r="G17">
            <v>518</v>
          </cell>
          <cell r="H17">
            <v>256</v>
          </cell>
          <cell r="I17">
            <v>569</v>
          </cell>
          <cell r="J17">
            <v>455</v>
          </cell>
          <cell r="K17">
            <v>513</v>
          </cell>
          <cell r="L17">
            <v>619</v>
          </cell>
          <cell r="M17">
            <v>719</v>
          </cell>
          <cell r="N17">
            <v>776</v>
          </cell>
          <cell r="O17">
            <v>974</v>
          </cell>
          <cell r="P17">
            <v>1259</v>
          </cell>
          <cell r="Q17">
            <v>1499</v>
          </cell>
          <cell r="R17">
            <v>1214</v>
          </cell>
          <cell r="S17">
            <v>1202</v>
          </cell>
          <cell r="T17">
            <v>1215</v>
          </cell>
          <cell r="W17">
            <v>1622</v>
          </cell>
          <cell r="Z17">
            <v>1490</v>
          </cell>
          <cell r="AC17">
            <v>1802</v>
          </cell>
          <cell r="AF17">
            <v>2228</v>
          </cell>
          <cell r="AI17">
            <v>2561</v>
          </cell>
          <cell r="AL17">
            <v>2596</v>
          </cell>
          <cell r="AO17">
            <v>2428</v>
          </cell>
        </row>
        <row r="18">
          <cell r="B18" t="str">
            <v>Depreciation</v>
          </cell>
          <cell r="C18" t="str">
            <v>DEPREC</v>
          </cell>
          <cell r="D18" t="str">
            <v>GBP</v>
          </cell>
          <cell r="F18">
            <v>-280</v>
          </cell>
          <cell r="G18">
            <v>-306</v>
          </cell>
          <cell r="H18">
            <v>-331</v>
          </cell>
          <cell r="I18">
            <v>-350</v>
          </cell>
          <cell r="J18">
            <v>-190</v>
          </cell>
          <cell r="K18">
            <v>-159</v>
          </cell>
          <cell r="L18">
            <v>-164</v>
          </cell>
          <cell r="M18">
            <v>-161</v>
          </cell>
          <cell r="N18">
            <v>-138</v>
          </cell>
          <cell r="O18">
            <v>-211</v>
          </cell>
          <cell r="P18">
            <v>-309</v>
          </cell>
          <cell r="Q18">
            <v>-239</v>
          </cell>
          <cell r="R18">
            <v>-212</v>
          </cell>
          <cell r="S18">
            <v>-222</v>
          </cell>
          <cell r="T18">
            <v>-202</v>
          </cell>
          <cell r="U18">
            <v>0</v>
          </cell>
          <cell r="V18">
            <v>0</v>
          </cell>
          <cell r="W18">
            <v>-396</v>
          </cell>
          <cell r="X18">
            <v>0</v>
          </cell>
          <cell r="Y18">
            <v>0</v>
          </cell>
          <cell r="Z18">
            <v>-283</v>
          </cell>
          <cell r="AC18">
            <v>-313</v>
          </cell>
          <cell r="AF18">
            <v>-331</v>
          </cell>
          <cell r="AI18">
            <v>-341</v>
          </cell>
          <cell r="AL18">
            <v>-382</v>
          </cell>
          <cell r="AO18">
            <v>-403</v>
          </cell>
        </row>
        <row r="19">
          <cell r="B19" t="str">
            <v>Amortization</v>
          </cell>
          <cell r="C19" t="str">
            <v>GOODWILL_AMORT</v>
          </cell>
          <cell r="D19" t="str">
            <v>GBP</v>
          </cell>
          <cell r="F19">
            <v>0</v>
          </cell>
          <cell r="G19">
            <v>0</v>
          </cell>
          <cell r="H19">
            <v>0</v>
          </cell>
          <cell r="I19">
            <v>0</v>
          </cell>
          <cell r="J19">
            <v>0</v>
          </cell>
          <cell r="K19">
            <v>0</v>
          </cell>
          <cell r="L19">
            <v>0</v>
          </cell>
          <cell r="M19">
            <v>0</v>
          </cell>
          <cell r="U19">
            <v>0</v>
          </cell>
          <cell r="V19">
            <v>0</v>
          </cell>
          <cell r="X19">
            <v>0</v>
          </cell>
          <cell r="Y19">
            <v>0</v>
          </cell>
        </row>
        <row r="20">
          <cell r="B20" t="str">
            <v>EBIT, operating profit</v>
          </cell>
          <cell r="C20" t="str">
            <v>EBIT</v>
          </cell>
          <cell r="D20" t="str">
            <v>GBP</v>
          </cell>
          <cell r="F20">
            <v>538</v>
          </cell>
          <cell r="G20">
            <v>212</v>
          </cell>
          <cell r="H20">
            <v>-75</v>
          </cell>
          <cell r="I20">
            <v>219</v>
          </cell>
          <cell r="J20">
            <v>265</v>
          </cell>
          <cell r="K20">
            <v>354</v>
          </cell>
          <cell r="L20">
            <v>455</v>
          </cell>
          <cell r="M20">
            <v>558</v>
          </cell>
          <cell r="N20">
            <v>638</v>
          </cell>
          <cell r="O20">
            <v>763</v>
          </cell>
          <cell r="P20">
            <v>950</v>
          </cell>
          <cell r="Q20">
            <v>1260</v>
          </cell>
          <cell r="R20">
            <v>1002</v>
          </cell>
          <cell r="S20">
            <v>980</v>
          </cell>
          <cell r="T20">
            <v>1013</v>
          </cell>
          <cell r="W20">
            <v>1226</v>
          </cell>
          <cell r="Z20">
            <v>1207</v>
          </cell>
          <cell r="AC20">
            <v>1489</v>
          </cell>
          <cell r="AF20">
            <v>1897</v>
          </cell>
          <cell r="AI20">
            <v>2220</v>
          </cell>
          <cell r="AL20">
            <v>2214</v>
          </cell>
          <cell r="AO20">
            <v>2025</v>
          </cell>
        </row>
        <row r="21">
          <cell r="B21" t="str">
            <v>Interest income</v>
          </cell>
          <cell r="C21" t="str">
            <v>INT_INC_IND</v>
          </cell>
          <cell r="D21" t="str">
            <v>GBP</v>
          </cell>
          <cell r="K21">
            <v>109</v>
          </cell>
          <cell r="L21">
            <v>122</v>
          </cell>
          <cell r="M21">
            <v>177</v>
          </cell>
          <cell r="N21">
            <v>201</v>
          </cell>
          <cell r="O21">
            <v>131</v>
          </cell>
          <cell r="P21">
            <v>172</v>
          </cell>
          <cell r="Q21">
            <v>43</v>
          </cell>
          <cell r="R21">
            <v>35</v>
          </cell>
          <cell r="S21">
            <v>25</v>
          </cell>
          <cell r="T21">
            <v>27</v>
          </cell>
          <cell r="W21">
            <v>112</v>
          </cell>
          <cell r="Z21">
            <v>164</v>
          </cell>
          <cell r="AC21">
            <v>202</v>
          </cell>
          <cell r="AF21">
            <v>189</v>
          </cell>
          <cell r="AI21">
            <v>72</v>
          </cell>
          <cell r="AL21">
            <v>45</v>
          </cell>
          <cell r="AO21">
            <v>41</v>
          </cell>
        </row>
        <row r="22">
          <cell r="B22" t="str">
            <v>Interest expense</v>
          </cell>
          <cell r="C22" t="str">
            <v>INT_EXP_IND</v>
          </cell>
          <cell r="D22" t="str">
            <v>GBP</v>
          </cell>
          <cell r="K22">
            <v>-133</v>
          </cell>
          <cell r="L22">
            <v>-121</v>
          </cell>
          <cell r="M22">
            <v>-131</v>
          </cell>
          <cell r="N22">
            <v>-131</v>
          </cell>
          <cell r="O22">
            <v>-104</v>
          </cell>
          <cell r="P22">
            <v>-263</v>
          </cell>
          <cell r="Q22">
            <v>-220</v>
          </cell>
          <cell r="R22">
            <v>-241</v>
          </cell>
          <cell r="S22">
            <v>-245</v>
          </cell>
          <cell r="T22">
            <v>-234</v>
          </cell>
          <cell r="W22">
            <v>-322</v>
          </cell>
          <cell r="Z22">
            <v>-321</v>
          </cell>
          <cell r="AC22">
            <v>-242</v>
          </cell>
          <cell r="AF22">
            <v>-291</v>
          </cell>
          <cell r="AI22">
            <v>-267</v>
          </cell>
          <cell r="AJ22">
            <v>-236</v>
          </cell>
          <cell r="AK22">
            <v>-240</v>
          </cell>
          <cell r="AL22">
            <v>-236</v>
          </cell>
          <cell r="AO22">
            <v>-240</v>
          </cell>
        </row>
        <row r="23">
          <cell r="B23" t="str">
            <v>Net interest income/(expense)</v>
          </cell>
          <cell r="C23" t="str">
            <v>NET_INT_EXP</v>
          </cell>
          <cell r="D23" t="str">
            <v>GBP</v>
          </cell>
          <cell r="F23">
            <v>-138</v>
          </cell>
          <cell r="G23">
            <v>-58</v>
          </cell>
          <cell r="H23">
            <v>-126</v>
          </cell>
          <cell r="I23">
            <v>-168</v>
          </cell>
          <cell r="J23">
            <v>-93</v>
          </cell>
          <cell r="K23">
            <v>-24</v>
          </cell>
          <cell r="L23">
            <v>1</v>
          </cell>
          <cell r="M23">
            <v>46</v>
          </cell>
          <cell r="N23">
            <v>70</v>
          </cell>
          <cell r="O23">
            <v>27</v>
          </cell>
          <cell r="P23">
            <v>-91</v>
          </cell>
          <cell r="Q23">
            <v>-177</v>
          </cell>
          <cell r="R23">
            <v>-206</v>
          </cell>
          <cell r="S23">
            <v>-220</v>
          </cell>
          <cell r="T23">
            <v>-207</v>
          </cell>
          <cell r="W23">
            <v>-210</v>
          </cell>
          <cell r="Z23">
            <v>-157</v>
          </cell>
          <cell r="AC23">
            <v>-40</v>
          </cell>
          <cell r="AF23">
            <v>-102</v>
          </cell>
          <cell r="AI23">
            <v>-195</v>
          </cell>
          <cell r="AL23">
            <v>-191</v>
          </cell>
          <cell r="AO23">
            <v>-199</v>
          </cell>
        </row>
        <row r="24">
          <cell r="B24" t="str">
            <v>Income/(loss) from unconsolidated subs &amp; associates</v>
          </cell>
          <cell r="C24" t="str">
            <v>ASSOCIATE</v>
          </cell>
          <cell r="D24" t="str">
            <v>GBP</v>
          </cell>
          <cell r="R24">
            <v>0</v>
          </cell>
          <cell r="S24">
            <v>0</v>
          </cell>
          <cell r="T24">
            <v>0</v>
          </cell>
          <cell r="U24">
            <v>0</v>
          </cell>
          <cell r="V24">
            <v>0</v>
          </cell>
          <cell r="W24">
            <v>0</v>
          </cell>
          <cell r="X24">
            <v>0</v>
          </cell>
          <cell r="Y24">
            <v>0</v>
          </cell>
          <cell r="Z24">
            <v>0</v>
          </cell>
          <cell r="AC24">
            <v>0</v>
          </cell>
        </row>
        <row r="25">
          <cell r="B25" t="str">
            <v>Profit/(loss) on disposals of assets, pre-tax</v>
          </cell>
          <cell r="C25" t="str">
            <v>PROFIT_ON_DISP</v>
          </cell>
          <cell r="D25" t="str">
            <v>GBP</v>
          </cell>
          <cell r="F25">
            <v>0</v>
          </cell>
          <cell r="G25">
            <v>0</v>
          </cell>
          <cell r="H25">
            <v>0</v>
          </cell>
          <cell r="I25">
            <v>0</v>
          </cell>
          <cell r="J25">
            <v>0</v>
          </cell>
          <cell r="K25">
            <v>0</v>
          </cell>
          <cell r="L25">
            <v>0</v>
          </cell>
          <cell r="M25">
            <v>0</v>
          </cell>
          <cell r="O25">
            <v>0</v>
          </cell>
          <cell r="P25">
            <v>0</v>
          </cell>
          <cell r="Q25">
            <v>0</v>
          </cell>
          <cell r="R25">
            <v>0</v>
          </cell>
          <cell r="S25">
            <v>0</v>
          </cell>
          <cell r="T25">
            <v>0</v>
          </cell>
          <cell r="U25">
            <v>0</v>
          </cell>
          <cell r="V25">
            <v>0</v>
          </cell>
          <cell r="W25">
            <v>0</v>
          </cell>
          <cell r="X25">
            <v>0</v>
          </cell>
          <cell r="Y25">
            <v>0</v>
          </cell>
          <cell r="Z25">
            <v>0</v>
          </cell>
          <cell r="AC25">
            <v>0</v>
          </cell>
        </row>
        <row r="26">
          <cell r="B26" t="str">
            <v>Other non-ops income/(expense)</v>
          </cell>
          <cell r="C26" t="str">
            <v>OTH_COST_INC</v>
          </cell>
          <cell r="D26" t="str">
            <v>GBP</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C26">
            <v>0</v>
          </cell>
        </row>
        <row r="27">
          <cell r="B27" t="str">
            <v>Pre-tax profit</v>
          </cell>
          <cell r="C27" t="str">
            <v>PT_PROF</v>
          </cell>
          <cell r="D27" t="str">
            <v>GBP</v>
          </cell>
          <cell r="F27">
            <v>400</v>
          </cell>
          <cell r="G27">
            <v>154</v>
          </cell>
          <cell r="H27">
            <v>-201</v>
          </cell>
          <cell r="I27">
            <v>51</v>
          </cell>
          <cell r="J27">
            <v>172</v>
          </cell>
          <cell r="K27">
            <v>330</v>
          </cell>
          <cell r="L27">
            <v>456</v>
          </cell>
          <cell r="M27">
            <v>604</v>
          </cell>
          <cell r="N27">
            <v>708</v>
          </cell>
          <cell r="O27">
            <v>790</v>
          </cell>
          <cell r="P27">
            <v>859</v>
          </cell>
          <cell r="Q27">
            <v>1083</v>
          </cell>
          <cell r="R27">
            <v>796</v>
          </cell>
          <cell r="S27">
            <v>760</v>
          </cell>
          <cell r="T27">
            <v>806</v>
          </cell>
          <cell r="W27">
            <v>1016</v>
          </cell>
          <cell r="Z27">
            <v>1050</v>
          </cell>
          <cell r="AC27">
            <v>1451</v>
          </cell>
          <cell r="AF27">
            <v>1795</v>
          </cell>
          <cell r="AI27">
            <v>2025</v>
          </cell>
          <cell r="AL27">
            <v>2023</v>
          </cell>
          <cell r="AO27">
            <v>1826</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row>
        <row r="31">
          <cell r="B31" t="str">
            <v>Lease payments</v>
          </cell>
          <cell r="C31" t="str">
            <v>LEASE_PAY</v>
          </cell>
          <cell r="D31" t="str">
            <v>GBP</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C31">
            <v>0</v>
          </cell>
        </row>
        <row r="32">
          <cell r="B32" t="str">
            <v>Lease payments (deemed interest portion)</v>
          </cell>
          <cell r="C32" t="str">
            <v>LEASE_DEEM_INT</v>
          </cell>
          <cell r="D32" t="str">
            <v>GBP</v>
          </cell>
          <cell r="F32">
            <v>0.33333299999999999</v>
          </cell>
          <cell r="G32">
            <v>0.33333299999999999</v>
          </cell>
          <cell r="H32">
            <v>0.33333299999999999</v>
          </cell>
          <cell r="I32">
            <v>0.33333299999999999</v>
          </cell>
          <cell r="J32">
            <v>0.33333299999999999</v>
          </cell>
          <cell r="K32">
            <v>0.33333299999999999</v>
          </cell>
          <cell r="L32">
            <v>0.33333299999999999</v>
          </cell>
          <cell r="M32">
            <v>0.33333299999999999</v>
          </cell>
          <cell r="N32">
            <v>0.33333299999999999</v>
          </cell>
          <cell r="O32">
            <v>0.33333299999999999</v>
          </cell>
          <cell r="P32">
            <v>0.33333299999999999</v>
          </cell>
          <cell r="Q32">
            <v>0.33333299999999999</v>
          </cell>
          <cell r="R32">
            <v>0.33333299999999999</v>
          </cell>
          <cell r="S32">
            <v>0.33333299999999999</v>
          </cell>
          <cell r="T32">
            <v>0.33333299999999999</v>
          </cell>
          <cell r="U32">
            <v>0.33333299999999999</v>
          </cell>
          <cell r="V32">
            <v>0.33333299999999999</v>
          </cell>
          <cell r="W32">
            <v>0.33333299999999999</v>
          </cell>
          <cell r="X32">
            <v>0.33333299999999999</v>
          </cell>
          <cell r="Y32">
            <v>0.33333299999999999</v>
          </cell>
          <cell r="Z32">
            <v>0.33333299999999999</v>
          </cell>
          <cell r="AC32">
            <v>0.33333299999999999</v>
          </cell>
        </row>
        <row r="33">
          <cell r="B33" t="str">
            <v>Lease payments (deemed depreciation portion)</v>
          </cell>
          <cell r="C33" t="str">
            <v>LEASE_DEEM_DEPR</v>
          </cell>
          <cell r="D33" t="str">
            <v>GBP</v>
          </cell>
          <cell r="F33">
            <v>0.66666700000000001</v>
          </cell>
          <cell r="G33">
            <v>0.66666700000000001</v>
          </cell>
          <cell r="H33">
            <v>0.66666700000000001</v>
          </cell>
          <cell r="I33">
            <v>0.66666700000000001</v>
          </cell>
          <cell r="J33">
            <v>0.66666700000000001</v>
          </cell>
          <cell r="K33">
            <v>0.66666700000000001</v>
          </cell>
          <cell r="L33">
            <v>0.66666700000000001</v>
          </cell>
          <cell r="M33">
            <v>0.66666700000000001</v>
          </cell>
          <cell r="N33">
            <v>0.66666700000000001</v>
          </cell>
          <cell r="O33">
            <v>0.66666700000000001</v>
          </cell>
          <cell r="P33">
            <v>0.66666700000000001</v>
          </cell>
          <cell r="Q33">
            <v>0.66666700000000001</v>
          </cell>
          <cell r="R33">
            <v>0.66666700000000001</v>
          </cell>
          <cell r="S33">
            <v>0.66666700000000001</v>
          </cell>
          <cell r="T33">
            <v>0.66666700000000001</v>
          </cell>
          <cell r="U33">
            <v>0.66666700000000001</v>
          </cell>
          <cell r="V33">
            <v>0.66666700000000001</v>
          </cell>
          <cell r="W33">
            <v>0.66666700000000001</v>
          </cell>
          <cell r="X33">
            <v>0.66666700000000001</v>
          </cell>
          <cell r="Y33">
            <v>0.66666700000000001</v>
          </cell>
          <cell r="Z33">
            <v>0.66666700000000001</v>
          </cell>
          <cell r="AC33">
            <v>0.66666700000000001</v>
          </cell>
        </row>
        <row r="34">
          <cell r="B34" t="str">
            <v>Gross interest charge</v>
          </cell>
          <cell r="C34" t="str">
            <v>NET_INT_CH</v>
          </cell>
          <cell r="D34" t="str">
            <v>GBP</v>
          </cell>
          <cell r="F34">
            <v>0</v>
          </cell>
          <cell r="G34">
            <v>0</v>
          </cell>
          <cell r="H34">
            <v>0</v>
          </cell>
          <cell r="I34">
            <v>0</v>
          </cell>
          <cell r="J34">
            <v>0</v>
          </cell>
          <cell r="K34">
            <v>-133</v>
          </cell>
          <cell r="L34">
            <v>-121</v>
          </cell>
          <cell r="M34">
            <v>-131</v>
          </cell>
          <cell r="N34">
            <v>-131</v>
          </cell>
          <cell r="O34">
            <v>-104</v>
          </cell>
          <cell r="P34">
            <v>-263</v>
          </cell>
          <cell r="Q34">
            <v>-220</v>
          </cell>
          <cell r="R34">
            <v>-241</v>
          </cell>
          <cell r="S34">
            <v>-245</v>
          </cell>
          <cell r="T34">
            <v>-234</v>
          </cell>
          <cell r="U34">
            <v>0</v>
          </cell>
          <cell r="V34">
            <v>0</v>
          </cell>
          <cell r="W34">
            <v>-322</v>
          </cell>
          <cell r="X34">
            <v>0</v>
          </cell>
          <cell r="Y34">
            <v>0</v>
          </cell>
          <cell r="Z34">
            <v>-321</v>
          </cell>
          <cell r="AC34">
            <v>-242</v>
          </cell>
          <cell r="AF34">
            <v>-291</v>
          </cell>
          <cell r="AI34">
            <v>-267</v>
          </cell>
          <cell r="AL34">
            <v>-236</v>
          </cell>
          <cell r="AO34">
            <v>-240</v>
          </cell>
        </row>
        <row r="35">
          <cell r="B35" t="str">
            <v>Income from associates (operating)</v>
          </cell>
          <cell r="C35" t="str">
            <v>ASSOCIATE_OP</v>
          </cell>
          <cell r="D35" t="str">
            <v>GBP</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C35">
            <v>0</v>
          </cell>
        </row>
        <row r="36">
          <cell r="B36" t="str">
            <v>Goodwill amortization</v>
          </cell>
          <cell r="C36" t="str">
            <v>GW_AMORT</v>
          </cell>
          <cell r="D36" t="str">
            <v>GBP</v>
          </cell>
          <cell r="F36">
            <v>0</v>
          </cell>
          <cell r="G36">
            <v>0</v>
          </cell>
          <cell r="H36">
            <v>0</v>
          </cell>
          <cell r="I36">
            <v>0</v>
          </cell>
          <cell r="J36">
            <v>0</v>
          </cell>
          <cell r="K36">
            <v>0</v>
          </cell>
          <cell r="L36">
            <v>0</v>
          </cell>
          <cell r="M36">
            <v>0</v>
          </cell>
          <cell r="N36">
            <v>-12</v>
          </cell>
          <cell r="O36">
            <v>-43</v>
          </cell>
          <cell r="P36">
            <v>-330</v>
          </cell>
          <cell r="Q36">
            <v>-397</v>
          </cell>
          <cell r="R36">
            <v>-403</v>
          </cell>
          <cell r="S36">
            <v>-403</v>
          </cell>
          <cell r="T36">
            <v>-383</v>
          </cell>
          <cell r="W36">
            <v>0</v>
          </cell>
          <cell r="Z36">
            <v>0</v>
          </cell>
          <cell r="AC36">
            <v>0</v>
          </cell>
          <cell r="AF36">
            <v>0</v>
          </cell>
          <cell r="AI36">
            <v>0</v>
          </cell>
          <cell r="AL36">
            <v>0</v>
          </cell>
          <cell r="AO36">
            <v>0</v>
          </cell>
        </row>
        <row r="37">
          <cell r="B37" t="str">
            <v>Other intangible amortization</v>
          </cell>
          <cell r="C37" t="str">
            <v>OTH_INT_AMORT</v>
          </cell>
          <cell r="D37" t="str">
            <v>GBP</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C37">
            <v>0</v>
          </cell>
        </row>
        <row r="38">
          <cell r="A38" t="str">
            <v>Balance Sheet</v>
          </cell>
        </row>
        <row r="39">
          <cell r="B39" t="str">
            <v>Cash &amp; cash equivalents</v>
          </cell>
          <cell r="C39" t="str">
            <v>CASH_EQ</v>
          </cell>
          <cell r="D39" t="str">
            <v>GBP</v>
          </cell>
          <cell r="F39">
            <v>1859</v>
          </cell>
          <cell r="G39">
            <v>1673</v>
          </cell>
          <cell r="H39">
            <v>1637</v>
          </cell>
          <cell r="I39">
            <v>1449</v>
          </cell>
          <cell r="J39">
            <v>1468</v>
          </cell>
          <cell r="K39">
            <v>1513</v>
          </cell>
          <cell r="L39">
            <v>1879</v>
          </cell>
          <cell r="M39">
            <v>2055</v>
          </cell>
          <cell r="N39">
            <v>1374</v>
          </cell>
          <cell r="O39">
            <v>2524</v>
          </cell>
          <cell r="P39">
            <v>2634</v>
          </cell>
          <cell r="Q39">
            <v>2574</v>
          </cell>
          <cell r="R39">
            <v>1706</v>
          </cell>
          <cell r="S39">
            <v>1663</v>
          </cell>
          <cell r="T39">
            <v>2407</v>
          </cell>
          <cell r="U39">
            <v>0</v>
          </cell>
          <cell r="V39">
            <v>0</v>
          </cell>
          <cell r="W39">
            <v>3215</v>
          </cell>
          <cell r="X39">
            <v>0</v>
          </cell>
          <cell r="Y39">
            <v>0</v>
          </cell>
          <cell r="Z39">
            <v>3603</v>
          </cell>
          <cell r="AC39">
            <v>3226</v>
          </cell>
          <cell r="AF39">
            <v>2624</v>
          </cell>
          <cell r="AI39">
            <v>3693</v>
          </cell>
          <cell r="AL39">
            <v>2813</v>
          </cell>
          <cell r="AO39">
            <v>2141</v>
          </cell>
        </row>
        <row r="40">
          <cell r="B40" t="str">
            <v>Accounts receivable</v>
          </cell>
          <cell r="C40" t="str">
            <v>DEBTORS</v>
          </cell>
          <cell r="D40" t="str">
            <v>GBP</v>
          </cell>
          <cell r="F40">
            <v>1320</v>
          </cell>
          <cell r="G40">
            <v>1671</v>
          </cell>
          <cell r="H40">
            <v>2109</v>
          </cell>
          <cell r="I40">
            <v>1962</v>
          </cell>
          <cell r="J40">
            <v>1676</v>
          </cell>
          <cell r="K40">
            <v>2148</v>
          </cell>
          <cell r="L40">
            <v>2000</v>
          </cell>
          <cell r="M40">
            <v>1903</v>
          </cell>
          <cell r="N40">
            <v>3712</v>
          </cell>
          <cell r="O40">
            <v>4159</v>
          </cell>
          <cell r="P40">
            <v>2783</v>
          </cell>
          <cell r="Q40">
            <v>3444</v>
          </cell>
          <cell r="R40">
            <v>3478</v>
          </cell>
          <cell r="S40">
            <v>3515</v>
          </cell>
          <cell r="T40">
            <v>2838</v>
          </cell>
          <cell r="W40">
            <v>1877</v>
          </cell>
          <cell r="Z40">
            <v>2253</v>
          </cell>
          <cell r="AC40">
            <v>2933</v>
          </cell>
          <cell r="AF40">
            <v>3831</v>
          </cell>
          <cell r="AI40">
            <v>3764</v>
          </cell>
          <cell r="AL40">
            <v>3559</v>
          </cell>
          <cell r="AO40">
            <v>3369</v>
          </cell>
        </row>
        <row r="41">
          <cell r="B41" t="str">
            <v>Inventory</v>
          </cell>
          <cell r="C41" t="str">
            <v>STOCKS</v>
          </cell>
          <cell r="D41" t="str">
            <v>GBP</v>
          </cell>
          <cell r="F41">
            <v>2830</v>
          </cell>
          <cell r="G41">
            <v>3151</v>
          </cell>
          <cell r="H41">
            <v>3448</v>
          </cell>
          <cell r="I41">
            <v>3892</v>
          </cell>
          <cell r="J41">
            <v>2560</v>
          </cell>
          <cell r="K41">
            <v>2171</v>
          </cell>
          <cell r="L41">
            <v>1743</v>
          </cell>
          <cell r="M41">
            <v>1703</v>
          </cell>
          <cell r="N41">
            <v>1442</v>
          </cell>
          <cell r="O41">
            <v>1559</v>
          </cell>
          <cell r="P41">
            <v>1536</v>
          </cell>
          <cell r="Q41">
            <v>1046</v>
          </cell>
          <cell r="R41">
            <v>768</v>
          </cell>
          <cell r="S41">
            <v>775</v>
          </cell>
          <cell r="T41">
            <v>895</v>
          </cell>
          <cell r="U41">
            <v>0</v>
          </cell>
          <cell r="V41">
            <v>0</v>
          </cell>
          <cell r="W41">
            <v>485</v>
          </cell>
          <cell r="X41">
            <v>0</v>
          </cell>
          <cell r="Y41">
            <v>0</v>
          </cell>
          <cell r="Z41">
            <v>395</v>
          </cell>
          <cell r="AC41">
            <v>701</v>
          </cell>
          <cell r="AF41">
            <v>926</v>
          </cell>
          <cell r="AI41">
            <v>887</v>
          </cell>
          <cell r="AL41">
            <v>644</v>
          </cell>
          <cell r="AO41">
            <v>716</v>
          </cell>
        </row>
        <row r="42">
          <cell r="B42" t="str">
            <v>Other current assets</v>
          </cell>
          <cell r="C42" t="str">
            <v>OTH_CUR_ASS</v>
          </cell>
          <cell r="D42" t="str">
            <v>GBP</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74</v>
          </cell>
          <cell r="X42">
            <v>0</v>
          </cell>
          <cell r="Y42">
            <v>0</v>
          </cell>
          <cell r="Z42">
            <v>53</v>
          </cell>
          <cell r="AC42">
            <v>136</v>
          </cell>
          <cell r="AF42">
            <v>688</v>
          </cell>
          <cell r="AI42">
            <v>444</v>
          </cell>
          <cell r="AL42">
            <v>600</v>
          </cell>
          <cell r="AO42">
            <v>137</v>
          </cell>
        </row>
        <row r="43">
          <cell r="B43" t="str">
            <v>Total current assets</v>
          </cell>
          <cell r="C43" t="str">
            <v>CUR_ASS</v>
          </cell>
          <cell r="D43" t="str">
            <v>GBP</v>
          </cell>
          <cell r="F43">
            <v>6009</v>
          </cell>
          <cell r="G43">
            <v>6495</v>
          </cell>
          <cell r="H43">
            <v>7194</v>
          </cell>
          <cell r="I43">
            <v>7303</v>
          </cell>
          <cell r="J43">
            <v>5704</v>
          </cell>
          <cell r="K43">
            <v>5832</v>
          </cell>
          <cell r="L43">
            <v>5622</v>
          </cell>
          <cell r="M43">
            <v>5661</v>
          </cell>
          <cell r="N43">
            <v>6528</v>
          </cell>
          <cell r="O43">
            <v>8242</v>
          </cell>
          <cell r="P43">
            <v>6953</v>
          </cell>
          <cell r="Q43">
            <v>7064</v>
          </cell>
          <cell r="R43">
            <v>5952</v>
          </cell>
          <cell r="S43">
            <v>5953</v>
          </cell>
          <cell r="T43">
            <v>6140</v>
          </cell>
          <cell r="U43">
            <v>0</v>
          </cell>
          <cell r="V43">
            <v>0</v>
          </cell>
          <cell r="W43">
            <v>5651</v>
          </cell>
          <cell r="X43">
            <v>0</v>
          </cell>
          <cell r="Y43">
            <v>0</v>
          </cell>
          <cell r="Z43">
            <v>6304</v>
          </cell>
          <cell r="AC43">
            <v>6996</v>
          </cell>
          <cell r="AF43">
            <v>8069</v>
          </cell>
          <cell r="AI43">
            <v>8788</v>
          </cell>
          <cell r="AL43">
            <v>7616</v>
          </cell>
          <cell r="AO43">
            <v>6363</v>
          </cell>
        </row>
        <row r="44">
          <cell r="B44" t="str">
            <v>Gross fixed assets, PP&amp;E</v>
          </cell>
          <cell r="C44" t="str">
            <v>GR_FIX_ASS</v>
          </cell>
          <cell r="D44" t="str">
            <v>GBP</v>
          </cell>
          <cell r="F44">
            <v>2894</v>
          </cell>
          <cell r="G44">
            <v>3243</v>
          </cell>
          <cell r="H44">
            <v>3257</v>
          </cell>
          <cell r="I44">
            <v>3106</v>
          </cell>
          <cell r="J44">
            <v>1717</v>
          </cell>
          <cell r="K44">
            <v>1533</v>
          </cell>
          <cell r="L44">
            <v>1446</v>
          </cell>
          <cell r="M44">
            <v>2416</v>
          </cell>
          <cell r="N44">
            <v>2747</v>
          </cell>
          <cell r="O44">
            <v>4168</v>
          </cell>
          <cell r="P44">
            <v>4888</v>
          </cell>
          <cell r="Q44">
            <v>4015</v>
          </cell>
          <cell r="R44">
            <v>3895</v>
          </cell>
          <cell r="S44">
            <v>3881</v>
          </cell>
          <cell r="T44">
            <v>3887</v>
          </cell>
          <cell r="W44">
            <v>3901</v>
          </cell>
          <cell r="Z44">
            <v>3997</v>
          </cell>
          <cell r="AC44">
            <v>4083</v>
          </cell>
          <cell r="AF44">
            <v>5327</v>
          </cell>
          <cell r="AI44">
            <v>5505</v>
          </cell>
          <cell r="AL44">
            <v>5859</v>
          </cell>
          <cell r="AO44">
            <v>5184</v>
          </cell>
        </row>
        <row r="45">
          <cell r="B45" t="str">
            <v>Accumulated depreciation</v>
          </cell>
          <cell r="C45" t="str">
            <v>ACC_DDA</v>
          </cell>
          <cell r="D45" t="str">
            <v>GBP</v>
          </cell>
          <cell r="F45">
            <v>0</v>
          </cell>
          <cell r="G45">
            <v>0</v>
          </cell>
          <cell r="H45">
            <v>0</v>
          </cell>
          <cell r="I45">
            <v>0</v>
          </cell>
          <cell r="J45">
            <v>0</v>
          </cell>
          <cell r="K45">
            <v>0</v>
          </cell>
          <cell r="L45">
            <v>0</v>
          </cell>
          <cell r="M45">
            <v>-992</v>
          </cell>
          <cell r="N45">
            <v>-1143</v>
          </cell>
          <cell r="O45">
            <v>-2001</v>
          </cell>
          <cell r="P45">
            <v>-2532</v>
          </cell>
          <cell r="Q45">
            <v>-2239</v>
          </cell>
          <cell r="R45">
            <v>-2186</v>
          </cell>
          <cell r="S45">
            <v>-2182</v>
          </cell>
          <cell r="T45">
            <v>-2136</v>
          </cell>
          <cell r="W45">
            <v>-2197</v>
          </cell>
          <cell r="Z45">
            <v>-2251</v>
          </cell>
          <cell r="AC45">
            <v>-2309</v>
          </cell>
          <cell r="AF45">
            <v>-2881</v>
          </cell>
          <cell r="AI45">
            <v>-2953</v>
          </cell>
          <cell r="AL45">
            <v>-3145</v>
          </cell>
          <cell r="AO45">
            <v>-2688</v>
          </cell>
        </row>
        <row r="46">
          <cell r="B46" t="str">
            <v>Net PP&amp;E</v>
          </cell>
          <cell r="C46" t="str">
            <v>NET_FIX_ASS</v>
          </cell>
          <cell r="D46" t="str">
            <v>GBP</v>
          </cell>
          <cell r="F46">
            <v>2894</v>
          </cell>
          <cell r="G46">
            <v>3243</v>
          </cell>
          <cell r="H46">
            <v>3257</v>
          </cell>
          <cell r="I46">
            <v>3106</v>
          </cell>
          <cell r="J46">
            <v>1717</v>
          </cell>
          <cell r="K46">
            <v>1533</v>
          </cell>
          <cell r="L46">
            <v>1446</v>
          </cell>
          <cell r="M46">
            <v>1424</v>
          </cell>
          <cell r="N46">
            <v>1604</v>
          </cell>
          <cell r="O46">
            <v>2167</v>
          </cell>
          <cell r="P46">
            <v>2356</v>
          </cell>
          <cell r="Q46">
            <v>1776</v>
          </cell>
          <cell r="R46">
            <v>1709</v>
          </cell>
          <cell r="S46">
            <v>1699</v>
          </cell>
          <cell r="T46">
            <v>1751</v>
          </cell>
          <cell r="U46">
            <v>0</v>
          </cell>
          <cell r="V46">
            <v>0</v>
          </cell>
          <cell r="W46">
            <v>1704</v>
          </cell>
          <cell r="X46">
            <v>0</v>
          </cell>
          <cell r="Y46">
            <v>0</v>
          </cell>
          <cell r="Z46">
            <v>1746</v>
          </cell>
          <cell r="AC46">
            <v>1774</v>
          </cell>
          <cell r="AF46">
            <v>2446</v>
          </cell>
          <cell r="AI46">
            <v>2552</v>
          </cell>
          <cell r="AL46">
            <v>2714</v>
          </cell>
          <cell r="AO46">
            <v>2496</v>
          </cell>
        </row>
        <row r="47">
          <cell r="B47" t="str">
            <v>Gross intangibles</v>
          </cell>
          <cell r="C47" t="str">
            <v>GR_INTANG</v>
          </cell>
          <cell r="D47" t="str">
            <v>GBP</v>
          </cell>
          <cell r="F47">
            <v>0</v>
          </cell>
          <cell r="G47">
            <v>0</v>
          </cell>
          <cell r="H47">
            <v>0</v>
          </cell>
          <cell r="I47">
            <v>0</v>
          </cell>
          <cell r="J47">
            <v>0</v>
          </cell>
          <cell r="K47">
            <v>0</v>
          </cell>
          <cell r="L47">
            <v>0</v>
          </cell>
          <cell r="M47">
            <v>0</v>
          </cell>
          <cell r="N47">
            <v>7660</v>
          </cell>
          <cell r="O47">
            <v>6420</v>
          </cell>
          <cell r="P47">
            <v>7741</v>
          </cell>
          <cell r="Q47">
            <v>7660</v>
          </cell>
          <cell r="R47">
            <v>7567</v>
          </cell>
          <cell r="S47">
            <v>7553</v>
          </cell>
          <cell r="T47">
            <v>8265</v>
          </cell>
          <cell r="U47">
            <v>0</v>
          </cell>
          <cell r="V47">
            <v>0</v>
          </cell>
          <cell r="W47">
            <v>10400</v>
          </cell>
          <cell r="X47">
            <v>0</v>
          </cell>
          <cell r="Y47">
            <v>0</v>
          </cell>
          <cell r="Z47">
            <v>9861</v>
          </cell>
          <cell r="AC47">
            <v>12112</v>
          </cell>
          <cell r="AF47">
            <v>15346</v>
          </cell>
          <cell r="AI47">
            <v>15439</v>
          </cell>
          <cell r="AL47">
            <v>15997</v>
          </cell>
          <cell r="AO47">
            <v>16601</v>
          </cell>
        </row>
        <row r="48">
          <cell r="B48" t="str">
            <v>Accumulated amortization</v>
          </cell>
          <cell r="C48" t="str">
            <v>ACC_AMORT</v>
          </cell>
          <cell r="D48" t="str">
            <v>GBP</v>
          </cell>
          <cell r="F48">
            <v>0</v>
          </cell>
          <cell r="G48">
            <v>0</v>
          </cell>
          <cell r="H48">
            <v>0</v>
          </cell>
          <cell r="I48">
            <v>0</v>
          </cell>
          <cell r="J48">
            <v>0</v>
          </cell>
          <cell r="K48">
            <v>0</v>
          </cell>
          <cell r="L48">
            <v>0</v>
          </cell>
          <cell r="M48">
            <v>0</v>
          </cell>
          <cell r="N48">
            <v>-7338</v>
          </cell>
          <cell r="O48">
            <v>-55</v>
          </cell>
          <cell r="P48">
            <v>-385</v>
          </cell>
          <cell r="Q48">
            <v>-751</v>
          </cell>
          <cell r="R48">
            <v>-1150</v>
          </cell>
          <cell r="S48">
            <v>-1553</v>
          </cell>
          <cell r="T48">
            <v>-2618</v>
          </cell>
          <cell r="W48">
            <v>-2183</v>
          </cell>
          <cell r="Z48">
            <v>-2266</v>
          </cell>
          <cell r="AC48">
            <v>-2553</v>
          </cell>
          <cell r="AF48">
            <v>-3040</v>
          </cell>
          <cell r="AI48">
            <v>-4186</v>
          </cell>
          <cell r="AL48">
            <v>-4781</v>
          </cell>
          <cell r="AO48">
            <v>-5136</v>
          </cell>
        </row>
        <row r="49">
          <cell r="B49" t="str">
            <v>Net intangible assets</v>
          </cell>
          <cell r="C49" t="str">
            <v>NET_INTANG</v>
          </cell>
          <cell r="D49" t="str">
            <v>GBP</v>
          </cell>
          <cell r="F49">
            <v>0</v>
          </cell>
          <cell r="G49">
            <v>0</v>
          </cell>
          <cell r="H49">
            <v>0</v>
          </cell>
          <cell r="I49">
            <v>0</v>
          </cell>
          <cell r="J49">
            <v>0</v>
          </cell>
          <cell r="K49">
            <v>0</v>
          </cell>
          <cell r="L49">
            <v>0</v>
          </cell>
          <cell r="M49">
            <v>0</v>
          </cell>
          <cell r="N49">
            <v>322</v>
          </cell>
          <cell r="O49">
            <v>6365</v>
          </cell>
          <cell r="P49">
            <v>7356</v>
          </cell>
          <cell r="Q49">
            <v>6909</v>
          </cell>
          <cell r="R49">
            <v>6417</v>
          </cell>
          <cell r="S49">
            <v>6000</v>
          </cell>
          <cell r="T49">
            <v>5647</v>
          </cell>
          <cell r="U49">
            <v>0</v>
          </cell>
          <cell r="V49">
            <v>0</v>
          </cell>
          <cell r="W49">
            <v>8217</v>
          </cell>
          <cell r="X49">
            <v>0</v>
          </cell>
          <cell r="Y49">
            <v>0</v>
          </cell>
          <cell r="Z49">
            <v>7595</v>
          </cell>
          <cell r="AC49">
            <v>9559</v>
          </cell>
          <cell r="AF49">
            <v>12306</v>
          </cell>
          <cell r="AI49">
            <v>11253</v>
          </cell>
          <cell r="AL49">
            <v>11216</v>
          </cell>
          <cell r="AO49">
            <v>11465</v>
          </cell>
        </row>
        <row r="50">
          <cell r="B50" t="str">
            <v>Equity method investments</v>
          </cell>
          <cell r="C50" t="str">
            <v>FIX_ASS_INV</v>
          </cell>
          <cell r="D50" t="str">
            <v>GBP</v>
          </cell>
          <cell r="F50">
            <v>388</v>
          </cell>
          <cell r="G50">
            <v>430</v>
          </cell>
          <cell r="H50">
            <v>431</v>
          </cell>
          <cell r="I50">
            <v>425</v>
          </cell>
          <cell r="J50">
            <v>451</v>
          </cell>
          <cell r="K50">
            <v>280</v>
          </cell>
          <cell r="L50">
            <v>657</v>
          </cell>
          <cell r="M50">
            <v>735</v>
          </cell>
          <cell r="N50">
            <v>596</v>
          </cell>
          <cell r="O50">
            <v>660</v>
          </cell>
          <cell r="P50">
            <v>728</v>
          </cell>
          <cell r="Q50">
            <v>1457</v>
          </cell>
          <cell r="R50">
            <v>1526</v>
          </cell>
          <cell r="S50">
            <v>1710</v>
          </cell>
          <cell r="T50">
            <v>1674</v>
          </cell>
          <cell r="U50">
            <v>0</v>
          </cell>
          <cell r="V50">
            <v>0</v>
          </cell>
          <cell r="W50">
            <v>1948</v>
          </cell>
          <cell r="X50">
            <v>0</v>
          </cell>
          <cell r="Y50">
            <v>0</v>
          </cell>
          <cell r="Z50">
            <v>805</v>
          </cell>
          <cell r="AC50">
            <v>900</v>
          </cell>
          <cell r="AF50">
            <v>1152</v>
          </cell>
          <cell r="AI50">
            <v>963</v>
          </cell>
          <cell r="AL50">
            <v>932</v>
          </cell>
          <cell r="AO50">
            <v>918</v>
          </cell>
        </row>
        <row r="51">
          <cell r="B51" t="str">
            <v>Investments in securities</v>
          </cell>
          <cell r="C51" t="str">
            <v>INV_SECUR</v>
          </cell>
          <cell r="D51" t="str">
            <v>GBP</v>
          </cell>
          <cell r="F51">
            <v>0</v>
          </cell>
          <cell r="G51">
            <v>0</v>
          </cell>
          <cell r="H51">
            <v>0</v>
          </cell>
          <cell r="I51">
            <v>0</v>
          </cell>
          <cell r="J51">
            <v>0</v>
          </cell>
          <cell r="K51">
            <v>0</v>
          </cell>
          <cell r="L51">
            <v>0</v>
          </cell>
          <cell r="T51">
            <v>0</v>
          </cell>
          <cell r="U51">
            <v>0</v>
          </cell>
          <cell r="V51">
            <v>0</v>
          </cell>
          <cell r="W51">
            <v>0</v>
          </cell>
          <cell r="X51">
            <v>0</v>
          </cell>
          <cell r="Y51">
            <v>0</v>
          </cell>
          <cell r="Z51">
            <v>0</v>
          </cell>
          <cell r="AC51">
            <v>0</v>
          </cell>
        </row>
        <row r="52">
          <cell r="B52" t="str">
            <v>Other long-term assets</v>
          </cell>
          <cell r="C52" t="str">
            <v>OTH_LT_ASS</v>
          </cell>
          <cell r="D52" t="str">
            <v>GBP</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2715</v>
          </cell>
          <cell r="X52">
            <v>0</v>
          </cell>
          <cell r="Y52">
            <v>0</v>
          </cell>
          <cell r="Z52">
            <v>1697</v>
          </cell>
          <cell r="AC52">
            <v>1031</v>
          </cell>
          <cell r="AF52">
            <v>1702</v>
          </cell>
          <cell r="AI52">
            <v>1851</v>
          </cell>
          <cell r="AL52">
            <v>1552</v>
          </cell>
          <cell r="AO52">
            <v>1859</v>
          </cell>
        </row>
        <row r="53">
          <cell r="B53" t="str">
            <v>Total assets</v>
          </cell>
          <cell r="C53" t="str">
            <v>TOT_ASSET</v>
          </cell>
          <cell r="D53" t="str">
            <v>GBP</v>
          </cell>
          <cell r="F53">
            <v>9291</v>
          </cell>
          <cell r="G53">
            <v>10168</v>
          </cell>
          <cell r="H53">
            <v>10882</v>
          </cell>
          <cell r="I53">
            <v>10834</v>
          </cell>
          <cell r="J53">
            <v>7872</v>
          </cell>
          <cell r="K53">
            <v>7645</v>
          </cell>
          <cell r="L53">
            <v>7725</v>
          </cell>
          <cell r="M53">
            <v>7820</v>
          </cell>
          <cell r="N53">
            <v>9050</v>
          </cell>
          <cell r="O53">
            <v>17434</v>
          </cell>
          <cell r="P53">
            <v>17393</v>
          </cell>
          <cell r="Q53">
            <v>17206</v>
          </cell>
          <cell r="R53">
            <v>15604</v>
          </cell>
          <cell r="S53">
            <v>15362</v>
          </cell>
          <cell r="T53">
            <v>15212</v>
          </cell>
          <cell r="W53">
            <v>20235</v>
          </cell>
          <cell r="Z53">
            <v>18147</v>
          </cell>
          <cell r="AC53">
            <v>20260</v>
          </cell>
          <cell r="AF53">
            <v>25675</v>
          </cell>
          <cell r="AI53">
            <v>25407</v>
          </cell>
          <cell r="AL53">
            <v>24030</v>
          </cell>
          <cell r="AO53">
            <v>23101</v>
          </cell>
        </row>
        <row r="54">
          <cell r="B54" t="str">
            <v>Accounts payable</v>
          </cell>
          <cell r="C54" t="str">
            <v>ACC_PAY_GQ</v>
          </cell>
          <cell r="D54" t="str">
            <v>GBP</v>
          </cell>
          <cell r="F54">
            <v>4402</v>
          </cell>
          <cell r="G54">
            <v>4208</v>
          </cell>
          <cell r="H54">
            <v>4051</v>
          </cell>
          <cell r="I54">
            <v>4053</v>
          </cell>
          <cell r="J54">
            <v>3120</v>
          </cell>
          <cell r="K54">
            <v>3335</v>
          </cell>
          <cell r="L54">
            <v>3256</v>
          </cell>
          <cell r="M54">
            <v>3445</v>
          </cell>
          <cell r="N54">
            <v>4069</v>
          </cell>
          <cell r="O54">
            <v>4772</v>
          </cell>
          <cell r="P54">
            <v>4670</v>
          </cell>
          <cell r="Q54">
            <v>5251</v>
          </cell>
          <cell r="R54">
            <v>5468</v>
          </cell>
          <cell r="S54">
            <v>5841</v>
          </cell>
          <cell r="T54">
            <v>6547</v>
          </cell>
          <cell r="U54">
            <v>0</v>
          </cell>
          <cell r="V54">
            <v>0</v>
          </cell>
          <cell r="W54">
            <v>6953</v>
          </cell>
          <cell r="X54">
            <v>0</v>
          </cell>
          <cell r="Y54">
            <v>0</v>
          </cell>
          <cell r="Z54">
            <v>6659</v>
          </cell>
          <cell r="AC54">
            <v>8185</v>
          </cell>
          <cell r="AF54">
            <v>9361</v>
          </cell>
          <cell r="AI54">
            <v>10221</v>
          </cell>
          <cell r="AL54">
            <v>9350</v>
          </cell>
          <cell r="AO54">
            <v>8151</v>
          </cell>
        </row>
        <row r="55">
          <cell r="B55" t="str">
            <v>Short-term debt</v>
          </cell>
          <cell r="C55" t="str">
            <v>SHORT_T_DEBT</v>
          </cell>
          <cell r="D55" t="str">
            <v>GBP</v>
          </cell>
          <cell r="F55">
            <v>223</v>
          </cell>
          <cell r="G55">
            <v>314</v>
          </cell>
          <cell r="H55">
            <v>342</v>
          </cell>
          <cell r="I55">
            <v>908</v>
          </cell>
          <cell r="J55">
            <v>156</v>
          </cell>
          <cell r="K55">
            <v>192</v>
          </cell>
          <cell r="L55">
            <v>440</v>
          </cell>
          <cell r="M55">
            <v>170</v>
          </cell>
          <cell r="N55">
            <v>264</v>
          </cell>
          <cell r="O55">
            <v>2124</v>
          </cell>
          <cell r="P55">
            <v>2470</v>
          </cell>
          <cell r="Q55">
            <v>1286</v>
          </cell>
          <cell r="R55">
            <v>1091</v>
          </cell>
          <cell r="S55">
            <v>784</v>
          </cell>
          <cell r="T55">
            <v>737</v>
          </cell>
          <cell r="U55">
            <v>0</v>
          </cell>
          <cell r="V55">
            <v>0</v>
          </cell>
          <cell r="W55">
            <v>958</v>
          </cell>
          <cell r="X55">
            <v>0</v>
          </cell>
          <cell r="Y55">
            <v>0</v>
          </cell>
          <cell r="Z55">
            <v>392</v>
          </cell>
          <cell r="AC55">
            <v>329</v>
          </cell>
          <cell r="AF55">
            <v>-23</v>
          </cell>
          <cell r="AI55">
            <v>450</v>
          </cell>
          <cell r="AL55">
            <v>922</v>
          </cell>
          <cell r="AO55">
            <v>898</v>
          </cell>
        </row>
        <row r="56">
          <cell r="B56" t="str">
            <v>Other current liabilities</v>
          </cell>
          <cell r="C56" t="str">
            <v>OTH_CUR_LIABS</v>
          </cell>
          <cell r="D56" t="str">
            <v>GBP</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740</v>
          </cell>
          <cell r="X56">
            <v>0</v>
          </cell>
          <cell r="Y56">
            <v>0</v>
          </cell>
          <cell r="Z56">
            <v>891</v>
          </cell>
          <cell r="AC56">
            <v>1010</v>
          </cell>
          <cell r="AF56">
            <v>1452</v>
          </cell>
          <cell r="AI56">
            <v>1322</v>
          </cell>
          <cell r="AL56">
            <v>1386</v>
          </cell>
          <cell r="AO56">
            <v>1205</v>
          </cell>
        </row>
        <row r="57">
          <cell r="B57" t="str">
            <v>Total current liabilities</v>
          </cell>
          <cell r="C57" t="str">
            <v>SHORT_TERM_LIABS</v>
          </cell>
          <cell r="D57" t="str">
            <v>GBP</v>
          </cell>
          <cell r="F57">
            <v>4625</v>
          </cell>
          <cell r="G57">
            <v>4522</v>
          </cell>
          <cell r="H57">
            <v>4393</v>
          </cell>
          <cell r="I57">
            <v>4961</v>
          </cell>
          <cell r="J57">
            <v>3276</v>
          </cell>
          <cell r="K57">
            <v>3527</v>
          </cell>
          <cell r="L57">
            <v>3696</v>
          </cell>
          <cell r="M57">
            <v>3615</v>
          </cell>
          <cell r="N57">
            <v>4333</v>
          </cell>
          <cell r="O57">
            <v>6896</v>
          </cell>
          <cell r="P57">
            <v>7140</v>
          </cell>
          <cell r="Q57">
            <v>6537</v>
          </cell>
          <cell r="R57">
            <v>6559</v>
          </cell>
          <cell r="S57">
            <v>6625</v>
          </cell>
          <cell r="T57">
            <v>7284</v>
          </cell>
          <cell r="W57">
            <v>8651</v>
          </cell>
          <cell r="Z57">
            <v>7942</v>
          </cell>
          <cell r="AC57">
            <v>9524</v>
          </cell>
          <cell r="AF57">
            <v>10790</v>
          </cell>
          <cell r="AI57">
            <v>11993</v>
          </cell>
          <cell r="AL57">
            <v>11658</v>
          </cell>
          <cell r="AO57">
            <v>10254</v>
          </cell>
        </row>
        <row r="58">
          <cell r="B58" t="str">
            <v>Long-term  debt</v>
          </cell>
          <cell r="C58" t="str">
            <v>LT_DEBT</v>
          </cell>
          <cell r="D58" t="str">
            <v>GBP</v>
          </cell>
          <cell r="F58">
            <v>925</v>
          </cell>
          <cell r="G58">
            <v>1036</v>
          </cell>
          <cell r="H58">
            <v>1386</v>
          </cell>
          <cell r="I58">
            <v>1438</v>
          </cell>
          <cell r="J58">
            <v>1142</v>
          </cell>
          <cell r="K58">
            <v>1093</v>
          </cell>
          <cell r="L58">
            <v>691</v>
          </cell>
          <cell r="M58">
            <v>1097</v>
          </cell>
          <cell r="N58">
            <v>898</v>
          </cell>
          <cell r="O58">
            <v>1155</v>
          </cell>
          <cell r="P58">
            <v>1063</v>
          </cell>
          <cell r="Q58">
            <v>2119</v>
          </cell>
          <cell r="R58">
            <v>1913</v>
          </cell>
          <cell r="S58">
            <v>1749</v>
          </cell>
          <cell r="T58">
            <v>1665</v>
          </cell>
          <cell r="U58">
            <v>0</v>
          </cell>
          <cell r="V58">
            <v>0</v>
          </cell>
          <cell r="W58">
            <v>3534</v>
          </cell>
          <cell r="X58">
            <v>0</v>
          </cell>
          <cell r="Y58">
            <v>0</v>
          </cell>
          <cell r="Z58">
            <v>2776</v>
          </cell>
          <cell r="AC58">
            <v>2197</v>
          </cell>
          <cell r="AF58">
            <v>2608</v>
          </cell>
          <cell r="AI58">
            <v>2840</v>
          </cell>
          <cell r="AL58">
            <v>2133</v>
          </cell>
          <cell r="AO58">
            <v>2682</v>
          </cell>
        </row>
        <row r="59">
          <cell r="B59" t="str">
            <v>Other long-term liabilities</v>
          </cell>
          <cell r="C59" t="str">
            <v>OTH_LT_CRED_GQ</v>
          </cell>
          <cell r="D59" t="str">
            <v>GBP</v>
          </cell>
          <cell r="F59">
            <v>885</v>
          </cell>
          <cell r="G59">
            <v>1646</v>
          </cell>
          <cell r="H59">
            <v>3085</v>
          </cell>
          <cell r="I59">
            <v>2886</v>
          </cell>
          <cell r="J59">
            <v>2568</v>
          </cell>
          <cell r="K59">
            <v>2086</v>
          </cell>
          <cell r="L59">
            <v>1632</v>
          </cell>
          <cell r="M59">
            <v>1656</v>
          </cell>
          <cell r="N59">
            <v>1793</v>
          </cell>
          <cell r="O59">
            <v>1938</v>
          </cell>
          <cell r="P59">
            <v>1938</v>
          </cell>
          <cell r="Q59">
            <v>1892</v>
          </cell>
          <cell r="R59">
            <v>1436</v>
          </cell>
          <cell r="S59">
            <v>1382</v>
          </cell>
          <cell r="T59">
            <v>1525</v>
          </cell>
          <cell r="U59">
            <v>0</v>
          </cell>
          <cell r="V59">
            <v>0</v>
          </cell>
          <cell r="W59">
            <v>5246</v>
          </cell>
          <cell r="X59">
            <v>0</v>
          </cell>
          <cell r="Y59">
            <v>0</v>
          </cell>
          <cell r="Z59">
            <v>3295</v>
          </cell>
          <cell r="AC59">
            <v>2537</v>
          </cell>
          <cell r="AF59">
            <v>4988</v>
          </cell>
          <cell r="AI59">
            <v>5847</v>
          </cell>
          <cell r="AL59">
            <v>4836</v>
          </cell>
          <cell r="AO59">
            <v>5866</v>
          </cell>
        </row>
        <row r="60">
          <cell r="B60" t="str">
            <v>Total long-term liabilities</v>
          </cell>
          <cell r="C60" t="str">
            <v>TOT_LT_LIAB</v>
          </cell>
          <cell r="D60" t="str">
            <v>GBP</v>
          </cell>
          <cell r="F60">
            <v>1810</v>
          </cell>
          <cell r="G60">
            <v>2682</v>
          </cell>
          <cell r="H60">
            <v>4471</v>
          </cell>
          <cell r="I60">
            <v>4324</v>
          </cell>
          <cell r="J60">
            <v>3710</v>
          </cell>
          <cell r="K60">
            <v>3179</v>
          </cell>
          <cell r="L60">
            <v>2323</v>
          </cell>
          <cell r="M60">
            <v>2753</v>
          </cell>
          <cell r="N60">
            <v>2691</v>
          </cell>
          <cell r="O60">
            <v>3093</v>
          </cell>
          <cell r="P60">
            <v>3001</v>
          </cell>
          <cell r="Q60">
            <v>4011</v>
          </cell>
          <cell r="R60">
            <v>3349</v>
          </cell>
          <cell r="S60">
            <v>3131</v>
          </cell>
          <cell r="T60">
            <v>3190</v>
          </cell>
          <cell r="W60">
            <v>8780</v>
          </cell>
          <cell r="Z60">
            <v>6071</v>
          </cell>
          <cell r="AC60">
            <v>4734</v>
          </cell>
          <cell r="AF60">
            <v>7596</v>
          </cell>
          <cell r="AI60">
            <v>8687</v>
          </cell>
          <cell r="AL60">
            <v>6969</v>
          </cell>
          <cell r="AO60">
            <v>8548</v>
          </cell>
        </row>
        <row r="61">
          <cell r="B61" t="str">
            <v>Total liabilities</v>
          </cell>
          <cell r="C61" t="str">
            <v>TOT_LIAB</v>
          </cell>
          <cell r="D61" t="str">
            <v>GBP</v>
          </cell>
          <cell r="F61">
            <v>6435</v>
          </cell>
          <cell r="G61">
            <v>7204</v>
          </cell>
          <cell r="H61">
            <v>8864</v>
          </cell>
          <cell r="I61">
            <v>9285</v>
          </cell>
          <cell r="J61">
            <v>6986</v>
          </cell>
          <cell r="K61">
            <v>6706</v>
          </cell>
          <cell r="L61">
            <v>6019</v>
          </cell>
          <cell r="M61">
            <v>6368</v>
          </cell>
          <cell r="N61">
            <v>7024</v>
          </cell>
          <cell r="O61">
            <v>9989</v>
          </cell>
          <cell r="P61">
            <v>10141</v>
          </cell>
          <cell r="Q61">
            <v>10548</v>
          </cell>
          <cell r="R61">
            <v>9908</v>
          </cell>
          <cell r="S61">
            <v>9756</v>
          </cell>
          <cell r="T61">
            <v>10474</v>
          </cell>
          <cell r="U61">
            <v>0</v>
          </cell>
          <cell r="V61">
            <v>0</v>
          </cell>
          <cell r="W61">
            <v>17431</v>
          </cell>
          <cell r="X61">
            <v>0</v>
          </cell>
          <cell r="Y61">
            <v>0</v>
          </cell>
          <cell r="Z61">
            <v>14013</v>
          </cell>
          <cell r="AC61">
            <v>14258</v>
          </cell>
          <cell r="AF61">
            <v>18386</v>
          </cell>
          <cell r="AI61">
            <v>20680</v>
          </cell>
          <cell r="AL61">
            <v>18627</v>
          </cell>
          <cell r="AO61">
            <v>18802</v>
          </cell>
        </row>
        <row r="62">
          <cell r="B62" t="str">
            <v>Preferred shares</v>
          </cell>
          <cell r="C62" t="str">
            <v>PREF_SH</v>
          </cell>
          <cell r="D62" t="str">
            <v>GBP</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C62">
            <v>0</v>
          </cell>
        </row>
        <row r="63">
          <cell r="B63" t="str">
            <v>Total common equity</v>
          </cell>
          <cell r="C63" t="str">
            <v>ORD_SH_FUND</v>
          </cell>
          <cell r="D63" t="str">
            <v>GBP</v>
          </cell>
          <cell r="F63">
            <v>2534</v>
          </cell>
          <cell r="G63">
            <v>2697</v>
          </cell>
          <cell r="H63">
            <v>1780</v>
          </cell>
          <cell r="I63">
            <v>1429</v>
          </cell>
          <cell r="J63">
            <v>876</v>
          </cell>
          <cell r="K63">
            <v>928</v>
          </cell>
          <cell r="L63">
            <v>1693</v>
          </cell>
          <cell r="M63">
            <v>1452</v>
          </cell>
          <cell r="N63">
            <v>2020</v>
          </cell>
          <cell r="O63">
            <v>7360</v>
          </cell>
          <cell r="P63">
            <v>7152</v>
          </cell>
          <cell r="Q63">
            <v>6638</v>
          </cell>
          <cell r="R63">
            <v>5676</v>
          </cell>
          <cell r="S63">
            <v>5591</v>
          </cell>
          <cell r="T63">
            <v>4724</v>
          </cell>
          <cell r="U63">
            <v>0</v>
          </cell>
          <cell r="V63">
            <v>0</v>
          </cell>
          <cell r="W63">
            <v>2788</v>
          </cell>
          <cell r="X63">
            <v>0</v>
          </cell>
          <cell r="Y63">
            <v>0</v>
          </cell>
          <cell r="Z63">
            <v>4117</v>
          </cell>
          <cell r="AC63">
            <v>5966</v>
          </cell>
          <cell r="AF63">
            <v>7234</v>
          </cell>
          <cell r="AI63">
            <v>4655</v>
          </cell>
          <cell r="AL63">
            <v>5332</v>
          </cell>
          <cell r="AO63">
            <v>4240</v>
          </cell>
        </row>
        <row r="64">
          <cell r="B64" t="str">
            <v>Minority interest</v>
          </cell>
          <cell r="C64" t="str">
            <v>MINORITIES</v>
          </cell>
          <cell r="D64" t="str">
            <v>GBP</v>
          </cell>
          <cell r="F64">
            <v>322</v>
          </cell>
          <cell r="G64">
            <v>267</v>
          </cell>
          <cell r="H64">
            <v>238</v>
          </cell>
          <cell r="I64">
            <v>120</v>
          </cell>
          <cell r="J64">
            <v>10</v>
          </cell>
          <cell r="K64">
            <v>11</v>
          </cell>
          <cell r="L64">
            <v>13</v>
          </cell>
          <cell r="M64">
            <v>0</v>
          </cell>
          <cell r="N64">
            <v>6</v>
          </cell>
          <cell r="O64">
            <v>85</v>
          </cell>
          <cell r="P64">
            <v>100</v>
          </cell>
          <cell r="Q64">
            <v>20</v>
          </cell>
          <cell r="R64">
            <v>20</v>
          </cell>
          <cell r="S64">
            <v>15</v>
          </cell>
          <cell r="T64">
            <v>14</v>
          </cell>
          <cell r="U64">
            <v>0</v>
          </cell>
          <cell r="V64">
            <v>0</v>
          </cell>
          <cell r="W64">
            <v>16</v>
          </cell>
          <cell r="X64">
            <v>0</v>
          </cell>
          <cell r="Y64">
            <v>0</v>
          </cell>
          <cell r="Z64">
            <v>17</v>
          </cell>
          <cell r="AC64">
            <v>36</v>
          </cell>
          <cell r="AF64">
            <v>55</v>
          </cell>
          <cell r="AI64">
            <v>72</v>
          </cell>
          <cell r="AL64">
            <v>71</v>
          </cell>
          <cell r="AO64">
            <v>59</v>
          </cell>
        </row>
        <row r="65">
          <cell r="B65" t="str">
            <v>Total shareholders' equity</v>
          </cell>
          <cell r="C65" t="str">
            <v>EQ</v>
          </cell>
          <cell r="D65" t="str">
            <v>GBP</v>
          </cell>
          <cell r="F65">
            <v>2856</v>
          </cell>
          <cell r="G65">
            <v>2964</v>
          </cell>
          <cell r="H65">
            <v>2018</v>
          </cell>
          <cell r="I65">
            <v>1549</v>
          </cell>
          <cell r="J65">
            <v>886</v>
          </cell>
          <cell r="K65">
            <v>939</v>
          </cell>
          <cell r="L65">
            <v>1706</v>
          </cell>
          <cell r="M65">
            <v>1452</v>
          </cell>
          <cell r="N65">
            <v>2026</v>
          </cell>
          <cell r="O65">
            <v>7445</v>
          </cell>
          <cell r="P65">
            <v>7252</v>
          </cell>
          <cell r="Q65">
            <v>6658</v>
          </cell>
          <cell r="R65">
            <v>5696</v>
          </cell>
          <cell r="S65">
            <v>5606</v>
          </cell>
          <cell r="T65">
            <v>4738</v>
          </cell>
          <cell r="W65">
            <v>2804</v>
          </cell>
          <cell r="Z65">
            <v>4134</v>
          </cell>
          <cell r="AC65">
            <v>6002</v>
          </cell>
          <cell r="AF65">
            <v>7289</v>
          </cell>
          <cell r="AI65">
            <v>4727</v>
          </cell>
          <cell r="AL65">
            <v>5403</v>
          </cell>
          <cell r="AO65">
            <v>4299</v>
          </cell>
        </row>
        <row r="66">
          <cell r="B66" t="str">
            <v>Total liabilities and equity</v>
          </cell>
          <cell r="C66" t="str">
            <v>TOT_LIAB_EQ</v>
          </cell>
          <cell r="D66" t="str">
            <v>GBP</v>
          </cell>
          <cell r="F66">
            <v>9291</v>
          </cell>
          <cell r="G66">
            <v>10168</v>
          </cell>
          <cell r="H66">
            <v>10882</v>
          </cell>
          <cell r="I66">
            <v>10834</v>
          </cell>
          <cell r="J66">
            <v>7872</v>
          </cell>
          <cell r="K66">
            <v>7645</v>
          </cell>
          <cell r="L66">
            <v>7725</v>
          </cell>
          <cell r="M66">
            <v>7820</v>
          </cell>
          <cell r="N66">
            <v>9050</v>
          </cell>
          <cell r="O66">
            <v>17434</v>
          </cell>
          <cell r="P66">
            <v>17393</v>
          </cell>
          <cell r="Q66">
            <v>17206</v>
          </cell>
          <cell r="R66">
            <v>15604</v>
          </cell>
          <cell r="S66">
            <v>15362</v>
          </cell>
          <cell r="T66">
            <v>15212</v>
          </cell>
          <cell r="W66">
            <v>20235</v>
          </cell>
          <cell r="Z66">
            <v>18147</v>
          </cell>
          <cell r="AC66">
            <v>20260</v>
          </cell>
          <cell r="AF66">
            <v>25675</v>
          </cell>
          <cell r="AI66">
            <v>25407</v>
          </cell>
          <cell r="AL66">
            <v>24030</v>
          </cell>
          <cell r="AO66">
            <v>23101</v>
          </cell>
        </row>
        <row r="67">
          <cell r="A67" t="str">
            <v>Additional Balance Sheet Items</v>
          </cell>
        </row>
        <row r="68">
          <cell r="B68" t="str">
            <v>Net debt</v>
          </cell>
          <cell r="C68" t="str">
            <v>NET_DEBT</v>
          </cell>
          <cell r="D68" t="str">
            <v>GBP</v>
          </cell>
          <cell r="F68">
            <v>-711</v>
          </cell>
          <cell r="G68">
            <v>-323</v>
          </cell>
          <cell r="H68">
            <v>91</v>
          </cell>
          <cell r="I68">
            <v>897</v>
          </cell>
          <cell r="J68">
            <v>-170</v>
          </cell>
          <cell r="K68">
            <v>-228</v>
          </cell>
          <cell r="L68">
            <v>-748</v>
          </cell>
          <cell r="M68">
            <v>-788</v>
          </cell>
          <cell r="N68">
            <v>-212</v>
          </cell>
          <cell r="O68">
            <v>755</v>
          </cell>
          <cell r="P68">
            <v>899</v>
          </cell>
          <cell r="Q68">
            <v>831</v>
          </cell>
          <cell r="R68">
            <v>1298</v>
          </cell>
          <cell r="S68">
            <v>870</v>
          </cell>
          <cell r="T68">
            <v>-5</v>
          </cell>
          <cell r="U68">
            <v>0</v>
          </cell>
          <cell r="V68">
            <v>0</v>
          </cell>
          <cell r="W68">
            <v>1277</v>
          </cell>
          <cell r="X68">
            <v>0</v>
          </cell>
          <cell r="Y68">
            <v>0</v>
          </cell>
          <cell r="Z68">
            <v>-435</v>
          </cell>
          <cell r="AC68">
            <v>-700</v>
          </cell>
          <cell r="AF68">
            <v>-39</v>
          </cell>
          <cell r="AI68">
            <v>-403</v>
          </cell>
          <cell r="AL68">
            <v>242</v>
          </cell>
          <cell r="AO68">
            <v>1439</v>
          </cell>
        </row>
        <row r="69">
          <cell r="B69" t="str">
            <v>Capitalized leases</v>
          </cell>
          <cell r="C69" t="str">
            <v>CAP_LEASES</v>
          </cell>
          <cell r="D69" t="str">
            <v>GBP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C69">
            <v>0</v>
          </cell>
        </row>
        <row r="70">
          <cell r="B70" t="str">
            <v>Deferred income taxes</v>
          </cell>
          <cell r="C70" t="str">
            <v>DEF_INC_TAX</v>
          </cell>
          <cell r="D70" t="str">
            <v>GBP</v>
          </cell>
          <cell r="Q70">
            <v>0</v>
          </cell>
          <cell r="U70">
            <v>0</v>
          </cell>
          <cell r="V70">
            <v>0</v>
          </cell>
          <cell r="X70">
            <v>0</v>
          </cell>
          <cell r="Y70">
            <v>0</v>
          </cell>
        </row>
        <row r="71">
          <cell r="B71" t="str">
            <v>Associates (mkt value) used in EV calculation</v>
          </cell>
          <cell r="C71" t="str">
            <v>MV_ASSOCIATES</v>
          </cell>
          <cell r="D71" t="str">
            <v>GBP</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C71">
            <v>0</v>
          </cell>
        </row>
        <row r="72">
          <cell r="B72" t="str">
            <v>Net debt adjustment</v>
          </cell>
          <cell r="C72" t="str">
            <v>NET_DEBT_ADJ</v>
          </cell>
          <cell r="D72" t="str">
            <v>GBP</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C72">
            <v>0</v>
          </cell>
        </row>
        <row r="73">
          <cell r="B73" t="str">
            <v>Company borrowing margin</v>
          </cell>
          <cell r="C73" t="str">
            <v>CO_BOR_MARGIN</v>
          </cell>
        </row>
        <row r="74">
          <cell r="B74" t="str">
            <v>Unfunded pensions &amp; other provisions</v>
          </cell>
          <cell r="C74" t="str">
            <v>UNF_PENS</v>
          </cell>
          <cell r="D74" t="str">
            <v>GBP</v>
          </cell>
          <cell r="F74">
            <v>-108</v>
          </cell>
          <cell r="G74">
            <v>-147</v>
          </cell>
          <cell r="H74">
            <v>-122</v>
          </cell>
          <cell r="I74">
            <v>-12</v>
          </cell>
          <cell r="J74">
            <v>0</v>
          </cell>
          <cell r="K74">
            <v>0</v>
          </cell>
          <cell r="L74">
            <v>0</v>
          </cell>
          <cell r="M74">
            <v>0</v>
          </cell>
          <cell r="N74">
            <v>0</v>
          </cell>
          <cell r="O74">
            <v>0</v>
          </cell>
          <cell r="P74">
            <v>0</v>
          </cell>
          <cell r="Q74">
            <v>-267</v>
          </cell>
          <cell r="R74">
            <v>-1105</v>
          </cell>
          <cell r="S74">
            <v>-1094.5</v>
          </cell>
          <cell r="T74">
            <v>-1538.5</v>
          </cell>
          <cell r="U74">
            <v>0</v>
          </cell>
          <cell r="V74">
            <v>0</v>
          </cell>
          <cell r="W74">
            <v>-1384</v>
          </cell>
          <cell r="X74">
            <v>0</v>
          </cell>
          <cell r="Y74">
            <v>0</v>
          </cell>
          <cell r="Z74">
            <v>-817.5</v>
          </cell>
          <cell r="AC74">
            <v>-524</v>
          </cell>
          <cell r="AF74">
            <v>-1105</v>
          </cell>
          <cell r="AI74">
            <v>-1531.10600555674</v>
          </cell>
          <cell r="AL74">
            <v>-1090.54050925926</v>
          </cell>
          <cell r="AO74">
            <v>-1352.9088541666699</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cell r="F76">
            <v>1622</v>
          </cell>
          <cell r="G76">
            <v>851</v>
          </cell>
          <cell r="H76">
            <v>846</v>
          </cell>
          <cell r="I76">
            <v>1070</v>
          </cell>
          <cell r="J76">
            <v>777</v>
          </cell>
          <cell r="K76">
            <v>785</v>
          </cell>
          <cell r="L76">
            <v>436</v>
          </cell>
          <cell r="M76">
            <v>332</v>
          </cell>
          <cell r="N76">
            <v>235.24832214765101</v>
          </cell>
          <cell r="O76">
            <v>785.116912751678</v>
          </cell>
          <cell r="P76">
            <v>939.98322147651004</v>
          </cell>
          <cell r="Q76">
            <v>341.68428982331199</v>
          </cell>
          <cell r="R76">
            <v>2920.66528507574</v>
          </cell>
          <cell r="S76">
            <v>2497.8844775272401</v>
          </cell>
          <cell r="T76">
            <v>3386.8134744597301</v>
          </cell>
          <cell r="U76">
            <v>0</v>
          </cell>
          <cell r="V76">
            <v>0</v>
          </cell>
          <cell r="W76">
            <v>2769.7336956521699</v>
          </cell>
          <cell r="X76">
            <v>0</v>
          </cell>
          <cell r="Y76">
            <v>0</v>
          </cell>
          <cell r="Z76">
            <v>2107.7132012351999</v>
          </cell>
          <cell r="AC76">
            <v>4553.7024576910198</v>
          </cell>
          <cell r="AF76">
            <v>5802.69111467532</v>
          </cell>
          <cell r="AI76">
            <v>6916.7652117673597</v>
          </cell>
          <cell r="AL76">
            <v>6006.3807280466299</v>
          </cell>
          <cell r="AO76">
            <v>5548.0535530601401</v>
          </cell>
        </row>
        <row r="77">
          <cell r="B77" t="str">
            <v>Adjustment for unfunded pensions &amp; goodwill</v>
          </cell>
          <cell r="C77" t="str">
            <v>ADJ_UNF_PENS_GOOD</v>
          </cell>
          <cell r="D77" t="str">
            <v>GBP</v>
          </cell>
        </row>
        <row r="78">
          <cell r="B78" t="str">
            <v>Other GCI adjustments</v>
          </cell>
          <cell r="C78" t="str">
            <v>OTH_GCI_ADJ</v>
          </cell>
          <cell r="D78" t="str">
            <v>GBP</v>
          </cell>
        </row>
        <row r="79">
          <cell r="B79" t="str">
            <v>GCI inflator</v>
          </cell>
          <cell r="C79" t="str">
            <v>GCI_INFL</v>
          </cell>
          <cell r="F79">
            <v>1</v>
          </cell>
          <cell r="G79">
            <v>1</v>
          </cell>
          <cell r="H79">
            <v>1</v>
          </cell>
          <cell r="I79">
            <v>1</v>
          </cell>
          <cell r="J79">
            <v>1</v>
          </cell>
          <cell r="K79">
            <v>1</v>
          </cell>
          <cell r="L79">
            <v>1</v>
          </cell>
          <cell r="M79">
            <v>1</v>
          </cell>
          <cell r="N79">
            <v>1</v>
          </cell>
          <cell r="O79">
            <v>1</v>
          </cell>
          <cell r="P79">
            <v>1</v>
          </cell>
          <cell r="Q79">
            <v>1</v>
          </cell>
          <cell r="R79">
            <v>1</v>
          </cell>
          <cell r="S79">
            <v>1</v>
          </cell>
          <cell r="T79">
            <v>1</v>
          </cell>
          <cell r="W79">
            <v>1</v>
          </cell>
          <cell r="X79">
            <v>1</v>
          </cell>
          <cell r="Y79">
            <v>1</v>
          </cell>
          <cell r="Z79">
            <v>1</v>
          </cell>
          <cell r="AC79">
            <v>1</v>
          </cell>
        </row>
        <row r="80">
          <cell r="B80" t="str">
            <v>Minority interest</v>
          </cell>
          <cell r="C80" t="str">
            <v>BAL_MINO_INT</v>
          </cell>
          <cell r="D80" t="str">
            <v>GBP</v>
          </cell>
          <cell r="F80">
            <v>322</v>
          </cell>
          <cell r="G80">
            <v>267</v>
          </cell>
          <cell r="H80">
            <v>238</v>
          </cell>
          <cell r="I80">
            <v>120</v>
          </cell>
          <cell r="J80">
            <v>10</v>
          </cell>
          <cell r="K80">
            <v>11</v>
          </cell>
          <cell r="L80">
            <v>13</v>
          </cell>
          <cell r="M80">
            <v>0</v>
          </cell>
          <cell r="N80">
            <v>6</v>
          </cell>
          <cell r="O80">
            <v>85</v>
          </cell>
          <cell r="P80">
            <v>100</v>
          </cell>
          <cell r="Q80">
            <v>20</v>
          </cell>
          <cell r="R80">
            <v>20</v>
          </cell>
          <cell r="S80">
            <v>15</v>
          </cell>
          <cell r="T80">
            <v>14</v>
          </cell>
          <cell r="U80">
            <v>0</v>
          </cell>
          <cell r="V80">
            <v>0</v>
          </cell>
          <cell r="W80">
            <v>16</v>
          </cell>
          <cell r="X80">
            <v>0</v>
          </cell>
          <cell r="Y80">
            <v>0</v>
          </cell>
          <cell r="Z80">
            <v>17</v>
          </cell>
          <cell r="AC80">
            <v>36</v>
          </cell>
          <cell r="AF80">
            <v>55</v>
          </cell>
          <cell r="AI80">
            <v>72</v>
          </cell>
          <cell r="AL80">
            <v>71</v>
          </cell>
          <cell r="AO80">
            <v>59</v>
          </cell>
        </row>
        <row r="81">
          <cell r="A81" t="str">
            <v>Cash Flow Statement</v>
          </cell>
        </row>
        <row r="82">
          <cell r="B82" t="str">
            <v>Minority interest add-back</v>
          </cell>
          <cell r="C82" t="str">
            <v>CF_INC_MINORITY</v>
          </cell>
          <cell r="D82" t="str">
            <v>GBP</v>
          </cell>
          <cell r="F82">
            <v>-18</v>
          </cell>
          <cell r="G82">
            <v>51</v>
          </cell>
          <cell r="H82">
            <v>41</v>
          </cell>
          <cell r="I82">
            <v>19</v>
          </cell>
          <cell r="J82">
            <v>0</v>
          </cell>
          <cell r="K82">
            <v>-2</v>
          </cell>
          <cell r="L82">
            <v>-2</v>
          </cell>
          <cell r="M82">
            <v>0</v>
          </cell>
          <cell r="N82">
            <v>-1</v>
          </cell>
          <cell r="O82">
            <v>-4</v>
          </cell>
          <cell r="P82">
            <v>-6</v>
          </cell>
          <cell r="Q82">
            <v>-6</v>
          </cell>
          <cell r="R82">
            <v>0</v>
          </cell>
          <cell r="S82">
            <v>-2</v>
          </cell>
          <cell r="T82">
            <v>-1</v>
          </cell>
          <cell r="U82">
            <v>0</v>
          </cell>
          <cell r="V82">
            <v>0</v>
          </cell>
          <cell r="W82">
            <v>-2</v>
          </cell>
          <cell r="X82">
            <v>0</v>
          </cell>
          <cell r="Y82">
            <v>0</v>
          </cell>
          <cell r="Z82">
            <v>-3</v>
          </cell>
          <cell r="AC82">
            <v>-21</v>
          </cell>
          <cell r="AF82">
            <v>-23</v>
          </cell>
          <cell r="AI82">
            <v>-22</v>
          </cell>
          <cell r="AL82">
            <v>-29</v>
          </cell>
          <cell r="AO82">
            <v>-16</v>
          </cell>
        </row>
        <row r="83">
          <cell r="B83" t="str">
            <v>Depreciation &amp; amortization add-back</v>
          </cell>
          <cell r="C83" t="str">
            <v>DEPR_AMORT</v>
          </cell>
          <cell r="D83" t="str">
            <v>GBP</v>
          </cell>
          <cell r="F83">
            <v>280</v>
          </cell>
          <cell r="G83">
            <v>306</v>
          </cell>
          <cell r="H83">
            <v>331</v>
          </cell>
          <cell r="I83">
            <v>350</v>
          </cell>
          <cell r="J83">
            <v>190</v>
          </cell>
          <cell r="K83">
            <v>159</v>
          </cell>
          <cell r="L83">
            <v>164</v>
          </cell>
          <cell r="M83">
            <v>161</v>
          </cell>
          <cell r="N83">
            <v>138</v>
          </cell>
          <cell r="O83">
            <v>211</v>
          </cell>
          <cell r="P83">
            <v>309</v>
          </cell>
          <cell r="Q83">
            <v>239</v>
          </cell>
          <cell r="R83">
            <v>212</v>
          </cell>
          <cell r="S83">
            <v>222</v>
          </cell>
          <cell r="T83">
            <v>202</v>
          </cell>
          <cell r="U83">
            <v>0</v>
          </cell>
          <cell r="V83">
            <v>0</v>
          </cell>
          <cell r="W83">
            <v>402</v>
          </cell>
          <cell r="X83">
            <v>0</v>
          </cell>
          <cell r="Y83">
            <v>0</v>
          </cell>
          <cell r="Z83">
            <v>283</v>
          </cell>
          <cell r="AC83">
            <v>313</v>
          </cell>
          <cell r="AF83">
            <v>331</v>
          </cell>
          <cell r="AI83">
            <v>341</v>
          </cell>
          <cell r="AL83">
            <v>382</v>
          </cell>
          <cell r="AO83">
            <v>403</v>
          </cell>
        </row>
        <row r="84">
          <cell r="B84" t="str">
            <v>(Increase)/decrease in working capital</v>
          </cell>
          <cell r="C84" t="str">
            <v>WORK_CAP</v>
          </cell>
          <cell r="D84" t="str">
            <v>GBP</v>
          </cell>
          <cell r="F84">
            <v>-377</v>
          </cell>
          <cell r="G84">
            <v>-257</v>
          </cell>
          <cell r="H84">
            <v>151</v>
          </cell>
          <cell r="I84">
            <v>111</v>
          </cell>
          <cell r="J84">
            <v>-384</v>
          </cell>
          <cell r="K84">
            <v>-105</v>
          </cell>
          <cell r="L84">
            <v>191</v>
          </cell>
          <cell r="M84">
            <v>-315</v>
          </cell>
          <cell r="N84">
            <v>-1147</v>
          </cell>
          <cell r="O84">
            <v>-231</v>
          </cell>
          <cell r="P84">
            <v>1310</v>
          </cell>
          <cell r="Q84">
            <v>-39</v>
          </cell>
          <cell r="R84">
            <v>213</v>
          </cell>
          <cell r="S84">
            <v>148</v>
          </cell>
          <cell r="T84">
            <v>1271</v>
          </cell>
          <cell r="U84">
            <v>0</v>
          </cell>
          <cell r="V84">
            <v>0</v>
          </cell>
          <cell r="W84">
            <v>914</v>
          </cell>
          <cell r="X84">
            <v>0</v>
          </cell>
          <cell r="Y84">
            <v>0</v>
          </cell>
          <cell r="Z84">
            <v>336</v>
          </cell>
          <cell r="AC84">
            <v>753</v>
          </cell>
          <cell r="AF84">
            <v>287</v>
          </cell>
          <cell r="AI84">
            <v>491</v>
          </cell>
          <cell r="AL84">
            <v>-562</v>
          </cell>
          <cell r="AO84">
            <v>-863</v>
          </cell>
        </row>
        <row r="85">
          <cell r="B85" t="str">
            <v>Other operating cash flow items</v>
          </cell>
          <cell r="C85" t="str">
            <v>OTH_OP_CF</v>
          </cell>
          <cell r="D85" t="str">
            <v>GBP</v>
          </cell>
          <cell r="F85">
            <v>-87</v>
          </cell>
          <cell r="G85">
            <v>-410</v>
          </cell>
          <cell r="H85">
            <v>-308</v>
          </cell>
          <cell r="I85">
            <v>-337</v>
          </cell>
          <cell r="J85">
            <v>-205</v>
          </cell>
          <cell r="K85">
            <v>-169</v>
          </cell>
          <cell r="L85">
            <v>-111</v>
          </cell>
          <cell r="M85">
            <v>26</v>
          </cell>
          <cell r="N85">
            <v>-47</v>
          </cell>
          <cell r="O85">
            <v>-247</v>
          </cell>
          <cell r="P85">
            <v>-431</v>
          </cell>
          <cell r="Q85">
            <v>-418</v>
          </cell>
          <cell r="R85">
            <v>-999</v>
          </cell>
          <cell r="S85">
            <v>-67</v>
          </cell>
          <cell r="T85">
            <v>-33</v>
          </cell>
          <cell r="U85">
            <v>0</v>
          </cell>
          <cell r="V85">
            <v>0</v>
          </cell>
          <cell r="W85">
            <v>-99</v>
          </cell>
          <cell r="X85">
            <v>0</v>
          </cell>
          <cell r="Y85">
            <v>0</v>
          </cell>
          <cell r="Z85">
            <v>-871</v>
          </cell>
          <cell r="AC85">
            <v>-196</v>
          </cell>
          <cell r="AF85">
            <v>-317</v>
          </cell>
          <cell r="AI85">
            <v>-539</v>
          </cell>
          <cell r="AL85">
            <v>-165</v>
          </cell>
          <cell r="AO85">
            <v>-489</v>
          </cell>
        </row>
        <row r="86">
          <cell r="B86" t="str">
            <v>Cash flow from operating activities</v>
          </cell>
          <cell r="C86" t="str">
            <v>CF_OPS</v>
          </cell>
          <cell r="D86" t="str">
            <v>GBP</v>
          </cell>
          <cell r="F86">
            <v>51</v>
          </cell>
          <cell r="G86">
            <v>-169</v>
          </cell>
          <cell r="H86">
            <v>56</v>
          </cell>
          <cell r="I86">
            <v>168</v>
          </cell>
          <cell r="J86">
            <v>-310</v>
          </cell>
          <cell r="K86">
            <v>91</v>
          </cell>
          <cell r="L86">
            <v>561</v>
          </cell>
          <cell r="M86">
            <v>306</v>
          </cell>
          <cell r="N86">
            <v>-543</v>
          </cell>
          <cell r="O86">
            <v>306</v>
          </cell>
          <cell r="P86">
            <v>1756</v>
          </cell>
          <cell r="Q86">
            <v>486</v>
          </cell>
          <cell r="R86">
            <v>-46</v>
          </cell>
          <cell r="S86">
            <v>810</v>
          </cell>
          <cell r="T86">
            <v>1989</v>
          </cell>
          <cell r="W86">
            <v>1930</v>
          </cell>
          <cell r="Z86">
            <v>512</v>
          </cell>
          <cell r="AC86">
            <v>1898</v>
          </cell>
          <cell r="AF86">
            <v>1583</v>
          </cell>
          <cell r="AI86">
            <v>1707</v>
          </cell>
          <cell r="AL86">
            <v>1033</v>
          </cell>
          <cell r="AO86">
            <v>570</v>
          </cell>
        </row>
        <row r="87">
          <cell r="B87" t="str">
            <v>Capital expenditures, Capex</v>
          </cell>
          <cell r="C87" t="str">
            <v>CAPEX</v>
          </cell>
          <cell r="D87" t="str">
            <v>GBP</v>
          </cell>
          <cell r="F87">
            <v>-329</v>
          </cell>
          <cell r="G87">
            <v>-455</v>
          </cell>
          <cell r="H87">
            <v>-368</v>
          </cell>
          <cell r="I87">
            <v>-398</v>
          </cell>
          <cell r="J87">
            <v>-164</v>
          </cell>
          <cell r="K87">
            <v>-105</v>
          </cell>
          <cell r="L87">
            <v>-116</v>
          </cell>
          <cell r="M87">
            <v>-176</v>
          </cell>
          <cell r="N87">
            <v>-309</v>
          </cell>
          <cell r="O87">
            <v>-269</v>
          </cell>
          <cell r="P87">
            <v>-280</v>
          </cell>
          <cell r="Q87">
            <v>-78</v>
          </cell>
          <cell r="R87">
            <v>-164</v>
          </cell>
          <cell r="S87">
            <v>-176</v>
          </cell>
          <cell r="T87">
            <v>-206</v>
          </cell>
          <cell r="U87">
            <v>0</v>
          </cell>
          <cell r="V87">
            <v>0</v>
          </cell>
          <cell r="W87">
            <v>-300</v>
          </cell>
          <cell r="X87">
            <v>0</v>
          </cell>
          <cell r="Y87">
            <v>0</v>
          </cell>
          <cell r="Z87">
            <v>-284</v>
          </cell>
          <cell r="AC87">
            <v>-294</v>
          </cell>
          <cell r="AF87">
            <v>-476</v>
          </cell>
          <cell r="AI87">
            <v>-447</v>
          </cell>
          <cell r="AL87">
            <v>-326</v>
          </cell>
          <cell r="AO87">
            <v>-244</v>
          </cell>
        </row>
        <row r="88">
          <cell r="B88" t="str">
            <v>Acquisitions</v>
          </cell>
          <cell r="C88" t="str">
            <v>ACQ</v>
          </cell>
          <cell r="D88" t="str">
            <v>GBP</v>
          </cell>
          <cell r="F88">
            <v>-23</v>
          </cell>
          <cell r="G88">
            <v>-45</v>
          </cell>
          <cell r="H88">
            <v>-1</v>
          </cell>
          <cell r="I88">
            <v>-57</v>
          </cell>
          <cell r="J88">
            <v>0</v>
          </cell>
          <cell r="K88">
            <v>0</v>
          </cell>
          <cell r="L88">
            <v>-29</v>
          </cell>
          <cell r="M88">
            <v>-93</v>
          </cell>
          <cell r="N88">
            <v>-612</v>
          </cell>
          <cell r="O88">
            <v>-1375</v>
          </cell>
          <cell r="P88">
            <v>-1605</v>
          </cell>
          <cell r="Q88">
            <v>0</v>
          </cell>
          <cell r="R88">
            <v>-49</v>
          </cell>
          <cell r="S88">
            <v>-62</v>
          </cell>
          <cell r="T88">
            <v>-630</v>
          </cell>
          <cell r="U88">
            <v>0</v>
          </cell>
          <cell r="V88">
            <v>0</v>
          </cell>
          <cell r="W88">
            <v>-2422</v>
          </cell>
          <cell r="X88">
            <v>0</v>
          </cell>
          <cell r="Y88">
            <v>0</v>
          </cell>
          <cell r="Z88">
            <v>-12</v>
          </cell>
          <cell r="AC88">
            <v>-2263</v>
          </cell>
          <cell r="AF88">
            <v>-1076</v>
          </cell>
          <cell r="AI88">
            <v>-324</v>
          </cell>
          <cell r="AL88">
            <v>-179</v>
          </cell>
          <cell r="AO88">
            <v>-532</v>
          </cell>
        </row>
        <row r="89">
          <cell r="B89" t="str">
            <v>Divestitures</v>
          </cell>
          <cell r="C89" t="str">
            <v>DIVEST</v>
          </cell>
          <cell r="D89" t="str">
            <v>GBP</v>
          </cell>
          <cell r="F89">
            <v>10</v>
          </cell>
          <cell r="G89">
            <v>-4</v>
          </cell>
          <cell r="H89">
            <v>8</v>
          </cell>
          <cell r="I89">
            <v>375</v>
          </cell>
          <cell r="J89">
            <v>1650</v>
          </cell>
          <cell r="K89">
            <v>0</v>
          </cell>
          <cell r="L89">
            <v>-80</v>
          </cell>
          <cell r="M89">
            <v>38</v>
          </cell>
          <cell r="N89">
            <v>929</v>
          </cell>
          <cell r="O89">
            <v>179</v>
          </cell>
          <cell r="P89">
            <v>126</v>
          </cell>
          <cell r="Q89">
            <v>-152</v>
          </cell>
          <cell r="R89">
            <v>69</v>
          </cell>
          <cell r="S89">
            <v>3</v>
          </cell>
          <cell r="T89">
            <v>0</v>
          </cell>
          <cell r="U89">
            <v>0</v>
          </cell>
          <cell r="V89">
            <v>0</v>
          </cell>
          <cell r="W89">
            <v>586</v>
          </cell>
          <cell r="X89">
            <v>0</v>
          </cell>
          <cell r="Y89">
            <v>0</v>
          </cell>
          <cell r="Z89">
            <v>1342</v>
          </cell>
          <cell r="AC89">
            <v>147</v>
          </cell>
          <cell r="AF89">
            <v>75</v>
          </cell>
          <cell r="AI89">
            <v>71</v>
          </cell>
          <cell r="AL89">
            <v>70</v>
          </cell>
          <cell r="AO89">
            <v>280</v>
          </cell>
        </row>
        <row r="90">
          <cell r="B90" t="str">
            <v>Other investing cash flow items</v>
          </cell>
          <cell r="C90" t="str">
            <v>OTH_INV_CF</v>
          </cell>
          <cell r="D90" t="str">
            <v>GBP</v>
          </cell>
          <cell r="F90">
            <v>-910</v>
          </cell>
          <cell r="G90">
            <v>729</v>
          </cell>
          <cell r="H90">
            <v>67</v>
          </cell>
          <cell r="I90">
            <v>-9</v>
          </cell>
          <cell r="J90">
            <v>-307</v>
          </cell>
          <cell r="K90">
            <v>104</v>
          </cell>
          <cell r="L90">
            <v>178</v>
          </cell>
          <cell r="M90">
            <v>23</v>
          </cell>
          <cell r="N90">
            <v>0</v>
          </cell>
          <cell r="O90">
            <v>0</v>
          </cell>
          <cell r="P90">
            <v>-14</v>
          </cell>
          <cell r="Q90">
            <v>6</v>
          </cell>
          <cell r="R90">
            <v>2</v>
          </cell>
          <cell r="S90">
            <v>-75</v>
          </cell>
          <cell r="T90">
            <v>-50</v>
          </cell>
          <cell r="U90">
            <v>0</v>
          </cell>
          <cell r="V90">
            <v>0</v>
          </cell>
          <cell r="W90">
            <v>95</v>
          </cell>
          <cell r="X90">
            <v>0</v>
          </cell>
          <cell r="Y90">
            <v>0</v>
          </cell>
          <cell r="Z90">
            <v>95</v>
          </cell>
          <cell r="AC90">
            <v>237</v>
          </cell>
          <cell r="AF90">
            <v>380</v>
          </cell>
          <cell r="AI90">
            <v>137</v>
          </cell>
          <cell r="AL90">
            <v>-251</v>
          </cell>
          <cell r="AO90">
            <v>-59</v>
          </cell>
        </row>
        <row r="91">
          <cell r="B91" t="str">
            <v>Cash flow from investing</v>
          </cell>
          <cell r="C91" t="str">
            <v>CF_INV</v>
          </cell>
          <cell r="D91" t="str">
            <v>GBP</v>
          </cell>
          <cell r="F91">
            <v>-1252</v>
          </cell>
          <cell r="G91">
            <v>225</v>
          </cell>
          <cell r="H91">
            <v>-294</v>
          </cell>
          <cell r="I91">
            <v>-89</v>
          </cell>
          <cell r="J91">
            <v>1179</v>
          </cell>
          <cell r="K91">
            <v>-1</v>
          </cell>
          <cell r="L91">
            <v>-47</v>
          </cell>
          <cell r="M91">
            <v>-208</v>
          </cell>
          <cell r="N91">
            <v>8</v>
          </cell>
          <cell r="O91">
            <v>-1465</v>
          </cell>
          <cell r="P91">
            <v>-1773</v>
          </cell>
          <cell r="Q91">
            <v>-224</v>
          </cell>
          <cell r="R91">
            <v>-142</v>
          </cell>
          <cell r="S91">
            <v>-310</v>
          </cell>
          <cell r="T91">
            <v>-886</v>
          </cell>
          <cell r="W91">
            <v>-2041</v>
          </cell>
          <cell r="Z91">
            <v>1141</v>
          </cell>
          <cell r="AC91">
            <v>-2173</v>
          </cell>
          <cell r="AF91">
            <v>-1097</v>
          </cell>
          <cell r="AI91">
            <v>-563</v>
          </cell>
          <cell r="AL91">
            <v>-686</v>
          </cell>
          <cell r="AO91">
            <v>-555</v>
          </cell>
        </row>
        <row r="92">
          <cell r="B92" t="str">
            <v>Dividends paid</v>
          </cell>
          <cell r="C92" t="str">
            <v>DIV_PAID</v>
          </cell>
          <cell r="D92" t="str">
            <v>GBP</v>
          </cell>
          <cell r="F92">
            <v>-78</v>
          </cell>
          <cell r="G92">
            <v>-85</v>
          </cell>
          <cell r="H92">
            <v>-82</v>
          </cell>
          <cell r="I92">
            <v>-38</v>
          </cell>
          <cell r="J92">
            <v>-34</v>
          </cell>
          <cell r="K92">
            <v>-42</v>
          </cell>
          <cell r="L92">
            <v>-54</v>
          </cell>
          <cell r="M92">
            <v>-68</v>
          </cell>
          <cell r="N92">
            <v>-60</v>
          </cell>
          <cell r="O92">
            <v>-100</v>
          </cell>
          <cell r="P92">
            <v>-202</v>
          </cell>
          <cell r="Q92">
            <v>-266</v>
          </cell>
          <cell r="R92">
            <v>-281</v>
          </cell>
          <cell r="S92">
            <v>-281</v>
          </cell>
          <cell r="T92">
            <v>-281</v>
          </cell>
          <cell r="U92">
            <v>0</v>
          </cell>
          <cell r="V92">
            <v>0</v>
          </cell>
          <cell r="W92">
            <v>-315</v>
          </cell>
          <cell r="X92">
            <v>0</v>
          </cell>
          <cell r="Y92">
            <v>0</v>
          </cell>
          <cell r="Z92">
            <v>-346</v>
          </cell>
          <cell r="AC92">
            <v>-396</v>
          </cell>
          <cell r="AF92">
            <v>-478</v>
          </cell>
          <cell r="AI92">
            <v>-534</v>
          </cell>
          <cell r="AL92">
            <v>-574</v>
          </cell>
          <cell r="AO92">
            <v>-606</v>
          </cell>
        </row>
        <row r="93">
          <cell r="B93" t="str">
            <v>Common stock issuance/(repurchase)</v>
          </cell>
          <cell r="C93" t="str">
            <v>SH_REPUR</v>
          </cell>
          <cell r="D93" t="str">
            <v>GBP</v>
          </cell>
          <cell r="F93">
            <v>3</v>
          </cell>
          <cell r="G93">
            <v>435</v>
          </cell>
          <cell r="H93">
            <v>0</v>
          </cell>
          <cell r="I93">
            <v>0</v>
          </cell>
          <cell r="J93">
            <v>170</v>
          </cell>
          <cell r="K93">
            <v>10</v>
          </cell>
          <cell r="L93">
            <v>6</v>
          </cell>
          <cell r="M93">
            <v>17</v>
          </cell>
          <cell r="N93">
            <v>18</v>
          </cell>
          <cell r="O93">
            <v>43</v>
          </cell>
          <cell r="P93">
            <v>71</v>
          </cell>
          <cell r="Q93">
            <v>30</v>
          </cell>
          <cell r="R93">
            <v>32</v>
          </cell>
          <cell r="S93">
            <v>0</v>
          </cell>
          <cell r="T93">
            <v>0</v>
          </cell>
          <cell r="U93">
            <v>0</v>
          </cell>
          <cell r="V93">
            <v>0</v>
          </cell>
          <cell r="W93">
            <v>373</v>
          </cell>
          <cell r="X93">
            <v>0</v>
          </cell>
          <cell r="Y93">
            <v>0</v>
          </cell>
          <cell r="Z93">
            <v>-71</v>
          </cell>
          <cell r="AC93">
            <v>603</v>
          </cell>
          <cell r="AF93">
            <v>-27</v>
          </cell>
          <cell r="AI93">
            <v>-20</v>
          </cell>
          <cell r="AL93">
            <v>-520</v>
          </cell>
          <cell r="AO93">
            <v>-509</v>
          </cell>
        </row>
        <row r="94">
          <cell r="B94" t="str">
            <v>Increase/(decrease) in total debt</v>
          </cell>
          <cell r="C94" t="str">
            <v>CHG_LT_DEBT</v>
          </cell>
          <cell r="D94" t="str">
            <v>GBP</v>
          </cell>
          <cell r="F94">
            <v>0</v>
          </cell>
          <cell r="G94">
            <v>-202</v>
          </cell>
          <cell r="H94">
            <v>-378</v>
          </cell>
          <cell r="I94">
            <v>-618</v>
          </cell>
          <cell r="J94">
            <v>1048</v>
          </cell>
          <cell r="K94">
            <v>13</v>
          </cell>
          <cell r="L94">
            <v>154</v>
          </cell>
          <cell r="M94">
            <v>-136</v>
          </cell>
          <cell r="N94">
            <v>105</v>
          </cell>
          <cell r="O94">
            <v>-2018</v>
          </cell>
          <cell r="P94">
            <v>-280</v>
          </cell>
          <cell r="Q94">
            <v>85</v>
          </cell>
          <cell r="R94">
            <v>392</v>
          </cell>
          <cell r="S94">
            <v>455</v>
          </cell>
          <cell r="T94">
            <v>144</v>
          </cell>
          <cell r="U94">
            <v>0</v>
          </cell>
          <cell r="V94">
            <v>0</v>
          </cell>
          <cell r="W94">
            <v>-2055</v>
          </cell>
          <cell r="X94">
            <v>0</v>
          </cell>
          <cell r="Y94">
            <v>0</v>
          </cell>
          <cell r="Z94">
            <v>1329</v>
          </cell>
          <cell r="AC94">
            <v>614</v>
          </cell>
          <cell r="AF94">
            <v>-285</v>
          </cell>
          <cell r="AI94">
            <v>-512</v>
          </cell>
          <cell r="AL94">
            <v>240</v>
          </cell>
          <cell r="AO94">
            <v>-147</v>
          </cell>
        </row>
        <row r="95">
          <cell r="B95" t="str">
            <v>Other financing cash flow items</v>
          </cell>
          <cell r="C95" t="str">
            <v>OTH_FIN_CF</v>
          </cell>
          <cell r="D95" t="str">
            <v>GBP</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99</v>
          </cell>
          <cell r="X95">
            <v>0</v>
          </cell>
          <cell r="Y95">
            <v>0</v>
          </cell>
          <cell r="Z95">
            <v>139</v>
          </cell>
          <cell r="AC95">
            <v>175</v>
          </cell>
          <cell r="AF95">
            <v>156</v>
          </cell>
          <cell r="AI95">
            <v>66</v>
          </cell>
          <cell r="AL95">
            <v>48</v>
          </cell>
          <cell r="AO95">
            <v>32</v>
          </cell>
        </row>
        <row r="96">
          <cell r="B96" t="str">
            <v>Cash flow from financing</v>
          </cell>
          <cell r="C96" t="str">
            <v>CF_FIN</v>
          </cell>
          <cell r="D96" t="str">
            <v>GBP</v>
          </cell>
          <cell r="F96">
            <v>-75</v>
          </cell>
          <cell r="G96">
            <v>148</v>
          </cell>
          <cell r="H96">
            <v>-460</v>
          </cell>
          <cell r="I96">
            <v>-656</v>
          </cell>
          <cell r="J96">
            <v>1184</v>
          </cell>
          <cell r="K96">
            <v>-19</v>
          </cell>
          <cell r="L96">
            <v>106</v>
          </cell>
          <cell r="M96">
            <v>-187</v>
          </cell>
          <cell r="N96">
            <v>63</v>
          </cell>
          <cell r="O96">
            <v>-2075</v>
          </cell>
          <cell r="P96">
            <v>-411</v>
          </cell>
          <cell r="Q96">
            <v>-151</v>
          </cell>
          <cell r="R96">
            <v>143</v>
          </cell>
          <cell r="S96">
            <v>174</v>
          </cell>
          <cell r="T96">
            <v>-137</v>
          </cell>
          <cell r="W96">
            <v>-1898</v>
          </cell>
          <cell r="Z96">
            <v>1051</v>
          </cell>
          <cell r="AC96">
            <v>996</v>
          </cell>
          <cell r="AF96">
            <v>-634</v>
          </cell>
          <cell r="AI96">
            <v>-1000</v>
          </cell>
          <cell r="AL96">
            <v>-806</v>
          </cell>
          <cell r="AO96">
            <v>-1230</v>
          </cell>
        </row>
        <row r="97">
          <cell r="B97" t="str">
            <v>Other items net cash flow</v>
          </cell>
          <cell r="C97" t="str">
            <v>OTH_ITEM_NCF</v>
          </cell>
          <cell r="D97" t="str">
            <v>GBP</v>
          </cell>
          <cell r="F97">
            <v>0</v>
          </cell>
          <cell r="G97">
            <v>-390</v>
          </cell>
          <cell r="H97">
            <v>662</v>
          </cell>
          <cell r="I97">
            <v>389</v>
          </cell>
          <cell r="J97">
            <v>-2034</v>
          </cell>
          <cell r="K97">
            <v>-26</v>
          </cell>
          <cell r="L97">
            <v>-254</v>
          </cell>
          <cell r="M97">
            <v>265</v>
          </cell>
          <cell r="N97">
            <v>-209</v>
          </cell>
          <cell r="O97">
            <v>4384</v>
          </cell>
          <cell r="P97">
            <v>538</v>
          </cell>
          <cell r="Q97">
            <v>-171</v>
          </cell>
          <cell r="R97">
            <v>-823</v>
          </cell>
          <cell r="S97">
            <v>-717</v>
          </cell>
          <cell r="T97">
            <v>-222</v>
          </cell>
          <cell r="W97">
            <v>2817</v>
          </cell>
          <cell r="Z97">
            <v>-2316</v>
          </cell>
          <cell r="AC97">
            <v>-1098</v>
          </cell>
          <cell r="AF97">
            <v>-454</v>
          </cell>
          <cell r="AI97">
            <v>925</v>
          </cell>
          <cell r="AL97">
            <v>-421</v>
          </cell>
          <cell r="AO97">
            <v>543</v>
          </cell>
        </row>
        <row r="98">
          <cell r="B98" t="str">
            <v>Total cash flow</v>
          </cell>
          <cell r="C98" t="str">
            <v>TOT_CF</v>
          </cell>
          <cell r="D98" t="str">
            <v>GBP</v>
          </cell>
          <cell r="F98">
            <v>-1276</v>
          </cell>
          <cell r="G98">
            <v>-186</v>
          </cell>
          <cell r="H98">
            <v>-36</v>
          </cell>
          <cell r="I98">
            <v>-188</v>
          </cell>
          <cell r="J98">
            <v>19</v>
          </cell>
          <cell r="K98">
            <v>45</v>
          </cell>
          <cell r="L98">
            <v>366</v>
          </cell>
          <cell r="M98">
            <v>176</v>
          </cell>
          <cell r="N98">
            <v>-681</v>
          </cell>
          <cell r="O98">
            <v>1150</v>
          </cell>
          <cell r="P98">
            <v>110</v>
          </cell>
          <cell r="Q98">
            <v>-60</v>
          </cell>
          <cell r="R98">
            <v>-868</v>
          </cell>
          <cell r="S98">
            <v>-43</v>
          </cell>
          <cell r="T98">
            <v>744</v>
          </cell>
          <cell r="W98">
            <v>808</v>
          </cell>
          <cell r="Z98">
            <v>388</v>
          </cell>
          <cell r="AC98">
            <v>-377</v>
          </cell>
          <cell r="AF98">
            <v>-602</v>
          </cell>
          <cell r="AI98">
            <v>1069</v>
          </cell>
          <cell r="AL98">
            <v>-880</v>
          </cell>
          <cell r="AO98">
            <v>-672</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row>
        <row r="112">
          <cell r="B112" t="str">
            <v>Dividends paid to minorities</v>
          </cell>
          <cell r="C112" t="str">
            <v>DIVDS_PD_MINORITIES</v>
          </cell>
          <cell r="D112" t="str">
            <v>GBP</v>
          </cell>
        </row>
        <row r="113">
          <cell r="A113" t="str">
            <v>Other Items</v>
          </cell>
        </row>
        <row r="114">
          <cell r="B114" t="str">
            <v>Number of employees</v>
          </cell>
          <cell r="C114" t="str">
            <v>EMPLOYEES</v>
          </cell>
        </row>
        <row r="115">
          <cell r="A115" t="str">
            <v>Geographical Breakdown</v>
          </cell>
        </row>
        <row r="116">
          <cell r="B116" t="str">
            <v>Sales - Total % Americas</v>
          </cell>
          <cell r="C116" t="str">
            <v>SALES_TOT_AM</v>
          </cell>
          <cell r="AF116">
            <v>0.53572776789099996</v>
          </cell>
          <cell r="AI116">
            <v>0.51600000000000001</v>
          </cell>
          <cell r="AL116">
            <v>0.45601107538399999</v>
          </cell>
          <cell r="AO116">
            <v>0.417980578469</v>
          </cell>
        </row>
        <row r="117">
          <cell r="B117" t="str">
            <v>Sales - % United States</v>
          </cell>
          <cell r="C117" t="str">
            <v>SALES_US</v>
          </cell>
          <cell r="AF117">
            <v>0.50784662675900005</v>
          </cell>
          <cell r="AI117">
            <v>0.48799999999999999</v>
          </cell>
          <cell r="AL117">
            <v>0.45234905323300001</v>
          </cell>
          <cell r="AO117">
            <v>0.41369948835800002</v>
          </cell>
        </row>
        <row r="119">
          <cell r="B119" t="str">
            <v>Sales - % Brazil</v>
          </cell>
          <cell r="C119" t="str">
            <v>SALES_BRAZIL</v>
          </cell>
          <cell r="AF119">
            <v>0</v>
          </cell>
          <cell r="AI119">
            <v>0</v>
          </cell>
          <cell r="AL119">
            <v>0</v>
          </cell>
          <cell r="AO119">
            <v>0</v>
          </cell>
        </row>
        <row r="120">
          <cell r="B120" t="str">
            <v>Sales - % Other Americas</v>
          </cell>
          <cell r="C120" t="str">
            <v>SALES_OTH_AM</v>
          </cell>
          <cell r="AF120">
            <v>2.0924338024999999E-2</v>
          </cell>
          <cell r="AI120">
            <v>2.1999999999999999E-2</v>
          </cell>
          <cell r="AL120">
            <v>0</v>
          </cell>
          <cell r="AO120">
            <v>0</v>
          </cell>
        </row>
        <row r="121">
          <cell r="B121" t="str">
            <v>Sales - Total % EMEA</v>
          </cell>
          <cell r="C121" t="str">
            <v>SALES_TOT_EMEA</v>
          </cell>
          <cell r="AF121">
            <v>0.42069783745900002</v>
          </cell>
          <cell r="AI121">
            <v>0.439</v>
          </cell>
          <cell r="AL121">
            <v>0.46900678813899999</v>
          </cell>
          <cell r="AO121">
            <v>0.486530228673</v>
          </cell>
        </row>
        <row r="122">
          <cell r="B122" t="str">
            <v>Sales - % UK</v>
          </cell>
          <cell r="C122" t="str">
            <v>SALES_UK</v>
          </cell>
          <cell r="AF122">
            <v>0.183249743839</v>
          </cell>
          <cell r="AI122">
            <v>0.186</v>
          </cell>
          <cell r="AL122">
            <v>0.192300821722</v>
          </cell>
          <cell r="AO122">
            <v>0.203247363475</v>
          </cell>
        </row>
        <row r="123">
          <cell r="B123" t="str">
            <v>Sales - % Western Europe-Ex UK</v>
          </cell>
          <cell r="C123" t="str">
            <v>SALES_EU_EX_UK</v>
          </cell>
          <cell r="AF123">
            <v>0.14274928544500001</v>
          </cell>
          <cell r="AI123">
            <v>0.123</v>
          </cell>
          <cell r="AL123">
            <v>0.12473204716</v>
          </cell>
          <cell r="AO123">
            <v>0.14774981727100001</v>
          </cell>
        </row>
        <row r="128">
          <cell r="B128" t="str">
            <v>Sales - % France</v>
          </cell>
          <cell r="C128" t="str">
            <v>SALES_FRA</v>
          </cell>
        </row>
        <row r="129">
          <cell r="B129" t="str">
            <v>Sales - % Germany</v>
          </cell>
          <cell r="C129" t="str">
            <v>SALES_GER</v>
          </cell>
        </row>
        <row r="133">
          <cell r="B133" t="str">
            <v>Sales - % Italy</v>
          </cell>
          <cell r="C133" t="str">
            <v>SALES_ITA</v>
          </cell>
        </row>
        <row r="137">
          <cell r="B137" t="str">
            <v>Sales - % Spain</v>
          </cell>
          <cell r="C137" t="str">
            <v>SALES_SPA</v>
          </cell>
        </row>
        <row r="138">
          <cell r="B138" t="str">
            <v>Sales - % Other Western Europe-Ex UK</v>
          </cell>
          <cell r="C138" t="str">
            <v>SALES_OTH_EU_EX_UK</v>
          </cell>
        </row>
        <row r="141">
          <cell r="B141" t="str">
            <v>Sales - % Central &amp; Eastern Europe</v>
          </cell>
          <cell r="C141" t="str">
            <v>SALES_CEE</v>
          </cell>
          <cell r="AF141">
            <v>0</v>
          </cell>
          <cell r="AI141">
            <v>0</v>
          </cell>
          <cell r="AL141">
            <v>0</v>
          </cell>
          <cell r="AO141">
            <v>0</v>
          </cell>
        </row>
        <row r="142">
          <cell r="B142" t="str">
            <v>Sales - % Middle East</v>
          </cell>
          <cell r="C142" t="str">
            <v>SALES_ME</v>
          </cell>
          <cell r="AF142">
            <v>9.4698808176000002E-2</v>
          </cell>
          <cell r="AI142">
            <v>0.13</v>
          </cell>
          <cell r="AL142">
            <v>0.15197391925699999</v>
          </cell>
          <cell r="AO142">
            <v>0.13553304792699999</v>
          </cell>
        </row>
        <row r="143">
          <cell r="B143" t="str">
            <v>Sales - % South Africa</v>
          </cell>
          <cell r="C143" t="str">
            <v>SALES_SO_AFRICA</v>
          </cell>
        </row>
        <row r="144">
          <cell r="B144" t="str">
            <v>Sales - % Nigeria</v>
          </cell>
          <cell r="C144" t="str">
            <v>SALES_NIGERIA</v>
          </cell>
        </row>
        <row r="145">
          <cell r="B145" t="str">
            <v>Sales - % Other Africa</v>
          </cell>
          <cell r="C145" t="str">
            <v>SALES_OTH_AFRICA</v>
          </cell>
        </row>
        <row r="146">
          <cell r="B146" t="str">
            <v>Sales - % Total Africa</v>
          </cell>
          <cell r="C146" t="str">
            <v>SALES_TOT_AFRICA</v>
          </cell>
        </row>
        <row r="147">
          <cell r="B147" t="str">
            <v>Sales - % Russia</v>
          </cell>
          <cell r="C147" t="str">
            <v>SALES_RUSSIA</v>
          </cell>
          <cell r="AF147">
            <v>0</v>
          </cell>
          <cell r="AI147">
            <v>0</v>
          </cell>
          <cell r="AL147">
            <v>0</v>
          </cell>
          <cell r="AO147">
            <v>0</v>
          </cell>
        </row>
        <row r="148">
          <cell r="B148" t="str">
            <v>Sales - % Other EMEA</v>
          </cell>
          <cell r="C148" t="str">
            <v>SALES_OTH_EMEA</v>
          </cell>
          <cell r="AF148">
            <v>0</v>
          </cell>
          <cell r="AI148">
            <v>0</v>
          </cell>
          <cell r="AL148">
            <v>0</v>
          </cell>
          <cell r="AO148">
            <v>0</v>
          </cell>
        </row>
        <row r="149">
          <cell r="B149" t="str">
            <v>Sales - Total % Asia (incl Australia &amp; New Zealand)</v>
          </cell>
          <cell r="C149" t="str">
            <v>SALES_TOT_ASIA</v>
          </cell>
          <cell r="AF149">
            <v>0</v>
          </cell>
          <cell r="AI149">
            <v>0</v>
          </cell>
          <cell r="AL149">
            <v>6.1048588782E-2</v>
          </cell>
          <cell r="AO149">
            <v>7.5441161115000002E-2</v>
          </cell>
        </row>
        <row r="150">
          <cell r="B150" t="str">
            <v>Sales - % Japan</v>
          </cell>
          <cell r="C150" t="str">
            <v>SALES_JAPAN</v>
          </cell>
          <cell r="AF150">
            <v>0</v>
          </cell>
          <cell r="AI150">
            <v>0</v>
          </cell>
          <cell r="AL150">
            <v>0</v>
          </cell>
          <cell r="AO150">
            <v>0</v>
          </cell>
        </row>
        <row r="151">
          <cell r="B151" t="str">
            <v>Sales - % China</v>
          </cell>
          <cell r="C151" t="str">
            <v>SALES_CHINA</v>
          </cell>
          <cell r="AF151">
            <v>0</v>
          </cell>
          <cell r="AI151">
            <v>0</v>
          </cell>
          <cell r="AL151">
            <v>0</v>
          </cell>
          <cell r="AO151">
            <v>0</v>
          </cell>
        </row>
        <row r="152">
          <cell r="B152" t="str">
            <v>Sales - % India</v>
          </cell>
          <cell r="C152" t="str">
            <v>SALES_INDIA</v>
          </cell>
          <cell r="AF152">
            <v>0</v>
          </cell>
          <cell r="AI152">
            <v>0</v>
          </cell>
          <cell r="AL152">
            <v>0</v>
          </cell>
          <cell r="AO152">
            <v>0</v>
          </cell>
        </row>
        <row r="156">
          <cell r="B156" t="str">
            <v>Sales - % Other Asia</v>
          </cell>
          <cell r="C156" t="str">
            <v>SALES_OTH_AEJ</v>
          </cell>
          <cell r="AF156">
            <v>0</v>
          </cell>
          <cell r="AI156">
            <v>0</v>
          </cell>
          <cell r="AL156">
            <v>0</v>
          </cell>
          <cell r="AO156">
            <v>7.5441161115000002E-2</v>
          </cell>
        </row>
        <row r="157">
          <cell r="B157" t="str">
            <v>Sales - % Others</v>
          </cell>
          <cell r="C157" t="str">
            <v>SALES_OTHER</v>
          </cell>
          <cell r="AF157">
            <v>4.3574394650000001E-2</v>
          </cell>
          <cell r="AI157">
            <v>4.4999999999999998E-2</v>
          </cell>
          <cell r="AL157">
            <v>1.4156841729000001E-2</v>
          </cell>
          <cell r="AO157">
            <v>2.0048031742999999E-2</v>
          </cell>
        </row>
        <row r="158">
          <cell r="B158" t="str">
            <v>Indirect Sales - Total % Americas</v>
          </cell>
          <cell r="C158" t="str">
            <v>IND_SALES_TOT_AM</v>
          </cell>
          <cell r="AO158">
            <v>0.417980578469</v>
          </cell>
        </row>
        <row r="159">
          <cell r="B159" t="str">
            <v>Indirect Sales - % United States</v>
          </cell>
          <cell r="C159" t="str">
            <v>IND_SALES_US</v>
          </cell>
          <cell r="AO159">
            <v>0.41369948835800002</v>
          </cell>
        </row>
        <row r="161">
          <cell r="B161" t="str">
            <v>Indirect Sales - % Brazil</v>
          </cell>
          <cell r="C161" t="str">
            <v>IND_SALES_BRAZIL</v>
          </cell>
          <cell r="AO161">
            <v>0</v>
          </cell>
        </row>
        <row r="162">
          <cell r="B162" t="str">
            <v>Indirect Sales - % Other Americas</v>
          </cell>
          <cell r="C162" t="str">
            <v>IND_SALES_OTH_AM</v>
          </cell>
          <cell r="AO162">
            <v>0</v>
          </cell>
        </row>
        <row r="163">
          <cell r="B163" t="str">
            <v>Indirect Sales - Total % EMEA</v>
          </cell>
          <cell r="C163" t="str">
            <v>IND_SALES_TOT_EMEA</v>
          </cell>
          <cell r="AO163">
            <v>0.486530228673</v>
          </cell>
        </row>
        <row r="164">
          <cell r="B164" t="str">
            <v>Indirect Sales - % UK</v>
          </cell>
          <cell r="C164" t="str">
            <v>IND_SALES_UK</v>
          </cell>
          <cell r="AO164">
            <v>0.203247363475</v>
          </cell>
        </row>
        <row r="165">
          <cell r="B165" t="str">
            <v>Indirect Sales - % Western Europe-Ex UK</v>
          </cell>
          <cell r="C165" t="str">
            <v>IND_SALES_EU_EX_UK</v>
          </cell>
          <cell r="AO165">
            <v>0.14774981727100001</v>
          </cell>
        </row>
        <row r="170">
          <cell r="B170" t="str">
            <v>Indirect Sales - % France</v>
          </cell>
          <cell r="C170" t="str">
            <v>IND_SALES_FRA</v>
          </cell>
          <cell r="AO170">
            <v>0</v>
          </cell>
        </row>
        <row r="171">
          <cell r="B171" t="str">
            <v>Indirect Sales - % Germany</v>
          </cell>
          <cell r="C171" t="str">
            <v>IND_SALES_GER</v>
          </cell>
          <cell r="AO171">
            <v>0</v>
          </cell>
        </row>
        <row r="175">
          <cell r="B175" t="str">
            <v>Indirect Sales - % Italy</v>
          </cell>
          <cell r="C175" t="str">
            <v>IND_SALES_ITA</v>
          </cell>
          <cell r="AO175">
            <v>0</v>
          </cell>
        </row>
        <row r="179">
          <cell r="B179" t="str">
            <v>Indirect Sales - % Spain</v>
          </cell>
          <cell r="C179" t="str">
            <v>IND_SALES_SPA</v>
          </cell>
          <cell r="AO179">
            <v>0</v>
          </cell>
        </row>
        <row r="180">
          <cell r="B180" t="str">
            <v>Indirect Sales - % Other Western Europe-Ex UK</v>
          </cell>
          <cell r="C180" t="str">
            <v>IND_SALES_OTH_EU_EX_UK</v>
          </cell>
        </row>
        <row r="183">
          <cell r="B183" t="str">
            <v>Indirect Sales - % Central &amp; Eastern Europe</v>
          </cell>
          <cell r="C183" t="str">
            <v>IND_SALES_CEE</v>
          </cell>
          <cell r="AO183">
            <v>0</v>
          </cell>
        </row>
        <row r="184">
          <cell r="B184" t="str">
            <v>Indirect Sales - % Middle East</v>
          </cell>
          <cell r="C184" t="str">
            <v>IND_SALES_ME</v>
          </cell>
          <cell r="AO184">
            <v>0.13553304792699999</v>
          </cell>
        </row>
        <row r="185">
          <cell r="B185" t="str">
            <v>Indirect Sales - % Russia</v>
          </cell>
          <cell r="C185" t="str">
            <v>IND_SALES_RUSSIA</v>
          </cell>
          <cell r="AO185">
            <v>0</v>
          </cell>
        </row>
        <row r="186">
          <cell r="B186" t="str">
            <v>Indirect sales - % South Africa</v>
          </cell>
          <cell r="C186" t="str">
            <v>IND_SALES_SO_AFRICA</v>
          </cell>
        </row>
        <row r="187">
          <cell r="B187" t="str">
            <v>Indirect sales - % Nigeria</v>
          </cell>
          <cell r="C187" t="str">
            <v>IND_SALES_NIGERIA</v>
          </cell>
        </row>
        <row r="188">
          <cell r="B188" t="str">
            <v>Indirect sales - % Other Africa</v>
          </cell>
          <cell r="C188" t="str">
            <v>IND_SALES_OTH_AFRICA</v>
          </cell>
        </row>
        <row r="189">
          <cell r="B189" t="str">
            <v>Indirect Sales - % Other EMEA</v>
          </cell>
          <cell r="C189" t="str">
            <v>IND_SALES_OTH_EMEA</v>
          </cell>
          <cell r="AO189">
            <v>0</v>
          </cell>
        </row>
        <row r="190">
          <cell r="B190" t="str">
            <v>Indirect sales - % Total Africa</v>
          </cell>
          <cell r="C190" t="str">
            <v>IND_SALES_TOT_AFRICA</v>
          </cell>
        </row>
        <row r="191">
          <cell r="B191" t="str">
            <v>Indirect Sales - Total % Asia (incl Australia &amp; New Zealand)</v>
          </cell>
          <cell r="C191" t="str">
            <v>IND_SALES_TOT_ASIA</v>
          </cell>
          <cell r="AO191">
            <v>7.5441161115000002E-2</v>
          </cell>
        </row>
        <row r="192">
          <cell r="B192" t="str">
            <v>Indirect Sales - % Japan</v>
          </cell>
          <cell r="C192" t="str">
            <v>IND_SALES_JAPAN</v>
          </cell>
          <cell r="AO192">
            <v>0</v>
          </cell>
        </row>
        <row r="193">
          <cell r="B193" t="str">
            <v>Indirect Sales - % China</v>
          </cell>
          <cell r="C193" t="str">
            <v>IND_SALES_CHINA</v>
          </cell>
          <cell r="AO193">
            <v>0</v>
          </cell>
        </row>
        <row r="194">
          <cell r="B194" t="str">
            <v>Indirect Sales - % India</v>
          </cell>
          <cell r="C194" t="str">
            <v>IND_SALES_INDIA</v>
          </cell>
          <cell r="AO194">
            <v>0</v>
          </cell>
        </row>
        <row r="198">
          <cell r="B198" t="str">
            <v>Indirect Sales - % Other Asia</v>
          </cell>
          <cell r="C198" t="str">
            <v>IND_SALES_OTH_AEJ</v>
          </cell>
          <cell r="AO198">
            <v>7.5441161115000002E-2</v>
          </cell>
        </row>
        <row r="199">
          <cell r="B199" t="str">
            <v>Indirect Sales - % Others</v>
          </cell>
          <cell r="C199" t="str">
            <v>IND_SALES_OTHER</v>
          </cell>
          <cell r="AO199">
            <v>2.0048031742999999E-2</v>
          </cell>
        </row>
        <row r="237">
          <cell r="B237" t="str">
            <v>Sales -% Consumer (C)</v>
          </cell>
          <cell r="C237" t="str">
            <v>SALES_CONS</v>
          </cell>
          <cell r="AF237">
            <v>0</v>
          </cell>
          <cell r="AI237">
            <v>0</v>
          </cell>
          <cell r="AL237">
            <v>0</v>
          </cell>
          <cell r="AO237">
            <v>0</v>
          </cell>
        </row>
        <row r="238">
          <cell r="B238" t="str">
            <v>Sales -% Industry (I)</v>
          </cell>
          <cell r="C238" t="str">
            <v>SALES_IND</v>
          </cell>
          <cell r="AF238">
            <v>0.02</v>
          </cell>
          <cell r="AI238">
            <v>0.02</v>
          </cell>
          <cell r="AL238">
            <v>0.02</v>
          </cell>
          <cell r="AO238">
            <v>0.02</v>
          </cell>
        </row>
        <row r="239">
          <cell r="B239" t="str">
            <v>Sales -% Government (G)</v>
          </cell>
          <cell r="C239" t="str">
            <v>SALES_GOV</v>
          </cell>
          <cell r="AF239">
            <v>0.98</v>
          </cell>
          <cell r="AI239">
            <v>0.98</v>
          </cell>
          <cell r="AL239">
            <v>0.98</v>
          </cell>
          <cell r="AO239">
            <v>0.98</v>
          </cell>
        </row>
        <row r="240">
          <cell r="B240" t="str">
            <v>Sales - % Industry Sub-Segment: Financial Services</v>
          </cell>
          <cell r="C240" t="str">
            <v>SALES_FINAN</v>
          </cell>
        </row>
        <row r="259">
          <cell r="B259" t="str">
            <v>Indirect Sales -% Consumer (C)</v>
          </cell>
          <cell r="C259" t="str">
            <v>IND_SALES_CONS</v>
          </cell>
        </row>
        <row r="260">
          <cell r="B260" t="str">
            <v>Indirect Sales -% Industry (I)</v>
          </cell>
          <cell r="C260" t="str">
            <v>IND_SALES_IND</v>
          </cell>
        </row>
        <row r="261">
          <cell r="B261" t="str">
            <v>Indirect Sales -% Government (G)</v>
          </cell>
          <cell r="C261" t="str">
            <v>IND_SALES_GOV</v>
          </cell>
        </row>
        <row r="262">
          <cell r="B262" t="str">
            <v>Indirect Sales -% Industry Sub-Segment: Financial Services</v>
          </cell>
          <cell r="C262" t="str">
            <v>IND_SALES_FINAN</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row>
        <row r="322">
          <cell r="B322" t="str">
            <v>Sales - % FX: Euro</v>
          </cell>
          <cell r="C322" t="str">
            <v>SALES_FX_EUR</v>
          </cell>
        </row>
        <row r="323">
          <cell r="B323" t="str">
            <v>Sales - % FX: New Russian Ruble</v>
          </cell>
          <cell r="C323" t="str">
            <v>SALES_FX_RUB</v>
          </cell>
        </row>
        <row r="324">
          <cell r="B324" t="str">
            <v>Sales - % FX: U.S. Dollar</v>
          </cell>
          <cell r="C324" t="str">
            <v>SALES_FX_USD</v>
          </cell>
        </row>
        <row r="325">
          <cell r="B325" t="str">
            <v>Sales - % FX: Brazilian Real</v>
          </cell>
          <cell r="C325" t="str">
            <v>SALES_FX_BRL</v>
          </cell>
        </row>
        <row r="326">
          <cell r="B326" t="str">
            <v>Sales - % FX: Japanese Yen</v>
          </cell>
          <cell r="C326" t="str">
            <v>SALES_FX_YEN</v>
          </cell>
        </row>
        <row r="327">
          <cell r="B327" t="str">
            <v>Sales - % FX: Chinese Renminbi</v>
          </cell>
          <cell r="C327" t="str">
            <v>SALES_FX_CNY</v>
          </cell>
        </row>
        <row r="328">
          <cell r="B328" t="str">
            <v>Sales - % FX: Indian Rupee</v>
          </cell>
          <cell r="C328" t="str">
            <v>SALES_FX_INR</v>
          </cell>
        </row>
        <row r="329">
          <cell r="B329" t="str">
            <v>Sales - % FX: South African Rand</v>
          </cell>
          <cell r="C329" t="str">
            <v>SALES_FX_ZAR</v>
          </cell>
        </row>
        <row r="330">
          <cell r="B330" t="str">
            <v>Sales - % FX: Nigerian Naira</v>
          </cell>
          <cell r="C330" t="str">
            <v>SALES_FX_NGN</v>
          </cell>
        </row>
        <row r="331">
          <cell r="B331" t="str">
            <v>Sales - % FX: Swiss Franc</v>
          </cell>
          <cell r="C331" t="str">
            <v>SALES_FX_CHF</v>
          </cell>
        </row>
        <row r="332">
          <cell r="B332" t="str">
            <v>Sales - % FX: UAE Dirham</v>
          </cell>
          <cell r="C332" t="str">
            <v>SALES_FX_AED</v>
          </cell>
        </row>
        <row r="333">
          <cell r="B333" t="str">
            <v>Sales - % FX: New Turkish Lira</v>
          </cell>
          <cell r="C333" t="str">
            <v>SALES_FX_TRY</v>
          </cell>
        </row>
        <row r="334">
          <cell r="B334" t="str">
            <v>Sales - % FX: Other Currency</v>
          </cell>
          <cell r="C334" t="str">
            <v>SALES_FX_OTH</v>
          </cell>
        </row>
        <row r="335">
          <cell r="A335" t="str">
            <v>Security: BAE Systems</v>
          </cell>
          <cell r="B335" t="str">
            <v>161ML</v>
          </cell>
        </row>
        <row r="336">
          <cell r="A336" t="str">
            <v>Reference Data</v>
          </cell>
        </row>
        <row r="337">
          <cell r="B337" t="str">
            <v>Ticker</v>
          </cell>
          <cell r="C337" t="str">
            <v>Ticker</v>
          </cell>
          <cell r="E337" t="str">
            <v>BAES.L</v>
          </cell>
        </row>
        <row r="338">
          <cell r="B338" t="str">
            <v>Security Name</v>
          </cell>
          <cell r="C338" t="str">
            <v>Security Name</v>
          </cell>
          <cell r="E338" t="str">
            <v>BAE Systems</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cell r="E346" t="str">
            <v>Coverage Suspended</v>
          </cell>
        </row>
        <row r="347">
          <cell r="B347" t="str">
            <v>Target price</v>
          </cell>
          <cell r="C347" t="str">
            <v>TARGET_PRICE</v>
          </cell>
          <cell r="D347" t="str">
            <v>GBP</v>
          </cell>
        </row>
        <row r="348">
          <cell r="B348" t="str">
            <v>Target price period</v>
          </cell>
          <cell r="C348" t="str">
            <v>TP_PERIOD</v>
          </cell>
        </row>
        <row r="349">
          <cell r="B349" t="str">
            <v>Current shares outstanding (mn)</v>
          </cell>
          <cell r="C349" t="str">
            <v>NUM_SH</v>
          </cell>
          <cell r="E349">
            <v>3240</v>
          </cell>
        </row>
        <row r="350">
          <cell r="B350" t="str">
            <v>Free float</v>
          </cell>
          <cell r="C350" t="str">
            <v>FREE_FLOAT</v>
          </cell>
        </row>
        <row r="351">
          <cell r="A351" t="str">
            <v>Publishing Items</v>
          </cell>
        </row>
        <row r="352">
          <cell r="B352" t="str">
            <v>Book value per share, BVPS (Pub)</v>
          </cell>
          <cell r="C352" t="str">
            <v>BVPS_PUB</v>
          </cell>
          <cell r="D352" t="str">
            <v>GBP</v>
          </cell>
          <cell r="F352">
            <v>244.59459459459501</v>
          </cell>
          <cell r="G352">
            <v>178.37301587301599</v>
          </cell>
          <cell r="H352">
            <v>117.72486772486801</v>
          </cell>
          <cell r="I352">
            <v>94.510582010581999</v>
          </cell>
          <cell r="J352">
            <v>51.529411764705998</v>
          </cell>
          <cell r="K352">
            <v>54.079254079254</v>
          </cell>
          <cell r="L352">
            <v>98.201856148491999</v>
          </cell>
          <cell r="M352">
            <v>83.256880733944996</v>
          </cell>
          <cell r="N352">
            <v>114.51247165532899</v>
          </cell>
          <cell r="O352">
            <v>252.57378174330799</v>
          </cell>
          <cell r="P352">
            <v>235.340572556762</v>
          </cell>
          <cell r="Q352">
            <v>217.78215223097101</v>
          </cell>
          <cell r="R352">
            <v>185.49019607843101</v>
          </cell>
          <cell r="S352">
            <v>182.71241830065401</v>
          </cell>
          <cell r="T352">
            <v>154.37908496732001</v>
          </cell>
          <cell r="W352">
            <v>86.610748679714007</v>
          </cell>
          <cell r="Z352">
            <v>126.833025261861</v>
          </cell>
          <cell r="AC352">
            <v>166.92781197537801</v>
          </cell>
          <cell r="AF352">
            <v>201.95421552205499</v>
          </cell>
          <cell r="AI352">
            <v>129.846582984658</v>
          </cell>
          <cell r="AL352">
            <v>156.40950425344701</v>
          </cell>
          <cell r="AO352">
            <v>131.025957972806</v>
          </cell>
        </row>
        <row r="353">
          <cell r="B353" t="str">
            <v>DPS, dividend per share (Pub)</v>
          </cell>
          <cell r="C353" t="str">
            <v>DPS_PUB</v>
          </cell>
          <cell r="D353" t="str">
            <v>GBP</v>
          </cell>
          <cell r="F353">
            <v>6.2741312741310002</v>
          </cell>
          <cell r="G353">
            <v>5.5555555555560003</v>
          </cell>
          <cell r="H353">
            <v>1.719576719577</v>
          </cell>
          <cell r="I353">
            <v>2.0502645502650001</v>
          </cell>
          <cell r="J353">
            <v>2.4117647058820002</v>
          </cell>
          <cell r="K353">
            <v>3.0885780885780001</v>
          </cell>
          <cell r="L353">
            <v>3.8863109048719999</v>
          </cell>
          <cell r="M353">
            <v>4.873853211009</v>
          </cell>
          <cell r="N353">
            <v>6.4625850340140003</v>
          </cell>
          <cell r="O353">
            <v>8</v>
          </cell>
          <cell r="P353">
            <v>8.4567291872329999</v>
          </cell>
          <cell r="Q353">
            <v>9.0223097112860007</v>
          </cell>
          <cell r="R353">
            <v>9.1830065359479995</v>
          </cell>
          <cell r="S353">
            <v>9.1999999999999993</v>
          </cell>
          <cell r="T353">
            <v>9.5</v>
          </cell>
          <cell r="W353">
            <v>10.3</v>
          </cell>
          <cell r="Z353">
            <v>11.3</v>
          </cell>
          <cell r="AC353">
            <v>12.8</v>
          </cell>
          <cell r="AF353">
            <v>14.5</v>
          </cell>
          <cell r="AI353">
            <v>16</v>
          </cell>
          <cell r="AL353">
            <v>17.5</v>
          </cell>
          <cell r="AO353">
            <v>18.8</v>
          </cell>
        </row>
        <row r="354">
          <cell r="B354" t="str">
            <v>EBITDA (Pub)</v>
          </cell>
          <cell r="C354" t="str">
            <v>EBITDA_PUB</v>
          </cell>
          <cell r="D354" t="str">
            <v>GBP</v>
          </cell>
          <cell r="F354">
            <v>818</v>
          </cell>
          <cell r="G354">
            <v>518</v>
          </cell>
          <cell r="H354">
            <v>256</v>
          </cell>
          <cell r="I354">
            <v>569</v>
          </cell>
          <cell r="J354">
            <v>455</v>
          </cell>
          <cell r="K354">
            <v>513</v>
          </cell>
          <cell r="L354">
            <v>619</v>
          </cell>
          <cell r="M354">
            <v>719</v>
          </cell>
          <cell r="N354">
            <v>776</v>
          </cell>
          <cell r="O354">
            <v>974</v>
          </cell>
          <cell r="P354">
            <v>1259</v>
          </cell>
          <cell r="Q354">
            <v>1499</v>
          </cell>
          <cell r="R354">
            <v>1214</v>
          </cell>
          <cell r="S354">
            <v>1202</v>
          </cell>
          <cell r="T354">
            <v>1215</v>
          </cell>
          <cell r="W354">
            <v>1622</v>
          </cell>
          <cell r="Z354">
            <v>1490</v>
          </cell>
          <cell r="AC354">
            <v>1802</v>
          </cell>
          <cell r="AF354">
            <v>2228</v>
          </cell>
          <cell r="AI354">
            <v>2561</v>
          </cell>
          <cell r="AL354">
            <v>2596</v>
          </cell>
          <cell r="AO354">
            <v>2428</v>
          </cell>
        </row>
        <row r="355">
          <cell r="B355" t="str">
            <v>EPS (Pub)</v>
          </cell>
          <cell r="C355" t="str">
            <v>EPS_PUB</v>
          </cell>
          <cell r="D355" t="str">
            <v>GBP</v>
          </cell>
          <cell r="F355">
            <v>24.544043461388998</v>
          </cell>
          <cell r="G355">
            <v>12.442640310625</v>
          </cell>
          <cell r="H355">
            <v>-10.532591414943999</v>
          </cell>
          <cell r="I355">
            <v>1.654752449034</v>
          </cell>
          <cell r="J355">
            <v>5.7852314092560002</v>
          </cell>
          <cell r="K355">
            <v>12.197982641332</v>
          </cell>
          <cell r="L355">
            <v>18.572426641825999</v>
          </cell>
          <cell r="M355">
            <v>25.028835063437</v>
          </cell>
          <cell r="N355">
            <v>29.388221841052001</v>
          </cell>
          <cell r="O355">
            <v>30.756929637527001</v>
          </cell>
          <cell r="P355">
            <v>19.184491978610001</v>
          </cell>
          <cell r="Q355">
            <v>23.401450230718002</v>
          </cell>
          <cell r="R355">
            <v>17.294464461185999</v>
          </cell>
          <cell r="S355">
            <v>16.650310762185001</v>
          </cell>
          <cell r="T355">
            <v>17.985611510790999</v>
          </cell>
          <cell r="W355">
            <v>22.463085139804999</v>
          </cell>
          <cell r="Z355">
            <v>23.782945999999999</v>
          </cell>
          <cell r="AC355">
            <v>30.980507974011001</v>
          </cell>
          <cell r="AF355">
            <v>37.084398976982001</v>
          </cell>
          <cell r="AI355">
            <v>40.656851642128998</v>
          </cell>
          <cell r="AL355">
            <v>40.770791075051001</v>
          </cell>
          <cell r="AM355">
            <v>19.243946056875</v>
          </cell>
          <cell r="AN355">
            <v>20.472695845057</v>
          </cell>
          <cell r="AO355">
            <v>39.716641901932</v>
          </cell>
        </row>
        <row r="356">
          <cell r="B356" t="str">
            <v>EV adjustment (Pub)</v>
          </cell>
          <cell r="C356" t="str">
            <v>EV_ADJ_PUB</v>
          </cell>
          <cell r="D356" t="str">
            <v>GBP</v>
          </cell>
          <cell r="F356">
            <v>1622</v>
          </cell>
          <cell r="G356">
            <v>851</v>
          </cell>
          <cell r="H356">
            <v>846</v>
          </cell>
          <cell r="I356">
            <v>1070</v>
          </cell>
          <cell r="J356">
            <v>777</v>
          </cell>
          <cell r="K356">
            <v>785</v>
          </cell>
          <cell r="L356">
            <v>436</v>
          </cell>
          <cell r="M356">
            <v>332</v>
          </cell>
          <cell r="N356">
            <v>235.24832214765101</v>
          </cell>
          <cell r="O356">
            <v>785.116912751678</v>
          </cell>
          <cell r="P356">
            <v>939.98322147651004</v>
          </cell>
          <cell r="Q356">
            <v>341.68428982331199</v>
          </cell>
          <cell r="R356">
            <v>2920.66528507574</v>
          </cell>
          <cell r="S356">
            <v>2497.8844775272401</v>
          </cell>
          <cell r="T356">
            <v>3386.8134744597301</v>
          </cell>
          <cell r="U356">
            <v>0</v>
          </cell>
          <cell r="V356">
            <v>0</v>
          </cell>
          <cell r="W356">
            <v>2769.7336956521699</v>
          </cell>
          <cell r="X356">
            <v>0</v>
          </cell>
          <cell r="Y356">
            <v>0</v>
          </cell>
          <cell r="Z356">
            <v>2107.7132012351999</v>
          </cell>
          <cell r="AC356">
            <v>4553.7024576910198</v>
          </cell>
          <cell r="AF356">
            <v>5802.69111467532</v>
          </cell>
          <cell r="AI356">
            <v>6916.7652117673597</v>
          </cell>
          <cell r="AL356">
            <v>6006.3807280466299</v>
          </cell>
          <cell r="AO356">
            <v>5548.0535530601401</v>
          </cell>
        </row>
        <row r="357">
          <cell r="B357" t="str">
            <v>Net debt (Pub)</v>
          </cell>
          <cell r="C357" t="str">
            <v>NET_DEBT_PUB</v>
          </cell>
          <cell r="D357" t="str">
            <v>GBP</v>
          </cell>
          <cell r="F357">
            <v>-711</v>
          </cell>
          <cell r="G357">
            <v>-323</v>
          </cell>
          <cell r="H357">
            <v>91</v>
          </cell>
          <cell r="I357">
            <v>897</v>
          </cell>
          <cell r="J357">
            <v>-170</v>
          </cell>
          <cell r="K357">
            <v>-228</v>
          </cell>
          <cell r="L357">
            <v>-748</v>
          </cell>
          <cell r="M357">
            <v>-788</v>
          </cell>
          <cell r="N357">
            <v>-212</v>
          </cell>
          <cell r="O357">
            <v>755</v>
          </cell>
          <cell r="P357">
            <v>899</v>
          </cell>
          <cell r="Q357">
            <v>831</v>
          </cell>
          <cell r="R357">
            <v>1298</v>
          </cell>
          <cell r="S357">
            <v>870</v>
          </cell>
          <cell r="T357">
            <v>-5</v>
          </cell>
          <cell r="W357">
            <v>1277</v>
          </cell>
          <cell r="Z357">
            <v>-435</v>
          </cell>
          <cell r="AC357">
            <v>-700</v>
          </cell>
          <cell r="AF357">
            <v>-39</v>
          </cell>
          <cell r="AG357">
            <v>316</v>
          </cell>
          <cell r="AH357">
            <v>-403</v>
          </cell>
          <cell r="AI357">
            <v>-403</v>
          </cell>
          <cell r="AL357">
            <v>242</v>
          </cell>
          <cell r="AO357">
            <v>1439</v>
          </cell>
        </row>
        <row r="358">
          <cell r="B358" t="str">
            <v>Net income (Pub)</v>
          </cell>
          <cell r="C358" t="str">
            <v>NI_PUB</v>
          </cell>
          <cell r="D358" t="str">
            <v>GBP</v>
          </cell>
          <cell r="F358">
            <v>253</v>
          </cell>
          <cell r="G358">
            <v>141</v>
          </cell>
          <cell r="H358">
            <v>-159</v>
          </cell>
          <cell r="I358">
            <v>25</v>
          </cell>
          <cell r="J358">
            <v>89</v>
          </cell>
          <cell r="K358">
            <v>208</v>
          </cell>
          <cell r="L358">
            <v>319</v>
          </cell>
          <cell r="M358">
            <v>434</v>
          </cell>
          <cell r="N358">
            <v>514</v>
          </cell>
          <cell r="O358">
            <v>577</v>
          </cell>
          <cell r="P358">
            <v>574</v>
          </cell>
          <cell r="Q358">
            <v>710</v>
          </cell>
          <cell r="R358">
            <v>528</v>
          </cell>
          <cell r="S358">
            <v>509</v>
          </cell>
          <cell r="T358">
            <v>550</v>
          </cell>
          <cell r="W358">
            <v>715</v>
          </cell>
          <cell r="Z358">
            <v>767</v>
          </cell>
          <cell r="AC358">
            <v>1049</v>
          </cell>
          <cell r="AF358">
            <v>1305</v>
          </cell>
          <cell r="AG358">
            <v>629.08000000000004</v>
          </cell>
          <cell r="AH358">
            <v>806.92</v>
          </cell>
          <cell r="AI358">
            <v>1436</v>
          </cell>
          <cell r="AJ358">
            <v>715</v>
          </cell>
          <cell r="AK358">
            <v>692</v>
          </cell>
          <cell r="AL358">
            <v>1407</v>
          </cell>
          <cell r="AM358">
            <v>653</v>
          </cell>
          <cell r="AN358">
            <v>882</v>
          </cell>
          <cell r="AO358">
            <v>1535</v>
          </cell>
        </row>
        <row r="359">
          <cell r="B359" t="str">
            <v>EBIT, operating profit (Pub)</v>
          </cell>
          <cell r="C359" t="str">
            <v>EBIT_PUB</v>
          </cell>
          <cell r="D359" t="str">
            <v>GBP</v>
          </cell>
          <cell r="F359">
            <v>538</v>
          </cell>
          <cell r="G359">
            <v>212</v>
          </cell>
          <cell r="H359">
            <v>-75</v>
          </cell>
          <cell r="I359">
            <v>219</v>
          </cell>
          <cell r="J359">
            <v>265</v>
          </cell>
          <cell r="K359">
            <v>354</v>
          </cell>
          <cell r="L359">
            <v>455</v>
          </cell>
          <cell r="M359">
            <v>558</v>
          </cell>
          <cell r="N359">
            <v>638</v>
          </cell>
          <cell r="O359">
            <v>763</v>
          </cell>
          <cell r="P359">
            <v>950</v>
          </cell>
          <cell r="Q359">
            <v>1260</v>
          </cell>
          <cell r="R359">
            <v>1002</v>
          </cell>
          <cell r="S359">
            <v>980</v>
          </cell>
          <cell r="T359">
            <v>1013</v>
          </cell>
          <cell r="W359">
            <v>1226</v>
          </cell>
          <cell r="Z359">
            <v>1207</v>
          </cell>
          <cell r="AC359">
            <v>1489</v>
          </cell>
          <cell r="AF359">
            <v>1897</v>
          </cell>
          <cell r="AG359">
            <v>979</v>
          </cell>
          <cell r="AH359">
            <v>1241</v>
          </cell>
          <cell r="AI359">
            <v>2220</v>
          </cell>
          <cell r="AJ359">
            <v>1114</v>
          </cell>
          <cell r="AK359">
            <v>1100</v>
          </cell>
          <cell r="AL359">
            <v>2214</v>
          </cell>
          <cell r="AM359">
            <v>968</v>
          </cell>
          <cell r="AN359">
            <v>1057</v>
          </cell>
          <cell r="AO359">
            <v>2025</v>
          </cell>
        </row>
        <row r="360">
          <cell r="B360" t="str">
            <v>Pre-tax profit (Pub)</v>
          </cell>
          <cell r="C360" t="str">
            <v>PTP_PUB</v>
          </cell>
          <cell r="D360" t="str">
            <v>GBP</v>
          </cell>
          <cell r="F360">
            <v>400</v>
          </cell>
          <cell r="G360">
            <v>154</v>
          </cell>
          <cell r="H360">
            <v>-201</v>
          </cell>
          <cell r="I360">
            <v>51</v>
          </cell>
          <cell r="J360">
            <v>172</v>
          </cell>
          <cell r="K360">
            <v>330</v>
          </cell>
          <cell r="L360">
            <v>456</v>
          </cell>
          <cell r="M360">
            <v>604</v>
          </cell>
          <cell r="N360">
            <v>708</v>
          </cell>
          <cell r="O360">
            <v>790</v>
          </cell>
          <cell r="P360">
            <v>859</v>
          </cell>
          <cell r="Q360">
            <v>1083</v>
          </cell>
          <cell r="R360">
            <v>796</v>
          </cell>
          <cell r="S360">
            <v>760</v>
          </cell>
          <cell r="T360">
            <v>806</v>
          </cell>
          <cell r="W360">
            <v>1016</v>
          </cell>
          <cell r="Z360">
            <v>1050</v>
          </cell>
          <cell r="AC360">
            <v>1451</v>
          </cell>
          <cell r="AF360">
            <v>1795</v>
          </cell>
          <cell r="AG360">
            <v>889</v>
          </cell>
          <cell r="AH360">
            <v>1136</v>
          </cell>
          <cell r="AI360">
            <v>2025</v>
          </cell>
          <cell r="AJ360">
            <v>1018</v>
          </cell>
          <cell r="AK360">
            <v>1005</v>
          </cell>
          <cell r="AL360">
            <v>2023</v>
          </cell>
          <cell r="AM360">
            <v>892</v>
          </cell>
          <cell r="AN360">
            <v>934</v>
          </cell>
          <cell r="AO360">
            <v>1826</v>
          </cell>
        </row>
        <row r="361">
          <cell r="B361" t="str">
            <v>Sales, revenue (Pub)</v>
          </cell>
          <cell r="C361" t="str">
            <v>REVS_PUB</v>
          </cell>
          <cell r="D361" t="str">
            <v>GBP</v>
          </cell>
          <cell r="F361">
            <v>10540</v>
          </cell>
          <cell r="G361">
            <v>10562</v>
          </cell>
          <cell r="H361">
            <v>9977</v>
          </cell>
          <cell r="I361">
            <v>10747</v>
          </cell>
          <cell r="J361">
            <v>7153</v>
          </cell>
          <cell r="K361">
            <v>6627</v>
          </cell>
          <cell r="L361">
            <v>7441</v>
          </cell>
          <cell r="M361">
            <v>8546</v>
          </cell>
          <cell r="N361">
            <v>8611</v>
          </cell>
          <cell r="O361">
            <v>8929</v>
          </cell>
          <cell r="P361">
            <v>12185</v>
          </cell>
          <cell r="Q361">
            <v>13138</v>
          </cell>
          <cell r="R361">
            <v>12145</v>
          </cell>
          <cell r="S361">
            <v>12572</v>
          </cell>
          <cell r="T361">
            <v>13479</v>
          </cell>
          <cell r="W361">
            <v>15411</v>
          </cell>
          <cell r="Z361">
            <v>13765</v>
          </cell>
          <cell r="AC361">
            <v>15710</v>
          </cell>
          <cell r="AF361">
            <v>18543</v>
          </cell>
          <cell r="AG361">
            <v>9941</v>
          </cell>
          <cell r="AH361">
            <v>12474</v>
          </cell>
          <cell r="AI361">
            <v>22415</v>
          </cell>
          <cell r="AJ361">
            <v>10643</v>
          </cell>
          <cell r="AK361">
            <v>11749</v>
          </cell>
          <cell r="AL361">
            <v>22392</v>
          </cell>
          <cell r="AM361">
            <v>9229</v>
          </cell>
          <cell r="AN361">
            <v>9925</v>
          </cell>
          <cell r="AO361">
            <v>19154</v>
          </cell>
        </row>
        <row r="362">
          <cell r="B362" t="str">
            <v>Total shareholders' equity (Pub)</v>
          </cell>
          <cell r="C362" t="str">
            <v>EQ_PUB</v>
          </cell>
          <cell r="D362" t="str">
            <v>GBP</v>
          </cell>
          <cell r="F362">
            <v>2856</v>
          </cell>
          <cell r="G362">
            <v>2964</v>
          </cell>
          <cell r="H362">
            <v>2018</v>
          </cell>
          <cell r="I362">
            <v>1549</v>
          </cell>
          <cell r="J362">
            <v>886</v>
          </cell>
          <cell r="K362">
            <v>939</v>
          </cell>
          <cell r="L362">
            <v>1706</v>
          </cell>
          <cell r="M362">
            <v>1452</v>
          </cell>
          <cell r="N362">
            <v>2026</v>
          </cell>
          <cell r="O362">
            <v>7445</v>
          </cell>
          <cell r="P362">
            <v>7252</v>
          </cell>
          <cell r="Q362">
            <v>6658</v>
          </cell>
          <cell r="R362">
            <v>5696</v>
          </cell>
          <cell r="S362">
            <v>5606</v>
          </cell>
          <cell r="T362">
            <v>4738</v>
          </cell>
          <cell r="W362">
            <v>2804</v>
          </cell>
          <cell r="Z362">
            <v>4134</v>
          </cell>
          <cell r="AC362">
            <v>6002</v>
          </cell>
          <cell r="AF362">
            <v>7289</v>
          </cell>
          <cell r="AI362">
            <v>4727</v>
          </cell>
          <cell r="AL362">
            <v>5403</v>
          </cell>
          <cell r="AO362">
            <v>4299</v>
          </cell>
        </row>
        <row r="363">
          <cell r="A363" t="str">
            <v>Income Statement</v>
          </cell>
        </row>
        <row r="364">
          <cell r="B364" t="str">
            <v>Provision for income tax</v>
          </cell>
          <cell r="C364" t="str">
            <v>PROV_INC_TAX</v>
          </cell>
          <cell r="D364" t="str">
            <v>GBP</v>
          </cell>
          <cell r="F364">
            <v>-108</v>
          </cell>
          <cell r="G364">
            <v>-43</v>
          </cell>
          <cell r="H364">
            <v>22</v>
          </cell>
          <cell r="I364">
            <v>-24</v>
          </cell>
          <cell r="J364">
            <v>-62</v>
          </cell>
          <cell r="K364">
            <v>-99</v>
          </cell>
          <cell r="L364">
            <v>-114</v>
          </cell>
          <cell r="M364">
            <v>-149</v>
          </cell>
          <cell r="N364">
            <v>-172</v>
          </cell>
          <cell r="O364">
            <v>-188</v>
          </cell>
          <cell r="P364">
            <v>-258</v>
          </cell>
          <cell r="Q364">
            <v>-346</v>
          </cell>
          <cell r="R364">
            <v>-247</v>
          </cell>
          <cell r="S364">
            <v>-228</v>
          </cell>
          <cell r="T364">
            <v>-234</v>
          </cell>
          <cell r="W364">
            <v>-299</v>
          </cell>
          <cell r="Z364">
            <v>-280</v>
          </cell>
          <cell r="AC364">
            <v>-381</v>
          </cell>
          <cell r="AF364">
            <v>-467</v>
          </cell>
          <cell r="AI364">
            <v>-567</v>
          </cell>
          <cell r="AL364">
            <v>-587</v>
          </cell>
          <cell r="AO364">
            <v>-275</v>
          </cell>
        </row>
        <row r="365">
          <cell r="B365" t="str">
            <v>Minority interest</v>
          </cell>
          <cell r="C365" t="str">
            <v>INC_MINORITY</v>
          </cell>
          <cell r="D365" t="str">
            <v>GBP</v>
          </cell>
          <cell r="F365">
            <v>-18</v>
          </cell>
          <cell r="G365">
            <v>51</v>
          </cell>
          <cell r="H365">
            <v>41</v>
          </cell>
          <cell r="I365">
            <v>19</v>
          </cell>
          <cell r="J365">
            <v>0</v>
          </cell>
          <cell r="K365">
            <v>-2</v>
          </cell>
          <cell r="L365">
            <v>-2</v>
          </cell>
          <cell r="M365">
            <v>0</v>
          </cell>
          <cell r="N365">
            <v>-1</v>
          </cell>
          <cell r="O365">
            <v>-4</v>
          </cell>
          <cell r="P365">
            <v>-6</v>
          </cell>
          <cell r="Q365">
            <v>-6</v>
          </cell>
          <cell r="R365">
            <v>0</v>
          </cell>
          <cell r="S365">
            <v>-2</v>
          </cell>
          <cell r="T365">
            <v>-1</v>
          </cell>
          <cell r="U365">
            <v>0</v>
          </cell>
          <cell r="V365">
            <v>0</v>
          </cell>
          <cell r="W365">
            <v>-2</v>
          </cell>
          <cell r="X365">
            <v>0</v>
          </cell>
          <cell r="Y365">
            <v>0</v>
          </cell>
          <cell r="Z365">
            <v>-3</v>
          </cell>
          <cell r="AC365">
            <v>-21</v>
          </cell>
          <cell r="AF365">
            <v>-23</v>
          </cell>
          <cell r="AI365">
            <v>-22</v>
          </cell>
          <cell r="AL365">
            <v>-29</v>
          </cell>
          <cell r="AO365">
            <v>-16</v>
          </cell>
        </row>
        <row r="366">
          <cell r="B366" t="str">
            <v>Net income (pre-preferred dividends)</v>
          </cell>
          <cell r="C366" t="str">
            <v>NI_PRE_PREF</v>
          </cell>
          <cell r="D366" t="str">
            <v>GBP</v>
          </cell>
          <cell r="F366">
            <v>274</v>
          </cell>
          <cell r="G366">
            <v>162</v>
          </cell>
          <cell r="H366">
            <v>-138</v>
          </cell>
          <cell r="I366">
            <v>46</v>
          </cell>
          <cell r="J366">
            <v>110</v>
          </cell>
          <cell r="K366">
            <v>229</v>
          </cell>
          <cell r="L366">
            <v>340</v>
          </cell>
          <cell r="M366">
            <v>455</v>
          </cell>
          <cell r="N366">
            <v>535</v>
          </cell>
          <cell r="O366">
            <v>598</v>
          </cell>
          <cell r="P366">
            <v>595</v>
          </cell>
          <cell r="Q366">
            <v>731</v>
          </cell>
          <cell r="R366">
            <v>549</v>
          </cell>
          <cell r="S366">
            <v>530</v>
          </cell>
          <cell r="T366">
            <v>571</v>
          </cell>
          <cell r="W366">
            <v>715</v>
          </cell>
          <cell r="Z366">
            <v>767</v>
          </cell>
          <cell r="AC366">
            <v>1049</v>
          </cell>
          <cell r="AF366">
            <v>1305</v>
          </cell>
          <cell r="AI366">
            <v>1436</v>
          </cell>
          <cell r="AL366">
            <v>1407</v>
          </cell>
          <cell r="AO366">
            <v>1535</v>
          </cell>
        </row>
        <row r="367">
          <cell r="B367" t="str">
            <v>Preferred dividends</v>
          </cell>
          <cell r="C367" t="str">
            <v>PREF_DIV</v>
          </cell>
          <cell r="D367" t="str">
            <v>GBP</v>
          </cell>
          <cell r="F367">
            <v>-21</v>
          </cell>
          <cell r="G367">
            <v>-21</v>
          </cell>
          <cell r="H367">
            <v>-21</v>
          </cell>
          <cell r="I367">
            <v>-21</v>
          </cell>
          <cell r="J367">
            <v>-21</v>
          </cell>
          <cell r="K367">
            <v>-21</v>
          </cell>
          <cell r="L367">
            <v>-21</v>
          </cell>
          <cell r="M367">
            <v>-21</v>
          </cell>
          <cell r="N367">
            <v>-21</v>
          </cell>
          <cell r="O367">
            <v>-21</v>
          </cell>
          <cell r="P367">
            <v>-21</v>
          </cell>
          <cell r="Q367">
            <v>-21</v>
          </cell>
          <cell r="R367">
            <v>-21</v>
          </cell>
          <cell r="S367">
            <v>-21</v>
          </cell>
          <cell r="T367">
            <v>-21</v>
          </cell>
          <cell r="U367">
            <v>0</v>
          </cell>
          <cell r="V367">
            <v>0</v>
          </cell>
          <cell r="W367">
            <v>0</v>
          </cell>
          <cell r="X367">
            <v>0</v>
          </cell>
          <cell r="Y367">
            <v>0</v>
          </cell>
          <cell r="Z367">
            <v>0</v>
          </cell>
          <cell r="AC367">
            <v>0</v>
          </cell>
          <cell r="AF367">
            <v>0</v>
          </cell>
          <cell r="AI367">
            <v>0</v>
          </cell>
          <cell r="AL367">
            <v>0</v>
          </cell>
          <cell r="AO367">
            <v>0</v>
          </cell>
        </row>
        <row r="368">
          <cell r="B368" t="str">
            <v>Net income (pre-exceptionals)</v>
          </cell>
          <cell r="C368" t="str">
            <v>NET_EARNING</v>
          </cell>
          <cell r="D368" t="str">
            <v>GBP</v>
          </cell>
          <cell r="F368">
            <v>253</v>
          </cell>
          <cell r="G368">
            <v>141</v>
          </cell>
          <cell r="H368">
            <v>-159</v>
          </cell>
          <cell r="I368">
            <v>25</v>
          </cell>
          <cell r="J368">
            <v>89</v>
          </cell>
          <cell r="K368">
            <v>208</v>
          </cell>
          <cell r="L368">
            <v>319</v>
          </cell>
          <cell r="M368">
            <v>434</v>
          </cell>
          <cell r="N368">
            <v>514</v>
          </cell>
          <cell r="O368">
            <v>577</v>
          </cell>
          <cell r="P368">
            <v>574</v>
          </cell>
          <cell r="Q368">
            <v>710</v>
          </cell>
          <cell r="R368">
            <v>528</v>
          </cell>
          <cell r="S368">
            <v>509</v>
          </cell>
          <cell r="T368">
            <v>550</v>
          </cell>
          <cell r="W368">
            <v>715</v>
          </cell>
          <cell r="Z368">
            <v>767</v>
          </cell>
          <cell r="AC368">
            <v>1049</v>
          </cell>
          <cell r="AF368">
            <v>1305</v>
          </cell>
          <cell r="AI368">
            <v>1436</v>
          </cell>
          <cell r="AL368">
            <v>1407</v>
          </cell>
          <cell r="AO368">
            <v>1535</v>
          </cell>
        </row>
        <row r="369">
          <cell r="B369" t="str">
            <v>Post-tax exceptionals</v>
          </cell>
          <cell r="C369" t="str">
            <v>TAX_EXC</v>
          </cell>
          <cell r="D369" t="str">
            <v>GBP</v>
          </cell>
          <cell r="F369">
            <v>-14</v>
          </cell>
          <cell r="G369">
            <v>-249</v>
          </cell>
          <cell r="H369">
            <v>-750</v>
          </cell>
          <cell r="I369">
            <v>-278</v>
          </cell>
          <cell r="J369">
            <v>30</v>
          </cell>
          <cell r="K369">
            <v>-91</v>
          </cell>
          <cell r="L369">
            <v>-31</v>
          </cell>
          <cell r="M369">
            <v>-291</v>
          </cell>
          <cell r="N369">
            <v>157</v>
          </cell>
          <cell r="O369">
            <v>-274</v>
          </cell>
          <cell r="P369">
            <v>-608</v>
          </cell>
          <cell r="Q369">
            <v>-865</v>
          </cell>
          <cell r="R369">
            <v>-1235</v>
          </cell>
          <cell r="S369">
            <v>-524</v>
          </cell>
          <cell r="T369">
            <v>-1038</v>
          </cell>
          <cell r="U369">
            <v>0</v>
          </cell>
          <cell r="V369">
            <v>0</v>
          </cell>
          <cell r="W369">
            <v>-162</v>
          </cell>
          <cell r="X369">
            <v>0</v>
          </cell>
          <cell r="Y369">
            <v>0</v>
          </cell>
          <cell r="Z369">
            <v>869</v>
          </cell>
          <cell r="AC369">
            <v>-148</v>
          </cell>
          <cell r="AF369">
            <v>440</v>
          </cell>
          <cell r="AI369">
            <v>-1503</v>
          </cell>
          <cell r="AL369">
            <v>-355</v>
          </cell>
          <cell r="AO369">
            <v>-295</v>
          </cell>
        </row>
        <row r="370">
          <cell r="B370" t="str">
            <v>Net income (post-exceptionals)</v>
          </cell>
          <cell r="C370" t="str">
            <v>NET_INC</v>
          </cell>
          <cell r="D370" t="str">
            <v>GBP</v>
          </cell>
          <cell r="F370">
            <v>239</v>
          </cell>
          <cell r="G370">
            <v>-108</v>
          </cell>
          <cell r="H370">
            <v>-909</v>
          </cell>
          <cell r="I370">
            <v>-253</v>
          </cell>
          <cell r="J370">
            <v>119</v>
          </cell>
          <cell r="K370">
            <v>117</v>
          </cell>
          <cell r="L370">
            <v>288</v>
          </cell>
          <cell r="M370">
            <v>143</v>
          </cell>
          <cell r="N370">
            <v>671</v>
          </cell>
          <cell r="O370">
            <v>303</v>
          </cell>
          <cell r="P370">
            <v>-34</v>
          </cell>
          <cell r="Q370">
            <v>-155</v>
          </cell>
          <cell r="R370">
            <v>-707</v>
          </cell>
          <cell r="S370">
            <v>-15</v>
          </cell>
          <cell r="T370">
            <v>-488</v>
          </cell>
          <cell r="W370">
            <v>553</v>
          </cell>
          <cell r="Z370">
            <v>1636</v>
          </cell>
          <cell r="AC370">
            <v>901</v>
          </cell>
          <cell r="AF370">
            <v>1745</v>
          </cell>
          <cell r="AI370">
            <v>-67</v>
          </cell>
          <cell r="AL370">
            <v>1052</v>
          </cell>
          <cell r="AO370">
            <v>1240</v>
          </cell>
        </row>
        <row r="371">
          <cell r="B371" t="str">
            <v>EPS (pre-exceptionals, basic)</v>
          </cell>
          <cell r="C371" t="str">
            <v>EPS</v>
          </cell>
          <cell r="D371" t="str">
            <v>GBP</v>
          </cell>
          <cell r="F371">
            <v>24.544042999999999</v>
          </cell>
          <cell r="G371">
            <v>12.442640000000001</v>
          </cell>
          <cell r="H371">
            <v>-10.532591414943999</v>
          </cell>
          <cell r="I371">
            <v>1.654752</v>
          </cell>
          <cell r="J371">
            <v>5.7852314092560002</v>
          </cell>
          <cell r="K371">
            <v>12.197983000000001</v>
          </cell>
          <cell r="L371">
            <v>18.572427000000001</v>
          </cell>
          <cell r="M371">
            <v>25.028835063437</v>
          </cell>
          <cell r="N371">
            <v>29.388221841052001</v>
          </cell>
          <cell r="O371">
            <v>30.756929637527001</v>
          </cell>
          <cell r="P371">
            <v>19.184491978610001</v>
          </cell>
          <cell r="Q371">
            <v>23.401450230718002</v>
          </cell>
          <cell r="R371">
            <v>17.294464461185999</v>
          </cell>
          <cell r="S371">
            <v>16.650310762185001</v>
          </cell>
          <cell r="T371">
            <v>17.985611510790999</v>
          </cell>
          <cell r="W371">
            <v>22.463085139804999</v>
          </cell>
          <cell r="Z371">
            <v>23.782945736434002</v>
          </cell>
          <cell r="AC371">
            <v>30.980507974011001</v>
          </cell>
          <cell r="AF371">
            <v>37.084398976982001</v>
          </cell>
          <cell r="AI371">
            <v>40.656851642128998</v>
          </cell>
          <cell r="AL371">
            <v>40.770791075051001</v>
          </cell>
          <cell r="AO371">
            <v>39.716641901932</v>
          </cell>
        </row>
        <row r="372">
          <cell r="B372" t="str">
            <v>EPS (pre-exceptionals, diluted)</v>
          </cell>
          <cell r="C372" t="str">
            <v>EPS_FUL_DIL</v>
          </cell>
          <cell r="D372" t="str">
            <v>GBP</v>
          </cell>
          <cell r="M372">
            <v>23.977900552485998</v>
          </cell>
          <cell r="N372">
            <v>26.051697921946001</v>
          </cell>
          <cell r="O372">
            <v>27.834056922335002</v>
          </cell>
          <cell r="P372">
            <v>19.184491978610001</v>
          </cell>
          <cell r="Q372">
            <v>23.401450230718002</v>
          </cell>
          <cell r="R372">
            <v>17.294464461185999</v>
          </cell>
          <cell r="S372">
            <v>16.650310762185001</v>
          </cell>
          <cell r="T372">
            <v>17.985611510790999</v>
          </cell>
          <cell r="W372">
            <v>21.458583433373001</v>
          </cell>
          <cell r="Z372">
            <v>22.678888231815002</v>
          </cell>
          <cell r="AC372">
            <v>30.265435660704</v>
          </cell>
          <cell r="AF372">
            <v>36.989795918367001</v>
          </cell>
          <cell r="AI372">
            <v>40.553515955945002</v>
          </cell>
          <cell r="AL372">
            <v>40.535868625756002</v>
          </cell>
          <cell r="AO372">
            <v>45.387344766410003</v>
          </cell>
        </row>
        <row r="373">
          <cell r="B373" t="str">
            <v>EPS (post-exceptionals, basic)</v>
          </cell>
          <cell r="C373" t="str">
            <v>EPS_POST_BASIC</v>
          </cell>
          <cell r="D373" t="str">
            <v>GBP</v>
          </cell>
          <cell r="F373">
            <v>23.185875048505999</v>
          </cell>
          <cell r="G373">
            <v>-9.5305330038830007</v>
          </cell>
          <cell r="H373">
            <v>-60.214626391096999</v>
          </cell>
          <cell r="I373">
            <v>-16.746094784219999</v>
          </cell>
          <cell r="J373">
            <v>7.735309412376</v>
          </cell>
          <cell r="K373">
            <v>6.861365235749</v>
          </cell>
          <cell r="L373">
            <v>16.767582673498001</v>
          </cell>
          <cell r="M373">
            <v>8.2468281430220003</v>
          </cell>
          <cell r="N373">
            <v>38.364779874214001</v>
          </cell>
          <cell r="O373">
            <v>16.151385927505</v>
          </cell>
          <cell r="P373">
            <v>-1.136363636364</v>
          </cell>
          <cell r="Q373">
            <v>-5.1087673038889996</v>
          </cell>
          <cell r="R373">
            <v>-23.157549950867999</v>
          </cell>
          <cell r="S373">
            <v>-0.49067713444599997</v>
          </cell>
          <cell r="T373">
            <v>-15.958142576847999</v>
          </cell>
          <cell r="W373">
            <v>17.373546968269</v>
          </cell>
          <cell r="Z373">
            <v>50.728682170543003</v>
          </cell>
          <cell r="AC373">
            <v>26.609568812757999</v>
          </cell>
          <cell r="AF373">
            <v>49.587951122478003</v>
          </cell>
          <cell r="AI373">
            <v>-1.8969422423560001</v>
          </cell>
          <cell r="AL373">
            <v>30.483917705012999</v>
          </cell>
          <cell r="AO373">
            <v>36.849925705795002</v>
          </cell>
        </row>
        <row r="374">
          <cell r="B374" t="str">
            <v>EPS (post-exceptionals, diluted)</v>
          </cell>
          <cell r="C374" t="str">
            <v>FULLY_DIL_EPS</v>
          </cell>
          <cell r="D374" t="str">
            <v>GBP</v>
          </cell>
          <cell r="M374">
            <v>7.9005524861880003</v>
          </cell>
          <cell r="N374">
            <v>34.009123162696</v>
          </cell>
          <cell r="O374">
            <v>14.616497829232999</v>
          </cell>
          <cell r="P374">
            <v>-1.136363636364</v>
          </cell>
          <cell r="Q374">
            <v>-5.1087673038889996</v>
          </cell>
          <cell r="R374">
            <v>-23.157549950867999</v>
          </cell>
          <cell r="S374">
            <v>-0.49067713444599997</v>
          </cell>
          <cell r="T374">
            <v>-15.958142576847999</v>
          </cell>
          <cell r="W374">
            <v>16.596638655462002</v>
          </cell>
          <cell r="Z374">
            <v>48.373743347131999</v>
          </cell>
          <cell r="AC374">
            <v>25.99538372764</v>
          </cell>
          <cell r="AF374">
            <v>49.461451247165002</v>
          </cell>
          <cell r="AI374">
            <v>-1.8921208698109999</v>
          </cell>
          <cell r="AL374">
            <v>30.308268510516001</v>
          </cell>
          <cell r="AO374">
            <v>36.664695446480998</v>
          </cell>
        </row>
        <row r="375">
          <cell r="B375" t="str">
            <v>Common dividends paid</v>
          </cell>
          <cell r="C375" t="str">
            <v>COMMON_DIV_PAID</v>
          </cell>
          <cell r="D375" t="str">
            <v>GBP</v>
          </cell>
          <cell r="F375">
            <v>-65</v>
          </cell>
          <cell r="G375">
            <v>-84</v>
          </cell>
          <cell r="H375">
            <v>-26</v>
          </cell>
          <cell r="I375">
            <v>-31</v>
          </cell>
          <cell r="J375">
            <v>-41</v>
          </cell>
          <cell r="K375">
            <v>-53</v>
          </cell>
          <cell r="L375">
            <v>-67</v>
          </cell>
          <cell r="M375">
            <v>-85</v>
          </cell>
          <cell r="N375">
            <v>-114</v>
          </cell>
          <cell r="O375">
            <v>-202</v>
          </cell>
          <cell r="P375">
            <v>-257</v>
          </cell>
          <cell r="Q375">
            <v>-275</v>
          </cell>
          <cell r="R375">
            <v>-281</v>
          </cell>
          <cell r="S375">
            <v>-281</v>
          </cell>
          <cell r="T375">
            <v>-291</v>
          </cell>
          <cell r="W375">
            <v>-315</v>
          </cell>
          <cell r="Z375">
            <v>-346</v>
          </cell>
          <cell r="AC375">
            <v>-396</v>
          </cell>
          <cell r="AF375">
            <v>-510.255</v>
          </cell>
          <cell r="AI375">
            <v>-534</v>
          </cell>
          <cell r="AL375">
            <v>-574</v>
          </cell>
          <cell r="AO375">
            <v>-606</v>
          </cell>
        </row>
        <row r="376">
          <cell r="B376" t="str">
            <v>DPS, dividend per share</v>
          </cell>
          <cell r="C376" t="str">
            <v>DPS</v>
          </cell>
          <cell r="D376" t="str">
            <v>GBP</v>
          </cell>
          <cell r="F376">
            <v>6.2741312741310002</v>
          </cell>
          <cell r="G376">
            <v>5.5555555555560003</v>
          </cell>
          <cell r="H376">
            <v>1.719576719577</v>
          </cell>
          <cell r="I376">
            <v>2.0502645502650001</v>
          </cell>
          <cell r="J376">
            <v>2.4117647058820002</v>
          </cell>
          <cell r="K376">
            <v>3.0885780885780001</v>
          </cell>
          <cell r="L376">
            <v>3.8863109048719999</v>
          </cell>
          <cell r="M376">
            <v>4.873853211009</v>
          </cell>
          <cell r="N376">
            <v>6.4625850340140003</v>
          </cell>
          <cell r="O376">
            <v>8</v>
          </cell>
          <cell r="P376">
            <v>8.4567291872329999</v>
          </cell>
          <cell r="Q376">
            <v>9.0223097112860007</v>
          </cell>
          <cell r="R376">
            <v>9.1830065359479995</v>
          </cell>
          <cell r="S376">
            <v>9.1999999999999993</v>
          </cell>
          <cell r="T376">
            <v>9.5</v>
          </cell>
          <cell r="U376">
            <v>0</v>
          </cell>
          <cell r="V376">
            <v>0</v>
          </cell>
          <cell r="W376">
            <v>10.3</v>
          </cell>
          <cell r="X376">
            <v>0</v>
          </cell>
          <cell r="Y376">
            <v>0</v>
          </cell>
          <cell r="Z376">
            <v>11.3</v>
          </cell>
          <cell r="AC376">
            <v>12.8</v>
          </cell>
          <cell r="AF376">
            <v>14.5</v>
          </cell>
          <cell r="AI376">
            <v>16</v>
          </cell>
          <cell r="AL376">
            <v>17.5</v>
          </cell>
          <cell r="AO376">
            <v>18.8</v>
          </cell>
        </row>
        <row r="377">
          <cell r="B377" t="str">
            <v>Weighted average shares outstanding, basic</v>
          </cell>
          <cell r="C377" t="str">
            <v>SH</v>
          </cell>
          <cell r="F377">
            <v>1030.8</v>
          </cell>
          <cell r="G377">
            <v>1133.2</v>
          </cell>
          <cell r="H377">
            <v>1509.6</v>
          </cell>
          <cell r="I377">
            <v>1510.8</v>
          </cell>
          <cell r="J377">
            <v>1538.4</v>
          </cell>
          <cell r="K377">
            <v>1705.2</v>
          </cell>
          <cell r="L377">
            <v>1717.6</v>
          </cell>
          <cell r="M377">
            <v>1734</v>
          </cell>
          <cell r="N377">
            <v>1749</v>
          </cell>
          <cell r="O377">
            <v>1876</v>
          </cell>
          <cell r="P377">
            <v>2992</v>
          </cell>
          <cell r="Q377">
            <v>3034</v>
          </cell>
          <cell r="R377">
            <v>3053</v>
          </cell>
          <cell r="S377">
            <v>3057</v>
          </cell>
          <cell r="T377">
            <v>3058</v>
          </cell>
          <cell r="W377">
            <v>3183</v>
          </cell>
          <cell r="Z377">
            <v>3225</v>
          </cell>
          <cell r="AC377">
            <v>3386</v>
          </cell>
          <cell r="AF377">
            <v>3519</v>
          </cell>
          <cell r="AI377">
            <v>3532</v>
          </cell>
          <cell r="AL377">
            <v>3451</v>
          </cell>
          <cell r="AO377">
            <v>3365</v>
          </cell>
        </row>
        <row r="378">
          <cell r="B378" t="str">
            <v>Diluted average shares outstanding (mn)</v>
          </cell>
          <cell r="C378" t="str">
            <v>DILUTE_SHARES</v>
          </cell>
          <cell r="M378">
            <v>1810</v>
          </cell>
          <cell r="N378">
            <v>1973</v>
          </cell>
          <cell r="O378">
            <v>2073</v>
          </cell>
          <cell r="P378">
            <v>2992</v>
          </cell>
          <cell r="Q378">
            <v>3034</v>
          </cell>
          <cell r="R378">
            <v>3053</v>
          </cell>
          <cell r="S378">
            <v>3057</v>
          </cell>
          <cell r="T378">
            <v>3058</v>
          </cell>
          <cell r="W378">
            <v>3332</v>
          </cell>
          <cell r="Z378">
            <v>3382</v>
          </cell>
          <cell r="AC378">
            <v>3466</v>
          </cell>
          <cell r="AF378">
            <v>3528</v>
          </cell>
          <cell r="AI378">
            <v>3541</v>
          </cell>
          <cell r="AL378">
            <v>3471</v>
          </cell>
          <cell r="AO378">
            <v>3382</v>
          </cell>
        </row>
        <row r="379">
          <cell r="B379" t="str">
            <v>Period-end shares outstanding</v>
          </cell>
          <cell r="C379" t="str">
            <v>NON_OP_ADD</v>
          </cell>
          <cell r="F379">
            <v>1036</v>
          </cell>
          <cell r="G379">
            <v>1512</v>
          </cell>
          <cell r="H379">
            <v>1512</v>
          </cell>
          <cell r="I379">
            <v>1512</v>
          </cell>
          <cell r="J379">
            <v>1700</v>
          </cell>
          <cell r="K379">
            <v>1716</v>
          </cell>
          <cell r="L379">
            <v>1724</v>
          </cell>
          <cell r="M379">
            <v>1744</v>
          </cell>
          <cell r="N379">
            <v>1764</v>
          </cell>
          <cell r="O379">
            <v>2914</v>
          </cell>
          <cell r="P379">
            <v>3039</v>
          </cell>
          <cell r="Q379">
            <v>3048</v>
          </cell>
          <cell r="R379">
            <v>3060</v>
          </cell>
          <cell r="S379">
            <v>3060</v>
          </cell>
          <cell r="T379">
            <v>3060</v>
          </cell>
          <cell r="W379">
            <v>3219</v>
          </cell>
          <cell r="Z379">
            <v>3246</v>
          </cell>
          <cell r="AC379">
            <v>3574</v>
          </cell>
          <cell r="AF379">
            <v>3582</v>
          </cell>
          <cell r="AI379">
            <v>3585</v>
          </cell>
          <cell r="AL379">
            <v>3409</v>
          </cell>
          <cell r="AO379">
            <v>3236</v>
          </cell>
        </row>
        <row r="380">
          <cell r="A380" t="str">
            <v>Additional Income Statement Items</v>
          </cell>
        </row>
        <row r="381">
          <cell r="B381" t="str">
            <v>Organic net income (excl. acquisitions)</v>
          </cell>
          <cell r="C381" t="str">
            <v>ORG_NI</v>
          </cell>
          <cell r="D381" t="str">
            <v>GBP</v>
          </cell>
        </row>
        <row r="382">
          <cell r="B382" t="str">
            <v>Organic EPS (excl. acquisitions)</v>
          </cell>
          <cell r="C382" t="str">
            <v>ORG_EPS</v>
          </cell>
          <cell r="D382" t="str">
            <v>GBP</v>
          </cell>
        </row>
        <row r="383">
          <cell r="B383" t="str">
            <v>Marginal tax rate</v>
          </cell>
          <cell r="C383" t="str">
            <v>MARGIN_TAX_RATE</v>
          </cell>
          <cell r="F383">
            <v>0.27</v>
          </cell>
          <cell r="G383">
            <v>0.27922077922100003</v>
          </cell>
          <cell r="H383">
            <v>0.109452736318</v>
          </cell>
          <cell r="I383">
            <v>0.47058823529400001</v>
          </cell>
          <cell r="J383">
            <v>0.36046511627900002</v>
          </cell>
          <cell r="K383">
            <v>0.3</v>
          </cell>
          <cell r="L383">
            <v>0.25</v>
          </cell>
          <cell r="M383">
            <v>0.246688741722</v>
          </cell>
          <cell r="N383">
            <v>0.242937853107</v>
          </cell>
          <cell r="O383">
            <v>0.237974683544</v>
          </cell>
          <cell r="P383">
            <v>0.30034924330599999</v>
          </cell>
          <cell r="Q383">
            <v>0.31948291782100002</v>
          </cell>
          <cell r="R383">
            <v>0.31030150753800001</v>
          </cell>
          <cell r="S383">
            <v>0.3</v>
          </cell>
          <cell r="T383">
            <v>0.29032258064499999</v>
          </cell>
          <cell r="U383">
            <v>0</v>
          </cell>
          <cell r="V383">
            <v>0</v>
          </cell>
          <cell r="W383">
            <v>0.294291338583</v>
          </cell>
          <cell r="X383">
            <v>0</v>
          </cell>
          <cell r="Y383">
            <v>0</v>
          </cell>
          <cell r="Z383">
            <v>0.26666666666700001</v>
          </cell>
          <cell r="AC383">
            <v>0.26257753273599999</v>
          </cell>
          <cell r="AF383">
            <v>0.26016713091900001</v>
          </cell>
          <cell r="AI383">
            <v>0.28000000000000003</v>
          </cell>
          <cell r="AL383">
            <v>0.29016312407299999</v>
          </cell>
          <cell r="AO383">
            <v>0.15060240963900001</v>
          </cell>
        </row>
        <row r="384">
          <cell r="A384" t="str">
            <v>Balance Sheet</v>
          </cell>
        </row>
        <row r="385">
          <cell r="B385" t="str">
            <v>BVPS, book value per share</v>
          </cell>
          <cell r="C385" t="str">
            <v>BVPS</v>
          </cell>
          <cell r="D385" t="str">
            <v>GBP</v>
          </cell>
          <cell r="F385">
            <v>244.59459459459501</v>
          </cell>
          <cell r="G385">
            <v>178.37301587301599</v>
          </cell>
          <cell r="H385">
            <v>117.72486772486801</v>
          </cell>
          <cell r="I385">
            <v>94.510582010581999</v>
          </cell>
          <cell r="J385">
            <v>51.529411764705998</v>
          </cell>
          <cell r="K385">
            <v>54.079254079254</v>
          </cell>
          <cell r="L385">
            <v>98.201856148491999</v>
          </cell>
          <cell r="M385">
            <v>83.256880733944996</v>
          </cell>
          <cell r="N385">
            <v>114.51247165532899</v>
          </cell>
          <cell r="O385">
            <v>252.57378174330799</v>
          </cell>
          <cell r="P385">
            <v>235.340572556762</v>
          </cell>
          <cell r="Q385">
            <v>217.78215223097101</v>
          </cell>
          <cell r="R385">
            <v>185.49019607843101</v>
          </cell>
          <cell r="S385">
            <v>182.71241830065401</v>
          </cell>
          <cell r="T385">
            <v>154.37908496732001</v>
          </cell>
          <cell r="W385">
            <v>86.610748679714007</v>
          </cell>
          <cell r="Z385">
            <v>126.833025261861</v>
          </cell>
          <cell r="AC385">
            <v>166.92781197537801</v>
          </cell>
          <cell r="AF385">
            <v>201.95421552205499</v>
          </cell>
          <cell r="AI385">
            <v>129.846582984658</v>
          </cell>
          <cell r="AL385">
            <v>156.40950425344701</v>
          </cell>
          <cell r="AO385">
            <v>131.025957972806</v>
          </cell>
        </row>
        <row r="386">
          <cell r="A386" t="str">
            <v>Cash Flow Statement</v>
          </cell>
        </row>
      </sheetData>
      <sheetData sheetId="1">
        <row r="1">
          <cell r="A1" t="str">
            <v>c61308b0-3448-447b-83df-414a7f97f7e9</v>
          </cell>
        </row>
        <row r="2">
          <cell r="A2" t="str">
            <v>N:\Aerospace\Chris\WIP models\Migrated models\[cleanBAE Systems model WIP updating new bb.xlsx]BAES.L_Validation_Sheet</v>
          </cell>
        </row>
        <row r="3">
          <cell r="A3" t="str">
            <v>Enabled</v>
          </cell>
          <cell r="AP3" t="str">
            <v>ERROR</v>
          </cell>
        </row>
        <row r="9">
          <cell r="A9" t="str">
            <v>Vector|||208001092|||ISSR|||SALES|||False|||</v>
          </cell>
          <cell r="C9" t="str">
            <v>V_KEYWORD_ISSR_208001092_SALES</v>
          </cell>
        </row>
        <row r="10">
          <cell r="A10" t="str">
            <v>Vector|||208001092|||ISSR|||COST_GD_SD|||False|||</v>
          </cell>
          <cell r="C10" t="str">
            <v>V_KEYWORD_ISSR_208001092_COST_GD_SD</v>
          </cell>
        </row>
        <row r="11">
          <cell r="A11" t="str">
            <v>Vector|||208001092|||ISSR|||SEL_GL_AD|||False|||</v>
          </cell>
          <cell r="C11" t="str">
            <v>V_KEYWORD_ISSR_208001092_SEL_GL_AD</v>
          </cell>
        </row>
        <row r="12">
          <cell r="A12" t="str">
            <v>Vector|||208001092|||ISSR|||OP_COST|||False|||</v>
          </cell>
          <cell r="C12" t="str">
            <v>V_KEYWORD_ISSR_208001092_OP_COST</v>
          </cell>
        </row>
        <row r="13">
          <cell r="A13" t="str">
            <v>Vector|||208001092|||ISSR|||RD_EXP|||False|||</v>
          </cell>
          <cell r="C13" t="str">
            <v>V_KEYWORD_ISSR_208001092_RD_EXP</v>
          </cell>
        </row>
        <row r="14">
          <cell r="A14" t="str">
            <v>Vector|||208001092|||ISSR|||OTH_OP_INC_EXP|||False|||</v>
          </cell>
          <cell r="C14" t="str">
            <v>V_KEYWORD_ISSR_208001092_OTH_OP_INC_EXP</v>
          </cell>
        </row>
        <row r="15">
          <cell r="A15" t="str">
            <v>Vector|||208001092|||ISSR|||TOT_OPS_EXP_DDA|||False|||</v>
          </cell>
          <cell r="C15" t="str">
            <v>V_KEYWORD_ISSR_208001092_TOT_OPS_EXP_DDA</v>
          </cell>
        </row>
        <row r="16">
          <cell r="A16" t="str">
            <v>Vector|||208001092|||ISSR|||TOT_OPS_EXP|||False|||</v>
          </cell>
          <cell r="C16" t="str">
            <v>V_KEYWORD_ISSR_208001092_TOT_OPS_EXP</v>
          </cell>
        </row>
        <row r="17">
          <cell r="A17" t="str">
            <v>Vector|||208001092|||ISSR|||EBITDA_CALC|||False|||</v>
          </cell>
          <cell r="C17" t="str">
            <v>V_KEYWORD_ISSR_208001092_EBITDA_CALC</v>
          </cell>
        </row>
        <row r="18">
          <cell r="A18" t="str">
            <v>Vector|||208001092|||ISSR|||DEPREC|||False|||</v>
          </cell>
          <cell r="C18" t="str">
            <v>V_KEYWORD_ISSR_208001092_DEPREC</v>
          </cell>
        </row>
        <row r="19">
          <cell r="A19" t="str">
            <v>Vector|||208001092|||ISSR|||GOODWILL_AMORT|||False|||</v>
          </cell>
          <cell r="C19" t="str">
            <v>V_KEYWORD_ISSR_208001092_GOODWILL_AMORT</v>
          </cell>
        </row>
        <row r="20">
          <cell r="A20" t="str">
            <v>Vector|||208001092|||ISSR|||EBIT|||False|||</v>
          </cell>
          <cell r="C20" t="str">
            <v>V_KEYWORD_ISSR_208001092_EBIT</v>
          </cell>
        </row>
        <row r="21">
          <cell r="A21" t="str">
            <v>Vector|||208001092|||ISSR|||INT_INC_IND|||False|||</v>
          </cell>
          <cell r="C21" t="str">
            <v>V_KEYWORD_ISSR_208001092_INT_INC_IND</v>
          </cell>
        </row>
        <row r="22">
          <cell r="A22" t="str">
            <v>Vector|||208001092|||ISSR|||INT_EXP_IND|||False|||</v>
          </cell>
          <cell r="C22" t="str">
            <v>V_KEYWORD_ISSR_208001092_INT_EXP_IND</v>
          </cell>
        </row>
        <row r="23">
          <cell r="A23" t="str">
            <v>Vector|||208001092|||ISSR|||NET_INT_EXP|||False|||</v>
          </cell>
          <cell r="C23" t="str">
            <v>V_KEYWORD_ISSR_208001092_NET_INT_EXP</v>
          </cell>
        </row>
        <row r="24">
          <cell r="A24" t="str">
            <v>Vector|||208001092|||ISSR|||ASSOCIATE|||False|||</v>
          </cell>
          <cell r="C24" t="str">
            <v>V_KEYWORD_ISSR_208001092_ASSOCIATE</v>
          </cell>
        </row>
        <row r="25">
          <cell r="A25" t="str">
            <v>Vector|||208001092|||ISSR|||PROFIT_ON_DISP|||False|||</v>
          </cell>
          <cell r="C25" t="str">
            <v>V_KEYWORD_ISSR_208001092_PROFIT_ON_DISP</v>
          </cell>
        </row>
        <row r="26">
          <cell r="A26" t="str">
            <v>Vector|||208001092|||ISSR|||OTH_COST_INC|||False|||</v>
          </cell>
          <cell r="C26" t="str">
            <v>V_KEYWORD_ISSR_208001092_OTH_COST_INC</v>
          </cell>
        </row>
        <row r="27">
          <cell r="A27" t="str">
            <v>Vector|||208001092|||ISSR|||PT_PROF|||False|||</v>
          </cell>
          <cell r="C27" t="str">
            <v>V_KEYWORD_ISSR_208001092_PT_PROF</v>
          </cell>
        </row>
        <row r="29">
          <cell r="A29" t="str">
            <v>Vector|||208001092|||ISSR|||ORG_REV|||False|||</v>
          </cell>
          <cell r="C29" t="str">
            <v>V_KEYWORD_ISSR_208001092_ORG_REV</v>
          </cell>
        </row>
        <row r="30">
          <cell r="A30" t="str">
            <v>Vector|||208001092|||ISSR|||ORG_REV_GRTH|||False|||</v>
          </cell>
          <cell r="C30" t="str">
            <v>V_KEYWORD_ISSR_208001092_ORG_REV_GRTH</v>
          </cell>
        </row>
        <row r="31">
          <cell r="A31" t="str">
            <v>Vector|||208001092|||ISSR|||LEASE_PAY|||False|||</v>
          </cell>
          <cell r="C31" t="str">
            <v>V_KEYWORD_ISSR_208001092_LEASE_PAY</v>
          </cell>
        </row>
        <row r="32">
          <cell r="A32" t="str">
            <v>Vector|||208001092|||ISSR|||LEASE_DEEM_INT|||False|||</v>
          </cell>
          <cell r="C32" t="str">
            <v>V_KEYWORD_ISSR_208001092_LEASE_DEEM_INT</v>
          </cell>
        </row>
        <row r="33">
          <cell r="A33" t="str">
            <v>Vector|||208001092|||ISSR|||LEASE_DEEM_DEPR|||False|||</v>
          </cell>
          <cell r="C33" t="str">
            <v>V_KEYWORD_ISSR_208001092_LEASE_DEEM_DEPR</v>
          </cell>
        </row>
        <row r="34">
          <cell r="A34" t="str">
            <v>Vector|||208001092|||ISSR|||NET_INT_CH|||False|||</v>
          </cell>
          <cell r="C34" t="str">
            <v>V_KEYWORD_ISSR_208001092_NET_INT_CH</v>
          </cell>
        </row>
        <row r="35">
          <cell r="A35" t="str">
            <v>Vector|||208001092|||ISSR|||ASSOCIATE_OP|||False|||</v>
          </cell>
          <cell r="C35" t="str">
            <v>V_KEYWORD_ISSR_208001092_ASSOCIATE_OP</v>
          </cell>
        </row>
        <row r="36">
          <cell r="A36" t="str">
            <v>Vector|||208001092|||ISSR|||GW_AMORT|||False|||</v>
          </cell>
          <cell r="C36" t="str">
            <v>V_KEYWORD_ISSR_208001092_GW_AMORT</v>
          </cell>
        </row>
        <row r="37">
          <cell r="A37" t="str">
            <v>Vector|||208001092|||ISSR|||OTH_INT_AMORT|||False|||</v>
          </cell>
          <cell r="C37" t="str">
            <v>V_KEYWORD_ISSR_208001092_OTH_INT_AMORT</v>
          </cell>
        </row>
        <row r="39">
          <cell r="A39" t="str">
            <v>Vector|||208001092|||ISSR|||CASH_EQ|||False|||</v>
          </cell>
          <cell r="C39" t="str">
            <v>V_KEYWORD_ISSR_208001092_CASH_EQ</v>
          </cell>
        </row>
        <row r="40">
          <cell r="A40" t="str">
            <v>Vector|||208001092|||ISSR|||DEBTORS|||False|||</v>
          </cell>
          <cell r="C40" t="str">
            <v>V_KEYWORD_ISSR_208001092_DEBTORS</v>
          </cell>
        </row>
        <row r="41">
          <cell r="A41" t="str">
            <v>Vector|||208001092|||ISSR|||STOCKS|||False|||</v>
          </cell>
          <cell r="C41" t="str">
            <v>V_KEYWORD_ISSR_208001092_STOCKS</v>
          </cell>
        </row>
        <row r="42">
          <cell r="A42" t="str">
            <v>Vector|||208001092|||ISSR|||OTH_CUR_ASS|||False|||</v>
          </cell>
          <cell r="C42" t="str">
            <v>V_KEYWORD_ISSR_208001092_OTH_CUR_ASS</v>
          </cell>
        </row>
        <row r="43">
          <cell r="A43" t="str">
            <v>Vector|||208001092|||ISSR|||CUR_ASS|||False|||</v>
          </cell>
          <cell r="C43" t="str">
            <v>V_KEYWORD_ISSR_208001092_CUR_ASS</v>
          </cell>
        </row>
        <row r="44">
          <cell r="A44" t="str">
            <v>Vector|||208001092|||ISSR|||GR_FIX_ASS|||False|||</v>
          </cell>
          <cell r="C44" t="str">
            <v>V_KEYWORD_ISSR_208001092_GR_FIX_ASS</v>
          </cell>
        </row>
        <row r="45">
          <cell r="A45" t="str">
            <v>Vector|||208001092|||ISSR|||ACC_DDA|||False|||</v>
          </cell>
          <cell r="C45" t="str">
            <v>V_KEYWORD_ISSR_208001092_ACC_DDA</v>
          </cell>
        </row>
        <row r="46">
          <cell r="A46" t="str">
            <v>Vector|||208001092|||ISSR|||NET_FIX_ASS|||False|||</v>
          </cell>
          <cell r="C46" t="str">
            <v>V_KEYWORD_ISSR_208001092_NET_FIX_ASS</v>
          </cell>
        </row>
        <row r="47">
          <cell r="A47" t="str">
            <v>Vector|||208001092|||ISSR|||GR_INTANG|||False|||</v>
          </cell>
          <cell r="C47" t="str">
            <v>V_KEYWORD_ISSR_208001092_GR_INTANG</v>
          </cell>
        </row>
        <row r="48">
          <cell r="A48" t="str">
            <v>Vector|||208001092|||ISSR|||ACC_AMORT|||False|||</v>
          </cell>
          <cell r="C48" t="str">
            <v>V_KEYWORD_ISSR_208001092_ACC_AMORT</v>
          </cell>
        </row>
        <row r="49">
          <cell r="A49" t="str">
            <v>Vector|||208001092|||ISSR|||NET_INTANG|||False|||</v>
          </cell>
          <cell r="C49" t="str">
            <v>V_KEYWORD_ISSR_208001092_NET_INTANG</v>
          </cell>
        </row>
        <row r="50">
          <cell r="A50" t="str">
            <v>Vector|||208001092|||ISSR|||FIX_ASS_INV|||False|||</v>
          </cell>
          <cell r="C50" t="str">
            <v>V_KEYWORD_ISSR_208001092_FIX_ASS_INV</v>
          </cell>
        </row>
        <row r="51">
          <cell r="A51" t="str">
            <v>Vector|||208001092|||ISSR|||INV_SECUR|||False|||</v>
          </cell>
          <cell r="C51" t="str">
            <v>V_KEYWORD_ISSR_208001092_INV_SECUR</v>
          </cell>
        </row>
        <row r="52">
          <cell r="A52" t="str">
            <v>Vector|||208001092|||ISSR|||OTH_LT_ASS|||False|||</v>
          </cell>
          <cell r="C52" t="str">
            <v>V_KEYWORD_ISSR_208001092_OTH_LT_ASS</v>
          </cell>
        </row>
        <row r="53">
          <cell r="A53" t="str">
            <v>Vector|||208001092|||ISSR|||TOT_ASSET|||False|||</v>
          </cell>
          <cell r="C53" t="str">
            <v>V_KEYWORD_ISSR_208001092_TOT_ASSET</v>
          </cell>
        </row>
        <row r="54">
          <cell r="A54" t="str">
            <v>Vector|||208001092|||ISSR|||ACC_PAY_GQ|||False|||</v>
          </cell>
          <cell r="C54" t="str">
            <v>V_KEYWORD_ISSR_208001092_ACC_PAY_GQ</v>
          </cell>
        </row>
        <row r="55">
          <cell r="A55" t="str">
            <v>Vector|||208001092|||ISSR|||SHORT_T_DEBT|||False|||</v>
          </cell>
          <cell r="C55" t="str">
            <v>V_KEYWORD_ISSR_208001092_SHORT_T_DEBT</v>
          </cell>
        </row>
        <row r="56">
          <cell r="A56" t="str">
            <v>Vector|||208001092|||ISSR|||OTH_CUR_LIABS|||False|||</v>
          </cell>
          <cell r="C56" t="str">
            <v>V_KEYWORD_ISSR_208001092_OTH_CUR_LIABS</v>
          </cell>
        </row>
        <row r="57">
          <cell r="A57" t="str">
            <v>Vector|||208001092|||ISSR|||SHORT_TERM_LIABS|||False|||</v>
          </cell>
          <cell r="C57" t="str">
            <v>V_KEYWORD_ISSR_208001092_SHORT_TERM_LIABS</v>
          </cell>
        </row>
        <row r="58">
          <cell r="A58" t="str">
            <v>Vector|||208001092|||ISSR|||LT_DEBT|||False|||</v>
          </cell>
          <cell r="C58" t="str">
            <v>V_KEYWORD_ISSR_208001092_LT_DEBT</v>
          </cell>
        </row>
        <row r="59">
          <cell r="A59" t="str">
            <v>Vector|||208001092|||ISSR|||OTH_LT_CRED_GQ|||False|||</v>
          </cell>
          <cell r="C59" t="str">
            <v>V_KEYWORD_ISSR_208001092_OTH_LT_CRED_GQ</v>
          </cell>
        </row>
        <row r="60">
          <cell r="A60" t="str">
            <v>Vector|||208001092|||ISSR|||TOT_LT_LIAB|||False|||</v>
          </cell>
          <cell r="C60" t="str">
            <v>V_KEYWORD_ISSR_208001092_TOT_LT_LIAB</v>
          </cell>
        </row>
        <row r="61">
          <cell r="A61" t="str">
            <v>Vector|||208001092|||ISSR|||TOT_LIAB|||False|||</v>
          </cell>
          <cell r="C61" t="str">
            <v>V_KEYWORD_ISSR_208001092_TOT_LIAB</v>
          </cell>
        </row>
        <row r="62">
          <cell r="A62" t="str">
            <v>Vector|||208001092|||ISSR|||PREF_SH|||False|||</v>
          </cell>
          <cell r="C62" t="str">
            <v>V_KEYWORD_ISSR_208001092_PREF_SH</v>
          </cell>
        </row>
        <row r="63">
          <cell r="A63" t="str">
            <v>Vector|||208001092|||ISSR|||ORD_SH_FUND|||False|||</v>
          </cell>
          <cell r="C63" t="str">
            <v>V_KEYWORD_ISSR_208001092_ORD_SH_FUND</v>
          </cell>
        </row>
        <row r="64">
          <cell r="A64" t="str">
            <v>Vector|||208001092|||ISSR|||MINORITIES|||False|||</v>
          </cell>
          <cell r="C64" t="str">
            <v>V_KEYWORD_ISSR_208001092_MINORITIES</v>
          </cell>
        </row>
        <row r="65">
          <cell r="A65" t="str">
            <v>Vector|||208001092|||ISSR|||EQ|||False|||</v>
          </cell>
          <cell r="C65" t="str">
            <v>V_KEYWORD_ISSR_208001092_EQ</v>
          </cell>
        </row>
        <row r="66">
          <cell r="A66" t="str">
            <v>Vector|||208001092|||ISSR|||TOT_LIAB_EQ|||False|||</v>
          </cell>
          <cell r="C66" t="str">
            <v>V_KEYWORD_ISSR_208001092_TOT_LIAB_EQ</v>
          </cell>
        </row>
        <row r="68">
          <cell r="A68" t="str">
            <v>Vector|||208001092|||ISSR|||NET_DEBT|||False|||</v>
          </cell>
          <cell r="C68" t="str">
            <v>V_KEYWORD_ISSR_208001092_NET_DEBT</v>
          </cell>
        </row>
        <row r="69">
          <cell r="A69" t="str">
            <v>Vector|||208001092|||ISSR|||CAP_LEASES|||False|||</v>
          </cell>
          <cell r="C69" t="str">
            <v>V_KEYWORD_ISSR_208001092_CAP_LEASES</v>
          </cell>
        </row>
        <row r="70">
          <cell r="A70" t="str">
            <v>Vector|||208001092|||ISSR|||DEF_INC_TAX|||False|||</v>
          </cell>
          <cell r="C70" t="str">
            <v>V_KEYWORD_ISSR_208001092_DEF_INC_TAX</v>
          </cell>
        </row>
        <row r="71">
          <cell r="A71" t="str">
            <v>Vector|||208001092|||ISSR|||MV_ASSOCIATES|||False|||</v>
          </cell>
          <cell r="C71" t="str">
            <v>V_KEYWORD_ISSR_208001092_MV_ASSOCIATES</v>
          </cell>
        </row>
        <row r="72">
          <cell r="A72" t="str">
            <v>Vector|||208001092|||ISSR|||NET_DEBT_ADJ|||False|||</v>
          </cell>
          <cell r="C72" t="str">
            <v>V_KEYWORD_ISSR_208001092_NET_DEBT_ADJ</v>
          </cell>
        </row>
        <row r="73">
          <cell r="A73" t="str">
            <v>Vector|||208001092|||ISSR|||CO_BOR_MARGIN|||False|||</v>
          </cell>
          <cell r="C73" t="str">
            <v>V_KEYWORD_ISSR_208001092_CO_BOR_MARGIN</v>
          </cell>
        </row>
        <row r="74">
          <cell r="A74" t="str">
            <v>Vector|||208001092|||ISSR|||UNF_PENS|||False|||</v>
          </cell>
          <cell r="C74" t="str">
            <v>V_KEYWORD_ISSR_208001092_UNF_PENS</v>
          </cell>
        </row>
        <row r="75">
          <cell r="A75" t="str">
            <v>Vector|||208001092|||ISSR|||UNF_PENS_OFF|||False|||</v>
          </cell>
          <cell r="C75" t="str">
            <v>V_KEYWORD_ISSR_208001092_UNF_PENS_OFF</v>
          </cell>
        </row>
        <row r="76">
          <cell r="A76" t="str">
            <v>Vector|||208001092|||ISSR|||UNF_PENS_LIAB_OTH|||False|||</v>
          </cell>
          <cell r="C76" t="str">
            <v>V_KEYWORD_ISSR_208001092_UNF_PENS_LIAB_OTH</v>
          </cell>
        </row>
        <row r="77">
          <cell r="A77" t="str">
            <v>Vector|||208001092|||ISSR|||ADJ_UNF_PENS_GOOD|||False|||</v>
          </cell>
          <cell r="C77" t="str">
            <v>V_KEYWORD_ISSR_208001092_ADJ_UNF_PENS_GOOD</v>
          </cell>
        </row>
        <row r="78">
          <cell r="A78" t="str">
            <v>Vector|||208001092|||ISSR|||OTH_GCI_ADJ|||False|||</v>
          </cell>
          <cell r="C78" t="str">
            <v>V_KEYWORD_ISSR_208001092_OTH_GCI_ADJ</v>
          </cell>
        </row>
        <row r="79">
          <cell r="A79" t="str">
            <v>Vector|||208001092|||ISSR|||GCI_INFL|||False|||</v>
          </cell>
          <cell r="C79" t="str">
            <v>V_KEYWORD_ISSR_208001092_GCI_INFL</v>
          </cell>
        </row>
        <row r="80">
          <cell r="A80" t="str">
            <v>Vector|||208001092|||ISSR|||BAL_MINO_INT|||False|||</v>
          </cell>
          <cell r="C80" t="str">
            <v>V_KEYWORD_ISSR_208001092_BAL_MINO_INT</v>
          </cell>
        </row>
        <row r="82">
          <cell r="A82" t="str">
            <v>Vector|||208001092|||ISSR|||CF_INC_MINORITY|||False|||</v>
          </cell>
          <cell r="C82" t="str">
            <v>V_KEYWORD_ISSR_208001092_CF_INC_MINORITY</v>
          </cell>
        </row>
        <row r="83">
          <cell r="A83" t="str">
            <v>Vector|||208001092|||ISSR|||DEPR_AMORT|||False|||</v>
          </cell>
          <cell r="C83" t="str">
            <v>V_KEYWORD_ISSR_208001092_DEPR_AMORT</v>
          </cell>
        </row>
        <row r="84">
          <cell r="A84" t="str">
            <v>Vector|||208001092|||ISSR|||WORK_CAP|||False|||</v>
          </cell>
          <cell r="C84" t="str">
            <v>V_KEYWORD_ISSR_208001092_WORK_CAP</v>
          </cell>
        </row>
        <row r="85">
          <cell r="A85" t="str">
            <v>Vector|||208001092|||ISSR|||OTH_OP_CF|||False|||</v>
          </cell>
          <cell r="C85" t="str">
            <v>V_KEYWORD_ISSR_208001092_OTH_OP_CF</v>
          </cell>
        </row>
        <row r="86">
          <cell r="A86" t="str">
            <v>Vector|||208001092|||ISSR|||CF_OPS|||False|||</v>
          </cell>
          <cell r="C86" t="str">
            <v>V_KEYWORD_ISSR_208001092_CF_OPS</v>
          </cell>
        </row>
        <row r="87">
          <cell r="A87" t="str">
            <v>Vector|||208001092|||ISSR|||CAPEX|||False|||</v>
          </cell>
          <cell r="C87" t="str">
            <v>V_KEYWORD_ISSR_208001092_CAPEX</v>
          </cell>
        </row>
        <row r="88">
          <cell r="A88" t="str">
            <v>Vector|||208001092|||ISSR|||ACQ|||False|||</v>
          </cell>
          <cell r="C88" t="str">
            <v>V_KEYWORD_ISSR_208001092_ACQ</v>
          </cell>
        </row>
        <row r="89">
          <cell r="A89" t="str">
            <v>Vector|||208001092|||ISSR|||DIVEST|||False|||</v>
          </cell>
          <cell r="C89" t="str">
            <v>V_KEYWORD_ISSR_208001092_DIVEST</v>
          </cell>
        </row>
        <row r="90">
          <cell r="A90" t="str">
            <v>Vector|||208001092|||ISSR|||OTH_INV_CF|||False|||</v>
          </cell>
          <cell r="C90" t="str">
            <v>V_KEYWORD_ISSR_208001092_OTH_INV_CF</v>
          </cell>
        </row>
        <row r="91">
          <cell r="A91" t="str">
            <v>Vector|||208001092|||ISSR|||CF_INV|||False|||</v>
          </cell>
          <cell r="C91" t="str">
            <v>V_KEYWORD_ISSR_208001092_CF_INV</v>
          </cell>
        </row>
        <row r="92">
          <cell r="A92" t="str">
            <v>Vector|||208001092|||ISSR|||DIV_PAID|||False|||</v>
          </cell>
          <cell r="C92" t="str">
            <v>V_KEYWORD_ISSR_208001092_DIV_PAID</v>
          </cell>
        </row>
        <row r="93">
          <cell r="A93" t="str">
            <v>Vector|||208001092|||ISSR|||SH_REPUR|||False|||</v>
          </cell>
          <cell r="C93" t="str">
            <v>V_KEYWORD_ISSR_208001092_SH_REPUR</v>
          </cell>
        </row>
        <row r="94">
          <cell r="A94" t="str">
            <v>Vector|||208001092|||ISSR|||CHG_LT_DEBT|||False|||</v>
          </cell>
          <cell r="C94" t="str">
            <v>V_KEYWORD_ISSR_208001092_CHG_LT_DEBT</v>
          </cell>
        </row>
        <row r="95">
          <cell r="A95" t="str">
            <v>Vector|||208001092|||ISSR|||OTH_FIN_CF|||False|||</v>
          </cell>
          <cell r="C95" t="str">
            <v>V_KEYWORD_ISSR_208001092_OTH_FIN_CF</v>
          </cell>
        </row>
        <row r="96">
          <cell r="A96" t="str">
            <v>Vector|||208001092|||ISSR|||CF_FIN|||False|||</v>
          </cell>
          <cell r="C96" t="str">
            <v>V_KEYWORD_ISSR_208001092_CF_FIN</v>
          </cell>
        </row>
        <row r="97">
          <cell r="A97" t="str">
            <v>Vector|||208001092|||ISSR|||OTH_ITEM_NCF|||False|||</v>
          </cell>
          <cell r="C97" t="str">
            <v>V_KEYWORD_ISSR_208001092_OTH_ITEM_NCF</v>
          </cell>
        </row>
        <row r="98">
          <cell r="A98" t="str">
            <v>Vector|||208001092|||ISSR|||TOT_CF|||False|||</v>
          </cell>
          <cell r="C98" t="str">
            <v>V_KEYWORD_ISSR_208001092_TOT_CF</v>
          </cell>
        </row>
        <row r="100">
          <cell r="A100" t="str">
            <v>Vector|||208001092|||ISSR|||ASSOC_JV_ADDBK|||False|||</v>
          </cell>
          <cell r="C100" t="str">
            <v>V_KEYWORD_ISSR_208001092_ASSOC_JV_ADDBK</v>
          </cell>
        </row>
        <row r="101">
          <cell r="A101" t="str">
            <v>Vector|||208001092|||ISSR|||CASH_INT_INC_EXP|||False|||</v>
          </cell>
          <cell r="C101" t="str">
            <v>V_KEYWORD_ISSR_208001092_CASH_INT_INC_EXP</v>
          </cell>
        </row>
        <row r="102">
          <cell r="A102" t="str">
            <v>Vector|||208001092|||ISSR|||CASH_TAX_PD|||False|||</v>
          </cell>
          <cell r="C102" t="str">
            <v>V_KEYWORD_ISSR_208001092_CASH_TAX_PD</v>
          </cell>
        </row>
        <row r="103">
          <cell r="A103" t="str">
            <v>Vector|||208001092|||ISSR|||PL_SALE_ASSETS|||False|||</v>
          </cell>
          <cell r="C103" t="str">
            <v>V_KEYWORD_ISSR_208001092_PL_SALE_ASSETS</v>
          </cell>
        </row>
        <row r="104">
          <cell r="A104" t="str">
            <v>Vector|||208001092|||ISSR|||OTH_NONCASH_ADJ|||False|||</v>
          </cell>
          <cell r="C104" t="str">
            <v>V_KEYWORD_ISSR_208001092_OTH_NONCASH_ADJ</v>
          </cell>
        </row>
        <row r="105">
          <cell r="A105" t="str">
            <v>Vector|||208001092|||ISSR|||OTH_DACF_ADJ|||False|||</v>
          </cell>
          <cell r="C105" t="str">
            <v>V_KEYWORD_ISSR_208001092_OTH_DACF_ADJ</v>
          </cell>
        </row>
        <row r="106">
          <cell r="A106" t="str">
            <v>Vector|||208001092|||ISSR|||CASH_INT_EXP|||False|||</v>
          </cell>
          <cell r="C106" t="str">
            <v>V_KEYWORD_ISSR_208001092_CASH_INT_EXP</v>
          </cell>
        </row>
        <row r="107">
          <cell r="A107" t="str">
            <v>Vector|||208001092|||ISSR|||CASH_TAX_EXP|||False|||</v>
          </cell>
          <cell r="C107" t="str">
            <v>V_KEYWORD_ISSR_208001092_CASH_TAX_EXP</v>
          </cell>
        </row>
        <row r="108">
          <cell r="A108" t="str">
            <v>Vector|||208001092|||ISSR|||DIVDS_ASSOC_JV|||False|||</v>
          </cell>
          <cell r="C108" t="str">
            <v>V_KEYWORD_ISSR_208001092_DIVDS_ASSOC_JV</v>
          </cell>
        </row>
        <row r="109">
          <cell r="A109" t="str">
            <v>Vector|||208001092|||ISSR|||CAPEX_MAINTENANCE|||False|||</v>
          </cell>
          <cell r="C109" t="str">
            <v>V_KEYWORD_ISSR_208001092_CAPEX_MAINTENANCE</v>
          </cell>
        </row>
        <row r="110">
          <cell r="A110" t="str">
            <v>Vector|||208001092|||ISSR|||CAPEX_EXPANSION|||False|||</v>
          </cell>
          <cell r="C110" t="str">
            <v>V_KEYWORD_ISSR_208001092_CAPEX_EXPANSION</v>
          </cell>
        </row>
        <row r="111">
          <cell r="A111" t="str">
            <v>Vector|||208001092|||ISSR|||NONPPE_CAPEX|||False|||</v>
          </cell>
          <cell r="C111" t="str">
            <v>V_KEYWORD_ISSR_208001092_NONPPE_CAPEX</v>
          </cell>
        </row>
        <row r="112">
          <cell r="A112" t="str">
            <v>Vector|||208001092|||ISSR|||DIVDS_PD_MINORITIES|||False|||</v>
          </cell>
          <cell r="C112" t="str">
            <v>V_KEYWORD_ISSR_208001092_DIVDS_PD_MINORITIES</v>
          </cell>
        </row>
        <row r="114">
          <cell r="A114" t="str">
            <v>Vector|||208001092|||ISSR|||EMPLOYEES|||False|||</v>
          </cell>
          <cell r="C114" t="str">
            <v>V_KEYWORD_ISSR_208001092_EMPLOYEES</v>
          </cell>
        </row>
        <row r="116">
          <cell r="A116" t="str">
            <v>Vector|||208001092|||ISSR|||SALES_TOT_AM|||False|||</v>
          </cell>
          <cell r="C116" t="str">
            <v>V_KEYWORD_ISSR_208001092_SALES_TOT_AM</v>
          </cell>
        </row>
        <row r="117">
          <cell r="A117" t="str">
            <v>Vector|||208001092|||ISSR|||SALES_US|||False|||</v>
          </cell>
          <cell r="C117" t="str">
            <v>V_KEYWORD_ISSR_208001092_SALES_US</v>
          </cell>
        </row>
        <row r="119">
          <cell r="A119" t="str">
            <v>Vector|||208001092|||ISSR|||SALES_BRAZIL|||False|||</v>
          </cell>
          <cell r="C119" t="str">
            <v>V_KEYWORD_ISSR_208001092_SALES_BRAZIL</v>
          </cell>
        </row>
        <row r="120">
          <cell r="A120" t="str">
            <v>Vector|||208001092|||ISSR|||SALES_OTH_AM|||False|||</v>
          </cell>
          <cell r="C120" t="str">
            <v>V_KEYWORD_ISSR_208001092_SALES_OTH_AM</v>
          </cell>
        </row>
        <row r="121">
          <cell r="A121" t="str">
            <v>Vector|||208001092|||ISSR|||SALES_TOT_EMEA|||False|||</v>
          </cell>
          <cell r="C121" t="str">
            <v>V_KEYWORD_ISSR_208001092_SALES_TOT_EMEA</v>
          </cell>
        </row>
        <row r="122">
          <cell r="A122" t="str">
            <v>Vector|||208001092|||ISSR|||SALES_UK|||False|||</v>
          </cell>
          <cell r="C122" t="str">
            <v>V_KEYWORD_ISSR_208001092_SALES_UK</v>
          </cell>
        </row>
        <row r="123">
          <cell r="A123" t="str">
            <v>Vector|||208001092|||ISSR|||SALES_EU_EX_UK|||False|||</v>
          </cell>
          <cell r="C123" t="str">
            <v>V_KEYWORD_ISSR_208001092_SALES_EU_EX_UK</v>
          </cell>
        </row>
        <row r="128">
          <cell r="A128" t="str">
            <v>Vector|||208001092|||ISSR|||SALES_FRA|||False|||</v>
          </cell>
          <cell r="C128" t="str">
            <v>V_KEYWORD_ISSR_208001092_SALES_FRA</v>
          </cell>
        </row>
        <row r="129">
          <cell r="A129" t="str">
            <v>Vector|||208001092|||ISSR|||SALES_GER|||False|||</v>
          </cell>
          <cell r="C129" t="str">
            <v>V_KEYWORD_ISSR_208001092_SALES_GER</v>
          </cell>
        </row>
        <row r="133">
          <cell r="A133" t="str">
            <v>Vector|||208001092|||ISSR|||SALES_ITA|||False|||</v>
          </cell>
          <cell r="C133" t="str">
            <v>V_KEYWORD_ISSR_208001092_SALES_ITA</v>
          </cell>
        </row>
        <row r="137">
          <cell r="A137" t="str">
            <v>Vector|||208001092|||ISSR|||SALES_SPA|||False|||</v>
          </cell>
          <cell r="C137" t="str">
            <v>V_KEYWORD_ISSR_208001092_SALES_SPA</v>
          </cell>
        </row>
        <row r="138">
          <cell r="A138" t="str">
            <v>Vector|||208001092|||ISSR|||SALES_OTH_EU_EX_UK|||False|||</v>
          </cell>
          <cell r="C138" t="str">
            <v>V_KEYWORD_ISSR_208001092_SALES_OTH_EU_EX_UK</v>
          </cell>
        </row>
        <row r="141">
          <cell r="A141" t="str">
            <v>Vector|||208001092|||ISSR|||SALES_CEE|||False|||</v>
          </cell>
          <cell r="C141" t="str">
            <v>V_KEYWORD_ISSR_208001092_SALES_CEE</v>
          </cell>
        </row>
        <row r="142">
          <cell r="A142" t="str">
            <v>Vector|||208001092|||ISSR|||SALES_ME|||False|||</v>
          </cell>
          <cell r="C142" t="str">
            <v>V_KEYWORD_ISSR_208001092_SALES_ME</v>
          </cell>
        </row>
        <row r="143">
          <cell r="A143" t="str">
            <v>Vector|||208001092|||ISSR|||SALES_SO_AFRICA|||False|||</v>
          </cell>
          <cell r="C143" t="str">
            <v>V_KEYWORD_ISSR_208001092_SALES_SO_AFRICA</v>
          </cell>
        </row>
        <row r="144">
          <cell r="A144" t="str">
            <v>Vector|||208001092|||ISSR|||SALES_NIGERIA|||False|||</v>
          </cell>
          <cell r="C144" t="str">
            <v>V_KEYWORD_ISSR_208001092_SALES_NIGERIA</v>
          </cell>
        </row>
        <row r="145">
          <cell r="A145" t="str">
            <v>Vector|||208001092|||ISSR|||SALES_OTH_AFRICA|||False|||</v>
          </cell>
          <cell r="C145" t="str">
            <v>V_KEYWORD_ISSR_208001092_SALES_OTH_AFRICA</v>
          </cell>
        </row>
        <row r="146">
          <cell r="A146" t="str">
            <v>Vector|||208001092|||ISSR|||SALES_TOT_AFRICA|||False|||</v>
          </cell>
          <cell r="C146" t="str">
            <v>V_KEYWORD_ISSR_208001092_SALES_TOT_AFRICA</v>
          </cell>
        </row>
        <row r="147">
          <cell r="A147" t="str">
            <v>Vector|||208001092|||ISSR|||SALES_RUSSIA|||False|||</v>
          </cell>
          <cell r="C147" t="str">
            <v>V_KEYWORD_ISSR_208001092_SALES_RUSSIA</v>
          </cell>
        </row>
        <row r="148">
          <cell r="A148" t="str">
            <v>Vector|||208001092|||ISSR|||SALES_OTH_EMEA|||False|||</v>
          </cell>
          <cell r="C148" t="str">
            <v>V_KEYWORD_ISSR_208001092_SALES_OTH_EMEA</v>
          </cell>
        </row>
        <row r="149">
          <cell r="A149" t="str">
            <v>Vector|||208001092|||ISSR|||SALES_TOT_ASIA|||False|||</v>
          </cell>
          <cell r="C149" t="str">
            <v>V_KEYWORD_ISSR_208001092_SALES_TOT_ASIA</v>
          </cell>
        </row>
        <row r="150">
          <cell r="A150" t="str">
            <v>Vector|||208001092|||ISSR|||SALES_JAPAN|||False|||</v>
          </cell>
          <cell r="C150" t="str">
            <v>V_KEYWORD_ISSR_208001092_SALES_JAPAN</v>
          </cell>
        </row>
        <row r="151">
          <cell r="A151" t="str">
            <v>Vector|||208001092|||ISSR|||SALES_CHINA|||False|||</v>
          </cell>
          <cell r="C151" t="str">
            <v>V_KEYWORD_ISSR_208001092_SALES_CHINA</v>
          </cell>
        </row>
        <row r="152">
          <cell r="A152" t="str">
            <v>Vector|||208001092|||ISSR|||SALES_INDIA|||False|||</v>
          </cell>
          <cell r="C152" t="str">
            <v>V_KEYWORD_ISSR_208001092_SALES_INDIA</v>
          </cell>
        </row>
        <row r="156">
          <cell r="A156" t="str">
            <v>Vector|||208001092|||ISSR|||SALES_OTH_AEJ|||False|||</v>
          </cell>
          <cell r="C156" t="str">
            <v>V_KEYWORD_ISSR_208001092_SALES_OTH_AEJ</v>
          </cell>
        </row>
        <row r="157">
          <cell r="A157" t="str">
            <v>Vector|||208001092|||ISSR|||SALES_OTHER|||False|||</v>
          </cell>
          <cell r="C157" t="str">
            <v>V_KEYWORD_ISSR_208001092_SALES_OTHER</v>
          </cell>
        </row>
        <row r="158">
          <cell r="A158" t="str">
            <v>Vector|||208001092|||ISSR|||IND_SALES_TOT_AM|||False|||</v>
          </cell>
          <cell r="C158" t="str">
            <v>V_KEYWORD_ISSR_208001092_IND_SALES_TOT_AM</v>
          </cell>
        </row>
        <row r="159">
          <cell r="A159" t="str">
            <v>Vector|||208001092|||ISSR|||IND_SALES_US|||False|||</v>
          </cell>
          <cell r="C159" t="str">
            <v>V_KEYWORD_ISSR_208001092_IND_SALES_US</v>
          </cell>
        </row>
        <row r="161">
          <cell r="A161" t="str">
            <v>Vector|||208001092|||ISSR|||IND_SALES_BRAZIL|||False|||</v>
          </cell>
          <cell r="C161" t="str">
            <v>V_KEYWORD_ISSR_208001092_IND_SALES_BRAZIL</v>
          </cell>
        </row>
        <row r="162">
          <cell r="A162" t="str">
            <v>Vector|||208001092|||ISSR|||IND_SALES_OTH_AM|||False|||</v>
          </cell>
          <cell r="C162" t="str">
            <v>V_KEYWORD_ISSR_208001092_IND_SALES_OTH_AM</v>
          </cell>
        </row>
        <row r="163">
          <cell r="A163" t="str">
            <v>Vector|||208001092|||ISSR|||IND_SALES_TOT_EMEA|||False|||</v>
          </cell>
          <cell r="C163" t="str">
            <v>V_KEYWORD_ISSR_208001092_IND_SALES_TOT_EMEA</v>
          </cell>
        </row>
        <row r="164">
          <cell r="A164" t="str">
            <v>Vector|||208001092|||ISSR|||IND_SALES_UK|||False|||</v>
          </cell>
          <cell r="C164" t="str">
            <v>V_KEYWORD_ISSR_208001092_IND_SALES_UK</v>
          </cell>
        </row>
        <row r="165">
          <cell r="A165" t="str">
            <v>Vector|||208001092|||ISSR|||IND_SALES_EU_EX_UK|||False|||</v>
          </cell>
          <cell r="C165" t="str">
            <v>V_KEYWORD_ISSR_208001092_IND_SALES_EU_EX_UK</v>
          </cell>
        </row>
        <row r="170">
          <cell r="A170" t="str">
            <v>Vector|||208001092|||ISSR|||IND_SALES_FRA|||False|||</v>
          </cell>
          <cell r="C170" t="str">
            <v>V_KEYWORD_ISSR_208001092_IND_SALES_FRA</v>
          </cell>
        </row>
        <row r="171">
          <cell r="A171" t="str">
            <v>Vector|||208001092|||ISSR|||IND_SALES_GER|||False|||</v>
          </cell>
          <cell r="C171" t="str">
            <v>V_KEYWORD_ISSR_208001092_IND_SALES_GER</v>
          </cell>
        </row>
        <row r="175">
          <cell r="A175" t="str">
            <v>Vector|||208001092|||ISSR|||IND_SALES_ITA|||False|||</v>
          </cell>
          <cell r="C175" t="str">
            <v>V_KEYWORD_ISSR_208001092_IND_SALES_ITA</v>
          </cell>
        </row>
        <row r="179">
          <cell r="A179" t="str">
            <v>Vector|||208001092|||ISSR|||IND_SALES_SPA|||False|||</v>
          </cell>
          <cell r="C179" t="str">
            <v>V_KEYWORD_ISSR_208001092_IND_SALES_SPA</v>
          </cell>
        </row>
        <row r="180">
          <cell r="A180" t="str">
            <v>Vector|||208001092|||ISSR|||IND_SALES_OTH_EU_EX_UK|||False|||</v>
          </cell>
          <cell r="C180" t="str">
            <v>V_KEYWORD_ISSR_208001092_IND_SALES_OTH_EU_EX_UK</v>
          </cell>
        </row>
        <row r="183">
          <cell r="A183" t="str">
            <v>Vector|||208001092|||ISSR|||IND_SALES_CEE|||False|||</v>
          </cell>
          <cell r="C183" t="str">
            <v>V_KEYWORD_ISSR_208001092_IND_SALES_CEE</v>
          </cell>
        </row>
        <row r="184">
          <cell r="A184" t="str">
            <v>Vector|||208001092|||ISSR|||IND_SALES_ME|||False|||</v>
          </cell>
          <cell r="C184" t="str">
            <v>V_KEYWORD_ISSR_208001092_IND_SALES_ME</v>
          </cell>
        </row>
        <row r="185">
          <cell r="A185" t="str">
            <v>Vector|||208001092|||ISSR|||IND_SALES_RUSSIA|||False|||</v>
          </cell>
          <cell r="C185" t="str">
            <v>V_KEYWORD_ISSR_208001092_IND_SALES_RUSSIA</v>
          </cell>
        </row>
        <row r="186">
          <cell r="A186" t="str">
            <v>Vector|||208001092|||ISSR|||IND_SALES_SO_AFRICA|||False|||</v>
          </cell>
          <cell r="C186" t="str">
            <v>V_KEYWORD_ISSR_208001092_IND_SALES_SO_AFRICA</v>
          </cell>
        </row>
        <row r="187">
          <cell r="A187" t="str">
            <v>Vector|||208001092|||ISSR|||IND_SALES_NIGERIA|||False|||</v>
          </cell>
          <cell r="C187" t="str">
            <v>V_KEYWORD_ISSR_208001092_IND_SALES_NIGERIA</v>
          </cell>
        </row>
        <row r="188">
          <cell r="A188" t="str">
            <v>Vector|||208001092|||ISSR|||IND_SALES_OTH_AFRICA|||False|||</v>
          </cell>
          <cell r="C188" t="str">
            <v>V_KEYWORD_ISSR_208001092_IND_SALES_OTH_AFRICA</v>
          </cell>
        </row>
        <row r="189">
          <cell r="A189" t="str">
            <v>Vector|||208001092|||ISSR|||IND_SALES_OTH_EMEA|||False|||</v>
          </cell>
          <cell r="C189" t="str">
            <v>V_KEYWORD_ISSR_208001092_IND_SALES_OTH_EMEA</v>
          </cell>
        </row>
        <row r="190">
          <cell r="A190" t="str">
            <v>Vector|||208001092|||ISSR|||IND_SALES_TOT_AFRICA|||False|||</v>
          </cell>
          <cell r="C190" t="str">
            <v>V_KEYWORD_ISSR_208001092_IND_SALES_TOT_AFRICA</v>
          </cell>
        </row>
        <row r="191">
          <cell r="A191" t="str">
            <v>Vector|||208001092|||ISSR|||IND_SALES_TOT_ASIA|||False|||</v>
          </cell>
          <cell r="C191" t="str">
            <v>V_KEYWORD_ISSR_208001092_IND_SALES_TOT_ASIA</v>
          </cell>
        </row>
        <row r="192">
          <cell r="A192" t="str">
            <v>Vector|||208001092|||ISSR|||IND_SALES_JAPAN|||False|||</v>
          </cell>
          <cell r="C192" t="str">
            <v>V_KEYWORD_ISSR_208001092_IND_SALES_JAPAN</v>
          </cell>
        </row>
        <row r="193">
          <cell r="A193" t="str">
            <v>Vector|||208001092|||ISSR|||IND_SALES_CHINA|||False|||</v>
          </cell>
          <cell r="C193" t="str">
            <v>V_KEYWORD_ISSR_208001092_IND_SALES_CHINA</v>
          </cell>
        </row>
        <row r="194">
          <cell r="A194" t="str">
            <v>Vector|||208001092|||ISSR|||IND_SALES_INDIA|||False|||</v>
          </cell>
          <cell r="C194" t="str">
            <v>V_KEYWORD_ISSR_208001092_IND_SALES_INDIA</v>
          </cell>
        </row>
        <row r="198">
          <cell r="A198" t="str">
            <v>Vector|||208001092|||ISSR|||IND_SALES_OTH_AEJ|||False|||</v>
          </cell>
          <cell r="C198" t="str">
            <v>V_KEYWORD_ISSR_208001092_IND_SALES_OTH_AEJ</v>
          </cell>
        </row>
        <row r="199">
          <cell r="A199" t="str">
            <v>Vector|||208001092|||ISSR|||IND_SALES_OTHER|||False|||</v>
          </cell>
          <cell r="C199" t="str">
            <v>V_KEYWORD_ISSR_208001092_IND_SALES_OTHER</v>
          </cell>
        </row>
        <row r="237">
          <cell r="A237" t="str">
            <v>Vector|||208001092|||ISSR|||SALES_CONS|||False|||</v>
          </cell>
          <cell r="C237" t="str">
            <v>V_KEYWORD_ISSR_208001092_SALES_CONS</v>
          </cell>
        </row>
        <row r="238">
          <cell r="A238" t="str">
            <v>Vector|||208001092|||ISSR|||SALES_IND|||False|||</v>
          </cell>
          <cell r="C238" t="str">
            <v>V_KEYWORD_ISSR_208001092_SALES_IND</v>
          </cell>
        </row>
        <row r="239">
          <cell r="A239" t="str">
            <v>Vector|||208001092|||ISSR|||SALES_GOV|||False|||</v>
          </cell>
          <cell r="C239" t="str">
            <v>V_KEYWORD_ISSR_208001092_SALES_GOV</v>
          </cell>
        </row>
        <row r="240">
          <cell r="A240" t="str">
            <v>Vector|||208001092|||ISSR|||SALES_FINAN|||False|||</v>
          </cell>
          <cell r="C240" t="str">
            <v>V_KEYWORD_ISSR_208001092_SALES_FINAN</v>
          </cell>
        </row>
        <row r="259">
          <cell r="A259" t="str">
            <v>Vector|||208001092|||ISSR|||IND_SALES_CONS|||False|||</v>
          </cell>
          <cell r="C259" t="str">
            <v>V_KEYWORD_ISSR_208001092_IND_SALES_CONS</v>
          </cell>
        </row>
        <row r="260">
          <cell r="A260" t="str">
            <v>Vector|||208001092|||ISSR|||IND_SALES_IND|||False|||</v>
          </cell>
          <cell r="C260" t="str">
            <v>V_KEYWORD_ISSR_208001092_IND_SALES_IND</v>
          </cell>
        </row>
        <row r="261">
          <cell r="A261" t="str">
            <v>Vector|||208001092|||ISSR|||IND_SALES_GOV|||False|||</v>
          </cell>
          <cell r="C261" t="str">
            <v>V_KEYWORD_ISSR_208001092_IND_SALES_GOV</v>
          </cell>
        </row>
        <row r="262">
          <cell r="A262" t="str">
            <v>Vector|||208001092|||ISSR|||IND_SALES_FINAN|||False|||</v>
          </cell>
          <cell r="C262" t="str">
            <v>V_KEYWORD_ISSR_208001092_IND_SALES_FINAN</v>
          </cell>
        </row>
        <row r="300">
          <cell r="A300" t="str">
            <v>Vector|||208001092|||ISSR|||SALES_OTH_COMMODITY|||False|||</v>
          </cell>
          <cell r="C300" t="str">
            <v>V_KEYWORD_ISSR_208001092_SALES_OTH_COMMODITY</v>
          </cell>
        </row>
        <row r="301">
          <cell r="A301" t="str">
            <v>Vector|||208001092|||ISSR|||SALES_OTH_SALES_SOURCES|||False|||</v>
          </cell>
          <cell r="C301" t="str">
            <v>V_KEYWORD_ISSR_208001092_SALES_OTH_SALES_SOURCES</v>
          </cell>
        </row>
        <row r="303">
          <cell r="A303" t="str">
            <v>Vector|||208001092|||ISSR|||EXP_OIL_PETRO_FUEL|||False|||</v>
          </cell>
          <cell r="C303" t="str">
            <v>V_KEYWORD_ISSR_208001092_EXP_OIL_PETRO_FUEL</v>
          </cell>
        </row>
        <row r="304">
          <cell r="A304" t="str">
            <v>Vector|||208001092|||ISSR|||EXP_OIL_DERIV_NGLS_PLASTICS|||False|||</v>
          </cell>
          <cell r="C304" t="str">
            <v>V_KEYWORD_ISSR_208001092_EXP_OIL_DERIV_NGLS_PLASTICS</v>
          </cell>
        </row>
        <row r="305">
          <cell r="A305" t="str">
            <v>Vector|||208001092|||ISSR|||EXP_NAT_GAS|||False|||</v>
          </cell>
          <cell r="C305" t="str">
            <v>V_KEYWORD_ISSR_208001092_EXP_NAT_GAS</v>
          </cell>
        </row>
        <row r="306">
          <cell r="A306" t="str">
            <v>Vector|||208001092|||ISSR|||EXP_GOLD|||False|||</v>
          </cell>
          <cell r="C306" t="str">
            <v>V_KEYWORD_ISSR_208001092_EXP_GOLD</v>
          </cell>
        </row>
        <row r="307">
          <cell r="A307" t="str">
            <v>Vector|||208001092|||ISSR|||EXP_COPPER|||False|||</v>
          </cell>
          <cell r="C307" t="str">
            <v>V_KEYWORD_ISSR_208001092_EXP_COPPER</v>
          </cell>
        </row>
        <row r="308">
          <cell r="A308" t="str">
            <v>Vector|||208001092|||ISSR|||EXP_SILVER|||False|||</v>
          </cell>
          <cell r="C308" t="str">
            <v>V_KEYWORD_ISSR_208001092_EXP_SILVER</v>
          </cell>
        </row>
        <row r="309">
          <cell r="A309" t="str">
            <v>Vector|||208001092|||ISSR|||EXP_PLATINUM|||False|||</v>
          </cell>
          <cell r="C309" t="str">
            <v>V_KEYWORD_ISSR_208001092_EXP_PLATINUM</v>
          </cell>
        </row>
        <row r="310">
          <cell r="A310" t="str">
            <v>Vector|||208001092|||ISSR|||EXP_PALLADIUM|||False|||</v>
          </cell>
          <cell r="C310" t="str">
            <v>V_KEYWORD_ISSR_208001092_EXP_PALLADIUM</v>
          </cell>
        </row>
        <row r="311">
          <cell r="A311" t="str">
            <v>Vector|||208001092|||ISSR|||EXP_ALUMINIUM|||False|||</v>
          </cell>
          <cell r="C311" t="str">
            <v>V_KEYWORD_ISSR_208001092_EXP_ALUMINIUM</v>
          </cell>
        </row>
        <row r="312">
          <cell r="A312" t="str">
            <v>Vector|||208001092|||ISSR|||EXP_NICKEL|||False|||</v>
          </cell>
          <cell r="C312" t="str">
            <v>V_KEYWORD_ISSR_208001092_EXP_NICKEL</v>
          </cell>
        </row>
        <row r="313">
          <cell r="A313" t="str">
            <v>Vector|||208001092|||ISSR|||EXP_ZINC|||False|||</v>
          </cell>
          <cell r="C313" t="str">
            <v>V_KEYWORD_ISSR_208001092_EXP_ZINC</v>
          </cell>
        </row>
        <row r="314">
          <cell r="A314" t="str">
            <v>Vector|||208001092|||ISSR|||EXP_STEEL|||False|||</v>
          </cell>
          <cell r="C314" t="str">
            <v>V_KEYWORD_ISSR_208001092_EXP_STEEL</v>
          </cell>
        </row>
        <row r="315">
          <cell r="A315" t="str">
            <v>Vector|||208001092|||ISSR|||EXP_GLASS|||False|||</v>
          </cell>
          <cell r="C315" t="str">
            <v>V_KEYWORD_ISSR_208001092_EXP_GLASS</v>
          </cell>
        </row>
        <row r="316">
          <cell r="A316" t="str">
            <v>Vector|||208001092|||ISSR|||EXP_RUBBER|||False|||</v>
          </cell>
          <cell r="C316" t="str">
            <v>V_KEYWORD_ISSR_208001092_EXP_RUBBER</v>
          </cell>
        </row>
        <row r="317">
          <cell r="A317" t="str">
            <v>Vector|||208001092|||ISSR|||EXP_WATER|||False|||</v>
          </cell>
          <cell r="C317" t="str">
            <v>V_KEYWORD_ISSR_208001092_EXP_WATER</v>
          </cell>
        </row>
        <row r="318">
          <cell r="A318" t="str">
            <v>Vector|||208001092|||ISSR|||EXP_OTH_COMMODITY|||False|||</v>
          </cell>
          <cell r="C318" t="str">
            <v>V_KEYWORD_ISSR_208001092_EXP_OTH_COMMODITY</v>
          </cell>
        </row>
        <row r="319">
          <cell r="A319" t="str">
            <v>Vector|||208001092|||ISSR|||EXP_OTH_COST|||False|||</v>
          </cell>
          <cell r="C319" t="str">
            <v>V_KEYWORD_ISSR_208001092_EXP_OTH_COST</v>
          </cell>
        </row>
        <row r="321">
          <cell r="A321" t="str">
            <v>Vector|||208001092|||ISSR|||SALES_FX_GPB|||False|||</v>
          </cell>
          <cell r="C321" t="str">
            <v>V_KEYWORD_ISSR_208001092_SALES_FX_GPB</v>
          </cell>
        </row>
        <row r="322">
          <cell r="A322" t="str">
            <v>Vector|||208001092|||ISSR|||SALES_FX_EUR|||False|||</v>
          </cell>
          <cell r="C322" t="str">
            <v>V_KEYWORD_ISSR_208001092_SALES_FX_EUR</v>
          </cell>
        </row>
        <row r="323">
          <cell r="A323" t="str">
            <v>Vector|||208001092|||ISSR|||SALES_FX_RUB|||False|||</v>
          </cell>
          <cell r="C323" t="str">
            <v>V_KEYWORD_ISSR_208001092_SALES_FX_RUB</v>
          </cell>
        </row>
        <row r="324">
          <cell r="A324" t="str">
            <v>Vector|||208001092|||ISSR|||SALES_FX_USD|||False|||</v>
          </cell>
          <cell r="C324" t="str">
            <v>V_KEYWORD_ISSR_208001092_SALES_FX_USD</v>
          </cell>
        </row>
        <row r="325">
          <cell r="A325" t="str">
            <v>Vector|||208001092|||ISSR|||SALES_FX_BRL|||False|||</v>
          </cell>
          <cell r="C325" t="str">
            <v>V_KEYWORD_ISSR_208001092_SALES_FX_BRL</v>
          </cell>
        </row>
        <row r="326">
          <cell r="A326" t="str">
            <v>Vector|||208001092|||ISSR|||SALES_FX_YEN|||False|||</v>
          </cell>
          <cell r="C326" t="str">
            <v>V_KEYWORD_ISSR_208001092_SALES_FX_YEN</v>
          </cell>
        </row>
        <row r="327">
          <cell r="A327" t="str">
            <v>Vector|||208001092|||ISSR|||SALES_FX_CNY|||False|||</v>
          </cell>
          <cell r="C327" t="str">
            <v>V_KEYWORD_ISSR_208001092_SALES_FX_CNY</v>
          </cell>
        </row>
        <row r="328">
          <cell r="A328" t="str">
            <v>Vector|||208001092|||ISSR|||SALES_FX_INR|||False|||</v>
          </cell>
          <cell r="C328" t="str">
            <v>V_KEYWORD_ISSR_208001092_SALES_FX_INR</v>
          </cell>
        </row>
        <row r="329">
          <cell r="A329" t="str">
            <v>Vector|||208001092|||ISSR|||SALES_FX_ZAR|||False|||</v>
          </cell>
          <cell r="C329" t="str">
            <v>V_KEYWORD_ISSR_208001092_SALES_FX_ZAR</v>
          </cell>
        </row>
        <row r="330">
          <cell r="A330" t="str">
            <v>Vector|||208001092|||ISSR|||SALES_FX_NGN|||False|||</v>
          </cell>
          <cell r="C330" t="str">
            <v>V_KEYWORD_ISSR_208001092_SALES_FX_NGN</v>
          </cell>
        </row>
        <row r="331">
          <cell r="A331" t="str">
            <v>Vector|||208001092|||ISSR|||SALES_FX_CHF|||False|||</v>
          </cell>
          <cell r="C331" t="str">
            <v>V_KEYWORD_ISSR_208001092_SALES_FX_CHF</v>
          </cell>
        </row>
        <row r="332">
          <cell r="A332" t="str">
            <v>Vector|||208001092|||ISSR|||SALES_FX_AED|||False|||</v>
          </cell>
          <cell r="C332" t="str">
            <v>V_KEYWORD_ISSR_208001092_SALES_FX_AED</v>
          </cell>
        </row>
        <row r="333">
          <cell r="A333" t="str">
            <v>Vector|||208001092|||ISSR|||SALES_FX_TRY|||False|||</v>
          </cell>
          <cell r="C333" t="str">
            <v>V_KEYWORD_ISSR_208001092_SALES_FX_TRY</v>
          </cell>
        </row>
        <row r="334">
          <cell r="A334" t="str">
            <v>Vector|||208001092|||ISSR|||SALES_FX_OTH|||False|||</v>
          </cell>
          <cell r="C334" t="str">
            <v>V_KEYWORD_ISSR_208001092_SALES_FX_OTH</v>
          </cell>
        </row>
        <row r="344">
          <cell r="A344" t="str">
            <v>Scalar|||200003162|||EQTY|||EURO_LIST|||False|||</v>
          </cell>
          <cell r="C344" t="str">
            <v>V_KEYWORD_EQTY_200003162_EURO_LIST</v>
          </cell>
        </row>
        <row r="345">
          <cell r="A345" t="str">
            <v>Scalar|||200003162|||EQTY|||EURO_CONVICTION|||False|||</v>
          </cell>
          <cell r="C345" t="str">
            <v>V_KEYWORD_EQTY_200003162_EURO_CONVICTION</v>
          </cell>
        </row>
        <row r="346">
          <cell r="A346" t="str">
            <v>Scalar|||200003162|||EQTY|||LEGAL_RATING|||False|||</v>
          </cell>
          <cell r="C346" t="str">
            <v>V_KEYWORD_EQTY_200003162_LEGAL_RATING</v>
          </cell>
          <cell r="E346" t="str">
            <v>ERROR</v>
          </cell>
        </row>
        <row r="347">
          <cell r="A347" t="str">
            <v>Scalar|||200003162|||EQTY|||TARGET_PRICE|||False|||</v>
          </cell>
          <cell r="C347" t="str">
            <v>V_KEYWORD_EQTY_200003162_TARGET_PRICE</v>
          </cell>
          <cell r="E347" t="str">
            <v>ERROR</v>
          </cell>
        </row>
        <row r="348">
          <cell r="A348" t="str">
            <v>Scalar|||200003162|||EQTY|||TP_PERIOD|||False|||</v>
          </cell>
          <cell r="C348" t="str">
            <v>V_KEYWORD_EQTY_200003162_TP_PERIOD</v>
          </cell>
          <cell r="E348" t="str">
            <v>ERROR</v>
          </cell>
        </row>
        <row r="349">
          <cell r="A349" t="str">
            <v>Scalar|||200003162|||EQTY|||NUM_SH|||False|||</v>
          </cell>
          <cell r="C349" t="str">
            <v>V_KEYWORD_EQTY_200003162_NUM_SH</v>
          </cell>
        </row>
        <row r="350">
          <cell r="A350" t="str">
            <v>Scalar|||200003162|||EQTY|||FREE_FLOAT|||False|||</v>
          </cell>
          <cell r="C350" t="str">
            <v>V_KEYWORD_EQTY_200003162_FREE_FLOAT</v>
          </cell>
        </row>
        <row r="352">
          <cell r="A352" t="str">
            <v>Vector|||200003162|||EQTY|||BVPS_PUB|||False|||</v>
          </cell>
          <cell r="C352" t="str">
            <v>V_KEYWORD_EQTY_200003162_BVPS_PUB</v>
          </cell>
        </row>
        <row r="353">
          <cell r="A353" t="str">
            <v>Vector|||200003162|||EQTY|||DPS_PUB|||False|||</v>
          </cell>
          <cell r="C353" t="str">
            <v>V_KEYWORD_EQTY_200003162_DPS_PUB</v>
          </cell>
        </row>
        <row r="354">
          <cell r="A354" t="str">
            <v>Vector|||200003162|||EQTY|||EBITDA_PUB|||False|||</v>
          </cell>
          <cell r="C354" t="str">
            <v>V_KEYWORD_EQTY_200003162_EBITDA_PUB</v>
          </cell>
        </row>
        <row r="355">
          <cell r="A355" t="str">
            <v>Vector|||200003162|||EQTY|||EPS_PUB|||False|||</v>
          </cell>
          <cell r="C355" t="str">
            <v>V_KEYWORD_EQTY_200003162_EPS_PUB</v>
          </cell>
          <cell r="AP355" t="str">
            <v>ERROR</v>
          </cell>
          <cell r="AQ355" t="str">
            <v>ERROR</v>
          </cell>
          <cell r="AR355" t="str">
            <v>ERROR</v>
          </cell>
          <cell r="AS355" t="str">
            <v>ERROR</v>
          </cell>
          <cell r="AT355" t="str">
            <v>ERROR</v>
          </cell>
          <cell r="AU355" t="str">
            <v>ERROR</v>
          </cell>
          <cell r="AV355" t="str">
            <v>ERROR</v>
          </cell>
          <cell r="AW355" t="str">
            <v>ERROR</v>
          </cell>
          <cell r="AX355" t="str">
            <v>ERROR</v>
          </cell>
        </row>
        <row r="356">
          <cell r="A356" t="str">
            <v>Vector|||200003162|||EQTY|||EV_ADJ_PUB|||False|||</v>
          </cell>
          <cell r="C356" t="str">
            <v>V_KEYWORD_EQTY_200003162_EV_ADJ_PUB</v>
          </cell>
        </row>
        <row r="357">
          <cell r="A357" t="str">
            <v>Vector|||200003162|||EQTY|||NET_DEBT_PUB|||False|||</v>
          </cell>
          <cell r="C357" t="str">
            <v>V_KEYWORD_EQTY_200003162_NET_DEBT_PUB</v>
          </cell>
        </row>
        <row r="358">
          <cell r="A358" t="str">
            <v>Vector|||200003162|||EQTY|||NI_PUB|||False|||</v>
          </cell>
          <cell r="C358" t="str">
            <v>V_KEYWORD_EQTY_200003162_NI_PUB</v>
          </cell>
        </row>
        <row r="359">
          <cell r="A359" t="str">
            <v>Vector|||200003162|||EQTY|||EBIT_PUB|||False|||</v>
          </cell>
          <cell r="C359" t="str">
            <v>V_KEYWORD_EQTY_200003162_EBIT_PUB</v>
          </cell>
        </row>
        <row r="360">
          <cell r="A360" t="str">
            <v>Vector|||200003162|||EQTY|||PTP_PUB|||False|||</v>
          </cell>
          <cell r="C360" t="str">
            <v>V_KEYWORD_EQTY_200003162_PTP_PUB</v>
          </cell>
        </row>
        <row r="361">
          <cell r="A361" t="str">
            <v>Vector|||200003162|||EQTY|||REVS_PUB|||False|||</v>
          </cell>
          <cell r="C361" t="str">
            <v>V_KEYWORD_EQTY_200003162_REVS_PUB</v>
          </cell>
        </row>
        <row r="362">
          <cell r="A362" t="str">
            <v>Vector|||200003162|||EQTY|||EQ_PUB|||False|||</v>
          </cell>
          <cell r="C362" t="str">
            <v>V_KEYWORD_EQTY_200003162_EQ_PUB</v>
          </cell>
        </row>
        <row r="364">
          <cell r="A364" t="str">
            <v>Vector|||200003162|||EQTY|||PROV_INC_TAX|||False|||</v>
          </cell>
          <cell r="C364" t="str">
            <v>V_KEYWORD_EQTY_200003162_PROV_INC_TAX</v>
          </cell>
        </row>
        <row r="365">
          <cell r="A365" t="str">
            <v>Vector|||200003162|||EQTY|||INC_MINORITY|||False|||</v>
          </cell>
          <cell r="C365" t="str">
            <v>V_KEYWORD_EQTY_200003162_INC_MINORITY</v>
          </cell>
        </row>
        <row r="366">
          <cell r="A366" t="str">
            <v>Vector|||200003162|||EQTY|||NI_PRE_PREF|||False|||</v>
          </cell>
          <cell r="C366" t="str">
            <v>V_KEYWORD_EQTY_200003162_NI_PRE_PREF</v>
          </cell>
        </row>
        <row r="367">
          <cell r="A367" t="str">
            <v>Vector|||200003162|||EQTY|||PREF_DIV|||False|||</v>
          </cell>
          <cell r="C367" t="str">
            <v>V_KEYWORD_EQTY_200003162_PREF_DIV</v>
          </cell>
        </row>
        <row r="368">
          <cell r="A368" t="str">
            <v>Vector|||200003162|||EQTY|||NET_EARNING|||False|||</v>
          </cell>
          <cell r="C368" t="str">
            <v>V_KEYWORD_EQTY_200003162_NET_EARNING</v>
          </cell>
        </row>
        <row r="369">
          <cell r="A369" t="str">
            <v>Vector|||200003162|||EQTY|||TAX_EXC|||False|||</v>
          </cell>
          <cell r="C369" t="str">
            <v>V_KEYWORD_EQTY_200003162_TAX_EXC</v>
          </cell>
        </row>
        <row r="370">
          <cell r="A370" t="str">
            <v>Vector|||200003162|||EQTY|||NET_INC|||False|||</v>
          </cell>
          <cell r="C370" t="str">
            <v>V_KEYWORD_EQTY_200003162_NET_INC</v>
          </cell>
        </row>
        <row r="371">
          <cell r="A371" t="str">
            <v>Vector|||200003162|||EQTY|||EPS|||False|||</v>
          </cell>
          <cell r="C371" t="str">
            <v>V_KEYWORD_EQTY_200003162_EPS</v>
          </cell>
        </row>
        <row r="372">
          <cell r="A372" t="str">
            <v>Vector|||200003162|||EQTY|||EPS_FUL_DIL|||False|||</v>
          </cell>
          <cell r="C372" t="str">
            <v>V_KEYWORD_EQTY_200003162_EPS_FUL_DIL</v>
          </cell>
        </row>
        <row r="373">
          <cell r="A373" t="str">
            <v>Vector|||200003162|||EQTY|||EPS_POST_BASIC|||False|||</v>
          </cell>
          <cell r="C373" t="str">
            <v>V_KEYWORD_EQTY_200003162_EPS_POST_BASIC</v>
          </cell>
        </row>
        <row r="374">
          <cell r="A374" t="str">
            <v>Vector|||200003162|||EQTY|||FULLY_DIL_EPS|||False|||</v>
          </cell>
          <cell r="C374" t="str">
            <v>V_KEYWORD_EQTY_200003162_FULLY_DIL_EPS</v>
          </cell>
        </row>
        <row r="375">
          <cell r="A375" t="str">
            <v>Vector|||200003162|||EQTY|||COMMON_DIV_PAID|||False|||</v>
          </cell>
          <cell r="C375" t="str">
            <v>V_KEYWORD_EQTY_200003162_COMMON_DIV_PAID</v>
          </cell>
        </row>
        <row r="376">
          <cell r="A376" t="str">
            <v>Vector|||200003162|||EQTY|||DPS|||False|||</v>
          </cell>
          <cell r="C376" t="str">
            <v>V_KEYWORD_EQTY_200003162_DPS</v>
          </cell>
        </row>
        <row r="377">
          <cell r="A377" t="str">
            <v>Vector|||200003162|||EQTY|||SH|||False|||</v>
          </cell>
          <cell r="C377" t="str">
            <v>V_KEYWORD_EQTY_200003162_SH</v>
          </cell>
        </row>
        <row r="378">
          <cell r="A378" t="str">
            <v>Vector|||200003162|||EQTY|||DILUTE_SHARES|||False|||</v>
          </cell>
          <cell r="C378" t="str">
            <v>V_KEYWORD_EQTY_200003162_DILUTE_SHARES</v>
          </cell>
        </row>
        <row r="379">
          <cell r="A379" t="str">
            <v>Vector|||200003162|||EQTY|||NON_OP_ADD|||False|||</v>
          </cell>
          <cell r="C379" t="str">
            <v>V_KEYWORD_EQTY_200003162_NON_OP_ADD</v>
          </cell>
        </row>
        <row r="381">
          <cell r="A381" t="str">
            <v>Vector|||200003162|||EQTY|||ORG_NI|||False|||</v>
          </cell>
          <cell r="C381" t="str">
            <v>V_KEYWORD_EQTY_200003162_ORG_NI</v>
          </cell>
        </row>
        <row r="382">
          <cell r="A382" t="str">
            <v>Vector|||200003162|||EQTY|||ORG_EPS|||False|||</v>
          </cell>
          <cell r="C382" t="str">
            <v>V_KEYWORD_EQTY_200003162_ORG_EPS</v>
          </cell>
        </row>
        <row r="383">
          <cell r="A383" t="str">
            <v>Vector|||200003162|||EQTY|||MARGIN_TAX_RATE|||False|||</v>
          </cell>
          <cell r="C383" t="str">
            <v>V_KEYWORD_EQTY_200003162_MARGIN_TAX_RATE</v>
          </cell>
        </row>
        <row r="385">
          <cell r="A385" t="str">
            <v>Vector|||200003162|||EQTY|||BVPS|||False|||</v>
          </cell>
          <cell r="C385" t="str">
            <v>V_KEYWORD_EQTY_200003162_BVPS</v>
          </cell>
        </row>
      </sheetData>
      <sheetData sheetId="2">
        <row r="5">
          <cell r="A5" t="str">
            <v>Reference Data</v>
          </cell>
        </row>
        <row r="8">
          <cell r="A8" t="str">
            <v>Income Statement</v>
          </cell>
        </row>
        <row r="9">
          <cell r="B9" t="str">
            <v>Sales, net revenue</v>
          </cell>
          <cell r="C9" t="str">
            <v>SALES</v>
          </cell>
          <cell r="D9" t="str">
            <v>GBP</v>
          </cell>
        </row>
        <row r="10">
          <cell r="B10" t="str">
            <v>Cost of goods sold, COGS</v>
          </cell>
          <cell r="C10" t="str">
            <v>COST_GD_SD</v>
          </cell>
          <cell r="D10" t="str">
            <v>GBP</v>
          </cell>
        </row>
        <row r="11">
          <cell r="B11" t="str">
            <v>SG&amp;A, selling, general and admin. expense</v>
          </cell>
          <cell r="C11" t="str">
            <v>SEL_GL_AD</v>
          </cell>
          <cell r="D11" t="str">
            <v>GBP</v>
          </cell>
        </row>
        <row r="12">
          <cell r="B12" t="str">
            <v>Total operating expense</v>
          </cell>
          <cell r="C12" t="str">
            <v>OP_COST</v>
          </cell>
          <cell r="D12" t="str">
            <v>GBP</v>
          </cell>
        </row>
        <row r="13">
          <cell r="B13" t="str">
            <v>R&amp;D expense</v>
          </cell>
          <cell r="C13" t="str">
            <v>RD_EXP</v>
          </cell>
          <cell r="D13" t="str">
            <v>GBP</v>
          </cell>
        </row>
        <row r="14">
          <cell r="B14" t="str">
            <v>Other operating income/(expense) (incl. leases)</v>
          </cell>
          <cell r="C14" t="str">
            <v>OTH_OP_INC_EXP</v>
          </cell>
          <cell r="D14" t="str">
            <v>GBP</v>
          </cell>
        </row>
        <row r="15">
          <cell r="B15" t="str">
            <v>Total operating expense (incl. D&amp;A)</v>
          </cell>
          <cell r="C15" t="str">
            <v>TOT_OPS_EXP_DDA</v>
          </cell>
          <cell r="D15" t="str">
            <v>GBP</v>
          </cell>
        </row>
        <row r="16">
          <cell r="B16" t="str">
            <v>Total operating expense (excl. D&amp;A)</v>
          </cell>
          <cell r="C16" t="str">
            <v>TOT_OPS_EXP</v>
          </cell>
          <cell r="D16" t="str">
            <v>GBP</v>
          </cell>
        </row>
        <row r="17">
          <cell r="B17" t="str">
            <v>EBITDA</v>
          </cell>
          <cell r="C17" t="str">
            <v>EBITDA_CALC</v>
          </cell>
          <cell r="D17" t="str">
            <v>GBP</v>
          </cell>
        </row>
        <row r="18">
          <cell r="B18" t="str">
            <v>Depreciation</v>
          </cell>
          <cell r="C18" t="str">
            <v>DEPREC</v>
          </cell>
          <cell r="D18" t="str">
            <v>GBP</v>
          </cell>
        </row>
        <row r="19">
          <cell r="B19" t="str">
            <v>Amortization</v>
          </cell>
          <cell r="C19" t="str">
            <v>GOODWILL_AMORT</v>
          </cell>
          <cell r="D19" t="str">
            <v>GBP</v>
          </cell>
        </row>
        <row r="20">
          <cell r="B20" t="str">
            <v>EBIT, operating profit</v>
          </cell>
          <cell r="C20" t="str">
            <v>EBIT</v>
          </cell>
          <cell r="D20" t="str">
            <v>GBP</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row>
        <row r="24">
          <cell r="B24" t="str">
            <v>Income/(loss) from unconsolidated subs &amp; associates</v>
          </cell>
          <cell r="C24" t="str">
            <v>ASSOCIATE</v>
          </cell>
          <cell r="D24" t="str">
            <v>GBP</v>
          </cell>
        </row>
        <row r="25">
          <cell r="B25" t="str">
            <v>Profit/(loss) on disposals of assets, pre-tax</v>
          </cell>
          <cell r="C25" t="str">
            <v>PROFIT_ON_DISP</v>
          </cell>
          <cell r="D25" t="str">
            <v>GBP</v>
          </cell>
        </row>
        <row r="26">
          <cell r="B26" t="str">
            <v>Other non-ops income/(expense)</v>
          </cell>
          <cell r="C26" t="str">
            <v>OTH_COST_INC</v>
          </cell>
          <cell r="D26" t="str">
            <v>GBP</v>
          </cell>
        </row>
        <row r="27">
          <cell r="B27" t="str">
            <v>Pre-tax profit</v>
          </cell>
          <cell r="C27" t="str">
            <v>PT_PROF</v>
          </cell>
          <cell r="D27" t="str">
            <v>GBP</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row>
        <row r="31">
          <cell r="B31" t="str">
            <v>Lease payments</v>
          </cell>
          <cell r="C31" t="str">
            <v>LEASE_PAY</v>
          </cell>
          <cell r="D31" t="str">
            <v>GBP</v>
          </cell>
        </row>
        <row r="32">
          <cell r="B32" t="str">
            <v>Lease payments (deemed interest portion)</v>
          </cell>
          <cell r="C32" t="str">
            <v>LEASE_DEEM_INT</v>
          </cell>
          <cell r="D32" t="str">
            <v>GBP</v>
          </cell>
        </row>
        <row r="33">
          <cell r="B33" t="str">
            <v>Lease payments (deemed depreciation portion)</v>
          </cell>
          <cell r="C33" t="str">
            <v>LEASE_DEEM_DEPR</v>
          </cell>
          <cell r="D33" t="str">
            <v>GBP</v>
          </cell>
        </row>
        <row r="34">
          <cell r="B34" t="str">
            <v>Gross interest charge</v>
          </cell>
          <cell r="C34" t="str">
            <v>NET_INT_CH</v>
          </cell>
          <cell r="D34" t="str">
            <v>GBP</v>
          </cell>
        </row>
        <row r="35">
          <cell r="B35" t="str">
            <v>Income from associates (operating)</v>
          </cell>
          <cell r="C35" t="str">
            <v>ASSOCIATE_OP</v>
          </cell>
          <cell r="D35" t="str">
            <v>GBP</v>
          </cell>
        </row>
        <row r="36">
          <cell r="B36" t="str">
            <v>Goodwill amortization</v>
          </cell>
          <cell r="C36" t="str">
            <v>GW_AMORT</v>
          </cell>
          <cell r="D36" t="str">
            <v>GBP</v>
          </cell>
        </row>
        <row r="37">
          <cell r="B37" t="str">
            <v>Other intangible amortization</v>
          </cell>
          <cell r="C37" t="str">
            <v>OTH_INT_AMORT</v>
          </cell>
          <cell r="D37" t="str">
            <v>GBP</v>
          </cell>
        </row>
        <row r="38">
          <cell r="A38" t="str">
            <v>Balance Sheet</v>
          </cell>
        </row>
        <row r="39">
          <cell r="B39" t="str">
            <v>Cash &amp; cash equivalents</v>
          </cell>
          <cell r="C39" t="str">
            <v>CASH_EQ</v>
          </cell>
          <cell r="D39" t="str">
            <v>GBP</v>
          </cell>
        </row>
        <row r="40">
          <cell r="B40" t="str">
            <v>Accounts receivable</v>
          </cell>
          <cell r="C40" t="str">
            <v>DEBTORS</v>
          </cell>
          <cell r="D40" t="str">
            <v>GBP</v>
          </cell>
        </row>
        <row r="41">
          <cell r="B41" t="str">
            <v>Inventory</v>
          </cell>
          <cell r="C41" t="str">
            <v>STOCKS</v>
          </cell>
          <cell r="D41" t="str">
            <v>GBP</v>
          </cell>
        </row>
        <row r="42">
          <cell r="B42" t="str">
            <v>Other current assets</v>
          </cell>
          <cell r="C42" t="str">
            <v>OTH_CUR_ASS</v>
          </cell>
          <cell r="D42" t="str">
            <v>GBP</v>
          </cell>
        </row>
        <row r="43">
          <cell r="B43" t="str">
            <v>Total current assets</v>
          </cell>
          <cell r="C43" t="str">
            <v>CUR_ASS</v>
          </cell>
          <cell r="D43" t="str">
            <v>GBP</v>
          </cell>
        </row>
        <row r="44">
          <cell r="B44" t="str">
            <v>Gross fixed assets, PP&amp;E</v>
          </cell>
          <cell r="C44" t="str">
            <v>GR_FIX_ASS</v>
          </cell>
          <cell r="D44" t="str">
            <v>GBP</v>
          </cell>
        </row>
        <row r="45">
          <cell r="B45" t="str">
            <v>Accumulated depreciation</v>
          </cell>
          <cell r="C45" t="str">
            <v>ACC_DDA</v>
          </cell>
          <cell r="D45" t="str">
            <v>GBP</v>
          </cell>
        </row>
        <row r="46">
          <cell r="B46" t="str">
            <v>Net PP&amp;E</v>
          </cell>
          <cell r="C46" t="str">
            <v>NET_FIX_ASS</v>
          </cell>
          <cell r="D46" t="str">
            <v>GBP</v>
          </cell>
        </row>
        <row r="47">
          <cell r="B47" t="str">
            <v>Gross intangibles</v>
          </cell>
          <cell r="C47" t="str">
            <v>GR_INTANG</v>
          </cell>
          <cell r="D47" t="str">
            <v>GBP</v>
          </cell>
        </row>
        <row r="48">
          <cell r="B48" t="str">
            <v>Accumulated amortization</v>
          </cell>
          <cell r="C48" t="str">
            <v>ACC_AMORT</v>
          </cell>
          <cell r="D48" t="str">
            <v>GBP</v>
          </cell>
        </row>
        <row r="49">
          <cell r="B49" t="str">
            <v>Net intangible assets</v>
          </cell>
          <cell r="C49" t="str">
            <v>NET_INTANG</v>
          </cell>
          <cell r="D49" t="str">
            <v>GBP</v>
          </cell>
        </row>
        <row r="50">
          <cell r="B50" t="str">
            <v>Equity method investments</v>
          </cell>
          <cell r="C50" t="str">
            <v>FIX_ASS_INV</v>
          </cell>
          <cell r="D50" t="str">
            <v>GBP</v>
          </cell>
        </row>
        <row r="51">
          <cell r="B51" t="str">
            <v>Investments in securities</v>
          </cell>
          <cell r="C51" t="str">
            <v>INV_SECUR</v>
          </cell>
          <cell r="D51" t="str">
            <v>GBP</v>
          </cell>
        </row>
        <row r="52">
          <cell r="B52" t="str">
            <v>Other long-term assets</v>
          </cell>
          <cell r="C52" t="str">
            <v>OTH_LT_ASS</v>
          </cell>
          <cell r="D52" t="str">
            <v>GBP</v>
          </cell>
        </row>
        <row r="53">
          <cell r="B53" t="str">
            <v>Total assets</v>
          </cell>
          <cell r="C53" t="str">
            <v>TOT_ASSET</v>
          </cell>
          <cell r="D53" t="str">
            <v>GBP</v>
          </cell>
        </row>
        <row r="54">
          <cell r="B54" t="str">
            <v>Accounts payable</v>
          </cell>
          <cell r="C54" t="str">
            <v>ACC_PAY_GQ</v>
          </cell>
          <cell r="D54" t="str">
            <v>GBP</v>
          </cell>
        </row>
        <row r="55">
          <cell r="B55" t="str">
            <v>Short-term debt</v>
          </cell>
          <cell r="C55" t="str">
            <v>SHORT_T_DEBT</v>
          </cell>
          <cell r="D55" t="str">
            <v>GBP</v>
          </cell>
        </row>
        <row r="56">
          <cell r="B56" t="str">
            <v>Other current liabilities</v>
          </cell>
          <cell r="C56" t="str">
            <v>OTH_CUR_LIABS</v>
          </cell>
          <cell r="D56" t="str">
            <v>GBP</v>
          </cell>
        </row>
        <row r="57">
          <cell r="B57" t="str">
            <v>Total current liabilities</v>
          </cell>
          <cell r="C57" t="str">
            <v>SHORT_TERM_LIABS</v>
          </cell>
          <cell r="D57" t="str">
            <v>GBP</v>
          </cell>
        </row>
        <row r="58">
          <cell r="B58" t="str">
            <v>Long-term  debt</v>
          </cell>
          <cell r="C58" t="str">
            <v>LT_DEBT</v>
          </cell>
          <cell r="D58" t="str">
            <v>GBP</v>
          </cell>
        </row>
        <row r="59">
          <cell r="B59" t="str">
            <v>Other long-term liabilities</v>
          </cell>
          <cell r="C59" t="str">
            <v>OTH_LT_CRED_GQ</v>
          </cell>
          <cell r="D59" t="str">
            <v>GBP</v>
          </cell>
        </row>
        <row r="60">
          <cell r="B60" t="str">
            <v>Total long-term liabilities</v>
          </cell>
          <cell r="C60" t="str">
            <v>TOT_LT_LIAB</v>
          </cell>
          <cell r="D60" t="str">
            <v>GBP</v>
          </cell>
        </row>
        <row r="61">
          <cell r="B61" t="str">
            <v>Total liabilities</v>
          </cell>
          <cell r="C61" t="str">
            <v>TOT_LIAB</v>
          </cell>
          <cell r="D61" t="str">
            <v>GBP</v>
          </cell>
        </row>
        <row r="62">
          <cell r="B62" t="str">
            <v>Preferred shares</v>
          </cell>
          <cell r="C62" t="str">
            <v>PREF_SH</v>
          </cell>
          <cell r="D62" t="str">
            <v>GBP</v>
          </cell>
        </row>
        <row r="63">
          <cell r="B63" t="str">
            <v>Total common equity</v>
          </cell>
          <cell r="C63" t="str">
            <v>ORD_SH_FUND</v>
          </cell>
          <cell r="D63" t="str">
            <v>GBP</v>
          </cell>
        </row>
        <row r="64">
          <cell r="B64" t="str">
            <v>Minority interest</v>
          </cell>
          <cell r="C64" t="str">
            <v>MINORITIES</v>
          </cell>
          <cell r="D64" t="str">
            <v>GBP</v>
          </cell>
        </row>
        <row r="65">
          <cell r="B65" t="str">
            <v>Total shareholders' equity</v>
          </cell>
          <cell r="C65" t="str">
            <v>EQ</v>
          </cell>
          <cell r="D65" t="str">
            <v>GBP</v>
          </cell>
        </row>
        <row r="66">
          <cell r="B66" t="str">
            <v>Total liabilities and equity</v>
          </cell>
          <cell r="C66" t="str">
            <v>TOT_LIAB_EQ</v>
          </cell>
          <cell r="D66" t="str">
            <v>GBP</v>
          </cell>
        </row>
        <row r="67">
          <cell r="A67" t="str">
            <v>Additional Balance Sheet Items</v>
          </cell>
        </row>
        <row r="68">
          <cell r="B68" t="str">
            <v>Net debt</v>
          </cell>
          <cell r="C68" t="str">
            <v>NET_DEBT</v>
          </cell>
          <cell r="D68" t="str">
            <v>GBP</v>
          </cell>
        </row>
        <row r="69">
          <cell r="B69" t="str">
            <v>Capitalized leases</v>
          </cell>
          <cell r="C69" t="str">
            <v>CAP_LEASES</v>
          </cell>
          <cell r="D69" t="str">
            <v>GBP</v>
          </cell>
        </row>
        <row r="70">
          <cell r="B70" t="str">
            <v>Deferred income taxes</v>
          </cell>
          <cell r="C70" t="str">
            <v>DEF_INC_TAX</v>
          </cell>
          <cell r="D70" t="str">
            <v>GBP</v>
          </cell>
        </row>
        <row r="71">
          <cell r="B71" t="str">
            <v>Associates (mkt value) used in EV calculation</v>
          </cell>
          <cell r="C71" t="str">
            <v>MV_ASSOCIATES</v>
          </cell>
          <cell r="D71" t="str">
            <v>GBP</v>
          </cell>
        </row>
        <row r="72">
          <cell r="B72" t="str">
            <v>Net debt adjustment</v>
          </cell>
          <cell r="C72" t="str">
            <v>NET_DEBT_ADJ</v>
          </cell>
          <cell r="D72" t="str">
            <v>GBP</v>
          </cell>
        </row>
        <row r="73">
          <cell r="B73" t="str">
            <v>Company borrowing margin</v>
          </cell>
          <cell r="C73" t="str">
            <v>CO_BOR_MARGIN</v>
          </cell>
        </row>
        <row r="74">
          <cell r="B74" t="str">
            <v>Unfunded pensions &amp; other provisions</v>
          </cell>
          <cell r="C74" t="str">
            <v>UNF_PENS</v>
          </cell>
          <cell r="D74" t="str">
            <v>GBP</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row>
        <row r="77">
          <cell r="B77" t="str">
            <v>Adjustment for unfunded pensions &amp; goodwill</v>
          </cell>
          <cell r="C77" t="str">
            <v>ADJ_UNF_PENS_GOOD</v>
          </cell>
          <cell r="D77" t="str">
            <v>GBP</v>
          </cell>
        </row>
        <row r="78">
          <cell r="B78" t="str">
            <v>Other GCI adjustments</v>
          </cell>
          <cell r="C78" t="str">
            <v>OTH_GCI_ADJ</v>
          </cell>
          <cell r="D78" t="str">
            <v>GBP</v>
          </cell>
        </row>
        <row r="79">
          <cell r="B79" t="str">
            <v>GCI inflator</v>
          </cell>
          <cell r="C79" t="str">
            <v>GCI_INFL</v>
          </cell>
        </row>
        <row r="80">
          <cell r="B80" t="str">
            <v>Minority interest</v>
          </cell>
          <cell r="C80" t="str">
            <v>BAL_MINO_INT</v>
          </cell>
          <cell r="D80" t="str">
            <v>GBP</v>
          </cell>
        </row>
        <row r="81">
          <cell r="A81" t="str">
            <v>Cash Flow Statement</v>
          </cell>
        </row>
        <row r="82">
          <cell r="B82" t="str">
            <v>Minority interest add-back</v>
          </cell>
          <cell r="C82" t="str">
            <v>CF_INC_MINORITY</v>
          </cell>
          <cell r="D82" t="str">
            <v>GBP</v>
          </cell>
        </row>
        <row r="83">
          <cell r="B83" t="str">
            <v>Depreciation &amp; amortization add-back</v>
          </cell>
          <cell r="C83" t="str">
            <v>DEPR_AMORT</v>
          </cell>
          <cell r="D83" t="str">
            <v>GBP</v>
          </cell>
        </row>
        <row r="84">
          <cell r="B84" t="str">
            <v>(Increase)/decrease in working capital</v>
          </cell>
          <cell r="C84" t="str">
            <v>WORK_CAP</v>
          </cell>
          <cell r="D84" t="str">
            <v>GBP</v>
          </cell>
        </row>
        <row r="85">
          <cell r="B85" t="str">
            <v>Other operating cash flow items</v>
          </cell>
          <cell r="C85" t="str">
            <v>OTH_OP_CF</v>
          </cell>
          <cell r="D85" t="str">
            <v>GBP</v>
          </cell>
        </row>
        <row r="86">
          <cell r="B86" t="str">
            <v>Cash flow from operating activities</v>
          </cell>
          <cell r="C86" t="str">
            <v>CF_OPS</v>
          </cell>
          <cell r="D86" t="str">
            <v>GBP</v>
          </cell>
        </row>
        <row r="87">
          <cell r="B87" t="str">
            <v>Capital expenditures, Capex</v>
          </cell>
          <cell r="C87" t="str">
            <v>CAPEX</v>
          </cell>
          <cell r="D87" t="str">
            <v>GBP</v>
          </cell>
        </row>
        <row r="88">
          <cell r="B88" t="str">
            <v>Acquisitions</v>
          </cell>
          <cell r="C88" t="str">
            <v>ACQ</v>
          </cell>
          <cell r="D88" t="str">
            <v>GBP</v>
          </cell>
        </row>
        <row r="89">
          <cell r="B89" t="str">
            <v>Divestitures</v>
          </cell>
          <cell r="C89" t="str">
            <v>DIVEST</v>
          </cell>
          <cell r="D89" t="str">
            <v>GBP</v>
          </cell>
        </row>
        <row r="90">
          <cell r="B90" t="str">
            <v>Other investing cash flow items</v>
          </cell>
          <cell r="C90" t="str">
            <v>OTH_INV_CF</v>
          </cell>
          <cell r="D90" t="str">
            <v>GBP</v>
          </cell>
        </row>
        <row r="91">
          <cell r="B91" t="str">
            <v>Cash flow from investing</v>
          </cell>
          <cell r="C91" t="str">
            <v>CF_INV</v>
          </cell>
          <cell r="D91" t="str">
            <v>GBP</v>
          </cell>
        </row>
        <row r="92">
          <cell r="B92" t="str">
            <v>Dividends paid</v>
          </cell>
          <cell r="C92" t="str">
            <v>DIV_PAID</v>
          </cell>
          <cell r="D92" t="str">
            <v>GBP</v>
          </cell>
        </row>
        <row r="93">
          <cell r="B93" t="str">
            <v>Common stock issuance/(repurchase)</v>
          </cell>
          <cell r="C93" t="str">
            <v>SH_REPUR</v>
          </cell>
          <cell r="D93" t="str">
            <v>GBP</v>
          </cell>
        </row>
        <row r="94">
          <cell r="B94" t="str">
            <v>Increase/(decrease) in total debt</v>
          </cell>
          <cell r="C94" t="str">
            <v>CHG_LT_DEBT</v>
          </cell>
          <cell r="D94" t="str">
            <v>GBP</v>
          </cell>
        </row>
        <row r="95">
          <cell r="B95" t="str">
            <v>Other financing cash flow items</v>
          </cell>
          <cell r="C95" t="str">
            <v>OTH_FIN_CF</v>
          </cell>
          <cell r="D95" t="str">
            <v>GBP</v>
          </cell>
        </row>
        <row r="96">
          <cell r="B96" t="str">
            <v>Cash flow from financing</v>
          </cell>
          <cell r="C96" t="str">
            <v>CF_FIN</v>
          </cell>
          <cell r="D96" t="str">
            <v>GBP</v>
          </cell>
        </row>
        <row r="97">
          <cell r="B97" t="str">
            <v>Other items net cash flow</v>
          </cell>
          <cell r="C97" t="str">
            <v>OTH_ITEM_NCF</v>
          </cell>
          <cell r="D97" t="str">
            <v>GBP</v>
          </cell>
        </row>
        <row r="98">
          <cell r="B98" t="str">
            <v>Total cash flow</v>
          </cell>
          <cell r="C98" t="str">
            <v>TOT_CF</v>
          </cell>
          <cell r="D98" t="str">
            <v>GBP</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row>
        <row r="112">
          <cell r="B112" t="str">
            <v>Dividends paid to minorities</v>
          </cell>
          <cell r="C112" t="str">
            <v>DIVDS_PD_MINORITIES</v>
          </cell>
          <cell r="D112" t="str">
            <v>GBP</v>
          </cell>
        </row>
        <row r="113">
          <cell r="A113" t="str">
            <v>Other Items</v>
          </cell>
        </row>
        <row r="114">
          <cell r="B114" t="str">
            <v>Number of employees</v>
          </cell>
          <cell r="C114" t="str">
            <v>EMPLOYEES</v>
          </cell>
        </row>
        <row r="115">
          <cell r="A115" t="str">
            <v>Geographical Breakdown</v>
          </cell>
        </row>
        <row r="116">
          <cell r="B116" t="str">
            <v>Sales - Total % Americas</v>
          </cell>
          <cell r="C116" t="str">
            <v>SALES_TOT_AM</v>
          </cell>
        </row>
        <row r="117">
          <cell r="B117" t="str">
            <v>Sales - % United States</v>
          </cell>
          <cell r="C117" t="str">
            <v>SALES_US</v>
          </cell>
        </row>
        <row r="119">
          <cell r="B119" t="str">
            <v>Sales - % Brazil</v>
          </cell>
          <cell r="C119" t="str">
            <v>SALES_BRAZIL</v>
          </cell>
        </row>
        <row r="120">
          <cell r="B120" t="str">
            <v>Sales - % Other Americas</v>
          </cell>
          <cell r="C120" t="str">
            <v>SALES_OTH_AM</v>
          </cell>
        </row>
        <row r="121">
          <cell r="B121" t="str">
            <v>Sales - Total % EMEA</v>
          </cell>
          <cell r="C121" t="str">
            <v>SALES_TOT_EMEA</v>
          </cell>
        </row>
        <row r="122">
          <cell r="B122" t="str">
            <v>Sales - % UK</v>
          </cell>
          <cell r="C122" t="str">
            <v>SALES_UK</v>
          </cell>
        </row>
        <row r="123">
          <cell r="B123" t="str">
            <v>Sales - % Western Europe-Ex UK</v>
          </cell>
          <cell r="C123" t="str">
            <v>SALES_EU_EX_UK</v>
          </cell>
        </row>
        <row r="128">
          <cell r="B128" t="str">
            <v>Sales - % France</v>
          </cell>
          <cell r="C128" t="str">
            <v>SALES_FRA</v>
          </cell>
        </row>
        <row r="129">
          <cell r="B129" t="str">
            <v>Sales - % Germany</v>
          </cell>
          <cell r="C129" t="str">
            <v>SALES_GER</v>
          </cell>
        </row>
        <row r="133">
          <cell r="B133" t="str">
            <v>Sales - % Italy</v>
          </cell>
          <cell r="C133" t="str">
            <v>SALES_ITA</v>
          </cell>
        </row>
        <row r="137">
          <cell r="B137" t="str">
            <v>Sales - % Spain</v>
          </cell>
          <cell r="C137" t="str">
            <v>SALES_SPA</v>
          </cell>
        </row>
        <row r="141">
          <cell r="B141" t="str">
            <v>Sales - % Central &amp; Eastern Europe</v>
          </cell>
          <cell r="C141" t="str">
            <v>SALES_CEE</v>
          </cell>
        </row>
        <row r="142">
          <cell r="B142" t="str">
            <v>Sales - % Middle East</v>
          </cell>
          <cell r="C142" t="str">
            <v>SALES_ME</v>
          </cell>
        </row>
        <row r="143">
          <cell r="B143" t="str">
            <v>Sales - % South Africa</v>
          </cell>
          <cell r="C143" t="str">
            <v>SALES_SO_AFRICA</v>
          </cell>
        </row>
        <row r="144">
          <cell r="B144" t="str">
            <v>Sales - % Nigeria</v>
          </cell>
          <cell r="C144" t="str">
            <v>SALES_NIGERIA</v>
          </cell>
        </row>
        <row r="145">
          <cell r="B145" t="str">
            <v>Sales - % Other Africa</v>
          </cell>
          <cell r="C145" t="str">
            <v>SALES_OTH_AFRICA</v>
          </cell>
        </row>
        <row r="146">
          <cell r="B146" t="str">
            <v>Sales - % Total Africa</v>
          </cell>
          <cell r="C146" t="str">
            <v>SALES_TOT_AFRICA</v>
          </cell>
        </row>
        <row r="147">
          <cell r="B147" t="str">
            <v>Sales - % Russia</v>
          </cell>
          <cell r="C147" t="str">
            <v>SALES_RUSSIA</v>
          </cell>
        </row>
        <row r="148">
          <cell r="B148" t="str">
            <v>Sales - % Other EMEA</v>
          </cell>
          <cell r="C148" t="str">
            <v>SALES_OTH_EMEA</v>
          </cell>
        </row>
        <row r="149">
          <cell r="B149" t="str">
            <v>Sales - Total % Asia (incl Australia &amp; New Zealand)</v>
          </cell>
          <cell r="C149" t="str">
            <v>SALES_TOT_ASIA</v>
          </cell>
        </row>
        <row r="150">
          <cell r="B150" t="str">
            <v>Sales - % Japan</v>
          </cell>
          <cell r="C150" t="str">
            <v>SALES_JAPAN</v>
          </cell>
        </row>
        <row r="151">
          <cell r="B151" t="str">
            <v>Sales - % China</v>
          </cell>
          <cell r="C151" t="str">
            <v>SALES_CHINA</v>
          </cell>
        </row>
        <row r="156">
          <cell r="B156" t="str">
            <v>Sales - % Other Asia</v>
          </cell>
          <cell r="C156" t="str">
            <v>SALES_OTH_AEJ</v>
          </cell>
        </row>
        <row r="157">
          <cell r="B157" t="str">
            <v>Sales - % Others</v>
          </cell>
          <cell r="C157" t="str">
            <v>SALES_OTHER</v>
          </cell>
        </row>
        <row r="158">
          <cell r="B158" t="str">
            <v>Indirect Sales - Total % Americas</v>
          </cell>
          <cell r="C158" t="str">
            <v>IND_SALES_TOT_AM</v>
          </cell>
        </row>
        <row r="161">
          <cell r="B161" t="str">
            <v>Indirect Sales - % Brazil</v>
          </cell>
          <cell r="C161" t="str">
            <v>IND_SALES_BRAZIL</v>
          </cell>
        </row>
        <row r="162">
          <cell r="B162" t="str">
            <v>Indirect Sales - % Other Americas</v>
          </cell>
          <cell r="C162" t="str">
            <v>IND_SALES_OTH_AM</v>
          </cell>
        </row>
        <row r="163">
          <cell r="B163" t="str">
            <v>Indirect Sales - Total % EMEA</v>
          </cell>
          <cell r="C163" t="str">
            <v>IND_SALES_TOT_EMEA</v>
          </cell>
        </row>
        <row r="164">
          <cell r="B164" t="str">
            <v>Indirect Sales - % UK</v>
          </cell>
          <cell r="C164" t="str">
            <v>IND_SALES_UK</v>
          </cell>
        </row>
        <row r="170">
          <cell r="B170" t="str">
            <v>Indirect Sales - % France</v>
          </cell>
          <cell r="C170" t="str">
            <v>IND_SALES_FRA</v>
          </cell>
        </row>
        <row r="183">
          <cell r="B183" t="str">
            <v>Indirect Sales - % Central &amp; Eastern Europe</v>
          </cell>
          <cell r="C183" t="str">
            <v>IND_SALES_CEE</v>
          </cell>
        </row>
        <row r="184">
          <cell r="B184" t="str">
            <v>Indirect Sales - % Middle East</v>
          </cell>
          <cell r="C184" t="str">
            <v>IND_SALES_ME</v>
          </cell>
        </row>
        <row r="185">
          <cell r="B185" t="str">
            <v>Indirect Sales - % Russia</v>
          </cell>
          <cell r="C185" t="str">
            <v>IND_SALES_RUSSIA</v>
          </cell>
        </row>
        <row r="186">
          <cell r="B186" t="str">
            <v>Indirect sales - % South Africa</v>
          </cell>
          <cell r="C186" t="str">
            <v>IND_SALES_SO_AFRICA</v>
          </cell>
        </row>
        <row r="187">
          <cell r="B187" t="str">
            <v>Indirect sales - % Nigeria</v>
          </cell>
          <cell r="C187" t="str">
            <v>IND_SALES_NIGERIA</v>
          </cell>
        </row>
        <row r="188">
          <cell r="B188" t="str">
            <v>Indirect sales - % Other Africa</v>
          </cell>
          <cell r="C188" t="str">
            <v>IND_SALES_OTH_AFRICA</v>
          </cell>
        </row>
        <row r="189">
          <cell r="B189" t="str">
            <v>Indirect Sales - % Other EMEA</v>
          </cell>
          <cell r="C189" t="str">
            <v>IND_SALES_OTH_EMEA</v>
          </cell>
        </row>
        <row r="190">
          <cell r="B190" t="str">
            <v>Indirect sales - % Total Africa</v>
          </cell>
          <cell r="C190" t="str">
            <v>IND_SALES_TOT_AFRICA</v>
          </cell>
        </row>
        <row r="191">
          <cell r="B191" t="str">
            <v>Indirect Sales - Total % Asia (incl Australia &amp; New Zealand)</v>
          </cell>
          <cell r="C191" t="str">
            <v>IND_SALES_TOT_ASIA</v>
          </cell>
        </row>
        <row r="192">
          <cell r="B192" t="str">
            <v>Indirect Sales - % Japan</v>
          </cell>
          <cell r="C192" t="str">
            <v>IND_SALES_JAPAN</v>
          </cell>
        </row>
        <row r="237">
          <cell r="B237" t="str">
            <v>Sales -% Consumer (C)</v>
          </cell>
          <cell r="C237" t="str">
            <v>SALES_CONS</v>
          </cell>
        </row>
        <row r="238">
          <cell r="B238" t="str">
            <v>Sales -% Industry (I)</v>
          </cell>
          <cell r="C238" t="str">
            <v>SALES_IND</v>
          </cell>
        </row>
        <row r="259">
          <cell r="B259" t="str">
            <v>Indirect Sales -% Consumer (C)</v>
          </cell>
          <cell r="C259" t="str">
            <v>IND_SALES_CONS</v>
          </cell>
        </row>
        <row r="260">
          <cell r="B260" t="str">
            <v>Indirect Sales -% Industry (I)</v>
          </cell>
          <cell r="C260" t="str">
            <v>IND_SALES_IND</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row>
        <row r="322">
          <cell r="B322" t="str">
            <v>Sales - % FX: Euro</v>
          </cell>
          <cell r="C322" t="str">
            <v>SALES_FX_EUR</v>
          </cell>
        </row>
        <row r="323">
          <cell r="B323" t="str">
            <v>Sales - % FX: New Russian Ruble</v>
          </cell>
          <cell r="C323" t="str">
            <v>SALES_FX_RUB</v>
          </cell>
        </row>
        <row r="324">
          <cell r="B324" t="str">
            <v>Sales - % FX: U.S. Dollar</v>
          </cell>
          <cell r="C324" t="str">
            <v>SALES_FX_USD</v>
          </cell>
        </row>
        <row r="325">
          <cell r="B325" t="str">
            <v>Sales - % FX: Brazilian Real</v>
          </cell>
          <cell r="C325" t="str">
            <v>SALES_FX_BRL</v>
          </cell>
        </row>
        <row r="326">
          <cell r="B326" t="str">
            <v>Sales - % FX: Japanese Yen</v>
          </cell>
          <cell r="C326" t="str">
            <v>SALES_FX_YEN</v>
          </cell>
        </row>
        <row r="327">
          <cell r="B327" t="str">
            <v>Sales - % FX: Chinese Renminbi</v>
          </cell>
          <cell r="C327" t="str">
            <v>SALES_FX_CNY</v>
          </cell>
        </row>
        <row r="328">
          <cell r="B328" t="str">
            <v>Sales - % FX: Indian Rupee</v>
          </cell>
          <cell r="C328" t="str">
            <v>SALES_FX_INR</v>
          </cell>
        </row>
        <row r="329">
          <cell r="B329" t="str">
            <v>Sales - % FX: South African Rand</v>
          </cell>
          <cell r="C329" t="str">
            <v>SALES_FX_ZAR</v>
          </cell>
        </row>
        <row r="331">
          <cell r="B331" t="str">
            <v>Sales - % FX: Swiss Franc</v>
          </cell>
          <cell r="C331" t="str">
            <v>SALES_FX_CHF</v>
          </cell>
        </row>
        <row r="338">
          <cell r="B338" t="str">
            <v>Security Name</v>
          </cell>
          <cell r="C338" t="str">
            <v>Security Name</v>
          </cell>
          <cell r="E338" t="str">
            <v>BAE Systems</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row>
        <row r="347">
          <cell r="B347" t="str">
            <v>Target price</v>
          </cell>
          <cell r="C347" t="str">
            <v>TARGET_PRICE</v>
          </cell>
          <cell r="D347" t="str">
            <v>GBP</v>
          </cell>
        </row>
        <row r="348">
          <cell r="B348" t="str">
            <v>Target price period</v>
          </cell>
          <cell r="C348" t="str">
            <v>TP_PERIOD</v>
          </cell>
        </row>
        <row r="349">
          <cell r="B349" t="str">
            <v>Current shares outstanding (mn)</v>
          </cell>
          <cell r="C349" t="str">
            <v>NUM_SH</v>
          </cell>
        </row>
        <row r="350">
          <cell r="B350" t="str">
            <v>Free float</v>
          </cell>
          <cell r="C350" t="str">
            <v>FREE_FLOAT</v>
          </cell>
        </row>
        <row r="351">
          <cell r="A351" t="str">
            <v>Publishing Items</v>
          </cell>
        </row>
        <row r="352">
          <cell r="B352" t="str">
            <v>Book value per share, BVPS (Pub)</v>
          </cell>
          <cell r="C352" t="str">
            <v>BVPS_PUB</v>
          </cell>
          <cell r="D352" t="str">
            <v>GBP</v>
          </cell>
        </row>
        <row r="353">
          <cell r="B353" t="str">
            <v>DPS, dividend per share (Pub)</v>
          </cell>
          <cell r="C353" t="str">
            <v>DPS_PUB</v>
          </cell>
          <cell r="D353" t="str">
            <v>GBP</v>
          </cell>
        </row>
        <row r="354">
          <cell r="B354" t="str">
            <v>EBITDA (Pub)</v>
          </cell>
          <cell r="C354" t="str">
            <v>EBITDA_PUB</v>
          </cell>
          <cell r="D354" t="str">
            <v>GBP</v>
          </cell>
        </row>
        <row r="355">
          <cell r="B355" t="str">
            <v>EPS (Pub)</v>
          </cell>
          <cell r="C355" t="str">
            <v>EPS_PUB</v>
          </cell>
          <cell r="D355" t="str">
            <v>GBP</v>
          </cell>
        </row>
        <row r="356">
          <cell r="B356" t="str">
            <v>EV adjustment (Pub)</v>
          </cell>
          <cell r="C356" t="str">
            <v>EV_ADJ_PUB</v>
          </cell>
          <cell r="D356" t="str">
            <v>GBP</v>
          </cell>
        </row>
        <row r="357">
          <cell r="B357" t="str">
            <v>Net debt (Pub)</v>
          </cell>
          <cell r="C357" t="str">
            <v>NET_DEBT_PUB</v>
          </cell>
          <cell r="D357" t="str">
            <v>GBP</v>
          </cell>
        </row>
        <row r="358">
          <cell r="B358" t="str">
            <v>Net income (Pub)</v>
          </cell>
          <cell r="C358" t="str">
            <v>NI_PUB</v>
          </cell>
          <cell r="D358" t="str">
            <v>GBP</v>
          </cell>
        </row>
        <row r="359">
          <cell r="B359" t="str">
            <v>EBIT, operating profit (Pub)</v>
          </cell>
          <cell r="C359" t="str">
            <v>EBIT_PUB</v>
          </cell>
          <cell r="D359" t="str">
            <v>GBP</v>
          </cell>
        </row>
        <row r="360">
          <cell r="B360" t="str">
            <v>Pre-tax profit (Pub)</v>
          </cell>
          <cell r="C360" t="str">
            <v>PTP_PUB</v>
          </cell>
          <cell r="D360" t="str">
            <v>GBP</v>
          </cell>
        </row>
        <row r="361">
          <cell r="B361" t="str">
            <v>Sales, revenue (Pub)</v>
          </cell>
          <cell r="C361" t="str">
            <v>REVS_PUB</v>
          </cell>
          <cell r="D361" t="str">
            <v>GBP</v>
          </cell>
        </row>
        <row r="362">
          <cell r="B362" t="str">
            <v>Total shareholders' equity (Pub)</v>
          </cell>
          <cell r="C362" t="str">
            <v>EQ_PUB</v>
          </cell>
          <cell r="D362" t="str">
            <v>GBP</v>
          </cell>
        </row>
        <row r="363">
          <cell r="A363" t="str">
            <v>Income Statement</v>
          </cell>
        </row>
        <row r="364">
          <cell r="B364" t="str">
            <v>Provision for income tax</v>
          </cell>
          <cell r="C364" t="str">
            <v>PROV_INC_TAX</v>
          </cell>
          <cell r="D364" t="str">
            <v>GBP</v>
          </cell>
        </row>
        <row r="365">
          <cell r="B365" t="str">
            <v>Minority interest</v>
          </cell>
          <cell r="C365" t="str">
            <v>INC_MINORITY</v>
          </cell>
          <cell r="D365" t="str">
            <v>GBP</v>
          </cell>
        </row>
        <row r="366">
          <cell r="B366" t="str">
            <v>Net income (pre-preferred dividends)</v>
          </cell>
          <cell r="C366" t="str">
            <v>NI_PRE_PREF</v>
          </cell>
          <cell r="D366" t="str">
            <v>GBP</v>
          </cell>
        </row>
        <row r="367">
          <cell r="B367" t="str">
            <v>Preferred dividends</v>
          </cell>
          <cell r="C367" t="str">
            <v>PREF_DIV</v>
          </cell>
          <cell r="D367" t="str">
            <v>GBP</v>
          </cell>
        </row>
        <row r="368">
          <cell r="B368" t="str">
            <v>Net income (pre-exceptionals)</v>
          </cell>
          <cell r="C368" t="str">
            <v>NET_EARNING</v>
          </cell>
          <cell r="D368" t="str">
            <v>GBP</v>
          </cell>
        </row>
        <row r="369">
          <cell r="B369" t="str">
            <v>Post-tax exceptionals</v>
          </cell>
          <cell r="C369" t="str">
            <v>TAX_EXC</v>
          </cell>
          <cell r="D369" t="str">
            <v>GBP</v>
          </cell>
        </row>
        <row r="370">
          <cell r="B370" t="str">
            <v>Net income (post-exceptionals)</v>
          </cell>
          <cell r="C370" t="str">
            <v>NET_INC</v>
          </cell>
          <cell r="D370" t="str">
            <v>GBP</v>
          </cell>
        </row>
        <row r="371">
          <cell r="B371" t="str">
            <v>EPS (pre-exceptionals, basic)</v>
          </cell>
          <cell r="C371" t="str">
            <v>EPS</v>
          </cell>
          <cell r="D371" t="str">
            <v>GBP</v>
          </cell>
        </row>
        <row r="372">
          <cell r="B372" t="str">
            <v>EPS (pre-exceptionals, diluted)</v>
          </cell>
          <cell r="C372" t="str">
            <v>EPS_FUL_DIL</v>
          </cell>
          <cell r="D372" t="str">
            <v>GBP</v>
          </cell>
        </row>
        <row r="373">
          <cell r="B373" t="str">
            <v>EPS (post-exceptionals, basic)</v>
          </cell>
          <cell r="C373" t="str">
            <v>EPS_POST_BASIC</v>
          </cell>
          <cell r="D373" t="str">
            <v>GBP</v>
          </cell>
        </row>
        <row r="374">
          <cell r="B374" t="str">
            <v>EPS (post-exceptionals, diluted)</v>
          </cell>
          <cell r="C374" t="str">
            <v>FULLY_DIL_EPS</v>
          </cell>
          <cell r="D374" t="str">
            <v>GBP</v>
          </cell>
        </row>
        <row r="375">
          <cell r="B375" t="str">
            <v>Common dividends paid</v>
          </cell>
          <cell r="C375" t="str">
            <v>COMMON_DIV_PAID</v>
          </cell>
          <cell r="D375" t="str">
            <v>GBP</v>
          </cell>
        </row>
        <row r="376">
          <cell r="B376" t="str">
            <v>DPS, dividend per share</v>
          </cell>
          <cell r="C376" t="str">
            <v>DPS</v>
          </cell>
          <cell r="D376" t="str">
            <v>GBP</v>
          </cell>
        </row>
        <row r="377">
          <cell r="B377" t="str">
            <v>Weighted average shares outstanding, basic</v>
          </cell>
          <cell r="C377" t="str">
            <v>SH</v>
          </cell>
        </row>
        <row r="378">
          <cell r="B378" t="str">
            <v>Diluted average shares outstanding (mn)</v>
          </cell>
          <cell r="C378" t="str">
            <v>DILUTE_SHARES</v>
          </cell>
        </row>
        <row r="379">
          <cell r="B379" t="str">
            <v>Period-end shares outstanding</v>
          </cell>
          <cell r="C379" t="str">
            <v>NON_OP_ADD</v>
          </cell>
        </row>
        <row r="380">
          <cell r="A380" t="str">
            <v>Additional Income Statement Items</v>
          </cell>
        </row>
        <row r="381">
          <cell r="B381" t="str">
            <v>Organic net income (excl. acquisitions)</v>
          </cell>
          <cell r="C381" t="str">
            <v>ORG_NI</v>
          </cell>
          <cell r="D381" t="str">
            <v>GBP</v>
          </cell>
        </row>
        <row r="382">
          <cell r="B382" t="str">
            <v>Organic EPS (excl. acquisitions)</v>
          </cell>
          <cell r="C382" t="str">
            <v>ORG_EPS</v>
          </cell>
          <cell r="D382" t="str">
            <v>GBP</v>
          </cell>
        </row>
        <row r="383">
          <cell r="B383" t="str">
            <v>Marginal tax rate</v>
          </cell>
          <cell r="C383" t="str">
            <v>MARGIN_TAX_RATE</v>
          </cell>
        </row>
        <row r="384">
          <cell r="A384" t="str">
            <v>Balance Sheet</v>
          </cell>
        </row>
        <row r="385">
          <cell r="B385" t="str">
            <v>BVPS, book value per share</v>
          </cell>
          <cell r="C385" t="str">
            <v>BVPS</v>
          </cell>
          <cell r="D385" t="str">
            <v>GBP</v>
          </cell>
        </row>
        <row r="386">
          <cell r="A386" t="str">
            <v>Cash Flow Statement</v>
          </cell>
        </row>
      </sheetData>
      <sheetData sheetId="3">
        <row r="1">
          <cell r="A1" t="str">
            <v>Issuer: BAE Systems</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t="str">
            <v>2005 H1</v>
          </cell>
          <cell r="V1" t="str">
            <v>2005 H2</v>
          </cell>
          <cell r="W1">
            <v>2005</v>
          </cell>
          <cell r="X1" t="str">
            <v>2006 H1</v>
          </cell>
          <cell r="Y1" t="str">
            <v>2006 H2</v>
          </cell>
          <cell r="Z1">
            <v>2006</v>
          </cell>
          <cell r="AA1" t="str">
            <v>2007 H1</v>
          </cell>
          <cell r="AB1" t="str">
            <v>2007 H2</v>
          </cell>
          <cell r="AC1">
            <v>2007</v>
          </cell>
          <cell r="AD1" t="str">
            <v>2008 H1</v>
          </cell>
          <cell r="AE1" t="str">
            <v>2008 H2</v>
          </cell>
          <cell r="AF1">
            <v>2008</v>
          </cell>
          <cell r="AG1" t="str">
            <v>2009 H1</v>
          </cell>
          <cell r="AH1" t="str">
            <v>2009 H2</v>
          </cell>
          <cell r="AI1">
            <v>2009</v>
          </cell>
          <cell r="AJ1" t="str">
            <v>2010 H1</v>
          </cell>
          <cell r="AK1" t="str">
            <v>2010 H2</v>
          </cell>
          <cell r="AL1">
            <v>2010</v>
          </cell>
          <cell r="AM1" t="str">
            <v>2011 H1</v>
          </cell>
          <cell r="AN1" t="str">
            <v>2011 H2</v>
          </cell>
          <cell r="AO1">
            <v>2011</v>
          </cell>
          <cell r="AP1">
            <v>2012</v>
          </cell>
          <cell r="AQ1">
            <v>2013</v>
          </cell>
          <cell r="AR1">
            <v>2014</v>
          </cell>
          <cell r="AS1">
            <v>2015</v>
          </cell>
          <cell r="AT1" t="str">
            <v>2016</v>
          </cell>
          <cell r="AU1" t="str">
            <v>2017</v>
          </cell>
          <cell r="AV1" t="str">
            <v>2018</v>
          </cell>
          <cell r="AW1" t="str">
            <v>2019</v>
          </cell>
          <cell r="AX1" t="str">
            <v>2020</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Estimate</v>
          </cell>
          <cell r="AR2" t="str">
            <v>Estimate</v>
          </cell>
          <cell r="AS2" t="str">
            <v>Estimate</v>
          </cell>
          <cell r="AT2" t="str">
            <v>Estimate</v>
          </cell>
          <cell r="AU2" t="str">
            <v>Estimate</v>
          </cell>
          <cell r="AV2" t="str">
            <v>Estimate</v>
          </cell>
          <cell r="AW2" t="str">
            <v>Estimate</v>
          </cell>
          <cell r="AX2" t="str">
            <v>Estimate</v>
          </cell>
        </row>
        <row r="3">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38533</v>
          </cell>
          <cell r="V3">
            <v>38717</v>
          </cell>
          <cell r="W3">
            <v>38717</v>
          </cell>
          <cell r="X3">
            <v>38898</v>
          </cell>
          <cell r="Y3">
            <v>39082</v>
          </cell>
          <cell r="Z3">
            <v>39082</v>
          </cell>
          <cell r="AA3">
            <v>39263</v>
          </cell>
          <cell r="AB3">
            <v>39447</v>
          </cell>
          <cell r="AC3">
            <v>39447</v>
          </cell>
          <cell r="AD3">
            <v>39629</v>
          </cell>
          <cell r="AE3">
            <v>39813</v>
          </cell>
          <cell r="AF3">
            <v>39813</v>
          </cell>
          <cell r="AG3">
            <v>39994</v>
          </cell>
          <cell r="AH3">
            <v>40178</v>
          </cell>
          <cell r="AI3">
            <v>40178</v>
          </cell>
          <cell r="AJ3">
            <v>40359</v>
          </cell>
          <cell r="AK3">
            <v>40543</v>
          </cell>
          <cell r="AL3">
            <v>40543</v>
          </cell>
          <cell r="AM3">
            <v>40724</v>
          </cell>
          <cell r="AN3">
            <v>40908</v>
          </cell>
          <cell r="AO3">
            <v>40908</v>
          </cell>
          <cell r="AP3">
            <v>41274</v>
          </cell>
          <cell r="AQ3">
            <v>41639</v>
          </cell>
          <cell r="AR3">
            <v>42004</v>
          </cell>
          <cell r="AS3">
            <v>42369</v>
          </cell>
          <cell r="AT3">
            <v>42735</v>
          </cell>
          <cell r="AU3">
            <v>43100</v>
          </cell>
          <cell r="AV3">
            <v>43465</v>
          </cell>
          <cell r="AW3">
            <v>43830</v>
          </cell>
          <cell r="AX3">
            <v>44196</v>
          </cell>
        </row>
        <row r="4">
          <cell r="A4" t="str">
            <v>Issuer: BAE Systems</v>
          </cell>
        </row>
        <row r="5">
          <cell r="A5" t="str">
            <v>Reference Data</v>
          </cell>
        </row>
        <row r="6">
          <cell r="B6" t="str">
            <v>Issuer Name</v>
          </cell>
          <cell r="C6" t="str">
            <v>Issuer Name</v>
          </cell>
          <cell r="E6" t="str">
            <v>BAE Systems</v>
          </cell>
        </row>
        <row r="7">
          <cell r="B7" t="str">
            <v>Reporting Currency</v>
          </cell>
          <cell r="C7" t="str">
            <v>CURRENCY_ISO</v>
          </cell>
          <cell r="E7" t="str">
            <v>GBP</v>
          </cell>
        </row>
        <row r="8">
          <cell r="A8" t="str">
            <v>Income Statement</v>
          </cell>
        </row>
        <row r="9">
          <cell r="B9" t="str">
            <v>Sales, net revenue</v>
          </cell>
          <cell r="C9" t="str">
            <v>SALES</v>
          </cell>
          <cell r="D9" t="str">
            <v>GBP</v>
          </cell>
          <cell r="F9">
            <v>10540</v>
          </cell>
          <cell r="G9">
            <v>10562</v>
          </cell>
          <cell r="H9">
            <v>9977</v>
          </cell>
          <cell r="I9">
            <v>10747</v>
          </cell>
          <cell r="J9">
            <v>7153</v>
          </cell>
          <cell r="K9">
            <v>6627</v>
          </cell>
          <cell r="L9">
            <v>7441</v>
          </cell>
          <cell r="M9">
            <v>8546</v>
          </cell>
          <cell r="N9">
            <v>8611</v>
          </cell>
          <cell r="O9">
            <v>8929</v>
          </cell>
          <cell r="P9">
            <v>12185</v>
          </cell>
          <cell r="Q9">
            <v>13138</v>
          </cell>
          <cell r="R9">
            <v>12145</v>
          </cell>
          <cell r="S9">
            <v>12572</v>
          </cell>
          <cell r="T9">
            <v>13479</v>
          </cell>
          <cell r="W9">
            <v>15411</v>
          </cell>
          <cell r="Z9">
            <v>13765</v>
          </cell>
          <cell r="AC9">
            <v>15710</v>
          </cell>
          <cell r="AF9">
            <v>18543</v>
          </cell>
          <cell r="AI9">
            <v>22415</v>
          </cell>
          <cell r="AL9">
            <v>22392</v>
          </cell>
          <cell r="AO9">
            <v>19154</v>
          </cell>
          <cell r="AP9">
            <v>17834</v>
          </cell>
          <cell r="AQ9">
            <v>18970.172378669296</v>
          </cell>
          <cell r="AR9">
            <v>18277.862038235755</v>
          </cell>
          <cell r="AS9">
            <v>18679.553371227939</v>
          </cell>
          <cell r="AT9">
            <v>19065.939704092925</v>
          </cell>
          <cell r="AU9">
            <v>19677.49604870674</v>
          </cell>
          <cell r="AV9">
            <v>21738.954039911845</v>
          </cell>
          <cell r="AW9">
            <v>23337.047208034768</v>
          </cell>
          <cell r="AX9">
            <v>23642.487350776999</v>
          </cell>
        </row>
        <row r="10">
          <cell r="B10" t="str">
            <v>Cost of goods sold, COGS</v>
          </cell>
          <cell r="C10" t="str">
            <v>COST_GD_SD</v>
          </cell>
          <cell r="D10" t="str">
            <v>GBP</v>
          </cell>
        </row>
        <row r="11">
          <cell r="B11" t="str">
            <v>SG&amp;A, selling, general and admin. expense</v>
          </cell>
          <cell r="C11" t="str">
            <v>SEL_GL_AD</v>
          </cell>
          <cell r="D11" t="str">
            <v>GBP</v>
          </cell>
        </row>
        <row r="12">
          <cell r="B12" t="str">
            <v>Total operating expense</v>
          </cell>
          <cell r="C12" t="str">
            <v>OP_COST</v>
          </cell>
          <cell r="D12" t="str">
            <v>GBP</v>
          </cell>
          <cell r="F12">
            <v>-9722</v>
          </cell>
          <cell r="G12">
            <v>-10044</v>
          </cell>
          <cell r="H12">
            <v>-9721</v>
          </cell>
          <cell r="I12">
            <v>-10178</v>
          </cell>
          <cell r="J12">
            <v>-6698</v>
          </cell>
          <cell r="K12">
            <v>-6114</v>
          </cell>
          <cell r="L12">
            <v>-6822</v>
          </cell>
          <cell r="M12">
            <v>-7827</v>
          </cell>
          <cell r="N12">
            <v>-7835</v>
          </cell>
          <cell r="O12">
            <v>-7955</v>
          </cell>
          <cell r="P12">
            <v>-10926</v>
          </cell>
          <cell r="Q12">
            <v>-11639</v>
          </cell>
          <cell r="R12">
            <v>-10931</v>
          </cell>
          <cell r="S12">
            <v>-11370</v>
          </cell>
          <cell r="T12">
            <v>-12264</v>
          </cell>
          <cell r="W12">
            <v>-14036</v>
          </cell>
          <cell r="Z12">
            <v>-11559</v>
          </cell>
          <cell r="AC12">
            <v>-12959</v>
          </cell>
          <cell r="AF12">
            <v>-15636</v>
          </cell>
          <cell r="AI12">
            <v>-20263</v>
          </cell>
          <cell r="AL12">
            <v>-18984</v>
          </cell>
          <cell r="AO12">
            <v>-16071</v>
          </cell>
          <cell r="AP12">
            <v>-14846</v>
          </cell>
          <cell r="AQ12">
            <v>-15588.162587034638</v>
          </cell>
          <cell r="AR12">
            <v>-15340.121377441485</v>
          </cell>
          <cell r="AS12">
            <v>-15630.960854867322</v>
          </cell>
          <cell r="AT12">
            <v>-15923.085234200553</v>
          </cell>
          <cell r="AU12">
            <v>-16419.178099527853</v>
          </cell>
          <cell r="AV12">
            <v>-18091.464005064812</v>
          </cell>
          <cell r="AW12">
            <v>-19371.405667674138</v>
          </cell>
          <cell r="AX12">
            <v>-19610.91622354832</v>
          </cell>
        </row>
        <row r="13">
          <cell r="B13" t="str">
            <v>R&amp;D expense</v>
          </cell>
          <cell r="C13" t="str">
            <v>RD_EXP</v>
          </cell>
          <cell r="D13" t="str">
            <v>GBP</v>
          </cell>
          <cell r="Z13">
            <v>-1248</v>
          </cell>
          <cell r="AC13">
            <v>-1460</v>
          </cell>
          <cell r="AF13">
            <v>-1044</v>
          </cell>
          <cell r="AI13">
            <v>-1211</v>
          </cell>
          <cell r="AL13">
            <v>-1298</v>
          </cell>
          <cell r="AO13">
            <v>-1149</v>
          </cell>
          <cell r="AP13">
            <v>-1138</v>
          </cell>
          <cell r="AQ13">
            <v>-1215.7956779136978</v>
          </cell>
          <cell r="AR13">
            <v>-1168.3919975639162</v>
          </cell>
          <cell r="AS13">
            <v>-1195.8964943716844</v>
          </cell>
          <cell r="AT13">
            <v>-1222.3530314836189</v>
          </cell>
          <cell r="AU13">
            <v>-1264.2273467766709</v>
          </cell>
          <cell r="AV13">
            <v>-1405.3789228291023</v>
          </cell>
          <cell r="AW13">
            <v>-1514.8031120784335</v>
          </cell>
          <cell r="AX13">
            <v>-1535.7171242589786</v>
          </cell>
        </row>
        <row r="14">
          <cell r="B14" t="str">
            <v>Other operating income/(expense) (incl. leases)</v>
          </cell>
          <cell r="C14" t="str">
            <v>OTH_OP_INC_EXP</v>
          </cell>
          <cell r="D14" t="str">
            <v>GBP</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W14">
            <v>247</v>
          </cell>
          <cell r="Z14">
            <v>371</v>
          </cell>
          <cell r="AC14">
            <v>209</v>
          </cell>
          <cell r="AF14">
            <v>415</v>
          </cell>
          <cell r="AI14">
            <v>465</v>
          </cell>
          <cell r="AL14">
            <v>169</v>
          </cell>
          <cell r="AO14">
            <v>157</v>
          </cell>
          <cell r="AP14">
            <v>280</v>
          </cell>
          <cell r="AQ14">
            <v>299.14129157806275</v>
          </cell>
          <cell r="AR14">
            <v>287.47782013874917</v>
          </cell>
          <cell r="AS14">
            <v>294.24518314944783</v>
          </cell>
          <cell r="AT14">
            <v>300.75470018929116</v>
          </cell>
          <cell r="AU14">
            <v>311.05769516473447</v>
          </cell>
          <cell r="AV14">
            <v>345.78743268202868</v>
          </cell>
          <cell r="AW14">
            <v>372.71078328819101</v>
          </cell>
          <cell r="AX14">
            <v>377.85658593366782</v>
          </cell>
        </row>
        <row r="15">
          <cell r="B15" t="str">
            <v>Total operating expense (incl. D&amp;A)</v>
          </cell>
          <cell r="C15" t="str">
            <v>TOT_OPS_EXP_DDA</v>
          </cell>
          <cell r="D15" t="str">
            <v>GBP</v>
          </cell>
          <cell r="F15">
            <v>-10002</v>
          </cell>
          <cell r="G15">
            <v>-10350</v>
          </cell>
          <cell r="H15">
            <v>-10052</v>
          </cell>
          <cell r="I15">
            <v>-10528</v>
          </cell>
          <cell r="J15">
            <v>-6888</v>
          </cell>
          <cell r="K15">
            <v>-6273</v>
          </cell>
          <cell r="L15">
            <v>-6986</v>
          </cell>
          <cell r="M15">
            <v>-7988</v>
          </cell>
          <cell r="N15">
            <v>-7973</v>
          </cell>
          <cell r="O15">
            <v>-8166</v>
          </cell>
          <cell r="P15">
            <v>-11235</v>
          </cell>
          <cell r="Q15">
            <v>-11878</v>
          </cell>
          <cell r="R15">
            <v>-11143</v>
          </cell>
          <cell r="S15">
            <v>-11592</v>
          </cell>
          <cell r="T15">
            <v>-12466</v>
          </cell>
          <cell r="W15">
            <v>-14185</v>
          </cell>
          <cell r="Z15">
            <v>-12824</v>
          </cell>
          <cell r="AC15">
            <v>-14672</v>
          </cell>
          <cell r="AF15">
            <v>-16843</v>
          </cell>
          <cell r="AI15">
            <v>-21636</v>
          </cell>
          <cell r="AL15">
            <v>-20887</v>
          </cell>
          <cell r="AO15">
            <v>-17705</v>
          </cell>
          <cell r="AP15">
            <v>-16287</v>
          </cell>
          <cell r="AQ15">
            <v>-17127.671876906028</v>
          </cell>
          <cell r="AR15">
            <v>-16819.605444655546</v>
          </cell>
          <cell r="AS15">
            <v>-17145.272672432875</v>
          </cell>
          <cell r="AT15">
            <v>-17470.897816246154</v>
          </cell>
          <cell r="AU15">
            <v>-18020.014309286362</v>
          </cell>
          <cell r="AV15">
            <v>-19871.034328260543</v>
          </cell>
          <cell r="AW15">
            <v>-21289.535091668007</v>
          </cell>
          <cell r="AX15">
            <v>-21555.528153299805</v>
          </cell>
        </row>
        <row r="16">
          <cell r="B16" t="str">
            <v>Total operating expense (excl. D&amp;A)</v>
          </cell>
          <cell r="C16" t="str">
            <v>TOT_OPS_EXP</v>
          </cell>
          <cell r="D16" t="str">
            <v>GBP</v>
          </cell>
          <cell r="F16">
            <v>-9722</v>
          </cell>
          <cell r="G16">
            <v>-10044</v>
          </cell>
          <cell r="H16">
            <v>-9721</v>
          </cell>
          <cell r="I16">
            <v>-10178</v>
          </cell>
          <cell r="J16">
            <v>-6698</v>
          </cell>
          <cell r="K16">
            <v>-6114</v>
          </cell>
          <cell r="L16">
            <v>-6822</v>
          </cell>
          <cell r="M16">
            <v>-7827</v>
          </cell>
          <cell r="N16">
            <v>-7835</v>
          </cell>
          <cell r="O16">
            <v>-7955</v>
          </cell>
          <cell r="P16">
            <v>-10926</v>
          </cell>
          <cell r="Q16">
            <v>-11639</v>
          </cell>
          <cell r="R16">
            <v>-10931</v>
          </cell>
          <cell r="S16">
            <v>-11370</v>
          </cell>
          <cell r="T16">
            <v>-12264</v>
          </cell>
          <cell r="W16">
            <v>-13789</v>
          </cell>
          <cell r="Z16">
            <v>-12436</v>
          </cell>
          <cell r="AC16">
            <v>-14210</v>
          </cell>
          <cell r="AF16">
            <v>-16265</v>
          </cell>
          <cell r="AI16">
            <v>-21009</v>
          </cell>
          <cell r="AL16">
            <v>-20113</v>
          </cell>
          <cell r="AO16">
            <v>-17063</v>
          </cell>
          <cell r="AP16">
            <v>-15704</v>
          </cell>
          <cell r="AQ16">
            <v>-16504.816973370274</v>
          </cell>
          <cell r="AR16">
            <v>-16221.035554866652</v>
          </cell>
          <cell r="AS16">
            <v>-16532.612166089559</v>
          </cell>
          <cell r="AT16">
            <v>-16844.683565494881</v>
          </cell>
          <cell r="AU16">
            <v>-17372.34775113979</v>
          </cell>
          <cell r="AV16">
            <v>-19151.055495211887</v>
          </cell>
          <cell r="AW16">
            <v>-20513.497996464379</v>
          </cell>
          <cell r="AX16">
            <v>-20768.776761873632</v>
          </cell>
        </row>
        <row r="17">
          <cell r="B17" t="str">
            <v>EBITDA</v>
          </cell>
          <cell r="C17" t="str">
            <v>EBITDA_CALC</v>
          </cell>
          <cell r="D17" t="str">
            <v>GBP</v>
          </cell>
          <cell r="F17">
            <v>818</v>
          </cell>
          <cell r="G17">
            <v>518</v>
          </cell>
          <cell r="H17">
            <v>256</v>
          </cell>
          <cell r="I17">
            <v>569</v>
          </cell>
          <cell r="J17">
            <v>455</v>
          </cell>
          <cell r="K17">
            <v>513</v>
          </cell>
          <cell r="L17">
            <v>619</v>
          </cell>
          <cell r="M17">
            <v>719</v>
          </cell>
          <cell r="N17">
            <v>776</v>
          </cell>
          <cell r="O17">
            <v>974</v>
          </cell>
          <cell r="P17">
            <v>1259</v>
          </cell>
          <cell r="Q17">
            <v>1499</v>
          </cell>
          <cell r="R17">
            <v>1214</v>
          </cell>
          <cell r="S17">
            <v>1202</v>
          </cell>
          <cell r="T17">
            <v>1215</v>
          </cell>
          <cell r="W17">
            <v>1622</v>
          </cell>
          <cell r="Z17">
            <v>1329</v>
          </cell>
          <cell r="AC17">
            <v>1500</v>
          </cell>
          <cell r="AF17">
            <v>2278</v>
          </cell>
          <cell r="AI17">
            <v>1406</v>
          </cell>
          <cell r="AL17">
            <v>2279</v>
          </cell>
          <cell r="AO17">
            <v>2091</v>
          </cell>
          <cell r="AP17">
            <v>2130</v>
          </cell>
          <cell r="AQ17">
            <v>2465.355405299023</v>
          </cell>
          <cell r="AR17">
            <v>2056.8264833691037</v>
          </cell>
          <cell r="AS17">
            <v>2146.9412051383792</v>
          </cell>
          <cell r="AT17">
            <v>2221.2561385980434</v>
          </cell>
          <cell r="AU17">
            <v>2305.148297566951</v>
          </cell>
          <cell r="AV17">
            <v>2587.8985446999586</v>
          </cell>
          <cell r="AW17">
            <v>2823.5492115703887</v>
          </cell>
          <cell r="AX17">
            <v>2873.7105889033674</v>
          </cell>
          <cell r="AY17" t="str">
            <v>NK: GS A&amp;D this is now like GS defenition taking into account of the Amortisation</v>
          </cell>
        </row>
        <row r="18">
          <cell r="B18" t="str">
            <v>Depreciation</v>
          </cell>
          <cell r="C18" t="str">
            <v>DEPREC</v>
          </cell>
          <cell r="D18" t="str">
            <v>GBP</v>
          </cell>
          <cell r="F18">
            <v>-280</v>
          </cell>
          <cell r="G18">
            <v>-306</v>
          </cell>
          <cell r="H18">
            <v>-331</v>
          </cell>
          <cell r="I18">
            <v>-350</v>
          </cell>
          <cell r="J18">
            <v>-190</v>
          </cell>
          <cell r="K18">
            <v>-159</v>
          </cell>
          <cell r="L18">
            <v>-164</v>
          </cell>
          <cell r="M18">
            <v>-161</v>
          </cell>
          <cell r="N18">
            <v>-138</v>
          </cell>
          <cell r="O18">
            <v>-211</v>
          </cell>
          <cell r="P18">
            <v>-309</v>
          </cell>
          <cell r="Q18">
            <v>-239</v>
          </cell>
          <cell r="R18">
            <v>-212</v>
          </cell>
          <cell r="S18">
            <v>-222</v>
          </cell>
          <cell r="T18">
            <v>-202</v>
          </cell>
          <cell r="W18">
            <v>-396</v>
          </cell>
          <cell r="Z18">
            <v>-283</v>
          </cell>
          <cell r="AC18">
            <v>-313</v>
          </cell>
          <cell r="AF18">
            <v>-331</v>
          </cell>
          <cell r="AI18">
            <v>-341</v>
          </cell>
          <cell r="AL18">
            <v>-382</v>
          </cell>
          <cell r="AO18">
            <v>-403</v>
          </cell>
          <cell r="AP18">
            <v>-357</v>
          </cell>
          <cell r="AQ18">
            <v>-381.40514676203003</v>
          </cell>
          <cell r="AR18">
            <v>-366.53422067690519</v>
          </cell>
          <cell r="AS18">
            <v>-375.16260851554597</v>
          </cell>
          <cell r="AT18">
            <v>-383.46224274134624</v>
          </cell>
          <cell r="AU18">
            <v>-396.59856133503649</v>
          </cell>
          <cell r="AV18">
            <v>-440.87897666958656</v>
          </cell>
          <cell r="AW18">
            <v>-475.20624869244358</v>
          </cell>
          <cell r="AX18">
            <v>-481.76714706542651</v>
          </cell>
        </row>
        <row r="19">
          <cell r="B19" t="str">
            <v>Amortization</v>
          </cell>
          <cell r="C19" t="str">
            <v>GOODWILL_AMORT</v>
          </cell>
          <cell r="D19" t="str">
            <v>GBP</v>
          </cell>
          <cell r="Z19">
            <v>-105</v>
          </cell>
          <cell r="AC19">
            <v>-149</v>
          </cell>
          <cell r="AF19">
            <v>-247</v>
          </cell>
          <cell r="AI19">
            <v>-286</v>
          </cell>
          <cell r="AL19">
            <v>-392</v>
          </cell>
          <cell r="AO19">
            <v>-239</v>
          </cell>
          <cell r="AP19">
            <v>-226</v>
          </cell>
          <cell r="AQ19">
            <v>-241.44975677372207</v>
          </cell>
          <cell r="AR19">
            <v>-232.03566911199039</v>
          </cell>
          <cell r="AS19">
            <v>-237.49789782776861</v>
          </cell>
          <cell r="AT19">
            <v>-242.75200800992786</v>
          </cell>
          <cell r="AU19">
            <v>-251.06799681153569</v>
          </cell>
          <cell r="AV19">
            <v>-279.09985637906601</v>
          </cell>
          <cell r="AW19">
            <v>-300.83084651118276</v>
          </cell>
          <cell r="AX19">
            <v>-304.98424436074617</v>
          </cell>
        </row>
        <row r="20">
          <cell r="B20" t="str">
            <v>EBIT, operating profit</v>
          </cell>
          <cell r="C20" t="str">
            <v>EBIT</v>
          </cell>
          <cell r="D20" t="str">
            <v>GBP</v>
          </cell>
          <cell r="F20">
            <v>538</v>
          </cell>
          <cell r="G20">
            <v>212</v>
          </cell>
          <cell r="H20">
            <v>-75</v>
          </cell>
          <cell r="I20">
            <v>219</v>
          </cell>
          <cell r="J20">
            <v>265</v>
          </cell>
          <cell r="K20">
            <v>354</v>
          </cell>
          <cell r="L20">
            <v>455</v>
          </cell>
          <cell r="M20">
            <v>558</v>
          </cell>
          <cell r="N20">
            <v>638</v>
          </cell>
          <cell r="O20">
            <v>763</v>
          </cell>
          <cell r="P20">
            <v>950</v>
          </cell>
          <cell r="Q20">
            <v>1260</v>
          </cell>
          <cell r="R20">
            <v>1002</v>
          </cell>
          <cell r="S20">
            <v>980</v>
          </cell>
          <cell r="T20">
            <v>1013</v>
          </cell>
          <cell r="W20">
            <v>1226</v>
          </cell>
          <cell r="Z20">
            <v>941</v>
          </cell>
          <cell r="AC20">
            <v>1038</v>
          </cell>
          <cell r="AF20">
            <v>1700</v>
          </cell>
          <cell r="AI20">
            <v>779</v>
          </cell>
          <cell r="AL20">
            <v>1505</v>
          </cell>
          <cell r="AO20">
            <v>1449</v>
          </cell>
          <cell r="AP20">
            <v>1547</v>
          </cell>
          <cell r="AQ20">
            <v>1842.5005017632707</v>
          </cell>
          <cell r="AR20">
            <v>1458.2565935802081</v>
          </cell>
          <cell r="AS20">
            <v>1534.2806987950646</v>
          </cell>
          <cell r="AT20">
            <v>1595.041887846769</v>
          </cell>
          <cell r="AU20">
            <v>1657.4817394203787</v>
          </cell>
          <cell r="AV20">
            <v>1867.9197116513058</v>
          </cell>
          <cell r="AW20">
            <v>2047.512116366762</v>
          </cell>
          <cell r="AX20">
            <v>2086.9591974771947</v>
          </cell>
          <cell r="AY20" t="str">
            <v>CH: The company's profit number, which is 'Underlying EBITA'. It adds back all the amortisation and impairments</v>
          </cell>
        </row>
        <row r="21">
          <cell r="B21" t="str">
            <v>Interest income</v>
          </cell>
          <cell r="C21" t="str">
            <v>INT_INC_IND</v>
          </cell>
          <cell r="D21" t="str">
            <v>GBP</v>
          </cell>
          <cell r="K21">
            <v>109</v>
          </cell>
          <cell r="L21">
            <v>122</v>
          </cell>
          <cell r="M21">
            <v>177</v>
          </cell>
          <cell r="N21">
            <v>201</v>
          </cell>
          <cell r="O21">
            <v>131</v>
          </cell>
          <cell r="P21">
            <v>172</v>
          </cell>
          <cell r="Q21">
            <v>43</v>
          </cell>
          <cell r="R21">
            <v>35</v>
          </cell>
          <cell r="S21">
            <v>25</v>
          </cell>
          <cell r="T21">
            <v>27</v>
          </cell>
          <cell r="W21">
            <v>112</v>
          </cell>
          <cell r="Z21">
            <v>1330</v>
          </cell>
          <cell r="AC21">
            <v>1257</v>
          </cell>
          <cell r="AF21">
            <v>3380</v>
          </cell>
          <cell r="AI21">
            <v>1573</v>
          </cell>
          <cell r="AL21">
            <v>1358</v>
          </cell>
          <cell r="AO21">
            <v>1294</v>
          </cell>
          <cell r="AP21">
            <v>1326</v>
          </cell>
          <cell r="AQ21">
            <v>1324.6232881168366</v>
          </cell>
          <cell r="AR21">
            <v>1360.9047561204527</v>
          </cell>
          <cell r="AS21">
            <v>1370.1903733522397</v>
          </cell>
          <cell r="AT21">
            <v>1392.38452136623</v>
          </cell>
          <cell r="AU21">
            <v>1419.7658692092161</v>
          </cell>
          <cell r="AV21">
            <v>1450.787203656655</v>
          </cell>
          <cell r="AW21">
            <v>1479.6692032622318</v>
          </cell>
          <cell r="AX21">
            <v>1506.8412328907157</v>
          </cell>
          <cell r="AY21" t="str">
            <v>NK: 2012 formula is different for QP check</v>
          </cell>
        </row>
        <row r="22">
          <cell r="B22" t="str">
            <v>Interest expense</v>
          </cell>
          <cell r="C22" t="str">
            <v>INT_EXP_IND</v>
          </cell>
          <cell r="D22" t="str">
            <v>GBP</v>
          </cell>
          <cell r="K22">
            <v>-133</v>
          </cell>
          <cell r="L22">
            <v>-121</v>
          </cell>
          <cell r="M22">
            <v>-131</v>
          </cell>
          <cell r="N22">
            <v>-131</v>
          </cell>
          <cell r="O22">
            <v>-104</v>
          </cell>
          <cell r="P22">
            <v>-263</v>
          </cell>
          <cell r="Q22">
            <v>-220</v>
          </cell>
          <cell r="R22">
            <v>-241</v>
          </cell>
          <cell r="S22">
            <v>-245</v>
          </cell>
          <cell r="T22">
            <v>-234</v>
          </cell>
          <cell r="W22">
            <v>-322</v>
          </cell>
          <cell r="Z22">
            <v>-1525</v>
          </cell>
          <cell r="AC22">
            <v>-1199</v>
          </cell>
          <cell r="AF22">
            <v>-2727</v>
          </cell>
          <cell r="AI22">
            <v>-2273</v>
          </cell>
          <cell r="AL22">
            <v>-1550</v>
          </cell>
          <cell r="AO22">
            <v>-1408</v>
          </cell>
          <cell r="AP22">
            <v>-1597</v>
          </cell>
          <cell r="AQ22">
            <v>-1474.0934065934066</v>
          </cell>
          <cell r="AR22">
            <v>-1528.8434065934066</v>
          </cell>
          <cell r="AS22">
            <v>-1501.4684065934066</v>
          </cell>
          <cell r="AT22">
            <v>-1515.1559065934066</v>
          </cell>
          <cell r="AU22">
            <v>-1508.3121565934066</v>
          </cell>
          <cell r="AV22">
            <v>-1511.7340315934066</v>
          </cell>
          <cell r="AW22">
            <v>-1510.0230940934066</v>
          </cell>
          <cell r="AX22">
            <v>-1510.8785628434066</v>
          </cell>
        </row>
        <row r="23">
          <cell r="B23" t="str">
            <v>Net interest income/(expense)</v>
          </cell>
          <cell r="C23" t="str">
            <v>NET_INT_EXP</v>
          </cell>
          <cell r="D23" t="str">
            <v>GBP</v>
          </cell>
          <cell r="F23">
            <v>-138</v>
          </cell>
          <cell r="G23">
            <v>-58</v>
          </cell>
          <cell r="H23">
            <v>-126</v>
          </cell>
          <cell r="I23">
            <v>-168</v>
          </cell>
          <cell r="J23">
            <v>-93</v>
          </cell>
          <cell r="K23">
            <v>-24</v>
          </cell>
          <cell r="L23">
            <v>1</v>
          </cell>
          <cell r="M23">
            <v>46</v>
          </cell>
          <cell r="N23">
            <v>70</v>
          </cell>
          <cell r="O23">
            <v>27</v>
          </cell>
          <cell r="P23">
            <v>-91</v>
          </cell>
          <cell r="Q23">
            <v>-177</v>
          </cell>
          <cell r="R23">
            <v>-206</v>
          </cell>
          <cell r="S23">
            <v>-220</v>
          </cell>
          <cell r="T23">
            <v>-207</v>
          </cell>
          <cell r="W23">
            <v>-210</v>
          </cell>
          <cell r="Z23">
            <v>-195</v>
          </cell>
          <cell r="AC23">
            <v>58</v>
          </cell>
          <cell r="AF23">
            <v>653</v>
          </cell>
          <cell r="AI23">
            <v>-700</v>
          </cell>
          <cell r="AL23">
            <v>-192</v>
          </cell>
          <cell r="AO23">
            <v>-114</v>
          </cell>
          <cell r="AP23">
            <v>-271</v>
          </cell>
          <cell r="AQ23">
            <v>-149.47011847656995</v>
          </cell>
          <cell r="AR23">
            <v>-167.9386504729539</v>
          </cell>
          <cell r="AS23">
            <v>-131.2780332411669</v>
          </cell>
          <cell r="AT23">
            <v>-122.77138522717655</v>
          </cell>
          <cell r="AU23">
            <v>-88.546287384190464</v>
          </cell>
          <cell r="AV23">
            <v>-60.946827936751561</v>
          </cell>
          <cell r="AW23">
            <v>-30.353890831174795</v>
          </cell>
          <cell r="AX23">
            <v>-4.037329952690925</v>
          </cell>
          <cell r="AY23" t="str">
            <v>NK this is P429</v>
          </cell>
        </row>
        <row r="24">
          <cell r="B24" t="str">
            <v>Income/(loss) from unconsolidated subs &amp; associates</v>
          </cell>
          <cell r="C24" t="str">
            <v>ASSOCIATE</v>
          </cell>
          <cell r="D24" t="str">
            <v>GBP</v>
          </cell>
        </row>
        <row r="25">
          <cell r="B25" t="str">
            <v>Profit/(loss) on disposals of assets, pre-tax</v>
          </cell>
          <cell r="C25" t="str">
            <v>PROFIT_ON_DISP</v>
          </cell>
          <cell r="D25" t="str">
            <v>GBP</v>
          </cell>
        </row>
        <row r="26">
          <cell r="B26" t="str">
            <v>Other non-ops income/(expense)</v>
          </cell>
          <cell r="C26" t="str">
            <v>OTH_COST_INC</v>
          </cell>
          <cell r="D26" t="str">
            <v>GBP</v>
          </cell>
        </row>
        <row r="27">
          <cell r="B27" t="str">
            <v>Pre-tax profit</v>
          </cell>
          <cell r="C27" t="str">
            <v>PT_PROF</v>
          </cell>
          <cell r="D27" t="str">
            <v>GBP</v>
          </cell>
          <cell r="F27">
            <v>400</v>
          </cell>
          <cell r="G27">
            <v>154</v>
          </cell>
          <cell r="H27">
            <v>-201</v>
          </cell>
          <cell r="I27">
            <v>51</v>
          </cell>
          <cell r="J27">
            <v>172</v>
          </cell>
          <cell r="K27">
            <v>330</v>
          </cell>
          <cell r="L27">
            <v>456</v>
          </cell>
          <cell r="M27">
            <v>604</v>
          </cell>
          <cell r="N27">
            <v>708</v>
          </cell>
          <cell r="O27">
            <v>790</v>
          </cell>
          <cell r="P27">
            <v>859</v>
          </cell>
          <cell r="Q27">
            <v>1083</v>
          </cell>
          <cell r="R27">
            <v>796</v>
          </cell>
          <cell r="S27">
            <v>760</v>
          </cell>
          <cell r="T27">
            <v>806</v>
          </cell>
          <cell r="W27">
            <v>1016</v>
          </cell>
          <cell r="Z27">
            <v>746</v>
          </cell>
          <cell r="AC27">
            <v>1096</v>
          </cell>
          <cell r="AF27">
            <v>2353</v>
          </cell>
          <cell r="AI27">
            <v>79</v>
          </cell>
          <cell r="AL27">
            <v>1313</v>
          </cell>
          <cell r="AO27">
            <v>1335</v>
          </cell>
          <cell r="AP27">
            <v>1276</v>
          </cell>
          <cell r="AQ27">
            <v>1693.0303832866985</v>
          </cell>
          <cell r="AR27">
            <v>1290.3179431072547</v>
          </cell>
          <cell r="AS27">
            <v>1403.0026655538975</v>
          </cell>
          <cell r="AT27">
            <v>1472.2705026195952</v>
          </cell>
          <cell r="AU27">
            <v>1568.9354520361878</v>
          </cell>
          <cell r="AV27">
            <v>1806.9728837145508</v>
          </cell>
          <cell r="AW27">
            <v>2017.1582255355861</v>
          </cell>
          <cell r="AX27">
            <v>2082.9218675245029</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cell r="P30">
            <v>-0.02</v>
          </cell>
          <cell r="Q30">
            <v>7.8210915059499397E-2</v>
          </cell>
          <cell r="R30">
            <v>-7.5582280407976876E-2</v>
          </cell>
          <cell r="S30">
            <v>2.1572663647591694E-2</v>
          </cell>
          <cell r="T30">
            <v>0.10587018771874002</v>
          </cell>
          <cell r="W30">
            <v>0.10588413250642859</v>
          </cell>
          <cell r="Z30">
            <v>0.05</v>
          </cell>
          <cell r="AC30">
            <v>0.14000000000000001</v>
          </cell>
          <cell r="AF30">
            <v>0.03</v>
          </cell>
          <cell r="AI30">
            <v>7.0000000000000007E-2</v>
          </cell>
          <cell r="AL30">
            <v>-1.9E-2</v>
          </cell>
          <cell r="AO30">
            <v>-0.15</v>
          </cell>
          <cell r="AP30">
            <v>-6.9000000000000006E-2</v>
          </cell>
          <cell r="AQ30">
            <v>5.2435218086590143E-2</v>
          </cell>
          <cell r="AR30">
            <v>-2.5865109214679907E-2</v>
          </cell>
          <cell r="AS30">
            <v>1.7267225018618118E-2</v>
          </cell>
          <cell r="AT30">
            <v>1.6113494857237766E-2</v>
          </cell>
          <cell r="AU30">
            <v>2.7247783349575696E-2</v>
          </cell>
          <cell r="AV30">
            <v>9.7935972105313032E-2</v>
          </cell>
          <cell r="AW30">
            <v>6.8153231172219178E-2</v>
          </cell>
          <cell r="AX30">
            <v>9.5960774586463325E-3</v>
          </cell>
          <cell r="AY30" t="str">
            <v xml:space="preserve">MA: Like-for-like revenue growth before M&amp;A and FX
</v>
          </cell>
        </row>
        <row r="31">
          <cell r="B31" t="str">
            <v>Lease payments</v>
          </cell>
          <cell r="C31" t="str">
            <v>LEASE_PAY</v>
          </cell>
          <cell r="D31" t="str">
            <v>GBP</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Z31">
            <v>0</v>
          </cell>
          <cell r="AC31">
            <v>0</v>
          </cell>
          <cell r="AF31">
            <v>0</v>
          </cell>
          <cell r="AI31">
            <v>0</v>
          </cell>
          <cell r="AL31">
            <v>0</v>
          </cell>
          <cell r="AO31">
            <v>0</v>
          </cell>
          <cell r="AP31">
            <v>0</v>
          </cell>
          <cell r="AQ31">
            <v>0</v>
          </cell>
          <cell r="AR31">
            <v>0</v>
          </cell>
          <cell r="AS31">
            <v>0</v>
          </cell>
          <cell r="AT31">
            <v>0</v>
          </cell>
          <cell r="AU31">
            <v>0</v>
          </cell>
          <cell r="AV31">
            <v>0</v>
          </cell>
          <cell r="AW31">
            <v>0</v>
          </cell>
          <cell r="AX31">
            <v>0</v>
          </cell>
        </row>
        <row r="32">
          <cell r="B32" t="str">
            <v>Lease payments (deemed interest portion)</v>
          </cell>
          <cell r="C32" t="str">
            <v>LEASE_DEEM_INT</v>
          </cell>
          <cell r="D32" t="str">
            <v>GBP</v>
          </cell>
        </row>
        <row r="33">
          <cell r="B33" t="str">
            <v>Lease payments (deemed depreciation portion)</v>
          </cell>
          <cell r="C33" t="str">
            <v>LEASE_DEEM_DEPR</v>
          </cell>
          <cell r="D33" t="str">
            <v>GBP</v>
          </cell>
        </row>
        <row r="34">
          <cell r="B34" t="str">
            <v>Gross interest charge</v>
          </cell>
          <cell r="C34" t="str">
            <v>NET_INT_CH</v>
          </cell>
          <cell r="D34" t="str">
            <v>GBP</v>
          </cell>
          <cell r="F34">
            <v>0</v>
          </cell>
          <cell r="G34">
            <v>0</v>
          </cell>
          <cell r="H34">
            <v>0</v>
          </cell>
          <cell r="I34">
            <v>0</v>
          </cell>
          <cell r="J34">
            <v>0</v>
          </cell>
          <cell r="K34">
            <v>-133</v>
          </cell>
          <cell r="L34">
            <v>-121</v>
          </cell>
          <cell r="M34">
            <v>-131</v>
          </cell>
          <cell r="N34">
            <v>-131</v>
          </cell>
          <cell r="O34">
            <v>-104</v>
          </cell>
          <cell r="P34">
            <v>-263</v>
          </cell>
          <cell r="Q34">
            <v>-220</v>
          </cell>
          <cell r="R34">
            <v>-241</v>
          </cell>
          <cell r="S34">
            <v>-245</v>
          </cell>
          <cell r="T34">
            <v>-234</v>
          </cell>
          <cell r="W34">
            <v>-322</v>
          </cell>
          <cell r="Z34">
            <v>-1525</v>
          </cell>
          <cell r="AC34">
            <v>-1199</v>
          </cell>
          <cell r="AF34">
            <v>-2727</v>
          </cell>
          <cell r="AI34">
            <v>-2273</v>
          </cell>
          <cell r="AL34">
            <v>-1550</v>
          </cell>
          <cell r="AO34">
            <v>-1408</v>
          </cell>
          <cell r="AP34">
            <v>-1597</v>
          </cell>
          <cell r="AQ34">
            <v>-1474.0934065934066</v>
          </cell>
          <cell r="AR34">
            <v>-1528.8434065934066</v>
          </cell>
          <cell r="AS34">
            <v>-1501.4684065934066</v>
          </cell>
          <cell r="AT34">
            <v>-1515.1559065934066</v>
          </cell>
          <cell r="AU34">
            <v>-1508.3121565934066</v>
          </cell>
          <cell r="AV34">
            <v>-1511.7340315934066</v>
          </cell>
          <cell r="AW34">
            <v>-1510.0230940934066</v>
          </cell>
          <cell r="AX34">
            <v>-1510.8785628434066</v>
          </cell>
        </row>
        <row r="35">
          <cell r="B35" t="str">
            <v>Income from associates (operating)</v>
          </cell>
          <cell r="C35" t="str">
            <v>ASSOCIATE_OP</v>
          </cell>
          <cell r="D35" t="str">
            <v>GBP</v>
          </cell>
        </row>
        <row r="36">
          <cell r="B36" t="str">
            <v>Goodwill amortization</v>
          </cell>
          <cell r="C36" t="str">
            <v>GW_AMORT</v>
          </cell>
          <cell r="D36" t="str">
            <v>GBP</v>
          </cell>
          <cell r="F36">
            <v>0</v>
          </cell>
          <cell r="G36">
            <v>0</v>
          </cell>
          <cell r="H36">
            <v>0</v>
          </cell>
          <cell r="I36">
            <v>0</v>
          </cell>
          <cell r="J36">
            <v>0</v>
          </cell>
          <cell r="K36">
            <v>0</v>
          </cell>
          <cell r="L36">
            <v>0</v>
          </cell>
          <cell r="M36">
            <v>0</v>
          </cell>
          <cell r="N36">
            <v>-12</v>
          </cell>
          <cell r="O36">
            <v>-43</v>
          </cell>
          <cell r="P36">
            <v>-330</v>
          </cell>
          <cell r="Q36">
            <v>-397</v>
          </cell>
          <cell r="R36">
            <v>-403</v>
          </cell>
          <cell r="S36">
            <v>-403</v>
          </cell>
          <cell r="T36">
            <v>-383</v>
          </cell>
          <cell r="W36">
            <v>0</v>
          </cell>
        </row>
        <row r="37">
          <cell r="B37" t="str">
            <v>Other intangible amortization</v>
          </cell>
          <cell r="C37" t="str">
            <v>OTH_INT_AMORT</v>
          </cell>
          <cell r="D37" t="str">
            <v>GBP</v>
          </cell>
        </row>
        <row r="38">
          <cell r="A38" t="str">
            <v>Balance Sheet</v>
          </cell>
        </row>
        <row r="39">
          <cell r="B39" t="str">
            <v>Cash &amp; cash equivalents</v>
          </cell>
          <cell r="C39" t="str">
            <v>CASH_EQ</v>
          </cell>
          <cell r="D39" t="str">
            <v>GBP</v>
          </cell>
          <cell r="F39">
            <v>1859</v>
          </cell>
          <cell r="G39">
            <v>1673</v>
          </cell>
          <cell r="H39">
            <v>1637</v>
          </cell>
          <cell r="I39">
            <v>1449</v>
          </cell>
          <cell r="J39">
            <v>1468</v>
          </cell>
          <cell r="K39">
            <v>1513</v>
          </cell>
          <cell r="L39">
            <v>1879</v>
          </cell>
          <cell r="M39">
            <v>2055</v>
          </cell>
          <cell r="N39">
            <v>1374</v>
          </cell>
          <cell r="O39">
            <v>2524</v>
          </cell>
          <cell r="P39">
            <v>2634</v>
          </cell>
          <cell r="Q39">
            <v>2574</v>
          </cell>
          <cell r="R39">
            <v>1706</v>
          </cell>
          <cell r="S39">
            <v>1663</v>
          </cell>
          <cell r="T39">
            <v>2407</v>
          </cell>
          <cell r="W39">
            <v>3215</v>
          </cell>
          <cell r="Z39">
            <v>3100</v>
          </cell>
          <cell r="AC39">
            <v>3062</v>
          </cell>
          <cell r="AF39">
            <v>2624</v>
          </cell>
          <cell r="AI39">
            <v>3694</v>
          </cell>
          <cell r="AL39">
            <v>2813.7</v>
          </cell>
          <cell r="AO39">
            <v>2141.4</v>
          </cell>
          <cell r="AP39">
            <v>3355</v>
          </cell>
          <cell r="AQ39">
            <v>1750.8304906665444</v>
          </cell>
          <cell r="AR39">
            <v>1643.4214319583439</v>
          </cell>
          <cell r="AS39">
            <v>1308.0583745152937</v>
          </cell>
          <cell r="AT39">
            <v>1271.6372475441842</v>
          </cell>
          <cell r="AU39">
            <v>1316.7912537730258</v>
          </cell>
          <cell r="AV39">
            <v>1489.040663558352</v>
          </cell>
          <cell r="AW39">
            <v>1687.9594722311508</v>
          </cell>
          <cell r="AX39">
            <v>1587.5941237693628</v>
          </cell>
        </row>
        <row r="40">
          <cell r="B40" t="str">
            <v>Accounts receivable</v>
          </cell>
          <cell r="C40" t="str">
            <v>DEBTORS</v>
          </cell>
          <cell r="D40" t="str">
            <v>GBP</v>
          </cell>
          <cell r="F40">
            <v>1320</v>
          </cell>
          <cell r="G40">
            <v>1671</v>
          </cell>
          <cell r="H40">
            <v>2109</v>
          </cell>
          <cell r="I40">
            <v>1962</v>
          </cell>
          <cell r="J40">
            <v>1676</v>
          </cell>
          <cell r="K40">
            <v>2148</v>
          </cell>
          <cell r="L40">
            <v>2000</v>
          </cell>
          <cell r="M40">
            <v>1903</v>
          </cell>
          <cell r="N40">
            <v>3712</v>
          </cell>
          <cell r="O40">
            <v>4159</v>
          </cell>
          <cell r="P40">
            <v>2783</v>
          </cell>
          <cell r="Q40">
            <v>3444</v>
          </cell>
          <cell r="R40">
            <v>3478</v>
          </cell>
          <cell r="S40">
            <v>3515</v>
          </cell>
          <cell r="T40">
            <v>2838</v>
          </cell>
          <cell r="W40">
            <v>1877</v>
          </cell>
          <cell r="Z40">
            <v>2253</v>
          </cell>
          <cell r="AC40">
            <v>2933</v>
          </cell>
          <cell r="AF40">
            <v>3831</v>
          </cell>
          <cell r="AI40">
            <v>3764</v>
          </cell>
          <cell r="AL40">
            <v>3559</v>
          </cell>
          <cell r="AO40">
            <v>3369</v>
          </cell>
          <cell r="AP40">
            <v>2873</v>
          </cell>
          <cell r="AQ40">
            <v>3069.403323942051</v>
          </cell>
          <cell r="AR40">
            <v>2949.7277759236658</v>
          </cell>
          <cell r="AS40">
            <v>3019.1657542441558</v>
          </cell>
          <cell r="AT40">
            <v>3085.9580487279768</v>
          </cell>
          <cell r="AU40">
            <v>3191.6741364581508</v>
          </cell>
          <cell r="AV40">
            <v>3548.0260503409586</v>
          </cell>
          <cell r="AW40">
            <v>3824.2788585249032</v>
          </cell>
          <cell r="AX40">
            <v>3877.0784692408133</v>
          </cell>
          <cell r="AY40" t="str">
            <v>CH: should we be including long term payables and receivables in here too?</v>
          </cell>
        </row>
        <row r="41">
          <cell r="B41" t="str">
            <v>Inventory</v>
          </cell>
          <cell r="C41" t="str">
            <v>STOCKS</v>
          </cell>
          <cell r="D41" t="str">
            <v>GBP</v>
          </cell>
          <cell r="F41">
            <v>2830</v>
          </cell>
          <cell r="G41">
            <v>3151</v>
          </cell>
          <cell r="H41">
            <v>3448</v>
          </cell>
          <cell r="I41">
            <v>3892</v>
          </cell>
          <cell r="J41">
            <v>2560</v>
          </cell>
          <cell r="K41">
            <v>2171</v>
          </cell>
          <cell r="L41">
            <v>1743</v>
          </cell>
          <cell r="M41">
            <v>1703</v>
          </cell>
          <cell r="N41">
            <v>1442</v>
          </cell>
          <cell r="O41">
            <v>1559</v>
          </cell>
          <cell r="P41">
            <v>1536</v>
          </cell>
          <cell r="Q41">
            <v>1046</v>
          </cell>
          <cell r="R41">
            <v>768</v>
          </cell>
          <cell r="S41">
            <v>775</v>
          </cell>
          <cell r="T41">
            <v>895</v>
          </cell>
          <cell r="W41">
            <v>485</v>
          </cell>
          <cell r="Z41">
            <v>395</v>
          </cell>
          <cell r="AC41">
            <v>701</v>
          </cell>
          <cell r="AF41">
            <v>926</v>
          </cell>
          <cell r="AI41">
            <v>887</v>
          </cell>
          <cell r="AL41">
            <v>644</v>
          </cell>
          <cell r="AO41">
            <v>716</v>
          </cell>
          <cell r="AP41">
            <v>655</v>
          </cell>
          <cell r="AQ41">
            <v>699.77694994153967</v>
          </cell>
          <cell r="AR41">
            <v>672.49275782457403</v>
          </cell>
          <cell r="AS41">
            <v>688.32355343888696</v>
          </cell>
          <cell r="AT41">
            <v>703.55117365709179</v>
          </cell>
          <cell r="AU41">
            <v>727.65282261750394</v>
          </cell>
          <cell r="AV41">
            <v>808.89560145260282</v>
          </cell>
          <cell r="AW41">
            <v>871.87701090630401</v>
          </cell>
          <cell r="AX41">
            <v>883.91451352340164</v>
          </cell>
        </row>
        <row r="42">
          <cell r="B42" t="str">
            <v>Other current assets</v>
          </cell>
          <cell r="C42" t="str">
            <v>OTH_CUR_ASS</v>
          </cell>
          <cell r="D42" t="str">
            <v>GBP</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W42">
            <v>74</v>
          </cell>
          <cell r="Z42">
            <v>556</v>
          </cell>
          <cell r="AC42">
            <v>394</v>
          </cell>
          <cell r="AF42">
            <v>688</v>
          </cell>
          <cell r="AI42">
            <v>458</v>
          </cell>
          <cell r="AL42">
            <v>599.30000000000018</v>
          </cell>
          <cell r="AO42">
            <v>154.60000000000036</v>
          </cell>
          <cell r="AP42">
            <v>95</v>
          </cell>
          <cell r="AQ42">
            <v>94.999999999999773</v>
          </cell>
          <cell r="AR42">
            <v>94.999999999999773</v>
          </cell>
          <cell r="AS42">
            <v>95.000000000000341</v>
          </cell>
          <cell r="AT42">
            <v>95.000000000000227</v>
          </cell>
          <cell r="AU42">
            <v>94.999999999999318</v>
          </cell>
          <cell r="AV42">
            <v>94.999999999999659</v>
          </cell>
          <cell r="AW42">
            <v>95.000000000000796</v>
          </cell>
          <cell r="AX42">
            <v>95.000000000000455</v>
          </cell>
        </row>
        <row r="43">
          <cell r="B43" t="str">
            <v>Total current assets</v>
          </cell>
          <cell r="C43" t="str">
            <v>CUR_ASS</v>
          </cell>
          <cell r="D43" t="str">
            <v>GBP</v>
          </cell>
          <cell r="F43">
            <v>6009</v>
          </cell>
          <cell r="G43">
            <v>6495</v>
          </cell>
          <cell r="H43">
            <v>7194</v>
          </cell>
          <cell r="I43">
            <v>7303</v>
          </cell>
          <cell r="J43">
            <v>5704</v>
          </cell>
          <cell r="K43">
            <v>5832</v>
          </cell>
          <cell r="L43">
            <v>5622</v>
          </cell>
          <cell r="M43">
            <v>5661</v>
          </cell>
          <cell r="N43">
            <v>6528</v>
          </cell>
          <cell r="O43">
            <v>8242</v>
          </cell>
          <cell r="P43">
            <v>6953</v>
          </cell>
          <cell r="Q43">
            <v>7064</v>
          </cell>
          <cell r="R43">
            <v>5952</v>
          </cell>
          <cell r="S43">
            <v>5953</v>
          </cell>
          <cell r="T43">
            <v>6140</v>
          </cell>
          <cell r="W43">
            <v>5651</v>
          </cell>
          <cell r="Z43">
            <v>6304</v>
          </cell>
          <cell r="AC43">
            <v>7090</v>
          </cell>
          <cell r="AF43">
            <v>8069</v>
          </cell>
          <cell r="AI43">
            <v>8803</v>
          </cell>
          <cell r="AL43">
            <v>7616</v>
          </cell>
          <cell r="AO43">
            <v>6381</v>
          </cell>
          <cell r="AP43">
            <v>6978</v>
          </cell>
          <cell r="AQ43">
            <v>5615.0107645501348</v>
          </cell>
          <cell r="AR43">
            <v>5360.6419657065835</v>
          </cell>
          <cell r="AS43">
            <v>5110.5476821983366</v>
          </cell>
          <cell r="AT43">
            <v>5156.1464699292528</v>
          </cell>
          <cell r="AU43">
            <v>5331.1182128486798</v>
          </cell>
          <cell r="AV43">
            <v>5940.9623153519133</v>
          </cell>
          <cell r="AW43">
            <v>6479.1153416623583</v>
          </cell>
          <cell r="AX43">
            <v>6443.5871065335778</v>
          </cell>
        </row>
        <row r="44">
          <cell r="B44" t="str">
            <v>Gross fixed assets, PP&amp;E</v>
          </cell>
          <cell r="C44" t="str">
            <v>GR_FIX_ASS</v>
          </cell>
          <cell r="D44" t="str">
            <v>GBP</v>
          </cell>
          <cell r="F44">
            <v>2894</v>
          </cell>
          <cell r="G44">
            <v>3243</v>
          </cell>
          <cell r="H44">
            <v>3257</v>
          </cell>
          <cell r="I44">
            <v>3106</v>
          </cell>
          <cell r="J44">
            <v>1717</v>
          </cell>
          <cell r="K44">
            <v>1533</v>
          </cell>
          <cell r="L44">
            <v>1446</v>
          </cell>
          <cell r="M44">
            <v>2416</v>
          </cell>
          <cell r="N44">
            <v>2747</v>
          </cell>
          <cell r="O44">
            <v>4168</v>
          </cell>
          <cell r="P44">
            <v>4888</v>
          </cell>
          <cell r="Q44">
            <v>4015</v>
          </cell>
          <cell r="R44">
            <v>3895</v>
          </cell>
          <cell r="S44">
            <v>3881</v>
          </cell>
          <cell r="T44">
            <v>3887</v>
          </cell>
          <cell r="W44">
            <v>3901</v>
          </cell>
          <cell r="Z44">
            <v>3901</v>
          </cell>
          <cell r="AC44">
            <v>4083</v>
          </cell>
          <cell r="AF44">
            <v>5327</v>
          </cell>
          <cell r="AI44">
            <v>5505</v>
          </cell>
          <cell r="AL44">
            <v>5859</v>
          </cell>
          <cell r="AO44">
            <v>5184</v>
          </cell>
          <cell r="AP44">
            <v>5109</v>
          </cell>
          <cell r="AQ44">
            <v>5354.8753795683469</v>
          </cell>
          <cell r="AR44">
            <v>5622.5864612842288</v>
          </cell>
          <cell r="AS44">
            <v>5928.7026814768278</v>
          </cell>
          <cell r="AT44">
            <v>6274.4061428194882</v>
          </cell>
          <cell r="AU44">
            <v>6665.8811010126174</v>
          </cell>
          <cell r="AV44">
            <v>7138.7129120299114</v>
          </cell>
          <cell r="AW44">
            <v>7648.287536778741</v>
          </cell>
          <cell r="AX44">
            <v>8164.8847372414093</v>
          </cell>
        </row>
        <row r="45">
          <cell r="B45" t="str">
            <v>Accumulated depreciation</v>
          </cell>
          <cell r="C45" t="str">
            <v>ACC_DDA</v>
          </cell>
          <cell r="D45" t="str">
            <v>GBP</v>
          </cell>
          <cell r="F45">
            <v>0</v>
          </cell>
          <cell r="G45">
            <v>0</v>
          </cell>
          <cell r="H45">
            <v>0</v>
          </cell>
          <cell r="I45">
            <v>0</v>
          </cell>
          <cell r="J45">
            <v>0</v>
          </cell>
          <cell r="K45">
            <v>0</v>
          </cell>
          <cell r="L45">
            <v>0</v>
          </cell>
          <cell r="M45">
            <v>-992</v>
          </cell>
          <cell r="N45">
            <v>-1143</v>
          </cell>
          <cell r="O45">
            <v>-2001</v>
          </cell>
          <cell r="P45">
            <v>-2532</v>
          </cell>
          <cell r="Q45">
            <v>-2239</v>
          </cell>
          <cell r="R45">
            <v>-2186</v>
          </cell>
          <cell r="S45">
            <v>-2182</v>
          </cell>
          <cell r="T45">
            <v>-2136</v>
          </cell>
          <cell r="W45">
            <v>-2197</v>
          </cell>
          <cell r="Z45">
            <v>-2155</v>
          </cell>
          <cell r="AC45">
            <v>-2309</v>
          </cell>
          <cell r="AF45">
            <v>-2881</v>
          </cell>
          <cell r="AI45">
            <v>-2953</v>
          </cell>
          <cell r="AL45">
            <v>-3145</v>
          </cell>
          <cell r="AO45">
            <v>-2688</v>
          </cell>
          <cell r="AP45">
            <v>-2824</v>
          </cell>
          <cell r="AQ45">
            <v>-3205.4051467620297</v>
          </cell>
          <cell r="AR45">
            <v>-3507.0043025038699</v>
          </cell>
          <cell r="AS45">
            <v>-3817.2318460843508</v>
          </cell>
          <cell r="AT45">
            <v>-4135.7590238906323</v>
          </cell>
          <cell r="AU45">
            <v>-4467.4225202906036</v>
          </cell>
          <cell r="AV45">
            <v>-4843.3664320251255</v>
          </cell>
          <cell r="AW45">
            <v>-5253.6376157825034</v>
          </cell>
          <cell r="AX45">
            <v>-5670.4696979128657</v>
          </cell>
        </row>
        <row r="46">
          <cell r="B46" t="str">
            <v>Net PP&amp;E</v>
          </cell>
          <cell r="C46" t="str">
            <v>NET_FIX_ASS</v>
          </cell>
          <cell r="D46" t="str">
            <v>GBP</v>
          </cell>
          <cell r="F46">
            <v>2894</v>
          </cell>
          <cell r="G46">
            <v>3243</v>
          </cell>
          <cell r="H46">
            <v>3257</v>
          </cell>
          <cell r="I46">
            <v>3106</v>
          </cell>
          <cell r="J46">
            <v>1717</v>
          </cell>
          <cell r="K46">
            <v>1533</v>
          </cell>
          <cell r="L46">
            <v>1446</v>
          </cell>
          <cell r="M46">
            <v>1424</v>
          </cell>
          <cell r="N46">
            <v>1604</v>
          </cell>
          <cell r="O46">
            <v>2167</v>
          </cell>
          <cell r="P46">
            <v>2356</v>
          </cell>
          <cell r="Q46">
            <v>1776</v>
          </cell>
          <cell r="R46">
            <v>1709</v>
          </cell>
          <cell r="S46">
            <v>1699</v>
          </cell>
          <cell r="T46">
            <v>1751</v>
          </cell>
          <cell r="W46">
            <v>1704</v>
          </cell>
          <cell r="Z46">
            <v>1746</v>
          </cell>
          <cell r="AC46">
            <v>1774</v>
          </cell>
          <cell r="AF46">
            <v>2446</v>
          </cell>
          <cell r="AI46">
            <v>2552</v>
          </cell>
          <cell r="AL46">
            <v>2714</v>
          </cell>
          <cell r="AO46">
            <v>2496</v>
          </cell>
          <cell r="AP46">
            <v>2285</v>
          </cell>
          <cell r="AQ46">
            <v>2149.4702328063172</v>
          </cell>
          <cell r="AR46">
            <v>2115.5821587803589</v>
          </cell>
          <cell r="AS46">
            <v>2111.4708353924771</v>
          </cell>
          <cell r="AT46">
            <v>2138.6471189288563</v>
          </cell>
          <cell r="AU46">
            <v>2198.4585807220133</v>
          </cell>
          <cell r="AV46">
            <v>2295.3464800047859</v>
          </cell>
          <cell r="AW46">
            <v>2394.6499209962371</v>
          </cell>
          <cell r="AX46">
            <v>2494.415039328544</v>
          </cell>
        </row>
        <row r="47">
          <cell r="B47" t="str">
            <v>Gross intangibles</v>
          </cell>
          <cell r="C47" t="str">
            <v>GR_INTANG</v>
          </cell>
          <cell r="D47" t="str">
            <v>GBP</v>
          </cell>
          <cell r="F47">
            <v>0</v>
          </cell>
          <cell r="G47">
            <v>0</v>
          </cell>
          <cell r="H47">
            <v>0</v>
          </cell>
          <cell r="I47">
            <v>0</v>
          </cell>
          <cell r="J47">
            <v>0</v>
          </cell>
          <cell r="K47">
            <v>0</v>
          </cell>
          <cell r="L47">
            <v>0</v>
          </cell>
          <cell r="M47">
            <v>0</v>
          </cell>
          <cell r="N47">
            <v>7660</v>
          </cell>
          <cell r="O47">
            <v>6420</v>
          </cell>
          <cell r="P47">
            <v>7741</v>
          </cell>
          <cell r="Q47">
            <v>7660</v>
          </cell>
          <cell r="R47">
            <v>7567</v>
          </cell>
          <cell r="S47">
            <v>7553</v>
          </cell>
          <cell r="T47">
            <v>8265</v>
          </cell>
          <cell r="W47">
            <v>10400</v>
          </cell>
          <cell r="Z47">
            <v>9861</v>
          </cell>
          <cell r="AC47">
            <v>12112</v>
          </cell>
          <cell r="AF47">
            <v>15346</v>
          </cell>
          <cell r="AI47">
            <v>15439</v>
          </cell>
          <cell r="AL47">
            <v>15997</v>
          </cell>
          <cell r="AO47">
            <v>16601</v>
          </cell>
          <cell r="AP47">
            <v>15768</v>
          </cell>
          <cell r="AQ47">
            <v>15795.208784738643</v>
          </cell>
          <cell r="AR47">
            <v>15824.10107306112</v>
          </cell>
          <cell r="AS47">
            <v>15856.477971923963</v>
          </cell>
          <cell r="AT47">
            <v>15892.437790007652</v>
          </cell>
          <cell r="AU47">
            <v>15932.593537462166</v>
          </cell>
          <cell r="AV47">
            <v>15980.522460376756</v>
          </cell>
          <cell r="AW47">
            <v>16032.177653015002</v>
          </cell>
          <cell r="AX47">
            <v>16084.545039647306</v>
          </cell>
        </row>
        <row r="48">
          <cell r="B48" t="str">
            <v>Accumulated amortization</v>
          </cell>
          <cell r="C48" t="str">
            <v>ACC_AMORT</v>
          </cell>
          <cell r="D48" t="str">
            <v>GBP</v>
          </cell>
          <cell r="F48">
            <v>0</v>
          </cell>
          <cell r="G48">
            <v>0</v>
          </cell>
          <cell r="H48">
            <v>0</v>
          </cell>
          <cell r="I48">
            <v>0</v>
          </cell>
          <cell r="J48">
            <v>0</v>
          </cell>
          <cell r="K48">
            <v>0</v>
          </cell>
          <cell r="L48">
            <v>0</v>
          </cell>
          <cell r="M48">
            <v>0</v>
          </cell>
          <cell r="N48">
            <v>-7338</v>
          </cell>
          <cell r="O48">
            <v>-55</v>
          </cell>
          <cell r="P48">
            <v>-385</v>
          </cell>
          <cell r="Q48">
            <v>-751</v>
          </cell>
          <cell r="R48">
            <v>-1150</v>
          </cell>
          <cell r="S48">
            <v>-1553</v>
          </cell>
          <cell r="T48">
            <v>-2618</v>
          </cell>
          <cell r="W48">
            <v>-2183</v>
          </cell>
          <cell r="Z48">
            <v>-2266</v>
          </cell>
          <cell r="AC48">
            <v>-2553</v>
          </cell>
          <cell r="AF48">
            <v>-3040</v>
          </cell>
          <cell r="AI48">
            <v>-4133</v>
          </cell>
          <cell r="AL48">
            <v>-4781</v>
          </cell>
          <cell r="AO48">
            <v>-5136</v>
          </cell>
          <cell r="AP48">
            <v>-4840</v>
          </cell>
          <cell r="AQ48">
            <v>-5173.3288677584114</v>
          </cell>
          <cell r="AR48">
            <v>-5458.5963608480833</v>
          </cell>
          <cell r="AS48">
            <v>-5751.4046298639623</v>
          </cell>
          <cell r="AT48">
            <v>-6051.4663607242383</v>
          </cell>
          <cell r="AU48">
            <v>-6363.0085717000093</v>
          </cell>
          <cell r="AV48">
            <v>-6713.2496330521917</v>
          </cell>
          <cell r="AW48">
            <v>-7093.4909993655292</v>
          </cell>
          <cell r="AX48">
            <v>-7479.466260055251</v>
          </cell>
        </row>
        <row r="49">
          <cell r="B49" t="str">
            <v>Net intangible assets</v>
          </cell>
          <cell r="C49" t="str">
            <v>NET_INTANG</v>
          </cell>
          <cell r="D49" t="str">
            <v>GBP</v>
          </cell>
          <cell r="F49">
            <v>0</v>
          </cell>
          <cell r="G49">
            <v>0</v>
          </cell>
          <cell r="H49">
            <v>0</v>
          </cell>
          <cell r="I49">
            <v>0</v>
          </cell>
          <cell r="J49">
            <v>0</v>
          </cell>
          <cell r="K49">
            <v>0</v>
          </cell>
          <cell r="L49">
            <v>0</v>
          </cell>
          <cell r="M49">
            <v>0</v>
          </cell>
          <cell r="N49">
            <v>322</v>
          </cell>
          <cell r="O49">
            <v>6365</v>
          </cell>
          <cell r="P49">
            <v>7356</v>
          </cell>
          <cell r="Q49">
            <v>6909</v>
          </cell>
          <cell r="R49">
            <v>6417</v>
          </cell>
          <cell r="S49">
            <v>6000</v>
          </cell>
          <cell r="T49">
            <v>5647</v>
          </cell>
          <cell r="W49">
            <v>8217</v>
          </cell>
          <cell r="Z49">
            <v>7595</v>
          </cell>
          <cell r="AC49">
            <v>9559</v>
          </cell>
          <cell r="AF49">
            <v>12306</v>
          </cell>
          <cell r="AI49">
            <v>11306</v>
          </cell>
          <cell r="AL49">
            <v>11216</v>
          </cell>
          <cell r="AO49">
            <v>11465</v>
          </cell>
          <cell r="AP49">
            <v>10928</v>
          </cell>
          <cell r="AQ49">
            <v>10621.879916980231</v>
          </cell>
          <cell r="AR49">
            <v>10365.504712213036</v>
          </cell>
          <cell r="AS49">
            <v>10105.073342060001</v>
          </cell>
          <cell r="AT49">
            <v>9840.9714292834142</v>
          </cell>
          <cell r="AU49">
            <v>9569.5849657621566</v>
          </cell>
          <cell r="AV49">
            <v>9267.2728273245648</v>
          </cell>
          <cell r="AW49">
            <v>8938.6866536494726</v>
          </cell>
          <cell r="AX49">
            <v>8605.0787795920551</v>
          </cell>
        </row>
        <row r="50">
          <cell r="B50" t="str">
            <v>Equity method investments</v>
          </cell>
          <cell r="C50" t="str">
            <v>FIX_ASS_INV</v>
          </cell>
          <cell r="D50" t="str">
            <v>GBP</v>
          </cell>
          <cell r="F50">
            <v>388</v>
          </cell>
          <cell r="G50">
            <v>430</v>
          </cell>
          <cell r="H50">
            <v>431</v>
          </cell>
          <cell r="I50">
            <v>425</v>
          </cell>
          <cell r="J50">
            <v>451</v>
          </cell>
          <cell r="K50">
            <v>280</v>
          </cell>
          <cell r="L50">
            <v>657</v>
          </cell>
          <cell r="M50">
            <v>735</v>
          </cell>
          <cell r="N50">
            <v>596</v>
          </cell>
          <cell r="O50">
            <v>660</v>
          </cell>
          <cell r="P50">
            <v>728</v>
          </cell>
          <cell r="Q50">
            <v>1457</v>
          </cell>
          <cell r="R50">
            <v>1526</v>
          </cell>
          <cell r="S50">
            <v>1710</v>
          </cell>
          <cell r="T50">
            <v>1674</v>
          </cell>
          <cell r="W50">
            <v>1948</v>
          </cell>
          <cell r="Z50">
            <v>671</v>
          </cell>
          <cell r="AC50">
            <v>781</v>
          </cell>
          <cell r="AF50">
            <v>1034</v>
          </cell>
          <cell r="AI50">
            <v>846</v>
          </cell>
          <cell r="AL50">
            <v>787</v>
          </cell>
          <cell r="AO50">
            <v>783</v>
          </cell>
          <cell r="AP50">
            <v>265</v>
          </cell>
          <cell r="AQ50">
            <v>265</v>
          </cell>
          <cell r="AR50">
            <v>265</v>
          </cell>
          <cell r="AS50">
            <v>265</v>
          </cell>
          <cell r="AT50">
            <v>265</v>
          </cell>
          <cell r="AU50">
            <v>265</v>
          </cell>
          <cell r="AV50">
            <v>265</v>
          </cell>
          <cell r="AW50">
            <v>265</v>
          </cell>
          <cell r="AX50">
            <v>265</v>
          </cell>
        </row>
        <row r="51">
          <cell r="B51" t="str">
            <v>Investments in securities</v>
          </cell>
          <cell r="C51" t="str">
            <v>INV_SECUR</v>
          </cell>
          <cell r="D51" t="str">
            <v>GBP</v>
          </cell>
          <cell r="Z51">
            <v>134</v>
          </cell>
          <cell r="AC51">
            <v>119</v>
          </cell>
          <cell r="AF51">
            <v>118</v>
          </cell>
          <cell r="AI51">
            <v>117</v>
          </cell>
          <cell r="AL51">
            <v>145</v>
          </cell>
          <cell r="AO51">
            <v>135</v>
          </cell>
          <cell r="AP51">
            <v>127</v>
          </cell>
          <cell r="AQ51">
            <v>127</v>
          </cell>
          <cell r="AR51">
            <v>127</v>
          </cell>
          <cell r="AS51">
            <v>127</v>
          </cell>
          <cell r="AT51">
            <v>127</v>
          </cell>
          <cell r="AU51">
            <v>127</v>
          </cell>
          <cell r="AV51">
            <v>127</v>
          </cell>
          <cell r="AW51">
            <v>127</v>
          </cell>
          <cell r="AX51">
            <v>127</v>
          </cell>
        </row>
        <row r="52">
          <cell r="B52" t="str">
            <v>Other long-term assets</v>
          </cell>
          <cell r="C52" t="str">
            <v>OTH_LT_ASS</v>
          </cell>
          <cell r="D52" t="str">
            <v>GBP</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W52">
            <v>2715</v>
          </cell>
          <cell r="Z52">
            <v>1697</v>
          </cell>
          <cell r="AC52">
            <v>937</v>
          </cell>
          <cell r="AF52">
            <v>1702</v>
          </cell>
          <cell r="AI52">
            <v>1865</v>
          </cell>
          <cell r="AL52">
            <v>1552</v>
          </cell>
          <cell r="AO52">
            <v>1841</v>
          </cell>
          <cell r="AP52">
            <v>1691</v>
          </cell>
          <cell r="AQ52">
            <v>1566.8411113522898</v>
          </cell>
          <cell r="AR52">
            <v>1467.5140004341229</v>
          </cell>
          <cell r="AS52">
            <v>1318.5233340568684</v>
          </cell>
          <cell r="AT52">
            <v>1169.5326676796167</v>
          </cell>
          <cell r="AU52">
            <v>1020.5420013023668</v>
          </cell>
          <cell r="AV52">
            <v>921.21489038419895</v>
          </cell>
          <cell r="AW52">
            <v>821.88777946603113</v>
          </cell>
          <cell r="AX52">
            <v>722.5606685478615</v>
          </cell>
        </row>
        <row r="53">
          <cell r="B53" t="str">
            <v>Total assets</v>
          </cell>
          <cell r="C53" t="str">
            <v>TOT_ASSET</v>
          </cell>
          <cell r="D53" t="str">
            <v>GBP</v>
          </cell>
          <cell r="F53">
            <v>9291</v>
          </cell>
          <cell r="G53">
            <v>10168</v>
          </cell>
          <cell r="H53">
            <v>10882</v>
          </cell>
          <cell r="I53">
            <v>10834</v>
          </cell>
          <cell r="J53">
            <v>7872</v>
          </cell>
          <cell r="K53">
            <v>7645</v>
          </cell>
          <cell r="L53">
            <v>7725</v>
          </cell>
          <cell r="M53">
            <v>7820</v>
          </cell>
          <cell r="N53">
            <v>9050</v>
          </cell>
          <cell r="O53">
            <v>17434</v>
          </cell>
          <cell r="P53">
            <v>17393</v>
          </cell>
          <cell r="Q53">
            <v>17206</v>
          </cell>
          <cell r="R53">
            <v>15604</v>
          </cell>
          <cell r="S53">
            <v>15362</v>
          </cell>
          <cell r="T53">
            <v>15212</v>
          </cell>
          <cell r="W53">
            <v>20235</v>
          </cell>
          <cell r="Z53">
            <v>18147</v>
          </cell>
          <cell r="AC53">
            <v>20260</v>
          </cell>
          <cell r="AF53">
            <v>25675</v>
          </cell>
          <cell r="AI53">
            <v>25489</v>
          </cell>
          <cell r="AL53">
            <v>24030</v>
          </cell>
          <cell r="AO53">
            <v>23101</v>
          </cell>
          <cell r="AP53">
            <v>22274</v>
          </cell>
          <cell r="AQ53">
            <v>20345.202025688974</v>
          </cell>
          <cell r="AR53">
            <v>19701.242837134101</v>
          </cell>
          <cell r="AS53">
            <v>19037.615193707683</v>
          </cell>
          <cell r="AT53">
            <v>18697.29768582114</v>
          </cell>
          <cell r="AU53">
            <v>18511.703760635217</v>
          </cell>
          <cell r="AV53">
            <v>18816.796513065463</v>
          </cell>
          <cell r="AW53">
            <v>19026.339695774099</v>
          </cell>
          <cell r="AX53">
            <v>18657.641594002038</v>
          </cell>
        </row>
        <row r="54">
          <cell r="B54" t="str">
            <v>Accounts payable</v>
          </cell>
          <cell r="C54" t="str">
            <v>ACC_PAY_GQ</v>
          </cell>
          <cell r="D54" t="str">
            <v>GBP</v>
          </cell>
          <cell r="F54">
            <v>4402</v>
          </cell>
          <cell r="G54">
            <v>4208</v>
          </cell>
          <cell r="H54">
            <v>4051</v>
          </cell>
          <cell r="I54">
            <v>4053</v>
          </cell>
          <cell r="J54">
            <v>3120</v>
          </cell>
          <cell r="K54">
            <v>3335</v>
          </cell>
          <cell r="L54">
            <v>3256</v>
          </cell>
          <cell r="M54">
            <v>3445</v>
          </cell>
          <cell r="N54">
            <v>4069</v>
          </cell>
          <cell r="O54">
            <v>4772</v>
          </cell>
          <cell r="P54">
            <v>4670</v>
          </cell>
          <cell r="Q54">
            <v>5251</v>
          </cell>
          <cell r="R54">
            <v>5468</v>
          </cell>
          <cell r="S54">
            <v>5841</v>
          </cell>
          <cell r="T54">
            <v>6547</v>
          </cell>
          <cell r="W54">
            <v>6953</v>
          </cell>
          <cell r="Z54">
            <v>6717</v>
          </cell>
          <cell r="AC54">
            <v>8245</v>
          </cell>
          <cell r="AF54">
            <v>9165</v>
          </cell>
          <cell r="AI54">
            <v>10381</v>
          </cell>
          <cell r="AL54">
            <v>9352</v>
          </cell>
          <cell r="AO54">
            <v>8531</v>
          </cell>
          <cell r="AP54">
            <v>9548</v>
          </cell>
          <cell r="AQ54">
            <v>8048</v>
          </cell>
          <cell r="AR54">
            <v>7734.2097584441954</v>
          </cell>
          <cell r="AS54">
            <v>7916.2766915071297</v>
          </cell>
          <cell r="AT54">
            <v>8091.4066204457031</v>
          </cell>
          <cell r="AU54">
            <v>8368.5950457712315</v>
          </cell>
          <cell r="AV54">
            <v>9302.9526065904302</v>
          </cell>
          <cell r="AW54">
            <v>10027.289673316811</v>
          </cell>
          <cell r="AX54">
            <v>10165.730673796312</v>
          </cell>
          <cell r="AY54" t="str">
            <v>CH: should we be including long term payables and receivables in here too?</v>
          </cell>
        </row>
        <row r="55">
          <cell r="B55" t="str">
            <v>Short-term debt</v>
          </cell>
          <cell r="C55" t="str">
            <v>SHORT_T_DEBT</v>
          </cell>
          <cell r="D55" t="str">
            <v>GBP</v>
          </cell>
          <cell r="F55">
            <v>223</v>
          </cell>
          <cell r="G55">
            <v>314</v>
          </cell>
          <cell r="H55">
            <v>342</v>
          </cell>
          <cell r="I55">
            <v>908</v>
          </cell>
          <cell r="J55">
            <v>156</v>
          </cell>
          <cell r="K55">
            <v>192</v>
          </cell>
          <cell r="L55">
            <v>440</v>
          </cell>
          <cell r="M55">
            <v>170</v>
          </cell>
          <cell r="N55">
            <v>264</v>
          </cell>
          <cell r="O55">
            <v>2124</v>
          </cell>
          <cell r="P55">
            <v>2470</v>
          </cell>
          <cell r="Q55">
            <v>1286</v>
          </cell>
          <cell r="R55">
            <v>1091</v>
          </cell>
          <cell r="S55">
            <v>784</v>
          </cell>
          <cell r="T55">
            <v>737</v>
          </cell>
          <cell r="W55">
            <v>958</v>
          </cell>
          <cell r="Z55">
            <v>334</v>
          </cell>
          <cell r="AC55">
            <v>299</v>
          </cell>
          <cell r="AF55">
            <v>173</v>
          </cell>
          <cell r="AI55">
            <v>453</v>
          </cell>
          <cell r="AL55">
            <v>920</v>
          </cell>
          <cell r="AO55">
            <v>518</v>
          </cell>
          <cell r="AP55">
            <v>21</v>
          </cell>
          <cell r="AQ55">
            <v>21</v>
          </cell>
          <cell r="AR55">
            <v>21</v>
          </cell>
          <cell r="AS55">
            <v>21</v>
          </cell>
          <cell r="AT55">
            <v>21</v>
          </cell>
          <cell r="AU55">
            <v>21</v>
          </cell>
          <cell r="AV55">
            <v>21</v>
          </cell>
          <cell r="AW55">
            <v>21</v>
          </cell>
          <cell r="AX55">
            <v>21</v>
          </cell>
        </row>
        <row r="56">
          <cell r="B56" t="str">
            <v>Other current liabilities</v>
          </cell>
          <cell r="C56" t="str">
            <v>OTH_CUR_LIABS</v>
          </cell>
          <cell r="D56" t="str">
            <v>GBP</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W56">
            <v>740</v>
          </cell>
          <cell r="Z56">
            <v>891</v>
          </cell>
          <cell r="AC56">
            <v>1010</v>
          </cell>
          <cell r="AF56">
            <v>1452</v>
          </cell>
          <cell r="AI56">
            <v>1305</v>
          </cell>
          <cell r="AL56">
            <v>1386</v>
          </cell>
          <cell r="AO56">
            <v>1226</v>
          </cell>
          <cell r="AP56">
            <v>829</v>
          </cell>
          <cell r="AQ56">
            <v>829</v>
          </cell>
          <cell r="AR56">
            <v>828.99999999999909</v>
          </cell>
          <cell r="AS56">
            <v>829</v>
          </cell>
          <cell r="AT56">
            <v>829</v>
          </cell>
          <cell r="AU56">
            <v>829</v>
          </cell>
          <cell r="AV56">
            <v>829</v>
          </cell>
          <cell r="AW56">
            <v>829</v>
          </cell>
          <cell r="AX56">
            <v>829</v>
          </cell>
        </row>
        <row r="57">
          <cell r="B57" t="str">
            <v>Total current liabilities</v>
          </cell>
          <cell r="C57" t="str">
            <v>SHORT_TERM_LIABS</v>
          </cell>
          <cell r="D57" t="str">
            <v>GBP</v>
          </cell>
          <cell r="F57">
            <v>4625</v>
          </cell>
          <cell r="G57">
            <v>4522</v>
          </cell>
          <cell r="H57">
            <v>4393</v>
          </cell>
          <cell r="I57">
            <v>4961</v>
          </cell>
          <cell r="J57">
            <v>3276</v>
          </cell>
          <cell r="K57">
            <v>3527</v>
          </cell>
          <cell r="L57">
            <v>3696</v>
          </cell>
          <cell r="M57">
            <v>3615</v>
          </cell>
          <cell r="N57">
            <v>4333</v>
          </cell>
          <cell r="O57">
            <v>6896</v>
          </cell>
          <cell r="P57">
            <v>7140</v>
          </cell>
          <cell r="Q57">
            <v>6537</v>
          </cell>
          <cell r="R57">
            <v>6559</v>
          </cell>
          <cell r="S57">
            <v>6625</v>
          </cell>
          <cell r="T57">
            <v>7284</v>
          </cell>
          <cell r="W57">
            <v>8651</v>
          </cell>
          <cell r="Z57">
            <v>7942</v>
          </cell>
          <cell r="AC57">
            <v>9554</v>
          </cell>
          <cell r="AF57">
            <v>10790</v>
          </cell>
          <cell r="AI57">
            <v>12139</v>
          </cell>
          <cell r="AL57">
            <v>11658</v>
          </cell>
          <cell r="AO57">
            <v>10275</v>
          </cell>
          <cell r="AP57">
            <v>10398</v>
          </cell>
          <cell r="AQ57">
            <v>8898</v>
          </cell>
          <cell r="AR57">
            <v>8584.2097584441944</v>
          </cell>
          <cell r="AS57">
            <v>8766.2766915071297</v>
          </cell>
          <cell r="AT57">
            <v>8941.4066204457031</v>
          </cell>
          <cell r="AU57">
            <v>9218.5950457712315</v>
          </cell>
          <cell r="AV57">
            <v>10152.95260659043</v>
          </cell>
          <cell r="AW57">
            <v>10877.289673316811</v>
          </cell>
          <cell r="AX57">
            <v>11015.730673796312</v>
          </cell>
          <cell r="AY57" t="str">
            <v>CH: we includes non current working capital in here in order t get our working capital calculation working</v>
          </cell>
        </row>
        <row r="58">
          <cell r="B58" t="str">
            <v>Long-term  debt</v>
          </cell>
          <cell r="C58" t="str">
            <v>LT_DEBT</v>
          </cell>
          <cell r="D58" t="str">
            <v>GBP</v>
          </cell>
          <cell r="F58">
            <v>925</v>
          </cell>
          <cell r="G58">
            <v>1036</v>
          </cell>
          <cell r="H58">
            <v>1386</v>
          </cell>
          <cell r="I58">
            <v>1438</v>
          </cell>
          <cell r="J58">
            <v>1142</v>
          </cell>
          <cell r="K58">
            <v>1093</v>
          </cell>
          <cell r="L58">
            <v>691</v>
          </cell>
          <cell r="M58">
            <v>1097</v>
          </cell>
          <cell r="N58">
            <v>898</v>
          </cell>
          <cell r="O58">
            <v>1155</v>
          </cell>
          <cell r="P58">
            <v>1063</v>
          </cell>
          <cell r="Q58">
            <v>2119</v>
          </cell>
          <cell r="R58">
            <v>1913</v>
          </cell>
          <cell r="S58">
            <v>1749</v>
          </cell>
          <cell r="T58">
            <v>1665</v>
          </cell>
          <cell r="W58">
            <v>3534</v>
          </cell>
          <cell r="Z58">
            <v>2776</v>
          </cell>
          <cell r="AC58">
            <v>2197</v>
          </cell>
          <cell r="AF58">
            <v>2608</v>
          </cell>
          <cell r="AI58">
            <v>2840</v>
          </cell>
          <cell r="AL58">
            <v>2133</v>
          </cell>
          <cell r="AO58">
            <v>2682</v>
          </cell>
          <cell r="AP58">
            <v>2967</v>
          </cell>
          <cell r="AQ58">
            <v>2967</v>
          </cell>
          <cell r="AR58">
            <v>2967</v>
          </cell>
          <cell r="AS58">
            <v>2967</v>
          </cell>
          <cell r="AT58">
            <v>2967</v>
          </cell>
          <cell r="AU58">
            <v>2967</v>
          </cell>
          <cell r="AV58">
            <v>2967</v>
          </cell>
          <cell r="AW58">
            <v>2967</v>
          </cell>
          <cell r="AX58">
            <v>2967</v>
          </cell>
        </row>
        <row r="59">
          <cell r="B59" t="str">
            <v>Other long-term liabilities</v>
          </cell>
          <cell r="C59" t="str">
            <v>OTH_LT_CRED_GQ</v>
          </cell>
          <cell r="D59" t="str">
            <v>GBP</v>
          </cell>
          <cell r="F59">
            <v>885</v>
          </cell>
          <cell r="G59">
            <v>1646</v>
          </cell>
          <cell r="H59">
            <v>3085</v>
          </cell>
          <cell r="I59">
            <v>2886</v>
          </cell>
          <cell r="J59">
            <v>2568</v>
          </cell>
          <cell r="K59">
            <v>2086</v>
          </cell>
          <cell r="L59">
            <v>1632</v>
          </cell>
          <cell r="M59">
            <v>1656</v>
          </cell>
          <cell r="N59">
            <v>1793</v>
          </cell>
          <cell r="O59">
            <v>1938</v>
          </cell>
          <cell r="P59">
            <v>1938</v>
          </cell>
          <cell r="Q59">
            <v>1892</v>
          </cell>
          <cell r="R59">
            <v>1436</v>
          </cell>
          <cell r="S59">
            <v>1382</v>
          </cell>
          <cell r="T59">
            <v>1525</v>
          </cell>
          <cell r="W59">
            <v>5246</v>
          </cell>
          <cell r="Z59">
            <v>3295</v>
          </cell>
          <cell r="AC59">
            <v>2507</v>
          </cell>
          <cell r="AF59">
            <v>4988</v>
          </cell>
          <cell r="AI59">
            <v>5847</v>
          </cell>
          <cell r="AL59">
            <v>4836</v>
          </cell>
          <cell r="AO59">
            <v>5845</v>
          </cell>
          <cell r="AP59">
            <v>5135</v>
          </cell>
          <cell r="AQ59">
            <v>4235</v>
          </cell>
          <cell r="AR59">
            <v>3835</v>
          </cell>
          <cell r="AS59">
            <v>3235</v>
          </cell>
          <cell r="AT59">
            <v>2635</v>
          </cell>
          <cell r="AU59">
            <v>2035</v>
          </cell>
          <cell r="AV59">
            <v>1635</v>
          </cell>
          <cell r="AW59">
            <v>1235</v>
          </cell>
          <cell r="AX59">
            <v>835</v>
          </cell>
        </row>
        <row r="60">
          <cell r="B60" t="str">
            <v>Total long-term liabilities</v>
          </cell>
          <cell r="C60" t="str">
            <v>TOT_LT_LIAB</v>
          </cell>
          <cell r="D60" t="str">
            <v>GBP</v>
          </cell>
          <cell r="F60">
            <v>1810</v>
          </cell>
          <cell r="G60">
            <v>2682</v>
          </cell>
          <cell r="H60">
            <v>4471</v>
          </cell>
          <cell r="I60">
            <v>4324</v>
          </cell>
          <cell r="J60">
            <v>3710</v>
          </cell>
          <cell r="K60">
            <v>3179</v>
          </cell>
          <cell r="L60">
            <v>2323</v>
          </cell>
          <cell r="M60">
            <v>2753</v>
          </cell>
          <cell r="N60">
            <v>2691</v>
          </cell>
          <cell r="O60">
            <v>3093</v>
          </cell>
          <cell r="P60">
            <v>3001</v>
          </cell>
          <cell r="Q60">
            <v>4011</v>
          </cell>
          <cell r="R60">
            <v>3349</v>
          </cell>
          <cell r="S60">
            <v>3131</v>
          </cell>
          <cell r="T60">
            <v>3190</v>
          </cell>
          <cell r="W60">
            <v>8780</v>
          </cell>
          <cell r="Z60">
            <v>6071</v>
          </cell>
          <cell r="AC60">
            <v>4704</v>
          </cell>
          <cell r="AF60">
            <v>7596</v>
          </cell>
          <cell r="AI60">
            <v>8687</v>
          </cell>
          <cell r="AL60">
            <v>6969</v>
          </cell>
          <cell r="AO60">
            <v>8527</v>
          </cell>
          <cell r="AP60">
            <v>8102</v>
          </cell>
          <cell r="AQ60">
            <v>7202</v>
          </cell>
          <cell r="AR60">
            <v>6802</v>
          </cell>
          <cell r="AS60">
            <v>6202</v>
          </cell>
          <cell r="AT60">
            <v>5602</v>
          </cell>
          <cell r="AU60">
            <v>5002</v>
          </cell>
          <cell r="AV60">
            <v>4602</v>
          </cell>
          <cell r="AW60">
            <v>4202</v>
          </cell>
          <cell r="AX60">
            <v>3802</v>
          </cell>
        </row>
        <row r="61">
          <cell r="B61" t="str">
            <v>Total liabilities</v>
          </cell>
          <cell r="C61" t="str">
            <v>TOT_LIAB</v>
          </cell>
          <cell r="D61" t="str">
            <v>GBP</v>
          </cell>
          <cell r="F61">
            <v>6435</v>
          </cell>
          <cell r="G61">
            <v>7204</v>
          </cell>
          <cell r="H61">
            <v>8864</v>
          </cell>
          <cell r="I61">
            <v>9285</v>
          </cell>
          <cell r="J61">
            <v>6986</v>
          </cell>
          <cell r="K61">
            <v>6706</v>
          </cell>
          <cell r="L61">
            <v>6019</v>
          </cell>
          <cell r="M61">
            <v>6368</v>
          </cell>
          <cell r="N61">
            <v>7024</v>
          </cell>
          <cell r="O61">
            <v>9989</v>
          </cell>
          <cell r="P61">
            <v>10141</v>
          </cell>
          <cell r="Q61">
            <v>10548</v>
          </cell>
          <cell r="R61">
            <v>9908</v>
          </cell>
          <cell r="S61">
            <v>9756</v>
          </cell>
          <cell r="T61">
            <v>10474</v>
          </cell>
          <cell r="W61">
            <v>17431</v>
          </cell>
          <cell r="Z61">
            <v>14013</v>
          </cell>
          <cell r="AC61">
            <v>14258</v>
          </cell>
          <cell r="AF61">
            <v>18386</v>
          </cell>
          <cell r="AI61">
            <v>20826</v>
          </cell>
          <cell r="AL61">
            <v>18627</v>
          </cell>
          <cell r="AO61">
            <v>18802</v>
          </cell>
          <cell r="AP61">
            <v>18500</v>
          </cell>
          <cell r="AQ61">
            <v>16100</v>
          </cell>
          <cell r="AR61">
            <v>15386.209758444194</v>
          </cell>
          <cell r="AS61">
            <v>14968.27669150713</v>
          </cell>
          <cell r="AT61">
            <v>14543.406620445703</v>
          </cell>
          <cell r="AU61">
            <v>14220.595045771232</v>
          </cell>
          <cell r="AV61">
            <v>14754.95260659043</v>
          </cell>
          <cell r="AW61">
            <v>15079.289673316811</v>
          </cell>
          <cell r="AX61">
            <v>14817.730673796312</v>
          </cell>
        </row>
        <row r="62">
          <cell r="B62" t="str">
            <v>Preferred shares</v>
          </cell>
          <cell r="C62" t="str">
            <v>PREF_SH</v>
          </cell>
          <cell r="D62" t="str">
            <v>GBP</v>
          </cell>
        </row>
        <row r="63">
          <cell r="B63" t="str">
            <v>Total common equity</v>
          </cell>
          <cell r="C63" t="str">
            <v>ORD_SH_FUND</v>
          </cell>
          <cell r="D63" t="str">
            <v>GBP</v>
          </cell>
          <cell r="F63">
            <v>2534</v>
          </cell>
          <cell r="G63">
            <v>2697</v>
          </cell>
          <cell r="H63">
            <v>1780</v>
          </cell>
          <cell r="I63">
            <v>1429</v>
          </cell>
          <cell r="J63">
            <v>876</v>
          </cell>
          <cell r="K63">
            <v>928</v>
          </cell>
          <cell r="L63">
            <v>1693</v>
          </cell>
          <cell r="M63">
            <v>1452</v>
          </cell>
          <cell r="N63">
            <v>2020</v>
          </cell>
          <cell r="O63">
            <v>7360</v>
          </cell>
          <cell r="P63">
            <v>7152</v>
          </cell>
          <cell r="Q63">
            <v>6638</v>
          </cell>
          <cell r="R63">
            <v>5676</v>
          </cell>
          <cell r="S63">
            <v>5591</v>
          </cell>
          <cell r="T63">
            <v>4724</v>
          </cell>
          <cell r="W63">
            <v>2788</v>
          </cell>
          <cell r="Z63">
            <v>4117</v>
          </cell>
          <cell r="AC63">
            <v>5966</v>
          </cell>
          <cell r="AF63">
            <v>7234</v>
          </cell>
          <cell r="AI63">
            <v>4591</v>
          </cell>
          <cell r="AL63">
            <v>5332</v>
          </cell>
          <cell r="AO63">
            <v>4240</v>
          </cell>
          <cell r="AP63">
            <v>3720</v>
          </cell>
          <cell r="AQ63">
            <v>4181.2020256889737</v>
          </cell>
          <cell r="AR63">
            <v>4241.0330786899049</v>
          </cell>
          <cell r="AS63">
            <v>3985.338502200555</v>
          </cell>
          <cell r="AT63">
            <v>4059.8910653754392</v>
          </cell>
          <cell r="AU63">
            <v>4187.108714863989</v>
          </cell>
          <cell r="AV63">
            <v>3947.843906475036</v>
          </cell>
          <cell r="AW63">
            <v>3823.0500224572916</v>
          </cell>
          <cell r="AX63">
            <v>3705.9109202057316</v>
          </cell>
        </row>
        <row r="64">
          <cell r="B64" t="str">
            <v>Minority interest</v>
          </cell>
          <cell r="C64" t="str">
            <v>MINORITIES</v>
          </cell>
          <cell r="D64" t="str">
            <v>GBP</v>
          </cell>
          <cell r="F64">
            <v>322</v>
          </cell>
          <cell r="G64">
            <v>267</v>
          </cell>
          <cell r="H64">
            <v>238</v>
          </cell>
          <cell r="I64">
            <v>120</v>
          </cell>
          <cell r="J64">
            <v>10</v>
          </cell>
          <cell r="K64">
            <v>11</v>
          </cell>
          <cell r="L64">
            <v>13</v>
          </cell>
          <cell r="M64">
            <v>0</v>
          </cell>
          <cell r="N64">
            <v>6</v>
          </cell>
          <cell r="O64">
            <v>85</v>
          </cell>
          <cell r="P64">
            <v>100</v>
          </cell>
          <cell r="Q64">
            <v>20</v>
          </cell>
          <cell r="R64">
            <v>20</v>
          </cell>
          <cell r="S64">
            <v>15</v>
          </cell>
          <cell r="T64">
            <v>14</v>
          </cell>
          <cell r="W64">
            <v>16</v>
          </cell>
          <cell r="Z64">
            <v>17</v>
          </cell>
          <cell r="AC64">
            <v>36</v>
          </cell>
          <cell r="AF64">
            <v>55</v>
          </cell>
          <cell r="AI64">
            <v>72</v>
          </cell>
          <cell r="AL64">
            <v>71</v>
          </cell>
          <cell r="AO64">
            <v>59</v>
          </cell>
          <cell r="AP64">
            <v>54</v>
          </cell>
          <cell r="AQ64">
            <v>64</v>
          </cell>
          <cell r="AR64">
            <v>74</v>
          </cell>
          <cell r="AS64">
            <v>84</v>
          </cell>
          <cell r="AT64">
            <v>94</v>
          </cell>
          <cell r="AU64">
            <v>104</v>
          </cell>
          <cell r="AV64">
            <v>114</v>
          </cell>
          <cell r="AW64">
            <v>124</v>
          </cell>
          <cell r="AX64">
            <v>134</v>
          </cell>
        </row>
        <row r="65">
          <cell r="B65" t="str">
            <v>Total shareholders' equity</v>
          </cell>
          <cell r="C65" t="str">
            <v>EQ</v>
          </cell>
          <cell r="D65" t="str">
            <v>GBP</v>
          </cell>
          <cell r="F65">
            <v>2856</v>
          </cell>
          <cell r="G65">
            <v>2964</v>
          </cell>
          <cell r="H65">
            <v>2018</v>
          </cell>
          <cell r="I65">
            <v>1549</v>
          </cell>
          <cell r="J65">
            <v>886</v>
          </cell>
          <cell r="K65">
            <v>939</v>
          </cell>
          <cell r="L65">
            <v>1706</v>
          </cell>
          <cell r="M65">
            <v>1452</v>
          </cell>
          <cell r="N65">
            <v>2026</v>
          </cell>
          <cell r="O65">
            <v>7445</v>
          </cell>
          <cell r="P65">
            <v>7252</v>
          </cell>
          <cell r="Q65">
            <v>6658</v>
          </cell>
          <cell r="R65">
            <v>5696</v>
          </cell>
          <cell r="S65">
            <v>5606</v>
          </cell>
          <cell r="T65">
            <v>4738</v>
          </cell>
          <cell r="W65">
            <v>2804</v>
          </cell>
          <cell r="Z65">
            <v>4134</v>
          </cell>
          <cell r="AC65">
            <v>6002</v>
          </cell>
          <cell r="AF65">
            <v>7289</v>
          </cell>
          <cell r="AI65">
            <v>4663</v>
          </cell>
          <cell r="AL65">
            <v>5403</v>
          </cell>
          <cell r="AO65">
            <v>4299</v>
          </cell>
          <cell r="AP65">
            <v>3774</v>
          </cell>
          <cell r="AQ65">
            <v>4245.2020256889737</v>
          </cell>
          <cell r="AR65">
            <v>4315.0330786899049</v>
          </cell>
          <cell r="AS65">
            <v>4069.338502200555</v>
          </cell>
          <cell r="AT65">
            <v>4153.8910653754392</v>
          </cell>
          <cell r="AU65">
            <v>4291.108714863989</v>
          </cell>
          <cell r="AV65">
            <v>4061.843906475036</v>
          </cell>
          <cell r="AW65">
            <v>3947.0500224572916</v>
          </cell>
          <cell r="AX65">
            <v>3839.9109202057316</v>
          </cell>
        </row>
        <row r="66">
          <cell r="B66" t="str">
            <v>Total liabilities and equity</v>
          </cell>
          <cell r="C66" t="str">
            <v>TOT_LIAB_EQ</v>
          </cell>
          <cell r="D66" t="str">
            <v>GBP</v>
          </cell>
          <cell r="F66">
            <v>9291</v>
          </cell>
          <cell r="G66">
            <v>10168</v>
          </cell>
          <cell r="H66">
            <v>10882</v>
          </cell>
          <cell r="I66">
            <v>10834</v>
          </cell>
          <cell r="J66">
            <v>7872</v>
          </cell>
          <cell r="K66">
            <v>7645</v>
          </cell>
          <cell r="L66">
            <v>7725</v>
          </cell>
          <cell r="M66">
            <v>7820</v>
          </cell>
          <cell r="N66">
            <v>9050</v>
          </cell>
          <cell r="O66">
            <v>17434</v>
          </cell>
          <cell r="P66">
            <v>17393</v>
          </cell>
          <cell r="Q66">
            <v>17206</v>
          </cell>
          <cell r="R66">
            <v>15604</v>
          </cell>
          <cell r="S66">
            <v>15362</v>
          </cell>
          <cell r="T66">
            <v>15212</v>
          </cell>
          <cell r="W66">
            <v>20235</v>
          </cell>
          <cell r="Z66">
            <v>18147</v>
          </cell>
          <cell r="AC66">
            <v>20260</v>
          </cell>
          <cell r="AF66">
            <v>25675</v>
          </cell>
          <cell r="AI66">
            <v>25489</v>
          </cell>
          <cell r="AL66">
            <v>24030</v>
          </cell>
          <cell r="AO66">
            <v>23101</v>
          </cell>
          <cell r="AP66">
            <v>22274</v>
          </cell>
          <cell r="AQ66">
            <v>20345.202025688974</v>
          </cell>
          <cell r="AR66">
            <v>19701.242837134101</v>
          </cell>
          <cell r="AS66">
            <v>19037.615193707687</v>
          </cell>
          <cell r="AT66">
            <v>18697.29768582114</v>
          </cell>
          <cell r="AU66">
            <v>18511.703760635221</v>
          </cell>
          <cell r="AV66">
            <v>18816.796513065467</v>
          </cell>
          <cell r="AW66">
            <v>19026.339695774102</v>
          </cell>
          <cell r="AX66">
            <v>18657.641594002045</v>
          </cell>
        </row>
        <row r="67">
          <cell r="A67" t="str">
            <v>Additional Balance Sheet Items</v>
          </cell>
        </row>
        <row r="68">
          <cell r="B68" t="str">
            <v>Net debt</v>
          </cell>
          <cell r="C68" t="str">
            <v>NET_DEBT</v>
          </cell>
          <cell r="D68" t="str">
            <v>GBP</v>
          </cell>
          <cell r="F68">
            <v>-711</v>
          </cell>
          <cell r="G68">
            <v>-323</v>
          </cell>
          <cell r="H68">
            <v>91</v>
          </cell>
          <cell r="I68">
            <v>897</v>
          </cell>
          <cell r="J68">
            <v>-170</v>
          </cell>
          <cell r="K68">
            <v>-228</v>
          </cell>
          <cell r="L68">
            <v>-748</v>
          </cell>
          <cell r="M68">
            <v>-788</v>
          </cell>
          <cell r="N68">
            <v>-212</v>
          </cell>
          <cell r="O68">
            <v>755</v>
          </cell>
          <cell r="P68">
            <v>899</v>
          </cell>
          <cell r="Q68">
            <v>831</v>
          </cell>
          <cell r="R68">
            <v>1298</v>
          </cell>
          <cell r="S68">
            <v>870</v>
          </cell>
          <cell r="T68">
            <v>-5</v>
          </cell>
          <cell r="W68">
            <v>1277</v>
          </cell>
          <cell r="Z68">
            <v>-435</v>
          </cell>
          <cell r="AC68">
            <v>-700</v>
          </cell>
          <cell r="AF68">
            <v>-39</v>
          </cell>
          <cell r="AI68">
            <v>-404</v>
          </cell>
          <cell r="AL68">
            <v>241.30000000000018</v>
          </cell>
          <cell r="AO68">
            <v>1438.6</v>
          </cell>
          <cell r="AP68">
            <v>-387</v>
          </cell>
          <cell r="AQ68">
            <v>1215.1695093334556</v>
          </cell>
          <cell r="AR68">
            <v>1322.5785680416561</v>
          </cell>
          <cell r="AS68">
            <v>1657.9416254847063</v>
          </cell>
          <cell r="AT68">
            <v>1694.3627524558158</v>
          </cell>
          <cell r="AU68">
            <v>1649.2087462269742</v>
          </cell>
          <cell r="AV68">
            <v>1476.959336441648</v>
          </cell>
          <cell r="AW68">
            <v>1278.0405277688492</v>
          </cell>
          <cell r="AX68">
            <v>1378.4058762306372</v>
          </cell>
          <cell r="AY68" t="str">
            <v>CH: Company defined Net Debt</v>
          </cell>
        </row>
        <row r="69">
          <cell r="B69" t="str">
            <v>Capitalized leases</v>
          </cell>
          <cell r="C69" t="str">
            <v>CAP_LEASES</v>
          </cell>
          <cell r="D69" t="str">
            <v>GBP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Z69">
            <v>0</v>
          </cell>
          <cell r="AC69">
            <v>0</v>
          </cell>
          <cell r="AF69">
            <v>0</v>
          </cell>
          <cell r="AI69">
            <v>0</v>
          </cell>
          <cell r="AL69">
            <v>0</v>
          </cell>
          <cell r="AO69">
            <v>0</v>
          </cell>
          <cell r="AP69">
            <v>0</v>
          </cell>
          <cell r="AQ69">
            <v>0</v>
          </cell>
          <cell r="AR69">
            <v>0</v>
          </cell>
          <cell r="AS69">
            <v>0</v>
          </cell>
          <cell r="AT69">
            <v>0</v>
          </cell>
          <cell r="AU69">
            <v>0</v>
          </cell>
          <cell r="AV69">
            <v>0</v>
          </cell>
          <cell r="AW69">
            <v>0</v>
          </cell>
          <cell r="AX69">
            <v>0</v>
          </cell>
        </row>
        <row r="70">
          <cell r="B70" t="str">
            <v>Deferred income taxes</v>
          </cell>
          <cell r="C70" t="str">
            <v>DEF_INC_TAX</v>
          </cell>
          <cell r="D70" t="str">
            <v>GBP</v>
          </cell>
        </row>
        <row r="71">
          <cell r="B71" t="str">
            <v>Associates (mkt value) used in EV calculation</v>
          </cell>
          <cell r="C71" t="str">
            <v>MV_ASSOCIATES</v>
          </cell>
          <cell r="D71" t="str">
            <v>GBP</v>
          </cell>
          <cell r="F71">
            <v>388</v>
          </cell>
          <cell r="G71">
            <v>430</v>
          </cell>
          <cell r="H71">
            <v>431</v>
          </cell>
          <cell r="I71">
            <v>425</v>
          </cell>
          <cell r="J71">
            <v>451</v>
          </cell>
          <cell r="K71">
            <v>280</v>
          </cell>
          <cell r="L71">
            <v>759</v>
          </cell>
          <cell r="M71">
            <v>897</v>
          </cell>
          <cell r="N71">
            <v>870.75167785234896</v>
          </cell>
          <cell r="O71">
            <v>564.88308724832211</v>
          </cell>
          <cell r="P71">
            <v>658.01677852348996</v>
          </cell>
          <cell r="Q71">
            <v>2401.3157101766883</v>
          </cell>
          <cell r="R71">
            <v>1123.3347149242593</v>
          </cell>
          <cell r="S71">
            <v>2162.615522472765</v>
          </cell>
          <cell r="T71">
            <v>2367.6865255402699</v>
          </cell>
          <cell r="W71">
            <v>3608.266304347826</v>
          </cell>
          <cell r="AY71" t="str">
            <v>CH: haven't done yeat - do with valuation</v>
          </cell>
        </row>
        <row r="72">
          <cell r="B72" t="str">
            <v>Net debt adjustment</v>
          </cell>
          <cell r="C72" t="str">
            <v>NET_DEBT_ADJ</v>
          </cell>
          <cell r="D72" t="str">
            <v>GBP</v>
          </cell>
          <cell r="Z72">
            <v>-445</v>
          </cell>
          <cell r="AC72">
            <v>-134</v>
          </cell>
          <cell r="AF72">
            <v>-196</v>
          </cell>
          <cell r="AI72">
            <v>-3</v>
          </cell>
          <cell r="AL72">
            <v>2</v>
          </cell>
          <cell r="AO72">
            <v>380</v>
          </cell>
          <cell r="AP72">
            <v>-20</v>
          </cell>
          <cell r="AQ72">
            <v>-22</v>
          </cell>
          <cell r="AR72">
            <v>-22</v>
          </cell>
          <cell r="AS72">
            <v>-22</v>
          </cell>
          <cell r="AT72">
            <v>-22</v>
          </cell>
          <cell r="AU72">
            <v>-22</v>
          </cell>
          <cell r="AV72">
            <v>-22</v>
          </cell>
          <cell r="AW72">
            <v>-22</v>
          </cell>
          <cell r="AX72">
            <v>-22</v>
          </cell>
          <cell r="AY72" t="str">
            <v>NK: Balancing to fix validation</v>
          </cell>
        </row>
        <row r="73">
          <cell r="B73" t="str">
            <v>Company borrowing margin</v>
          </cell>
          <cell r="C73" t="str">
            <v>CO_BOR_MARGIN</v>
          </cell>
        </row>
        <row r="74">
          <cell r="B74" t="str">
            <v>Unfunded pensions &amp; other provisions</v>
          </cell>
          <cell r="C74" t="str">
            <v>UNF_PENS</v>
          </cell>
          <cell r="D74" t="str">
            <v>GBP</v>
          </cell>
          <cell r="F74">
            <v>-108</v>
          </cell>
          <cell r="G74">
            <v>-147</v>
          </cell>
          <cell r="H74">
            <v>-122</v>
          </cell>
          <cell r="I74">
            <v>-12</v>
          </cell>
          <cell r="J74">
            <v>0</v>
          </cell>
          <cell r="K74">
            <v>0</v>
          </cell>
          <cell r="L74">
            <v>0</v>
          </cell>
          <cell r="M74">
            <v>0</v>
          </cell>
          <cell r="N74">
            <v>0</v>
          </cell>
          <cell r="O74">
            <v>0</v>
          </cell>
          <cell r="P74">
            <v>0</v>
          </cell>
          <cell r="Q74">
            <v>-267</v>
          </cell>
          <cell r="R74">
            <v>-1105</v>
          </cell>
          <cell r="S74">
            <v>-1094.5</v>
          </cell>
          <cell r="T74">
            <v>-1538.5</v>
          </cell>
          <cell r="W74">
            <v>-1384</v>
          </cell>
          <cell r="AY74" t="str">
            <v>CH: haven't done yeat - do with valuation</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cell r="F76">
            <v>108</v>
          </cell>
          <cell r="G76">
            <v>147</v>
          </cell>
          <cell r="H76">
            <v>122</v>
          </cell>
          <cell r="I76">
            <v>12</v>
          </cell>
          <cell r="J76">
            <v>0</v>
          </cell>
          <cell r="K76">
            <v>0</v>
          </cell>
          <cell r="L76">
            <v>0</v>
          </cell>
          <cell r="M76">
            <v>0</v>
          </cell>
          <cell r="N76">
            <v>0</v>
          </cell>
          <cell r="O76">
            <v>0</v>
          </cell>
          <cell r="P76">
            <v>0</v>
          </cell>
          <cell r="Q76">
            <v>267</v>
          </cell>
          <cell r="R76">
            <v>1105</v>
          </cell>
          <cell r="S76">
            <v>1094.5</v>
          </cell>
          <cell r="T76">
            <v>1538.5</v>
          </cell>
          <cell r="W76">
            <v>1384</v>
          </cell>
          <cell r="Z76">
            <v>1657.5302120848339</v>
          </cell>
          <cell r="AC76">
            <v>1066.9060773480662</v>
          </cell>
          <cell r="AF76">
            <v>2223.2540861812777</v>
          </cell>
          <cell r="AI76">
            <v>3062.2120111134855</v>
          </cell>
          <cell r="AL76">
            <v>2181.0810185185182</v>
          </cell>
          <cell r="AO76">
            <v>3098.9039161138453</v>
          </cell>
          <cell r="AP76">
            <v>3427.6709355328849</v>
          </cell>
          <cell r="AQ76">
            <v>3051.8298241805946</v>
          </cell>
          <cell r="AR76">
            <v>2751.1569350987629</v>
          </cell>
          <cell r="AS76">
            <v>2300.1476014760146</v>
          </cell>
          <cell r="AT76">
            <v>1849.1382678532668</v>
          </cell>
          <cell r="AU76">
            <v>1398.1289342305188</v>
          </cell>
          <cell r="AV76">
            <v>1097.4560451486868</v>
          </cell>
          <cell r="AW76">
            <v>796.78315606685487</v>
          </cell>
          <cell r="AX76">
            <v>496.1102669850228</v>
          </cell>
          <cell r="AY76" t="str">
            <v>CH: haven't done yeat - do with valuation</v>
          </cell>
        </row>
        <row r="77">
          <cell r="B77" t="str">
            <v>Adjustment for unfunded pensions &amp; goodwill</v>
          </cell>
          <cell r="C77" t="str">
            <v>ADJ_UNF_PENS_GOOD</v>
          </cell>
          <cell r="D77" t="str">
            <v>GBP</v>
          </cell>
        </row>
        <row r="78">
          <cell r="B78" t="str">
            <v>Other GCI adjustments</v>
          </cell>
          <cell r="C78" t="str">
            <v>OTH_GCI_ADJ</v>
          </cell>
          <cell r="D78" t="str">
            <v>GBP</v>
          </cell>
          <cell r="Z78">
            <v>-2</v>
          </cell>
          <cell r="AC78">
            <v>-2</v>
          </cell>
          <cell r="AF78">
            <v>-4</v>
          </cell>
          <cell r="AI78">
            <v>-18</v>
          </cell>
          <cell r="AL78">
            <v>-20</v>
          </cell>
          <cell r="AO78">
            <v>-27</v>
          </cell>
          <cell r="AP78">
            <v>-35</v>
          </cell>
          <cell r="AQ78">
            <v>-40.741578626951807</v>
          </cell>
          <cell r="AR78">
            <v>-46.259294015302366</v>
          </cell>
          <cell r="AS78">
            <v>-51.906899017413963</v>
          </cell>
          <cell r="AT78">
            <v>-57.679444657812496</v>
          </cell>
          <cell r="AU78">
            <v>-63.649741185200035</v>
          </cell>
          <cell r="AV78">
            <v>-70.28662411928866</v>
          </cell>
          <cell r="AW78">
            <v>-77.44026130549274</v>
          </cell>
          <cell r="AX78">
            <v>-84.692664631041609</v>
          </cell>
        </row>
        <row r="79">
          <cell r="B79" t="str">
            <v>GCI inflator</v>
          </cell>
          <cell r="C79" t="str">
            <v>GCI_INFL</v>
          </cell>
        </row>
        <row r="80">
          <cell r="B80" t="str">
            <v>Minority interest</v>
          </cell>
          <cell r="C80" t="str">
            <v>BAL_MINO_INT</v>
          </cell>
          <cell r="D80" t="str">
            <v>GBP</v>
          </cell>
          <cell r="F80">
            <v>322</v>
          </cell>
          <cell r="G80">
            <v>267</v>
          </cell>
          <cell r="H80">
            <v>238</v>
          </cell>
          <cell r="I80">
            <v>120</v>
          </cell>
          <cell r="J80">
            <v>10</v>
          </cell>
          <cell r="K80">
            <v>11</v>
          </cell>
          <cell r="L80">
            <v>13</v>
          </cell>
          <cell r="M80">
            <v>0</v>
          </cell>
          <cell r="N80">
            <v>6</v>
          </cell>
          <cell r="O80">
            <v>85</v>
          </cell>
          <cell r="P80">
            <v>100</v>
          </cell>
          <cell r="Q80">
            <v>20</v>
          </cell>
          <cell r="R80">
            <v>20</v>
          </cell>
          <cell r="S80">
            <v>15</v>
          </cell>
          <cell r="T80">
            <v>14</v>
          </cell>
          <cell r="W80">
            <v>16</v>
          </cell>
          <cell r="Z80">
            <v>17</v>
          </cell>
          <cell r="AC80">
            <v>36</v>
          </cell>
          <cell r="AF80">
            <v>55</v>
          </cell>
          <cell r="AI80">
            <v>72</v>
          </cell>
          <cell r="AL80">
            <v>71</v>
          </cell>
          <cell r="AO80">
            <v>59</v>
          </cell>
          <cell r="AP80">
            <v>54</v>
          </cell>
          <cell r="AQ80">
            <v>64</v>
          </cell>
          <cell r="AR80">
            <v>74</v>
          </cell>
          <cell r="AS80">
            <v>84</v>
          </cell>
          <cell r="AT80">
            <v>94</v>
          </cell>
          <cell r="AU80">
            <v>104</v>
          </cell>
          <cell r="AV80">
            <v>114</v>
          </cell>
          <cell r="AW80">
            <v>124</v>
          </cell>
          <cell r="AX80">
            <v>134</v>
          </cell>
          <cell r="AY80" t="str">
            <v>CH: haven't done yeat - do with valuation</v>
          </cell>
        </row>
        <row r="81">
          <cell r="A81" t="str">
            <v>Cash Flow Statement</v>
          </cell>
        </row>
        <row r="82">
          <cell r="B82" t="str">
            <v>Minority interest add-back</v>
          </cell>
          <cell r="C82" t="str">
            <v>CF_INC_MINORITY</v>
          </cell>
          <cell r="D82" t="str">
            <v>GBP</v>
          </cell>
          <cell r="F82">
            <v>-18</v>
          </cell>
          <cell r="G82">
            <v>51</v>
          </cell>
          <cell r="H82">
            <v>41</v>
          </cell>
          <cell r="I82">
            <v>19</v>
          </cell>
          <cell r="J82">
            <v>0</v>
          </cell>
          <cell r="K82">
            <v>-2</v>
          </cell>
          <cell r="L82">
            <v>-2</v>
          </cell>
          <cell r="M82">
            <v>0</v>
          </cell>
          <cell r="N82">
            <v>-1</v>
          </cell>
          <cell r="O82">
            <v>-4</v>
          </cell>
          <cell r="P82">
            <v>-6</v>
          </cell>
          <cell r="Q82">
            <v>-6</v>
          </cell>
          <cell r="R82">
            <v>0</v>
          </cell>
          <cell r="S82">
            <v>-2</v>
          </cell>
          <cell r="T82">
            <v>-1</v>
          </cell>
          <cell r="W82">
            <v>-2</v>
          </cell>
          <cell r="Z82">
            <v>0</v>
          </cell>
          <cell r="AC82">
            <v>0</v>
          </cell>
          <cell r="AF82">
            <v>0</v>
          </cell>
          <cell r="AI82">
            <v>0</v>
          </cell>
          <cell r="AL82">
            <v>0</v>
          </cell>
          <cell r="AO82">
            <v>0</v>
          </cell>
          <cell r="AP82">
            <v>0</v>
          </cell>
          <cell r="AQ82">
            <v>-10</v>
          </cell>
          <cell r="AR82">
            <v>-10</v>
          </cell>
          <cell r="AS82">
            <v>-10</v>
          </cell>
          <cell r="AT82">
            <v>-10</v>
          </cell>
          <cell r="AU82">
            <v>-10</v>
          </cell>
          <cell r="AV82">
            <v>-10</v>
          </cell>
          <cell r="AW82">
            <v>-10</v>
          </cell>
          <cell r="AX82">
            <v>-10</v>
          </cell>
        </row>
        <row r="83">
          <cell r="B83" t="str">
            <v>Depreciation &amp; amortization add-back</v>
          </cell>
          <cell r="C83" t="str">
            <v>DEPR_AMORT</v>
          </cell>
          <cell r="D83" t="str">
            <v>GBP</v>
          </cell>
          <cell r="F83">
            <v>280</v>
          </cell>
          <cell r="G83">
            <v>306</v>
          </cell>
          <cell r="H83">
            <v>331</v>
          </cell>
          <cell r="I83">
            <v>350</v>
          </cell>
          <cell r="J83">
            <v>190</v>
          </cell>
          <cell r="K83">
            <v>159</v>
          </cell>
          <cell r="L83">
            <v>164</v>
          </cell>
          <cell r="M83">
            <v>161</v>
          </cell>
          <cell r="N83">
            <v>138</v>
          </cell>
          <cell r="O83">
            <v>211</v>
          </cell>
          <cell r="P83">
            <v>309</v>
          </cell>
          <cell r="Q83">
            <v>239</v>
          </cell>
          <cell r="R83">
            <v>212</v>
          </cell>
          <cell r="S83">
            <v>222</v>
          </cell>
          <cell r="T83">
            <v>202</v>
          </cell>
          <cell r="W83">
            <v>402</v>
          </cell>
          <cell r="Z83">
            <v>388</v>
          </cell>
          <cell r="AC83">
            <v>462</v>
          </cell>
          <cell r="AF83">
            <v>578</v>
          </cell>
          <cell r="AI83">
            <v>627</v>
          </cell>
          <cell r="AL83">
            <v>774</v>
          </cell>
          <cell r="AO83">
            <v>642</v>
          </cell>
          <cell r="AP83">
            <v>583</v>
          </cell>
          <cell r="AQ83">
            <v>622.8549035357521</v>
          </cell>
          <cell r="AR83">
            <v>598.56988978889558</v>
          </cell>
          <cell r="AS83">
            <v>612.66050634331464</v>
          </cell>
          <cell r="AT83">
            <v>626.21425075127411</v>
          </cell>
          <cell r="AU83">
            <v>647.66655814657224</v>
          </cell>
          <cell r="AV83">
            <v>719.97883304865263</v>
          </cell>
          <cell r="AW83">
            <v>776.03709520362634</v>
          </cell>
          <cell r="AX83">
            <v>786.75139142617263</v>
          </cell>
        </row>
        <row r="84">
          <cell r="B84" t="str">
            <v>(Increase)/decrease in working capital</v>
          </cell>
          <cell r="C84" t="str">
            <v>WORK_CAP</v>
          </cell>
          <cell r="D84" t="str">
            <v>GBP</v>
          </cell>
          <cell r="F84">
            <v>-377</v>
          </cell>
          <cell r="G84">
            <v>-257</v>
          </cell>
          <cell r="H84">
            <v>151</v>
          </cell>
          <cell r="I84">
            <v>111</v>
          </cell>
          <cell r="J84">
            <v>-384</v>
          </cell>
          <cell r="K84">
            <v>-105</v>
          </cell>
          <cell r="L84">
            <v>191</v>
          </cell>
          <cell r="M84">
            <v>-315</v>
          </cell>
          <cell r="N84">
            <v>-1147</v>
          </cell>
          <cell r="O84">
            <v>-231</v>
          </cell>
          <cell r="P84">
            <v>1310</v>
          </cell>
          <cell r="Q84">
            <v>-39</v>
          </cell>
          <cell r="R84">
            <v>213</v>
          </cell>
          <cell r="S84">
            <v>148</v>
          </cell>
          <cell r="T84">
            <v>1271</v>
          </cell>
          <cell r="W84">
            <v>914</v>
          </cell>
          <cell r="Z84">
            <v>336</v>
          </cell>
          <cell r="AC84">
            <v>753</v>
          </cell>
          <cell r="AF84">
            <v>287</v>
          </cell>
          <cell r="AI84">
            <v>491</v>
          </cell>
          <cell r="AL84">
            <v>-562</v>
          </cell>
          <cell r="AO84">
            <v>-863</v>
          </cell>
          <cell r="AP84">
            <v>1384</v>
          </cell>
          <cell r="AQ84">
            <v>-1741.1802738835906</v>
          </cell>
          <cell r="AR84">
            <v>-166.83050142045386</v>
          </cell>
          <cell r="AS84">
            <v>96.798159128131488</v>
          </cell>
          <cell r="AT84">
            <v>93.110014236547499</v>
          </cell>
          <cell r="AU84">
            <v>147.37068863494233</v>
          </cell>
          <cell r="AV84">
            <v>496.76286810129193</v>
          </cell>
          <cell r="AW84">
            <v>385.10284908873496</v>
          </cell>
          <cell r="AX84">
            <v>73.603887146493093</v>
          </cell>
        </row>
        <row r="85">
          <cell r="B85" t="str">
            <v>Other operating cash flow items</v>
          </cell>
          <cell r="C85" t="str">
            <v>OTH_OP_CF</v>
          </cell>
          <cell r="D85" t="str">
            <v>GBP</v>
          </cell>
          <cell r="F85">
            <v>-87</v>
          </cell>
          <cell r="G85">
            <v>-410</v>
          </cell>
          <cell r="H85">
            <v>-308</v>
          </cell>
          <cell r="I85">
            <v>-337</v>
          </cell>
          <cell r="J85">
            <v>-205</v>
          </cell>
          <cell r="K85">
            <v>-169</v>
          </cell>
          <cell r="L85">
            <v>-111</v>
          </cell>
          <cell r="M85">
            <v>26</v>
          </cell>
          <cell r="N85">
            <v>-47</v>
          </cell>
          <cell r="O85">
            <v>-247</v>
          </cell>
          <cell r="P85">
            <v>-431</v>
          </cell>
          <cell r="Q85">
            <v>-418</v>
          </cell>
          <cell r="R85">
            <v>-999</v>
          </cell>
          <cell r="S85">
            <v>-67</v>
          </cell>
          <cell r="T85">
            <v>-33</v>
          </cell>
          <cell r="W85">
            <v>-99</v>
          </cell>
          <cell r="Z85">
            <v>-1996</v>
          </cell>
          <cell r="AC85">
            <v>-317</v>
          </cell>
          <cell r="AF85">
            <v>-1139</v>
          </cell>
          <cell r="AI85">
            <v>556.59999999999991</v>
          </cell>
          <cell r="AL85">
            <v>-331.29999999999995</v>
          </cell>
          <cell r="AO85">
            <v>-553.29999999999995</v>
          </cell>
          <cell r="AP85">
            <v>-873.40000000000009</v>
          </cell>
          <cell r="AQ85">
            <v>-714.9620003675991</v>
          </cell>
          <cell r="AR85">
            <v>-236.37613003921592</v>
          </cell>
          <cell r="AS85">
            <v>-387.63402736970374</v>
          </cell>
          <cell r="AT85">
            <v>-385.96800904079885</v>
          </cell>
          <cell r="AU85">
            <v>-381.58129550469062</v>
          </cell>
          <cell r="AV85">
            <v>-221.28156385859506</v>
          </cell>
          <cell r="AW85">
            <v>-212.95052063449771</v>
          </cell>
          <cell r="AX85">
            <v>-211.17660846981289</v>
          </cell>
        </row>
        <row r="86">
          <cell r="B86" t="str">
            <v>Cash flow from operating activities</v>
          </cell>
          <cell r="C86" t="str">
            <v>CF_OPS</v>
          </cell>
          <cell r="D86" t="str">
            <v>GBP</v>
          </cell>
          <cell r="F86">
            <v>51</v>
          </cell>
          <cell r="G86">
            <v>-169</v>
          </cell>
          <cell r="H86">
            <v>56</v>
          </cell>
          <cell r="I86">
            <v>168</v>
          </cell>
          <cell r="J86">
            <v>-310</v>
          </cell>
          <cell r="K86">
            <v>91</v>
          </cell>
          <cell r="L86">
            <v>561</v>
          </cell>
          <cell r="M86">
            <v>306</v>
          </cell>
          <cell r="N86">
            <v>-543</v>
          </cell>
          <cell r="O86">
            <v>306</v>
          </cell>
          <cell r="P86">
            <v>1756</v>
          </cell>
          <cell r="Q86">
            <v>486</v>
          </cell>
          <cell r="R86">
            <v>-46</v>
          </cell>
          <cell r="S86">
            <v>810</v>
          </cell>
          <cell r="T86">
            <v>1989</v>
          </cell>
          <cell r="W86">
            <v>1930</v>
          </cell>
          <cell r="Z86">
            <v>367</v>
          </cell>
          <cell r="AC86">
            <v>1820</v>
          </cell>
          <cell r="AF86">
            <v>1494</v>
          </cell>
          <cell r="AI86">
            <v>1629.6</v>
          </cell>
          <cell r="AL86">
            <v>961.7</v>
          </cell>
          <cell r="AO86">
            <v>481.7</v>
          </cell>
          <cell r="AP86">
            <v>2172.6</v>
          </cell>
          <cell r="AQ86">
            <v>-485.90427941754507</v>
          </cell>
          <cell r="AR86">
            <v>1236.684895090739</v>
          </cell>
          <cell r="AS86">
            <v>1448.7866639227047</v>
          </cell>
          <cell r="AT86">
            <v>1512.9618379379131</v>
          </cell>
          <cell r="AU86">
            <v>1666.5268948243272</v>
          </cell>
          <cell r="AV86">
            <v>2429.4395289144109</v>
          </cell>
          <cell r="AW86">
            <v>2541.9096750649101</v>
          </cell>
          <cell r="AX86">
            <v>2292.8792894214757</v>
          </cell>
        </row>
        <row r="87">
          <cell r="B87" t="str">
            <v>Capital expenditures, Capex</v>
          </cell>
          <cell r="C87" t="str">
            <v>CAPEX</v>
          </cell>
          <cell r="D87" t="str">
            <v>GBP</v>
          </cell>
          <cell r="F87">
            <v>-329</v>
          </cell>
          <cell r="G87">
            <v>-455</v>
          </cell>
          <cell r="H87">
            <v>-368</v>
          </cell>
          <cell r="I87">
            <v>-398</v>
          </cell>
          <cell r="J87">
            <v>-164</v>
          </cell>
          <cell r="K87">
            <v>-105</v>
          </cell>
          <cell r="L87">
            <v>-116</v>
          </cell>
          <cell r="M87">
            <v>-176</v>
          </cell>
          <cell r="N87">
            <v>-309</v>
          </cell>
          <cell r="O87">
            <v>-269</v>
          </cell>
          <cell r="P87">
            <v>-280</v>
          </cell>
          <cell r="Q87">
            <v>-78</v>
          </cell>
          <cell r="R87">
            <v>-164</v>
          </cell>
          <cell r="S87">
            <v>-176</v>
          </cell>
          <cell r="T87">
            <v>-206</v>
          </cell>
          <cell r="W87">
            <v>-300</v>
          </cell>
          <cell r="Z87">
            <v>-110</v>
          </cell>
          <cell r="AC87">
            <v>-241</v>
          </cell>
          <cell r="AF87">
            <v>-471</v>
          </cell>
          <cell r="AI87">
            <v>-447</v>
          </cell>
          <cell r="AL87">
            <v>-338</v>
          </cell>
          <cell r="AO87">
            <v>-244</v>
          </cell>
          <cell r="AP87">
            <v>-244</v>
          </cell>
          <cell r="AQ87">
            <v>-245.87537956834737</v>
          </cell>
          <cell r="AR87">
            <v>-267.71108171588196</v>
          </cell>
          <cell r="AS87">
            <v>-306.1162201925992</v>
          </cell>
          <cell r="AT87">
            <v>-345.70346134266072</v>
          </cell>
          <cell r="AU87">
            <v>-391.47495819312871</v>
          </cell>
          <cell r="AV87">
            <v>-472.83181101729411</v>
          </cell>
          <cell r="AW87">
            <v>-509.57462474882971</v>
          </cell>
          <cell r="AX87">
            <v>-516.5972004626683</v>
          </cell>
        </row>
        <row r="88">
          <cell r="B88" t="str">
            <v>Acquisitions</v>
          </cell>
          <cell r="C88" t="str">
            <v>ACQ</v>
          </cell>
          <cell r="D88" t="str">
            <v>GBP</v>
          </cell>
          <cell r="F88">
            <v>-23</v>
          </cell>
          <cell r="G88">
            <v>-45</v>
          </cell>
          <cell r="H88">
            <v>-1</v>
          </cell>
          <cell r="I88">
            <v>-57</v>
          </cell>
          <cell r="J88">
            <v>0</v>
          </cell>
          <cell r="K88">
            <v>0</v>
          </cell>
          <cell r="L88">
            <v>-29</v>
          </cell>
          <cell r="M88">
            <v>-93</v>
          </cell>
          <cell r="N88">
            <v>-612</v>
          </cell>
          <cell r="O88">
            <v>-1375</v>
          </cell>
          <cell r="P88">
            <v>-1605</v>
          </cell>
          <cell r="Q88">
            <v>0</v>
          </cell>
          <cell r="R88">
            <v>-49</v>
          </cell>
          <cell r="S88">
            <v>-62</v>
          </cell>
          <cell r="T88">
            <v>-630</v>
          </cell>
          <cell r="W88">
            <v>-2422</v>
          </cell>
          <cell r="Z88">
            <v>-12</v>
          </cell>
          <cell r="AC88">
            <v>-1725</v>
          </cell>
          <cell r="AF88">
            <v>-1076</v>
          </cell>
          <cell r="AI88">
            <v>-324</v>
          </cell>
          <cell r="AL88">
            <v>-179</v>
          </cell>
          <cell r="AO88">
            <v>-532</v>
          </cell>
          <cell r="AP88">
            <v>-5</v>
          </cell>
          <cell r="AQ88">
            <v>0</v>
          </cell>
          <cell r="AR88">
            <v>-100</v>
          </cell>
          <cell r="AS88">
            <v>-100</v>
          </cell>
          <cell r="AT88">
            <v>-100</v>
          </cell>
          <cell r="AU88">
            <v>-100</v>
          </cell>
          <cell r="AV88">
            <v>-100</v>
          </cell>
          <cell r="AW88">
            <v>-100</v>
          </cell>
          <cell r="AX88">
            <v>-100</v>
          </cell>
        </row>
        <row r="89">
          <cell r="B89" t="str">
            <v>Divestitures</v>
          </cell>
          <cell r="C89" t="str">
            <v>DIVEST</v>
          </cell>
          <cell r="D89" t="str">
            <v>GBP</v>
          </cell>
          <cell r="F89">
            <v>10</v>
          </cell>
          <cell r="G89">
            <v>-4</v>
          </cell>
          <cell r="H89">
            <v>8</v>
          </cell>
          <cell r="I89">
            <v>375</v>
          </cell>
          <cell r="J89">
            <v>1650</v>
          </cell>
          <cell r="K89">
            <v>0</v>
          </cell>
          <cell r="L89">
            <v>-80</v>
          </cell>
          <cell r="M89">
            <v>38</v>
          </cell>
          <cell r="N89">
            <v>929</v>
          </cell>
          <cell r="O89">
            <v>179</v>
          </cell>
          <cell r="P89">
            <v>126</v>
          </cell>
          <cell r="Q89">
            <v>-152</v>
          </cell>
          <cell r="R89">
            <v>69</v>
          </cell>
          <cell r="S89">
            <v>3</v>
          </cell>
          <cell r="T89">
            <v>0</v>
          </cell>
          <cell r="W89">
            <v>586</v>
          </cell>
          <cell r="Z89">
            <v>1342</v>
          </cell>
          <cell r="AC89">
            <v>151</v>
          </cell>
          <cell r="AF89">
            <v>75</v>
          </cell>
          <cell r="AI89">
            <v>72</v>
          </cell>
          <cell r="AL89">
            <v>93</v>
          </cell>
          <cell r="AO89">
            <v>277</v>
          </cell>
          <cell r="AP89">
            <v>101</v>
          </cell>
          <cell r="AQ89">
            <v>0</v>
          </cell>
          <cell r="AR89">
            <v>0</v>
          </cell>
          <cell r="AS89">
            <v>0</v>
          </cell>
          <cell r="AT89">
            <v>0</v>
          </cell>
          <cell r="AU89">
            <v>0</v>
          </cell>
          <cell r="AV89">
            <v>0</v>
          </cell>
          <cell r="AW89">
            <v>0</v>
          </cell>
          <cell r="AX89">
            <v>0</v>
          </cell>
        </row>
        <row r="90">
          <cell r="B90" t="str">
            <v>Other investing cash flow items</v>
          </cell>
          <cell r="C90" t="str">
            <v>OTH_INV_CF</v>
          </cell>
          <cell r="D90" t="str">
            <v>GBP</v>
          </cell>
          <cell r="F90">
            <v>-910</v>
          </cell>
          <cell r="G90">
            <v>729</v>
          </cell>
          <cell r="H90">
            <v>67</v>
          </cell>
          <cell r="I90">
            <v>-9</v>
          </cell>
          <cell r="J90">
            <v>-307</v>
          </cell>
          <cell r="K90">
            <v>104</v>
          </cell>
          <cell r="L90">
            <v>178</v>
          </cell>
          <cell r="M90">
            <v>23</v>
          </cell>
          <cell r="N90">
            <v>0</v>
          </cell>
          <cell r="O90">
            <v>0</v>
          </cell>
          <cell r="P90">
            <v>-14</v>
          </cell>
          <cell r="Q90">
            <v>6</v>
          </cell>
          <cell r="R90">
            <v>2</v>
          </cell>
          <cell r="S90">
            <v>-75</v>
          </cell>
          <cell r="T90">
            <v>-50</v>
          </cell>
          <cell r="W90">
            <v>95</v>
          </cell>
          <cell r="Z90">
            <v>342</v>
          </cell>
          <cell r="AC90">
            <v>575</v>
          </cell>
          <cell r="AF90">
            <v>377</v>
          </cell>
          <cell r="AI90">
            <v>-109</v>
          </cell>
          <cell r="AL90">
            <v>51</v>
          </cell>
          <cell r="AO90">
            <v>364</v>
          </cell>
          <cell r="AP90">
            <v>68</v>
          </cell>
          <cell r="AQ90">
            <v>65.791215261356115</v>
          </cell>
          <cell r="AR90">
            <v>64.107711677523525</v>
          </cell>
          <cell r="AS90">
            <v>60.623101137156652</v>
          </cell>
          <cell r="AT90">
            <v>57.040181916310644</v>
          </cell>
          <cell r="AU90">
            <v>52.844252545486029</v>
          </cell>
          <cell r="AV90">
            <v>45.071077085409172</v>
          </cell>
          <cell r="AW90">
            <v>41.344807361756239</v>
          </cell>
          <cell r="AX90">
            <v>40.632613367694262</v>
          </cell>
        </row>
        <row r="91">
          <cell r="B91" t="str">
            <v>Cash flow from investing</v>
          </cell>
          <cell r="C91" t="str">
            <v>CF_INV</v>
          </cell>
          <cell r="D91" t="str">
            <v>GBP</v>
          </cell>
          <cell r="F91">
            <v>-1252</v>
          </cell>
          <cell r="G91">
            <v>225</v>
          </cell>
          <cell r="H91">
            <v>-294</v>
          </cell>
          <cell r="I91">
            <v>-89</v>
          </cell>
          <cell r="J91">
            <v>1179</v>
          </cell>
          <cell r="K91">
            <v>-1</v>
          </cell>
          <cell r="L91">
            <v>-47</v>
          </cell>
          <cell r="M91">
            <v>-208</v>
          </cell>
          <cell r="N91">
            <v>8</v>
          </cell>
          <cell r="O91">
            <v>-1465</v>
          </cell>
          <cell r="P91">
            <v>-1773</v>
          </cell>
          <cell r="Q91">
            <v>-224</v>
          </cell>
          <cell r="R91">
            <v>-142</v>
          </cell>
          <cell r="S91">
            <v>-310</v>
          </cell>
          <cell r="T91">
            <v>-886</v>
          </cell>
          <cell r="W91">
            <v>-2041</v>
          </cell>
          <cell r="Z91">
            <v>1562</v>
          </cell>
          <cell r="AC91">
            <v>-1240</v>
          </cell>
          <cell r="AF91">
            <v>-1095</v>
          </cell>
          <cell r="AI91">
            <v>-808</v>
          </cell>
          <cell r="AL91">
            <v>-373</v>
          </cell>
          <cell r="AO91">
            <v>-135</v>
          </cell>
          <cell r="AP91">
            <v>-80</v>
          </cell>
          <cell r="AQ91">
            <v>-180.08416430699125</v>
          </cell>
          <cell r="AR91">
            <v>-303.60337003835843</v>
          </cell>
          <cell r="AS91">
            <v>-345.49311905544255</v>
          </cell>
          <cell r="AT91">
            <v>-388.66327942635007</v>
          </cell>
          <cell r="AU91">
            <v>-438.63070564764269</v>
          </cell>
          <cell r="AV91">
            <v>-527.76073393188494</v>
          </cell>
          <cell r="AW91">
            <v>-568.22981738707347</v>
          </cell>
          <cell r="AX91">
            <v>-575.96458709497404</v>
          </cell>
        </row>
        <row r="92">
          <cell r="B92" t="str">
            <v>Dividends paid</v>
          </cell>
          <cell r="C92" t="str">
            <v>DIV_PAID</v>
          </cell>
          <cell r="D92" t="str">
            <v>GBP</v>
          </cell>
          <cell r="F92">
            <v>-78</v>
          </cell>
          <cell r="G92">
            <v>-85</v>
          </cell>
          <cell r="H92">
            <v>-82</v>
          </cell>
          <cell r="I92">
            <v>-38</v>
          </cell>
          <cell r="J92">
            <v>-34</v>
          </cell>
          <cell r="K92">
            <v>-42</v>
          </cell>
          <cell r="L92">
            <v>-54</v>
          </cell>
          <cell r="M92">
            <v>-68</v>
          </cell>
          <cell r="N92">
            <v>-60</v>
          </cell>
          <cell r="O92">
            <v>-100</v>
          </cell>
          <cell r="P92">
            <v>-202</v>
          </cell>
          <cell r="Q92">
            <v>-266</v>
          </cell>
          <cell r="R92">
            <v>-281</v>
          </cell>
          <cell r="S92">
            <v>-281</v>
          </cell>
          <cell r="T92">
            <v>-281</v>
          </cell>
          <cell r="W92">
            <v>-315</v>
          </cell>
          <cell r="Z92">
            <v>-345</v>
          </cell>
          <cell r="AC92">
            <v>-373</v>
          </cell>
          <cell r="AF92">
            <v>-438</v>
          </cell>
          <cell r="AI92">
            <v>-487</v>
          </cell>
          <cell r="AL92">
            <v>-548</v>
          </cell>
          <cell r="AO92">
            <v>-560</v>
          </cell>
          <cell r="AP92">
            <v>-574</v>
          </cell>
          <cell r="AQ92">
            <v>-586.18106560891943</v>
          </cell>
          <cell r="AR92">
            <v>-581.4905837605811</v>
          </cell>
          <cell r="AS92">
            <v>-582.65660231031234</v>
          </cell>
          <cell r="AT92">
            <v>-605.05301881600587</v>
          </cell>
          <cell r="AU92">
            <v>-625.85329405895379</v>
          </cell>
          <cell r="AV92">
            <v>-673.24420001201452</v>
          </cell>
          <cell r="AW92">
            <v>-718.51413542479077</v>
          </cell>
          <cell r="AX92">
            <v>-760.83972157018286</v>
          </cell>
        </row>
        <row r="93">
          <cell r="B93" t="str">
            <v>Common stock issuance/(repurchase)</v>
          </cell>
          <cell r="C93" t="str">
            <v>SH_REPUR</v>
          </cell>
          <cell r="D93" t="str">
            <v>GBP</v>
          </cell>
          <cell r="F93">
            <v>3</v>
          </cell>
          <cell r="G93">
            <v>435</v>
          </cell>
          <cell r="H93">
            <v>0</v>
          </cell>
          <cell r="I93">
            <v>0</v>
          </cell>
          <cell r="J93">
            <v>170</v>
          </cell>
          <cell r="K93">
            <v>10</v>
          </cell>
          <cell r="L93">
            <v>6</v>
          </cell>
          <cell r="M93">
            <v>17</v>
          </cell>
          <cell r="N93">
            <v>18</v>
          </cell>
          <cell r="O93">
            <v>43</v>
          </cell>
          <cell r="P93">
            <v>71</v>
          </cell>
          <cell r="Q93">
            <v>30</v>
          </cell>
          <cell r="R93">
            <v>32</v>
          </cell>
          <cell r="S93">
            <v>0</v>
          </cell>
          <cell r="T93">
            <v>0</v>
          </cell>
          <cell r="W93">
            <v>373</v>
          </cell>
          <cell r="Z93">
            <v>-124</v>
          </cell>
          <cell r="AC93">
            <v>-202</v>
          </cell>
          <cell r="AF93">
            <v>-43</v>
          </cell>
          <cell r="AI93">
            <v>-25</v>
          </cell>
          <cell r="AL93">
            <v>-526</v>
          </cell>
          <cell r="AO93">
            <v>-509</v>
          </cell>
          <cell r="AP93">
            <v>-16</v>
          </cell>
          <cell r="AQ93">
            <v>-300</v>
          </cell>
          <cell r="AR93">
            <v>-400</v>
          </cell>
          <cell r="AS93">
            <v>-800</v>
          </cell>
          <cell r="AT93">
            <v>-500</v>
          </cell>
          <cell r="AU93">
            <v>-500</v>
          </cell>
          <cell r="AV93">
            <v>-1000</v>
          </cell>
          <cell r="AW93">
            <v>-1000</v>
          </cell>
          <cell r="AX93">
            <v>-1000</v>
          </cell>
        </row>
        <row r="94">
          <cell r="B94" t="str">
            <v>Increase/(decrease) in total debt</v>
          </cell>
          <cell r="C94" t="str">
            <v>CHG_LT_DEBT</v>
          </cell>
          <cell r="D94" t="str">
            <v>GBP</v>
          </cell>
          <cell r="G94">
            <v>-202</v>
          </cell>
          <cell r="H94">
            <v>-378</v>
          </cell>
          <cell r="I94">
            <v>-618</v>
          </cell>
          <cell r="J94">
            <v>1048</v>
          </cell>
          <cell r="K94">
            <v>13</v>
          </cell>
          <cell r="L94">
            <v>154</v>
          </cell>
          <cell r="M94">
            <v>-136</v>
          </cell>
          <cell r="N94">
            <v>105</v>
          </cell>
          <cell r="O94">
            <v>-2018</v>
          </cell>
          <cell r="P94">
            <v>-280</v>
          </cell>
          <cell r="Q94">
            <v>85</v>
          </cell>
          <cell r="R94">
            <v>392</v>
          </cell>
          <cell r="S94">
            <v>455</v>
          </cell>
          <cell r="T94">
            <v>144</v>
          </cell>
          <cell r="W94">
            <v>-2055</v>
          </cell>
          <cell r="Z94">
            <v>-855</v>
          </cell>
          <cell r="AC94">
            <v>-777</v>
          </cell>
          <cell r="AF94">
            <v>-306</v>
          </cell>
          <cell r="AI94">
            <v>787</v>
          </cell>
          <cell r="AL94">
            <v>-259</v>
          </cell>
          <cell r="AO94">
            <v>152</v>
          </cell>
          <cell r="AP94">
            <v>-112</v>
          </cell>
          <cell r="AQ94">
            <v>0</v>
          </cell>
          <cell r="AR94">
            <v>0</v>
          </cell>
          <cell r="AS94">
            <v>0</v>
          </cell>
          <cell r="AT94">
            <v>0</v>
          </cell>
          <cell r="AU94">
            <v>0</v>
          </cell>
          <cell r="AV94">
            <v>0</v>
          </cell>
          <cell r="AW94">
            <v>0</v>
          </cell>
          <cell r="AX94">
            <v>0</v>
          </cell>
        </row>
        <row r="95">
          <cell r="B95" t="str">
            <v>Other financing cash flow items</v>
          </cell>
          <cell r="C95" t="str">
            <v>OTH_FIN_CF</v>
          </cell>
          <cell r="D95" t="str">
            <v>GBP</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W95">
            <v>99</v>
          </cell>
          <cell r="Z95">
            <v>-13</v>
          </cell>
          <cell r="AC95">
            <v>741</v>
          </cell>
          <cell r="AF95">
            <v>-387</v>
          </cell>
          <cell r="AI95">
            <v>-35</v>
          </cell>
          <cell r="AL95">
            <v>-171</v>
          </cell>
          <cell r="AO95">
            <v>-102</v>
          </cell>
          <cell r="AP95">
            <v>-178</v>
          </cell>
          <cell r="AQ95">
            <v>-52</v>
          </cell>
          <cell r="AR95">
            <v>-59</v>
          </cell>
          <cell r="AS95">
            <v>-56</v>
          </cell>
          <cell r="AT95">
            <v>-55.666666666666629</v>
          </cell>
          <cell r="AU95">
            <v>-56.888888888889028</v>
          </cell>
          <cell r="AV95">
            <v>-56.185185185185219</v>
          </cell>
          <cell r="AW95">
            <v>-56.246913580246883</v>
          </cell>
          <cell r="AX95">
            <v>-56.440329218106854</v>
          </cell>
        </row>
        <row r="96">
          <cell r="B96" t="str">
            <v>Cash flow from financing</v>
          </cell>
          <cell r="C96" t="str">
            <v>CF_FIN</v>
          </cell>
          <cell r="D96" t="str">
            <v>GBP</v>
          </cell>
          <cell r="F96">
            <v>-75</v>
          </cell>
          <cell r="G96">
            <v>148</v>
          </cell>
          <cell r="H96">
            <v>-460</v>
          </cell>
          <cell r="I96">
            <v>-656</v>
          </cell>
          <cell r="J96">
            <v>1184</v>
          </cell>
          <cell r="K96">
            <v>-19</v>
          </cell>
          <cell r="L96">
            <v>106</v>
          </cell>
          <cell r="M96">
            <v>-187</v>
          </cell>
          <cell r="N96">
            <v>63</v>
          </cell>
          <cell r="O96">
            <v>-2075</v>
          </cell>
          <cell r="P96">
            <v>-411</v>
          </cell>
          <cell r="Q96">
            <v>-151</v>
          </cell>
          <cell r="R96">
            <v>143</v>
          </cell>
          <cell r="S96">
            <v>174</v>
          </cell>
          <cell r="T96">
            <v>-137</v>
          </cell>
          <cell r="W96">
            <v>-1898</v>
          </cell>
          <cell r="Z96">
            <v>-1337</v>
          </cell>
          <cell r="AC96">
            <v>-611</v>
          </cell>
          <cell r="AF96">
            <v>-1174</v>
          </cell>
          <cell r="AI96">
            <v>240</v>
          </cell>
          <cell r="AL96">
            <v>-1504</v>
          </cell>
          <cell r="AO96">
            <v>-1019</v>
          </cell>
          <cell r="AP96">
            <v>-880</v>
          </cell>
          <cell r="AQ96">
            <v>-938.18106560891943</v>
          </cell>
          <cell r="AR96">
            <v>-1040.4905837605811</v>
          </cell>
          <cell r="AS96">
            <v>-1438.6566023103123</v>
          </cell>
          <cell r="AT96">
            <v>-1160.7196854826725</v>
          </cell>
          <cell r="AU96">
            <v>-1182.7421829478428</v>
          </cell>
          <cell r="AV96">
            <v>-1729.4293851971997</v>
          </cell>
          <cell r="AW96">
            <v>-1774.7610490050376</v>
          </cell>
          <cell r="AX96">
            <v>-1817.2800507882898</v>
          </cell>
        </row>
        <row r="97">
          <cell r="B97" t="str">
            <v>Other items net cash flow</v>
          </cell>
          <cell r="C97" t="str">
            <v>OTH_ITEM_NCF</v>
          </cell>
          <cell r="D97" t="str">
            <v>GBP</v>
          </cell>
          <cell r="F97">
            <v>0</v>
          </cell>
          <cell r="G97">
            <v>-390</v>
          </cell>
          <cell r="H97">
            <v>662</v>
          </cell>
          <cell r="I97">
            <v>389</v>
          </cell>
          <cell r="J97">
            <v>-2034</v>
          </cell>
          <cell r="K97">
            <v>-26</v>
          </cell>
          <cell r="L97">
            <v>-254</v>
          </cell>
          <cell r="M97">
            <v>265</v>
          </cell>
          <cell r="N97">
            <v>-209</v>
          </cell>
          <cell r="O97">
            <v>4384</v>
          </cell>
          <cell r="P97">
            <v>538</v>
          </cell>
          <cell r="Q97">
            <v>-171</v>
          </cell>
          <cell r="R97">
            <v>-823</v>
          </cell>
          <cell r="S97">
            <v>-717</v>
          </cell>
          <cell r="T97">
            <v>-222</v>
          </cell>
          <cell r="W97">
            <v>2817</v>
          </cell>
          <cell r="Z97">
            <v>-707</v>
          </cell>
          <cell r="AC97">
            <v>-7</v>
          </cell>
          <cell r="AF97">
            <v>337</v>
          </cell>
          <cell r="AI97">
            <v>8.4000000000000909</v>
          </cell>
          <cell r="AL97">
            <v>34.999999999999773</v>
          </cell>
          <cell r="AO97">
            <v>0</v>
          </cell>
          <cell r="AP97">
            <v>1</v>
          </cell>
          <cell r="AQ97">
            <v>0</v>
          </cell>
          <cell r="AR97">
            <v>0</v>
          </cell>
          <cell r="AS97">
            <v>0</v>
          </cell>
          <cell r="AT97">
            <v>0</v>
          </cell>
          <cell r="AU97">
            <v>0</v>
          </cell>
          <cell r="AV97">
            <v>0</v>
          </cell>
          <cell r="AW97">
            <v>0</v>
          </cell>
          <cell r="AX97">
            <v>0</v>
          </cell>
          <cell r="AY97" t="str">
            <v>CH: write explanation in here for this</v>
          </cell>
        </row>
        <row r="98">
          <cell r="B98" t="str">
            <v>Total cash flow</v>
          </cell>
          <cell r="C98" t="str">
            <v>TOT_CF</v>
          </cell>
          <cell r="D98" t="str">
            <v>GBP</v>
          </cell>
          <cell r="F98">
            <v>-1276</v>
          </cell>
          <cell r="G98">
            <v>-186</v>
          </cell>
          <cell r="H98">
            <v>-36</v>
          </cell>
          <cell r="I98">
            <v>-188</v>
          </cell>
          <cell r="J98">
            <v>19</v>
          </cell>
          <cell r="K98">
            <v>45</v>
          </cell>
          <cell r="L98">
            <v>366</v>
          </cell>
          <cell r="M98">
            <v>176</v>
          </cell>
          <cell r="N98">
            <v>-681</v>
          </cell>
          <cell r="O98">
            <v>1150</v>
          </cell>
          <cell r="P98">
            <v>110</v>
          </cell>
          <cell r="Q98">
            <v>-60</v>
          </cell>
          <cell r="R98">
            <v>-868</v>
          </cell>
          <cell r="S98">
            <v>-43</v>
          </cell>
          <cell r="T98">
            <v>744</v>
          </cell>
          <cell r="W98">
            <v>808</v>
          </cell>
          <cell r="Z98">
            <v>-115</v>
          </cell>
          <cell r="AC98">
            <v>-38</v>
          </cell>
          <cell r="AF98">
            <v>-438</v>
          </cell>
          <cell r="AI98">
            <v>1070</v>
          </cell>
          <cell r="AL98">
            <v>-880.30000000000018</v>
          </cell>
          <cell r="AO98">
            <v>-672.29999999999973</v>
          </cell>
          <cell r="AP98">
            <v>1213.5999999999999</v>
          </cell>
          <cell r="AQ98">
            <v>-1604.1695093334556</v>
          </cell>
          <cell r="AR98">
            <v>-107.40905870820052</v>
          </cell>
          <cell r="AS98">
            <v>-335.36305744305014</v>
          </cell>
          <cell r="AT98">
            <v>-36.421126971109516</v>
          </cell>
          <cell r="AU98">
            <v>45.154006228841581</v>
          </cell>
          <cell r="AV98">
            <v>172.24940978532618</v>
          </cell>
          <cell r="AW98">
            <v>198.91880867279883</v>
          </cell>
          <cell r="AX98">
            <v>-100.36534846178802</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cell r="Z105">
            <v>598</v>
          </cell>
          <cell r="AC105">
            <v>0</v>
          </cell>
          <cell r="AF105">
            <v>-2</v>
          </cell>
          <cell r="AI105">
            <v>356</v>
          </cell>
          <cell r="AL105">
            <v>48</v>
          </cell>
          <cell r="AO105">
            <v>-7</v>
          </cell>
          <cell r="AP105">
            <v>420</v>
          </cell>
          <cell r="AQ105">
            <v>94.258421373048193</v>
          </cell>
          <cell r="AR105">
            <v>-5.5177153883505596</v>
          </cell>
          <cell r="AS105">
            <v>194.35239499788841</v>
          </cell>
          <cell r="AT105">
            <v>194.22745435960147</v>
          </cell>
          <cell r="AU105">
            <v>194.02970347261245</v>
          </cell>
          <cell r="AV105">
            <v>-6.6368829340886224</v>
          </cell>
          <cell r="AW105">
            <v>-7.1536371862040733</v>
          </cell>
          <cell r="AX105">
            <v>-7.2524033255488716</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cell r="Z111">
            <v>-2</v>
          </cell>
          <cell r="AC111">
            <v>0</v>
          </cell>
          <cell r="AF111">
            <v>-2</v>
          </cell>
          <cell r="AI111">
            <v>-14</v>
          </cell>
          <cell r="AL111">
            <v>-2</v>
          </cell>
          <cell r="AO111">
            <v>-7</v>
          </cell>
          <cell r="AP111">
            <v>-8</v>
          </cell>
          <cell r="AQ111">
            <v>-5.7415786269518092</v>
          </cell>
          <cell r="AR111">
            <v>-5.5177153883505596</v>
          </cell>
          <cell r="AS111">
            <v>-5.6476050021115949</v>
          </cell>
          <cell r="AT111">
            <v>-5.7725456403985351</v>
          </cell>
          <cell r="AU111">
            <v>-5.9702965273875366</v>
          </cell>
          <cell r="AV111">
            <v>-6.6368829340886224</v>
          </cell>
          <cell r="AW111">
            <v>-7.1536371862040733</v>
          </cell>
          <cell r="AX111">
            <v>-7.2524033255488716</v>
          </cell>
          <cell r="AY111" t="str">
            <v>MA: linked to capitalized R&amp;D</v>
          </cell>
        </row>
        <row r="112">
          <cell r="B112" t="str">
            <v>Dividends paid to minorities</v>
          </cell>
          <cell r="C112" t="str">
            <v>DIVDS_PD_MINORITIES</v>
          </cell>
          <cell r="D112" t="str">
            <v>GBP</v>
          </cell>
        </row>
        <row r="113">
          <cell r="A113" t="str">
            <v>Other Items</v>
          </cell>
        </row>
        <row r="114">
          <cell r="B114" t="str">
            <v>Number of employees</v>
          </cell>
          <cell r="C114" t="str">
            <v>EMPLOYEES</v>
          </cell>
          <cell r="AC114">
            <v>60.747999999999998</v>
          </cell>
          <cell r="AF114">
            <v>73.397999999999996</v>
          </cell>
          <cell r="AI114">
            <v>73.055999999999997</v>
          </cell>
          <cell r="AL114">
            <v>73.055999999999997</v>
          </cell>
          <cell r="AO114">
            <v>75.197000000000003</v>
          </cell>
          <cell r="AP114">
            <v>67.399000000000001</v>
          </cell>
          <cell r="AQ114">
            <v>67.399000000000001</v>
          </cell>
        </row>
        <row r="115">
          <cell r="A115" t="str">
            <v>Geographical Breakdown</v>
          </cell>
        </row>
        <row r="116">
          <cell r="B116" t="str">
            <v>Sales - Total % Americas</v>
          </cell>
          <cell r="C116" t="str">
            <v>SALES_TOT_AM</v>
          </cell>
          <cell r="AP116">
            <v>0.4</v>
          </cell>
          <cell r="AQ116">
            <v>0.4</v>
          </cell>
        </row>
        <row r="117">
          <cell r="B117" t="str">
            <v>Sales - % United States</v>
          </cell>
          <cell r="C117" t="str">
            <v>SALES_US</v>
          </cell>
          <cell r="AP117">
            <v>0.4</v>
          </cell>
          <cell r="AQ117">
            <v>0.4</v>
          </cell>
        </row>
        <row r="118">
          <cell r="B118" t="str">
            <v>Sales - % Canada</v>
          </cell>
          <cell r="C118" t="str">
            <v>SALES_CANADA</v>
          </cell>
          <cell r="AP118">
            <v>0</v>
          </cell>
          <cell r="AQ118">
            <v>0</v>
          </cell>
        </row>
        <row r="119">
          <cell r="B119" t="str">
            <v>Sales - % Brazil</v>
          </cell>
          <cell r="C119" t="str">
            <v>SALES_BRAZIL</v>
          </cell>
          <cell r="AP119">
            <v>0</v>
          </cell>
          <cell r="AQ119">
            <v>0</v>
          </cell>
        </row>
        <row r="120">
          <cell r="B120" t="str">
            <v>Sales - % Other Americas</v>
          </cell>
          <cell r="C120" t="str">
            <v>SALES_OTH_AM</v>
          </cell>
          <cell r="AP120">
            <v>0</v>
          </cell>
          <cell r="AQ120">
            <v>0</v>
          </cell>
        </row>
        <row r="121">
          <cell r="B121" t="str">
            <v>Sales - Total % EMEA</v>
          </cell>
          <cell r="C121" t="str">
            <v>SALES_TOT_EMEA</v>
          </cell>
          <cell r="AP121">
            <v>0.49</v>
          </cell>
          <cell r="AQ121">
            <v>0.49</v>
          </cell>
        </row>
        <row r="122">
          <cell r="B122" t="str">
            <v>Sales - % UK</v>
          </cell>
          <cell r="C122" t="str">
            <v>SALES_UK</v>
          </cell>
          <cell r="AP122">
            <v>0.21</v>
          </cell>
          <cell r="AQ122">
            <v>0.21</v>
          </cell>
        </row>
        <row r="123">
          <cell r="B123" t="str">
            <v>Sales - % Western Europe-Ex UK</v>
          </cell>
          <cell r="C123" t="str">
            <v>SALES_EU_EX_UK</v>
          </cell>
          <cell r="AP123">
            <v>0.14000000000000001</v>
          </cell>
          <cell r="AQ123">
            <v>0.14000000000000001</v>
          </cell>
        </row>
        <row r="124">
          <cell r="B124" t="str">
            <v>Sales - % Austria</v>
          </cell>
          <cell r="C124" t="str">
            <v>SALES_AUSTRIA</v>
          </cell>
          <cell r="AP124">
            <v>0</v>
          </cell>
          <cell r="AQ124">
            <v>0</v>
          </cell>
        </row>
        <row r="125">
          <cell r="B125" t="str">
            <v>Sales - % Belgium</v>
          </cell>
          <cell r="C125" t="str">
            <v>SALES_BEL</v>
          </cell>
          <cell r="AP125">
            <v>0</v>
          </cell>
          <cell r="AQ125">
            <v>0</v>
          </cell>
        </row>
        <row r="126">
          <cell r="B126" t="str">
            <v>Sales - % Denmark</v>
          </cell>
          <cell r="C126" t="str">
            <v>SALES_DEN</v>
          </cell>
          <cell r="AP126">
            <v>0</v>
          </cell>
          <cell r="AQ126">
            <v>0</v>
          </cell>
        </row>
        <row r="127">
          <cell r="B127" t="str">
            <v>Sales - % Finland</v>
          </cell>
          <cell r="C127" t="str">
            <v>SALES_FIN</v>
          </cell>
          <cell r="AP127">
            <v>0</v>
          </cell>
          <cell r="AQ127">
            <v>0</v>
          </cell>
        </row>
        <row r="128">
          <cell r="B128" t="str">
            <v>Sales - % France</v>
          </cell>
          <cell r="C128" t="str">
            <v>SALES_FRA</v>
          </cell>
          <cell r="AP128">
            <v>0</v>
          </cell>
          <cell r="AQ128">
            <v>0</v>
          </cell>
        </row>
        <row r="129">
          <cell r="B129" t="str">
            <v>Sales - % Germany</v>
          </cell>
          <cell r="C129" t="str">
            <v>SALES_GER</v>
          </cell>
          <cell r="AP129">
            <v>0</v>
          </cell>
          <cell r="AQ129">
            <v>0</v>
          </cell>
        </row>
        <row r="130">
          <cell r="B130" t="str">
            <v>Sales - % Greece</v>
          </cell>
          <cell r="C130" t="str">
            <v>SALES_GRE</v>
          </cell>
          <cell r="AP130">
            <v>0</v>
          </cell>
          <cell r="AQ130">
            <v>0</v>
          </cell>
        </row>
        <row r="131">
          <cell r="B131" t="str">
            <v>Sales - % Iceland</v>
          </cell>
          <cell r="C131" t="str">
            <v>SALES_ICE</v>
          </cell>
          <cell r="AP131">
            <v>0</v>
          </cell>
          <cell r="AQ131">
            <v>0</v>
          </cell>
        </row>
        <row r="132">
          <cell r="B132" t="str">
            <v>Sales - % Ireland</v>
          </cell>
          <cell r="C132" t="str">
            <v>SALES_IRE</v>
          </cell>
          <cell r="AP132">
            <v>0</v>
          </cell>
          <cell r="AQ132">
            <v>0</v>
          </cell>
        </row>
        <row r="133">
          <cell r="B133" t="str">
            <v>Sales - % Italy</v>
          </cell>
          <cell r="C133" t="str">
            <v>SALES_ITA</v>
          </cell>
          <cell r="AP133">
            <v>0</v>
          </cell>
          <cell r="AQ133">
            <v>0</v>
          </cell>
        </row>
        <row r="134">
          <cell r="B134" t="str">
            <v>Sales - % Netherlands</v>
          </cell>
          <cell r="C134" t="str">
            <v>SALES_NETH</v>
          </cell>
          <cell r="AP134">
            <v>0</v>
          </cell>
          <cell r="AQ134">
            <v>0</v>
          </cell>
        </row>
        <row r="135">
          <cell r="B135" t="str">
            <v>Sales - % Norway</v>
          </cell>
          <cell r="C135" t="str">
            <v>SALES_NOR</v>
          </cell>
          <cell r="AP135">
            <v>0</v>
          </cell>
          <cell r="AQ135">
            <v>0</v>
          </cell>
        </row>
        <row r="136">
          <cell r="B136" t="str">
            <v>Sales - % Portugal</v>
          </cell>
          <cell r="C136" t="str">
            <v>SALES_POR</v>
          </cell>
          <cell r="AP136">
            <v>0</v>
          </cell>
          <cell r="AQ136">
            <v>0</v>
          </cell>
        </row>
        <row r="137">
          <cell r="B137" t="str">
            <v>Sales - % Spain</v>
          </cell>
          <cell r="C137" t="str">
            <v>SALES_SPA</v>
          </cell>
          <cell r="AP137">
            <v>0</v>
          </cell>
          <cell r="AQ137">
            <v>0</v>
          </cell>
        </row>
        <row r="138">
          <cell r="B138" t="str">
            <v>Sales - % Other Western Europe-Ex UK</v>
          </cell>
          <cell r="C138" t="str">
            <v>SALES_OTH_EU_EX_UK</v>
          </cell>
          <cell r="AP138">
            <v>0.14000000000000001</v>
          </cell>
          <cell r="AQ138">
            <v>0.14000000000000001</v>
          </cell>
        </row>
        <row r="139">
          <cell r="B139" t="str">
            <v>Sales - % Sweden</v>
          </cell>
          <cell r="C139" t="str">
            <v>SALES_SWE</v>
          </cell>
          <cell r="AP139">
            <v>0</v>
          </cell>
          <cell r="AQ139">
            <v>0</v>
          </cell>
        </row>
        <row r="140">
          <cell r="B140" t="str">
            <v>Sales - % Switzerland</v>
          </cell>
          <cell r="C140" t="str">
            <v>SALES_SWIT</v>
          </cell>
          <cell r="AP140">
            <v>0</v>
          </cell>
          <cell r="AQ140">
            <v>0</v>
          </cell>
        </row>
        <row r="141">
          <cell r="B141" t="str">
            <v>Sales - % Central &amp; Eastern Europe</v>
          </cell>
          <cell r="C141" t="str">
            <v>SALES_CEE</v>
          </cell>
          <cell r="AP141">
            <v>0</v>
          </cell>
          <cell r="AQ141">
            <v>0</v>
          </cell>
        </row>
        <row r="142">
          <cell r="B142" t="str">
            <v>Sales - % Middle East</v>
          </cell>
          <cell r="C142" t="str">
            <v>SALES_ME</v>
          </cell>
          <cell r="AP142">
            <v>0.14000000000000001</v>
          </cell>
          <cell r="AQ142">
            <v>0.14000000000000001</v>
          </cell>
        </row>
        <row r="143">
          <cell r="B143" t="str">
            <v>Sales - % South Africa</v>
          </cell>
          <cell r="C143" t="str">
            <v>SALES_SO_AFRICA</v>
          </cell>
          <cell r="AP143">
            <v>0</v>
          </cell>
          <cell r="AQ143">
            <v>0</v>
          </cell>
        </row>
        <row r="144">
          <cell r="B144" t="str">
            <v>Sales - % Nigeria</v>
          </cell>
          <cell r="C144" t="str">
            <v>SALES_NIGERIA</v>
          </cell>
          <cell r="AP144">
            <v>0</v>
          </cell>
          <cell r="AQ144">
            <v>0</v>
          </cell>
        </row>
        <row r="145">
          <cell r="B145" t="str">
            <v>Sales - % Other Africa</v>
          </cell>
          <cell r="C145" t="str">
            <v>SALES_OTH_AFRICA</v>
          </cell>
          <cell r="AP145">
            <v>0</v>
          </cell>
          <cell r="AQ145">
            <v>0</v>
          </cell>
        </row>
        <row r="146">
          <cell r="B146" t="str">
            <v>Sales - % Total Africa</v>
          </cell>
          <cell r="C146" t="str">
            <v>SALES_TOT_AFRICA</v>
          </cell>
          <cell r="AP146">
            <v>0</v>
          </cell>
          <cell r="AQ146">
            <v>0</v>
          </cell>
        </row>
        <row r="147">
          <cell r="B147" t="str">
            <v>Sales - % Russia</v>
          </cell>
          <cell r="C147" t="str">
            <v>SALES_RUSSIA</v>
          </cell>
          <cell r="AP147">
            <v>0</v>
          </cell>
          <cell r="AQ147">
            <v>0</v>
          </cell>
        </row>
        <row r="148">
          <cell r="B148" t="str">
            <v>Sales - % Other EMEA</v>
          </cell>
          <cell r="C148" t="str">
            <v>SALES_OTH_EMEA</v>
          </cell>
          <cell r="AP148">
            <v>0</v>
          </cell>
          <cell r="AQ148">
            <v>0</v>
          </cell>
        </row>
        <row r="149">
          <cell r="B149" t="str">
            <v>Sales - Total % Asia (incl Australia &amp; New Zealand)</v>
          </cell>
          <cell r="C149" t="str">
            <v>SALES_TOT_ASIA</v>
          </cell>
          <cell r="AP149">
            <v>0.06</v>
          </cell>
          <cell r="AQ149">
            <v>0.06</v>
          </cell>
        </row>
        <row r="150">
          <cell r="B150" t="str">
            <v>Sales - % Japan</v>
          </cell>
          <cell r="C150" t="str">
            <v>SALES_JAPAN</v>
          </cell>
          <cell r="AP150">
            <v>0</v>
          </cell>
          <cell r="AQ150">
            <v>0</v>
          </cell>
        </row>
        <row r="151">
          <cell r="B151" t="str">
            <v>Sales - % China</v>
          </cell>
          <cell r="C151" t="str">
            <v>SALES_CHINA</v>
          </cell>
          <cell r="AP151">
            <v>0</v>
          </cell>
          <cell r="AQ151">
            <v>0</v>
          </cell>
        </row>
        <row r="152">
          <cell r="B152" t="str">
            <v>Sales - % India</v>
          </cell>
          <cell r="C152" t="str">
            <v>SALES_INDIA</v>
          </cell>
          <cell r="AP152">
            <v>0</v>
          </cell>
          <cell r="AQ152">
            <v>0</v>
          </cell>
        </row>
        <row r="153">
          <cell r="B153" t="str">
            <v>Sales - % South Korea</v>
          </cell>
          <cell r="C153" t="str">
            <v>SALES_SK</v>
          </cell>
          <cell r="AP153">
            <v>0</v>
          </cell>
          <cell r="AQ153">
            <v>0</v>
          </cell>
        </row>
        <row r="154">
          <cell r="B154" t="str">
            <v>Sales - % Australia</v>
          </cell>
          <cell r="C154" t="str">
            <v>SALES_AUSTRA</v>
          </cell>
          <cell r="AP154">
            <v>0.06</v>
          </cell>
          <cell r="AQ154">
            <v>0.06</v>
          </cell>
        </row>
        <row r="155">
          <cell r="B155" t="str">
            <v>Sales - % New Zealand</v>
          </cell>
          <cell r="C155" t="str">
            <v>SALES_NZ</v>
          </cell>
          <cell r="AP155">
            <v>0</v>
          </cell>
          <cell r="AQ155">
            <v>0</v>
          </cell>
        </row>
        <row r="156">
          <cell r="B156" t="str">
            <v>Sales - % Other Asia</v>
          </cell>
          <cell r="C156" t="str">
            <v>SALES_OTH_AEJ</v>
          </cell>
          <cell r="AP156">
            <v>0</v>
          </cell>
          <cell r="AQ156">
            <v>0</v>
          </cell>
        </row>
        <row r="157">
          <cell r="B157" t="str">
            <v>Sales - % Others</v>
          </cell>
          <cell r="C157" t="str">
            <v>SALES_OTHER</v>
          </cell>
          <cell r="AP157">
            <v>0.05</v>
          </cell>
          <cell r="AQ157">
            <v>0.05</v>
          </cell>
        </row>
        <row r="158">
          <cell r="B158" t="str">
            <v>Indirect Sales - Total % Americas</v>
          </cell>
          <cell r="C158" t="str">
            <v>IND_SALES_TOT_AM</v>
          </cell>
          <cell r="AP158">
            <v>0.4</v>
          </cell>
          <cell r="AQ158">
            <v>0.4</v>
          </cell>
        </row>
        <row r="159">
          <cell r="B159" t="str">
            <v>Indirect Sales - % United States</v>
          </cell>
          <cell r="C159" t="str">
            <v>IND_SALES_US</v>
          </cell>
          <cell r="AP159">
            <v>0.4</v>
          </cell>
          <cell r="AQ159">
            <v>0.4</v>
          </cell>
        </row>
        <row r="160">
          <cell r="B160" t="str">
            <v>Indirect Sales - % Canada</v>
          </cell>
          <cell r="C160" t="str">
            <v>IND_SALES_CANADA</v>
          </cell>
          <cell r="AP160">
            <v>0</v>
          </cell>
          <cell r="AQ160">
            <v>0</v>
          </cell>
        </row>
        <row r="161">
          <cell r="B161" t="str">
            <v>Indirect Sales - % Brazil</v>
          </cell>
          <cell r="C161" t="str">
            <v>IND_SALES_BRAZIL</v>
          </cell>
          <cell r="AP161">
            <v>0</v>
          </cell>
          <cell r="AQ161">
            <v>0</v>
          </cell>
        </row>
        <row r="162">
          <cell r="B162" t="str">
            <v>Indirect Sales - % Other Americas</v>
          </cell>
          <cell r="C162" t="str">
            <v>IND_SALES_OTH_AM</v>
          </cell>
          <cell r="AP162">
            <v>0</v>
          </cell>
          <cell r="AQ162">
            <v>0</v>
          </cell>
        </row>
        <row r="163">
          <cell r="B163" t="str">
            <v>Indirect Sales - Total % EMEA</v>
          </cell>
          <cell r="C163" t="str">
            <v>IND_SALES_TOT_EMEA</v>
          </cell>
          <cell r="AP163">
            <v>0.49</v>
          </cell>
          <cell r="AQ163">
            <v>0.49</v>
          </cell>
        </row>
        <row r="164">
          <cell r="B164" t="str">
            <v>Indirect Sales - % UK</v>
          </cell>
          <cell r="C164" t="str">
            <v>IND_SALES_UK</v>
          </cell>
          <cell r="AP164">
            <v>0.21</v>
          </cell>
          <cell r="AQ164">
            <v>0.21</v>
          </cell>
        </row>
        <row r="165">
          <cell r="B165" t="str">
            <v>Indirect Sales - % Western Europe-Ex UK</v>
          </cell>
          <cell r="C165" t="str">
            <v>IND_SALES_EU_EX_UK</v>
          </cell>
          <cell r="AP165">
            <v>0.14000000000000001</v>
          </cell>
          <cell r="AQ165">
            <v>0.14000000000000001</v>
          </cell>
        </row>
        <row r="166">
          <cell r="B166" t="str">
            <v>Indirect Sales - % Austria</v>
          </cell>
          <cell r="C166" t="str">
            <v>IND_SALES_AUSTRIA</v>
          </cell>
          <cell r="AP166">
            <v>0</v>
          </cell>
          <cell r="AQ166">
            <v>0</v>
          </cell>
        </row>
        <row r="167">
          <cell r="B167" t="str">
            <v>Indirect Sales - % Belgium</v>
          </cell>
          <cell r="C167" t="str">
            <v>IND_SALES_BEL</v>
          </cell>
          <cell r="AP167">
            <v>0</v>
          </cell>
          <cell r="AQ167">
            <v>0</v>
          </cell>
        </row>
        <row r="168">
          <cell r="B168" t="str">
            <v>Indirect Sales - % Denmark</v>
          </cell>
          <cell r="C168" t="str">
            <v>IND_SALES_DEN</v>
          </cell>
          <cell r="AP168">
            <v>0</v>
          </cell>
          <cell r="AQ168">
            <v>0</v>
          </cell>
        </row>
        <row r="169">
          <cell r="B169" t="str">
            <v>Indirect Sales - % Finland</v>
          </cell>
          <cell r="C169" t="str">
            <v>IND_SALES_FIN</v>
          </cell>
          <cell r="AP169">
            <v>0</v>
          </cell>
          <cell r="AQ169">
            <v>0</v>
          </cell>
        </row>
        <row r="170">
          <cell r="B170" t="str">
            <v>Indirect Sales - % France</v>
          </cell>
          <cell r="C170" t="str">
            <v>IND_SALES_FRA</v>
          </cell>
          <cell r="AP170">
            <v>0</v>
          </cell>
          <cell r="AQ170">
            <v>0</v>
          </cell>
        </row>
        <row r="171">
          <cell r="B171" t="str">
            <v>Indirect Sales - % Germany</v>
          </cell>
          <cell r="C171" t="str">
            <v>IND_SALES_GER</v>
          </cell>
          <cell r="AP171">
            <v>0</v>
          </cell>
          <cell r="AQ171">
            <v>0</v>
          </cell>
        </row>
        <row r="172">
          <cell r="B172" t="str">
            <v>Indirect Sales - % Greece</v>
          </cell>
          <cell r="C172" t="str">
            <v>IND_SALES_GRE</v>
          </cell>
          <cell r="AP172">
            <v>0</v>
          </cell>
          <cell r="AQ172">
            <v>0</v>
          </cell>
        </row>
        <row r="173">
          <cell r="B173" t="str">
            <v>Indirect Sales - % Iceland</v>
          </cell>
          <cell r="C173" t="str">
            <v>IND_SALES_ICE</v>
          </cell>
          <cell r="AP173">
            <v>0</v>
          </cell>
          <cell r="AQ173">
            <v>0</v>
          </cell>
        </row>
        <row r="174">
          <cell r="B174" t="str">
            <v>Indirect Sales - % Ireland</v>
          </cell>
          <cell r="C174" t="str">
            <v>IND_SALES_IRE</v>
          </cell>
          <cell r="AP174">
            <v>0</v>
          </cell>
          <cell r="AQ174">
            <v>0</v>
          </cell>
        </row>
        <row r="175">
          <cell r="B175" t="str">
            <v>Indirect Sales - % Italy</v>
          </cell>
          <cell r="C175" t="str">
            <v>IND_SALES_ITA</v>
          </cell>
          <cell r="AP175">
            <v>0</v>
          </cell>
          <cell r="AQ175">
            <v>0</v>
          </cell>
        </row>
        <row r="176">
          <cell r="B176" t="str">
            <v>Indirect Sales - % Netherlands</v>
          </cell>
          <cell r="C176" t="str">
            <v>IND_SALES_NETH</v>
          </cell>
          <cell r="AP176">
            <v>0</v>
          </cell>
          <cell r="AQ176">
            <v>0</v>
          </cell>
        </row>
        <row r="177">
          <cell r="B177" t="str">
            <v>Indirect Sales - % Norway</v>
          </cell>
          <cell r="C177" t="str">
            <v>IND_SALES_NOR</v>
          </cell>
          <cell r="AP177">
            <v>0</v>
          </cell>
          <cell r="AQ177">
            <v>0</v>
          </cell>
        </row>
        <row r="178">
          <cell r="B178" t="str">
            <v>Indirect Sales - % Portugal</v>
          </cell>
          <cell r="C178" t="str">
            <v>IND_SALES_POR</v>
          </cell>
          <cell r="AP178">
            <v>0</v>
          </cell>
          <cell r="AQ178">
            <v>0</v>
          </cell>
        </row>
        <row r="179">
          <cell r="B179" t="str">
            <v>Indirect Sales - % Spain</v>
          </cell>
          <cell r="C179" t="str">
            <v>IND_SALES_SPA</v>
          </cell>
          <cell r="AP179">
            <v>0</v>
          </cell>
          <cell r="AQ179">
            <v>0</v>
          </cell>
        </row>
        <row r="180">
          <cell r="B180" t="str">
            <v>Indirect Sales - % Other Western Europe-Ex UK</v>
          </cell>
          <cell r="C180" t="str">
            <v>IND_SALES_OTH_EU_EX_UK</v>
          </cell>
          <cell r="AP180">
            <v>0.14000000000000001</v>
          </cell>
          <cell r="AQ180">
            <v>0.14000000000000001</v>
          </cell>
        </row>
        <row r="181">
          <cell r="B181" t="str">
            <v>Indirect Sales - % Sweden</v>
          </cell>
          <cell r="C181" t="str">
            <v>IND_SALES_SWE</v>
          </cell>
          <cell r="AP181">
            <v>0</v>
          </cell>
          <cell r="AQ181">
            <v>0</v>
          </cell>
        </row>
        <row r="182">
          <cell r="B182" t="str">
            <v>Indirect Sales - % Switzerland</v>
          </cell>
          <cell r="C182" t="str">
            <v>IND_SALES_SWIT</v>
          </cell>
          <cell r="AP182">
            <v>0</v>
          </cell>
          <cell r="AQ182">
            <v>0</v>
          </cell>
        </row>
        <row r="183">
          <cell r="B183" t="str">
            <v>Indirect Sales - % Central &amp; Eastern Europe</v>
          </cell>
          <cell r="C183" t="str">
            <v>IND_SALES_CEE</v>
          </cell>
          <cell r="AP183">
            <v>0</v>
          </cell>
          <cell r="AQ183">
            <v>0</v>
          </cell>
        </row>
        <row r="184">
          <cell r="B184" t="str">
            <v>Indirect Sales - % Middle East</v>
          </cell>
          <cell r="C184" t="str">
            <v>IND_SALES_ME</v>
          </cell>
          <cell r="AP184">
            <v>0.14000000000000001</v>
          </cell>
          <cell r="AQ184">
            <v>0.14000000000000001</v>
          </cell>
        </row>
        <row r="185">
          <cell r="B185" t="str">
            <v>Indirect Sales - % Russia</v>
          </cell>
          <cell r="C185" t="str">
            <v>IND_SALES_RUSSIA</v>
          </cell>
          <cell r="AP185">
            <v>0</v>
          </cell>
          <cell r="AQ185">
            <v>0</v>
          </cell>
        </row>
        <row r="186">
          <cell r="B186" t="str">
            <v>Indirect sales - % South Africa</v>
          </cell>
          <cell r="C186" t="str">
            <v>IND_SALES_SO_AFRICA</v>
          </cell>
          <cell r="AP186">
            <v>0</v>
          </cell>
          <cell r="AQ186">
            <v>0</v>
          </cell>
        </row>
        <row r="187">
          <cell r="B187" t="str">
            <v>Indirect sales - % Nigeria</v>
          </cell>
          <cell r="C187" t="str">
            <v>IND_SALES_NIGERIA</v>
          </cell>
          <cell r="AP187">
            <v>0</v>
          </cell>
          <cell r="AQ187">
            <v>0</v>
          </cell>
        </row>
        <row r="188">
          <cell r="B188" t="str">
            <v>Indirect sales - % Other Africa</v>
          </cell>
          <cell r="C188" t="str">
            <v>IND_SALES_OTH_AFRICA</v>
          </cell>
          <cell r="AP188">
            <v>0</v>
          </cell>
          <cell r="AQ188">
            <v>0</v>
          </cell>
        </row>
        <row r="189">
          <cell r="B189" t="str">
            <v>Indirect Sales - % Other EMEA</v>
          </cell>
          <cell r="C189" t="str">
            <v>IND_SALES_OTH_EMEA</v>
          </cell>
          <cell r="AP189">
            <v>0</v>
          </cell>
          <cell r="AQ189">
            <v>0</v>
          </cell>
        </row>
        <row r="190">
          <cell r="B190" t="str">
            <v>Indirect sales - % Total Africa</v>
          </cell>
          <cell r="C190" t="str">
            <v>IND_SALES_TOT_AFRICA</v>
          </cell>
          <cell r="AP190">
            <v>0</v>
          </cell>
          <cell r="AQ190">
            <v>0</v>
          </cell>
        </row>
        <row r="191">
          <cell r="B191" t="str">
            <v>Indirect Sales - Total % Asia (incl Australia &amp; New Zealand)</v>
          </cell>
          <cell r="C191" t="str">
            <v>IND_SALES_TOT_ASIA</v>
          </cell>
          <cell r="AP191">
            <v>0.06</v>
          </cell>
          <cell r="AQ191">
            <v>0.06</v>
          </cell>
        </row>
        <row r="192">
          <cell r="B192" t="str">
            <v>Indirect Sales - % Japan</v>
          </cell>
          <cell r="C192" t="str">
            <v>IND_SALES_JAPAN</v>
          </cell>
          <cell r="AP192">
            <v>0</v>
          </cell>
          <cell r="AQ192">
            <v>0</v>
          </cell>
        </row>
        <row r="193">
          <cell r="B193" t="str">
            <v>Indirect Sales - % China</v>
          </cell>
          <cell r="C193" t="str">
            <v>IND_SALES_CHINA</v>
          </cell>
          <cell r="AP193">
            <v>0</v>
          </cell>
          <cell r="AQ193">
            <v>0</v>
          </cell>
        </row>
        <row r="194">
          <cell r="B194" t="str">
            <v>Indirect Sales - % India</v>
          </cell>
          <cell r="C194" t="str">
            <v>IND_SALES_INDIA</v>
          </cell>
          <cell r="AP194">
            <v>0</v>
          </cell>
          <cell r="AQ194">
            <v>0</v>
          </cell>
        </row>
        <row r="195">
          <cell r="B195" t="str">
            <v>Indirect Sales - % South Korea</v>
          </cell>
          <cell r="C195" t="str">
            <v>IND_SALES_SK</v>
          </cell>
          <cell r="AP195">
            <v>0</v>
          </cell>
          <cell r="AQ195">
            <v>0</v>
          </cell>
        </row>
        <row r="196">
          <cell r="B196" t="str">
            <v>Indirect Sales - % Australia</v>
          </cell>
          <cell r="C196" t="str">
            <v>IND_SALES_AUSTRA</v>
          </cell>
          <cell r="AP196">
            <v>0.06</v>
          </cell>
          <cell r="AQ196">
            <v>0.06</v>
          </cell>
        </row>
        <row r="197">
          <cell r="B197" t="str">
            <v>Indirect Sales - % New Zealand</v>
          </cell>
          <cell r="C197" t="str">
            <v>IND_SALES_NZ</v>
          </cell>
          <cell r="AP197">
            <v>0</v>
          </cell>
          <cell r="AQ197">
            <v>0</v>
          </cell>
        </row>
        <row r="198">
          <cell r="B198" t="str">
            <v>Indirect Sales - % Other Asia</v>
          </cell>
          <cell r="C198" t="str">
            <v>IND_SALES_OTH_AEJ</v>
          </cell>
          <cell r="AP198">
            <v>0</v>
          </cell>
          <cell r="AQ198">
            <v>0</v>
          </cell>
        </row>
        <row r="199">
          <cell r="B199" t="str">
            <v>Indirect Sales - % Others</v>
          </cell>
          <cell r="C199" t="str">
            <v>IND_SALES_OTHER</v>
          </cell>
          <cell r="AP199">
            <v>0.05</v>
          </cell>
          <cell r="AQ199">
            <v>0.05</v>
          </cell>
        </row>
        <row r="200">
          <cell r="B200" t="str">
            <v>Operating Profit - % Total Americas</v>
          </cell>
          <cell r="C200" t="str">
            <v>OP_TOT_AM</v>
          </cell>
        </row>
        <row r="201">
          <cell r="B201" t="str">
            <v>Operating Profit - % United States</v>
          </cell>
          <cell r="C201" t="str">
            <v>OP_US</v>
          </cell>
        </row>
        <row r="202">
          <cell r="B202" t="str">
            <v>Operating Profit - % Canada</v>
          </cell>
          <cell r="C202" t="str">
            <v>OP_CANADA</v>
          </cell>
        </row>
        <row r="203">
          <cell r="B203" t="str">
            <v>Operating Profit - % Brazil</v>
          </cell>
          <cell r="C203" t="str">
            <v>OP_BRAZIL</v>
          </cell>
        </row>
        <row r="204">
          <cell r="B204" t="str">
            <v>Operating Profit - % Other Americas</v>
          </cell>
          <cell r="C204" t="str">
            <v>OP_OTH_AM</v>
          </cell>
        </row>
        <row r="205">
          <cell r="B205" t="str">
            <v>Operating Profit - Total % EMEA</v>
          </cell>
          <cell r="C205" t="str">
            <v>OP_TOT_EMEA</v>
          </cell>
        </row>
        <row r="206">
          <cell r="B206" t="str">
            <v>Operating Profit - % UK</v>
          </cell>
          <cell r="C206" t="str">
            <v>OP_UK</v>
          </cell>
        </row>
        <row r="207">
          <cell r="B207" t="str">
            <v>Operating Profit - % Europe-Ex UK</v>
          </cell>
          <cell r="C207" t="str">
            <v>OP_EU_EX_UK</v>
          </cell>
        </row>
        <row r="208">
          <cell r="B208" t="str">
            <v>Operating Profit - % Austria</v>
          </cell>
          <cell r="C208" t="str">
            <v>OP_AUSTRIA</v>
          </cell>
        </row>
        <row r="209">
          <cell r="B209" t="str">
            <v>Operating Profit - % Belgium</v>
          </cell>
          <cell r="C209" t="str">
            <v>OP_BEL</v>
          </cell>
        </row>
        <row r="210">
          <cell r="B210" t="str">
            <v>Operating Profit - % Denmark</v>
          </cell>
          <cell r="C210" t="str">
            <v>OP_DEN</v>
          </cell>
        </row>
        <row r="211">
          <cell r="B211" t="str">
            <v>Operating Profit - % Finland</v>
          </cell>
          <cell r="C211" t="str">
            <v>OP_FIN</v>
          </cell>
        </row>
        <row r="212">
          <cell r="B212" t="str">
            <v>Operating Profit - % France</v>
          </cell>
          <cell r="C212" t="str">
            <v>OP_FRA</v>
          </cell>
        </row>
        <row r="213">
          <cell r="B213" t="str">
            <v>Operating Profit - % Germany</v>
          </cell>
          <cell r="C213" t="str">
            <v>OP_GER</v>
          </cell>
        </row>
        <row r="214">
          <cell r="B214" t="str">
            <v>Operating Profit - % Greece</v>
          </cell>
          <cell r="C214" t="str">
            <v>OP_GRE</v>
          </cell>
        </row>
        <row r="215">
          <cell r="B215" t="str">
            <v>Operating Profit - % Iceland</v>
          </cell>
          <cell r="C215" t="str">
            <v>OP_ICE</v>
          </cell>
        </row>
        <row r="216">
          <cell r="B216" t="str">
            <v>Operating Profit - % Ireland</v>
          </cell>
          <cell r="C216" t="str">
            <v>OP_IRE</v>
          </cell>
        </row>
        <row r="217">
          <cell r="B217" t="str">
            <v>Operating Profit - % Italy</v>
          </cell>
          <cell r="C217" t="str">
            <v>OP_ITA</v>
          </cell>
        </row>
        <row r="218">
          <cell r="B218" t="str">
            <v>Operating Profit - % Netherlands</v>
          </cell>
          <cell r="C218" t="str">
            <v>OP_NETH</v>
          </cell>
        </row>
        <row r="219">
          <cell r="B219" t="str">
            <v>Operating Profit - % Norway</v>
          </cell>
          <cell r="C219" t="str">
            <v>OP_NOR</v>
          </cell>
        </row>
        <row r="220">
          <cell r="B220" t="str">
            <v>Operating Profit - % Portugal</v>
          </cell>
          <cell r="C220" t="str">
            <v>OP_POR</v>
          </cell>
        </row>
        <row r="221">
          <cell r="B221" t="str">
            <v>Operating Profit - % Spain</v>
          </cell>
          <cell r="C221" t="str">
            <v>OP_SPA</v>
          </cell>
        </row>
        <row r="222">
          <cell r="B222" t="str">
            <v>Operating Profit - % Sweden</v>
          </cell>
          <cell r="C222" t="str">
            <v>OP_SWE</v>
          </cell>
        </row>
        <row r="223">
          <cell r="B223" t="str">
            <v>Operating Profit - % Switzerland</v>
          </cell>
          <cell r="C223" t="str">
            <v>OP_SWIT</v>
          </cell>
        </row>
        <row r="224">
          <cell r="B224" t="str">
            <v>Operating Profit - % Central &amp; Eastern Europe</v>
          </cell>
          <cell r="C224" t="str">
            <v>OP_CEE</v>
          </cell>
        </row>
        <row r="225">
          <cell r="B225" t="str">
            <v>Operating Profit - % Middle East</v>
          </cell>
          <cell r="C225" t="str">
            <v>OP_ME</v>
          </cell>
        </row>
        <row r="226">
          <cell r="B226" t="str">
            <v>Operating Profit - % Russia</v>
          </cell>
          <cell r="C226" t="str">
            <v>OP_RUSSIA</v>
          </cell>
        </row>
        <row r="227">
          <cell r="B227" t="str">
            <v>Operating Profit - % Other EMEA</v>
          </cell>
          <cell r="C227" t="str">
            <v>OP_OTH_EMEA</v>
          </cell>
        </row>
        <row r="228">
          <cell r="B228" t="str">
            <v>Operating Profit - Total % Asia (incl Australia &amp; New Zealand)</v>
          </cell>
          <cell r="C228" t="str">
            <v>OP_TOT_ASIA</v>
          </cell>
        </row>
        <row r="229">
          <cell r="B229" t="str">
            <v>Operating Profit - % Japan</v>
          </cell>
          <cell r="C229" t="str">
            <v>OP_JAPAN</v>
          </cell>
        </row>
        <row r="230">
          <cell r="B230" t="str">
            <v>Operating Profit - % Greater China (incl HK)</v>
          </cell>
          <cell r="C230" t="str">
            <v>OP_CHINA</v>
          </cell>
        </row>
        <row r="231">
          <cell r="B231" t="str">
            <v>Operating Profit - % India</v>
          </cell>
          <cell r="C231" t="str">
            <v>OP_INDIA</v>
          </cell>
        </row>
        <row r="232">
          <cell r="B232" t="str">
            <v>Operating Profit - % South Korea</v>
          </cell>
          <cell r="C232" t="str">
            <v>OP_SK</v>
          </cell>
        </row>
        <row r="233">
          <cell r="B233" t="str">
            <v>Operating Profit - % Australia</v>
          </cell>
          <cell r="C233" t="str">
            <v>OP_AUSTRA</v>
          </cell>
        </row>
        <row r="234">
          <cell r="B234" t="str">
            <v>Operating Profit - % New Zealand</v>
          </cell>
          <cell r="C234" t="str">
            <v>OP_NZ</v>
          </cell>
        </row>
        <row r="235">
          <cell r="B235" t="str">
            <v>Operating Profit - % Other AEJ (incl Taiwan)</v>
          </cell>
          <cell r="C235" t="str">
            <v>OP_OTH_AEJ</v>
          </cell>
        </row>
        <row r="236">
          <cell r="B236" t="str">
            <v>Operating Profit - % Others</v>
          </cell>
          <cell r="C236" t="str">
            <v>OP_OTHER</v>
          </cell>
        </row>
        <row r="237">
          <cell r="B237" t="str">
            <v>Sales -% Consumer (C)</v>
          </cell>
          <cell r="C237" t="str">
            <v>SALES_CONS</v>
          </cell>
          <cell r="AP237">
            <v>0</v>
          </cell>
          <cell r="AQ237">
            <v>0</v>
          </cell>
        </row>
        <row r="238">
          <cell r="B238" t="str">
            <v>Sales -% Industry (I)</v>
          </cell>
          <cell r="C238" t="str">
            <v>SALES_IND</v>
          </cell>
          <cell r="AP238">
            <v>0.03</v>
          </cell>
          <cell r="AQ238">
            <v>0.03</v>
          </cell>
        </row>
        <row r="239">
          <cell r="B239" t="str">
            <v>Sales -% Government (G)</v>
          </cell>
          <cell r="C239" t="str">
            <v>SALES_GOV</v>
          </cell>
          <cell r="AP239">
            <v>0.97</v>
          </cell>
          <cell r="AQ239">
            <v>0.97</v>
          </cell>
        </row>
        <row r="240">
          <cell r="B240" t="str">
            <v>Sales - % Industry Sub-Segment: Financial Services</v>
          </cell>
          <cell r="C240" t="str">
            <v>SALES_FINAN</v>
          </cell>
          <cell r="AP240">
            <v>0</v>
          </cell>
          <cell r="AQ240">
            <v>0</v>
          </cell>
        </row>
        <row r="241">
          <cell r="B241" t="str">
            <v>Operating Profit - % Consumer (C)</v>
          </cell>
          <cell r="C241" t="str">
            <v>OP_CONS</v>
          </cell>
        </row>
        <row r="242">
          <cell r="B242" t="str">
            <v>Operating Profit - % Industry (I)</v>
          </cell>
          <cell r="C242" t="str">
            <v>OP_IND</v>
          </cell>
        </row>
        <row r="243">
          <cell r="B243" t="str">
            <v>Operating Profit - % Government (G)</v>
          </cell>
          <cell r="C243" t="str">
            <v>OP_GOV</v>
          </cell>
        </row>
        <row r="244">
          <cell r="B244" t="str">
            <v>Net Income - % Consumer (C)</v>
          </cell>
          <cell r="C244" t="str">
            <v>NI_CON</v>
          </cell>
        </row>
        <row r="245">
          <cell r="B245" t="str">
            <v>Net Income - % Industry (I)</v>
          </cell>
          <cell r="C245" t="str">
            <v>NI_IND</v>
          </cell>
        </row>
        <row r="246">
          <cell r="B246" t="str">
            <v>Net Income - % Government (G)</v>
          </cell>
          <cell r="C246" t="str">
            <v>NI_GOV</v>
          </cell>
        </row>
        <row r="247">
          <cell r="B247" t="str">
            <v>Sales US - % Consumer (C)</v>
          </cell>
          <cell r="C247" t="str">
            <v>SALES_US_CONS</v>
          </cell>
        </row>
        <row r="248">
          <cell r="B248" t="str">
            <v>Sales US - % Industry (I)</v>
          </cell>
          <cell r="C248" t="str">
            <v>SALES_US_IND</v>
          </cell>
        </row>
        <row r="249">
          <cell r="B249" t="str">
            <v>Sales US - % Government (G)</v>
          </cell>
          <cell r="C249" t="str">
            <v>SALES_US_GOV</v>
          </cell>
        </row>
        <row r="250">
          <cell r="B250" t="str">
            <v>Sales UK - % Consumer (C)</v>
          </cell>
          <cell r="C250" t="str">
            <v>SALES_UK_CONS</v>
          </cell>
        </row>
        <row r="251">
          <cell r="B251" t="str">
            <v>Sales UK - % Industry (I)</v>
          </cell>
          <cell r="C251" t="str">
            <v>SALES_UK_IND</v>
          </cell>
        </row>
        <row r="252">
          <cell r="B252" t="str">
            <v>Sales UK - % Government (G)</v>
          </cell>
          <cell r="C252" t="str">
            <v>SALES_UK_GOV</v>
          </cell>
        </row>
        <row r="253">
          <cell r="B253" t="str">
            <v>Sales Dev. EU ex UK - % Consumer (C)</v>
          </cell>
          <cell r="C253" t="str">
            <v>SALES_EU_EX_UK_CONS</v>
          </cell>
        </row>
        <row r="254">
          <cell r="B254" t="str">
            <v>Sales Dev. EU ex UK - % Industry (I)</v>
          </cell>
          <cell r="C254" t="str">
            <v>SALES_EU_EX_UK_IND</v>
          </cell>
        </row>
        <row r="255">
          <cell r="B255" t="str">
            <v>Sales Dev. EU ex UK - % Government (G)</v>
          </cell>
          <cell r="C255" t="str">
            <v>SALES_EU_EX_UK_GOV</v>
          </cell>
        </row>
        <row r="256">
          <cell r="B256" t="str">
            <v>Sales BRICs/other - % Consumer (C)</v>
          </cell>
          <cell r="C256" t="str">
            <v>SALES_BRICS_CONS</v>
          </cell>
        </row>
        <row r="257">
          <cell r="B257" t="str">
            <v>Sales BRICs/other - % Industry (I)</v>
          </cell>
          <cell r="C257" t="str">
            <v>SALES_BRICS_IND</v>
          </cell>
        </row>
        <row r="258">
          <cell r="B258" t="str">
            <v>Sales BRICs/other - % Government (G)</v>
          </cell>
          <cell r="C258" t="str">
            <v>SALES_BRICS_GOV</v>
          </cell>
        </row>
        <row r="259">
          <cell r="B259" t="str">
            <v>Indirect Sales -% Consumer (C)</v>
          </cell>
          <cell r="C259" t="str">
            <v>IND_SALES_CONS</v>
          </cell>
          <cell r="AP259">
            <v>0</v>
          </cell>
          <cell r="AQ259">
            <v>0</v>
          </cell>
        </row>
        <row r="260">
          <cell r="B260" t="str">
            <v>Indirect Sales -% Industry (I)</v>
          </cell>
          <cell r="C260" t="str">
            <v>IND_SALES_IND</v>
          </cell>
          <cell r="AP260">
            <v>0.03</v>
          </cell>
          <cell r="AQ260">
            <v>0.03</v>
          </cell>
        </row>
        <row r="261">
          <cell r="B261" t="str">
            <v>Indirect Sales -% Government (G)</v>
          </cell>
          <cell r="C261" t="str">
            <v>IND_SALES_GOV</v>
          </cell>
          <cell r="AP261">
            <v>0.97</v>
          </cell>
          <cell r="AQ261">
            <v>0.97</v>
          </cell>
        </row>
        <row r="262">
          <cell r="B262" t="str">
            <v>Indirect Sales -% Industry Sub-Segment: Financial Services</v>
          </cell>
          <cell r="C262" t="str">
            <v>IND_SALES_FINAN</v>
          </cell>
          <cell r="AP262">
            <v>0</v>
          </cell>
          <cell r="AQ262">
            <v>0</v>
          </cell>
        </row>
        <row r="263">
          <cell r="B263" t="str">
            <v>Indirect Sales US - % Consumer (C)</v>
          </cell>
          <cell r="C263" t="str">
            <v>IND_SALES_US_CONS</v>
          </cell>
        </row>
        <row r="264">
          <cell r="B264" t="str">
            <v>Indirect Sales US - % Industry (I)</v>
          </cell>
          <cell r="C264" t="str">
            <v>IND_SALES_US_IND</v>
          </cell>
        </row>
        <row r="265">
          <cell r="B265" t="str">
            <v>Indirect Sales US - % Government (G)</v>
          </cell>
          <cell r="C265" t="str">
            <v>IND_SALES_US_GOV</v>
          </cell>
        </row>
        <row r="266">
          <cell r="B266" t="str">
            <v>Indirect Sales UK - % Consumer (C)</v>
          </cell>
          <cell r="C266" t="str">
            <v>IND_SALES_UK_CONS</v>
          </cell>
        </row>
        <row r="267">
          <cell r="B267" t="str">
            <v>Indirect Sales UK - % Industry (I)</v>
          </cell>
          <cell r="C267" t="str">
            <v>IND_SALES_UK_IND</v>
          </cell>
        </row>
        <row r="268">
          <cell r="B268" t="str">
            <v>Indirect Sales UK - % Government (G)</v>
          </cell>
          <cell r="C268" t="str">
            <v>IND_SALES_UK_GOV</v>
          </cell>
        </row>
        <row r="269">
          <cell r="B269" t="str">
            <v>Indirect Sales Dev. EU ex UK - % Consumer (C)</v>
          </cell>
          <cell r="C269" t="str">
            <v>IND_SALES_EU_EX_UK_CONS</v>
          </cell>
        </row>
        <row r="270">
          <cell r="B270" t="str">
            <v>Indirect Sales Dev. EU ex UK - % Industry (I)</v>
          </cell>
          <cell r="C270" t="str">
            <v>IND_SALES_EU_EX_UK_IND</v>
          </cell>
        </row>
        <row r="271">
          <cell r="B271" t="str">
            <v>Indirect Sales Dev. EU ex UK - % Government (G)</v>
          </cell>
          <cell r="C271" t="str">
            <v>IND_SALES_EU_EX_UK_GOV</v>
          </cell>
        </row>
        <row r="272">
          <cell r="B272" t="str">
            <v>Indirect Sales BRICs/other - % Consumer (C)</v>
          </cell>
          <cell r="C272" t="str">
            <v>IND_SALES_BRICS_CONS</v>
          </cell>
        </row>
        <row r="273">
          <cell r="B273" t="str">
            <v>Indirect Sales BRICs/other - % Industry (I)</v>
          </cell>
          <cell r="C273" t="str">
            <v>IND_SALES_BRICS_IND</v>
          </cell>
        </row>
        <row r="274">
          <cell r="B274" t="str">
            <v>Indirect Sales BRICs/other - % Government (G)</v>
          </cell>
          <cell r="C274" t="str">
            <v>IND_SALES_BRICS_GOV</v>
          </cell>
        </row>
        <row r="275">
          <cell r="B275" t="str">
            <v>Operating Profit US - % Consumer (C)</v>
          </cell>
          <cell r="C275" t="str">
            <v>OP_US_CONS</v>
          </cell>
        </row>
        <row r="276">
          <cell r="B276" t="str">
            <v>Operating Profit US - % Industry (I)</v>
          </cell>
          <cell r="C276" t="str">
            <v>OP_US_IND</v>
          </cell>
        </row>
        <row r="277">
          <cell r="B277" t="str">
            <v>Operating Profit US - % Government (G)</v>
          </cell>
          <cell r="C277" t="str">
            <v>OP_US_GOV</v>
          </cell>
        </row>
        <row r="278">
          <cell r="B278" t="str">
            <v>Operating Profit UK - % Consumer (C)</v>
          </cell>
          <cell r="C278" t="str">
            <v>OP_UK_CONS</v>
          </cell>
        </row>
        <row r="279">
          <cell r="B279" t="str">
            <v>Operating Profit UK - % Industry (I)</v>
          </cell>
          <cell r="C279" t="str">
            <v>OP_UK_IND</v>
          </cell>
        </row>
        <row r="280">
          <cell r="B280" t="str">
            <v>Operating Profit UK - % Government (G)</v>
          </cell>
          <cell r="C280" t="str">
            <v>OP_UK_GOV</v>
          </cell>
        </row>
        <row r="281">
          <cell r="B281" t="str">
            <v>Operating Profit Dev, EU ex-UK% Consumer (C)</v>
          </cell>
          <cell r="C281" t="str">
            <v>OP_EU_EX_UK_CONS</v>
          </cell>
        </row>
        <row r="282">
          <cell r="B282" t="str">
            <v>Operating Profit Dev, EU ex-UK% Industry (I)</v>
          </cell>
          <cell r="C282" t="str">
            <v>OP_EU_EX_UK_IND</v>
          </cell>
          <cell r="F282" t="str">
            <v/>
          </cell>
          <cell r="G282" t="str">
            <v/>
          </cell>
          <cell r="H282" t="str">
            <v/>
          </cell>
          <cell r="I282" t="str">
            <v/>
          </cell>
          <cell r="J282" t="str">
            <v/>
          </cell>
          <cell r="K282" t="str">
            <v/>
          </cell>
          <cell r="L282" t="str">
            <v/>
          </cell>
          <cell r="M282" t="str">
            <v/>
          </cell>
          <cell r="N282" t="str">
            <v/>
          </cell>
          <cell r="O282" t="str">
            <v/>
          </cell>
          <cell r="P282" t="str">
            <v/>
          </cell>
          <cell r="Q282" t="str">
            <v/>
          </cell>
          <cell r="R282" t="str">
            <v/>
          </cell>
          <cell r="S282" t="str">
            <v/>
          </cell>
          <cell r="T282" t="str">
            <v/>
          </cell>
          <cell r="U282" t="str">
            <v/>
          </cell>
          <cell r="V282" t="str">
            <v/>
          </cell>
          <cell r="W282" t="str">
            <v/>
          </cell>
        </row>
        <row r="283">
          <cell r="B283" t="str">
            <v>Operating Profit Dev, EU ex-UK% Government (G)</v>
          </cell>
          <cell r="C283" t="str">
            <v>OP_EU_EX_UK_GOV</v>
          </cell>
        </row>
        <row r="284">
          <cell r="B284" t="str">
            <v>Operating Profit BRICs/other - % Consumer (C)</v>
          </cell>
          <cell r="C284" t="str">
            <v>OP_BRICS_CONS</v>
          </cell>
        </row>
        <row r="285">
          <cell r="B285" t="str">
            <v>Operating Profit BRICs/other - % Industry (I)</v>
          </cell>
          <cell r="C285" t="str">
            <v>OP_BRICS_IND</v>
          </cell>
        </row>
        <row r="286">
          <cell r="B286" t="str">
            <v>Operating Profit BRICs/other - % Government (G)</v>
          </cell>
          <cell r="C286" t="str">
            <v>OP_BRICS_GOV</v>
          </cell>
        </row>
        <row r="287">
          <cell r="B287" t="str">
            <v>Net Income  US - % Consumer (C)</v>
          </cell>
          <cell r="C287" t="str">
            <v>NI_US_CONS</v>
          </cell>
        </row>
        <row r="288">
          <cell r="B288" t="str">
            <v>Net Income  US - % Industry (I)</v>
          </cell>
          <cell r="C288" t="str">
            <v>NI_US_IND</v>
          </cell>
        </row>
        <row r="289">
          <cell r="B289" t="str">
            <v>Net Income  US - % Government (G)</v>
          </cell>
          <cell r="C289" t="str">
            <v>NI_US_GOV</v>
          </cell>
        </row>
        <row r="290">
          <cell r="B290" t="str">
            <v>Net Income  UK - % Consumer (C)</v>
          </cell>
          <cell r="C290" t="str">
            <v>NI_UK_CONS</v>
          </cell>
        </row>
        <row r="291">
          <cell r="B291" t="str">
            <v>Net Income  UK - % Industry (I)</v>
          </cell>
          <cell r="C291" t="str">
            <v>NI_UK_IND</v>
          </cell>
        </row>
        <row r="292">
          <cell r="B292" t="str">
            <v>Net Income  UK - % Government (G)</v>
          </cell>
          <cell r="C292" t="str">
            <v>NI_UK_GOV</v>
          </cell>
        </row>
        <row r="293">
          <cell r="B293" t="str">
            <v>Net Income  Dev, EU ex-UK% Consumer (C)</v>
          </cell>
          <cell r="C293" t="str">
            <v>NI_EU_EX_UK_CONS</v>
          </cell>
        </row>
        <row r="294">
          <cell r="B294" t="str">
            <v>Net Income  Dev, EU ex-UK% Industry (I)</v>
          </cell>
          <cell r="C294" t="str">
            <v>NI_EU_EX_UK_IND</v>
          </cell>
        </row>
        <row r="295">
          <cell r="B295" t="str">
            <v>Net Income  Dev, EU ex-UK% Government (G)</v>
          </cell>
          <cell r="C295" t="str">
            <v>NI_EU_EX_UK_GOV</v>
          </cell>
        </row>
        <row r="296">
          <cell r="B296" t="str">
            <v>Net Income  BRICs/other - % Consumer (C)</v>
          </cell>
          <cell r="C296" t="str">
            <v>NI_BRICS_CONS</v>
          </cell>
        </row>
        <row r="297">
          <cell r="B297" t="str">
            <v>Net Income  BRICs/other - % Industry (I)</v>
          </cell>
          <cell r="C297" t="str">
            <v>NI_BRICS_IND</v>
          </cell>
        </row>
        <row r="298">
          <cell r="B298" t="str">
            <v>Net Income  BRICs/other - % Government (G)</v>
          </cell>
          <cell r="C298" t="str">
            <v>NI_BRICS_GOV</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cell r="AP321">
            <v>0.21</v>
          </cell>
          <cell r="AQ321">
            <v>0.21</v>
          </cell>
        </row>
        <row r="322">
          <cell r="B322" t="str">
            <v>Sales - % FX: Euro</v>
          </cell>
          <cell r="C322" t="str">
            <v>SALES_FX_EUR</v>
          </cell>
          <cell r="AP322">
            <v>0.14000000000000001</v>
          </cell>
          <cell r="AQ322">
            <v>0.14000000000000001</v>
          </cell>
        </row>
        <row r="323">
          <cell r="B323" t="str">
            <v>Sales - % FX: New Russian Ruble</v>
          </cell>
          <cell r="C323" t="str">
            <v>SALES_FX_RUB</v>
          </cell>
          <cell r="AP323">
            <v>0</v>
          </cell>
          <cell r="AQ323">
            <v>0</v>
          </cell>
        </row>
        <row r="324">
          <cell r="B324" t="str">
            <v>Sales - % FX: U.S. Dollar</v>
          </cell>
          <cell r="C324" t="str">
            <v>SALES_FX_USD</v>
          </cell>
          <cell r="AP324">
            <v>0.65</v>
          </cell>
          <cell r="AQ324">
            <v>0.65</v>
          </cell>
          <cell r="AY324" t="str">
            <v>NK: All non EU sales considered to be in USD</v>
          </cell>
        </row>
        <row r="325">
          <cell r="B325" t="str">
            <v>Sales - % FX: Brazilian Real</v>
          </cell>
          <cell r="C325" t="str">
            <v>SALES_FX_BRL</v>
          </cell>
          <cell r="AP325">
            <v>0</v>
          </cell>
          <cell r="AQ325">
            <v>0</v>
          </cell>
        </row>
        <row r="326">
          <cell r="B326" t="str">
            <v>Sales - % FX: Japanese Yen</v>
          </cell>
          <cell r="C326" t="str">
            <v>SALES_FX_YEN</v>
          </cell>
          <cell r="AP326">
            <v>0</v>
          </cell>
          <cell r="AQ326">
            <v>0</v>
          </cell>
        </row>
        <row r="327">
          <cell r="B327" t="str">
            <v>Sales - % FX: Chinese Renminbi</v>
          </cell>
          <cell r="C327" t="str">
            <v>SALES_FX_CNY</v>
          </cell>
          <cell r="AP327">
            <v>0</v>
          </cell>
          <cell r="AQ327">
            <v>0</v>
          </cell>
        </row>
        <row r="328">
          <cell r="B328" t="str">
            <v>Sales - % FX: Indian Rupee</v>
          </cell>
          <cell r="C328" t="str">
            <v>SALES_FX_INR</v>
          </cell>
          <cell r="AP328">
            <v>0</v>
          </cell>
          <cell r="AQ328">
            <v>0</v>
          </cell>
        </row>
        <row r="329">
          <cell r="B329" t="str">
            <v>Sales - % FX: South African Rand</v>
          </cell>
          <cell r="C329" t="str">
            <v>SALES_FX_ZAR</v>
          </cell>
          <cell r="AP329">
            <v>0</v>
          </cell>
          <cell r="AQ329">
            <v>0</v>
          </cell>
        </row>
        <row r="330">
          <cell r="B330" t="str">
            <v>Sales - % FX: Nigerian Naira</v>
          </cell>
          <cell r="C330" t="str">
            <v>SALES_FX_NGN</v>
          </cell>
          <cell r="AP330">
            <v>0</v>
          </cell>
          <cell r="AQ330">
            <v>0</v>
          </cell>
        </row>
        <row r="331">
          <cell r="B331" t="str">
            <v>Sales - % FX: Swiss Franc</v>
          </cell>
          <cell r="C331" t="str">
            <v>SALES_FX_CHF</v>
          </cell>
          <cell r="AP331">
            <v>0</v>
          </cell>
          <cell r="AQ331">
            <v>0</v>
          </cell>
        </row>
        <row r="332">
          <cell r="B332" t="str">
            <v>Sales - % FX: UAE Dirham</v>
          </cell>
          <cell r="C332" t="str">
            <v>SALES_FX_AED</v>
          </cell>
          <cell r="AP332">
            <v>0</v>
          </cell>
          <cell r="AQ332">
            <v>0</v>
          </cell>
        </row>
        <row r="333">
          <cell r="B333" t="str">
            <v>Sales - % FX: New Turkish Lira</v>
          </cell>
          <cell r="C333" t="str">
            <v>SALES_FX_TRY</v>
          </cell>
          <cell r="AP333">
            <v>0</v>
          </cell>
          <cell r="AQ333">
            <v>0</v>
          </cell>
        </row>
        <row r="334">
          <cell r="B334" t="str">
            <v>Sales - % FX: Other Currency</v>
          </cell>
          <cell r="C334" t="str">
            <v>SALES_FX_OTH</v>
          </cell>
          <cell r="AP334">
            <v>0</v>
          </cell>
          <cell r="AQ334">
            <v>0</v>
          </cell>
        </row>
        <row r="335">
          <cell r="A335" t="str">
            <v>Security: BAE Systems</v>
          </cell>
        </row>
        <row r="336">
          <cell r="A336" t="str">
            <v>Reference Data</v>
          </cell>
        </row>
        <row r="337">
          <cell r="B337" t="str">
            <v>Ticker</v>
          </cell>
          <cell r="C337" t="str">
            <v>Ticker</v>
          </cell>
          <cell r="E337" t="str">
            <v>BAES.L</v>
          </cell>
        </row>
        <row r="338">
          <cell r="B338" t="str">
            <v>Security Name</v>
          </cell>
          <cell r="C338" t="str">
            <v>Security Name</v>
          </cell>
          <cell r="E338" t="str">
            <v>BAE Systems</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row>
        <row r="347">
          <cell r="B347" t="str">
            <v>Target price</v>
          </cell>
          <cell r="C347" t="str">
            <v>TARGET_PRICE</v>
          </cell>
          <cell r="D347" t="str">
            <v>GBP</v>
          </cell>
          <cell r="E347">
            <v>480</v>
          </cell>
        </row>
        <row r="348">
          <cell r="B348" t="str">
            <v>Target price period</v>
          </cell>
          <cell r="C348" t="str">
            <v>TP_PERIOD</v>
          </cell>
          <cell r="E348" t="str">
            <v>12 months</v>
          </cell>
        </row>
        <row r="349">
          <cell r="B349" t="str">
            <v>Current shares outstanding (mn)</v>
          </cell>
          <cell r="C349" t="str">
            <v>NUM_SH</v>
          </cell>
          <cell r="E349">
            <v>3236.3636363636365</v>
          </cell>
        </row>
        <row r="350">
          <cell r="B350" t="str">
            <v>Free float</v>
          </cell>
          <cell r="C350" t="str">
            <v>FREE_FLOAT</v>
          </cell>
        </row>
        <row r="351">
          <cell r="A351" t="str">
            <v>Publishing Items</v>
          </cell>
        </row>
        <row r="352">
          <cell r="B352" t="str">
            <v>Book value per share, BVPS (Pub)</v>
          </cell>
          <cell r="C352" t="str">
            <v>BVPS_PUB</v>
          </cell>
          <cell r="D352" t="str">
            <v>GBP</v>
          </cell>
          <cell r="F352">
            <v>244.59459459459461</v>
          </cell>
          <cell r="G352">
            <v>178.37301587301587</v>
          </cell>
          <cell r="H352">
            <v>117.72486772486772</v>
          </cell>
          <cell r="I352">
            <v>94.510582010582013</v>
          </cell>
          <cell r="J352">
            <v>51.529411764705877</v>
          </cell>
          <cell r="K352">
            <v>54.079254079254078</v>
          </cell>
          <cell r="L352">
            <v>98.201856148491885</v>
          </cell>
          <cell r="M352">
            <v>83.256880733944953</v>
          </cell>
          <cell r="N352">
            <v>114.51247165532881</v>
          </cell>
          <cell r="O352">
            <v>252.57378174330816</v>
          </cell>
          <cell r="P352">
            <v>235.34057255676211</v>
          </cell>
          <cell r="Q352">
            <v>217.78215223097112</v>
          </cell>
          <cell r="R352">
            <v>185.49019607843138</v>
          </cell>
          <cell r="S352">
            <v>182.71241830065358</v>
          </cell>
          <cell r="T352">
            <v>154.37908496732027</v>
          </cell>
          <cell r="W352">
            <v>86.610748679714206</v>
          </cell>
          <cell r="Z352">
            <v>127.58673594132031</v>
          </cell>
          <cell r="AC352">
            <v>176.13274139844617</v>
          </cell>
          <cell r="AF352">
            <v>205.61971346704871</v>
          </cell>
          <cell r="AI352">
            <v>130.19253731343284</v>
          </cell>
          <cell r="AL352">
            <v>154.58745247148292</v>
          </cell>
          <cell r="AO352">
            <v>126.17419354838708</v>
          </cell>
          <cell r="AP352">
            <v>114.94382022471909</v>
          </cell>
          <cell r="AQ352">
            <v>131.59187448758635</v>
          </cell>
          <cell r="AR352">
            <v>136.98340942331134</v>
          </cell>
          <cell r="AS352">
            <v>135.54895337274937</v>
          </cell>
          <cell r="AT352">
            <v>142.81679146224945</v>
          </cell>
          <cell r="AU352">
            <v>152.51881275774997</v>
          </cell>
          <cell r="AV352">
            <v>154.78913503491154</v>
          </cell>
          <cell r="AW352">
            <v>162.29449839451098</v>
          </cell>
          <cell r="AX352">
            <v>171.5076569696717</v>
          </cell>
        </row>
        <row r="353">
          <cell r="B353" t="str">
            <v>DPS, dividend per share (Pub)</v>
          </cell>
          <cell r="C353" t="str">
            <v>DPS_PUB</v>
          </cell>
          <cell r="D353" t="str">
            <v>GBP</v>
          </cell>
          <cell r="F353">
            <v>6.2741312741312738</v>
          </cell>
          <cell r="G353">
            <v>5.5555555555555554</v>
          </cell>
          <cell r="H353">
            <v>1.7195767195767195</v>
          </cell>
          <cell r="I353">
            <v>2.0502645502645502</v>
          </cell>
          <cell r="J353">
            <v>2.4117647058823528</v>
          </cell>
          <cell r="K353">
            <v>3.0885780885780885</v>
          </cell>
          <cell r="L353">
            <v>3.8863109048723898</v>
          </cell>
          <cell r="M353">
            <v>4.8738532110091741</v>
          </cell>
          <cell r="N353">
            <v>6.462585034013606</v>
          </cell>
          <cell r="O353">
            <v>8</v>
          </cell>
          <cell r="P353">
            <v>8.4567291872326429</v>
          </cell>
          <cell r="Q353">
            <v>9.0223097112860895</v>
          </cell>
          <cell r="R353">
            <v>9.1830065359477135</v>
          </cell>
          <cell r="S353">
            <v>9.1999999999999993</v>
          </cell>
          <cell r="T353">
            <v>9.5</v>
          </cell>
          <cell r="W353">
            <v>10.3</v>
          </cell>
          <cell r="Z353">
            <v>12.8</v>
          </cell>
          <cell r="AC353">
            <v>12.8</v>
          </cell>
          <cell r="AF353">
            <v>14.5</v>
          </cell>
          <cell r="AI353">
            <v>16</v>
          </cell>
          <cell r="AL353">
            <v>17.5</v>
          </cell>
          <cell r="AO353">
            <v>18.8</v>
          </cell>
          <cell r="AP353">
            <v>19.5</v>
          </cell>
          <cell r="AQ353">
            <v>20.085000000000001</v>
          </cell>
          <cell r="AR353">
            <v>20.687550000000002</v>
          </cell>
          <cell r="AS353">
            <v>21.721927500000003</v>
          </cell>
          <cell r="AT353">
            <v>23.242462425000006</v>
          </cell>
          <cell r="AU353">
            <v>24.86943479475001</v>
          </cell>
          <cell r="AV353">
            <v>28.599850013962509</v>
          </cell>
          <cell r="AW353">
            <v>32.889827516056883</v>
          </cell>
          <cell r="AX353">
            <v>37.823301643465413</v>
          </cell>
        </row>
        <row r="354">
          <cell r="B354" t="str">
            <v>EBITDA (Pub)</v>
          </cell>
          <cell r="C354" t="str">
            <v>EBITDA_PUB</v>
          </cell>
          <cell r="D354" t="str">
            <v>GBP</v>
          </cell>
          <cell r="F354">
            <v>818</v>
          </cell>
          <cell r="G354">
            <v>518</v>
          </cell>
          <cell r="H354">
            <v>256</v>
          </cell>
          <cell r="I354">
            <v>569</v>
          </cell>
          <cell r="J354">
            <v>455</v>
          </cell>
          <cell r="K354">
            <v>513</v>
          </cell>
          <cell r="L354">
            <v>619</v>
          </cell>
          <cell r="M354">
            <v>719</v>
          </cell>
          <cell r="N354">
            <v>776</v>
          </cell>
          <cell r="O354">
            <v>974</v>
          </cell>
          <cell r="P354">
            <v>1259</v>
          </cell>
          <cell r="Q354">
            <v>1499</v>
          </cell>
          <cell r="R354">
            <v>1214</v>
          </cell>
          <cell r="S354">
            <v>1202</v>
          </cell>
          <cell r="T354">
            <v>1215</v>
          </cell>
          <cell r="W354">
            <v>1622</v>
          </cell>
          <cell r="Z354">
            <v>1490</v>
          </cell>
          <cell r="AC354">
            <v>1762</v>
          </cell>
          <cell r="AF354">
            <v>2228</v>
          </cell>
          <cell r="AI354">
            <v>2538</v>
          </cell>
          <cell r="AL354">
            <v>2596</v>
          </cell>
          <cell r="AO354">
            <v>2428</v>
          </cell>
          <cell r="AP354">
            <v>2252</v>
          </cell>
          <cell r="AQ354">
            <v>2650.2345162837137</v>
          </cell>
          <cell r="AR354">
            <v>2238.1232424117197</v>
          </cell>
          <cell r="AS354">
            <v>2330.3165113914238</v>
          </cell>
          <cell r="AT354">
            <v>2406.6307965133255</v>
          </cell>
          <cell r="AU354">
            <v>2493.6874467961197</v>
          </cell>
          <cell r="AV354">
            <v>2787.1046847380103</v>
          </cell>
          <cell r="AW354">
            <v>3031.0246664374758</v>
          </cell>
          <cell r="AX354">
            <v>3082.7665402972793</v>
          </cell>
        </row>
        <row r="355">
          <cell r="B355" t="str">
            <v>EPS (Pub)</v>
          </cell>
          <cell r="C355" t="str">
            <v>EPS_PUB</v>
          </cell>
          <cell r="D355" t="str">
            <v>GBP</v>
          </cell>
          <cell r="F355">
            <v>24.544043461389215</v>
          </cell>
          <cell r="G355">
            <v>12.44264031062478</v>
          </cell>
          <cell r="H355">
            <v>-10.532591414944356</v>
          </cell>
          <cell r="I355">
            <v>1.6547524490336245</v>
          </cell>
          <cell r="J355">
            <v>5.7852314092563706</v>
          </cell>
          <cell r="K355">
            <v>12.197982641332395</v>
          </cell>
          <cell r="L355">
            <v>18.572426641825803</v>
          </cell>
          <cell r="M355">
            <v>25.028835063437139</v>
          </cell>
          <cell r="N355">
            <v>29.38822184105203</v>
          </cell>
          <cell r="O355">
            <v>30.756929637526653</v>
          </cell>
          <cell r="P355">
            <v>19.184491978609625</v>
          </cell>
          <cell r="Q355">
            <v>23.401450230718524</v>
          </cell>
          <cell r="R355">
            <v>17.294464461185719</v>
          </cell>
          <cell r="S355">
            <v>16.65031076218515</v>
          </cell>
          <cell r="T355">
            <v>17.985611510791365</v>
          </cell>
          <cell r="W355">
            <v>22.463085139805212</v>
          </cell>
          <cell r="Z355">
            <v>23.862469437652813</v>
          </cell>
          <cell r="AC355">
            <v>30.142730299667036</v>
          </cell>
          <cell r="AF355">
            <v>37.150257879656159</v>
          </cell>
          <cell r="AI355">
            <v>40.070149253731344</v>
          </cell>
          <cell r="AL355">
            <v>40.792300380228141</v>
          </cell>
          <cell r="AO355">
            <v>45.678629032258058</v>
          </cell>
          <cell r="AP355">
            <v>39.025280898876403</v>
          </cell>
          <cell r="AQ355">
            <v>50.043190787916856</v>
          </cell>
          <cell r="AR355">
            <v>42.062211776323636</v>
          </cell>
          <cell r="AS355">
            <v>46.921655800068237</v>
          </cell>
          <cell r="AT355">
            <v>50.822748709605236</v>
          </cell>
          <cell r="AU355">
            <v>55.492071094888274</v>
          </cell>
          <cell r="AV355">
            <v>68.046568926871402</v>
          </cell>
          <cell r="AW355">
            <v>81.386751616564439</v>
          </cell>
          <cell r="AX355">
            <v>91.260570657261582</v>
          </cell>
        </row>
        <row r="356">
          <cell r="B356" t="str">
            <v>EV adjustment (Pub)</v>
          </cell>
          <cell r="C356" t="str">
            <v>EV_ADJ_PUB</v>
          </cell>
          <cell r="D356" t="str">
            <v>GBP</v>
          </cell>
          <cell r="F356">
            <v>1902</v>
          </cell>
          <cell r="G356">
            <v>1134</v>
          </cell>
          <cell r="H356">
            <v>1155</v>
          </cell>
          <cell r="I356">
            <v>1483</v>
          </cell>
          <cell r="J356">
            <v>1228</v>
          </cell>
          <cell r="K356">
            <v>1065</v>
          </cell>
          <cell r="L356">
            <v>1195</v>
          </cell>
          <cell r="M356">
            <v>1229</v>
          </cell>
          <cell r="N356">
            <v>1106</v>
          </cell>
          <cell r="O356">
            <v>1350</v>
          </cell>
          <cell r="P356">
            <v>1598</v>
          </cell>
          <cell r="Q356">
            <v>2476</v>
          </cell>
          <cell r="R356">
            <v>2939</v>
          </cell>
          <cell r="S356">
            <v>3566</v>
          </cell>
          <cell r="T356">
            <v>4216</v>
          </cell>
          <cell r="W356">
            <v>4994</v>
          </cell>
          <cell r="Z356">
            <v>3037.7934189263838</v>
          </cell>
          <cell r="AC356">
            <v>4049.470711979412</v>
          </cell>
          <cell r="AF356">
            <v>4052.0880909593584</v>
          </cell>
          <cell r="AI356">
            <v>5658.4680599341964</v>
          </cell>
          <cell r="AL356">
            <v>5070.2956163221133</v>
          </cell>
          <cell r="AO356">
            <v>3364.2926819041777</v>
          </cell>
          <cell r="AP356">
            <v>4436.9405278592376</v>
          </cell>
          <cell r="AQ356">
            <v>4815.2065886499186</v>
          </cell>
          <cell r="AR356">
            <v>4669.6166719403936</v>
          </cell>
          <cell r="AS356">
            <v>4860.4682622713563</v>
          </cell>
          <cell r="AT356">
            <v>5028.9727050048969</v>
          </cell>
          <cell r="AU356">
            <v>5233.9836873460099</v>
          </cell>
          <cell r="AV356">
            <v>5870.6783563960653</v>
          </cell>
          <cell r="AW356">
            <v>6357.8911839819402</v>
          </cell>
          <cell r="AX356">
            <v>6452.8518398013521</v>
          </cell>
          <cell r="AY356" t="str">
            <v>CH: Do with Valuation work</v>
          </cell>
        </row>
        <row r="357">
          <cell r="B357" t="str">
            <v>Net debt (Pub)</v>
          </cell>
          <cell r="C357" t="str">
            <v>NET_DEBT_PUB</v>
          </cell>
          <cell r="D357" t="str">
            <v>GBP</v>
          </cell>
          <cell r="F357">
            <v>-711</v>
          </cell>
          <cell r="G357">
            <v>-323</v>
          </cell>
          <cell r="H357">
            <v>91</v>
          </cell>
          <cell r="I357">
            <v>897</v>
          </cell>
          <cell r="J357">
            <v>-170</v>
          </cell>
          <cell r="K357">
            <v>-228</v>
          </cell>
          <cell r="L357">
            <v>-748</v>
          </cell>
          <cell r="M357">
            <v>-788</v>
          </cell>
          <cell r="N357">
            <v>-212</v>
          </cell>
          <cell r="O357">
            <v>755</v>
          </cell>
          <cell r="P357">
            <v>899</v>
          </cell>
          <cell r="Q357">
            <v>831</v>
          </cell>
          <cell r="R357">
            <v>1298</v>
          </cell>
          <cell r="S357">
            <v>870</v>
          </cell>
          <cell r="T357">
            <v>-5</v>
          </cell>
          <cell r="W357">
            <v>1277</v>
          </cell>
          <cell r="Z357">
            <v>-435</v>
          </cell>
          <cell r="AC357">
            <v>-700</v>
          </cell>
          <cell r="AF357">
            <v>-39</v>
          </cell>
          <cell r="AI357">
            <v>-404</v>
          </cell>
          <cell r="AL357">
            <v>241.30000000000018</v>
          </cell>
          <cell r="AO357">
            <v>1438.6</v>
          </cell>
          <cell r="AP357">
            <v>-387</v>
          </cell>
          <cell r="AQ357">
            <v>1215.1695093334556</v>
          </cell>
          <cell r="AR357">
            <v>1322.5785680416561</v>
          </cell>
          <cell r="AS357">
            <v>1657.9416254847063</v>
          </cell>
          <cell r="AT357">
            <v>1694.3627524558158</v>
          </cell>
          <cell r="AU357">
            <v>1649.2087462269742</v>
          </cell>
          <cell r="AV357">
            <v>1476.959336441648</v>
          </cell>
          <cell r="AW357">
            <v>1278.0405277688492</v>
          </cell>
          <cell r="AX357">
            <v>1378.4058762306372</v>
          </cell>
        </row>
        <row r="358">
          <cell r="B358" t="str">
            <v>Net income (Pub)</v>
          </cell>
          <cell r="C358" t="str">
            <v>NI_PUB</v>
          </cell>
          <cell r="D358" t="str">
            <v>GBP</v>
          </cell>
          <cell r="F358">
            <v>253</v>
          </cell>
          <cell r="G358">
            <v>141</v>
          </cell>
          <cell r="H358">
            <v>-159</v>
          </cell>
          <cell r="I358">
            <v>25</v>
          </cell>
          <cell r="J358">
            <v>89</v>
          </cell>
          <cell r="K358">
            <v>208</v>
          </cell>
          <cell r="L358">
            <v>319</v>
          </cell>
          <cell r="M358">
            <v>434</v>
          </cell>
          <cell r="N358">
            <v>514</v>
          </cell>
          <cell r="O358">
            <v>577</v>
          </cell>
          <cell r="P358">
            <v>574</v>
          </cell>
          <cell r="Q358">
            <v>710</v>
          </cell>
          <cell r="R358">
            <v>528</v>
          </cell>
          <cell r="S358">
            <v>509</v>
          </cell>
          <cell r="T358">
            <v>550</v>
          </cell>
          <cell r="W358">
            <v>715</v>
          </cell>
          <cell r="Z358">
            <v>770</v>
          </cell>
          <cell r="AC358">
            <v>1021</v>
          </cell>
          <cell r="AF358">
            <v>1307</v>
          </cell>
          <cell r="AI358">
            <v>1413</v>
          </cell>
          <cell r="AL358">
            <v>1407</v>
          </cell>
          <cell r="AO358">
            <v>1535</v>
          </cell>
          <cell r="AP358">
            <v>1263</v>
          </cell>
          <cell r="AQ358">
            <v>1590.0730307942863</v>
          </cell>
          <cell r="AR358">
            <v>1302.2542821590141</v>
          </cell>
          <cell r="AS358">
            <v>1379.5656609223804</v>
          </cell>
          <cell r="AT358">
            <v>1444.7518480940498</v>
          </cell>
          <cell r="AU358">
            <v>1523.4273745384385</v>
          </cell>
          <cell r="AV358">
            <v>1735.5044489000707</v>
          </cell>
          <cell r="AW358">
            <v>1917.1667904545316</v>
          </cell>
          <cell r="AX358">
            <v>1971.9442930921632</v>
          </cell>
        </row>
        <row r="359">
          <cell r="B359" t="str">
            <v>EBIT, operating profit (Pub)</v>
          </cell>
          <cell r="C359" t="str">
            <v>EBIT_PUB</v>
          </cell>
          <cell r="D359" t="str">
            <v>GBP</v>
          </cell>
          <cell r="F359">
            <v>538</v>
          </cell>
          <cell r="G359">
            <v>212</v>
          </cell>
          <cell r="H359">
            <v>-75</v>
          </cell>
          <cell r="I359">
            <v>219</v>
          </cell>
          <cell r="J359">
            <v>265</v>
          </cell>
          <cell r="K359">
            <v>354</v>
          </cell>
          <cell r="L359">
            <v>455</v>
          </cell>
          <cell r="M359">
            <v>558</v>
          </cell>
          <cell r="N359">
            <v>638</v>
          </cell>
          <cell r="O359">
            <v>763</v>
          </cell>
          <cell r="P359">
            <v>950</v>
          </cell>
          <cell r="Q359">
            <v>1260</v>
          </cell>
          <cell r="R359">
            <v>1002</v>
          </cell>
          <cell r="S359">
            <v>980</v>
          </cell>
          <cell r="T359">
            <v>1013</v>
          </cell>
          <cell r="W359">
            <v>1226</v>
          </cell>
          <cell r="Z359">
            <v>1207</v>
          </cell>
          <cell r="AC359">
            <v>1449</v>
          </cell>
          <cell r="AF359">
            <v>1897</v>
          </cell>
          <cell r="AI359">
            <v>2197</v>
          </cell>
          <cell r="AL359">
            <v>2214</v>
          </cell>
          <cell r="AO359">
            <v>2025</v>
          </cell>
          <cell r="AP359">
            <v>1895</v>
          </cell>
          <cell r="AQ359">
            <v>2268.8293695216835</v>
          </cell>
          <cell r="AR359">
            <v>1871.5890217348144</v>
          </cell>
          <cell r="AS359">
            <v>1955.153902875878</v>
          </cell>
          <cell r="AT359">
            <v>2023.1685537719791</v>
          </cell>
          <cell r="AU359">
            <v>2097.088885461083</v>
          </cell>
          <cell r="AV359">
            <v>2346.2257080684235</v>
          </cell>
          <cell r="AW359">
            <v>2555.8184177450321</v>
          </cell>
          <cell r="AX359">
            <v>2600.999393231853</v>
          </cell>
        </row>
        <row r="360">
          <cell r="B360" t="str">
            <v>Pre-tax profit (Pub)</v>
          </cell>
          <cell r="C360" t="str">
            <v>PTP_PUB</v>
          </cell>
          <cell r="D360" t="str">
            <v>GBP</v>
          </cell>
          <cell r="F360">
            <v>400</v>
          </cell>
          <cell r="G360">
            <v>154</v>
          </cell>
          <cell r="H360">
            <v>-201</v>
          </cell>
          <cell r="I360">
            <v>51</v>
          </cell>
          <cell r="J360">
            <v>172</v>
          </cell>
          <cell r="K360">
            <v>330</v>
          </cell>
          <cell r="L360">
            <v>456</v>
          </cell>
          <cell r="M360">
            <v>604</v>
          </cell>
          <cell r="N360">
            <v>708</v>
          </cell>
          <cell r="O360">
            <v>790</v>
          </cell>
          <cell r="P360">
            <v>859</v>
          </cell>
          <cell r="Q360">
            <v>1083</v>
          </cell>
          <cell r="R360">
            <v>796</v>
          </cell>
          <cell r="S360">
            <v>760</v>
          </cell>
          <cell r="T360">
            <v>806</v>
          </cell>
          <cell r="W360">
            <v>1016</v>
          </cell>
          <cell r="Z360">
            <v>1053</v>
          </cell>
          <cell r="AC360">
            <v>1413</v>
          </cell>
          <cell r="AF360">
            <v>1797</v>
          </cell>
          <cell r="AI360">
            <v>2002</v>
          </cell>
          <cell r="AL360">
            <v>2023</v>
          </cell>
          <cell r="AO360">
            <v>1826</v>
          </cell>
          <cell r="AP360">
            <v>1691</v>
          </cell>
          <cell r="AQ360">
            <v>2105.3592510451135</v>
          </cell>
          <cell r="AR360">
            <v>1726.6503712618605</v>
          </cell>
          <cell r="AS360">
            <v>1828.3758696347111</v>
          </cell>
          <cell r="AT360">
            <v>1914.1471685448025</v>
          </cell>
          <cell r="AU360">
            <v>2017.6675980768925</v>
          </cell>
          <cell r="AV360">
            <v>2296.7163801316719</v>
          </cell>
          <cell r="AW360">
            <v>2535.7457769138573</v>
          </cell>
          <cell r="AX360">
            <v>2607.8214382791621</v>
          </cell>
        </row>
        <row r="361">
          <cell r="B361" t="str">
            <v>Sales, revenue (Pub)</v>
          </cell>
          <cell r="C361" t="str">
            <v>REVS_PUB</v>
          </cell>
          <cell r="D361" t="str">
            <v>GBP</v>
          </cell>
          <cell r="F361">
            <v>10540</v>
          </cell>
          <cell r="G361">
            <v>10562</v>
          </cell>
          <cell r="H361">
            <v>9977</v>
          </cell>
          <cell r="I361">
            <v>10747</v>
          </cell>
          <cell r="J361">
            <v>7153</v>
          </cell>
          <cell r="K361">
            <v>6627</v>
          </cell>
          <cell r="L361">
            <v>7441</v>
          </cell>
          <cell r="M361">
            <v>8546</v>
          </cell>
          <cell r="N361">
            <v>8611</v>
          </cell>
          <cell r="O361">
            <v>8929</v>
          </cell>
          <cell r="P361">
            <v>12185</v>
          </cell>
          <cell r="Q361">
            <v>13138</v>
          </cell>
          <cell r="R361">
            <v>12145</v>
          </cell>
          <cell r="S361">
            <v>12572</v>
          </cell>
          <cell r="T361">
            <v>13479</v>
          </cell>
          <cell r="W361">
            <v>15411</v>
          </cell>
          <cell r="Z361">
            <v>13765</v>
          </cell>
          <cell r="AC361">
            <v>15710</v>
          </cell>
          <cell r="AF361">
            <v>18543</v>
          </cell>
          <cell r="AI361">
            <v>22415</v>
          </cell>
          <cell r="AL361">
            <v>22392</v>
          </cell>
          <cell r="AO361">
            <v>19154</v>
          </cell>
          <cell r="AP361">
            <v>17834</v>
          </cell>
          <cell r="AQ361">
            <v>18970.172378669296</v>
          </cell>
          <cell r="AR361">
            <v>18277.862038235755</v>
          </cell>
          <cell r="AS361">
            <v>18679.553371227939</v>
          </cell>
          <cell r="AT361">
            <v>19065.939704092925</v>
          </cell>
          <cell r="AU361">
            <v>19677.49604870674</v>
          </cell>
          <cell r="AV361">
            <v>21738.954039911845</v>
          </cell>
          <cell r="AW361">
            <v>23337.047208034768</v>
          </cell>
          <cell r="AX361">
            <v>23642.487350776999</v>
          </cell>
        </row>
        <row r="362">
          <cell r="B362" t="str">
            <v>Total shareholders' equity (Pub)</v>
          </cell>
          <cell r="C362" t="str">
            <v>EQ_PUB</v>
          </cell>
          <cell r="D362" t="str">
            <v>GBP</v>
          </cell>
          <cell r="F362">
            <v>2856</v>
          </cell>
          <cell r="G362">
            <v>2964</v>
          </cell>
          <cell r="H362">
            <v>2018</v>
          </cell>
          <cell r="I362">
            <v>1549</v>
          </cell>
          <cell r="J362">
            <v>886</v>
          </cell>
          <cell r="K362">
            <v>939</v>
          </cell>
          <cell r="L362">
            <v>1706</v>
          </cell>
          <cell r="M362">
            <v>1452</v>
          </cell>
          <cell r="N362">
            <v>2026</v>
          </cell>
          <cell r="O362">
            <v>7445</v>
          </cell>
          <cell r="P362">
            <v>7252</v>
          </cell>
          <cell r="Q362">
            <v>6658</v>
          </cell>
          <cell r="R362">
            <v>5696</v>
          </cell>
          <cell r="S362">
            <v>5606</v>
          </cell>
          <cell r="T362">
            <v>4738</v>
          </cell>
          <cell r="W362">
            <v>2804</v>
          </cell>
          <cell r="Z362">
            <v>4134</v>
          </cell>
          <cell r="AC362">
            <v>6002</v>
          </cell>
          <cell r="AF362">
            <v>7289</v>
          </cell>
          <cell r="AI362">
            <v>4663</v>
          </cell>
          <cell r="AL362">
            <v>5403</v>
          </cell>
          <cell r="AO362">
            <v>4299</v>
          </cell>
          <cell r="AP362">
            <v>3774</v>
          </cell>
          <cell r="AQ362">
            <v>4245.2020256889737</v>
          </cell>
          <cell r="AR362">
            <v>4315.0330786899049</v>
          </cell>
          <cell r="AS362">
            <v>4069.338502200555</v>
          </cell>
          <cell r="AT362">
            <v>4153.8910653754392</v>
          </cell>
          <cell r="AU362">
            <v>4291.108714863989</v>
          </cell>
          <cell r="AV362">
            <v>4061.843906475036</v>
          </cell>
          <cell r="AW362">
            <v>3947.0500224572916</v>
          </cell>
          <cell r="AX362">
            <v>3839.9109202057316</v>
          </cell>
        </row>
        <row r="363">
          <cell r="A363" t="str">
            <v>Income Statement</v>
          </cell>
        </row>
        <row r="364">
          <cell r="B364" t="str">
            <v>Provision for income tax</v>
          </cell>
          <cell r="C364" t="str">
            <v>PROV_INC_TAX</v>
          </cell>
          <cell r="D364" t="str">
            <v>GBP</v>
          </cell>
          <cell r="F364">
            <v>-108</v>
          </cell>
          <cell r="G364">
            <v>-43</v>
          </cell>
          <cell r="H364">
            <v>22</v>
          </cell>
          <cell r="I364">
            <v>-24</v>
          </cell>
          <cell r="J364">
            <v>-62</v>
          </cell>
          <cell r="K364">
            <v>-99</v>
          </cell>
          <cell r="L364">
            <v>-114</v>
          </cell>
          <cell r="M364">
            <v>-149</v>
          </cell>
          <cell r="N364">
            <v>-172</v>
          </cell>
          <cell r="O364">
            <v>-188</v>
          </cell>
          <cell r="P364">
            <v>-258</v>
          </cell>
          <cell r="Q364">
            <v>-346</v>
          </cell>
          <cell r="R364">
            <v>-247</v>
          </cell>
          <cell r="S364">
            <v>-228</v>
          </cell>
          <cell r="T364">
            <v>-234</v>
          </cell>
          <cell r="W364">
            <v>-299</v>
          </cell>
          <cell r="Z364">
            <v>-213</v>
          </cell>
          <cell r="AC364">
            <v>-335</v>
          </cell>
          <cell r="AF364">
            <v>-603</v>
          </cell>
          <cell r="AI364">
            <v>-327</v>
          </cell>
          <cell r="AL364">
            <v>-417</v>
          </cell>
          <cell r="AO364">
            <v>-206</v>
          </cell>
          <cell r="AP364">
            <v>-295</v>
          </cell>
          <cell r="AQ364">
            <v>-428.64729198880815</v>
          </cell>
          <cell r="AR364">
            <v>-331.996306345741</v>
          </cell>
          <cell r="AS364">
            <v>-359.04063973293546</v>
          </cell>
          <cell r="AT364">
            <v>-375.66492062870219</v>
          </cell>
          <cell r="AU364">
            <v>-398.86450848868515</v>
          </cell>
          <cell r="AV364">
            <v>-455.99349209149301</v>
          </cell>
          <cell r="AW364">
            <v>-506.43797412854087</v>
          </cell>
          <cell r="AX364">
            <v>-522.2212482058809</v>
          </cell>
        </row>
        <row r="365">
          <cell r="B365" t="str">
            <v>Minority interest</v>
          </cell>
          <cell r="C365" t="str">
            <v>INC_MINORITY</v>
          </cell>
          <cell r="D365" t="str">
            <v>GBP</v>
          </cell>
          <cell r="F365">
            <v>-18</v>
          </cell>
          <cell r="G365">
            <v>51</v>
          </cell>
          <cell r="H365">
            <v>41</v>
          </cell>
          <cell r="I365">
            <v>19</v>
          </cell>
          <cell r="J365">
            <v>0</v>
          </cell>
          <cell r="K365">
            <v>-2</v>
          </cell>
          <cell r="L365">
            <v>-2</v>
          </cell>
          <cell r="M365">
            <v>0</v>
          </cell>
          <cell r="N365">
            <v>-1</v>
          </cell>
          <cell r="O365">
            <v>-4</v>
          </cell>
          <cell r="P365">
            <v>-6</v>
          </cell>
          <cell r="Q365">
            <v>-6</v>
          </cell>
          <cell r="R365">
            <v>0</v>
          </cell>
          <cell r="S365">
            <v>-2</v>
          </cell>
          <cell r="T365">
            <v>-1</v>
          </cell>
          <cell r="W365">
            <v>-2</v>
          </cell>
          <cell r="AQ365">
            <v>-10</v>
          </cell>
          <cell r="AR365">
            <v>-10</v>
          </cell>
          <cell r="AS365">
            <v>-10</v>
          </cell>
          <cell r="AT365">
            <v>-10</v>
          </cell>
          <cell r="AU365">
            <v>-10</v>
          </cell>
          <cell r="AV365">
            <v>-10</v>
          </cell>
          <cell r="AW365">
            <v>-10</v>
          </cell>
          <cell r="AX365">
            <v>-10</v>
          </cell>
          <cell r="AY365" t="str">
            <v>Minorities taken out 2006-12 for QVAC checks</v>
          </cell>
        </row>
        <row r="366">
          <cell r="B366" t="str">
            <v>Net income (pre-preferred dividends)</v>
          </cell>
          <cell r="C366" t="str">
            <v>NI_PRE_PREF</v>
          </cell>
          <cell r="D366" t="str">
            <v>GBP</v>
          </cell>
          <cell r="F366">
            <v>274</v>
          </cell>
          <cell r="G366">
            <v>162</v>
          </cell>
          <cell r="H366">
            <v>-138</v>
          </cell>
          <cell r="I366">
            <v>46</v>
          </cell>
          <cell r="J366">
            <v>110</v>
          </cell>
          <cell r="K366">
            <v>229</v>
          </cell>
          <cell r="L366">
            <v>340</v>
          </cell>
          <cell r="M366">
            <v>455</v>
          </cell>
          <cell r="N366">
            <v>535</v>
          </cell>
          <cell r="O366">
            <v>598</v>
          </cell>
          <cell r="P366">
            <v>595</v>
          </cell>
          <cell r="Q366">
            <v>731</v>
          </cell>
          <cell r="R366">
            <v>549</v>
          </cell>
          <cell r="S366">
            <v>530</v>
          </cell>
          <cell r="T366">
            <v>571</v>
          </cell>
          <cell r="W366">
            <v>715</v>
          </cell>
          <cell r="Z366">
            <v>533</v>
          </cell>
          <cell r="AC366">
            <v>761</v>
          </cell>
          <cell r="AF366">
            <v>1750</v>
          </cell>
          <cell r="AI366">
            <v>-248</v>
          </cell>
          <cell r="AL366">
            <v>896</v>
          </cell>
          <cell r="AO366">
            <v>1129</v>
          </cell>
          <cell r="AP366">
            <v>981</v>
          </cell>
          <cell r="AQ366">
            <v>1254.3830912978904</v>
          </cell>
          <cell r="AR366">
            <v>948.32163676151367</v>
          </cell>
          <cell r="AS366">
            <v>1033.962025820962</v>
          </cell>
          <cell r="AT366">
            <v>1086.6055819908929</v>
          </cell>
          <cell r="AU366">
            <v>1160.0709435475028</v>
          </cell>
          <cell r="AV366">
            <v>1340.9793916230578</v>
          </cell>
          <cell r="AW366">
            <v>1500.7202514070452</v>
          </cell>
          <cell r="AX366">
            <v>1550.7006193186221</v>
          </cell>
        </row>
        <row r="367">
          <cell r="B367" t="str">
            <v>Preferred dividends</v>
          </cell>
          <cell r="C367" t="str">
            <v>PREF_DIV</v>
          </cell>
          <cell r="D367" t="str">
            <v>GBP</v>
          </cell>
          <cell r="F367">
            <v>-21</v>
          </cell>
          <cell r="G367">
            <v>-21</v>
          </cell>
          <cell r="H367">
            <v>-21</v>
          </cell>
          <cell r="I367">
            <v>-21</v>
          </cell>
          <cell r="J367">
            <v>-21</v>
          </cell>
          <cell r="K367">
            <v>-21</v>
          </cell>
          <cell r="L367">
            <v>-21</v>
          </cell>
          <cell r="M367">
            <v>-21</v>
          </cell>
          <cell r="N367">
            <v>-21</v>
          </cell>
          <cell r="O367">
            <v>-21</v>
          </cell>
          <cell r="P367">
            <v>-21</v>
          </cell>
          <cell r="Q367">
            <v>-21</v>
          </cell>
          <cell r="R367">
            <v>-21</v>
          </cell>
          <cell r="S367">
            <v>-21</v>
          </cell>
          <cell r="T367">
            <v>-21</v>
          </cell>
          <cell r="W367">
            <v>0</v>
          </cell>
          <cell r="Z367">
            <v>0</v>
          </cell>
          <cell r="AC367">
            <v>0</v>
          </cell>
          <cell r="AF367">
            <v>0</v>
          </cell>
          <cell r="AI367">
            <v>0</v>
          </cell>
          <cell r="AL367">
            <v>0</v>
          </cell>
          <cell r="AO367">
            <v>0</v>
          </cell>
          <cell r="AP367">
            <v>0</v>
          </cell>
          <cell r="AQ367">
            <v>0</v>
          </cell>
          <cell r="AR367">
            <v>0</v>
          </cell>
          <cell r="AS367">
            <v>0</v>
          </cell>
          <cell r="AT367">
            <v>0</v>
          </cell>
          <cell r="AU367">
            <v>0</v>
          </cell>
          <cell r="AV367">
            <v>0</v>
          </cell>
          <cell r="AW367">
            <v>0</v>
          </cell>
          <cell r="AX367">
            <v>0</v>
          </cell>
        </row>
        <row r="368">
          <cell r="B368" t="str">
            <v>Net income (pre-exceptionals)</v>
          </cell>
          <cell r="C368" t="str">
            <v>NET_EARNING</v>
          </cell>
          <cell r="D368" t="str">
            <v>GBP</v>
          </cell>
          <cell r="F368">
            <v>253</v>
          </cell>
          <cell r="G368">
            <v>141</v>
          </cell>
          <cell r="H368">
            <v>-159</v>
          </cell>
          <cell r="I368">
            <v>25</v>
          </cell>
          <cell r="J368">
            <v>89</v>
          </cell>
          <cell r="K368">
            <v>208</v>
          </cell>
          <cell r="L368">
            <v>319</v>
          </cell>
          <cell r="M368">
            <v>434</v>
          </cell>
          <cell r="N368">
            <v>514</v>
          </cell>
          <cell r="O368">
            <v>577</v>
          </cell>
          <cell r="P368">
            <v>574</v>
          </cell>
          <cell r="Q368">
            <v>710</v>
          </cell>
          <cell r="R368">
            <v>528</v>
          </cell>
          <cell r="S368">
            <v>509</v>
          </cell>
          <cell r="T368">
            <v>550</v>
          </cell>
          <cell r="W368">
            <v>715</v>
          </cell>
          <cell r="Z368">
            <v>533</v>
          </cell>
          <cell r="AC368">
            <v>761</v>
          </cell>
          <cell r="AF368">
            <v>1750</v>
          </cell>
          <cell r="AI368">
            <v>-248</v>
          </cell>
          <cell r="AL368">
            <v>896</v>
          </cell>
          <cell r="AO368">
            <v>1129</v>
          </cell>
          <cell r="AP368">
            <v>981</v>
          </cell>
          <cell r="AQ368">
            <v>1254.3830912978904</v>
          </cell>
          <cell r="AR368">
            <v>948.32163676151367</v>
          </cell>
          <cell r="AS368">
            <v>1033.962025820962</v>
          </cell>
          <cell r="AT368">
            <v>1086.6055819908929</v>
          </cell>
          <cell r="AU368">
            <v>1160.0709435475028</v>
          </cell>
          <cell r="AV368">
            <v>1340.9793916230578</v>
          </cell>
          <cell r="AW368">
            <v>1500.7202514070452</v>
          </cell>
          <cell r="AX368">
            <v>1550.7006193186221</v>
          </cell>
        </row>
        <row r="369">
          <cell r="B369" t="str">
            <v>Post-tax exceptionals</v>
          </cell>
          <cell r="C369" t="str">
            <v>TAX_EXC</v>
          </cell>
          <cell r="D369" t="str">
            <v>GBP</v>
          </cell>
          <cell r="F369">
            <v>-14</v>
          </cell>
          <cell r="G369">
            <v>-249</v>
          </cell>
          <cell r="H369">
            <v>-750</v>
          </cell>
          <cell r="I369">
            <v>-278</v>
          </cell>
          <cell r="J369">
            <v>30</v>
          </cell>
          <cell r="K369">
            <v>-91</v>
          </cell>
          <cell r="L369">
            <v>-31</v>
          </cell>
          <cell r="M369">
            <v>-291</v>
          </cell>
          <cell r="N369">
            <v>157</v>
          </cell>
          <cell r="O369">
            <v>-274</v>
          </cell>
          <cell r="P369">
            <v>-608</v>
          </cell>
          <cell r="Q369">
            <v>-865</v>
          </cell>
          <cell r="R369">
            <v>-1235</v>
          </cell>
          <cell r="S369">
            <v>-524</v>
          </cell>
          <cell r="T369">
            <v>-1038</v>
          </cell>
          <cell r="W369">
            <v>-162</v>
          </cell>
          <cell r="Z369">
            <v>1106</v>
          </cell>
          <cell r="AC369">
            <v>161</v>
          </cell>
          <cell r="AF369">
            <v>18</v>
          </cell>
          <cell r="AI369">
            <v>203</v>
          </cell>
          <cell r="AL369">
            <v>185</v>
          </cell>
          <cell r="AO369">
            <v>127</v>
          </cell>
          <cell r="AP369">
            <v>98</v>
          </cell>
          <cell r="AQ369">
            <v>103.00000000000227</v>
          </cell>
          <cell r="AR369">
            <v>102.99999999999955</v>
          </cell>
          <cell r="AS369">
            <v>103.00000000000023</v>
          </cell>
          <cell r="AT369">
            <v>102.99999999999727</v>
          </cell>
          <cell r="AU369">
            <v>103.00000000000045</v>
          </cell>
          <cell r="AV369">
            <v>103.00000000000341</v>
          </cell>
          <cell r="AW369">
            <v>103.00000000000091</v>
          </cell>
          <cell r="AX369">
            <v>103.00000000000091</v>
          </cell>
          <cell r="AY369" t="str">
            <v>CH: Add backs for items excluded in underlying and discontinued operations</v>
          </cell>
        </row>
        <row r="370">
          <cell r="B370" t="str">
            <v>Net income (post-exceptionals)</v>
          </cell>
          <cell r="C370" t="str">
            <v>NET_INC</v>
          </cell>
          <cell r="D370" t="str">
            <v>GBP</v>
          </cell>
          <cell r="F370">
            <v>239</v>
          </cell>
          <cell r="G370">
            <v>-108</v>
          </cell>
          <cell r="H370">
            <v>-909</v>
          </cell>
          <cell r="I370">
            <v>-253</v>
          </cell>
          <cell r="J370">
            <v>119</v>
          </cell>
          <cell r="K370">
            <v>117</v>
          </cell>
          <cell r="L370">
            <v>288</v>
          </cell>
          <cell r="M370">
            <v>143</v>
          </cell>
          <cell r="N370">
            <v>671</v>
          </cell>
          <cell r="O370">
            <v>303</v>
          </cell>
          <cell r="P370">
            <v>-34</v>
          </cell>
          <cell r="Q370">
            <v>-155</v>
          </cell>
          <cell r="R370">
            <v>-707</v>
          </cell>
          <cell r="S370">
            <v>-15</v>
          </cell>
          <cell r="T370">
            <v>-488</v>
          </cell>
          <cell r="W370">
            <v>553</v>
          </cell>
          <cell r="Z370">
            <v>1639</v>
          </cell>
          <cell r="AC370">
            <v>922</v>
          </cell>
          <cell r="AF370">
            <v>1768</v>
          </cell>
          <cell r="AI370">
            <v>-45</v>
          </cell>
          <cell r="AL370">
            <v>1081</v>
          </cell>
          <cell r="AO370">
            <v>1256</v>
          </cell>
          <cell r="AP370">
            <v>1079</v>
          </cell>
          <cell r="AQ370">
            <v>1357.3830912978926</v>
          </cell>
          <cell r="AR370">
            <v>1051.3216367615132</v>
          </cell>
          <cell r="AS370">
            <v>1136.9620258209623</v>
          </cell>
          <cell r="AT370">
            <v>1189.6055819908902</v>
          </cell>
          <cell r="AU370">
            <v>1263.0709435475032</v>
          </cell>
          <cell r="AV370">
            <v>1443.9793916230612</v>
          </cell>
          <cell r="AW370">
            <v>1603.7202514070461</v>
          </cell>
          <cell r="AX370">
            <v>1653.700619318623</v>
          </cell>
        </row>
        <row r="371">
          <cell r="B371" t="str">
            <v>EPS (pre-exceptionals, basic)</v>
          </cell>
          <cell r="C371" t="str">
            <v>EPS</v>
          </cell>
          <cell r="D371" t="str">
            <v>GBP</v>
          </cell>
          <cell r="F371">
            <v>24.544043461389215</v>
          </cell>
          <cell r="G371">
            <v>12.44264031062478</v>
          </cell>
          <cell r="H371">
            <v>-10.532591414944356</v>
          </cell>
          <cell r="I371">
            <v>1.6547524490336245</v>
          </cell>
          <cell r="J371">
            <v>5.7852314092563706</v>
          </cell>
          <cell r="K371">
            <v>12.197982641332395</v>
          </cell>
          <cell r="L371">
            <v>18.572426641825803</v>
          </cell>
          <cell r="M371">
            <v>25.028835063437139</v>
          </cell>
          <cell r="N371">
            <v>29.38822184105203</v>
          </cell>
          <cell r="O371">
            <v>30.756929637526653</v>
          </cell>
          <cell r="P371">
            <v>19.184491978609625</v>
          </cell>
          <cell r="Q371">
            <v>23.401450230718524</v>
          </cell>
          <cell r="R371">
            <v>17.294464461185719</v>
          </cell>
          <cell r="S371">
            <v>16.65031076218515</v>
          </cell>
          <cell r="T371">
            <v>17.985611510791365</v>
          </cell>
          <cell r="W371">
            <v>22.463085139805212</v>
          </cell>
          <cell r="Z371">
            <v>16.517787286063569</v>
          </cell>
          <cell r="AC371">
            <v>22.466814650388457</v>
          </cell>
          <cell r="AF371">
            <v>49.742120343839538</v>
          </cell>
          <cell r="AI371">
            <v>-7.0328358208955226</v>
          </cell>
          <cell r="AL371">
            <v>25.977186311787076</v>
          </cell>
          <cell r="AO371">
            <v>33.596854838709675</v>
          </cell>
          <cell r="AP371">
            <v>30.311797752808989</v>
          </cell>
          <cell r="AQ371">
            <v>39.478269955688901</v>
          </cell>
          <cell r="AR371">
            <v>30.630350818583057</v>
          </cell>
          <cell r="AS371">
            <v>35.167017895672373</v>
          </cell>
          <cell r="AT371">
            <v>38.224060770595763</v>
          </cell>
          <cell r="AU371">
            <v>42.25651996962187</v>
          </cell>
          <cell r="AV371">
            <v>52.577823502224021</v>
          </cell>
          <cell r="AW371">
            <v>63.707939734474571</v>
          </cell>
          <cell r="AX371">
            <v>71.765629451770849</v>
          </cell>
        </row>
        <row r="372">
          <cell r="B372" t="str">
            <v>EPS (pre-exceptionals, diluted)</v>
          </cell>
          <cell r="C372" t="str">
            <v>EPS_FUL_DIL</v>
          </cell>
          <cell r="D372" t="str">
            <v>GBP</v>
          </cell>
          <cell r="M372">
            <v>23.977900552486187</v>
          </cell>
          <cell r="N372">
            <v>26.051697921946275</v>
          </cell>
          <cell r="O372">
            <v>27.834056922334781</v>
          </cell>
          <cell r="P372">
            <v>19.184491978609625</v>
          </cell>
          <cell r="Q372">
            <v>23.401450230718524</v>
          </cell>
          <cell r="R372">
            <v>17.294464461185719</v>
          </cell>
          <cell r="S372">
            <v>16.65031076218515</v>
          </cell>
          <cell r="T372">
            <v>17.985611510791365</v>
          </cell>
          <cell r="W372">
            <v>21.458583433373349</v>
          </cell>
          <cell r="Z372">
            <v>16.029095354523228</v>
          </cell>
          <cell r="AC372">
            <v>22.297891231964481</v>
          </cell>
          <cell r="AF372">
            <v>49.641833810888251</v>
          </cell>
          <cell r="AI372">
            <v>-7.0328358208955226</v>
          </cell>
          <cell r="AL372">
            <v>25.806844106463878</v>
          </cell>
          <cell r="AO372">
            <v>33.414758064516128</v>
          </cell>
          <cell r="AP372">
            <v>30.128089887640453</v>
          </cell>
          <cell r="AQ372">
            <v>39.234595187251529</v>
          </cell>
          <cell r="AR372">
            <v>30.436350540019863</v>
          </cell>
          <cell r="AS372">
            <v>34.932554653780095</v>
          </cell>
          <cell r="AT372">
            <v>37.960542479136016</v>
          </cell>
          <cell r="AU372">
            <v>41.954937755941792</v>
          </cell>
          <cell r="AV372">
            <v>52.174132377764593</v>
          </cell>
          <cell r="AW372">
            <v>63.178669152629986</v>
          </cell>
          <cell r="AX372">
            <v>71.116142850043445</v>
          </cell>
        </row>
        <row r="373">
          <cell r="B373" t="str">
            <v>EPS (post-exceptionals, basic)</v>
          </cell>
          <cell r="C373" t="str">
            <v>EPS_POST_BASIC</v>
          </cell>
          <cell r="D373" t="str">
            <v>GBP</v>
          </cell>
          <cell r="F373">
            <v>23.185875048506016</v>
          </cell>
          <cell r="G373">
            <v>-9.5305330038828089</v>
          </cell>
          <cell r="H373">
            <v>-60.214626391096985</v>
          </cell>
          <cell r="I373">
            <v>-16.746094784220279</v>
          </cell>
          <cell r="J373">
            <v>7.7353094123764938</v>
          </cell>
          <cell r="K373">
            <v>6.8613652357494725</v>
          </cell>
          <cell r="L373">
            <v>16.767582673497905</v>
          </cell>
          <cell r="M373">
            <v>8.246828143021915</v>
          </cell>
          <cell r="N373">
            <v>38.364779874213838</v>
          </cell>
          <cell r="O373">
            <v>16.151385927505331</v>
          </cell>
          <cell r="P373">
            <v>-1.1363636363636365</v>
          </cell>
          <cell r="Q373">
            <v>-5.1087673038892545</v>
          </cell>
          <cell r="R373">
            <v>-23.157549950867999</v>
          </cell>
          <cell r="S373">
            <v>-0.49067713444553485</v>
          </cell>
          <cell r="T373">
            <v>-15.958142576847612</v>
          </cell>
          <cell r="W373">
            <v>17.373546968268929</v>
          </cell>
          <cell r="Z373">
            <v>50.792970660146693</v>
          </cell>
          <cell r="AC373">
            <v>27.219977802441729</v>
          </cell>
          <cell r="AF373">
            <v>50.253753581661897</v>
          </cell>
          <cell r="AI373">
            <v>-1.2761194029850746</v>
          </cell>
          <cell r="AL373">
            <v>31.340779467680612</v>
          </cell>
          <cell r="AO373">
            <v>37.376129032258056</v>
          </cell>
          <cell r="AP373">
            <v>33.33988764044944</v>
          </cell>
          <cell r="AQ373">
            <v>42.719912667269739</v>
          </cell>
          <cell r="AR373">
            <v>33.957203240813989</v>
          </cell>
          <cell r="AS373">
            <v>38.670244080771631</v>
          </cell>
          <cell r="AT373">
            <v>41.847342598540813</v>
          </cell>
          <cell r="AU373">
            <v>46.008378061646269</v>
          </cell>
          <cell r="AV373">
            <v>56.616301538918215</v>
          </cell>
          <cell r="AW373">
            <v>68.080452057473224</v>
          </cell>
          <cell r="AX373">
            <v>76.532416632639112</v>
          </cell>
        </row>
        <row r="374">
          <cell r="B374" t="str">
            <v>EPS (post-exceptionals, diluted)</v>
          </cell>
          <cell r="C374" t="str">
            <v>FULLY_DIL_EPS</v>
          </cell>
          <cell r="D374" t="str">
            <v>GBP</v>
          </cell>
          <cell r="M374">
            <v>7.9005524861878449</v>
          </cell>
          <cell r="N374">
            <v>34.009123162696405</v>
          </cell>
          <cell r="O374">
            <v>14.616497829232996</v>
          </cell>
          <cell r="P374">
            <v>-1.1363636363636365</v>
          </cell>
          <cell r="Q374">
            <v>-5.1087673038892545</v>
          </cell>
          <cell r="R374">
            <v>-23.157549950867999</v>
          </cell>
          <cell r="S374">
            <v>-0.49067713444553485</v>
          </cell>
          <cell r="T374">
            <v>-15.958142576847612</v>
          </cell>
          <cell r="W374">
            <v>16.596638655462183</v>
          </cell>
          <cell r="Z374">
            <v>49.290220048899755</v>
          </cell>
          <cell r="AC374">
            <v>27.015316315205322</v>
          </cell>
          <cell r="AF374">
            <v>50.15243553008596</v>
          </cell>
          <cell r="AI374">
            <v>-1.2761194029850746</v>
          </cell>
          <cell r="AL374">
            <v>31.135266159695817</v>
          </cell>
          <cell r="AO374">
            <v>37.17354838709678</v>
          </cell>
          <cell r="AP374">
            <v>33.137827715355805</v>
          </cell>
          <cell r="AQ374">
            <v>42.456229257673883</v>
          </cell>
          <cell r="AR374">
            <v>33.742132021846807</v>
          </cell>
          <cell r="AS374">
            <v>38.412424358358962</v>
          </cell>
          <cell r="AT374">
            <v>41.558845248929508</v>
          </cell>
          <cell r="AU374">
            <v>45.680019064889407</v>
          </cell>
          <cell r="AV374">
            <v>56.18160308796363</v>
          </cell>
          <cell r="AW374">
            <v>67.514855671483005</v>
          </cell>
          <cell r="AX374">
            <v>75.839790098455026</v>
          </cell>
        </row>
        <row r="375">
          <cell r="B375" t="str">
            <v>Common dividends paid</v>
          </cell>
          <cell r="C375" t="str">
            <v>COMMON_DIV_PAID</v>
          </cell>
          <cell r="D375" t="str">
            <v>GBP</v>
          </cell>
          <cell r="F375">
            <v>-65</v>
          </cell>
          <cell r="G375">
            <v>-84</v>
          </cell>
          <cell r="H375">
            <v>-26</v>
          </cell>
          <cell r="I375">
            <v>-31</v>
          </cell>
          <cell r="J375">
            <v>-41</v>
          </cell>
          <cell r="K375">
            <v>-53</v>
          </cell>
          <cell r="L375">
            <v>-67</v>
          </cell>
          <cell r="M375">
            <v>-85</v>
          </cell>
          <cell r="N375">
            <v>-114</v>
          </cell>
          <cell r="O375">
            <v>-202</v>
          </cell>
          <cell r="P375">
            <v>-257</v>
          </cell>
          <cell r="Q375">
            <v>-275</v>
          </cell>
          <cell r="R375">
            <v>-281</v>
          </cell>
          <cell r="S375">
            <v>-281</v>
          </cell>
          <cell r="T375">
            <v>-291</v>
          </cell>
          <cell r="W375">
            <v>-315</v>
          </cell>
          <cell r="Z375">
            <v>-413.03353057199217</v>
          </cell>
          <cell r="AC375">
            <v>-433.56390977443613</v>
          </cell>
          <cell r="AF375">
            <v>-510.13104838709677</v>
          </cell>
          <cell r="AI375">
            <v>-564.21052631578948</v>
          </cell>
          <cell r="AL375">
            <v>-603.60655737704906</v>
          </cell>
          <cell r="AO375">
            <v>-631.76151761517622</v>
          </cell>
          <cell r="AP375">
            <v>-631.09090909090912</v>
          </cell>
          <cell r="AQ375">
            <v>-638.18106560891943</v>
          </cell>
          <cell r="AR375">
            <v>-640.4905837605811</v>
          </cell>
          <cell r="AS375">
            <v>-638.65660231031234</v>
          </cell>
          <cell r="AT375">
            <v>-660.7196854826725</v>
          </cell>
          <cell r="AU375">
            <v>-682.74218294784271</v>
          </cell>
          <cell r="AV375">
            <v>-729.42938519719974</v>
          </cell>
          <cell r="AW375">
            <v>-774.76104900503765</v>
          </cell>
          <cell r="AX375">
            <v>-817.28005078828983</v>
          </cell>
        </row>
        <row r="376">
          <cell r="B376" t="str">
            <v>DPS, dividend per share</v>
          </cell>
          <cell r="C376" t="str">
            <v>DPS</v>
          </cell>
          <cell r="D376" t="str">
            <v>GBP</v>
          </cell>
          <cell r="F376">
            <v>6.2741312741312738</v>
          </cell>
          <cell r="G376">
            <v>5.5555555555555554</v>
          </cell>
          <cell r="H376">
            <v>1.7195767195767195</v>
          </cell>
          <cell r="I376">
            <v>2.0502645502645502</v>
          </cell>
          <cell r="J376">
            <v>2.4117647058823528</v>
          </cell>
          <cell r="K376">
            <v>3.0885780885780885</v>
          </cell>
          <cell r="L376">
            <v>3.8863109048723898</v>
          </cell>
          <cell r="M376">
            <v>4.8738532110091741</v>
          </cell>
          <cell r="N376">
            <v>6.462585034013606</v>
          </cell>
          <cell r="O376">
            <v>8</v>
          </cell>
          <cell r="P376">
            <v>8.4567291872326429</v>
          </cell>
          <cell r="Q376">
            <v>9.0223097112860895</v>
          </cell>
          <cell r="R376">
            <v>9.1830065359477135</v>
          </cell>
          <cell r="S376">
            <v>9.1999999999999993</v>
          </cell>
          <cell r="T376">
            <v>9.5</v>
          </cell>
          <cell r="W376">
            <v>10.3</v>
          </cell>
          <cell r="Z376">
            <v>12.8</v>
          </cell>
          <cell r="AC376">
            <v>12.8</v>
          </cell>
          <cell r="AF376">
            <v>14.5</v>
          </cell>
          <cell r="AI376">
            <v>16</v>
          </cell>
          <cell r="AL376">
            <v>17.5</v>
          </cell>
          <cell r="AO376">
            <v>18.8</v>
          </cell>
          <cell r="AP376">
            <v>19.5</v>
          </cell>
          <cell r="AQ376">
            <v>20.085000000000001</v>
          </cell>
          <cell r="AR376">
            <v>20.687550000000002</v>
          </cell>
          <cell r="AS376">
            <v>21.721927500000003</v>
          </cell>
          <cell r="AT376">
            <v>23.242462425000006</v>
          </cell>
          <cell r="AU376">
            <v>24.86943479475001</v>
          </cell>
          <cell r="AV376">
            <v>28.599850013962509</v>
          </cell>
          <cell r="AW376">
            <v>32.889827516056883</v>
          </cell>
          <cell r="AX376">
            <v>37.823301643465413</v>
          </cell>
        </row>
        <row r="377">
          <cell r="B377" t="str">
            <v>Weighted average shares outstanding, basic</v>
          </cell>
          <cell r="C377" t="str">
            <v>SH</v>
          </cell>
          <cell r="F377">
            <v>1030.8</v>
          </cell>
          <cell r="G377">
            <v>1133.2</v>
          </cell>
          <cell r="H377">
            <v>1509.6</v>
          </cell>
          <cell r="I377">
            <v>1510.8</v>
          </cell>
          <cell r="J377">
            <v>1538.4</v>
          </cell>
          <cell r="K377">
            <v>1705.2</v>
          </cell>
          <cell r="L377">
            <v>1717.6</v>
          </cell>
          <cell r="M377">
            <v>1734</v>
          </cell>
          <cell r="N377">
            <v>1749</v>
          </cell>
          <cell r="O377">
            <v>1876</v>
          </cell>
          <cell r="P377">
            <v>2992</v>
          </cell>
          <cell r="Q377">
            <v>3034</v>
          </cell>
          <cell r="R377">
            <v>3053</v>
          </cell>
          <cell r="S377">
            <v>3057</v>
          </cell>
          <cell r="T377">
            <v>3058</v>
          </cell>
          <cell r="W377">
            <v>3183</v>
          </cell>
          <cell r="Z377">
            <v>3226.8244575936883</v>
          </cell>
          <cell r="AC377">
            <v>3387.218045112782</v>
          </cell>
          <cell r="AF377">
            <v>3518.1451612903224</v>
          </cell>
          <cell r="AI377">
            <v>3526.3157894736842</v>
          </cell>
          <cell r="AL377">
            <v>3449.1803278688521</v>
          </cell>
          <cell r="AO377">
            <v>3360.4336043360436</v>
          </cell>
          <cell r="AP377">
            <v>3236.3636363636365</v>
          </cell>
          <cell r="AQ377">
            <v>3177.4013722126929</v>
          </cell>
          <cell r="AR377">
            <v>3096.0195081610968</v>
          </cell>
          <cell r="AS377">
            <v>2940.1470118630687</v>
          </cell>
          <cell r="AT377">
            <v>2842.726701676801</v>
          </cell>
          <cell r="AU377">
            <v>2745.3063914905333</v>
          </cell>
          <cell r="AV377">
            <v>2550.465771117998</v>
          </cell>
          <cell r="AW377">
            <v>2355.6251507454626</v>
          </cell>
          <cell r="AX377">
            <v>2160.7845303729273</v>
          </cell>
        </row>
        <row r="378">
          <cell r="B378" t="str">
            <v>Diluted average shares outstanding (mn)</v>
          </cell>
          <cell r="C378" t="str">
            <v>DILUTE_SHARES</v>
          </cell>
          <cell r="M378">
            <v>1810</v>
          </cell>
          <cell r="N378">
            <v>1973</v>
          </cell>
          <cell r="O378">
            <v>2073</v>
          </cell>
          <cell r="P378">
            <v>2992</v>
          </cell>
          <cell r="Q378">
            <v>3034</v>
          </cell>
          <cell r="R378">
            <v>3053</v>
          </cell>
          <cell r="S378">
            <v>3057</v>
          </cell>
          <cell r="T378">
            <v>3058</v>
          </cell>
          <cell r="W378">
            <v>3332</v>
          </cell>
          <cell r="Z378">
            <v>3325.2032520325201</v>
          </cell>
          <cell r="AC378">
            <v>3412.8787878787884</v>
          </cell>
          <cell r="AF378">
            <v>3525.2525252525252</v>
          </cell>
          <cell r="AI378">
            <v>3526.3157894736842</v>
          </cell>
          <cell r="AL378">
            <v>3471.947194719472</v>
          </cell>
          <cell r="AO378">
            <v>3378.7465940054494</v>
          </cell>
          <cell r="AP378">
            <v>3256.0975609756097</v>
          </cell>
          <cell r="AQ378">
            <v>3197.1352968246661</v>
          </cell>
          <cell r="AR378">
            <v>3115.75343277307</v>
          </cell>
          <cell r="AS378">
            <v>2959.8809364750418</v>
          </cell>
          <cell r="AT378">
            <v>2862.4606262887742</v>
          </cell>
          <cell r="AU378">
            <v>2765.0403161025065</v>
          </cell>
          <cell r="AV378">
            <v>2570.1996957299712</v>
          </cell>
          <cell r="AW378">
            <v>2375.3590753574358</v>
          </cell>
          <cell r="AX378">
            <v>2180.5184549849005</v>
          </cell>
        </row>
        <row r="379">
          <cell r="B379" t="str">
            <v>Period-end shares outstanding</v>
          </cell>
          <cell r="C379" t="str">
            <v>NON_OP_ADD</v>
          </cell>
          <cell r="F379">
            <v>1036</v>
          </cell>
          <cell r="G379">
            <v>1512</v>
          </cell>
          <cell r="H379">
            <v>1512</v>
          </cell>
          <cell r="I379">
            <v>1512</v>
          </cell>
          <cell r="J379">
            <v>1700</v>
          </cell>
          <cell r="K379">
            <v>1716</v>
          </cell>
          <cell r="L379">
            <v>1724</v>
          </cell>
          <cell r="M379">
            <v>1744</v>
          </cell>
          <cell r="N379">
            <v>1764</v>
          </cell>
          <cell r="O379">
            <v>2914</v>
          </cell>
          <cell r="P379">
            <v>3039</v>
          </cell>
          <cell r="Q379">
            <v>3048</v>
          </cell>
          <cell r="R379">
            <v>3060</v>
          </cell>
          <cell r="S379">
            <v>3060</v>
          </cell>
          <cell r="T379">
            <v>3060</v>
          </cell>
          <cell r="W379">
            <v>3219</v>
          </cell>
          <cell r="Z379">
            <v>3226.8244575936883</v>
          </cell>
          <cell r="AC379">
            <v>3387.218045112782</v>
          </cell>
          <cell r="AF379">
            <v>3518.1451612903224</v>
          </cell>
          <cell r="AI379">
            <v>3526.3157894736842</v>
          </cell>
          <cell r="AL379">
            <v>3449.1803278688521</v>
          </cell>
          <cell r="AO379">
            <v>3360.4336043360436</v>
          </cell>
          <cell r="AP379">
            <v>3236.3636363636365</v>
          </cell>
          <cell r="AQ379">
            <v>3177.4013722126929</v>
          </cell>
          <cell r="AR379">
            <v>3096.0195081610968</v>
          </cell>
          <cell r="AS379">
            <v>2940.1470118630687</v>
          </cell>
          <cell r="AT379">
            <v>2842.726701676801</v>
          </cell>
          <cell r="AU379">
            <v>2745.3063914905333</v>
          </cell>
          <cell r="AV379">
            <v>2550.465771117998</v>
          </cell>
          <cell r="AW379">
            <v>2355.6251507454626</v>
          </cell>
          <cell r="AX379">
            <v>2160.7845303729273</v>
          </cell>
        </row>
        <row r="380">
          <cell r="A380" t="str">
            <v>Additional Income Statement Items</v>
          </cell>
        </row>
        <row r="381">
          <cell r="B381" t="str">
            <v>Organic net income (excl. acquisitions)</v>
          </cell>
          <cell r="C381" t="str">
            <v>ORG_NI</v>
          </cell>
          <cell r="D381" t="str">
            <v>GBP</v>
          </cell>
        </row>
        <row r="382">
          <cell r="B382" t="str">
            <v>Organic EPS (excl. acquisitions)</v>
          </cell>
          <cell r="C382" t="str">
            <v>ORG_EPS</v>
          </cell>
          <cell r="D382" t="str">
            <v>GBP</v>
          </cell>
        </row>
        <row r="383">
          <cell r="B383" t="str">
            <v>Marginal tax rate</v>
          </cell>
          <cell r="C383" t="str">
            <v>MARGIN_TAX_RATE</v>
          </cell>
          <cell r="F383">
            <v>0.27</v>
          </cell>
          <cell r="G383">
            <v>0.2792207792207792</v>
          </cell>
          <cell r="H383">
            <v>0.10945273631840796</v>
          </cell>
          <cell r="I383">
            <v>0.47058823529411764</v>
          </cell>
          <cell r="J383">
            <v>0.36046511627906974</v>
          </cell>
          <cell r="K383">
            <v>0.3</v>
          </cell>
          <cell r="L383">
            <v>0.25</v>
          </cell>
          <cell r="M383">
            <v>0.24668874172185432</v>
          </cell>
          <cell r="N383">
            <v>0.24293785310734464</v>
          </cell>
          <cell r="O383">
            <v>0.23797468354430379</v>
          </cell>
          <cell r="P383">
            <v>0.30034924330616997</v>
          </cell>
          <cell r="Q383">
            <v>0.31948291782086796</v>
          </cell>
          <cell r="R383">
            <v>0.31030150753768843</v>
          </cell>
          <cell r="S383">
            <v>0.3</v>
          </cell>
          <cell r="T383">
            <v>0.29032258064516131</v>
          </cell>
          <cell r="W383">
            <v>0.29429133858267714</v>
          </cell>
          <cell r="Z383">
            <v>0.26590693257359921</v>
          </cell>
          <cell r="AC383">
            <v>0.26256192498230713</v>
          </cell>
          <cell r="AF383">
            <v>0.25987757373400111</v>
          </cell>
          <cell r="AI383">
            <v>0.28321678321678323</v>
          </cell>
          <cell r="AL383">
            <v>0.2901631240731587</v>
          </cell>
          <cell r="AO383">
            <v>0.1506024096385542</v>
          </cell>
          <cell r="AP383">
            <v>0.2465996451803667</v>
          </cell>
          <cell r="AQ383">
            <v>0.24</v>
          </cell>
          <cell r="AR383">
            <v>0.24</v>
          </cell>
          <cell r="AS383">
            <v>0.24</v>
          </cell>
          <cell r="AT383">
            <v>0.24</v>
          </cell>
          <cell r="AU383">
            <v>0.24</v>
          </cell>
          <cell r="AV383">
            <v>0.24</v>
          </cell>
          <cell r="AW383">
            <v>0.24</v>
          </cell>
          <cell r="AX383">
            <v>0.24</v>
          </cell>
        </row>
        <row r="384">
          <cell r="A384" t="str">
            <v>Balance Sheet</v>
          </cell>
        </row>
        <row r="385">
          <cell r="B385" t="str">
            <v>BVPS, book value per share</v>
          </cell>
          <cell r="C385" t="str">
            <v>BVPS</v>
          </cell>
          <cell r="D385" t="str">
            <v>GBP</v>
          </cell>
          <cell r="F385">
            <v>244.59459459459461</v>
          </cell>
          <cell r="G385">
            <v>178.37301587301587</v>
          </cell>
          <cell r="H385">
            <v>117.72486772486772</v>
          </cell>
          <cell r="I385">
            <v>94.510582010582013</v>
          </cell>
          <cell r="J385">
            <v>51.529411764705877</v>
          </cell>
          <cell r="K385">
            <v>54.079254079254078</v>
          </cell>
          <cell r="L385">
            <v>98.201856148491885</v>
          </cell>
          <cell r="M385">
            <v>83.256880733944953</v>
          </cell>
          <cell r="N385">
            <v>114.51247165532881</v>
          </cell>
          <cell r="O385">
            <v>252.57378174330816</v>
          </cell>
          <cell r="P385">
            <v>235.34057255676211</v>
          </cell>
          <cell r="Q385">
            <v>217.78215223097112</v>
          </cell>
          <cell r="R385">
            <v>185.49019607843138</v>
          </cell>
          <cell r="S385">
            <v>182.71241830065358</v>
          </cell>
          <cell r="T385">
            <v>154.37908496732027</v>
          </cell>
          <cell r="W385">
            <v>86.610748679714206</v>
          </cell>
          <cell r="Z385">
            <v>127.58673594132031</v>
          </cell>
          <cell r="AC385">
            <v>176.13274139844617</v>
          </cell>
          <cell r="AF385">
            <v>205.61971346704871</v>
          </cell>
          <cell r="AI385">
            <v>130.19253731343284</v>
          </cell>
          <cell r="AL385">
            <v>154.58745247148292</v>
          </cell>
          <cell r="AO385">
            <v>126.17419354838708</v>
          </cell>
          <cell r="AP385">
            <v>114.94382022471909</v>
          </cell>
          <cell r="AQ385">
            <v>131.59187448758635</v>
          </cell>
          <cell r="AR385">
            <v>136.98340942331134</v>
          </cell>
          <cell r="AS385">
            <v>135.54895337274937</v>
          </cell>
          <cell r="AT385">
            <v>142.81679146224945</v>
          </cell>
          <cell r="AU385">
            <v>152.51881275774997</v>
          </cell>
          <cell r="AV385">
            <v>154.78913503491154</v>
          </cell>
          <cell r="AW385">
            <v>162.29449839451098</v>
          </cell>
          <cell r="AX385">
            <v>171.5076569696717</v>
          </cell>
        </row>
        <row r="386">
          <cell r="A386" t="str">
            <v>Cash Flow Statement</v>
          </cell>
        </row>
      </sheetData>
      <sheetData sheetId="4" refreshError="1"/>
      <sheetData sheetId="5" refreshError="1"/>
      <sheetData sheetId="6" refreshError="1"/>
      <sheetData sheetId="7" refreshError="1"/>
      <sheetData sheetId="8" refreshError="1"/>
      <sheetData sheetId="9">
        <row r="139">
          <cell r="B139">
            <v>1102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__FDSCACHE__"/>
      <sheetName val="_QP_EAD.PA"/>
      <sheetName val="AIR.PA_Live_Sheet"/>
      <sheetName val="AIR.PA_Validation_Sheet"/>
      <sheetName val="AIR.PA_Annotation_Sheet"/>
      <sheetName val="Cover Page"/>
      <sheetName val="AIR.PA_Exchange_Sheet"/>
      <sheetName val="Sheet5"/>
      <sheetName val="Sheet4"/>
      <sheetName val="MigrationOutput_QP_EAD.PA"/>
      <sheetName val="QP_EAD.PA_migrated"/>
      <sheetName val="Financials"/>
      <sheetName val="Interims"/>
      <sheetName val="Airbus Commercial"/>
      <sheetName val="Airbus Helicopters"/>
      <sheetName val="Airbus Defence &amp; Space"/>
      <sheetName val="Valuation"/>
      <sheetName val="Use of cash"/>
      <sheetName val="Old vs New"/>
      <sheetName val="GSe vs Consensus"/>
      <sheetName val="Results table"/>
      <sheetName val="Quarterly Commercial Bridge"/>
      <sheetName val="EBIT Bridge (VA)"/>
      <sheetName val="Commercial Bridge (Old)"/>
      <sheetName val="Aircraft Deliveries"/>
      <sheetName val="Capital Allocation"/>
      <sheetName val="A350"/>
      <sheetName val="Airbus Military"/>
      <sheetName val="FCF bridge"/>
      <sheetName val="Exhibit"/>
      <sheetName val="Exhibit 2"/>
      <sheetName val="Airbus Division"/>
      <sheetName val="Astrium"/>
      <sheetName val="Cassidian"/>
      <sheetName val="Other"/>
      <sheetName val="EBIT per delivery"/>
      <sheetName val="Orders &amp; Backlog"/>
      <sheetName val="Cost Savings"/>
      <sheetName val="Buyback"/>
      <sheetName val="Regional Breakdown"/>
      <sheetName val="Client tabs"/>
    </sheetNames>
    <sheetDataSet>
      <sheetData sheetId="0"/>
      <sheetData sheetId="1"/>
      <sheetData sheetId="2">
        <row r="1">
          <cell r="A1" t="str">
            <v>Issuer: Airbus</v>
          </cell>
        </row>
        <row r="75">
          <cell r="C75" t="str">
            <v>TOT_USD_DEBT</v>
          </cell>
        </row>
        <row r="76">
          <cell r="C76" t="str">
            <v>TOT_PCT_USD_DEBT_HEDGED</v>
          </cell>
        </row>
        <row r="77">
          <cell r="C77" t="str">
            <v>FLOATING_PCT_LOCAL_DEBT</v>
          </cell>
        </row>
        <row r="78">
          <cell r="C78" t="str">
            <v>FLOATING_PCT_LOCAL_DEBT_HEDGED</v>
          </cell>
        </row>
        <row r="79">
          <cell r="C79" t="str">
            <v>NET_DEBT</v>
          </cell>
        </row>
        <row r="80">
          <cell r="C80" t="str">
            <v>CAP_LEASES</v>
          </cell>
        </row>
        <row r="81">
          <cell r="C81" t="str">
            <v>DEF_INC_TAX</v>
          </cell>
        </row>
        <row r="82">
          <cell r="C82" t="str">
            <v>MV_ASSOCIATES</v>
          </cell>
        </row>
        <row r="83">
          <cell r="C83" t="str">
            <v>NET_DEBT_ADJ</v>
          </cell>
        </row>
        <row r="84">
          <cell r="C84" t="str">
            <v>CO_BOR_MARGIN</v>
          </cell>
        </row>
        <row r="85">
          <cell r="C85" t="str">
            <v>UNF_PENS</v>
          </cell>
        </row>
        <row r="86">
          <cell r="C86" t="str">
            <v>UNF_PENS_OFF</v>
          </cell>
        </row>
        <row r="87">
          <cell r="C87" t="str">
            <v>UNF_PENS_LIAB_OTH</v>
          </cell>
        </row>
        <row r="88">
          <cell r="C88" t="str">
            <v>ADJ_UNF_PENS_GOOD</v>
          </cell>
        </row>
        <row r="89">
          <cell r="C89" t="str">
            <v>OTH_GCI_ADJ</v>
          </cell>
        </row>
        <row r="90">
          <cell r="C90" t="str">
            <v>GCI_INFL</v>
          </cell>
        </row>
        <row r="91">
          <cell r="C91" t="str">
            <v>BAL_MINO_INT</v>
          </cell>
        </row>
        <row r="95">
          <cell r="C95" t="str">
            <v>IND_MINORITIES</v>
          </cell>
        </row>
        <row r="130">
          <cell r="C130" t="str">
            <v>EMPLOYEES</v>
          </cell>
        </row>
        <row r="156">
          <cell r="C156" t="str">
            <v>EMPLOYEES_OTHER</v>
          </cell>
        </row>
      </sheetData>
      <sheetData sheetId="3">
        <row r="1">
          <cell r="A1" t="str">
            <v>6d935f17-5036-4928-965e-0a556896ea81</v>
          </cell>
        </row>
        <row r="75">
          <cell r="C75" t="str">
            <v>V_KEYWORD_ISSR_208001433_TOT_USD_DEBT</v>
          </cell>
        </row>
        <row r="76">
          <cell r="C76" t="str">
            <v>V_KEYWORD_ISSR_208001433_TOT_PCT_USD_DEBT_HEDGED</v>
          </cell>
        </row>
        <row r="77">
          <cell r="C77" t="str">
            <v>V_KEYWORD_ISSR_208001433_FLOATING_PCT_LOCAL_DEBT</v>
          </cell>
        </row>
        <row r="78">
          <cell r="C78" t="str">
            <v>V_KEYWORD_ISSR_208001433_FLOATING_PCT_LOCAL_DEBT_HEDGED</v>
          </cell>
        </row>
        <row r="79">
          <cell r="C79" t="str">
            <v>V_KEYWORD_ISSR_208001433_NET_DEBT</v>
          </cell>
        </row>
        <row r="80">
          <cell r="C80" t="str">
            <v>V_KEYWORD_ISSR_208001433_CAP_LEASES</v>
          </cell>
        </row>
        <row r="81">
          <cell r="C81" t="str">
            <v>V_KEYWORD_ISSR_208001433_DEF_INC_TAX</v>
          </cell>
        </row>
        <row r="82">
          <cell r="C82" t="str">
            <v>V_KEYWORD_ISSR_208001433_MV_ASSOCIATES</v>
          </cell>
        </row>
        <row r="83">
          <cell r="C83" t="str">
            <v>V_KEYWORD_ISSR_208001433_NET_DEBT_ADJ</v>
          </cell>
        </row>
        <row r="84">
          <cell r="C84" t="str">
            <v>V_KEYWORD_ISSR_208001433_CO_BOR_MARGIN</v>
          </cell>
        </row>
        <row r="85">
          <cell r="C85" t="str">
            <v>V_KEYWORD_ISSR_208001433_UNF_PENS</v>
          </cell>
        </row>
        <row r="86">
          <cell r="C86" t="str">
            <v>V_KEYWORD_ISSR_208001433_UNF_PENS_OFF</v>
          </cell>
        </row>
        <row r="87">
          <cell r="C87" t="str">
            <v>V_KEYWORD_ISSR_208001433_UNF_PENS_LIAB_OTH</v>
          </cell>
        </row>
        <row r="88">
          <cell r="C88" t="str">
            <v>V_KEYWORD_ISSR_208001433_ADJ_UNF_PENS_GOOD</v>
          </cell>
        </row>
        <row r="89">
          <cell r="C89" t="str">
            <v>V_KEYWORD_ISSR_208001433_OTH_GCI_ADJ</v>
          </cell>
        </row>
        <row r="90">
          <cell r="C90" t="str">
            <v>V_KEYWORD_ISSR_208001433_GCI_INFL</v>
          </cell>
        </row>
        <row r="91">
          <cell r="C91" t="str">
            <v>V_KEYWORD_ISSR_208001433_BAL_MINO_INT</v>
          </cell>
        </row>
        <row r="95">
          <cell r="C95" t="str">
            <v>V_KEYWORD_ISSR_208001433_IND_MINORITIES</v>
          </cell>
        </row>
        <row r="130">
          <cell r="C130" t="str">
            <v>V_KEYWORD_ISSR_208001433_EMPLOYEES</v>
          </cell>
        </row>
        <row r="156">
          <cell r="C156" t="str">
            <v>V_KEYWORD_ISSR_208001433_EMPLOYEES_OTHER</v>
          </cell>
        </row>
      </sheetData>
      <sheetData sheetId="4">
        <row r="9">
          <cell r="B9" t="str">
            <v>M&amp;A probability (1 = high, 3 = low)</v>
          </cell>
        </row>
        <row r="75">
          <cell r="C75" t="str">
            <v>TOT_USD_DEBT</v>
          </cell>
        </row>
        <row r="76">
          <cell r="C76" t="str">
            <v>TOT_PCT_USD_DEBT_HEDGED</v>
          </cell>
        </row>
        <row r="77">
          <cell r="C77" t="str">
            <v>FLOATING_PCT_LOCAL_DEBT</v>
          </cell>
        </row>
        <row r="78">
          <cell r="C78" t="str">
            <v>FLOATING_PCT_LOCAL_DEBT_HEDGED</v>
          </cell>
        </row>
        <row r="79">
          <cell r="C79" t="str">
            <v>NET_DEBT</v>
          </cell>
        </row>
        <row r="80">
          <cell r="C80" t="str">
            <v>CAP_LEASES</v>
          </cell>
        </row>
        <row r="81">
          <cell r="C81" t="str">
            <v>DEF_INC_TAX</v>
          </cell>
        </row>
        <row r="82">
          <cell r="C82" t="str">
            <v>MV_ASSOCIATES</v>
          </cell>
        </row>
        <row r="83">
          <cell r="C83" t="str">
            <v>NET_DEBT_ADJ</v>
          </cell>
        </row>
        <row r="84">
          <cell r="C84" t="str">
            <v>CO_BOR_MARGIN</v>
          </cell>
        </row>
        <row r="85">
          <cell r="C85" t="str">
            <v>UNF_PENS</v>
          </cell>
        </row>
        <row r="86">
          <cell r="C86" t="str">
            <v>UNF_PENS_OFF</v>
          </cell>
        </row>
        <row r="87">
          <cell r="C87" t="str">
            <v>UNF_PENS_LIAB_OTH</v>
          </cell>
        </row>
        <row r="88">
          <cell r="C88" t="str">
            <v>ADJ_UNF_PENS_GOOD</v>
          </cell>
        </row>
        <row r="89">
          <cell r="C89" t="str">
            <v>OTH_GCI_ADJ</v>
          </cell>
        </row>
        <row r="90">
          <cell r="C90" t="str">
            <v>GCI_INFL</v>
          </cell>
        </row>
        <row r="91">
          <cell r="C91" t="str">
            <v>BAL_MINO_INT</v>
          </cell>
        </row>
        <row r="95">
          <cell r="C95" t="str">
            <v>IND_MINORITIES</v>
          </cell>
        </row>
        <row r="130">
          <cell r="C130" t="str">
            <v>EMPLOYEES</v>
          </cell>
        </row>
        <row r="156">
          <cell r="C156" t="str">
            <v>EMPLOYEES_OTHER</v>
          </cell>
        </row>
      </sheetData>
      <sheetData sheetId="5"/>
      <sheetData sheetId="6">
        <row r="1">
          <cell r="A1" t="str">
            <v>Issuer: Airbus</v>
          </cell>
        </row>
      </sheetData>
      <sheetData sheetId="7"/>
      <sheetData sheetId="8"/>
      <sheetData sheetId="9"/>
      <sheetData sheetId="10"/>
      <sheetData sheetId="11">
        <row r="7">
          <cell r="V7">
            <v>64551.093508026781</v>
          </cell>
        </row>
      </sheetData>
      <sheetData sheetId="12">
        <row r="93">
          <cell r="DJ93">
            <v>9167</v>
          </cell>
        </row>
      </sheetData>
      <sheetData sheetId="13">
        <row r="17">
          <cell r="S17">
            <v>2698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EAD.PA"/>
      <sheetName val="EAD.PA_Live_Sheet"/>
      <sheetName val="EAD.PA_Validation_Sheet"/>
      <sheetName val="EAD.PA_Annotation_Sheet"/>
      <sheetName val="EAD.PA_Exchange_Sheet"/>
      <sheetName val="Sheet5"/>
      <sheetName val="Sheet4"/>
      <sheetName val="MigrationOutput_QP_EAD.PA"/>
      <sheetName val="QP_EAD.PA_migrated"/>
      <sheetName val="Financials"/>
      <sheetName val="Use of cash"/>
      <sheetName val="Interims"/>
      <sheetName val="Airbus Division"/>
      <sheetName val="Airbus Commercial"/>
      <sheetName val="Airbus Military"/>
      <sheetName val="Eurocopter"/>
      <sheetName val="Astrium"/>
      <sheetName val="Cassidian"/>
      <sheetName val="Other"/>
      <sheetName val="Aircraft Deliveries"/>
      <sheetName val="Cost Savings"/>
      <sheetName val="A350"/>
      <sheetName val="Buyback"/>
      <sheetName val="Old Model ---&gt;"/>
      <sheetName val="Data"/>
      <sheetName val="Val"/>
      <sheetName val="CROCI"/>
      <sheetName val="FinancialsDP"/>
      <sheetName val="InterimsDP"/>
      <sheetName val="Airbus"/>
      <sheetName val="Airbus MilitaryDP"/>
      <sheetName val="EC"/>
      <sheetName val="CassidianDP"/>
      <sheetName val="Space"/>
      <sheetName val="HQ &amp; Other"/>
      <sheetName val="FX cover"/>
      <sheetName val="R4"/>
      <sheetName val="Val table"/>
      <sheetName val="Pres table"/>
      <sheetName val="IRC Apr 12"/>
      <sheetName val="Airbus margins graph"/>
      <sheetName val="Z2 (GS)"/>
      <sheetName val="Z3 (GS)"/>
      <sheetName val="R1"/>
      <sheetName val="R2-bridge"/>
      <sheetName val="Structure"/>
      <sheetName val="Overruns"/>
      <sheetName val="Asset val"/>
      <sheetName val="DCF old"/>
      <sheetName val="Rev. SOTP - old"/>
      <sheetName val="Basic rev SOTP -old"/>
      <sheetName val="Ch1"/>
      <sheetName val="Ch2"/>
      <sheetName val="Org Growth"/>
      <sheetName val="CF &amp; BS table"/>
      <sheetName val="VF chart"/>
      <sheetName val="Tanker"/>
      <sheetName val="P1 -FX vs vol"/>
      <sheetName val="P2-shareholders"/>
      <sheetName val="P3 - FX hedge book"/>
      <sheetName val="P4-effic."/>
      <sheetName val="P5-A380"/>
      <sheetName val="P7-delivs"/>
      <sheetName val="P10 -Power 8 cash"/>
      <sheetName val="Sheet1 (2)"/>
      <sheetName val="Sheet1"/>
      <sheetName val="Sheet2"/>
      <sheetName val="Sheet3"/>
      <sheetName val="A350 Ramp Up"/>
      <sheetName val="CH Financials"/>
      <sheetName val="Chart1"/>
    </sheetNames>
    <sheetDataSet>
      <sheetData sheetId="0"/>
      <sheetData sheetId="1">
        <row r="1">
          <cell r="A1" t="str">
            <v>Issuer: EADS</v>
          </cell>
          <cell r="C1">
            <v>825885432</v>
          </cell>
          <cell r="F1">
            <v>2000</v>
          </cell>
          <cell r="G1">
            <v>2001</v>
          </cell>
          <cell r="H1">
            <v>2002</v>
          </cell>
          <cell r="I1">
            <v>2003</v>
          </cell>
          <cell r="J1">
            <v>2004</v>
          </cell>
          <cell r="K1" t="str">
            <v>2005 Q1</v>
          </cell>
          <cell r="L1" t="str">
            <v>2005 Q2</v>
          </cell>
          <cell r="M1" t="str">
            <v>2005 Q3</v>
          </cell>
          <cell r="N1" t="str">
            <v>2005 Q4</v>
          </cell>
          <cell r="O1">
            <v>2005</v>
          </cell>
          <cell r="P1" t="str">
            <v>2006 Q1</v>
          </cell>
          <cell r="Q1" t="str">
            <v>2006 Q2</v>
          </cell>
          <cell r="R1" t="str">
            <v>2006 Q3</v>
          </cell>
          <cell r="S1" t="str">
            <v>2006 Q4</v>
          </cell>
          <cell r="T1">
            <v>2006</v>
          </cell>
          <cell r="U1" t="str">
            <v>2007 Q1</v>
          </cell>
          <cell r="V1" t="str">
            <v>2007 Q2</v>
          </cell>
          <cell r="W1" t="str">
            <v>2007 Q3</v>
          </cell>
          <cell r="X1" t="str">
            <v>2007 Q4</v>
          </cell>
          <cell r="Y1">
            <v>2007</v>
          </cell>
          <cell r="Z1" t="str">
            <v>2008 Q1</v>
          </cell>
          <cell r="AA1" t="str">
            <v>2008 Q2</v>
          </cell>
          <cell r="AB1" t="str">
            <v>2008 Q3</v>
          </cell>
          <cell r="AC1" t="str">
            <v>2008 Q4</v>
          </cell>
          <cell r="AD1">
            <v>2008</v>
          </cell>
          <cell r="AE1" t="str">
            <v>2009 Q1</v>
          </cell>
          <cell r="AF1" t="str">
            <v>2009 Q2</v>
          </cell>
          <cell r="AG1" t="str">
            <v>2009 Q3</v>
          </cell>
          <cell r="AH1" t="str">
            <v>2009 Q4</v>
          </cell>
          <cell r="AI1">
            <v>2009</v>
          </cell>
          <cell r="AJ1" t="str">
            <v>2010 Q1</v>
          </cell>
          <cell r="AK1" t="str">
            <v>2010 Q2</v>
          </cell>
          <cell r="AL1" t="str">
            <v>2010 Q3</v>
          </cell>
          <cell r="AM1" t="str">
            <v>2010 Q4</v>
          </cell>
          <cell r="AN1">
            <v>2010</v>
          </cell>
          <cell r="AO1" t="str">
            <v>2011 Q1</v>
          </cell>
          <cell r="AP1" t="str">
            <v>2011 Q2</v>
          </cell>
          <cell r="AQ1" t="str">
            <v>2011 Q3</v>
          </cell>
          <cell r="AR1" t="str">
            <v>2011 Q4</v>
          </cell>
          <cell r="AS1">
            <v>2011</v>
          </cell>
          <cell r="AT1">
            <v>2012</v>
          </cell>
          <cell r="AU1">
            <v>2013</v>
          </cell>
          <cell r="AV1">
            <v>2014</v>
          </cell>
          <cell r="AW1">
            <v>2015</v>
          </cell>
          <cell r="AX1">
            <v>2016</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Actual</v>
          </cell>
          <cell r="AR2" t="str">
            <v>Actual</v>
          </cell>
          <cell r="AS2" t="str">
            <v>Actual</v>
          </cell>
          <cell r="AT2" t="str">
            <v>Estimate</v>
          </cell>
          <cell r="AU2" t="str">
            <v>Estimate</v>
          </cell>
          <cell r="AV2" t="str">
            <v>Estimate</v>
          </cell>
          <cell r="AW2" t="str">
            <v>Estimate</v>
          </cell>
          <cell r="AX2" t="str">
            <v>Estimate</v>
          </cell>
          <cell r="AY2" t="str">
            <v>Estimate</v>
          </cell>
          <cell r="AZ2" t="str">
            <v>Estimate</v>
          </cell>
          <cell r="BA2" t="str">
            <v>Estimate</v>
          </cell>
          <cell r="BB2" t="str">
            <v>Estimate</v>
          </cell>
        </row>
        <row r="3">
          <cell r="F3">
            <v>36891</v>
          </cell>
          <cell r="G3">
            <v>37256</v>
          </cell>
          <cell r="H3">
            <v>37621</v>
          </cell>
          <cell r="I3">
            <v>37986</v>
          </cell>
          <cell r="J3">
            <v>38352</v>
          </cell>
          <cell r="K3">
            <v>38442</v>
          </cell>
          <cell r="L3">
            <v>38533</v>
          </cell>
          <cell r="M3">
            <v>38625</v>
          </cell>
          <cell r="N3">
            <v>38717</v>
          </cell>
          <cell r="O3">
            <v>38717</v>
          </cell>
          <cell r="P3">
            <v>38807</v>
          </cell>
          <cell r="Q3">
            <v>38898</v>
          </cell>
          <cell r="R3">
            <v>38990</v>
          </cell>
          <cell r="S3">
            <v>39082</v>
          </cell>
          <cell r="T3">
            <v>39082</v>
          </cell>
          <cell r="U3">
            <v>39172</v>
          </cell>
          <cell r="V3">
            <v>39263</v>
          </cell>
          <cell r="W3">
            <v>39355</v>
          </cell>
          <cell r="X3">
            <v>39447</v>
          </cell>
          <cell r="Y3">
            <v>39447</v>
          </cell>
          <cell r="Z3">
            <v>39538</v>
          </cell>
          <cell r="AA3">
            <v>39629</v>
          </cell>
          <cell r="AB3">
            <v>39721</v>
          </cell>
          <cell r="AC3">
            <v>39813</v>
          </cell>
          <cell r="AD3">
            <v>39813</v>
          </cell>
          <cell r="AE3">
            <v>39903</v>
          </cell>
          <cell r="AF3">
            <v>39994</v>
          </cell>
          <cell r="AG3">
            <v>40086</v>
          </cell>
          <cell r="AH3">
            <v>40178</v>
          </cell>
          <cell r="AI3">
            <v>40178</v>
          </cell>
          <cell r="AJ3">
            <v>40268</v>
          </cell>
          <cell r="AK3">
            <v>40359</v>
          </cell>
          <cell r="AL3">
            <v>40451</v>
          </cell>
          <cell r="AM3">
            <v>40543</v>
          </cell>
          <cell r="AN3">
            <v>40543</v>
          </cell>
          <cell r="AO3">
            <v>40633</v>
          </cell>
          <cell r="AP3">
            <v>40724</v>
          </cell>
          <cell r="AQ3">
            <v>40816</v>
          </cell>
          <cell r="AR3">
            <v>40908</v>
          </cell>
          <cell r="AS3">
            <v>40908</v>
          </cell>
          <cell r="AT3">
            <v>41274</v>
          </cell>
          <cell r="AU3">
            <v>41639</v>
          </cell>
          <cell r="AV3">
            <v>42004</v>
          </cell>
          <cell r="AW3">
            <v>42369</v>
          </cell>
          <cell r="AX3">
            <v>42735</v>
          </cell>
          <cell r="AY3">
            <v>43100</v>
          </cell>
          <cell r="AZ3">
            <v>43465</v>
          </cell>
          <cell r="BA3">
            <v>43830</v>
          </cell>
          <cell r="BB3">
            <v>44196</v>
          </cell>
        </row>
        <row r="4">
          <cell r="A4" t="str">
            <v>Issuer: EADS</v>
          </cell>
          <cell r="B4" t="str">
            <v>161MY</v>
          </cell>
        </row>
        <row r="5">
          <cell r="A5" t="str">
            <v>Reference Data</v>
          </cell>
        </row>
        <row r="6">
          <cell r="B6" t="str">
            <v>Issuer Name</v>
          </cell>
          <cell r="C6" t="str">
            <v>Issuer Name</v>
          </cell>
          <cell r="E6" t="str">
            <v>EADS</v>
          </cell>
        </row>
        <row r="7">
          <cell r="B7" t="str">
            <v>Reporting Currency</v>
          </cell>
          <cell r="C7" t="str">
            <v>CURRENCY_ISO</v>
          </cell>
          <cell r="E7" t="str">
            <v>EUR</v>
          </cell>
        </row>
        <row r="8">
          <cell r="A8" t="str">
            <v>Income Statement</v>
          </cell>
        </row>
        <row r="9">
          <cell r="B9" t="str">
            <v>Sales, net revenue</v>
          </cell>
          <cell r="C9" t="str">
            <v>SALES</v>
          </cell>
          <cell r="D9" t="str">
            <v>EUR</v>
          </cell>
          <cell r="F9">
            <v>24208</v>
          </cell>
          <cell r="G9">
            <v>30798</v>
          </cell>
          <cell r="H9">
            <v>29901</v>
          </cell>
          <cell r="I9">
            <v>30133</v>
          </cell>
          <cell r="J9">
            <v>31761</v>
          </cell>
          <cell r="O9">
            <v>34206</v>
          </cell>
          <cell r="T9">
            <v>39434</v>
          </cell>
          <cell r="Y9">
            <v>39123</v>
          </cell>
          <cell r="AD9">
            <v>43265</v>
          </cell>
          <cell r="AI9">
            <v>42822</v>
          </cell>
          <cell r="AN9">
            <v>45752</v>
          </cell>
          <cell r="AS9">
            <v>49128</v>
          </cell>
          <cell r="AT9">
            <v>56480</v>
          </cell>
          <cell r="AU9">
            <v>59216.726978690996</v>
          </cell>
          <cell r="AV9">
            <v>62281.391399614702</v>
          </cell>
          <cell r="AW9">
            <v>66858.973296551805</v>
          </cell>
          <cell r="AX9">
            <v>72864.080337624895</v>
          </cell>
          <cell r="AY9">
            <v>76238.071634599299</v>
          </cell>
          <cell r="AZ9">
            <v>78908.000563477995</v>
          </cell>
          <cell r="BA9">
            <v>84085.651680358205</v>
          </cell>
          <cell r="BB9">
            <v>89235.649575942094</v>
          </cell>
        </row>
        <row r="10">
          <cell r="B10" t="str">
            <v>Cost of goods sold, COGS</v>
          </cell>
          <cell r="C10" t="str">
            <v>COST_GD_SD</v>
          </cell>
          <cell r="D10" t="str">
            <v>EUR</v>
          </cell>
        </row>
        <row r="11">
          <cell r="B11" t="str">
            <v>SG&amp;A, selling, general and admin. expense</v>
          </cell>
          <cell r="C11" t="str">
            <v>SEL_GL_AD</v>
          </cell>
          <cell r="D11" t="str">
            <v>EUR</v>
          </cell>
          <cell r="F11">
            <v>0</v>
          </cell>
          <cell r="G11">
            <v>0</v>
          </cell>
          <cell r="H11">
            <v>0</v>
          </cell>
          <cell r="I11">
            <v>0</v>
          </cell>
          <cell r="J11">
            <v>0</v>
          </cell>
          <cell r="K11">
            <v>0</v>
          </cell>
          <cell r="L11">
            <v>0</v>
          </cell>
          <cell r="M11">
            <v>0</v>
          </cell>
          <cell r="N11">
            <v>0</v>
          </cell>
          <cell r="O11">
            <v>0</v>
          </cell>
          <cell r="P11">
            <v>0</v>
          </cell>
          <cell r="Q11">
            <v>0</v>
          </cell>
          <cell r="R11">
            <v>0</v>
          </cell>
          <cell r="T11">
            <v>0</v>
          </cell>
          <cell r="Y11">
            <v>0</v>
          </cell>
        </row>
        <row r="12">
          <cell r="B12" t="str">
            <v>Total operating expense</v>
          </cell>
          <cell r="C12" t="str">
            <v>OP_COST</v>
          </cell>
          <cell r="D12" t="str">
            <v>EUR</v>
          </cell>
          <cell r="F12">
            <v>-20535</v>
          </cell>
          <cell r="G12">
            <v>-25539</v>
          </cell>
          <cell r="H12">
            <v>-24774</v>
          </cell>
          <cell r="I12">
            <v>-24807</v>
          </cell>
          <cell r="J12">
            <v>-25782</v>
          </cell>
          <cell r="K12">
            <v>0</v>
          </cell>
          <cell r="L12">
            <v>0</v>
          </cell>
          <cell r="M12">
            <v>0</v>
          </cell>
          <cell r="N12">
            <v>0</v>
          </cell>
          <cell r="O12">
            <v>-27762</v>
          </cell>
          <cell r="P12">
            <v>0</v>
          </cell>
          <cell r="Q12">
            <v>0</v>
          </cell>
          <cell r="R12">
            <v>0</v>
          </cell>
          <cell r="T12">
            <v>-34943</v>
          </cell>
          <cell r="Y12">
            <v>-34764</v>
          </cell>
          <cell r="AD12">
            <v>-36157</v>
          </cell>
          <cell r="AI12">
            <v>-38551</v>
          </cell>
          <cell r="AN12">
            <v>-39931</v>
          </cell>
          <cell r="AS12">
            <v>-42358</v>
          </cell>
          <cell r="AT12">
            <v>-48381</v>
          </cell>
          <cell r="AU12">
            <v>-50252.3010976398</v>
          </cell>
          <cell r="AV12">
            <v>-52451.874056927001</v>
          </cell>
          <cell r="AW12">
            <v>-56142.378219474303</v>
          </cell>
          <cell r="AX12">
            <v>-61087.756776271402</v>
          </cell>
          <cell r="AY12">
            <v>-63844.800204112202</v>
          </cell>
          <cell r="AZ12">
            <v>-66153.833316441</v>
          </cell>
          <cell r="BA12">
            <v>-69769.0156639856</v>
          </cell>
          <cell r="BB12">
            <v>-73428.2633805347</v>
          </cell>
        </row>
        <row r="13">
          <cell r="B13" t="str">
            <v>R&amp;D expense</v>
          </cell>
          <cell r="C13" t="str">
            <v>RD_EXP</v>
          </cell>
          <cell r="D13" t="str">
            <v>EUR</v>
          </cell>
          <cell r="F13">
            <v>-1339</v>
          </cell>
          <cell r="G13">
            <v>-2046</v>
          </cell>
          <cell r="H13">
            <v>-2096</v>
          </cell>
          <cell r="I13">
            <v>-2189</v>
          </cell>
          <cell r="J13">
            <v>-2126</v>
          </cell>
          <cell r="O13">
            <v>-2075</v>
          </cell>
          <cell r="T13">
            <v>-2458</v>
          </cell>
          <cell r="Y13">
            <v>-2608</v>
          </cell>
          <cell r="AD13">
            <v>-2669</v>
          </cell>
          <cell r="AI13">
            <v>-2825</v>
          </cell>
          <cell r="AN13">
            <v>-2939</v>
          </cell>
          <cell r="AS13">
            <v>-3152</v>
          </cell>
          <cell r="AT13">
            <v>-3142</v>
          </cell>
          <cell r="AU13">
            <v>-3294.2449746290199</v>
          </cell>
          <cell r="AV13">
            <v>-3464.7332113595899</v>
          </cell>
          <cell r="AW13">
            <v>-3719.3855187281501</v>
          </cell>
          <cell r="AX13">
            <v>-4053.4514947028601</v>
          </cell>
          <cell r="AY13">
            <v>-4241.14768193893</v>
          </cell>
          <cell r="AZ13">
            <v>-4389.6766602416401</v>
          </cell>
          <cell r="BA13">
            <v>-4677.7110053060396</v>
          </cell>
          <cell r="BB13">
            <v>-4964.2069930525904</v>
          </cell>
        </row>
        <row r="14">
          <cell r="B14" t="str">
            <v>Other operating income/(expense) (incl. leases)</v>
          </cell>
          <cell r="C14" t="str">
            <v>OTH_OP_INC_EXP</v>
          </cell>
          <cell r="D14" t="str">
            <v>EUR</v>
          </cell>
          <cell r="K14">
            <v>0</v>
          </cell>
          <cell r="L14">
            <v>0</v>
          </cell>
          <cell r="M14">
            <v>0</v>
          </cell>
          <cell r="N14">
            <v>0</v>
          </cell>
          <cell r="P14">
            <v>0</v>
          </cell>
          <cell r="Q14">
            <v>0</v>
          </cell>
          <cell r="R14">
            <v>0</v>
          </cell>
        </row>
        <row r="15">
          <cell r="B15" t="str">
            <v>Total operating expense (incl. D&amp;A)</v>
          </cell>
          <cell r="C15" t="str">
            <v>TOT_OPS_EXP_DDA</v>
          </cell>
          <cell r="D15" t="str">
            <v>EUR</v>
          </cell>
          <cell r="F15">
            <v>-22809</v>
          </cell>
          <cell r="G15">
            <v>-29104</v>
          </cell>
          <cell r="H15">
            <v>-28475</v>
          </cell>
          <cell r="I15">
            <v>-28590</v>
          </cell>
          <cell r="J15">
            <v>-29317</v>
          </cell>
          <cell r="O15">
            <v>-31354</v>
          </cell>
          <cell r="T15">
            <v>-39035</v>
          </cell>
          <cell r="Y15">
            <v>-39071</v>
          </cell>
          <cell r="AD15">
            <v>-40435</v>
          </cell>
          <cell r="AI15">
            <v>-43144</v>
          </cell>
          <cell r="AN15">
            <v>-44408</v>
          </cell>
          <cell r="AS15">
            <v>-47334</v>
          </cell>
          <cell r="AT15">
            <v>-53521</v>
          </cell>
          <cell r="AU15">
            <v>-55639.880914971101</v>
          </cell>
          <cell r="AV15">
            <v>-58121.340058158799</v>
          </cell>
          <cell r="AW15">
            <v>-62232.887739732003</v>
          </cell>
          <cell r="AX15">
            <v>-67730.612809956496</v>
          </cell>
          <cell r="AY15">
            <v>-70797.994141263698</v>
          </cell>
          <cell r="AZ15">
            <v>-73352.605879398499</v>
          </cell>
          <cell r="BA15">
            <v>-77444.025789836</v>
          </cell>
          <cell r="BB15">
            <v>-81576.967540867394</v>
          </cell>
        </row>
        <row r="16">
          <cell r="B16" t="str">
            <v>Total operating expense (excl. D&amp;A)</v>
          </cell>
          <cell r="C16" t="str">
            <v>TOT_OPS_EXP</v>
          </cell>
          <cell r="D16" t="str">
            <v>EUR</v>
          </cell>
          <cell r="F16">
            <v>-21874</v>
          </cell>
          <cell r="G16">
            <v>-27585</v>
          </cell>
          <cell r="H16">
            <v>-26870</v>
          </cell>
          <cell r="I16">
            <v>-26996</v>
          </cell>
          <cell r="J16">
            <v>-27908</v>
          </cell>
          <cell r="O16">
            <v>-29837</v>
          </cell>
          <cell r="T16">
            <v>-37401</v>
          </cell>
          <cell r="Y16">
            <v>-37372</v>
          </cell>
          <cell r="AD16">
            <v>-38826</v>
          </cell>
          <cell r="AI16">
            <v>-41376</v>
          </cell>
          <cell r="AN16">
            <v>-42870</v>
          </cell>
          <cell r="AS16">
            <v>-45510</v>
          </cell>
          <cell r="AT16">
            <v>-51523</v>
          </cell>
          <cell r="AU16">
            <v>-53546.546072268902</v>
          </cell>
          <cell r="AV16">
            <v>-55916.6072682866</v>
          </cell>
          <cell r="AW16">
            <v>-59861.763738202397</v>
          </cell>
          <cell r="AX16">
            <v>-65141.208270974203</v>
          </cell>
          <cell r="AY16">
            <v>-68085.947886051101</v>
          </cell>
          <cell r="AZ16">
            <v>-70543.509976682704</v>
          </cell>
          <cell r="BA16">
            <v>-74446.726669291704</v>
          </cell>
          <cell r="BB16">
            <v>-78392.470373587304</v>
          </cell>
        </row>
        <row r="17">
          <cell r="B17" t="str">
            <v>EBITDA</v>
          </cell>
          <cell r="C17" t="str">
            <v>EBITDA_CALC</v>
          </cell>
          <cell r="D17" t="str">
            <v>EUR</v>
          </cell>
          <cell r="F17">
            <v>2334</v>
          </cell>
          <cell r="G17">
            <v>3213</v>
          </cell>
          <cell r="H17">
            <v>3031</v>
          </cell>
          <cell r="I17">
            <v>3137</v>
          </cell>
          <cell r="J17">
            <v>3853</v>
          </cell>
          <cell r="O17">
            <v>4369</v>
          </cell>
          <cell r="T17">
            <v>2033</v>
          </cell>
          <cell r="Y17">
            <v>1751</v>
          </cell>
          <cell r="AD17">
            <v>4439</v>
          </cell>
          <cell r="AI17">
            <v>1446</v>
          </cell>
          <cell r="AN17">
            <v>2882</v>
          </cell>
          <cell r="AS17">
            <v>3618</v>
          </cell>
          <cell r="AT17">
            <v>4957</v>
          </cell>
          <cell r="AU17">
            <v>5670.1809064221297</v>
          </cell>
          <cell r="AV17">
            <v>6364.7841313281097</v>
          </cell>
          <cell r="AW17">
            <v>6997.2095583493801</v>
          </cell>
          <cell r="AX17">
            <v>7722.8720666506597</v>
          </cell>
          <cell r="AY17">
            <v>8152.1237485481697</v>
          </cell>
          <cell r="AZ17">
            <v>8364.4905867953603</v>
          </cell>
          <cell r="BA17">
            <v>9638.9250110665198</v>
          </cell>
          <cell r="BB17">
            <v>10843.179202354901</v>
          </cell>
        </row>
        <row r="18">
          <cell r="B18" t="str">
            <v>Depreciation</v>
          </cell>
          <cell r="C18" t="str">
            <v>DEPREC</v>
          </cell>
          <cell r="D18" t="str">
            <v>EUR</v>
          </cell>
          <cell r="F18">
            <v>-935</v>
          </cell>
          <cell r="G18">
            <v>-1519</v>
          </cell>
          <cell r="H18">
            <v>-1605</v>
          </cell>
          <cell r="I18">
            <v>-1594</v>
          </cell>
          <cell r="J18">
            <v>-1409</v>
          </cell>
          <cell r="K18">
            <v>0</v>
          </cell>
          <cell r="L18">
            <v>0</v>
          </cell>
          <cell r="M18">
            <v>0</v>
          </cell>
          <cell r="N18">
            <v>0</v>
          </cell>
          <cell r="O18">
            <v>-1517</v>
          </cell>
          <cell r="P18">
            <v>0</v>
          </cell>
          <cell r="Q18">
            <v>0</v>
          </cell>
          <cell r="R18">
            <v>0</v>
          </cell>
          <cell r="T18">
            <v>-1634</v>
          </cell>
          <cell r="Y18">
            <v>-1699</v>
          </cell>
          <cell r="AD18">
            <v>-1609</v>
          </cell>
          <cell r="AI18">
            <v>-1768</v>
          </cell>
          <cell r="AN18">
            <v>-1538</v>
          </cell>
          <cell r="AS18">
            <v>-1824</v>
          </cell>
          <cell r="AT18">
            <v>-1618</v>
          </cell>
          <cell r="AU18">
            <v>-1696.3998628102299</v>
          </cell>
          <cell r="AV18">
            <v>-1784.19425078925</v>
          </cell>
          <cell r="AW18">
            <v>-1915.3296528650999</v>
          </cell>
          <cell r="AX18">
            <v>-2087.3598085388999</v>
          </cell>
          <cell r="AY18">
            <v>-2184.0155790506701</v>
          </cell>
          <cell r="AZ18">
            <v>-2260.5018575018998</v>
          </cell>
          <cell r="BA18">
            <v>-2408.8276278119602</v>
          </cell>
          <cell r="BB18">
            <v>-2556.36120775273</v>
          </cell>
        </row>
        <row r="19">
          <cell r="B19" t="str">
            <v>Amortization</v>
          </cell>
          <cell r="C19" t="str">
            <v>GOODWILL_AMORT</v>
          </cell>
          <cell r="D19" t="str">
            <v>EUR</v>
          </cell>
          <cell r="K19">
            <v>0</v>
          </cell>
          <cell r="L19">
            <v>0</v>
          </cell>
          <cell r="M19">
            <v>0</v>
          </cell>
          <cell r="N19">
            <v>0</v>
          </cell>
          <cell r="P19">
            <v>0</v>
          </cell>
          <cell r="Q19">
            <v>0</v>
          </cell>
          <cell r="R19">
            <v>0</v>
          </cell>
          <cell r="T19">
            <v>-16</v>
          </cell>
          <cell r="Y19">
            <v>-137</v>
          </cell>
          <cell r="AD19">
            <v>-72</v>
          </cell>
          <cell r="AI19">
            <v>-287</v>
          </cell>
          <cell r="AN19">
            <v>-135</v>
          </cell>
          <cell r="AS19">
            <v>-309</v>
          </cell>
          <cell r="AT19">
            <v>-380</v>
          </cell>
          <cell r="AU19">
            <v>-396.93497989203303</v>
          </cell>
          <cell r="AV19">
            <v>-420.53853908292899</v>
          </cell>
          <cell r="AW19">
            <v>-455.79434866450902</v>
          </cell>
          <cell r="AX19">
            <v>-502.04473044331201</v>
          </cell>
          <cell r="AY19">
            <v>-528.03067616186502</v>
          </cell>
          <cell r="AZ19">
            <v>-548.594045213958</v>
          </cell>
          <cell r="BA19">
            <v>-588.47149273242303</v>
          </cell>
          <cell r="BB19">
            <v>-628.13595952737705</v>
          </cell>
        </row>
        <row r="20">
          <cell r="B20" t="str">
            <v>EBIT, operating profit</v>
          </cell>
          <cell r="C20" t="str">
            <v>EBIT</v>
          </cell>
          <cell r="D20" t="str">
            <v>EUR</v>
          </cell>
          <cell r="F20">
            <v>1399</v>
          </cell>
          <cell r="G20">
            <v>1694</v>
          </cell>
          <cell r="H20">
            <v>1426</v>
          </cell>
          <cell r="I20">
            <v>1543</v>
          </cell>
          <cell r="J20">
            <v>2444</v>
          </cell>
          <cell r="O20">
            <v>2852</v>
          </cell>
          <cell r="T20">
            <v>399</v>
          </cell>
          <cell r="Y20">
            <v>52</v>
          </cell>
          <cell r="AD20">
            <v>2830</v>
          </cell>
          <cell r="AI20">
            <v>-322</v>
          </cell>
          <cell r="AN20">
            <v>1344</v>
          </cell>
          <cell r="AS20">
            <v>1794</v>
          </cell>
          <cell r="AT20">
            <v>2959</v>
          </cell>
          <cell r="AU20">
            <v>3576.84606371987</v>
          </cell>
          <cell r="AV20">
            <v>4160.05134145594</v>
          </cell>
          <cell r="AW20">
            <v>4626.0855568197803</v>
          </cell>
          <cell r="AX20">
            <v>5133.4675276684502</v>
          </cell>
          <cell r="AY20">
            <v>5440.0774933356297</v>
          </cell>
          <cell r="AZ20">
            <v>5555.3946840794997</v>
          </cell>
          <cell r="BA20">
            <v>6641.6258905221302</v>
          </cell>
          <cell r="BB20">
            <v>7658.6820350747403</v>
          </cell>
        </row>
        <row r="21">
          <cell r="B21" t="str">
            <v>Interest income</v>
          </cell>
          <cell r="C21" t="str">
            <v>INT_INC_IND</v>
          </cell>
          <cell r="D21" t="str">
            <v>EUR</v>
          </cell>
          <cell r="T21">
            <v>454</v>
          </cell>
          <cell r="Y21">
            <v>502</v>
          </cell>
          <cell r="AD21">
            <v>617</v>
          </cell>
          <cell r="AI21">
            <v>356</v>
          </cell>
          <cell r="AN21">
            <v>316</v>
          </cell>
          <cell r="AS21">
            <v>377</v>
          </cell>
          <cell r="AT21">
            <v>237</v>
          </cell>
          <cell r="AU21">
            <v>206.40346310004199</v>
          </cell>
          <cell r="AV21">
            <v>273.55979658177199</v>
          </cell>
          <cell r="AW21">
            <v>349.38921692349999</v>
          </cell>
          <cell r="AX21">
            <v>433.80854557066698</v>
          </cell>
          <cell r="AY21">
            <v>527.70567642506705</v>
          </cell>
          <cell r="AZ21">
            <v>632.05839792352401</v>
          </cell>
          <cell r="BA21">
            <v>747.94343121163297</v>
          </cell>
          <cell r="BB21">
            <v>876.54637457086801</v>
          </cell>
        </row>
        <row r="22">
          <cell r="B22" t="str">
            <v>Interest expense</v>
          </cell>
          <cell r="C22" t="str">
            <v>INT_EXP_IND</v>
          </cell>
          <cell r="D22" t="str">
            <v>EUR</v>
          </cell>
          <cell r="T22">
            <v>-698</v>
          </cell>
          <cell r="Y22">
            <v>-1239</v>
          </cell>
          <cell r="AD22">
            <v>-1089</v>
          </cell>
          <cell r="AI22">
            <v>-948</v>
          </cell>
          <cell r="AN22">
            <v>-687</v>
          </cell>
          <cell r="AS22">
            <v>-597</v>
          </cell>
          <cell r="AT22">
            <v>-690</v>
          </cell>
          <cell r="AU22">
            <v>-510.95</v>
          </cell>
          <cell r="AV22">
            <v>-510.95</v>
          </cell>
          <cell r="AW22">
            <v>-510.95</v>
          </cell>
          <cell r="AX22">
            <v>-510.95</v>
          </cell>
          <cell r="AY22">
            <v>-510.95</v>
          </cell>
          <cell r="AZ22">
            <v>-510.95</v>
          </cell>
          <cell r="BA22">
            <v>-510.95</v>
          </cell>
          <cell r="BB22">
            <v>-510.95</v>
          </cell>
        </row>
        <row r="23">
          <cell r="B23" t="str">
            <v>Net interest income/(expense)</v>
          </cell>
          <cell r="C23" t="str">
            <v>NET_INT_EXP</v>
          </cell>
          <cell r="D23" t="str">
            <v>EUR</v>
          </cell>
          <cell r="F23">
            <v>-1426</v>
          </cell>
          <cell r="G23">
            <v>-171</v>
          </cell>
          <cell r="H23">
            <v>-60</v>
          </cell>
          <cell r="I23">
            <v>-55</v>
          </cell>
          <cell r="J23">
            <v>-330</v>
          </cell>
          <cell r="O23">
            <v>-177</v>
          </cell>
          <cell r="T23">
            <v>-244</v>
          </cell>
          <cell r="Y23">
            <v>-737</v>
          </cell>
          <cell r="AD23">
            <v>-472</v>
          </cell>
          <cell r="AI23">
            <v>-592</v>
          </cell>
          <cell r="AN23">
            <v>-412</v>
          </cell>
          <cell r="AS23">
            <v>-279</v>
          </cell>
          <cell r="AT23">
            <v>-453</v>
          </cell>
          <cell r="AU23">
            <v>-329.33333333333297</v>
          </cell>
          <cell r="AV23">
            <v>-237.390203418228</v>
          </cell>
          <cell r="AW23">
            <v>-161.560783076501</v>
          </cell>
          <cell r="AX23">
            <v>-77.141454429332995</v>
          </cell>
          <cell r="AY23">
            <v>16.755676425067001</v>
          </cell>
          <cell r="AZ23">
            <v>121.108397923524</v>
          </cell>
          <cell r="BA23">
            <v>236.99343121163301</v>
          </cell>
          <cell r="BB23">
            <v>365.59637457086802</v>
          </cell>
        </row>
        <row r="24">
          <cell r="B24" t="str">
            <v>Income/(loss) from unconsolidated subs &amp; associates</v>
          </cell>
          <cell r="C24" t="str">
            <v>ASSOCIATE</v>
          </cell>
          <cell r="D24" t="str">
            <v>EUR</v>
          </cell>
          <cell r="J24">
            <v>0</v>
          </cell>
          <cell r="K24">
            <v>0</v>
          </cell>
          <cell r="L24">
            <v>0</v>
          </cell>
          <cell r="M24">
            <v>0</v>
          </cell>
          <cell r="N24">
            <v>0</v>
          </cell>
          <cell r="O24">
            <v>0</v>
          </cell>
          <cell r="P24">
            <v>0</v>
          </cell>
          <cell r="Q24">
            <v>0</v>
          </cell>
          <cell r="R24">
            <v>0</v>
          </cell>
          <cell r="T24">
            <v>0</v>
          </cell>
          <cell r="Y24">
            <v>0</v>
          </cell>
        </row>
        <row r="25">
          <cell r="B25" t="str">
            <v>Profit/(loss) on disposals of assets, pre-tax</v>
          </cell>
          <cell r="C25" t="str">
            <v>PROFIT_ON_DISP</v>
          </cell>
          <cell r="D25" t="str">
            <v>EUR</v>
          </cell>
          <cell r="F25">
            <v>0</v>
          </cell>
          <cell r="G25">
            <v>0</v>
          </cell>
          <cell r="H25">
            <v>0</v>
          </cell>
          <cell r="I25">
            <v>0</v>
          </cell>
          <cell r="J25">
            <v>0</v>
          </cell>
          <cell r="K25">
            <v>0</v>
          </cell>
          <cell r="L25">
            <v>0</v>
          </cell>
          <cell r="M25">
            <v>0</v>
          </cell>
          <cell r="N25">
            <v>0</v>
          </cell>
          <cell r="O25">
            <v>0</v>
          </cell>
          <cell r="P25">
            <v>0</v>
          </cell>
          <cell r="Q25">
            <v>0</v>
          </cell>
          <cell r="R25">
            <v>0</v>
          </cell>
          <cell r="T25">
            <v>0</v>
          </cell>
          <cell r="Y25">
            <v>0</v>
          </cell>
        </row>
        <row r="26">
          <cell r="B26" t="str">
            <v>Other non-ops income/(expense)</v>
          </cell>
          <cell r="C26" t="str">
            <v>OTH_COST_INC</v>
          </cell>
          <cell r="D26" t="str">
            <v>EUR</v>
          </cell>
          <cell r="F26">
            <v>0</v>
          </cell>
          <cell r="G26">
            <v>0</v>
          </cell>
          <cell r="H26">
            <v>0</v>
          </cell>
          <cell r="I26">
            <v>0</v>
          </cell>
          <cell r="K26">
            <v>0</v>
          </cell>
          <cell r="L26">
            <v>0</v>
          </cell>
          <cell r="M26">
            <v>0</v>
          </cell>
          <cell r="N26">
            <v>0</v>
          </cell>
          <cell r="P26">
            <v>0</v>
          </cell>
          <cell r="Q26">
            <v>0</v>
          </cell>
          <cell r="R26">
            <v>0</v>
          </cell>
        </row>
        <row r="27">
          <cell r="B27" t="str">
            <v>Pre-tax profit</v>
          </cell>
          <cell r="C27" t="str">
            <v>PT_PROF</v>
          </cell>
          <cell r="D27" t="str">
            <v>EUR</v>
          </cell>
          <cell r="F27">
            <v>-27</v>
          </cell>
          <cell r="G27">
            <v>1523</v>
          </cell>
          <cell r="H27">
            <v>1366</v>
          </cell>
          <cell r="I27">
            <v>1488</v>
          </cell>
          <cell r="J27">
            <v>2114</v>
          </cell>
          <cell r="O27">
            <v>2675</v>
          </cell>
          <cell r="T27">
            <v>155</v>
          </cell>
          <cell r="Y27">
            <v>-685</v>
          </cell>
          <cell r="AD27">
            <v>2358</v>
          </cell>
          <cell r="AI27">
            <v>-914</v>
          </cell>
          <cell r="AN27">
            <v>932</v>
          </cell>
          <cell r="AS27">
            <v>1515</v>
          </cell>
          <cell r="AT27">
            <v>2506</v>
          </cell>
          <cell r="AU27">
            <v>3247.5127303865302</v>
          </cell>
          <cell r="AV27">
            <v>3922.6611380377099</v>
          </cell>
          <cell r="AW27">
            <v>4464.5247737432801</v>
          </cell>
          <cell r="AX27">
            <v>5056.32607323912</v>
          </cell>
          <cell r="AY27">
            <v>5456.8331697607</v>
          </cell>
          <cell r="AZ27">
            <v>5676.5030820030197</v>
          </cell>
          <cell r="BA27">
            <v>6878.6193217337704</v>
          </cell>
          <cell r="BB27">
            <v>8024.2784096456098</v>
          </cell>
        </row>
        <row r="28">
          <cell r="A28" t="str">
            <v>Additional Income Statement Items</v>
          </cell>
        </row>
        <row r="29">
          <cell r="B29" t="str">
            <v>Organic revenues (excl. acquisitions)</v>
          </cell>
          <cell r="C29" t="str">
            <v>ORG_REV</v>
          </cell>
          <cell r="D29" t="str">
            <v>EUR</v>
          </cell>
        </row>
        <row r="30">
          <cell r="B30" t="str">
            <v>Organic sales growth (excl. acquisitions)</v>
          </cell>
          <cell r="C30" t="str">
            <v>ORG_REV_GRTH</v>
          </cell>
          <cell r="F30">
            <v>7.3382698531999996E-2</v>
          </cell>
          <cell r="G30">
            <v>0.1</v>
          </cell>
          <cell r="H30">
            <v>-2.9125267874999999E-2</v>
          </cell>
          <cell r="I30">
            <v>7.7589378279999998E-3</v>
          </cell>
          <cell r="J30">
            <v>5.4027146317999999E-2</v>
          </cell>
          <cell r="O30">
            <v>7.6981203363000003E-2</v>
          </cell>
          <cell r="T30">
            <v>0.15283868327200001</v>
          </cell>
          <cell r="Y30">
            <v>-7.8865953240000002E-3</v>
          </cell>
          <cell r="AD30">
            <v>0.105871226644</v>
          </cell>
          <cell r="AI30">
            <v>-1.0239223391E-2</v>
          </cell>
          <cell r="AN30">
            <v>6.8422773340999998E-2</v>
          </cell>
          <cell r="AS30">
            <v>6.3844203532000002E-2</v>
          </cell>
          <cell r="AT30">
            <v>0.14832681973600001</v>
          </cell>
          <cell r="AU30">
            <v>6.1713061351E-2</v>
          </cell>
          <cell r="AV30">
            <v>3.8692789829999998E-2</v>
          </cell>
          <cell r="AW30">
            <v>3.6975210207000002E-2</v>
          </cell>
          <cell r="AX30">
            <v>4.7570003505999998E-2</v>
          </cell>
          <cell r="AY30">
            <v>6.4769577630000002E-3</v>
          </cell>
          <cell r="AZ30">
            <v>-5.9733131019999997E-3</v>
          </cell>
          <cell r="BA30">
            <v>3.3392245569000001E-2</v>
          </cell>
          <cell r="BB30">
            <v>3.4347662631000003E-2</v>
          </cell>
        </row>
        <row r="31">
          <cell r="B31" t="str">
            <v>Lease payments</v>
          </cell>
          <cell r="C31" t="str">
            <v>LEASE_PAY</v>
          </cell>
          <cell r="D31" t="str">
            <v>EUR</v>
          </cell>
          <cell r="F31">
            <v>0</v>
          </cell>
          <cell r="G31">
            <v>0</v>
          </cell>
          <cell r="H31">
            <v>0</v>
          </cell>
          <cell r="I31">
            <v>0</v>
          </cell>
          <cell r="J31">
            <v>0</v>
          </cell>
          <cell r="K31">
            <v>0</v>
          </cell>
          <cell r="L31">
            <v>0</v>
          </cell>
          <cell r="M31">
            <v>0</v>
          </cell>
          <cell r="N31">
            <v>0</v>
          </cell>
          <cell r="O31">
            <v>0</v>
          </cell>
          <cell r="P31">
            <v>0</v>
          </cell>
          <cell r="Q31">
            <v>0</v>
          </cell>
          <cell r="R31">
            <v>0</v>
          </cell>
          <cell r="T31">
            <v>0</v>
          </cell>
          <cell r="Y31">
            <v>0</v>
          </cell>
        </row>
        <row r="32">
          <cell r="B32" t="str">
            <v>Lease payments (deemed interest portion)</v>
          </cell>
          <cell r="C32" t="str">
            <v>LEASE_DEEM_INT</v>
          </cell>
          <cell r="D32" t="str">
            <v>EUR</v>
          </cell>
          <cell r="F32">
            <v>0.33333299999999999</v>
          </cell>
          <cell r="G32">
            <v>0.33333299999999999</v>
          </cell>
          <cell r="H32">
            <v>0.33333299999999999</v>
          </cell>
          <cell r="I32">
            <v>0.33333299999999999</v>
          </cell>
          <cell r="J32">
            <v>0.33333299999999999</v>
          </cell>
          <cell r="K32">
            <v>0.33333299999999999</v>
          </cell>
          <cell r="L32">
            <v>0.33333299999999999</v>
          </cell>
          <cell r="M32">
            <v>0.33333299999999999</v>
          </cell>
          <cell r="N32">
            <v>0.33333299999999999</v>
          </cell>
          <cell r="O32">
            <v>0.33333299999999999</v>
          </cell>
          <cell r="P32">
            <v>0.33333299999999999</v>
          </cell>
          <cell r="Q32">
            <v>0.33333299999999999</v>
          </cell>
          <cell r="R32">
            <v>0.33333299999999999</v>
          </cell>
          <cell r="T32">
            <v>0.33333299999999999</v>
          </cell>
          <cell r="Y32">
            <v>0.33333299999999999</v>
          </cell>
        </row>
        <row r="33">
          <cell r="B33" t="str">
            <v>Lease payments (deemed depreciation portion)</v>
          </cell>
          <cell r="C33" t="str">
            <v>LEASE_DEEM_DEPR</v>
          </cell>
          <cell r="D33" t="str">
            <v>EUR</v>
          </cell>
          <cell r="F33">
            <v>0.66666700000000001</v>
          </cell>
          <cell r="G33">
            <v>0.66666700000000001</v>
          </cell>
          <cell r="H33">
            <v>0.66666700000000001</v>
          </cell>
          <cell r="I33">
            <v>0.66666700000000001</v>
          </cell>
          <cell r="J33">
            <v>0.66666700000000001</v>
          </cell>
          <cell r="K33">
            <v>0.66666700000000001</v>
          </cell>
          <cell r="L33">
            <v>0.66666700000000001</v>
          </cell>
          <cell r="M33">
            <v>0.66666700000000001</v>
          </cell>
          <cell r="N33">
            <v>0.66666700000000001</v>
          </cell>
          <cell r="O33">
            <v>0.66666700000000001</v>
          </cell>
          <cell r="P33">
            <v>0.66666700000000001</v>
          </cell>
          <cell r="Q33">
            <v>0.66666700000000001</v>
          </cell>
          <cell r="R33">
            <v>0.66666700000000001</v>
          </cell>
          <cell r="T33">
            <v>0.66666700000000001</v>
          </cell>
          <cell r="Y33">
            <v>0.66666700000000001</v>
          </cell>
        </row>
        <row r="34">
          <cell r="B34" t="str">
            <v>Gross interest charge</v>
          </cell>
          <cell r="C34" t="str">
            <v>NET_INT_CH</v>
          </cell>
          <cell r="D34" t="str">
            <v>EUR</v>
          </cell>
          <cell r="K34">
            <v>0</v>
          </cell>
          <cell r="L34">
            <v>0</v>
          </cell>
          <cell r="M34">
            <v>0</v>
          </cell>
          <cell r="N34">
            <v>0</v>
          </cell>
          <cell r="P34">
            <v>0</v>
          </cell>
          <cell r="Q34">
            <v>0</v>
          </cell>
          <cell r="R34">
            <v>0</v>
          </cell>
        </row>
        <row r="35">
          <cell r="B35" t="str">
            <v>Income from associates (operating)</v>
          </cell>
          <cell r="C35" t="str">
            <v>ASSOCIATE_OP</v>
          </cell>
          <cell r="D35" t="str">
            <v>EUR</v>
          </cell>
          <cell r="F35">
            <v>0</v>
          </cell>
          <cell r="G35">
            <v>0</v>
          </cell>
          <cell r="H35">
            <v>0</v>
          </cell>
          <cell r="I35">
            <v>0</v>
          </cell>
          <cell r="J35">
            <v>0</v>
          </cell>
          <cell r="K35">
            <v>0</v>
          </cell>
          <cell r="L35">
            <v>0</v>
          </cell>
          <cell r="M35">
            <v>0</v>
          </cell>
          <cell r="N35">
            <v>0</v>
          </cell>
          <cell r="O35">
            <v>0</v>
          </cell>
          <cell r="P35">
            <v>0</v>
          </cell>
          <cell r="Q35">
            <v>0</v>
          </cell>
          <cell r="R35">
            <v>0</v>
          </cell>
          <cell r="T35">
            <v>0</v>
          </cell>
          <cell r="Y35">
            <v>0</v>
          </cell>
        </row>
        <row r="36">
          <cell r="B36" t="str">
            <v>Goodwill amortization</v>
          </cell>
          <cell r="C36" t="str">
            <v>GW_AMORT</v>
          </cell>
          <cell r="D36" t="str">
            <v>EUR</v>
          </cell>
        </row>
        <row r="37">
          <cell r="B37" t="str">
            <v>Other intangible amortization</v>
          </cell>
          <cell r="C37" t="str">
            <v>OTH_INT_AMORT</v>
          </cell>
          <cell r="D37" t="str">
            <v>EUR</v>
          </cell>
          <cell r="F37">
            <v>0</v>
          </cell>
          <cell r="G37">
            <v>0</v>
          </cell>
          <cell r="H37">
            <v>0</v>
          </cell>
          <cell r="I37">
            <v>0</v>
          </cell>
          <cell r="J37">
            <v>0</v>
          </cell>
          <cell r="K37">
            <v>0</v>
          </cell>
          <cell r="L37">
            <v>0</v>
          </cell>
          <cell r="M37">
            <v>0</v>
          </cell>
          <cell r="N37">
            <v>0</v>
          </cell>
          <cell r="O37">
            <v>0</v>
          </cell>
          <cell r="P37">
            <v>0</v>
          </cell>
          <cell r="Q37">
            <v>0</v>
          </cell>
          <cell r="R37">
            <v>0</v>
          </cell>
          <cell r="T37">
            <v>0</v>
          </cell>
          <cell r="Y37">
            <v>0</v>
          </cell>
        </row>
        <row r="38">
          <cell r="A38" t="str">
            <v>Balance Sheet</v>
          </cell>
        </row>
        <row r="39">
          <cell r="B39" t="str">
            <v>Cash &amp; cash equivalents</v>
          </cell>
          <cell r="C39" t="str">
            <v>CASH_EQ</v>
          </cell>
          <cell r="D39" t="str">
            <v>EUR</v>
          </cell>
          <cell r="F39">
            <v>7922</v>
          </cell>
          <cell r="G39">
            <v>8033</v>
          </cell>
          <cell r="H39">
            <v>6200</v>
          </cell>
          <cell r="I39">
            <v>7872</v>
          </cell>
          <cell r="J39">
            <v>9184</v>
          </cell>
          <cell r="K39">
            <v>0</v>
          </cell>
          <cell r="L39">
            <v>0</v>
          </cell>
          <cell r="M39">
            <v>0</v>
          </cell>
          <cell r="N39">
            <v>0</v>
          </cell>
          <cell r="O39">
            <v>10586</v>
          </cell>
          <cell r="P39">
            <v>0</v>
          </cell>
          <cell r="Q39">
            <v>0</v>
          </cell>
          <cell r="R39">
            <v>0</v>
          </cell>
          <cell r="T39">
            <v>9986</v>
          </cell>
          <cell r="Y39">
            <v>11838</v>
          </cell>
          <cell r="AD39">
            <v>13697</v>
          </cell>
          <cell r="AI39">
            <v>15093</v>
          </cell>
          <cell r="AN39">
            <v>16196</v>
          </cell>
          <cell r="AS39">
            <v>16785</v>
          </cell>
          <cell r="AT39">
            <v>8756</v>
          </cell>
          <cell r="AU39">
            <v>4430.6721038082296</v>
          </cell>
          <cell r="AV39">
            <v>4982.3779077994704</v>
          </cell>
          <cell r="AW39">
            <v>6150.03881048722</v>
          </cell>
          <cell r="AX39">
            <v>7514.6833060183098</v>
          </cell>
          <cell r="AY39">
            <v>9360.4020311540007</v>
          </cell>
          <cell r="AZ39">
            <v>11876.737012969699</v>
          </cell>
          <cell r="BA39">
            <v>15655.777072256</v>
          </cell>
          <cell r="BB39">
            <v>21680.1381454658</v>
          </cell>
        </row>
        <row r="40">
          <cell r="B40" t="str">
            <v>Accounts receivable</v>
          </cell>
          <cell r="C40" t="str">
            <v>DEBTORS</v>
          </cell>
          <cell r="D40" t="str">
            <v>EUR</v>
          </cell>
          <cell r="F40">
            <v>4118</v>
          </cell>
          <cell r="G40">
            <v>5183</v>
          </cell>
          <cell r="H40">
            <v>4114</v>
          </cell>
          <cell r="I40">
            <v>4001</v>
          </cell>
          <cell r="J40">
            <v>4406</v>
          </cell>
          <cell r="O40">
            <v>4802</v>
          </cell>
          <cell r="T40">
            <v>4852</v>
          </cell>
          <cell r="Y40">
            <v>4639</v>
          </cell>
          <cell r="AD40">
            <v>5267</v>
          </cell>
          <cell r="AI40">
            <v>5587</v>
          </cell>
          <cell r="AN40">
            <v>6632</v>
          </cell>
          <cell r="AS40">
            <v>6399</v>
          </cell>
          <cell r="AT40">
            <v>6790</v>
          </cell>
          <cell r="AU40">
            <v>7119.0080769354099</v>
          </cell>
          <cell r="AV40">
            <v>7487.44064453584</v>
          </cell>
          <cell r="AW40">
            <v>8037.7554653609604</v>
          </cell>
          <cell r="AX40">
            <v>8759.6867119772196</v>
          </cell>
          <cell r="AY40">
            <v>9165.3064164116295</v>
          </cell>
          <cell r="AZ40">
            <v>9486.2840620753504</v>
          </cell>
          <cell r="BA40">
            <v>10108.738932536</v>
          </cell>
          <cell r="BB40">
            <v>10727.869345266399</v>
          </cell>
        </row>
        <row r="41">
          <cell r="B41" t="str">
            <v>Inventory</v>
          </cell>
          <cell r="C41" t="str">
            <v>STOCKS</v>
          </cell>
          <cell r="D41" t="str">
            <v>EUR</v>
          </cell>
          <cell r="F41">
            <v>2081</v>
          </cell>
          <cell r="G41">
            <v>2469</v>
          </cell>
          <cell r="H41">
            <v>2700</v>
          </cell>
          <cell r="I41">
            <v>3279</v>
          </cell>
          <cell r="J41">
            <v>3075</v>
          </cell>
          <cell r="K41">
            <v>0</v>
          </cell>
          <cell r="L41">
            <v>0</v>
          </cell>
          <cell r="M41">
            <v>0</v>
          </cell>
          <cell r="N41">
            <v>0</v>
          </cell>
          <cell r="O41">
            <v>15425</v>
          </cell>
          <cell r="P41">
            <v>0</v>
          </cell>
          <cell r="Q41">
            <v>0</v>
          </cell>
          <cell r="R41">
            <v>0</v>
          </cell>
          <cell r="T41">
            <v>16892</v>
          </cell>
          <cell r="Y41">
            <v>18906</v>
          </cell>
          <cell r="AD41">
            <v>19452</v>
          </cell>
          <cell r="AI41">
            <v>21577</v>
          </cell>
          <cell r="AN41">
            <v>20862</v>
          </cell>
          <cell r="AS41">
            <v>22563</v>
          </cell>
          <cell r="AT41">
            <v>23216</v>
          </cell>
          <cell r="AU41">
            <v>28685.620007468799</v>
          </cell>
          <cell r="AV41">
            <v>31133.635854824301</v>
          </cell>
          <cell r="AW41">
            <v>33513.277703387103</v>
          </cell>
          <cell r="AX41">
            <v>36484.205015224397</v>
          </cell>
          <cell r="AY41">
            <v>37990.445902890999</v>
          </cell>
          <cell r="AZ41">
            <v>38885.136382394099</v>
          </cell>
          <cell r="BA41">
            <v>40851.940978774903</v>
          </cell>
          <cell r="BB41">
            <v>41925.397782378903</v>
          </cell>
        </row>
        <row r="42">
          <cell r="B42" t="str">
            <v>Other current assets</v>
          </cell>
          <cell r="C42" t="str">
            <v>OTH_CUR_ASS</v>
          </cell>
          <cell r="D42" t="str">
            <v>EUR</v>
          </cell>
          <cell r="F42">
            <v>3278</v>
          </cell>
          <cell r="G42">
            <v>3378</v>
          </cell>
          <cell r="H42">
            <v>6221</v>
          </cell>
          <cell r="I42">
            <v>11231</v>
          </cell>
          <cell r="J42">
            <v>12056</v>
          </cell>
          <cell r="K42">
            <v>0</v>
          </cell>
          <cell r="L42">
            <v>0</v>
          </cell>
          <cell r="M42">
            <v>0</v>
          </cell>
          <cell r="N42">
            <v>0</v>
          </cell>
          <cell r="O42">
            <v>3675</v>
          </cell>
          <cell r="P42">
            <v>0</v>
          </cell>
          <cell r="Q42">
            <v>0</v>
          </cell>
          <cell r="R42">
            <v>0</v>
          </cell>
          <cell r="T42">
            <v>4545</v>
          </cell>
          <cell r="Y42">
            <v>5713</v>
          </cell>
          <cell r="AD42">
            <v>4590</v>
          </cell>
          <cell r="AI42">
            <v>4238</v>
          </cell>
          <cell r="AN42">
            <v>3632</v>
          </cell>
          <cell r="AS42">
            <v>4503</v>
          </cell>
          <cell r="AT42">
            <v>6567</v>
          </cell>
          <cell r="AU42">
            <v>6567</v>
          </cell>
          <cell r="AV42">
            <v>6567</v>
          </cell>
          <cell r="AW42">
            <v>6567</v>
          </cell>
          <cell r="AX42">
            <v>6567</v>
          </cell>
          <cell r="AY42">
            <v>6567.00000000001</v>
          </cell>
          <cell r="AZ42">
            <v>6567</v>
          </cell>
          <cell r="BA42">
            <v>6566.99999999999</v>
          </cell>
          <cell r="BB42">
            <v>6567.00000000001</v>
          </cell>
        </row>
        <row r="43">
          <cell r="B43" t="str">
            <v>Total current assets</v>
          </cell>
          <cell r="C43" t="str">
            <v>CUR_ASS</v>
          </cell>
          <cell r="D43" t="str">
            <v>EUR</v>
          </cell>
          <cell r="F43">
            <v>17399</v>
          </cell>
          <cell r="G43">
            <v>19063</v>
          </cell>
          <cell r="H43">
            <v>19235</v>
          </cell>
          <cell r="I43">
            <v>26383</v>
          </cell>
          <cell r="J43">
            <v>28721</v>
          </cell>
          <cell r="K43">
            <v>0</v>
          </cell>
          <cell r="L43">
            <v>0</v>
          </cell>
          <cell r="M43">
            <v>0</v>
          </cell>
          <cell r="N43">
            <v>0</v>
          </cell>
          <cell r="O43">
            <v>34488</v>
          </cell>
          <cell r="P43">
            <v>0</v>
          </cell>
          <cell r="Q43">
            <v>0</v>
          </cell>
          <cell r="R43">
            <v>0</v>
          </cell>
          <cell r="T43">
            <v>36275</v>
          </cell>
          <cell r="Y43">
            <v>41096</v>
          </cell>
          <cell r="AD43">
            <v>43006</v>
          </cell>
          <cell r="AI43">
            <v>46495</v>
          </cell>
          <cell r="AN43">
            <v>47322</v>
          </cell>
          <cell r="AS43">
            <v>50250</v>
          </cell>
          <cell r="AT43">
            <v>45329</v>
          </cell>
          <cell r="AU43">
            <v>46802.300188212401</v>
          </cell>
          <cell r="AV43">
            <v>50170.454407159603</v>
          </cell>
          <cell r="AW43">
            <v>54268.071979235297</v>
          </cell>
          <cell r="AX43">
            <v>59325.575033219902</v>
          </cell>
          <cell r="AY43">
            <v>63083.154350456702</v>
          </cell>
          <cell r="AZ43">
            <v>66815.157457439098</v>
          </cell>
          <cell r="BA43">
            <v>73183.456983566793</v>
          </cell>
          <cell r="BB43">
            <v>80900.405273111202</v>
          </cell>
        </row>
        <row r="44">
          <cell r="B44" t="str">
            <v>Gross fixed assets, PP&amp;E</v>
          </cell>
          <cell r="C44" t="str">
            <v>GR_FIX_ASS</v>
          </cell>
          <cell r="D44" t="str">
            <v>EUR</v>
          </cell>
          <cell r="F44">
            <v>12540</v>
          </cell>
          <cell r="G44">
            <v>16419</v>
          </cell>
          <cell r="H44">
            <v>16419</v>
          </cell>
          <cell r="I44">
            <v>19537</v>
          </cell>
          <cell r="J44">
            <v>21735</v>
          </cell>
          <cell r="O44">
            <v>23629</v>
          </cell>
          <cell r="T44">
            <v>24890</v>
          </cell>
          <cell r="Y44">
            <v>23936</v>
          </cell>
          <cell r="AD44">
            <v>22487</v>
          </cell>
          <cell r="AI44">
            <v>24104</v>
          </cell>
          <cell r="AN44">
            <v>26110</v>
          </cell>
          <cell r="AS44">
            <v>28326</v>
          </cell>
          <cell r="AT44">
            <v>31222</v>
          </cell>
          <cell r="AU44">
            <v>31222</v>
          </cell>
          <cell r="AV44">
            <v>31222</v>
          </cell>
          <cell r="AW44">
            <v>31222</v>
          </cell>
          <cell r="AX44">
            <v>31222</v>
          </cell>
          <cell r="AY44">
            <v>31222</v>
          </cell>
          <cell r="AZ44">
            <v>31222</v>
          </cell>
          <cell r="BA44">
            <v>31222</v>
          </cell>
          <cell r="BB44">
            <v>31222</v>
          </cell>
        </row>
        <row r="45">
          <cell r="B45" t="str">
            <v>Accumulated depreciation</v>
          </cell>
          <cell r="C45" t="str">
            <v>ACC_DDA</v>
          </cell>
          <cell r="D45" t="str">
            <v>EUR</v>
          </cell>
          <cell r="F45">
            <v>-4420</v>
          </cell>
          <cell r="G45">
            <v>-6369</v>
          </cell>
          <cell r="H45">
            <v>-5910</v>
          </cell>
          <cell r="I45">
            <v>-8089</v>
          </cell>
          <cell r="J45">
            <v>-8830</v>
          </cell>
          <cell r="O45">
            <v>-9678</v>
          </cell>
          <cell r="T45">
            <v>-10575</v>
          </cell>
          <cell r="Y45">
            <v>-10447</v>
          </cell>
          <cell r="AD45">
            <v>-10244</v>
          </cell>
          <cell r="AI45">
            <v>-11596</v>
          </cell>
          <cell r="AN45">
            <v>-12606</v>
          </cell>
          <cell r="AS45">
            <v>-14093</v>
          </cell>
          <cell r="AT45">
            <v>-15954</v>
          </cell>
          <cell r="AU45">
            <v>-16215.2369972996</v>
          </cell>
          <cell r="AV45">
            <v>-16489.993886222699</v>
          </cell>
          <cell r="AW45">
            <v>-16784.9449636912</v>
          </cell>
          <cell r="AX45">
            <v>-17106.387814885002</v>
          </cell>
          <cell r="AY45">
            <v>-17442.715165785299</v>
          </cell>
          <cell r="AZ45">
            <v>-17790.821016646201</v>
          </cell>
          <cell r="BA45">
            <v>-18161.768285799699</v>
          </cell>
          <cell r="BB45">
            <v>-18555.434979936399</v>
          </cell>
        </row>
        <row r="46">
          <cell r="B46" t="str">
            <v>Net PP&amp;E</v>
          </cell>
          <cell r="C46" t="str">
            <v>NET_FIX_ASS</v>
          </cell>
          <cell r="D46" t="str">
            <v>EUR</v>
          </cell>
          <cell r="F46">
            <v>8120</v>
          </cell>
          <cell r="G46">
            <v>10050</v>
          </cell>
          <cell r="H46">
            <v>10509</v>
          </cell>
          <cell r="I46">
            <v>11448</v>
          </cell>
          <cell r="J46">
            <v>12905</v>
          </cell>
          <cell r="K46">
            <v>0</v>
          </cell>
          <cell r="L46">
            <v>0</v>
          </cell>
          <cell r="M46">
            <v>0</v>
          </cell>
          <cell r="N46">
            <v>0</v>
          </cell>
          <cell r="O46">
            <v>13951</v>
          </cell>
          <cell r="P46">
            <v>0</v>
          </cell>
          <cell r="Q46">
            <v>0</v>
          </cell>
          <cell r="R46">
            <v>0</v>
          </cell>
          <cell r="T46">
            <v>14315</v>
          </cell>
          <cell r="Y46">
            <v>13489</v>
          </cell>
          <cell r="AD46">
            <v>12243</v>
          </cell>
          <cell r="AI46">
            <v>12508</v>
          </cell>
          <cell r="AN46">
            <v>13504</v>
          </cell>
          <cell r="AS46">
            <v>14233</v>
          </cell>
          <cell r="AT46">
            <v>15268</v>
          </cell>
          <cell r="AU46">
            <v>15006.7630027004</v>
          </cell>
          <cell r="AV46">
            <v>14732.006113777299</v>
          </cell>
          <cell r="AW46">
            <v>14437.0550363088</v>
          </cell>
          <cell r="AX46">
            <v>14115.612185115</v>
          </cell>
          <cell r="AY46">
            <v>13779.284834214701</v>
          </cell>
          <cell r="AZ46">
            <v>13431.178983353801</v>
          </cell>
          <cell r="BA46">
            <v>13060.231714200299</v>
          </cell>
          <cell r="BB46">
            <v>12666.565020063599</v>
          </cell>
        </row>
        <row r="47">
          <cell r="B47" t="str">
            <v>Gross intangibles</v>
          </cell>
          <cell r="C47" t="str">
            <v>GR_INTANG</v>
          </cell>
          <cell r="D47" t="str">
            <v>EUR</v>
          </cell>
          <cell r="F47">
            <v>8747</v>
          </cell>
          <cell r="G47">
            <v>12641</v>
          </cell>
          <cell r="H47">
            <v>12641</v>
          </cell>
          <cell r="I47">
            <v>13360</v>
          </cell>
          <cell r="J47">
            <v>11616</v>
          </cell>
          <cell r="K47">
            <v>0</v>
          </cell>
          <cell r="L47">
            <v>0</v>
          </cell>
          <cell r="M47">
            <v>0</v>
          </cell>
          <cell r="N47">
            <v>0</v>
          </cell>
          <cell r="O47">
            <v>12795</v>
          </cell>
          <cell r="P47">
            <v>0</v>
          </cell>
          <cell r="Q47">
            <v>0</v>
          </cell>
          <cell r="R47">
            <v>0</v>
          </cell>
          <cell r="T47">
            <v>12735</v>
          </cell>
          <cell r="Y47">
            <v>12910</v>
          </cell>
          <cell r="AD47">
            <v>13373</v>
          </cell>
          <cell r="AI47">
            <v>13605</v>
          </cell>
          <cell r="AN47">
            <v>14023</v>
          </cell>
          <cell r="AS47">
            <v>15830</v>
          </cell>
          <cell r="AT47">
            <v>16868</v>
          </cell>
          <cell r="AU47">
            <v>19738.325731021301</v>
          </cell>
          <cell r="AV47">
            <v>22757.200454753602</v>
          </cell>
          <cell r="AW47">
            <v>25997.957605546799</v>
          </cell>
          <cell r="AX47">
            <v>29529.791520236999</v>
          </cell>
          <cell r="AY47">
            <v>33225.167976537603</v>
          </cell>
          <cell r="AZ47">
            <v>37049.959989819603</v>
          </cell>
          <cell r="BA47">
            <v>41125.720707136599</v>
          </cell>
          <cell r="BB47">
            <v>45451.1097343687</v>
          </cell>
        </row>
        <row r="48">
          <cell r="B48" t="str">
            <v>Accumulated amortization</v>
          </cell>
          <cell r="C48" t="str">
            <v>ACC_AMORT</v>
          </cell>
          <cell r="D48" t="str">
            <v>EUR</v>
          </cell>
          <cell r="F48">
            <v>-582</v>
          </cell>
          <cell r="G48">
            <v>-2053</v>
          </cell>
          <cell r="H48">
            <v>-2852</v>
          </cell>
          <cell r="I48">
            <v>-3666</v>
          </cell>
          <cell r="J48">
            <v>-1608</v>
          </cell>
          <cell r="O48">
            <v>-1743</v>
          </cell>
          <cell r="T48">
            <v>-1880</v>
          </cell>
          <cell r="Y48">
            <v>-2078</v>
          </cell>
          <cell r="AD48">
            <v>-2202</v>
          </cell>
          <cell r="AI48">
            <v>-2545</v>
          </cell>
          <cell r="AN48">
            <v>-2724</v>
          </cell>
          <cell r="AS48">
            <v>-3085</v>
          </cell>
          <cell r="AT48">
            <v>-3446</v>
          </cell>
          <cell r="AU48">
            <v>-5337.2407025455605</v>
          </cell>
          <cell r="AV48">
            <v>-7326.35946063748</v>
          </cell>
          <cell r="AW48">
            <v>-9461.6752418414399</v>
          </cell>
          <cell r="AX48">
            <v>-11788.7797867727</v>
          </cell>
          <cell r="AY48">
            <v>-14223.641548227801</v>
          </cell>
          <cell r="AZ48">
            <v>-16743.774457225602</v>
          </cell>
          <cell r="BA48">
            <v>-19429.269165759299</v>
          </cell>
          <cell r="BB48">
            <v>-22279.242496045601</v>
          </cell>
        </row>
        <row r="49">
          <cell r="B49" t="str">
            <v>Net intangible assets</v>
          </cell>
          <cell r="C49" t="str">
            <v>NET_INTANG</v>
          </cell>
          <cell r="D49" t="str">
            <v>EUR</v>
          </cell>
          <cell r="F49">
            <v>8165</v>
          </cell>
          <cell r="G49">
            <v>10588</v>
          </cell>
          <cell r="H49">
            <v>9789</v>
          </cell>
          <cell r="I49">
            <v>9694</v>
          </cell>
          <cell r="J49">
            <v>10008</v>
          </cell>
          <cell r="K49">
            <v>0</v>
          </cell>
          <cell r="L49">
            <v>0</v>
          </cell>
          <cell r="M49">
            <v>0</v>
          </cell>
          <cell r="N49">
            <v>0</v>
          </cell>
          <cell r="O49">
            <v>11052</v>
          </cell>
          <cell r="P49">
            <v>0</v>
          </cell>
          <cell r="Q49">
            <v>0</v>
          </cell>
          <cell r="R49">
            <v>0</v>
          </cell>
          <cell r="T49">
            <v>10855</v>
          </cell>
          <cell r="Y49">
            <v>10832</v>
          </cell>
          <cell r="AD49">
            <v>11171</v>
          </cell>
          <cell r="AI49">
            <v>11060</v>
          </cell>
          <cell r="AN49">
            <v>11299</v>
          </cell>
          <cell r="AS49">
            <v>12745</v>
          </cell>
          <cell r="AT49">
            <v>13422</v>
          </cell>
          <cell r="AU49">
            <v>14401.0850284758</v>
          </cell>
          <cell r="AV49">
            <v>15430.840994116101</v>
          </cell>
          <cell r="AW49">
            <v>16536.282363705399</v>
          </cell>
          <cell r="AX49">
            <v>17741.0117334643</v>
          </cell>
          <cell r="AY49">
            <v>19001.526428309899</v>
          </cell>
          <cell r="AZ49">
            <v>20306.1855325941</v>
          </cell>
          <cell r="BA49">
            <v>21696.451541377199</v>
          </cell>
          <cell r="BB49">
            <v>23171.867238323099</v>
          </cell>
        </row>
        <row r="50">
          <cell r="B50" t="str">
            <v>Equity method investments</v>
          </cell>
          <cell r="C50" t="str">
            <v>FIX_ASS_INV</v>
          </cell>
          <cell r="D50" t="str">
            <v>EUR</v>
          </cell>
          <cell r="F50">
            <v>1318</v>
          </cell>
          <cell r="G50">
            <v>1252</v>
          </cell>
          <cell r="H50">
            <v>1333</v>
          </cell>
          <cell r="I50">
            <v>1640</v>
          </cell>
          <cell r="J50">
            <v>0</v>
          </cell>
          <cell r="K50">
            <v>0</v>
          </cell>
          <cell r="L50">
            <v>0</v>
          </cell>
          <cell r="M50">
            <v>0</v>
          </cell>
          <cell r="N50">
            <v>0</v>
          </cell>
          <cell r="O50">
            <v>0</v>
          </cell>
          <cell r="P50">
            <v>0</v>
          </cell>
          <cell r="Q50">
            <v>0</v>
          </cell>
          <cell r="R50">
            <v>0</v>
          </cell>
          <cell r="T50">
            <v>0</v>
          </cell>
          <cell r="Y50">
            <v>0</v>
          </cell>
          <cell r="AD50">
            <v>2356</v>
          </cell>
          <cell r="AI50">
            <v>2514</v>
          </cell>
          <cell r="AN50">
            <v>2451</v>
          </cell>
          <cell r="AS50">
            <v>2677</v>
          </cell>
          <cell r="AT50">
            <v>2662</v>
          </cell>
          <cell r="AU50">
            <v>2915.05</v>
          </cell>
          <cell r="AV50">
            <v>3180.7525000000001</v>
          </cell>
          <cell r="AW50">
            <v>3459.7401249999998</v>
          </cell>
          <cell r="AX50">
            <v>3752.67713125</v>
          </cell>
          <cell r="AY50">
            <v>4060.2609878124999</v>
          </cell>
          <cell r="AZ50">
            <v>4383.2240372031301</v>
          </cell>
          <cell r="BA50">
            <v>4722.3352390632799</v>
          </cell>
          <cell r="BB50">
            <v>5078.4020010164504</v>
          </cell>
        </row>
        <row r="51">
          <cell r="B51" t="str">
            <v>Investments in securities</v>
          </cell>
          <cell r="C51" t="str">
            <v>INV_SECUR</v>
          </cell>
          <cell r="D51" t="str">
            <v>EUR</v>
          </cell>
          <cell r="F51">
            <v>4609</v>
          </cell>
          <cell r="G51">
            <v>4726</v>
          </cell>
          <cell r="H51">
            <v>4875</v>
          </cell>
          <cell r="I51">
            <v>4129</v>
          </cell>
          <cell r="J51">
            <v>4090</v>
          </cell>
          <cell r="K51">
            <v>0</v>
          </cell>
          <cell r="L51">
            <v>0</v>
          </cell>
          <cell r="M51">
            <v>0</v>
          </cell>
          <cell r="N51">
            <v>0</v>
          </cell>
          <cell r="O51">
            <v>3846</v>
          </cell>
          <cell r="P51">
            <v>0</v>
          </cell>
          <cell r="Q51">
            <v>0</v>
          </cell>
          <cell r="R51">
            <v>0</v>
          </cell>
          <cell r="T51">
            <v>3761</v>
          </cell>
          <cell r="Y51">
            <v>3791</v>
          </cell>
          <cell r="AD51">
            <v>4068</v>
          </cell>
          <cell r="AI51">
            <v>4802</v>
          </cell>
          <cell r="AN51">
            <v>4837</v>
          </cell>
          <cell r="AS51">
            <v>5055</v>
          </cell>
          <cell r="AT51">
            <v>2187</v>
          </cell>
          <cell r="AU51">
            <v>2187</v>
          </cell>
          <cell r="AV51">
            <v>2187</v>
          </cell>
          <cell r="AW51">
            <v>2187</v>
          </cell>
          <cell r="AX51">
            <v>2187</v>
          </cell>
          <cell r="AY51">
            <v>2187</v>
          </cell>
          <cell r="AZ51">
            <v>2187</v>
          </cell>
          <cell r="BA51">
            <v>2187</v>
          </cell>
          <cell r="BB51">
            <v>2187</v>
          </cell>
        </row>
        <row r="52">
          <cell r="B52" t="str">
            <v>Other long-term assets</v>
          </cell>
          <cell r="C52" t="str">
            <v>OTH_LT_ASS</v>
          </cell>
          <cell r="D52" t="str">
            <v>EUR</v>
          </cell>
          <cell r="F52">
            <v>3151</v>
          </cell>
          <cell r="G52">
            <v>4288</v>
          </cell>
          <cell r="H52">
            <v>2992</v>
          </cell>
          <cell r="I52">
            <v>2724</v>
          </cell>
          <cell r="J52">
            <v>2543</v>
          </cell>
          <cell r="K52">
            <v>0</v>
          </cell>
          <cell r="L52">
            <v>0</v>
          </cell>
          <cell r="M52">
            <v>0</v>
          </cell>
          <cell r="N52">
            <v>0</v>
          </cell>
          <cell r="O52">
            <v>7048</v>
          </cell>
          <cell r="P52">
            <v>0</v>
          </cell>
          <cell r="Q52">
            <v>0</v>
          </cell>
          <cell r="R52">
            <v>0</v>
          </cell>
          <cell r="T52">
            <v>6931</v>
          </cell>
          <cell r="Y52">
            <v>6248</v>
          </cell>
          <cell r="AD52">
            <v>5665</v>
          </cell>
          <cell r="AI52">
            <v>5439</v>
          </cell>
          <cell r="AN52">
            <v>6225</v>
          </cell>
          <cell r="AS52">
            <v>6193</v>
          </cell>
          <cell r="AT52">
            <v>13234</v>
          </cell>
          <cell r="AU52">
            <v>12700.1938572733</v>
          </cell>
          <cell r="AV52">
            <v>12035.6356914356</v>
          </cell>
          <cell r="AW52">
            <v>11277.8723489434</v>
          </cell>
          <cell r="AX52">
            <v>10418.314124807201</v>
          </cell>
          <cell r="AY52">
            <v>9489.8652569316891</v>
          </cell>
          <cell r="AZ52">
            <v>8523.6312866298795</v>
          </cell>
          <cell r="BA52">
            <v>7350.6230485966198</v>
          </cell>
          <cell r="BB52">
            <v>5980.5516554844999</v>
          </cell>
        </row>
        <row r="53">
          <cell r="B53" t="str">
            <v>Total assets</v>
          </cell>
          <cell r="C53" t="str">
            <v>TOT_ASSET</v>
          </cell>
          <cell r="D53" t="str">
            <v>EUR</v>
          </cell>
          <cell r="F53">
            <v>41444</v>
          </cell>
          <cell r="G53">
            <v>48715</v>
          </cell>
          <cell r="H53">
            <v>47400</v>
          </cell>
          <cell r="I53">
            <v>54378</v>
          </cell>
          <cell r="J53">
            <v>58267</v>
          </cell>
          <cell r="O53">
            <v>70385</v>
          </cell>
          <cell r="T53">
            <v>72137</v>
          </cell>
          <cell r="Y53">
            <v>75456</v>
          </cell>
          <cell r="AD53">
            <v>76153</v>
          </cell>
          <cell r="AI53">
            <v>80304</v>
          </cell>
          <cell r="AN53">
            <v>83187</v>
          </cell>
          <cell r="AS53">
            <v>88476</v>
          </cell>
          <cell r="AT53">
            <v>92102</v>
          </cell>
          <cell r="AU53">
            <v>94012.392076661898</v>
          </cell>
          <cell r="AV53">
            <v>97736.689706488702</v>
          </cell>
          <cell r="AW53">
            <v>102166.021853193</v>
          </cell>
          <cell r="AX53">
            <v>107540.19020785599</v>
          </cell>
          <cell r="AY53">
            <v>111601.091857725</v>
          </cell>
          <cell r="AZ53">
            <v>115646.37729721999</v>
          </cell>
          <cell r="BA53">
            <v>122200.09852680399</v>
          </cell>
          <cell r="BB53">
            <v>129984.791187999</v>
          </cell>
        </row>
        <row r="54">
          <cell r="B54" t="str">
            <v>Accounts payable</v>
          </cell>
          <cell r="C54" t="str">
            <v>ACC_PAY_GQ</v>
          </cell>
          <cell r="D54" t="str">
            <v>EUR</v>
          </cell>
          <cell r="F54">
            <v>4268</v>
          </cell>
          <cell r="G54">
            <v>5466</v>
          </cell>
          <cell r="H54">
            <v>5070</v>
          </cell>
          <cell r="I54">
            <v>5117</v>
          </cell>
          <cell r="J54">
            <v>5860</v>
          </cell>
          <cell r="K54">
            <v>0</v>
          </cell>
          <cell r="L54">
            <v>0</v>
          </cell>
          <cell r="M54">
            <v>0</v>
          </cell>
          <cell r="N54">
            <v>0</v>
          </cell>
          <cell r="O54">
            <v>6634</v>
          </cell>
          <cell r="P54">
            <v>0</v>
          </cell>
          <cell r="Q54">
            <v>0</v>
          </cell>
          <cell r="R54">
            <v>0</v>
          </cell>
          <cell r="T54">
            <v>7461</v>
          </cell>
          <cell r="Y54">
            <v>7398</v>
          </cell>
          <cell r="AD54">
            <v>7824</v>
          </cell>
          <cell r="AI54">
            <v>8217</v>
          </cell>
          <cell r="AN54">
            <v>8546</v>
          </cell>
          <cell r="AS54">
            <v>9630</v>
          </cell>
          <cell r="AT54">
            <v>9917</v>
          </cell>
          <cell r="AU54">
            <v>10294.1786235253</v>
          </cell>
          <cell r="AV54">
            <v>10390.9331681576</v>
          </cell>
          <cell r="AW54">
            <v>10459.0969908148</v>
          </cell>
          <cell r="AX54">
            <v>10640.9380322327</v>
          </cell>
          <cell r="AY54">
            <v>10219.5757668759</v>
          </cell>
          <cell r="AZ54">
            <v>9654.0027707373793</v>
          </cell>
          <cell r="BA54">
            <v>9587.1405297043493</v>
          </cell>
          <cell r="BB54">
            <v>9986.0445242387796</v>
          </cell>
        </row>
        <row r="55">
          <cell r="B55" t="str">
            <v>Short-term debt</v>
          </cell>
          <cell r="C55" t="str">
            <v>SHORT_T_DEBT</v>
          </cell>
          <cell r="D55" t="str">
            <v>EUR</v>
          </cell>
          <cell r="F55">
            <v>1003</v>
          </cell>
          <cell r="G55">
            <v>1462</v>
          </cell>
          <cell r="H55">
            <v>1185</v>
          </cell>
          <cell r="I55">
            <v>978</v>
          </cell>
          <cell r="J55">
            <v>720</v>
          </cell>
          <cell r="K55">
            <v>0</v>
          </cell>
          <cell r="L55">
            <v>0</v>
          </cell>
          <cell r="M55">
            <v>0</v>
          </cell>
          <cell r="N55">
            <v>0</v>
          </cell>
          <cell r="O55">
            <v>908</v>
          </cell>
          <cell r="P55">
            <v>0</v>
          </cell>
          <cell r="Q55">
            <v>0</v>
          </cell>
          <cell r="R55">
            <v>0</v>
          </cell>
          <cell r="T55">
            <v>2196</v>
          </cell>
          <cell r="Y55">
            <v>1724</v>
          </cell>
          <cell r="AD55">
            <v>1458</v>
          </cell>
          <cell r="AI55">
            <v>2429</v>
          </cell>
          <cell r="AN55">
            <v>1408</v>
          </cell>
          <cell r="AS55">
            <v>1476</v>
          </cell>
          <cell r="AT55">
            <v>1273</v>
          </cell>
          <cell r="AU55">
            <v>1273</v>
          </cell>
          <cell r="AV55">
            <v>1273</v>
          </cell>
          <cell r="AW55">
            <v>1273</v>
          </cell>
          <cell r="AX55">
            <v>1273</v>
          </cell>
          <cell r="AY55">
            <v>1273</v>
          </cell>
          <cell r="AZ55">
            <v>1273</v>
          </cell>
          <cell r="BA55">
            <v>1273</v>
          </cell>
          <cell r="BB55">
            <v>1273</v>
          </cell>
        </row>
        <row r="56">
          <cell r="B56" t="str">
            <v>Other current liabilities</v>
          </cell>
          <cell r="C56" t="str">
            <v>OTH_CUR_LIABS</v>
          </cell>
          <cell r="D56" t="str">
            <v>EUR</v>
          </cell>
          <cell r="F56">
            <v>8200</v>
          </cell>
          <cell r="G56">
            <v>10631</v>
          </cell>
          <cell r="H56">
            <v>10246</v>
          </cell>
          <cell r="I56">
            <v>11318</v>
          </cell>
          <cell r="J56">
            <v>13240</v>
          </cell>
          <cell r="K56">
            <v>0</v>
          </cell>
          <cell r="L56">
            <v>0</v>
          </cell>
          <cell r="M56">
            <v>0</v>
          </cell>
          <cell r="N56">
            <v>0</v>
          </cell>
          <cell r="O56">
            <v>17913</v>
          </cell>
          <cell r="P56">
            <v>0</v>
          </cell>
          <cell r="Q56">
            <v>0</v>
          </cell>
          <cell r="R56">
            <v>0</v>
          </cell>
          <cell r="T56">
            <v>17864</v>
          </cell>
          <cell r="Y56">
            <v>20568</v>
          </cell>
          <cell r="AD56">
            <v>22705</v>
          </cell>
          <cell r="AI56">
            <v>25847</v>
          </cell>
          <cell r="AN56">
            <v>28050</v>
          </cell>
          <cell r="AS56">
            <v>30540</v>
          </cell>
          <cell r="AT56">
            <v>37458</v>
          </cell>
          <cell r="AU56">
            <v>38685.505392195097</v>
          </cell>
          <cell r="AV56">
            <v>40060.100713995002</v>
          </cell>
          <cell r="AW56">
            <v>42113.285597052898</v>
          </cell>
          <cell r="AX56">
            <v>44806.758980047001</v>
          </cell>
          <cell r="AY56">
            <v>46320.096825766697</v>
          </cell>
          <cell r="AZ56">
            <v>47517.6412584028</v>
          </cell>
          <cell r="BA56">
            <v>49839.975460667702</v>
          </cell>
          <cell r="BB56">
            <v>52149.906351050697</v>
          </cell>
        </row>
        <row r="57">
          <cell r="B57" t="str">
            <v>Total current liabilities</v>
          </cell>
          <cell r="C57" t="str">
            <v>SHORT_TERM_LIABS</v>
          </cell>
          <cell r="D57" t="str">
            <v>EUR</v>
          </cell>
          <cell r="F57">
            <v>13471</v>
          </cell>
          <cell r="G57">
            <v>17559</v>
          </cell>
          <cell r="H57">
            <v>16501</v>
          </cell>
          <cell r="I57">
            <v>17413</v>
          </cell>
          <cell r="J57">
            <v>19820</v>
          </cell>
          <cell r="O57">
            <v>25455</v>
          </cell>
          <cell r="T57">
            <v>27521</v>
          </cell>
          <cell r="Y57">
            <v>29690</v>
          </cell>
          <cell r="AD57">
            <v>31987</v>
          </cell>
          <cell r="AI57">
            <v>36493</v>
          </cell>
          <cell r="AN57">
            <v>38004</v>
          </cell>
          <cell r="AS57">
            <v>41646</v>
          </cell>
          <cell r="AT57">
            <v>48648</v>
          </cell>
          <cell r="AU57">
            <v>50252.684015720399</v>
          </cell>
          <cell r="AV57">
            <v>51724.033882152602</v>
          </cell>
          <cell r="AW57">
            <v>53845.3825878676</v>
          </cell>
          <cell r="AX57">
            <v>56720.697012279597</v>
          </cell>
          <cell r="AY57">
            <v>57812.672592642601</v>
          </cell>
          <cell r="AZ57">
            <v>58444.644029140203</v>
          </cell>
          <cell r="BA57">
            <v>60700.115990372098</v>
          </cell>
          <cell r="BB57">
            <v>63408.950875289498</v>
          </cell>
        </row>
        <row r="58">
          <cell r="B58" t="str">
            <v>Long-term  debt</v>
          </cell>
          <cell r="C58" t="str">
            <v>LT_DEBT</v>
          </cell>
          <cell r="D58" t="str">
            <v>EUR</v>
          </cell>
          <cell r="F58">
            <v>4776</v>
          </cell>
          <cell r="G58">
            <v>5038</v>
          </cell>
          <cell r="H58">
            <v>3791</v>
          </cell>
          <cell r="I58">
            <v>3789</v>
          </cell>
          <cell r="J58">
            <v>4406</v>
          </cell>
          <cell r="K58">
            <v>0</v>
          </cell>
          <cell r="L58">
            <v>0</v>
          </cell>
          <cell r="M58">
            <v>0</v>
          </cell>
          <cell r="N58">
            <v>0</v>
          </cell>
          <cell r="O58">
            <v>4189</v>
          </cell>
          <cell r="P58">
            <v>0</v>
          </cell>
          <cell r="Q58">
            <v>0</v>
          </cell>
          <cell r="R58">
            <v>0</v>
          </cell>
          <cell r="T58">
            <v>3561</v>
          </cell>
          <cell r="Y58">
            <v>3090</v>
          </cell>
          <cell r="AD58">
            <v>3046</v>
          </cell>
          <cell r="AI58">
            <v>2867</v>
          </cell>
          <cell r="AN58">
            <v>2870</v>
          </cell>
          <cell r="AS58">
            <v>3628</v>
          </cell>
          <cell r="AT58">
            <v>3506</v>
          </cell>
          <cell r="AU58">
            <v>3506</v>
          </cell>
          <cell r="AV58">
            <v>3506</v>
          </cell>
          <cell r="AW58">
            <v>3506</v>
          </cell>
          <cell r="AX58">
            <v>3506</v>
          </cell>
          <cell r="AY58">
            <v>3506</v>
          </cell>
          <cell r="AZ58">
            <v>3506</v>
          </cell>
          <cell r="BA58">
            <v>3506</v>
          </cell>
          <cell r="BB58">
            <v>3506</v>
          </cell>
        </row>
        <row r="59">
          <cell r="B59" t="str">
            <v>Other long-term liabilities</v>
          </cell>
          <cell r="C59" t="str">
            <v>OTH_LT_CRED_GQ</v>
          </cell>
          <cell r="D59" t="str">
            <v>EUR</v>
          </cell>
          <cell r="F59">
            <v>12726</v>
          </cell>
          <cell r="G59">
            <v>15682</v>
          </cell>
          <cell r="H59">
            <v>12982</v>
          </cell>
          <cell r="I59">
            <v>14848</v>
          </cell>
          <cell r="J59">
            <v>14698</v>
          </cell>
          <cell r="K59">
            <v>0</v>
          </cell>
          <cell r="L59">
            <v>0</v>
          </cell>
          <cell r="M59">
            <v>0</v>
          </cell>
          <cell r="N59">
            <v>0</v>
          </cell>
          <cell r="O59">
            <v>26839</v>
          </cell>
          <cell r="P59">
            <v>0</v>
          </cell>
          <cell r="Q59">
            <v>0</v>
          </cell>
          <cell r="R59">
            <v>0</v>
          </cell>
          <cell r="T59">
            <v>27903</v>
          </cell>
          <cell r="Y59">
            <v>29501</v>
          </cell>
          <cell r="AD59">
            <v>29994</v>
          </cell>
          <cell r="AI59">
            <v>30303</v>
          </cell>
          <cell r="AN59">
            <v>33377</v>
          </cell>
          <cell r="AS59">
            <v>34332</v>
          </cell>
          <cell r="AT59">
            <v>29514</v>
          </cell>
          <cell r="AU59">
            <v>29514</v>
          </cell>
          <cell r="AV59">
            <v>29376.2031919035</v>
          </cell>
          <cell r="AW59">
            <v>28937.7337485403</v>
          </cell>
          <cell r="AX59">
            <v>28302.042175127499</v>
          </cell>
          <cell r="AY59">
            <v>27897.376609418701</v>
          </cell>
          <cell r="AZ59">
            <v>27839.814152944</v>
          </cell>
          <cell r="BA59">
            <v>27839.814152944</v>
          </cell>
          <cell r="BB59">
            <v>27839.814152944</v>
          </cell>
        </row>
        <row r="60">
          <cell r="B60" t="str">
            <v>Total long-term liabilities</v>
          </cell>
          <cell r="C60" t="str">
            <v>TOT_LT_LIAB</v>
          </cell>
          <cell r="D60" t="str">
            <v>EUR</v>
          </cell>
          <cell r="F60">
            <v>17502</v>
          </cell>
          <cell r="G60">
            <v>20720</v>
          </cell>
          <cell r="H60">
            <v>16773</v>
          </cell>
          <cell r="I60">
            <v>18637</v>
          </cell>
          <cell r="J60">
            <v>19104</v>
          </cell>
          <cell r="O60">
            <v>31028</v>
          </cell>
          <cell r="T60">
            <v>31464</v>
          </cell>
          <cell r="Y60">
            <v>32591</v>
          </cell>
          <cell r="AD60">
            <v>33040</v>
          </cell>
          <cell r="AI60">
            <v>33170</v>
          </cell>
          <cell r="AN60">
            <v>36247</v>
          </cell>
          <cell r="AS60">
            <v>37960</v>
          </cell>
          <cell r="AT60">
            <v>33020</v>
          </cell>
          <cell r="AU60">
            <v>33020</v>
          </cell>
          <cell r="AV60">
            <v>32882.2031919035</v>
          </cell>
          <cell r="AW60">
            <v>32443.7337485403</v>
          </cell>
          <cell r="AX60">
            <v>31808.042175127499</v>
          </cell>
          <cell r="AY60">
            <v>31403.376609418701</v>
          </cell>
          <cell r="AZ60">
            <v>31345.814152944</v>
          </cell>
          <cell r="BA60">
            <v>31345.814152944</v>
          </cell>
          <cell r="BB60">
            <v>31345.814152944</v>
          </cell>
        </row>
        <row r="61">
          <cell r="B61" t="str">
            <v>Total liabilities</v>
          </cell>
          <cell r="C61" t="str">
            <v>TOT_LIAB</v>
          </cell>
          <cell r="D61" t="str">
            <v>EUR</v>
          </cell>
          <cell r="F61">
            <v>30973</v>
          </cell>
          <cell r="G61">
            <v>38279</v>
          </cell>
          <cell r="H61">
            <v>33274</v>
          </cell>
          <cell r="I61">
            <v>36050</v>
          </cell>
          <cell r="J61">
            <v>38924</v>
          </cell>
          <cell r="K61">
            <v>0</v>
          </cell>
          <cell r="L61">
            <v>0</v>
          </cell>
          <cell r="M61">
            <v>0</v>
          </cell>
          <cell r="N61">
            <v>0</v>
          </cell>
          <cell r="O61">
            <v>56483</v>
          </cell>
          <cell r="P61">
            <v>0</v>
          </cell>
          <cell r="Q61">
            <v>0</v>
          </cell>
          <cell r="R61">
            <v>0</v>
          </cell>
          <cell r="T61">
            <v>58985</v>
          </cell>
          <cell r="Y61">
            <v>62281</v>
          </cell>
          <cell r="AD61">
            <v>65027</v>
          </cell>
          <cell r="AI61">
            <v>69663</v>
          </cell>
          <cell r="AN61">
            <v>74251</v>
          </cell>
          <cell r="AS61">
            <v>79606</v>
          </cell>
          <cell r="AT61">
            <v>81668</v>
          </cell>
          <cell r="AU61">
            <v>83272.684015720399</v>
          </cell>
          <cell r="AV61">
            <v>84606.237074056102</v>
          </cell>
          <cell r="AW61">
            <v>86289.116336407897</v>
          </cell>
          <cell r="AX61">
            <v>88528.739187407104</v>
          </cell>
          <cell r="AY61">
            <v>89216.049202061302</v>
          </cell>
          <cell r="AZ61">
            <v>89790.458182084098</v>
          </cell>
          <cell r="BA61">
            <v>92045.930143316</v>
          </cell>
          <cell r="BB61">
            <v>94754.765028233407</v>
          </cell>
        </row>
        <row r="62">
          <cell r="B62" t="str">
            <v>Preferred shares</v>
          </cell>
          <cell r="C62" t="str">
            <v>PREF_SH</v>
          </cell>
          <cell r="D62" t="str">
            <v>EUR</v>
          </cell>
          <cell r="F62">
            <v>0</v>
          </cell>
          <cell r="G62">
            <v>0</v>
          </cell>
          <cell r="H62">
            <v>0</v>
          </cell>
          <cell r="I62">
            <v>0</v>
          </cell>
          <cell r="J62">
            <v>0</v>
          </cell>
          <cell r="K62">
            <v>0</v>
          </cell>
          <cell r="L62">
            <v>0</v>
          </cell>
          <cell r="M62">
            <v>0</v>
          </cell>
          <cell r="N62">
            <v>0</v>
          </cell>
          <cell r="O62">
            <v>0</v>
          </cell>
          <cell r="P62">
            <v>0</v>
          </cell>
          <cell r="Q62">
            <v>0</v>
          </cell>
          <cell r="R62">
            <v>0</v>
          </cell>
          <cell r="T62">
            <v>0</v>
          </cell>
          <cell r="Y62">
            <v>0</v>
          </cell>
        </row>
        <row r="63">
          <cell r="B63" t="str">
            <v>Total common equity</v>
          </cell>
          <cell r="C63" t="str">
            <v>ORD_SH_FUND</v>
          </cell>
          <cell r="D63" t="str">
            <v>EUR</v>
          </cell>
          <cell r="F63">
            <v>10250</v>
          </cell>
          <cell r="G63">
            <v>9877</v>
          </cell>
          <cell r="H63">
            <v>12765</v>
          </cell>
          <cell r="I63">
            <v>16149</v>
          </cell>
          <cell r="J63">
            <v>16973</v>
          </cell>
          <cell r="K63">
            <v>0</v>
          </cell>
          <cell r="L63">
            <v>0</v>
          </cell>
          <cell r="M63">
            <v>0</v>
          </cell>
          <cell r="N63">
            <v>0</v>
          </cell>
          <cell r="O63">
            <v>13726</v>
          </cell>
          <cell r="P63">
            <v>0</v>
          </cell>
          <cell r="Q63">
            <v>0</v>
          </cell>
          <cell r="R63">
            <v>0</v>
          </cell>
          <cell r="T63">
            <v>13015</v>
          </cell>
          <cell r="Y63">
            <v>13090</v>
          </cell>
          <cell r="AD63">
            <v>11022</v>
          </cell>
          <cell r="AI63">
            <v>10535</v>
          </cell>
          <cell r="AN63">
            <v>8841</v>
          </cell>
          <cell r="AS63">
            <v>8850</v>
          </cell>
          <cell r="AT63">
            <v>10409</v>
          </cell>
          <cell r="AU63">
            <v>10713.708060941501</v>
          </cell>
          <cell r="AV63">
            <v>13103.4526324326</v>
          </cell>
          <cell r="AW63">
            <v>15848.9055167849</v>
          </cell>
          <cell r="AX63">
            <v>18982.451020449302</v>
          </cell>
          <cell r="AY63">
            <v>22355.0426556641</v>
          </cell>
          <cell r="AZ63">
            <v>25824.919115135799</v>
          </cell>
          <cell r="BA63">
            <v>30122.168383488199</v>
          </cell>
          <cell r="BB63">
            <v>35197.026159765403</v>
          </cell>
        </row>
        <row r="64">
          <cell r="B64" t="str">
            <v>Minority interest</v>
          </cell>
          <cell r="C64" t="str">
            <v>MINORITIES</v>
          </cell>
          <cell r="D64" t="str">
            <v>EUR</v>
          </cell>
          <cell r="F64">
            <v>221</v>
          </cell>
          <cell r="G64">
            <v>559</v>
          </cell>
          <cell r="H64">
            <v>1361</v>
          </cell>
          <cell r="I64">
            <v>2179</v>
          </cell>
          <cell r="J64">
            <v>2370</v>
          </cell>
          <cell r="K64">
            <v>0</v>
          </cell>
          <cell r="L64">
            <v>0</v>
          </cell>
          <cell r="M64">
            <v>0</v>
          </cell>
          <cell r="N64">
            <v>0</v>
          </cell>
          <cell r="O64">
            <v>176</v>
          </cell>
          <cell r="P64">
            <v>0</v>
          </cell>
          <cell r="Q64">
            <v>0</v>
          </cell>
          <cell r="R64">
            <v>0</v>
          </cell>
          <cell r="T64">
            <v>137</v>
          </cell>
          <cell r="Y64">
            <v>85</v>
          </cell>
          <cell r="AD64">
            <v>104</v>
          </cell>
          <cell r="AI64">
            <v>106</v>
          </cell>
          <cell r="AN64">
            <v>95</v>
          </cell>
          <cell r="AS64">
            <v>20</v>
          </cell>
          <cell r="AT64">
            <v>25</v>
          </cell>
          <cell r="AU64">
            <v>26</v>
          </cell>
          <cell r="AV64">
            <v>27</v>
          </cell>
          <cell r="AW64">
            <v>28</v>
          </cell>
          <cell r="AX64">
            <v>29</v>
          </cell>
          <cell r="AY64">
            <v>30</v>
          </cell>
          <cell r="AZ64">
            <v>31</v>
          </cell>
          <cell r="BA64">
            <v>32</v>
          </cell>
          <cell r="BB64">
            <v>33</v>
          </cell>
        </row>
        <row r="65">
          <cell r="B65" t="str">
            <v>Total shareholders' equity</v>
          </cell>
          <cell r="C65" t="str">
            <v>EQ</v>
          </cell>
          <cell r="D65" t="str">
            <v>EUR</v>
          </cell>
          <cell r="F65">
            <v>10471</v>
          </cell>
          <cell r="G65">
            <v>10436</v>
          </cell>
          <cell r="H65">
            <v>14126</v>
          </cell>
          <cell r="I65">
            <v>18328</v>
          </cell>
          <cell r="J65">
            <v>19343</v>
          </cell>
          <cell r="O65">
            <v>13902</v>
          </cell>
          <cell r="T65">
            <v>13152</v>
          </cell>
          <cell r="Y65">
            <v>13175</v>
          </cell>
          <cell r="AD65">
            <v>11126</v>
          </cell>
          <cell r="AI65">
            <v>10641</v>
          </cell>
          <cell r="AN65">
            <v>8936</v>
          </cell>
          <cell r="AS65">
            <v>8870</v>
          </cell>
          <cell r="AT65">
            <v>10434</v>
          </cell>
          <cell r="AU65">
            <v>10739.708060941501</v>
          </cell>
          <cell r="AV65">
            <v>13130.4526324326</v>
          </cell>
          <cell r="AW65">
            <v>15876.9055167849</v>
          </cell>
          <cell r="AX65">
            <v>19011.451020449302</v>
          </cell>
          <cell r="AY65">
            <v>22385.0426556641</v>
          </cell>
          <cell r="AZ65">
            <v>25855.919115135799</v>
          </cell>
          <cell r="BA65">
            <v>30154.168383488199</v>
          </cell>
          <cell r="BB65">
            <v>35230.026159765403</v>
          </cell>
        </row>
        <row r="66">
          <cell r="B66" t="str">
            <v>Total liabilities and equity</v>
          </cell>
          <cell r="C66" t="str">
            <v>TOT_LIAB_EQ</v>
          </cell>
          <cell r="D66" t="str">
            <v>EUR</v>
          </cell>
          <cell r="F66">
            <v>41444</v>
          </cell>
          <cell r="G66">
            <v>48715</v>
          </cell>
          <cell r="H66">
            <v>47400</v>
          </cell>
          <cell r="I66">
            <v>54378</v>
          </cell>
          <cell r="J66">
            <v>58267</v>
          </cell>
          <cell r="O66">
            <v>70385</v>
          </cell>
          <cell r="T66">
            <v>72137</v>
          </cell>
          <cell r="Y66">
            <v>75456</v>
          </cell>
          <cell r="AD66">
            <v>76153</v>
          </cell>
          <cell r="AI66">
            <v>80304</v>
          </cell>
          <cell r="AN66">
            <v>83187</v>
          </cell>
          <cell r="AS66">
            <v>88476</v>
          </cell>
          <cell r="AT66">
            <v>92102</v>
          </cell>
          <cell r="AU66">
            <v>94012.392076661898</v>
          </cell>
          <cell r="AV66">
            <v>97736.689706488702</v>
          </cell>
          <cell r="AW66">
            <v>102166.021853193</v>
          </cell>
          <cell r="AX66">
            <v>107540.19020785599</v>
          </cell>
          <cell r="AY66">
            <v>111601.091857725</v>
          </cell>
          <cell r="AZ66">
            <v>115646.37729721999</v>
          </cell>
          <cell r="BA66">
            <v>122200.09852680399</v>
          </cell>
          <cell r="BB66">
            <v>129984.791187999</v>
          </cell>
        </row>
        <row r="67">
          <cell r="A67" t="str">
            <v>Additional Balance Sheet Items</v>
          </cell>
        </row>
        <row r="68">
          <cell r="B68" t="str">
            <v>Net debt</v>
          </cell>
          <cell r="C68" t="str">
            <v>NET_DEBT</v>
          </cell>
          <cell r="D68" t="str">
            <v>EUR</v>
          </cell>
          <cell r="F68">
            <v>-2143</v>
          </cell>
          <cell r="G68">
            <v>-1533</v>
          </cell>
          <cell r="H68">
            <v>-1224</v>
          </cell>
          <cell r="I68">
            <v>-3105</v>
          </cell>
          <cell r="J68">
            <v>-4058</v>
          </cell>
          <cell r="K68">
            <v>0</v>
          </cell>
          <cell r="L68">
            <v>0</v>
          </cell>
          <cell r="M68">
            <v>0</v>
          </cell>
          <cell r="N68">
            <v>0</v>
          </cell>
          <cell r="O68">
            <v>-5489</v>
          </cell>
          <cell r="P68">
            <v>0</v>
          </cell>
          <cell r="Q68">
            <v>0</v>
          </cell>
          <cell r="R68">
            <v>0</v>
          </cell>
          <cell r="T68">
            <v>-4229</v>
          </cell>
          <cell r="Y68">
            <v>-7024</v>
          </cell>
          <cell r="AD68">
            <v>-9193</v>
          </cell>
          <cell r="AI68">
            <v>-9797</v>
          </cell>
          <cell r="AN68">
            <v>-11918</v>
          </cell>
          <cell r="AS68">
            <v>-11681</v>
          </cell>
          <cell r="AT68">
            <v>-12292</v>
          </cell>
          <cell r="AU68">
            <v>-7966.6721038082296</v>
          </cell>
          <cell r="AV68">
            <v>-8518.3779077994695</v>
          </cell>
          <cell r="AW68">
            <v>-9686.03881048722</v>
          </cell>
          <cell r="AX68">
            <v>-11050.6833060183</v>
          </cell>
          <cell r="AY68">
            <v>-12896.402031154001</v>
          </cell>
          <cell r="AZ68">
            <v>-15412.737012969699</v>
          </cell>
          <cell r="BA68">
            <v>-19191.777072256002</v>
          </cell>
          <cell r="BB68">
            <v>-25216.1381454658</v>
          </cell>
        </row>
        <row r="69">
          <cell r="B69" t="str">
            <v>Capitalized leases</v>
          </cell>
          <cell r="C69" t="str">
            <v>CAP_LEASES</v>
          </cell>
          <cell r="D69" t="str">
            <v>EUR</v>
          </cell>
          <cell r="F69">
            <v>0</v>
          </cell>
          <cell r="G69">
            <v>0</v>
          </cell>
          <cell r="H69">
            <v>0</v>
          </cell>
          <cell r="I69">
            <v>0</v>
          </cell>
          <cell r="J69">
            <v>0</v>
          </cell>
          <cell r="K69">
            <v>0</v>
          </cell>
          <cell r="L69">
            <v>0</v>
          </cell>
          <cell r="M69">
            <v>0</v>
          </cell>
          <cell r="N69">
            <v>0</v>
          </cell>
          <cell r="O69">
            <v>0</v>
          </cell>
          <cell r="P69">
            <v>0</v>
          </cell>
          <cell r="Q69">
            <v>0</v>
          </cell>
          <cell r="R69">
            <v>0</v>
          </cell>
          <cell r="T69">
            <v>0</v>
          </cell>
          <cell r="Y69">
            <v>0</v>
          </cell>
        </row>
        <row r="70">
          <cell r="B70" t="str">
            <v>Deferred income taxes</v>
          </cell>
          <cell r="C70" t="str">
            <v>DEF_INC_TAX</v>
          </cell>
          <cell r="D70" t="str">
            <v>EUR</v>
          </cell>
          <cell r="K70">
            <v>0</v>
          </cell>
          <cell r="L70">
            <v>0</v>
          </cell>
          <cell r="M70">
            <v>0</v>
          </cell>
          <cell r="N70">
            <v>0</v>
          </cell>
          <cell r="P70">
            <v>0</v>
          </cell>
          <cell r="Q70">
            <v>0</v>
          </cell>
          <cell r="R70">
            <v>0</v>
          </cell>
        </row>
        <row r="71">
          <cell r="B71" t="str">
            <v>Associates (mkt value) used in EV calculation</v>
          </cell>
          <cell r="C71" t="str">
            <v>MV_ASSOCIATES</v>
          </cell>
          <cell r="D71" t="str">
            <v>EUR</v>
          </cell>
          <cell r="F71">
            <v>0</v>
          </cell>
          <cell r="G71">
            <v>0</v>
          </cell>
          <cell r="H71">
            <v>0</v>
          </cell>
          <cell r="I71">
            <v>0</v>
          </cell>
          <cell r="J71">
            <v>0</v>
          </cell>
          <cell r="K71">
            <v>0</v>
          </cell>
          <cell r="L71">
            <v>0</v>
          </cell>
          <cell r="M71">
            <v>0</v>
          </cell>
          <cell r="N71">
            <v>0</v>
          </cell>
          <cell r="O71">
            <v>0</v>
          </cell>
          <cell r="P71">
            <v>0</v>
          </cell>
          <cell r="Q71">
            <v>0</v>
          </cell>
          <cell r="R71">
            <v>0</v>
          </cell>
          <cell r="T71">
            <v>0</v>
          </cell>
          <cell r="Y71">
            <v>0</v>
          </cell>
          <cell r="AD71">
            <v>2672.35266</v>
          </cell>
          <cell r="AI71">
            <v>1819.0760700000001</v>
          </cell>
          <cell r="AN71">
            <v>2821.5497799999998</v>
          </cell>
          <cell r="AS71">
            <v>3235.01341</v>
          </cell>
          <cell r="AT71">
            <v>3201.5848099999998</v>
          </cell>
          <cell r="AU71">
            <v>4256.2617700000001</v>
          </cell>
          <cell r="AV71">
            <v>4256.2617700000001</v>
          </cell>
          <cell r="AW71">
            <v>4256.2617700000001</v>
          </cell>
          <cell r="AX71">
            <v>4256.2617700000001</v>
          </cell>
          <cell r="AY71">
            <v>4256.2617700000001</v>
          </cell>
          <cell r="AZ71">
            <v>4256.2617700000001</v>
          </cell>
          <cell r="BA71">
            <v>4256.2617700000001</v>
          </cell>
          <cell r="BB71">
            <v>4256.2617700000001</v>
          </cell>
        </row>
        <row r="72">
          <cell r="B72" t="str">
            <v>Net debt adjustment</v>
          </cell>
          <cell r="C72" t="str">
            <v>NET_DEBT_ADJ</v>
          </cell>
          <cell r="D72" t="str">
            <v>EUR</v>
          </cell>
          <cell r="F72">
            <v>0</v>
          </cell>
          <cell r="G72">
            <v>0</v>
          </cell>
          <cell r="H72">
            <v>0</v>
          </cell>
          <cell r="I72">
            <v>0</v>
          </cell>
          <cell r="J72">
            <v>0</v>
          </cell>
          <cell r="K72">
            <v>0</v>
          </cell>
          <cell r="L72">
            <v>0</v>
          </cell>
          <cell r="M72">
            <v>0</v>
          </cell>
          <cell r="N72">
            <v>0</v>
          </cell>
          <cell r="O72">
            <v>0</v>
          </cell>
          <cell r="P72">
            <v>0</v>
          </cell>
          <cell r="Q72">
            <v>0</v>
          </cell>
          <cell r="R72">
            <v>0</v>
          </cell>
          <cell r="T72">
            <v>0</v>
          </cell>
          <cell r="Y72">
            <v>0</v>
          </cell>
          <cell r="AD72">
            <v>-6952</v>
          </cell>
          <cell r="AI72">
            <v>-8055</v>
          </cell>
          <cell r="AN72">
            <v>-11166</v>
          </cell>
          <cell r="AS72">
            <v>-11501</v>
          </cell>
          <cell r="AT72">
            <v>-8315</v>
          </cell>
          <cell r="AU72">
            <v>-8315</v>
          </cell>
          <cell r="AV72">
            <v>-8315</v>
          </cell>
          <cell r="AW72">
            <v>-8315</v>
          </cell>
          <cell r="AX72">
            <v>-8315</v>
          </cell>
          <cell r="AY72">
            <v>-8315</v>
          </cell>
          <cell r="AZ72">
            <v>-8315</v>
          </cell>
          <cell r="BA72">
            <v>-8315</v>
          </cell>
          <cell r="BB72">
            <v>-8315</v>
          </cell>
        </row>
        <row r="73">
          <cell r="B73" t="str">
            <v>Company borrowing margin</v>
          </cell>
          <cell r="C73" t="str">
            <v>CO_BOR_MARGIN</v>
          </cell>
          <cell r="AI73">
            <v>9.5000000000000001E-2</v>
          </cell>
          <cell r="AN73">
            <v>9.5000000000000001E-2</v>
          </cell>
          <cell r="AS73">
            <v>9.5000000000000001E-2</v>
          </cell>
        </row>
        <row r="74">
          <cell r="B74" t="str">
            <v>Unfunded pensions &amp; other provisions</v>
          </cell>
          <cell r="C74" t="str">
            <v>UNF_PENS</v>
          </cell>
          <cell r="D74" t="str">
            <v>EUR</v>
          </cell>
          <cell r="F74">
            <v>-2513</v>
          </cell>
          <cell r="G74">
            <v>-2678</v>
          </cell>
          <cell r="H74">
            <v>-2772</v>
          </cell>
          <cell r="I74">
            <v>-3044</v>
          </cell>
          <cell r="J74">
            <v>-3247</v>
          </cell>
          <cell r="K74">
            <v>0</v>
          </cell>
          <cell r="L74">
            <v>0</v>
          </cell>
          <cell r="M74">
            <v>0</v>
          </cell>
          <cell r="N74">
            <v>0</v>
          </cell>
          <cell r="O74">
            <v>-3442</v>
          </cell>
          <cell r="P74">
            <v>0</v>
          </cell>
          <cell r="Q74">
            <v>0</v>
          </cell>
          <cell r="R74">
            <v>0</v>
          </cell>
          <cell r="T74">
            <v>-4840</v>
          </cell>
          <cell r="Y74">
            <v>-4026</v>
          </cell>
          <cell r="AD74">
            <v>-4093</v>
          </cell>
          <cell r="AI74">
            <v>-4653</v>
          </cell>
          <cell r="AN74">
            <v>-4344</v>
          </cell>
          <cell r="AS74">
            <v>-4843.0720000000001</v>
          </cell>
        </row>
        <row r="75">
          <cell r="B75" t="str">
            <v>Unfunded pension liabilities (off balance sheet)</v>
          </cell>
          <cell r="C75" t="str">
            <v>UNF_PENS_OFF</v>
          </cell>
          <cell r="D75" t="str">
            <v>EUR</v>
          </cell>
        </row>
        <row r="76">
          <cell r="B76" t="str">
            <v>Unfunded pension liabilities &amp; other, used in EV</v>
          </cell>
          <cell r="C76" t="str">
            <v>UNF_PENS_LIAB_OTH</v>
          </cell>
          <cell r="D76" t="str">
            <v>EUR</v>
          </cell>
          <cell r="F76">
            <v>6264.7062871936996</v>
          </cell>
          <cell r="G76">
            <v>8550.7711562900695</v>
          </cell>
          <cell r="H76">
            <v>9081.0690396944792</v>
          </cell>
          <cell r="I76">
            <v>10313.128148731799</v>
          </cell>
          <cell r="J76">
            <v>13528.1695160982</v>
          </cell>
          <cell r="K76">
            <v>0</v>
          </cell>
          <cell r="L76">
            <v>0</v>
          </cell>
          <cell r="M76">
            <v>0</v>
          </cell>
          <cell r="N76">
            <v>0</v>
          </cell>
          <cell r="O76">
            <v>15088.2900566424</v>
          </cell>
          <cell r="P76">
            <v>0</v>
          </cell>
          <cell r="Q76">
            <v>0</v>
          </cell>
          <cell r="R76">
            <v>0</v>
          </cell>
          <cell r="T76">
            <v>17500.265122305598</v>
          </cell>
          <cell r="Y76">
            <v>17368.466763587301</v>
          </cell>
          <cell r="AD76">
            <v>15172.967666520501</v>
          </cell>
          <cell r="AI76">
            <v>17039.409962494599</v>
          </cell>
          <cell r="AN76">
            <v>17306.869253794099</v>
          </cell>
          <cell r="AS76">
            <v>18201.1555445622</v>
          </cell>
          <cell r="AT76">
            <v>5300</v>
          </cell>
          <cell r="AU76">
            <v>4461.6000000000004</v>
          </cell>
          <cell r="AV76">
            <v>3776.8</v>
          </cell>
          <cell r="AW76">
            <v>3092</v>
          </cell>
          <cell r="AX76">
            <v>2407.1999999999998</v>
          </cell>
          <cell r="AY76">
            <v>1722.4</v>
          </cell>
          <cell r="AZ76">
            <v>1037.5999999999999</v>
          </cell>
          <cell r="BA76">
            <v>352.8</v>
          </cell>
        </row>
        <row r="77">
          <cell r="B77" t="str">
            <v>Adjustment for unfunded pensions &amp; goodwill</v>
          </cell>
          <cell r="C77" t="str">
            <v>ADJ_UNF_PENS_GOOD</v>
          </cell>
          <cell r="D77" t="str">
            <v>EUR</v>
          </cell>
        </row>
        <row r="78">
          <cell r="B78" t="str">
            <v>Other GCI adjustments</v>
          </cell>
          <cell r="C78" t="str">
            <v>OTH_GCI_ADJ</v>
          </cell>
          <cell r="D78" t="str">
            <v>EUR</v>
          </cell>
          <cell r="T78">
            <v>-877</v>
          </cell>
          <cell r="Y78">
            <v>-970</v>
          </cell>
          <cell r="AD78">
            <v>-1057</v>
          </cell>
          <cell r="AI78">
            <v>-1110</v>
          </cell>
          <cell r="AN78">
            <v>-1255</v>
          </cell>
          <cell r="AS78">
            <v>-1352</v>
          </cell>
          <cell r="AT78">
            <v>-1840</v>
          </cell>
          <cell r="AU78">
            <v>-2112.0795645598</v>
          </cell>
          <cell r="AV78">
            <v>-2398.2401599990499</v>
          </cell>
          <cell r="AW78">
            <v>-2705.4330980347299</v>
          </cell>
          <cell r="AX78">
            <v>-3040.2173433282201</v>
          </cell>
          <cell r="AY78">
            <v>-3390.5038652544399</v>
          </cell>
          <cell r="AZ78">
            <v>-3753.0577504315402</v>
          </cell>
          <cell r="BA78">
            <v>-4139.4010804698801</v>
          </cell>
          <cell r="BB78">
            <v>-4549.4067987624503</v>
          </cell>
        </row>
        <row r="79">
          <cell r="B79" t="str">
            <v>GCI inflator</v>
          </cell>
          <cell r="C79" t="str">
            <v>GCI_INFL</v>
          </cell>
          <cell r="F79">
            <v>1</v>
          </cell>
          <cell r="G79">
            <v>1</v>
          </cell>
          <cell r="H79">
            <v>1</v>
          </cell>
          <cell r="I79">
            <v>1</v>
          </cell>
          <cell r="J79">
            <v>1</v>
          </cell>
          <cell r="K79">
            <v>1</v>
          </cell>
          <cell r="L79">
            <v>1</v>
          </cell>
          <cell r="M79">
            <v>1</v>
          </cell>
          <cell r="N79">
            <v>1</v>
          </cell>
          <cell r="O79">
            <v>1</v>
          </cell>
          <cell r="P79">
            <v>1</v>
          </cell>
          <cell r="Q79">
            <v>1</v>
          </cell>
          <cell r="R79">
            <v>1</v>
          </cell>
          <cell r="T79">
            <v>1</v>
          </cell>
          <cell r="Y79">
            <v>1</v>
          </cell>
        </row>
        <row r="80">
          <cell r="B80" t="str">
            <v>Minority interest</v>
          </cell>
          <cell r="C80" t="str">
            <v>BAL_MINO_INT</v>
          </cell>
          <cell r="D80" t="str">
            <v>EUR</v>
          </cell>
          <cell r="F80">
            <v>0</v>
          </cell>
          <cell r="G80">
            <v>0</v>
          </cell>
          <cell r="H80">
            <v>0</v>
          </cell>
          <cell r="I80">
            <v>0</v>
          </cell>
          <cell r="J80">
            <v>2370</v>
          </cell>
          <cell r="K80">
            <v>0</v>
          </cell>
          <cell r="L80">
            <v>0</v>
          </cell>
          <cell r="M80">
            <v>0</v>
          </cell>
          <cell r="N80">
            <v>0</v>
          </cell>
          <cell r="O80">
            <v>176</v>
          </cell>
          <cell r="P80">
            <v>0</v>
          </cell>
          <cell r="Q80">
            <v>0</v>
          </cell>
          <cell r="R80">
            <v>0</v>
          </cell>
          <cell r="T80">
            <v>2890</v>
          </cell>
          <cell r="Y80">
            <v>85</v>
          </cell>
          <cell r="AD80">
            <v>104</v>
          </cell>
          <cell r="AI80">
            <v>106</v>
          </cell>
          <cell r="AN80">
            <v>95</v>
          </cell>
          <cell r="AS80">
            <v>15</v>
          </cell>
          <cell r="AT80">
            <v>25</v>
          </cell>
          <cell r="AU80">
            <v>26</v>
          </cell>
          <cell r="AV80">
            <v>27</v>
          </cell>
          <cell r="AW80">
            <v>28</v>
          </cell>
          <cell r="AX80">
            <v>29</v>
          </cell>
          <cell r="AY80">
            <v>30</v>
          </cell>
          <cell r="AZ80">
            <v>31</v>
          </cell>
          <cell r="BA80">
            <v>32</v>
          </cell>
          <cell r="BB80">
            <v>33</v>
          </cell>
        </row>
        <row r="81">
          <cell r="A81" t="str">
            <v>Cash Flow Statement</v>
          </cell>
        </row>
        <row r="82">
          <cell r="B82" t="str">
            <v>Minority interest add-back</v>
          </cell>
          <cell r="C82" t="str">
            <v>CF_INC_MINORITY</v>
          </cell>
          <cell r="D82" t="str">
            <v>EUR</v>
          </cell>
          <cell r="F82">
            <v>14</v>
          </cell>
          <cell r="G82">
            <v>-114</v>
          </cell>
          <cell r="H82">
            <v>129</v>
          </cell>
          <cell r="I82">
            <v>162</v>
          </cell>
          <cell r="J82">
            <v>220</v>
          </cell>
          <cell r="K82">
            <v>0</v>
          </cell>
          <cell r="L82">
            <v>0</v>
          </cell>
          <cell r="M82">
            <v>0</v>
          </cell>
          <cell r="N82">
            <v>0</v>
          </cell>
          <cell r="O82">
            <v>34</v>
          </cell>
          <cell r="P82">
            <v>0</v>
          </cell>
          <cell r="Q82">
            <v>0</v>
          </cell>
          <cell r="R82">
            <v>0</v>
          </cell>
          <cell r="T82">
            <v>16</v>
          </cell>
          <cell r="Y82">
            <v>9</v>
          </cell>
          <cell r="AD82">
            <v>25</v>
          </cell>
          <cell r="AI82">
            <v>11</v>
          </cell>
          <cell r="AN82">
            <v>19</v>
          </cell>
          <cell r="AS82">
            <v>4</v>
          </cell>
          <cell r="AT82">
            <v>1</v>
          </cell>
          <cell r="AU82">
            <v>1</v>
          </cell>
          <cell r="AV82">
            <v>1</v>
          </cell>
          <cell r="AW82">
            <v>1</v>
          </cell>
          <cell r="AX82">
            <v>1</v>
          </cell>
          <cell r="AY82">
            <v>1</v>
          </cell>
          <cell r="AZ82">
            <v>1</v>
          </cell>
          <cell r="BA82">
            <v>1</v>
          </cell>
          <cell r="BB82">
            <v>1</v>
          </cell>
        </row>
        <row r="83">
          <cell r="B83" t="str">
            <v>Depreciation &amp; amortization add-back</v>
          </cell>
          <cell r="C83" t="str">
            <v>DEPR_AMORT</v>
          </cell>
          <cell r="D83" t="str">
            <v>EUR</v>
          </cell>
          <cell r="F83">
            <v>1540</v>
          </cell>
          <cell r="G83">
            <v>3560</v>
          </cell>
          <cell r="H83">
            <v>2768</v>
          </cell>
          <cell r="I83">
            <v>2375</v>
          </cell>
          <cell r="J83">
            <v>1621</v>
          </cell>
          <cell r="K83">
            <v>0</v>
          </cell>
          <cell r="L83">
            <v>0</v>
          </cell>
          <cell r="M83">
            <v>0</v>
          </cell>
          <cell r="N83">
            <v>0</v>
          </cell>
          <cell r="O83">
            <v>1653</v>
          </cell>
          <cell r="P83">
            <v>0</v>
          </cell>
          <cell r="Q83">
            <v>0</v>
          </cell>
          <cell r="R83">
            <v>0</v>
          </cell>
          <cell r="T83">
            <v>1691</v>
          </cell>
          <cell r="Y83">
            <v>1772</v>
          </cell>
          <cell r="AD83">
            <v>1667</v>
          </cell>
          <cell r="AI83">
            <v>1826</v>
          </cell>
          <cell r="AN83">
            <v>1582</v>
          </cell>
          <cell r="AS83">
            <v>1884</v>
          </cell>
          <cell r="AT83">
            <v>2053</v>
          </cell>
          <cell r="AU83">
            <v>2152.4776998451198</v>
          </cell>
          <cell r="AV83">
            <v>2263.8756470150302</v>
          </cell>
          <cell r="AW83">
            <v>2430.2668586724699</v>
          </cell>
          <cell r="AX83">
            <v>2648.54739612507</v>
          </cell>
          <cell r="AY83">
            <v>2771.1891123553901</v>
          </cell>
          <cell r="AZ83">
            <v>2868.2387598587202</v>
          </cell>
          <cell r="BA83">
            <v>3056.4419776872401</v>
          </cell>
          <cell r="BB83">
            <v>3243.6400244229699</v>
          </cell>
        </row>
        <row r="84">
          <cell r="B84" t="str">
            <v>(Increase)/decrease in working capital</v>
          </cell>
          <cell r="C84" t="str">
            <v>WORK_CAP</v>
          </cell>
          <cell r="D84" t="str">
            <v>EUR</v>
          </cell>
          <cell r="F84">
            <v>1460</v>
          </cell>
          <cell r="G84">
            <v>2</v>
          </cell>
          <cell r="H84">
            <v>804</v>
          </cell>
          <cell r="I84">
            <v>2019</v>
          </cell>
          <cell r="J84">
            <v>2155</v>
          </cell>
          <cell r="K84">
            <v>0</v>
          </cell>
          <cell r="L84">
            <v>0</v>
          </cell>
          <cell r="M84">
            <v>0</v>
          </cell>
          <cell r="N84">
            <v>0</v>
          </cell>
          <cell r="O84">
            <v>1239</v>
          </cell>
          <cell r="P84">
            <v>0</v>
          </cell>
          <cell r="Q84">
            <v>0</v>
          </cell>
          <cell r="R84">
            <v>0</v>
          </cell>
          <cell r="T84">
            <v>-143</v>
          </cell>
          <cell r="Y84">
            <v>1175</v>
          </cell>
          <cell r="AD84">
            <v>155</v>
          </cell>
          <cell r="AI84">
            <v>421</v>
          </cell>
          <cell r="AN84">
            <v>2756</v>
          </cell>
          <cell r="AS84">
            <v>1251</v>
          </cell>
          <cell r="AT84">
            <v>70</v>
          </cell>
          <cell r="AU84">
            <v>-4193.9440686837597</v>
          </cell>
          <cell r="AV84">
            <v>-1345.0985485238</v>
          </cell>
          <cell r="AW84">
            <v>-808.60796367283001</v>
          </cell>
          <cell r="AX84">
            <v>-817.54413404158799</v>
          </cell>
          <cell r="AY84">
            <v>-819.88501173803002</v>
          </cell>
          <cell r="AZ84">
            <v>-583.69668866923701</v>
          </cell>
          <cell r="BA84">
            <v>-333.78750560952898</v>
          </cell>
          <cell r="BB84">
            <v>1016.24766858287</v>
          </cell>
        </row>
        <row r="85">
          <cell r="B85" t="str">
            <v>Other operating cash flow items</v>
          </cell>
          <cell r="C85" t="str">
            <v>OTH_OP_CF</v>
          </cell>
          <cell r="D85" t="str">
            <v>EUR</v>
          </cell>
          <cell r="F85">
            <v>-34</v>
          </cell>
          <cell r="G85">
            <v>-1601</v>
          </cell>
          <cell r="H85">
            <v>-1731</v>
          </cell>
          <cell r="I85">
            <v>-616</v>
          </cell>
          <cell r="J85">
            <v>-135</v>
          </cell>
          <cell r="K85">
            <v>0</v>
          </cell>
          <cell r="L85">
            <v>0</v>
          </cell>
          <cell r="M85">
            <v>0</v>
          </cell>
          <cell r="N85">
            <v>0</v>
          </cell>
          <cell r="O85">
            <v>412</v>
          </cell>
          <cell r="P85">
            <v>0</v>
          </cell>
          <cell r="Q85">
            <v>0</v>
          </cell>
          <cell r="R85">
            <v>0</v>
          </cell>
          <cell r="T85">
            <v>1635</v>
          </cell>
          <cell r="Y85">
            <v>2514</v>
          </cell>
          <cell r="AD85">
            <v>1266</v>
          </cell>
          <cell r="AI85">
            <v>1308</v>
          </cell>
          <cell r="AN85">
            <v>-60</v>
          </cell>
          <cell r="AS85">
            <v>377</v>
          </cell>
          <cell r="AT85">
            <v>-87</v>
          </cell>
          <cell r="AU85">
            <v>517.61328558388595</v>
          </cell>
          <cell r="AV85">
            <v>201.91600059829</v>
          </cell>
          <cell r="AW85">
            <v>-18.836583013866001</v>
          </cell>
          <cell r="AX85">
            <v>-128.213212669451</v>
          </cell>
          <cell r="AY85">
            <v>157.05658846132499</v>
          </cell>
          <cell r="AZ85">
            <v>526.56560729362297</v>
          </cell>
          <cell r="BA85">
            <v>774.75417903025095</v>
          </cell>
          <cell r="BB85">
            <v>954.86177401609802</v>
          </cell>
        </row>
        <row r="86">
          <cell r="B86" t="str">
            <v>Cash flow from operating activities</v>
          </cell>
          <cell r="C86" t="str">
            <v>CF_OPS</v>
          </cell>
          <cell r="D86" t="str">
            <v>EUR</v>
          </cell>
          <cell r="F86">
            <v>3159</v>
          </cell>
          <cell r="G86">
            <v>2656</v>
          </cell>
          <cell r="H86">
            <v>2666</v>
          </cell>
          <cell r="I86">
            <v>4709</v>
          </cell>
          <cell r="J86">
            <v>5013</v>
          </cell>
          <cell r="O86">
            <v>5107</v>
          </cell>
          <cell r="T86">
            <v>3398</v>
          </cell>
          <cell r="Y86">
            <v>5037</v>
          </cell>
          <cell r="AD86">
            <v>4726</v>
          </cell>
          <cell r="AI86">
            <v>2844</v>
          </cell>
          <cell r="AN86">
            <v>4933</v>
          </cell>
          <cell r="AS86">
            <v>4643</v>
          </cell>
          <cell r="AT86">
            <v>3840</v>
          </cell>
          <cell r="AU86">
            <v>947.817178820864</v>
          </cell>
          <cell r="AV86">
            <v>4077.4746669035198</v>
          </cell>
          <cell r="AW86">
            <v>4966.0016065789396</v>
          </cell>
          <cell r="AX86">
            <v>5509.8203186290802</v>
          </cell>
          <cell r="AY86">
            <v>6215.7712806849204</v>
          </cell>
          <cell r="AZ86">
            <v>7083.2707042710899</v>
          </cell>
          <cell r="BA86">
            <v>8671.1588566940009</v>
          </cell>
          <cell r="BB86">
            <v>11247.743988541901</v>
          </cell>
        </row>
        <row r="87">
          <cell r="B87" t="str">
            <v>Capital expenditures, Capex</v>
          </cell>
          <cell r="C87" t="str">
            <v>CAPEX</v>
          </cell>
          <cell r="D87" t="str">
            <v>EUR</v>
          </cell>
          <cell r="F87">
            <v>-1215</v>
          </cell>
          <cell r="G87">
            <v>-1636</v>
          </cell>
          <cell r="H87">
            <v>-3018</v>
          </cell>
          <cell r="I87">
            <v>-3599</v>
          </cell>
          <cell r="J87">
            <v>-3299</v>
          </cell>
          <cell r="K87">
            <v>0</v>
          </cell>
          <cell r="L87">
            <v>0</v>
          </cell>
          <cell r="O87">
            <v>-2652</v>
          </cell>
          <cell r="T87">
            <v>-1373</v>
          </cell>
          <cell r="Y87">
            <v>-1579</v>
          </cell>
          <cell r="AD87">
            <v>-1904</v>
          </cell>
          <cell r="AI87">
            <v>-2251</v>
          </cell>
          <cell r="AN87">
            <v>-2200</v>
          </cell>
          <cell r="AS87">
            <v>-2168</v>
          </cell>
          <cell r="AT87">
            <v>-3197</v>
          </cell>
          <cell r="AU87">
            <v>-2870.3257310213398</v>
          </cell>
          <cell r="AV87">
            <v>-3018.87472373227</v>
          </cell>
          <cell r="AW87">
            <v>-3240.7571507931998</v>
          </cell>
          <cell r="AX87">
            <v>-3531.8339146901899</v>
          </cell>
          <cell r="AY87">
            <v>-3695.3764563006498</v>
          </cell>
          <cell r="AZ87">
            <v>-3824.79201328198</v>
          </cell>
          <cell r="BA87">
            <v>-4075.7607173169199</v>
          </cell>
          <cell r="BB87">
            <v>-4325.3890272321196</v>
          </cell>
        </row>
        <row r="88">
          <cell r="B88" t="str">
            <v>Acquisitions</v>
          </cell>
          <cell r="C88" t="str">
            <v>ACQ</v>
          </cell>
          <cell r="D88" t="str">
            <v>EUR</v>
          </cell>
          <cell r="F88">
            <v>-600</v>
          </cell>
          <cell r="G88">
            <v>-1096</v>
          </cell>
          <cell r="H88">
            <v>-19</v>
          </cell>
          <cell r="I88">
            <v>-92</v>
          </cell>
          <cell r="J88">
            <v>-100</v>
          </cell>
          <cell r="K88">
            <v>0</v>
          </cell>
          <cell r="L88">
            <v>0</v>
          </cell>
          <cell r="M88">
            <v>0</v>
          </cell>
          <cell r="N88">
            <v>0</v>
          </cell>
          <cell r="O88">
            <v>-131</v>
          </cell>
          <cell r="P88">
            <v>0</v>
          </cell>
          <cell r="Q88">
            <v>0</v>
          </cell>
          <cell r="R88">
            <v>0</v>
          </cell>
          <cell r="T88">
            <v>-2961</v>
          </cell>
          <cell r="Y88">
            <v>0</v>
          </cell>
          <cell r="AD88">
            <v>-265</v>
          </cell>
          <cell r="AI88">
            <v>-21</v>
          </cell>
          <cell r="AN88">
            <v>-38</v>
          </cell>
          <cell r="AS88">
            <v>-1535</v>
          </cell>
          <cell r="AT88">
            <v>-201</v>
          </cell>
        </row>
        <row r="89">
          <cell r="B89" t="str">
            <v>Divestitures</v>
          </cell>
          <cell r="C89" t="str">
            <v>DIVEST</v>
          </cell>
          <cell r="D89" t="str">
            <v>EUR</v>
          </cell>
          <cell r="F89">
            <v>187</v>
          </cell>
          <cell r="G89">
            <v>850</v>
          </cell>
          <cell r="H89">
            <v>84</v>
          </cell>
          <cell r="I89">
            <v>32</v>
          </cell>
          <cell r="J89">
            <v>0</v>
          </cell>
          <cell r="K89">
            <v>0</v>
          </cell>
          <cell r="L89">
            <v>0</v>
          </cell>
          <cell r="M89">
            <v>0</v>
          </cell>
          <cell r="N89">
            <v>0</v>
          </cell>
          <cell r="O89">
            <v>89</v>
          </cell>
          <cell r="P89">
            <v>0</v>
          </cell>
          <cell r="Q89">
            <v>0</v>
          </cell>
          <cell r="R89">
            <v>0</v>
          </cell>
          <cell r="T89">
            <v>86</v>
          </cell>
          <cell r="Y89">
            <v>29</v>
          </cell>
          <cell r="AD89">
            <v>2</v>
          </cell>
          <cell r="AI89">
            <v>13</v>
          </cell>
          <cell r="AN89">
            <v>12</v>
          </cell>
          <cell r="AS89">
            <v>18</v>
          </cell>
        </row>
        <row r="90">
          <cell r="B90" t="str">
            <v>Other investing cash flow items</v>
          </cell>
          <cell r="C90" t="str">
            <v>OTH_INV_CF</v>
          </cell>
          <cell r="D90" t="str">
            <v>EUR</v>
          </cell>
          <cell r="F90">
            <v>0</v>
          </cell>
          <cell r="G90">
            <v>0</v>
          </cell>
          <cell r="H90">
            <v>0</v>
          </cell>
          <cell r="I90">
            <v>0</v>
          </cell>
          <cell r="J90">
            <v>0</v>
          </cell>
          <cell r="K90">
            <v>0</v>
          </cell>
          <cell r="L90">
            <v>0</v>
          </cell>
          <cell r="M90">
            <v>0</v>
          </cell>
          <cell r="N90">
            <v>0</v>
          </cell>
          <cell r="O90">
            <v>0</v>
          </cell>
          <cell r="P90">
            <v>0</v>
          </cell>
          <cell r="Q90">
            <v>0</v>
          </cell>
          <cell r="R90">
            <v>0</v>
          </cell>
          <cell r="T90">
            <v>0</v>
          </cell>
          <cell r="Y90">
            <v>0</v>
          </cell>
          <cell r="AD90">
            <v>-2887</v>
          </cell>
          <cell r="AI90">
            <v>-957</v>
          </cell>
          <cell r="AN90">
            <v>-3205</v>
          </cell>
          <cell r="AS90">
            <v>-563</v>
          </cell>
          <cell r="AT90">
            <v>3372</v>
          </cell>
        </row>
        <row r="91">
          <cell r="B91" t="str">
            <v>Cash flow from investing</v>
          </cell>
          <cell r="C91" t="str">
            <v>CF_INV</v>
          </cell>
          <cell r="D91" t="str">
            <v>EUR</v>
          </cell>
          <cell r="F91">
            <v>-1628</v>
          </cell>
          <cell r="G91">
            <v>-1882</v>
          </cell>
          <cell r="H91">
            <v>-2953</v>
          </cell>
          <cell r="I91">
            <v>-3659</v>
          </cell>
          <cell r="J91">
            <v>-3399</v>
          </cell>
          <cell r="O91">
            <v>-2694</v>
          </cell>
          <cell r="T91">
            <v>-4248</v>
          </cell>
          <cell r="Y91">
            <v>-1550</v>
          </cell>
          <cell r="AD91">
            <v>-2167</v>
          </cell>
          <cell r="AI91">
            <v>-2259</v>
          </cell>
          <cell r="AN91">
            <v>-2226</v>
          </cell>
          <cell r="AS91">
            <v>-3685</v>
          </cell>
          <cell r="AT91">
            <v>-26</v>
          </cell>
          <cell r="AU91">
            <v>-2870.3257310213398</v>
          </cell>
          <cell r="AV91">
            <v>-3018.87472373227</v>
          </cell>
          <cell r="AW91">
            <v>-3240.7571507931998</v>
          </cell>
          <cell r="AX91">
            <v>-3531.8339146901899</v>
          </cell>
          <cell r="AY91">
            <v>-3695.3764563006498</v>
          </cell>
          <cell r="AZ91">
            <v>-3824.79201328198</v>
          </cell>
          <cell r="BA91">
            <v>-4075.7607173169199</v>
          </cell>
          <cell r="BB91">
            <v>-4325.3890272321196</v>
          </cell>
        </row>
        <row r="92">
          <cell r="B92" t="str">
            <v>Dividends paid</v>
          </cell>
          <cell r="C92" t="str">
            <v>DIV_PAID</v>
          </cell>
          <cell r="D92" t="str">
            <v>EUR</v>
          </cell>
          <cell r="F92">
            <v>-31</v>
          </cell>
          <cell r="G92">
            <v>-404</v>
          </cell>
          <cell r="H92">
            <v>-403</v>
          </cell>
          <cell r="I92">
            <v>-240</v>
          </cell>
          <cell r="J92">
            <v>-320</v>
          </cell>
          <cell r="K92">
            <v>0</v>
          </cell>
          <cell r="L92">
            <v>0</v>
          </cell>
          <cell r="O92">
            <v>-396</v>
          </cell>
          <cell r="T92">
            <v>-536</v>
          </cell>
          <cell r="Y92">
            <v>-98</v>
          </cell>
          <cell r="AD92">
            <v>-107</v>
          </cell>
          <cell r="AI92">
            <v>-166</v>
          </cell>
          <cell r="AN92">
            <v>-7</v>
          </cell>
          <cell r="AS92">
            <v>-183</v>
          </cell>
          <cell r="AT92">
            <v>-369</v>
          </cell>
          <cell r="AU92">
            <v>-460.81285380000003</v>
          </cell>
          <cell r="AV92">
            <v>-506.89413918000002</v>
          </cell>
          <cell r="AW92">
            <v>-557.58355309800004</v>
          </cell>
          <cell r="AX92">
            <v>-613.34190840780002</v>
          </cell>
          <cell r="AY92">
            <v>-674.67609924858004</v>
          </cell>
          <cell r="AZ92">
            <v>-742.14370917343797</v>
          </cell>
          <cell r="BA92">
            <v>-816.35808009078198</v>
          </cell>
          <cell r="BB92">
            <v>-897.99388809985999</v>
          </cell>
        </row>
        <row r="93">
          <cell r="B93" t="str">
            <v>Common stock issuance/(repurchase)</v>
          </cell>
          <cell r="C93" t="str">
            <v>SH_REPUR</v>
          </cell>
          <cell r="D93" t="str">
            <v>EUR</v>
          </cell>
          <cell r="F93">
            <v>1540</v>
          </cell>
          <cell r="G93">
            <v>21</v>
          </cell>
          <cell r="H93">
            <v>-140</v>
          </cell>
          <cell r="I93">
            <v>-10</v>
          </cell>
          <cell r="J93">
            <v>124</v>
          </cell>
          <cell r="K93">
            <v>0</v>
          </cell>
          <cell r="L93">
            <v>0</v>
          </cell>
          <cell r="M93">
            <v>0</v>
          </cell>
          <cell r="N93">
            <v>0</v>
          </cell>
          <cell r="O93">
            <v>-101</v>
          </cell>
          <cell r="P93">
            <v>0</v>
          </cell>
          <cell r="Q93">
            <v>0</v>
          </cell>
          <cell r="R93">
            <v>0</v>
          </cell>
          <cell r="T93">
            <v>59</v>
          </cell>
          <cell r="Y93">
            <v>46</v>
          </cell>
          <cell r="AD93">
            <v>63</v>
          </cell>
          <cell r="AI93">
            <v>12</v>
          </cell>
          <cell r="AN93">
            <v>-51</v>
          </cell>
          <cell r="AS93">
            <v>-66</v>
          </cell>
          <cell r="AT93">
            <v>-5</v>
          </cell>
        </row>
        <row r="94">
          <cell r="B94" t="str">
            <v>Increase/(decrease) in total debt</v>
          </cell>
          <cell r="C94" t="str">
            <v>CHG_LT_DEBT</v>
          </cell>
          <cell r="D94" t="str">
            <v>EUR</v>
          </cell>
          <cell r="F94">
            <v>0</v>
          </cell>
          <cell r="G94">
            <v>721</v>
          </cell>
          <cell r="H94">
            <v>-1524</v>
          </cell>
          <cell r="I94">
            <v>-209</v>
          </cell>
          <cell r="J94">
            <v>359</v>
          </cell>
          <cell r="K94">
            <v>0</v>
          </cell>
          <cell r="L94">
            <v>0</v>
          </cell>
          <cell r="M94">
            <v>0</v>
          </cell>
          <cell r="N94">
            <v>0</v>
          </cell>
          <cell r="O94">
            <v>-29</v>
          </cell>
          <cell r="P94">
            <v>0</v>
          </cell>
          <cell r="Q94">
            <v>0</v>
          </cell>
          <cell r="R94">
            <v>0</v>
          </cell>
          <cell r="T94">
            <v>660</v>
          </cell>
          <cell r="Y94">
            <v>-943</v>
          </cell>
          <cell r="AD94">
            <v>-310</v>
          </cell>
          <cell r="AI94">
            <v>792</v>
          </cell>
          <cell r="AN94">
            <v>-1018</v>
          </cell>
          <cell r="AS94">
            <v>826</v>
          </cell>
          <cell r="AT94">
            <v>-125</v>
          </cell>
        </row>
        <row r="95">
          <cell r="B95" t="str">
            <v>Other financing cash flow items</v>
          </cell>
          <cell r="C95" t="str">
            <v>OTH_FIN_CF</v>
          </cell>
          <cell r="D95" t="str">
            <v>EUR</v>
          </cell>
          <cell r="F95">
            <v>0</v>
          </cell>
          <cell r="G95">
            <v>0</v>
          </cell>
          <cell r="H95">
            <v>0</v>
          </cell>
          <cell r="I95">
            <v>0</v>
          </cell>
          <cell r="J95">
            <v>0</v>
          </cell>
          <cell r="K95">
            <v>0</v>
          </cell>
          <cell r="L95">
            <v>0</v>
          </cell>
          <cell r="M95">
            <v>0</v>
          </cell>
          <cell r="N95">
            <v>0</v>
          </cell>
          <cell r="O95">
            <v>0</v>
          </cell>
          <cell r="P95">
            <v>0</v>
          </cell>
          <cell r="Q95">
            <v>0</v>
          </cell>
          <cell r="R95">
            <v>0</v>
          </cell>
          <cell r="T95">
            <v>0</v>
          </cell>
          <cell r="Y95">
            <v>0</v>
          </cell>
          <cell r="AD95">
            <v>14</v>
          </cell>
          <cell r="AI95">
            <v>13</v>
          </cell>
          <cell r="AN95">
            <v>-55</v>
          </cell>
          <cell r="AS95">
            <v>-70</v>
          </cell>
          <cell r="AT95">
            <v>134</v>
          </cell>
          <cell r="AU95">
            <v>-1942.0064901912999</v>
          </cell>
        </row>
        <row r="96">
          <cell r="B96" t="str">
            <v>Cash flow from financing</v>
          </cell>
          <cell r="C96" t="str">
            <v>CF_FIN</v>
          </cell>
          <cell r="D96" t="str">
            <v>EUR</v>
          </cell>
          <cell r="F96">
            <v>1509</v>
          </cell>
          <cell r="G96">
            <v>338</v>
          </cell>
          <cell r="H96">
            <v>-2067</v>
          </cell>
          <cell r="I96">
            <v>-459</v>
          </cell>
          <cell r="J96">
            <v>163</v>
          </cell>
          <cell r="O96">
            <v>-526</v>
          </cell>
          <cell r="T96">
            <v>183</v>
          </cell>
          <cell r="Y96">
            <v>-995</v>
          </cell>
          <cell r="AD96">
            <v>-354</v>
          </cell>
          <cell r="AI96">
            <v>638</v>
          </cell>
          <cell r="AN96">
            <v>-1076</v>
          </cell>
          <cell r="AS96">
            <v>577</v>
          </cell>
          <cell r="AT96">
            <v>-365</v>
          </cell>
          <cell r="AU96">
            <v>-2402.8193439912998</v>
          </cell>
          <cell r="AV96">
            <v>-506.89413918000002</v>
          </cell>
          <cell r="AW96">
            <v>-557.58355309800004</v>
          </cell>
          <cell r="AX96">
            <v>-613.34190840780002</v>
          </cell>
          <cell r="AY96">
            <v>-674.67609924858004</v>
          </cell>
          <cell r="AZ96">
            <v>-742.14370917343797</v>
          </cell>
          <cell r="BA96">
            <v>-816.35808009078198</v>
          </cell>
          <cell r="BB96">
            <v>-897.99388809985999</v>
          </cell>
        </row>
        <row r="97">
          <cell r="B97" t="str">
            <v>Other items net cash flow</v>
          </cell>
          <cell r="C97" t="str">
            <v>OTH_ITEM_NCF</v>
          </cell>
          <cell r="D97" t="str">
            <v>EUR</v>
          </cell>
          <cell r="F97">
            <v>0</v>
          </cell>
          <cell r="G97">
            <v>-1001</v>
          </cell>
          <cell r="H97">
            <v>521</v>
          </cell>
          <cell r="I97">
            <v>1081</v>
          </cell>
          <cell r="J97">
            <v>-465</v>
          </cell>
          <cell r="O97">
            <v>-485</v>
          </cell>
          <cell r="T97">
            <v>67</v>
          </cell>
          <cell r="Y97">
            <v>-640</v>
          </cell>
          <cell r="AD97">
            <v>-346</v>
          </cell>
          <cell r="AI97">
            <v>173</v>
          </cell>
          <cell r="AN97">
            <v>-528</v>
          </cell>
          <cell r="AS97">
            <v>-946</v>
          </cell>
          <cell r="AT97">
            <v>23</v>
          </cell>
          <cell r="AU97">
            <v>0</v>
          </cell>
          <cell r="AV97">
            <v>0</v>
          </cell>
          <cell r="AW97">
            <v>0</v>
          </cell>
          <cell r="AX97">
            <v>0</v>
          </cell>
          <cell r="AY97">
            <v>0</v>
          </cell>
          <cell r="AZ97">
            <v>9.9999999999999998E-13</v>
          </cell>
          <cell r="BA97">
            <v>0</v>
          </cell>
          <cell r="BB97">
            <v>2E-12</v>
          </cell>
        </row>
        <row r="98">
          <cell r="B98" t="str">
            <v>Total cash flow</v>
          </cell>
          <cell r="C98" t="str">
            <v>TOT_CF</v>
          </cell>
          <cell r="D98" t="str">
            <v>EUR</v>
          </cell>
          <cell r="F98">
            <v>3040</v>
          </cell>
          <cell r="G98">
            <v>111</v>
          </cell>
          <cell r="H98">
            <v>-1833</v>
          </cell>
          <cell r="I98">
            <v>1672</v>
          </cell>
          <cell r="J98">
            <v>1312</v>
          </cell>
          <cell r="O98">
            <v>1402</v>
          </cell>
          <cell r="T98">
            <v>-600</v>
          </cell>
          <cell r="Y98">
            <v>1852</v>
          </cell>
          <cell r="AD98">
            <v>1859</v>
          </cell>
          <cell r="AI98">
            <v>1396</v>
          </cell>
          <cell r="AN98">
            <v>1103</v>
          </cell>
          <cell r="AS98">
            <v>589</v>
          </cell>
          <cell r="AT98">
            <v>3472</v>
          </cell>
          <cell r="AU98">
            <v>-4325.3278961917704</v>
          </cell>
          <cell r="AV98">
            <v>551.70580399124401</v>
          </cell>
          <cell r="AW98">
            <v>1167.66090268774</v>
          </cell>
          <cell r="AX98">
            <v>1364.6444955310899</v>
          </cell>
          <cell r="AY98">
            <v>1845.71872513569</v>
          </cell>
          <cell r="AZ98">
            <v>2516.3349818156598</v>
          </cell>
          <cell r="BA98">
            <v>3779.0400592863002</v>
          </cell>
          <cell r="BB98">
            <v>6024.3610732098796</v>
          </cell>
        </row>
        <row r="99">
          <cell r="A99" t="str">
            <v>Additional Cash Flow Items</v>
          </cell>
        </row>
        <row r="100">
          <cell r="B100" t="str">
            <v>Associate and JV add-back</v>
          </cell>
          <cell r="C100" t="str">
            <v>ASSOC_JV_ADDBK</v>
          </cell>
          <cell r="D100" t="str">
            <v>EUR</v>
          </cell>
        </row>
        <row r="101">
          <cell r="B101" t="str">
            <v>Cash interest income/(expense)</v>
          </cell>
          <cell r="C101" t="str">
            <v>CASH_INT_INC_EXP</v>
          </cell>
          <cell r="D101" t="str">
            <v>EUR</v>
          </cell>
        </row>
        <row r="102">
          <cell r="B102" t="str">
            <v>Cash taxes paid</v>
          </cell>
          <cell r="C102" t="str">
            <v>CASH_TAX_PD</v>
          </cell>
          <cell r="D102" t="str">
            <v>EUR</v>
          </cell>
        </row>
        <row r="103">
          <cell r="B103" t="str">
            <v>Profit/(loss) on sale of assets</v>
          </cell>
          <cell r="C103" t="str">
            <v>PL_SALE_ASSETS</v>
          </cell>
          <cell r="D103" t="str">
            <v>EUR</v>
          </cell>
        </row>
        <row r="104">
          <cell r="B104" t="str">
            <v>Other non-cash adjustments</v>
          </cell>
          <cell r="C104" t="str">
            <v>OTH_NONCASH_ADJ</v>
          </cell>
          <cell r="D104" t="str">
            <v>EUR</v>
          </cell>
        </row>
        <row r="105">
          <cell r="B105" t="str">
            <v>Other DACF adjustments</v>
          </cell>
          <cell r="C105" t="str">
            <v>OTH_DACF_ADJ</v>
          </cell>
          <cell r="D105" t="str">
            <v>EUR</v>
          </cell>
          <cell r="Y105">
            <v>-93</v>
          </cell>
          <cell r="AD105">
            <v>-87</v>
          </cell>
          <cell r="AI105">
            <v>-53</v>
          </cell>
          <cell r="AN105">
            <v>-145</v>
          </cell>
          <cell r="AS105">
            <v>-97</v>
          </cell>
          <cell r="AT105">
            <v>-488</v>
          </cell>
          <cell r="AU105">
            <v>-272.07956455980002</v>
          </cell>
          <cell r="AV105">
            <v>-286.16059543924899</v>
          </cell>
          <cell r="AW105">
            <v>-307.19293803568502</v>
          </cell>
          <cell r="AX105">
            <v>-334.78424529348302</v>
          </cell>
          <cell r="AY105">
            <v>-350.28652192622701</v>
          </cell>
          <cell r="AZ105">
            <v>-362.55388517709201</v>
          </cell>
          <cell r="BA105">
            <v>-386.34333003834303</v>
          </cell>
          <cell r="BB105">
            <v>-410.00571829257098</v>
          </cell>
        </row>
        <row r="106">
          <cell r="B106" t="str">
            <v>Cash interest expense</v>
          </cell>
          <cell r="C106" t="str">
            <v>CASH_INT_EXP</v>
          </cell>
          <cell r="D106" t="str">
            <v>EUR</v>
          </cell>
        </row>
        <row r="107">
          <cell r="B107" t="str">
            <v>Cash tax expense</v>
          </cell>
          <cell r="C107" t="str">
            <v>CASH_TAX_EXP</v>
          </cell>
          <cell r="D107" t="str">
            <v>EUR</v>
          </cell>
        </row>
        <row r="108">
          <cell r="B108" t="str">
            <v>Dividends received from associates/JVs</v>
          </cell>
          <cell r="C108" t="str">
            <v>DIVDS_ASSOC_JV</v>
          </cell>
          <cell r="D108" t="str">
            <v>EUR</v>
          </cell>
        </row>
        <row r="109">
          <cell r="B109" t="str">
            <v>Capex maintenance</v>
          </cell>
          <cell r="C109" t="str">
            <v>CAPEX_MAINTENANCE</v>
          </cell>
          <cell r="D109" t="str">
            <v>EUR</v>
          </cell>
        </row>
        <row r="110">
          <cell r="B110" t="str">
            <v>Capex expansion</v>
          </cell>
          <cell r="C110" t="str">
            <v>CAPEX_EXPANSION</v>
          </cell>
          <cell r="D110" t="str">
            <v>EUR</v>
          </cell>
        </row>
        <row r="111">
          <cell r="B111" t="str">
            <v>Non-PP&amp;E capex</v>
          </cell>
          <cell r="C111" t="str">
            <v>NONPPE_CAPEX</v>
          </cell>
          <cell r="D111" t="str">
            <v>EUR</v>
          </cell>
          <cell r="T111">
            <v>-411</v>
          </cell>
          <cell r="Y111">
            <v>-93</v>
          </cell>
          <cell r="AD111">
            <v>-87</v>
          </cell>
          <cell r="AI111">
            <v>-53</v>
          </cell>
          <cell r="AN111">
            <v>-145</v>
          </cell>
          <cell r="AS111">
            <v>-97</v>
          </cell>
          <cell r="AT111">
            <v>-488</v>
          </cell>
          <cell r="AU111">
            <v>-272.07956455980002</v>
          </cell>
          <cell r="AV111">
            <v>-286.16059543924899</v>
          </cell>
          <cell r="AW111">
            <v>-307.19293803568502</v>
          </cell>
          <cell r="AX111">
            <v>-334.78424529348302</v>
          </cell>
          <cell r="AY111">
            <v>-350.28652192622701</v>
          </cell>
          <cell r="AZ111">
            <v>-362.55388517709201</v>
          </cell>
          <cell r="BA111">
            <v>-386.34333003834303</v>
          </cell>
          <cell r="BB111">
            <v>-410.00571829257098</v>
          </cell>
        </row>
        <row r="112">
          <cell r="B112" t="str">
            <v>Dividends paid to minorities</v>
          </cell>
          <cell r="C112" t="str">
            <v>DIVDS_PD_MINORITIES</v>
          </cell>
          <cell r="D112" t="str">
            <v>EUR</v>
          </cell>
        </row>
        <row r="113">
          <cell r="A113" t="str">
            <v>Other Items</v>
          </cell>
        </row>
        <row r="114">
          <cell r="B114" t="str">
            <v>Number of employees</v>
          </cell>
          <cell r="C114" t="str">
            <v>EMPLOYEES</v>
          </cell>
          <cell r="Y114">
            <v>116.80500000000001</v>
          </cell>
          <cell r="AD114">
            <v>116.49299999999999</v>
          </cell>
          <cell r="AI114">
            <v>118.349</v>
          </cell>
          <cell r="AN114">
            <v>119.506</v>
          </cell>
          <cell r="AS114">
            <v>121.691</v>
          </cell>
          <cell r="AT114">
            <v>133.11500000000001</v>
          </cell>
          <cell r="AU114">
            <v>140.405</v>
          </cell>
        </row>
        <row r="115">
          <cell r="A115" t="str">
            <v>Geographical Breakdown</v>
          </cell>
        </row>
        <row r="116">
          <cell r="B116" t="str">
            <v>Sales - Total % Americas</v>
          </cell>
          <cell r="C116" t="str">
            <v>SALES_TOT_AM</v>
          </cell>
          <cell r="AD116">
            <v>0.2</v>
          </cell>
          <cell r="AI116">
            <v>0.2</v>
          </cell>
          <cell r="AN116">
            <v>0.2</v>
          </cell>
          <cell r="AS116">
            <v>0.17761765184799999</v>
          </cell>
          <cell r="AT116">
            <v>0.26</v>
          </cell>
          <cell r="AU116">
            <v>0.26</v>
          </cell>
        </row>
        <row r="117">
          <cell r="B117" t="str">
            <v>Sales - % United States</v>
          </cell>
          <cell r="C117" t="str">
            <v>SALES_US</v>
          </cell>
          <cell r="AD117">
            <v>0.15</v>
          </cell>
          <cell r="AI117">
            <v>0.15</v>
          </cell>
          <cell r="AN117">
            <v>0.15</v>
          </cell>
          <cell r="AS117">
            <v>0.119117407588</v>
          </cell>
          <cell r="AT117">
            <v>0.2</v>
          </cell>
          <cell r="AU117">
            <v>0.2</v>
          </cell>
        </row>
        <row r="118">
          <cell r="B118" t="str">
            <v>Sales - % Brazil</v>
          </cell>
          <cell r="C118" t="str">
            <v>SALES_BRAZIL</v>
          </cell>
          <cell r="AD118">
            <v>0.03</v>
          </cell>
          <cell r="AI118">
            <v>0.03</v>
          </cell>
          <cell r="AN118">
            <v>0.03</v>
          </cell>
          <cell r="AS118">
            <v>0</v>
          </cell>
          <cell r="AT118">
            <v>0</v>
          </cell>
          <cell r="AU118">
            <v>0</v>
          </cell>
        </row>
        <row r="119">
          <cell r="B119" t="str">
            <v>Sales - % Other Americas</v>
          </cell>
          <cell r="C119" t="str">
            <v>SALES_OTH_AM</v>
          </cell>
          <cell r="AD119">
            <v>0.02</v>
          </cell>
          <cell r="AI119">
            <v>0.02</v>
          </cell>
          <cell r="AN119">
            <v>0.02</v>
          </cell>
          <cell r="AS119">
            <v>5.8500244260000001E-2</v>
          </cell>
          <cell r="AT119">
            <v>0.06</v>
          </cell>
          <cell r="AU119">
            <v>0.06</v>
          </cell>
        </row>
        <row r="120">
          <cell r="B120" t="str">
            <v>Sales - Total % EMEA</v>
          </cell>
          <cell r="C120" t="str">
            <v>SALES_TOT_EMEA</v>
          </cell>
          <cell r="AD120">
            <v>0.54</v>
          </cell>
          <cell r="AI120">
            <v>0.54</v>
          </cell>
          <cell r="AN120">
            <v>0.54</v>
          </cell>
          <cell r="AS120">
            <v>0.52444634424400005</v>
          </cell>
          <cell r="AT120">
            <v>0.37</v>
          </cell>
          <cell r="AU120">
            <v>0.37</v>
          </cell>
        </row>
        <row r="121">
          <cell r="B121" t="str">
            <v>Sales - % UK</v>
          </cell>
          <cell r="C121" t="str">
            <v>SALES_UK</v>
          </cell>
          <cell r="AD121">
            <v>0.05</v>
          </cell>
          <cell r="AI121">
            <v>0.05</v>
          </cell>
          <cell r="AN121">
            <v>0.05</v>
          </cell>
          <cell r="AS121">
            <v>5.6118710308000003E-2</v>
          </cell>
          <cell r="AT121">
            <v>0</v>
          </cell>
          <cell r="AU121">
            <v>0</v>
          </cell>
        </row>
        <row r="122">
          <cell r="B122" t="str">
            <v>Sales - % Western Europe-Ex UK</v>
          </cell>
          <cell r="C122" t="str">
            <v>SALES_EU_EX_UK</v>
          </cell>
          <cell r="AD122">
            <v>0.39</v>
          </cell>
          <cell r="AI122">
            <v>0.39</v>
          </cell>
          <cell r="AN122">
            <v>0.39</v>
          </cell>
          <cell r="AS122">
            <v>0.36429327471099998</v>
          </cell>
          <cell r="AT122">
            <v>0.22</v>
          </cell>
          <cell r="AU122">
            <v>0.22</v>
          </cell>
        </row>
        <row r="123">
          <cell r="B123" t="str">
            <v>Sales - % France</v>
          </cell>
          <cell r="C123" t="str">
            <v>SALES_FRA</v>
          </cell>
          <cell r="AD123">
            <v>0.39</v>
          </cell>
          <cell r="AI123">
            <v>0.39</v>
          </cell>
          <cell r="AN123">
            <v>0.39</v>
          </cell>
          <cell r="AS123">
            <v>0.36429327471099998</v>
          </cell>
          <cell r="AT123">
            <v>0</v>
          </cell>
          <cell r="AU123">
            <v>0</v>
          </cell>
        </row>
        <row r="124">
          <cell r="B124" t="str">
            <v>Sales - % Germany</v>
          </cell>
          <cell r="C124" t="str">
            <v>SALES_GER</v>
          </cell>
          <cell r="AT124">
            <v>0</v>
          </cell>
          <cell r="AU124">
            <v>0</v>
          </cell>
        </row>
        <row r="125">
          <cell r="B125" t="str">
            <v>Sales - % Italy</v>
          </cell>
          <cell r="C125" t="str">
            <v>SALES_ITA</v>
          </cell>
          <cell r="AT125">
            <v>0</v>
          </cell>
          <cell r="AU125">
            <v>0</v>
          </cell>
        </row>
        <row r="126">
          <cell r="B126" t="str">
            <v>Sales - % Spain</v>
          </cell>
          <cell r="C126" t="str">
            <v>SALES_SPA</v>
          </cell>
          <cell r="AT126">
            <v>0</v>
          </cell>
          <cell r="AU126">
            <v>0</v>
          </cell>
        </row>
        <row r="127">
          <cell r="B127" t="str">
            <v>Sales - % Other Western Europe-Ex UK</v>
          </cell>
          <cell r="C127" t="str">
            <v>SALES_OTH_EU_EX_UK</v>
          </cell>
          <cell r="AT127">
            <v>0.22</v>
          </cell>
          <cell r="AU127">
            <v>0.22</v>
          </cell>
        </row>
        <row r="128">
          <cell r="B128" t="str">
            <v>Sales - % Central &amp; Eastern Europe</v>
          </cell>
          <cell r="C128" t="str">
            <v>SALES_CEE</v>
          </cell>
          <cell r="AD128">
            <v>0.03</v>
          </cell>
          <cell r="AI128">
            <v>0.03</v>
          </cell>
          <cell r="AN128">
            <v>0.03</v>
          </cell>
          <cell r="AS128">
            <v>0</v>
          </cell>
          <cell r="AT128">
            <v>0</v>
          </cell>
          <cell r="AU128">
            <v>0</v>
          </cell>
        </row>
        <row r="129">
          <cell r="B129" t="str">
            <v>Sales - % Middle East</v>
          </cell>
          <cell r="C129" t="str">
            <v>SALES_ME</v>
          </cell>
          <cell r="AD129">
            <v>0.05</v>
          </cell>
          <cell r="AI129">
            <v>0.05</v>
          </cell>
          <cell r="AN129">
            <v>0.05</v>
          </cell>
          <cell r="AS129">
            <v>0.104034359225</v>
          </cell>
          <cell r="AT129">
            <v>0.15</v>
          </cell>
          <cell r="AU129">
            <v>0.15</v>
          </cell>
        </row>
        <row r="130">
          <cell r="B130" t="str">
            <v>Sales - % South Africa</v>
          </cell>
          <cell r="C130" t="str">
            <v>SALES_SO_AFRICA</v>
          </cell>
          <cell r="AT130">
            <v>0</v>
          </cell>
          <cell r="AU130">
            <v>0</v>
          </cell>
        </row>
        <row r="131">
          <cell r="B131" t="str">
            <v>Sales - % Nigeria</v>
          </cell>
          <cell r="C131" t="str">
            <v>SALES_NIGERIA</v>
          </cell>
          <cell r="AT131">
            <v>0</v>
          </cell>
          <cell r="AU131">
            <v>0</v>
          </cell>
        </row>
        <row r="132">
          <cell r="B132" t="str">
            <v>Sales - % Other Africa</v>
          </cell>
          <cell r="C132" t="str">
            <v>SALES_OTH_AFRICA</v>
          </cell>
          <cell r="AT132">
            <v>0</v>
          </cell>
          <cell r="AU132">
            <v>0</v>
          </cell>
        </row>
        <row r="133">
          <cell r="B133" t="str">
            <v>Sales - % Total Africa</v>
          </cell>
          <cell r="C133" t="str">
            <v>SALES_TOT_AFRICA</v>
          </cell>
          <cell r="AT133">
            <v>0</v>
          </cell>
          <cell r="AU133">
            <v>0</v>
          </cell>
        </row>
        <row r="134">
          <cell r="B134" t="str">
            <v>Sales - % Russia</v>
          </cell>
          <cell r="C134" t="str">
            <v>SALES_RUSSIA</v>
          </cell>
          <cell r="AD134">
            <v>0.01</v>
          </cell>
          <cell r="AI134">
            <v>0.01</v>
          </cell>
          <cell r="AN134">
            <v>0.01</v>
          </cell>
          <cell r="AS134">
            <v>0</v>
          </cell>
          <cell r="AT134">
            <v>0</v>
          </cell>
          <cell r="AU134">
            <v>0</v>
          </cell>
        </row>
        <row r="135">
          <cell r="B135" t="str">
            <v>Sales - % Other EMEA</v>
          </cell>
          <cell r="C135" t="str">
            <v>SALES_OTH_EMEA</v>
          </cell>
          <cell r="AD135">
            <v>0.01</v>
          </cell>
          <cell r="AI135">
            <v>0.01</v>
          </cell>
          <cell r="AN135">
            <v>0.01</v>
          </cell>
          <cell r="AS135">
            <v>0</v>
          </cell>
          <cell r="AT135">
            <v>0</v>
          </cell>
          <cell r="AU135">
            <v>0</v>
          </cell>
        </row>
        <row r="136">
          <cell r="B136" t="str">
            <v>Sales - Total % Asia (incl Australia &amp; New Zealand)</v>
          </cell>
          <cell r="C136" t="str">
            <v>SALES_TOT_ASIA</v>
          </cell>
          <cell r="AD136">
            <v>0.26</v>
          </cell>
          <cell r="AI136">
            <v>0.26</v>
          </cell>
          <cell r="AN136">
            <v>0.26</v>
          </cell>
          <cell r="AS136">
            <v>0.29113743689999999</v>
          </cell>
          <cell r="AT136">
            <v>0.35</v>
          </cell>
          <cell r="AU136">
            <v>0.35</v>
          </cell>
        </row>
        <row r="137">
          <cell r="B137" t="str">
            <v>Sales - % Japan</v>
          </cell>
          <cell r="C137" t="str">
            <v>SALES_JAPAN</v>
          </cell>
          <cell r="AD137">
            <v>5.0000000000000001E-3</v>
          </cell>
          <cell r="AI137">
            <v>5.0000000000000001E-3</v>
          </cell>
          <cell r="AN137">
            <v>5.0000000000000001E-3</v>
          </cell>
          <cell r="AS137">
            <v>0</v>
          </cell>
          <cell r="AT137">
            <v>0</v>
          </cell>
          <cell r="AU137">
            <v>0</v>
          </cell>
        </row>
        <row r="138">
          <cell r="B138" t="str">
            <v>Sales - % China</v>
          </cell>
          <cell r="C138" t="str">
            <v>SALES_CHINA</v>
          </cell>
          <cell r="AD138">
            <v>0.1</v>
          </cell>
          <cell r="AI138">
            <v>0.1</v>
          </cell>
          <cell r="AN138">
            <v>0.1</v>
          </cell>
          <cell r="AS138">
            <v>0</v>
          </cell>
          <cell r="AT138">
            <v>0</v>
          </cell>
          <cell r="AU138">
            <v>0</v>
          </cell>
        </row>
        <row r="139">
          <cell r="B139" t="str">
            <v>Sales - % India</v>
          </cell>
          <cell r="C139" t="str">
            <v>SALES_INDIA</v>
          </cell>
          <cell r="AD139">
            <v>0.05</v>
          </cell>
          <cell r="AI139">
            <v>0.05</v>
          </cell>
          <cell r="AN139">
            <v>0.05</v>
          </cell>
          <cell r="AS139">
            <v>0</v>
          </cell>
          <cell r="AT139">
            <v>0</v>
          </cell>
          <cell r="AU139">
            <v>0</v>
          </cell>
        </row>
        <row r="140">
          <cell r="B140" t="str">
            <v>Sales - % Other Asia</v>
          </cell>
          <cell r="C140" t="str">
            <v>SALES_OTH_AEJ</v>
          </cell>
          <cell r="AD140">
            <v>0.1</v>
          </cell>
          <cell r="AI140">
            <v>0.1</v>
          </cell>
          <cell r="AN140">
            <v>0.1</v>
          </cell>
          <cell r="AS140">
            <v>0.29113743689999999</v>
          </cell>
          <cell r="AT140">
            <v>0.35</v>
          </cell>
          <cell r="AU140">
            <v>0.35</v>
          </cell>
        </row>
        <row r="141">
          <cell r="B141" t="str">
            <v>Sales - % Others</v>
          </cell>
          <cell r="C141" t="str">
            <v>SALES_OTHER</v>
          </cell>
          <cell r="AD141">
            <v>0</v>
          </cell>
          <cell r="AI141">
            <v>0</v>
          </cell>
          <cell r="AN141">
            <v>0</v>
          </cell>
          <cell r="AS141">
            <v>6.7985670089999997E-3</v>
          </cell>
          <cell r="AT141">
            <v>0.02</v>
          </cell>
          <cell r="AU141">
            <v>0.02</v>
          </cell>
        </row>
        <row r="142">
          <cell r="B142" t="str">
            <v>Indirect Sales - Total % Americas</v>
          </cell>
          <cell r="C142" t="str">
            <v>IND_SALES_TOT_AM</v>
          </cell>
          <cell r="AD142">
            <v>0.05</v>
          </cell>
          <cell r="AI142">
            <v>0.05</v>
          </cell>
          <cell r="AN142">
            <v>0.05</v>
          </cell>
          <cell r="AS142">
            <v>0.17761765184799999</v>
          </cell>
          <cell r="AT142">
            <v>0.26</v>
          </cell>
          <cell r="AU142">
            <v>0.26</v>
          </cell>
        </row>
        <row r="143">
          <cell r="B143" t="str">
            <v>Indirect Sales - % United States</v>
          </cell>
          <cell r="C143" t="str">
            <v>IND_SALES_US</v>
          </cell>
          <cell r="AS143">
            <v>0.119117407588</v>
          </cell>
          <cell r="AT143">
            <v>0.2</v>
          </cell>
          <cell r="AU143">
            <v>0.2</v>
          </cell>
        </row>
        <row r="144">
          <cell r="B144" t="str">
            <v>Indirect Sales - % Brazil</v>
          </cell>
          <cell r="C144" t="str">
            <v>IND_SALES_BRAZIL</v>
          </cell>
          <cell r="AS144">
            <v>0</v>
          </cell>
          <cell r="AT144">
            <v>0</v>
          </cell>
          <cell r="AU144">
            <v>0</v>
          </cell>
        </row>
        <row r="145">
          <cell r="B145" t="str">
            <v>Indirect Sales - % Other Americas</v>
          </cell>
          <cell r="C145" t="str">
            <v>IND_SALES_OTH_AM</v>
          </cell>
          <cell r="AS145">
            <v>5.8500244260000001E-2</v>
          </cell>
          <cell r="AT145">
            <v>0.06</v>
          </cell>
          <cell r="AU145">
            <v>0.06</v>
          </cell>
        </row>
        <row r="146">
          <cell r="B146" t="str">
            <v>Indirect Sales - Total % EMEA</v>
          </cell>
          <cell r="C146" t="str">
            <v>IND_SALES_TOT_EMEA</v>
          </cell>
          <cell r="AS146">
            <v>0.52444634424400005</v>
          </cell>
          <cell r="AT146">
            <v>0.37</v>
          </cell>
          <cell r="AU146">
            <v>0.37</v>
          </cell>
        </row>
        <row r="147">
          <cell r="B147" t="str">
            <v>Indirect Sales - % UK</v>
          </cell>
          <cell r="C147" t="str">
            <v>IND_SALES_UK</v>
          </cell>
          <cell r="AD147">
            <v>0.01</v>
          </cell>
          <cell r="AI147">
            <v>0.01</v>
          </cell>
          <cell r="AN147">
            <v>0.01</v>
          </cell>
          <cell r="AS147">
            <v>5.6118710308000003E-2</v>
          </cell>
          <cell r="AT147">
            <v>0</v>
          </cell>
          <cell r="AU147">
            <v>0</v>
          </cell>
        </row>
        <row r="148">
          <cell r="B148" t="str">
            <v>Indirect Sales - % Western Europe-Ex UK</v>
          </cell>
          <cell r="C148" t="str">
            <v>IND_SALES_EU_EX_UK</v>
          </cell>
          <cell r="AD148">
            <v>0.01</v>
          </cell>
          <cell r="AI148">
            <v>0.01</v>
          </cell>
          <cell r="AN148">
            <v>0.01</v>
          </cell>
          <cell r="AS148">
            <v>0.36429327471099998</v>
          </cell>
          <cell r="AT148">
            <v>0.22</v>
          </cell>
          <cell r="AU148">
            <v>0.22</v>
          </cell>
        </row>
        <row r="149">
          <cell r="B149" t="str">
            <v>Indirect Sales - % France</v>
          </cell>
          <cell r="C149" t="str">
            <v>IND_SALES_FRA</v>
          </cell>
          <cell r="AD149">
            <v>0.26</v>
          </cell>
          <cell r="AI149">
            <v>0.26</v>
          </cell>
          <cell r="AN149">
            <v>0.26</v>
          </cell>
          <cell r="AS149">
            <v>0</v>
          </cell>
          <cell r="AT149">
            <v>0</v>
          </cell>
          <cell r="AU149">
            <v>0</v>
          </cell>
        </row>
        <row r="150">
          <cell r="B150" t="str">
            <v>Indirect Sales - % Germany</v>
          </cell>
          <cell r="C150" t="str">
            <v>IND_SALES_GER</v>
          </cell>
          <cell r="AD150">
            <v>5.0000000000000001E-3</v>
          </cell>
          <cell r="AI150">
            <v>5.0000000000000001E-3</v>
          </cell>
          <cell r="AN150">
            <v>5.0000000000000001E-3</v>
          </cell>
          <cell r="AS150">
            <v>0</v>
          </cell>
          <cell r="AT150">
            <v>0</v>
          </cell>
          <cell r="AU150">
            <v>0</v>
          </cell>
        </row>
        <row r="151">
          <cell r="B151" t="str">
            <v>Indirect Sales - % Italy</v>
          </cell>
          <cell r="C151" t="str">
            <v>IND_SALES_ITA</v>
          </cell>
          <cell r="AD151">
            <v>0.1</v>
          </cell>
          <cell r="AI151">
            <v>0.1</v>
          </cell>
          <cell r="AN151">
            <v>0.1</v>
          </cell>
          <cell r="AS151">
            <v>0</v>
          </cell>
          <cell r="AT151">
            <v>0</v>
          </cell>
          <cell r="AU151">
            <v>0</v>
          </cell>
        </row>
        <row r="152">
          <cell r="B152" t="str">
            <v>Indirect Sales - % Spain</v>
          </cell>
          <cell r="C152" t="str">
            <v>IND_SALES_SPA</v>
          </cell>
          <cell r="AD152">
            <v>0.05</v>
          </cell>
          <cell r="AI152">
            <v>0.05</v>
          </cell>
          <cell r="AN152">
            <v>0.05</v>
          </cell>
          <cell r="AS152">
            <v>0</v>
          </cell>
          <cell r="AT152">
            <v>0</v>
          </cell>
          <cell r="AU152">
            <v>0</v>
          </cell>
        </row>
        <row r="153">
          <cell r="B153" t="str">
            <v>Indirect Sales - % Other Western Europe-Ex UK</v>
          </cell>
          <cell r="C153" t="str">
            <v>IND_SALES_OTH_EU_EX_UK</v>
          </cell>
          <cell r="AT153">
            <v>0.22</v>
          </cell>
          <cell r="AU153">
            <v>0.22</v>
          </cell>
        </row>
        <row r="154">
          <cell r="B154" t="str">
            <v>Indirect Sales - % Central &amp; Eastern Europe</v>
          </cell>
          <cell r="C154" t="str">
            <v>IND_SALES_CEE</v>
          </cell>
          <cell r="AS154">
            <v>0</v>
          </cell>
          <cell r="AT154">
            <v>0</v>
          </cell>
          <cell r="AU154">
            <v>0</v>
          </cell>
        </row>
        <row r="155">
          <cell r="B155" t="str">
            <v>Indirect Sales - % Middle East</v>
          </cell>
          <cell r="C155" t="str">
            <v>IND_SALES_ME</v>
          </cell>
          <cell r="AS155">
            <v>0.104034359225</v>
          </cell>
          <cell r="AT155">
            <v>0.15</v>
          </cell>
          <cell r="AU155">
            <v>0.15</v>
          </cell>
        </row>
        <row r="156">
          <cell r="B156" t="str">
            <v>Indirect Sales - % Russia</v>
          </cell>
          <cell r="C156" t="str">
            <v>IND_SALES_RUSSIA</v>
          </cell>
          <cell r="AD156">
            <v>0.1</v>
          </cell>
          <cell r="AI156">
            <v>0.1</v>
          </cell>
          <cell r="AN156">
            <v>0.1</v>
          </cell>
          <cell r="AS156">
            <v>0</v>
          </cell>
          <cell r="AT156">
            <v>0</v>
          </cell>
          <cell r="AU156">
            <v>0</v>
          </cell>
        </row>
        <row r="157">
          <cell r="B157" t="str">
            <v>Indirect sales - % South Africa</v>
          </cell>
          <cell r="C157" t="str">
            <v>IND_SALES_SO_AFRICA</v>
          </cell>
          <cell r="AD157">
            <v>0</v>
          </cell>
          <cell r="AI157">
            <v>0</v>
          </cell>
          <cell r="AN157">
            <v>0</v>
          </cell>
          <cell r="AS157">
            <v>6.7985670089999997E-3</v>
          </cell>
          <cell r="AT157">
            <v>0</v>
          </cell>
          <cell r="AU157">
            <v>0</v>
          </cell>
        </row>
        <row r="158">
          <cell r="B158" t="str">
            <v>Indirect sales - % Nigeria</v>
          </cell>
          <cell r="C158" t="str">
            <v>IND_SALES_NIGERIA</v>
          </cell>
          <cell r="AS158">
            <v>0.17761765184799999</v>
          </cell>
          <cell r="AT158">
            <v>0</v>
          </cell>
          <cell r="AU158">
            <v>0</v>
          </cell>
        </row>
        <row r="159">
          <cell r="B159" t="str">
            <v>Indirect sales - % Other Africa</v>
          </cell>
          <cell r="C159" t="str">
            <v>IND_SALES_OTH_AFRICA</v>
          </cell>
          <cell r="AS159">
            <v>0.119117407588</v>
          </cell>
          <cell r="AT159">
            <v>0</v>
          </cell>
          <cell r="AU159">
            <v>0</v>
          </cell>
        </row>
        <row r="160">
          <cell r="B160" t="str">
            <v>Indirect Sales - % Other EMEA</v>
          </cell>
          <cell r="C160" t="str">
            <v>IND_SALES_OTH_EMEA</v>
          </cell>
          <cell r="AS160">
            <v>0</v>
          </cell>
          <cell r="AT160">
            <v>0</v>
          </cell>
          <cell r="AU160">
            <v>0</v>
          </cell>
        </row>
        <row r="161">
          <cell r="B161" t="str">
            <v>Indirect sales - % Total Africa</v>
          </cell>
          <cell r="C161" t="str">
            <v>IND_SALES_TOT_AFRICA</v>
          </cell>
          <cell r="AS161">
            <v>0</v>
          </cell>
          <cell r="AT161">
            <v>0</v>
          </cell>
          <cell r="AU161">
            <v>0</v>
          </cell>
        </row>
        <row r="162">
          <cell r="B162" t="str">
            <v>Indirect Sales - Total % Asia (incl Australia &amp; New Zealand)</v>
          </cell>
          <cell r="C162" t="str">
            <v>IND_SALES_TOT_ASIA</v>
          </cell>
          <cell r="AS162">
            <v>0.29113743689999999</v>
          </cell>
          <cell r="AT162">
            <v>0.35</v>
          </cell>
          <cell r="AU162">
            <v>0.35</v>
          </cell>
        </row>
        <row r="163">
          <cell r="B163" t="str">
            <v>Indirect Sales - % Japan</v>
          </cell>
          <cell r="C163" t="str">
            <v>IND_SALES_JAPAN</v>
          </cell>
          <cell r="AS163">
            <v>0</v>
          </cell>
          <cell r="AT163">
            <v>0</v>
          </cell>
          <cell r="AU163">
            <v>0</v>
          </cell>
        </row>
        <row r="164">
          <cell r="B164" t="str">
            <v>Indirect Sales - % China</v>
          </cell>
          <cell r="C164" t="str">
            <v>IND_SALES_CHINA</v>
          </cell>
          <cell r="AS164">
            <v>0</v>
          </cell>
          <cell r="AT164">
            <v>0</v>
          </cell>
          <cell r="AU164">
            <v>0</v>
          </cell>
        </row>
        <row r="165">
          <cell r="B165" t="str">
            <v>Indirect Sales - % India</v>
          </cell>
          <cell r="C165" t="str">
            <v>IND_SALES_INDIA</v>
          </cell>
          <cell r="AS165">
            <v>0</v>
          </cell>
          <cell r="AT165">
            <v>0</v>
          </cell>
          <cell r="AU165">
            <v>0</v>
          </cell>
        </row>
        <row r="166">
          <cell r="B166" t="str">
            <v>Indirect Sales - % Other Asia</v>
          </cell>
          <cell r="C166" t="str">
            <v>IND_SALES_OTH_AEJ</v>
          </cell>
          <cell r="AS166">
            <v>0.29113743689999999</v>
          </cell>
          <cell r="AT166">
            <v>0.35</v>
          </cell>
          <cell r="AU166">
            <v>0.35</v>
          </cell>
        </row>
        <row r="167">
          <cell r="B167" t="str">
            <v>Indirect Sales - % Others</v>
          </cell>
          <cell r="C167" t="str">
            <v>IND_SALES_OTHER</v>
          </cell>
          <cell r="AS167">
            <v>6.7985670089999997E-3</v>
          </cell>
          <cell r="AT167">
            <v>0.02</v>
          </cell>
          <cell r="AU167">
            <v>0.02</v>
          </cell>
        </row>
        <row r="168">
          <cell r="B168" t="str">
            <v>Sales -% Consumer (C)</v>
          </cell>
          <cell r="C168" t="str">
            <v>SALES_CONS</v>
          </cell>
          <cell r="AD168">
            <v>0</v>
          </cell>
          <cell r="AI168">
            <v>0</v>
          </cell>
          <cell r="AN168">
            <v>0</v>
          </cell>
          <cell r="AS168">
            <v>0</v>
          </cell>
          <cell r="AT168">
            <v>0</v>
          </cell>
          <cell r="AU168">
            <v>0</v>
          </cell>
        </row>
        <row r="169">
          <cell r="B169" t="str">
            <v>Sales -% Industry (I)</v>
          </cell>
          <cell r="C169" t="str">
            <v>SALES_IND</v>
          </cell>
          <cell r="AD169">
            <v>0.75</v>
          </cell>
          <cell r="AI169">
            <v>0.75</v>
          </cell>
          <cell r="AN169">
            <v>0.75</v>
          </cell>
          <cell r="AS169">
            <v>0.75</v>
          </cell>
          <cell r="AT169">
            <v>0.9</v>
          </cell>
          <cell r="AU169">
            <v>0.9</v>
          </cell>
        </row>
        <row r="170">
          <cell r="B170" t="str">
            <v>Sales -% Government (G)</v>
          </cell>
          <cell r="C170" t="str">
            <v>SALES_GOV</v>
          </cell>
          <cell r="AD170">
            <v>0.25</v>
          </cell>
          <cell r="AI170">
            <v>0.25</v>
          </cell>
          <cell r="AN170">
            <v>0.25</v>
          </cell>
          <cell r="AS170">
            <v>0.25</v>
          </cell>
          <cell r="AT170">
            <v>0.1</v>
          </cell>
          <cell r="AU170">
            <v>0.1</v>
          </cell>
        </row>
        <row r="171">
          <cell r="B171" t="str">
            <v>Sales - % Industry Sub-Segment: Financial Services</v>
          </cell>
          <cell r="C171" t="str">
            <v>SALES_FINAN</v>
          </cell>
          <cell r="AS171">
            <v>0</v>
          </cell>
          <cell r="AT171">
            <v>0</v>
          </cell>
          <cell r="AU171">
            <v>0</v>
          </cell>
        </row>
        <row r="172">
          <cell r="B172" t="str">
            <v>Indirect Sales -% Consumer (C)</v>
          </cell>
          <cell r="C172" t="str">
            <v>IND_SALES_CONS</v>
          </cell>
          <cell r="AT172">
            <v>0</v>
          </cell>
          <cell r="AU172">
            <v>0</v>
          </cell>
        </row>
        <row r="173">
          <cell r="B173" t="str">
            <v>Indirect Sales -% Industry (I)</v>
          </cell>
          <cell r="C173" t="str">
            <v>IND_SALES_IND</v>
          </cell>
          <cell r="AT173">
            <v>0.9</v>
          </cell>
          <cell r="AU173">
            <v>0.9</v>
          </cell>
        </row>
        <row r="174">
          <cell r="B174" t="str">
            <v>Indirect Sales -% Government (G)</v>
          </cell>
          <cell r="C174" t="str">
            <v>IND_SALES_GOV</v>
          </cell>
          <cell r="AT174">
            <v>0.1</v>
          </cell>
          <cell r="AU174">
            <v>0.1</v>
          </cell>
        </row>
        <row r="175">
          <cell r="B175" t="str">
            <v>Indirect Sales -% Industry Sub-Segment: Financial Services</v>
          </cell>
          <cell r="C175" t="str">
            <v>IND_SALES_FINAN</v>
          </cell>
          <cell r="AS175">
            <v>0</v>
          </cell>
          <cell r="AT175">
            <v>0</v>
          </cell>
          <cell r="AU175">
            <v>0</v>
          </cell>
        </row>
        <row r="176">
          <cell r="A176" t="str">
            <v>Commodities Exposure - Sales</v>
          </cell>
        </row>
        <row r="177">
          <cell r="B177" t="str">
            <v>Sales - % Other commodity</v>
          </cell>
          <cell r="C177" t="str">
            <v>SALES_OTH_COMMODITY</v>
          </cell>
        </row>
        <row r="178">
          <cell r="B178" t="str">
            <v>Sales - % Other (Non-Commodity) sales sources</v>
          </cell>
          <cell r="C178" t="str">
            <v>SALES_OTH_SALES_SOURCES</v>
          </cell>
        </row>
        <row r="179">
          <cell r="A179" t="str">
            <v>Commodities Exposure - Expense</v>
          </cell>
          <cell r="B179" t="str">
            <v>Indirect Sales - % Spain</v>
          </cell>
          <cell r="C179" t="str">
            <v>IND_SALES_SPA</v>
          </cell>
          <cell r="AS179">
            <v>0</v>
          </cell>
        </row>
        <row r="180">
          <cell r="B180" t="str">
            <v>Expense - % Oil/Petrol/Fuel</v>
          </cell>
          <cell r="C180" t="str">
            <v>EXP_OIL_PETRO_FUEL</v>
          </cell>
        </row>
        <row r="181">
          <cell r="B181" t="str">
            <v>Expense - % Oil derivatives/NGLs/plastics</v>
          </cell>
          <cell r="C181" t="str">
            <v>EXP_OIL_DERIV_NGLS_PLASTICS</v>
          </cell>
        </row>
        <row r="182">
          <cell r="B182" t="str">
            <v>Expense - % Nat Gas</v>
          </cell>
          <cell r="C182" t="str">
            <v>EXP_NAT_GAS</v>
          </cell>
        </row>
        <row r="183">
          <cell r="B183" t="str">
            <v>Expense - % Gold</v>
          </cell>
          <cell r="C183" t="str">
            <v>EXP_GOLD</v>
          </cell>
          <cell r="AS183">
            <v>0</v>
          </cell>
        </row>
        <row r="184">
          <cell r="B184" t="str">
            <v>Expense - % Copper</v>
          </cell>
          <cell r="C184" t="str">
            <v>EXP_COPPER</v>
          </cell>
          <cell r="AS184">
            <v>0.104034359225</v>
          </cell>
        </row>
        <row r="185">
          <cell r="B185" t="str">
            <v>Expense - % Silver</v>
          </cell>
          <cell r="C185" t="str">
            <v>EXP_SILVER</v>
          </cell>
          <cell r="AS185">
            <v>0</v>
          </cell>
        </row>
        <row r="186">
          <cell r="B186" t="str">
            <v>Expense - % Platinum</v>
          </cell>
          <cell r="C186" t="str">
            <v>EXP_PLATINUM</v>
          </cell>
        </row>
        <row r="187">
          <cell r="B187" t="str">
            <v>Expense - % Palladium</v>
          </cell>
          <cell r="C187" t="str">
            <v>EXP_PALLADIUM</v>
          </cell>
        </row>
        <row r="188">
          <cell r="B188" t="str">
            <v>Expense - % Aluminium</v>
          </cell>
          <cell r="C188" t="str">
            <v>EXP_ALUMINIUM</v>
          </cell>
        </row>
        <row r="189">
          <cell r="B189" t="str">
            <v>Expense - % Nickel</v>
          </cell>
          <cell r="C189" t="str">
            <v>EXP_NICKEL</v>
          </cell>
          <cell r="AS189">
            <v>0</v>
          </cell>
        </row>
        <row r="190">
          <cell r="B190" t="str">
            <v>Expense - % Zinc</v>
          </cell>
          <cell r="C190" t="str">
            <v>EXP_ZINC</v>
          </cell>
        </row>
        <row r="191">
          <cell r="B191" t="str">
            <v>Expense - % Steel</v>
          </cell>
          <cell r="C191" t="str">
            <v>EXP_STEEL</v>
          </cell>
          <cell r="AS191">
            <v>0.29113743689999999</v>
          </cell>
        </row>
        <row r="192">
          <cell r="B192" t="str">
            <v>Expense - % Glass</v>
          </cell>
          <cell r="C192" t="str">
            <v>EXP_GLASS</v>
          </cell>
          <cell r="AS192">
            <v>0</v>
          </cell>
        </row>
        <row r="193">
          <cell r="B193" t="str">
            <v>Expense - % Rubber</v>
          </cell>
          <cell r="C193" t="str">
            <v>EXP_RUBBER</v>
          </cell>
          <cell r="AS193">
            <v>0</v>
          </cell>
        </row>
        <row r="194">
          <cell r="B194" t="str">
            <v>Expense - % Water</v>
          </cell>
          <cell r="C194" t="str">
            <v>EXP_WATER</v>
          </cell>
          <cell r="AS194">
            <v>0</v>
          </cell>
        </row>
        <row r="195">
          <cell r="B195" t="str">
            <v>Expense - % Other commodity</v>
          </cell>
          <cell r="C195" t="str">
            <v>EXP_OTH_COMMODITY</v>
          </cell>
        </row>
        <row r="196">
          <cell r="B196" t="str">
            <v>Expense - % Other (Non-Commodity) cost</v>
          </cell>
          <cell r="C196" t="str">
            <v>EXP_OTH_COST</v>
          </cell>
        </row>
        <row r="197">
          <cell r="A197" t="str">
            <v>FX Exposure - Sales</v>
          </cell>
        </row>
        <row r="198">
          <cell r="B198" t="str">
            <v>Sales - % FX: British Pounds/Pence</v>
          </cell>
          <cell r="C198" t="str">
            <v>SALES_FX_GPB</v>
          </cell>
          <cell r="AS198">
            <v>0.29113743689999999</v>
          </cell>
          <cell r="AT198">
            <v>0.1</v>
          </cell>
          <cell r="AU198">
            <v>0.1</v>
          </cell>
        </row>
        <row r="199">
          <cell r="B199" t="str">
            <v>Sales - % FX: Euro</v>
          </cell>
          <cell r="C199" t="str">
            <v>SALES_FX_EUR</v>
          </cell>
          <cell r="AS199">
            <v>6.7985670089999997E-3</v>
          </cell>
          <cell r="AT199">
            <v>0.17</v>
          </cell>
          <cell r="AU199">
            <v>0.17</v>
          </cell>
        </row>
        <row r="200">
          <cell r="B200" t="str">
            <v>Sales - % FX: New Russian Ruble</v>
          </cell>
          <cell r="C200" t="str">
            <v>SALES_FX_RUB</v>
          </cell>
          <cell r="AT200">
            <v>0</v>
          </cell>
          <cell r="AU200">
            <v>0</v>
          </cell>
        </row>
        <row r="201">
          <cell r="B201" t="str">
            <v>Sales - % FX: U.S. Dollar</v>
          </cell>
          <cell r="C201" t="str">
            <v>SALES_FX_USD</v>
          </cell>
          <cell r="AT201">
            <v>0.73</v>
          </cell>
          <cell r="AU201">
            <v>0.73</v>
          </cell>
        </row>
        <row r="202">
          <cell r="B202" t="str">
            <v>Sales - % FX: Brazilian Real</v>
          </cell>
          <cell r="C202" t="str">
            <v>SALES_FX_BRL</v>
          </cell>
          <cell r="AT202">
            <v>0</v>
          </cell>
          <cell r="AU202">
            <v>0</v>
          </cell>
        </row>
        <row r="203">
          <cell r="B203" t="str">
            <v>Sales - % FX: Japanese Yen</v>
          </cell>
          <cell r="C203" t="str">
            <v>SALES_FX_YEN</v>
          </cell>
          <cell r="AT203">
            <v>0</v>
          </cell>
          <cell r="AU203">
            <v>0</v>
          </cell>
        </row>
        <row r="204">
          <cell r="B204" t="str">
            <v>Sales - % FX: Chinese Renminbi</v>
          </cell>
          <cell r="C204" t="str">
            <v>SALES_FX_CNY</v>
          </cell>
          <cell r="AT204">
            <v>0</v>
          </cell>
          <cell r="AU204">
            <v>0</v>
          </cell>
        </row>
        <row r="205">
          <cell r="B205" t="str">
            <v>Sales - % FX: Indian Rupee</v>
          </cell>
          <cell r="C205" t="str">
            <v>SALES_FX_INR</v>
          </cell>
          <cell r="AT205">
            <v>0</v>
          </cell>
          <cell r="AU205">
            <v>0</v>
          </cell>
        </row>
        <row r="206">
          <cell r="B206" t="str">
            <v>Sales - % FX: South African Rand</v>
          </cell>
          <cell r="C206" t="str">
            <v>SALES_FX_ZAR</v>
          </cell>
          <cell r="AT206">
            <v>0</v>
          </cell>
          <cell r="AU206">
            <v>0</v>
          </cell>
        </row>
        <row r="207">
          <cell r="B207" t="str">
            <v>Sales - % FX: Nigerian Naira</v>
          </cell>
          <cell r="C207" t="str">
            <v>SALES_FX_NGN</v>
          </cell>
          <cell r="AT207">
            <v>0</v>
          </cell>
          <cell r="AU207">
            <v>0</v>
          </cell>
        </row>
        <row r="208">
          <cell r="B208" t="str">
            <v>Sales - % FX: Swiss Franc</v>
          </cell>
          <cell r="C208" t="str">
            <v>SALES_FX_CHF</v>
          </cell>
          <cell r="AT208">
            <v>0</v>
          </cell>
          <cell r="AU208">
            <v>0</v>
          </cell>
        </row>
        <row r="209">
          <cell r="B209" t="str">
            <v>Sales - % FX: UAE Dirham</v>
          </cell>
          <cell r="C209" t="str">
            <v>SALES_FX_AED</v>
          </cell>
          <cell r="AT209">
            <v>0</v>
          </cell>
          <cell r="AU209">
            <v>0</v>
          </cell>
        </row>
        <row r="210">
          <cell r="B210" t="str">
            <v>Sales - % FX: New Turkish Lira</v>
          </cell>
          <cell r="C210" t="str">
            <v>SALES_FX_TRY</v>
          </cell>
          <cell r="AT210">
            <v>0</v>
          </cell>
          <cell r="AU210">
            <v>0</v>
          </cell>
        </row>
        <row r="211">
          <cell r="B211" t="str">
            <v>Sales - % FX: Other Currency</v>
          </cell>
          <cell r="C211" t="str">
            <v>SALES_FX_OTH</v>
          </cell>
          <cell r="AT211">
            <v>0</v>
          </cell>
          <cell r="AU211">
            <v>0</v>
          </cell>
        </row>
        <row r="212">
          <cell r="A212" t="str">
            <v>Security: EADS</v>
          </cell>
          <cell r="B212" t="str">
            <v>161MY</v>
          </cell>
        </row>
        <row r="213">
          <cell r="A213" t="str">
            <v>Reference Data</v>
          </cell>
        </row>
        <row r="214">
          <cell r="B214" t="str">
            <v>Ticker</v>
          </cell>
          <cell r="C214" t="str">
            <v>Ticker</v>
          </cell>
          <cell r="E214" t="str">
            <v>EAD.PA</v>
          </cell>
        </row>
        <row r="215">
          <cell r="B215" t="str">
            <v>Security Name</v>
          </cell>
          <cell r="C215" t="str">
            <v>Security Name</v>
          </cell>
          <cell r="E215" t="str">
            <v>EADS</v>
          </cell>
        </row>
        <row r="216">
          <cell r="B216" t="str">
            <v>Interim Type</v>
          </cell>
          <cell r="C216" t="str">
            <v>Interim Type</v>
          </cell>
          <cell r="E216" t="str">
            <v>Q</v>
          </cell>
        </row>
        <row r="217">
          <cell r="B217" t="str">
            <v>Publishing Currency</v>
          </cell>
          <cell r="C217" t="str">
            <v>PUB_CURRENCY_ISO</v>
          </cell>
          <cell r="E217" t="str">
            <v>EUR</v>
          </cell>
        </row>
        <row r="218">
          <cell r="B218" t="str">
            <v>Pricing Currency</v>
          </cell>
          <cell r="C218" t="str">
            <v>PRICE_CURRENCY_ISO</v>
          </cell>
          <cell r="E218" t="str">
            <v>EUR</v>
          </cell>
        </row>
        <row r="219">
          <cell r="B219" t="str">
            <v>Reporting Currency</v>
          </cell>
          <cell r="C219" t="str">
            <v>CURRENCY_ISO</v>
          </cell>
          <cell r="E219" t="str">
            <v>EUR</v>
          </cell>
        </row>
        <row r="220">
          <cell r="A220" t="str">
            <v>General Information</v>
          </cell>
        </row>
        <row r="221">
          <cell r="B221" t="str">
            <v>Pan Europe Investment List</v>
          </cell>
          <cell r="C221" t="str">
            <v>EURO_LIST</v>
          </cell>
          <cell r="E221" t="str">
            <v>Buy</v>
          </cell>
        </row>
        <row r="222">
          <cell r="B222" t="str">
            <v>Pan Europe Conviction List</v>
          </cell>
          <cell r="C222" t="str">
            <v>EURO_CONVICTION</v>
          </cell>
        </row>
        <row r="223">
          <cell r="B223" t="str">
            <v>Legal rating</v>
          </cell>
          <cell r="C223" t="str">
            <v>LEGAL_RATING</v>
          </cell>
          <cell r="E223" t="str">
            <v>Coverage Suspended</v>
          </cell>
        </row>
        <row r="224">
          <cell r="B224" t="str">
            <v>Target price</v>
          </cell>
          <cell r="C224" t="str">
            <v>TARGET_PRICE</v>
          </cell>
          <cell r="D224" t="str">
            <v>EUR</v>
          </cell>
          <cell r="E224">
            <v>60</v>
          </cell>
        </row>
        <row r="225">
          <cell r="B225" t="str">
            <v>Target price period</v>
          </cell>
          <cell r="C225" t="str">
            <v>TP_PERIOD</v>
          </cell>
          <cell r="E225" t="str">
            <v>12 months</v>
          </cell>
        </row>
        <row r="226">
          <cell r="B226" t="str">
            <v>Current shares outstanding (mn)</v>
          </cell>
          <cell r="C226" t="str">
            <v>NUM_SH</v>
          </cell>
          <cell r="E226">
            <v>812.50728800000002</v>
          </cell>
        </row>
        <row r="227">
          <cell r="B227" t="str">
            <v>Free float</v>
          </cell>
          <cell r="C227" t="str">
            <v>FREE_FLOAT</v>
          </cell>
          <cell r="E227">
            <v>0.47</v>
          </cell>
        </row>
        <row r="228">
          <cell r="B228" t="str">
            <v>DaimlerChrysler</v>
          </cell>
          <cell r="C228" t="str">
            <v>ACT1</v>
          </cell>
          <cell r="E228">
            <v>0.22500000000000001</v>
          </cell>
        </row>
        <row r="229">
          <cell r="B229" t="str">
            <v>SOGEADE (Lagardere, French State, Institutions)</v>
          </cell>
          <cell r="C229" t="str">
            <v>ACT2</v>
          </cell>
          <cell r="E229">
            <v>0.25</v>
          </cell>
        </row>
        <row r="230">
          <cell r="B230" t="str">
            <v>SEPI (Spain)</v>
          </cell>
          <cell r="C230" t="str">
            <v>ACT3</v>
          </cell>
          <cell r="E230">
            <v>0.05</v>
          </cell>
        </row>
        <row r="231">
          <cell r="A231" t="str">
            <v>Publishing Items</v>
          </cell>
        </row>
        <row r="232">
          <cell r="B232" t="str">
            <v>Book value per share, BVPS (Pub)</v>
          </cell>
          <cell r="C232" t="str">
            <v>BVPS_PUB</v>
          </cell>
          <cell r="D232" t="str">
            <v>EUR</v>
          </cell>
          <cell r="F232">
            <v>12.698882038867</v>
          </cell>
          <cell r="G232">
            <v>12.206250999219</v>
          </cell>
          <cell r="H232">
            <v>15.937185142274</v>
          </cell>
          <cell r="I232">
            <v>20.16212480794</v>
          </cell>
          <cell r="J232">
            <v>21.228183051609001</v>
          </cell>
          <cell r="O232">
            <v>17.219048930783998</v>
          </cell>
          <cell r="T232">
            <v>16.225529388066001</v>
          </cell>
          <cell r="Y232">
            <v>16.276853738884</v>
          </cell>
          <cell r="AD232">
            <v>13.615658378719001</v>
          </cell>
          <cell r="AI232">
            <v>12.991599616889999</v>
          </cell>
          <cell r="AN232">
            <v>10.900527990703001</v>
          </cell>
          <cell r="AS232">
            <v>10.860274747207001</v>
          </cell>
          <cell r="AT232">
            <v>12.703534444745999</v>
          </cell>
          <cell r="AU232">
            <v>13.949751582569</v>
          </cell>
          <cell r="AV232">
            <v>17.061311364529999</v>
          </cell>
          <cell r="AW232">
            <v>20.636020092873</v>
          </cell>
          <cell r="AX232">
            <v>24.716043657090999</v>
          </cell>
        </row>
        <row r="233">
          <cell r="B233" t="str">
            <v>DPS, dividend per share (Pub)</v>
          </cell>
          <cell r="C233" t="str">
            <v>DPS_PUB</v>
          </cell>
          <cell r="D233" t="str">
            <v>EUR</v>
          </cell>
          <cell r="F233">
            <v>0.5</v>
          </cell>
          <cell r="G233">
            <v>0.5</v>
          </cell>
          <cell r="H233">
            <v>0.3</v>
          </cell>
          <cell r="I233">
            <v>0.4</v>
          </cell>
          <cell r="J233">
            <v>0.5</v>
          </cell>
          <cell r="O233">
            <v>0.65</v>
          </cell>
          <cell r="T233">
            <v>0.12</v>
          </cell>
          <cell r="Y233">
            <v>0.12</v>
          </cell>
          <cell r="AD233">
            <v>0.2</v>
          </cell>
          <cell r="AI233">
            <v>0</v>
          </cell>
          <cell r="AN233">
            <v>0.22</v>
          </cell>
          <cell r="AS233">
            <v>0.45</v>
          </cell>
          <cell r="AT233">
            <v>0.56239330971599999</v>
          </cell>
          <cell r="AU233">
            <v>0.61863264068699997</v>
          </cell>
          <cell r="AV233">
            <v>0.68049590475599997</v>
          </cell>
          <cell r="AW233">
            <v>0.748545495231</v>
          </cell>
          <cell r="AX233">
            <v>0.82340004475499995</v>
          </cell>
        </row>
        <row r="234">
          <cell r="B234" t="str">
            <v>EBITDA (Pub)</v>
          </cell>
          <cell r="C234" t="str">
            <v>EBITDA_PUB</v>
          </cell>
          <cell r="D234" t="str">
            <v>EUR</v>
          </cell>
          <cell r="F234">
            <v>2334</v>
          </cell>
          <cell r="G234">
            <v>3213</v>
          </cell>
          <cell r="H234">
            <v>3031</v>
          </cell>
          <cell r="I234">
            <v>3137</v>
          </cell>
          <cell r="J234">
            <v>3853</v>
          </cell>
          <cell r="O234">
            <v>4369</v>
          </cell>
          <cell r="T234">
            <v>2033</v>
          </cell>
          <cell r="Y234">
            <v>1751</v>
          </cell>
          <cell r="AD234">
            <v>4439</v>
          </cell>
          <cell r="AI234">
            <v>1446</v>
          </cell>
          <cell r="AN234">
            <v>2769</v>
          </cell>
          <cell r="AS234">
            <v>3520</v>
          </cell>
          <cell r="AT234">
            <v>4957</v>
          </cell>
          <cell r="AU234">
            <v>5670.1809064221297</v>
          </cell>
          <cell r="AV234">
            <v>6364.7841313281097</v>
          </cell>
          <cell r="AW234">
            <v>6997.2095583493801</v>
          </cell>
          <cell r="AX234">
            <v>7722.8720666506597</v>
          </cell>
        </row>
        <row r="235">
          <cell r="B235" t="str">
            <v>EPS (Pub)</v>
          </cell>
          <cell r="C235" t="str">
            <v>EPS_PUB</v>
          </cell>
          <cell r="D235" t="str">
            <v>EUR</v>
          </cell>
          <cell r="F235">
            <v>0.46413708790399999</v>
          </cell>
          <cell r="G235">
            <v>1.0021109001599999</v>
          </cell>
          <cell r="H235">
            <v>0.86554568551599997</v>
          </cell>
          <cell r="I235">
            <v>0.96010147860600004</v>
          </cell>
          <cell r="J235">
            <v>1.4381393443049999</v>
          </cell>
          <cell r="O235">
            <v>2.2259009999999999</v>
          </cell>
          <cell r="T235">
            <v>0.24869243889199999</v>
          </cell>
          <cell r="Y235">
            <v>-0.53914180659800004</v>
          </cell>
          <cell r="AD235">
            <v>1.9988133492489999</v>
          </cell>
          <cell r="AI235">
            <v>-0.89168978723400005</v>
          </cell>
          <cell r="AN235">
            <v>0.78451366183000004</v>
          </cell>
          <cell r="AO235">
            <v>0.118416293241</v>
          </cell>
          <cell r="AP235">
            <v>0.30960926670400002</v>
          </cell>
          <cell r="AQ235">
            <v>0.26846160963100002</v>
          </cell>
          <cell r="AR235">
            <v>0.69057731174600001</v>
          </cell>
          <cell r="AS235">
            <v>1.3870644813220001</v>
          </cell>
          <cell r="AT235">
            <v>2.1858036497779998</v>
          </cell>
          <cell r="AU235">
            <v>3.216928835689</v>
          </cell>
          <cell r="AV235">
            <v>3.8485665624640002</v>
          </cell>
          <cell r="AW235">
            <v>4.3777155088460002</v>
          </cell>
          <cell r="AX235">
            <v>4.9556303447219996</v>
          </cell>
          <cell r="AY235">
            <v>5.3467396463580004</v>
          </cell>
          <cell r="AZ235">
            <v>5.5612550612250002</v>
          </cell>
          <cell r="BA235">
            <v>6.735163955949</v>
          </cell>
          <cell r="BB235">
            <v>7.8539404512419999</v>
          </cell>
        </row>
        <row r="236">
          <cell r="B236" t="str">
            <v>EV adjustment (Pub)</v>
          </cell>
          <cell r="C236" t="str">
            <v>EV_ADJ_PUB</v>
          </cell>
          <cell r="D236" t="str">
            <v>EUR</v>
          </cell>
          <cell r="F236">
            <v>6264.7062871936996</v>
          </cell>
          <cell r="G236">
            <v>8550.7711562900695</v>
          </cell>
          <cell r="H236">
            <v>9081.0690396944792</v>
          </cell>
          <cell r="I236">
            <v>10313.128148731799</v>
          </cell>
          <cell r="J236">
            <v>13528.1695160982</v>
          </cell>
          <cell r="K236">
            <v>0</v>
          </cell>
          <cell r="L236">
            <v>0</v>
          </cell>
          <cell r="M236">
            <v>0</v>
          </cell>
          <cell r="N236">
            <v>0</v>
          </cell>
          <cell r="O236">
            <v>15088.2900566424</v>
          </cell>
          <cell r="P236">
            <v>0</v>
          </cell>
          <cell r="Q236">
            <v>0</v>
          </cell>
          <cell r="R236">
            <v>0</v>
          </cell>
          <cell r="T236">
            <v>17500.265122305598</v>
          </cell>
          <cell r="Y236">
            <v>17368.466763587301</v>
          </cell>
          <cell r="AD236">
            <v>15172.967666520501</v>
          </cell>
          <cell r="AI236">
            <v>17039.409962494599</v>
          </cell>
          <cell r="AN236">
            <v>17306.869253794099</v>
          </cell>
          <cell r="AS236">
            <v>18201.1555445622</v>
          </cell>
          <cell r="AT236">
            <v>13235.3132384076</v>
          </cell>
          <cell r="AU236">
            <v>10089.8724436873</v>
          </cell>
          <cell r="AV236">
            <v>9832.7891314504195</v>
          </cell>
          <cell r="AW236">
            <v>10408.4280621324</v>
          </cell>
          <cell r="AX236">
            <v>11529.091344775999</v>
          </cell>
          <cell r="AY236">
            <v>13002.9157999785</v>
          </cell>
          <cell r="AZ236">
            <v>15312.5868079872</v>
          </cell>
          <cell r="BA236">
            <v>19144.579592144601</v>
          </cell>
          <cell r="BB236">
            <v>25595.358966716201</v>
          </cell>
        </row>
        <row r="237">
          <cell r="B237" t="str">
            <v>Net debt (Pub)</v>
          </cell>
          <cell r="C237" t="str">
            <v>NET_DEBT_PUB</v>
          </cell>
          <cell r="D237" t="str">
            <v>EUR</v>
          </cell>
          <cell r="F237">
            <v>-2143</v>
          </cell>
          <cell r="G237">
            <v>-1533</v>
          </cell>
          <cell r="H237">
            <v>-1224</v>
          </cell>
          <cell r="I237">
            <v>-3105</v>
          </cell>
          <cell r="J237">
            <v>-4058</v>
          </cell>
          <cell r="O237">
            <v>-5489</v>
          </cell>
          <cell r="T237">
            <v>-4229</v>
          </cell>
          <cell r="Y237">
            <v>-7024</v>
          </cell>
          <cell r="AD237">
            <v>-9193</v>
          </cell>
          <cell r="AI237">
            <v>-9797</v>
          </cell>
          <cell r="AN237">
            <v>-11918</v>
          </cell>
          <cell r="AS237">
            <v>-11681</v>
          </cell>
          <cell r="AT237">
            <v>-12292</v>
          </cell>
          <cell r="AU237">
            <v>-7966.6721038082296</v>
          </cell>
          <cell r="AV237">
            <v>-8518.3779077994695</v>
          </cell>
          <cell r="AW237">
            <v>-9686.03881048722</v>
          </cell>
          <cell r="AX237">
            <v>-11050.6833060183</v>
          </cell>
          <cell r="AY237">
            <v>-12896.402031154001</v>
          </cell>
          <cell r="AZ237">
            <v>-15412.737012969699</v>
          </cell>
          <cell r="BA237">
            <v>-19191.777072256002</v>
          </cell>
          <cell r="BB237">
            <v>-25216.1381454658</v>
          </cell>
        </row>
        <row r="238">
          <cell r="B238" t="str">
            <v>Net income (Pub)</v>
          </cell>
          <cell r="C238" t="str">
            <v>NI_PUB</v>
          </cell>
          <cell r="D238" t="str">
            <v>EUR</v>
          </cell>
          <cell r="F238">
            <v>179</v>
          </cell>
          <cell r="G238">
            <v>809</v>
          </cell>
          <cell r="H238">
            <v>696</v>
          </cell>
          <cell r="I238">
            <v>769</v>
          </cell>
          <cell r="J238">
            <v>1152</v>
          </cell>
          <cell r="O238">
            <v>1769</v>
          </cell>
          <cell r="T238">
            <v>199</v>
          </cell>
          <cell r="Y238">
            <v>-433</v>
          </cell>
          <cell r="AD238">
            <v>1613</v>
          </cell>
          <cell r="AE238">
            <v>182</v>
          </cell>
          <cell r="AF238">
            <v>215</v>
          </cell>
          <cell r="AG238">
            <v>-81.5</v>
          </cell>
          <cell r="AH238">
            <v>-1037.5</v>
          </cell>
          <cell r="AI238">
            <v>1748</v>
          </cell>
          <cell r="AJ238">
            <v>110</v>
          </cell>
          <cell r="AK238">
            <v>90</v>
          </cell>
          <cell r="AL238">
            <v>159.46</v>
          </cell>
          <cell r="AM238">
            <v>276.54000000000002</v>
          </cell>
          <cell r="AN238">
            <v>633</v>
          </cell>
          <cell r="AO238">
            <v>96</v>
          </cell>
          <cell r="AP238">
            <v>251</v>
          </cell>
          <cell r="AQ238">
            <v>218</v>
          </cell>
          <cell r="AR238">
            <v>562</v>
          </cell>
          <cell r="AS238">
            <v>1127</v>
          </cell>
          <cell r="AT238">
            <v>1791</v>
          </cell>
          <cell r="AU238">
            <v>2470.67026207561</v>
          </cell>
          <cell r="AV238">
            <v>2955.781567814</v>
          </cell>
          <cell r="AW238">
            <v>3362.1792945931702</v>
          </cell>
          <cell r="AX238">
            <v>3806.0302692150499</v>
          </cell>
          <cell r="AY238">
            <v>4106.4105916062399</v>
          </cell>
          <cell r="AZ238">
            <v>4271.1630257879797</v>
          </cell>
          <cell r="BA238">
            <v>5172.7502055860396</v>
          </cell>
          <cell r="BB238">
            <v>6031.9945215199205</v>
          </cell>
        </row>
        <row r="239">
          <cell r="B239" t="str">
            <v>EBIT, operating profit (Pub)</v>
          </cell>
          <cell r="C239" t="str">
            <v>EBIT_PUB</v>
          </cell>
          <cell r="D239" t="str">
            <v>EUR</v>
          </cell>
          <cell r="F239">
            <v>1399</v>
          </cell>
          <cell r="G239">
            <v>1694</v>
          </cell>
          <cell r="H239">
            <v>1426</v>
          </cell>
          <cell r="I239">
            <v>1543</v>
          </cell>
          <cell r="J239">
            <v>2444</v>
          </cell>
          <cell r="O239">
            <v>2852</v>
          </cell>
          <cell r="T239">
            <v>399</v>
          </cell>
          <cell r="Y239">
            <v>52</v>
          </cell>
          <cell r="AD239">
            <v>2830</v>
          </cell>
          <cell r="AE239">
            <v>232</v>
          </cell>
          <cell r="AF239">
            <v>656</v>
          </cell>
          <cell r="AG239">
            <v>201</v>
          </cell>
          <cell r="AH239">
            <v>-1411</v>
          </cell>
          <cell r="AI239">
            <v>2148</v>
          </cell>
          <cell r="AJ239">
            <v>83</v>
          </cell>
          <cell r="AK239">
            <v>323</v>
          </cell>
          <cell r="AL239">
            <v>378</v>
          </cell>
          <cell r="AM239">
            <v>560</v>
          </cell>
          <cell r="AN239">
            <v>1341</v>
          </cell>
          <cell r="AO239">
            <v>232</v>
          </cell>
          <cell r="AP239">
            <v>491</v>
          </cell>
          <cell r="AQ239">
            <v>342</v>
          </cell>
          <cell r="AR239">
            <v>729</v>
          </cell>
          <cell r="AS239">
            <v>1794</v>
          </cell>
          <cell r="AT239">
            <v>2959</v>
          </cell>
          <cell r="AU239">
            <v>3576.84606371987</v>
          </cell>
          <cell r="AV239">
            <v>4160.05134145594</v>
          </cell>
          <cell r="AW239">
            <v>4626.0855568197803</v>
          </cell>
          <cell r="AX239">
            <v>5133.4675276684502</v>
          </cell>
        </row>
        <row r="240">
          <cell r="B240" t="str">
            <v>Pre-tax profit (Pub)</v>
          </cell>
          <cell r="C240" t="str">
            <v>PTP_PUB</v>
          </cell>
          <cell r="D240" t="str">
            <v>EUR</v>
          </cell>
          <cell r="F240">
            <v>-27</v>
          </cell>
          <cell r="G240">
            <v>1523</v>
          </cell>
          <cell r="H240">
            <v>1366</v>
          </cell>
          <cell r="I240">
            <v>1488</v>
          </cell>
          <cell r="J240">
            <v>2114</v>
          </cell>
          <cell r="O240">
            <v>2675</v>
          </cell>
          <cell r="T240">
            <v>155</v>
          </cell>
          <cell r="Y240">
            <v>-685</v>
          </cell>
          <cell r="AD240">
            <v>2358</v>
          </cell>
          <cell r="AE240">
            <v>263</v>
          </cell>
          <cell r="AF240">
            <v>318</v>
          </cell>
          <cell r="AG240">
            <v>-107</v>
          </cell>
          <cell r="AH240">
            <v>-1388</v>
          </cell>
          <cell r="AI240">
            <v>1556</v>
          </cell>
          <cell r="AJ240">
            <v>160</v>
          </cell>
          <cell r="AK240">
            <v>137</v>
          </cell>
          <cell r="AL240">
            <v>247</v>
          </cell>
          <cell r="AM240">
            <v>388</v>
          </cell>
          <cell r="AN240">
            <v>929</v>
          </cell>
          <cell r="AO240">
            <v>137</v>
          </cell>
          <cell r="AP240">
            <v>366</v>
          </cell>
          <cell r="AQ240">
            <v>273</v>
          </cell>
          <cell r="AR240">
            <v>739</v>
          </cell>
          <cell r="AS240">
            <v>1515</v>
          </cell>
          <cell r="AT240">
            <v>2494</v>
          </cell>
          <cell r="AU240">
            <v>3247.5127303865302</v>
          </cell>
          <cell r="AV240">
            <v>3922.6611380377099</v>
          </cell>
          <cell r="AW240">
            <v>4464.5247737432801</v>
          </cell>
          <cell r="AX240">
            <v>5056.32607323912</v>
          </cell>
        </row>
        <row r="241">
          <cell r="B241" t="str">
            <v>Sales, revenue (Pub)</v>
          </cell>
          <cell r="C241" t="str">
            <v>REVS_PUB</v>
          </cell>
          <cell r="D241" t="str">
            <v>EUR</v>
          </cell>
          <cell r="F241">
            <v>24208</v>
          </cell>
          <cell r="G241">
            <v>30798</v>
          </cell>
          <cell r="H241">
            <v>29901</v>
          </cell>
          <cell r="I241">
            <v>30133</v>
          </cell>
          <cell r="J241">
            <v>31761</v>
          </cell>
          <cell r="O241">
            <v>34206</v>
          </cell>
          <cell r="T241">
            <v>39434</v>
          </cell>
          <cell r="Y241">
            <v>39123</v>
          </cell>
          <cell r="AD241">
            <v>43265</v>
          </cell>
          <cell r="AE241">
            <v>8467</v>
          </cell>
          <cell r="AF241">
            <v>11728</v>
          </cell>
          <cell r="AG241">
            <v>9528</v>
          </cell>
          <cell r="AH241">
            <v>13099</v>
          </cell>
          <cell r="AI241">
            <v>42822</v>
          </cell>
          <cell r="AJ241">
            <v>8950</v>
          </cell>
          <cell r="AK241">
            <v>11358</v>
          </cell>
          <cell r="AL241">
            <v>11246</v>
          </cell>
          <cell r="AM241">
            <v>14198</v>
          </cell>
          <cell r="AN241">
            <v>45752</v>
          </cell>
          <cell r="AO241">
            <v>9854</v>
          </cell>
          <cell r="AP241">
            <v>12082</v>
          </cell>
          <cell r="AQ241">
            <v>10751</v>
          </cell>
          <cell r="AR241">
            <v>16441</v>
          </cell>
          <cell r="AS241">
            <v>49128</v>
          </cell>
          <cell r="AT241">
            <v>56480</v>
          </cell>
          <cell r="AU241">
            <v>59216.726978690996</v>
          </cell>
          <cell r="AV241">
            <v>62281.391399614702</v>
          </cell>
          <cell r="AW241">
            <v>66858.973296551805</v>
          </cell>
          <cell r="AX241">
            <v>72864.080337624895</v>
          </cell>
        </row>
        <row r="242">
          <cell r="B242" t="str">
            <v>Total shareholders' equity (Pub)</v>
          </cell>
          <cell r="C242" t="str">
            <v>EQ_PUB</v>
          </cell>
          <cell r="D242" t="str">
            <v>EUR</v>
          </cell>
          <cell r="F242">
            <v>10471</v>
          </cell>
          <cell r="G242">
            <v>10436</v>
          </cell>
          <cell r="H242">
            <v>14126</v>
          </cell>
          <cell r="I242">
            <v>18328</v>
          </cell>
          <cell r="J242">
            <v>19343</v>
          </cell>
          <cell r="O242">
            <v>13902</v>
          </cell>
          <cell r="T242">
            <v>13152</v>
          </cell>
          <cell r="Y242">
            <v>13175</v>
          </cell>
          <cell r="AD242">
            <v>11126</v>
          </cell>
          <cell r="AI242">
            <v>10641</v>
          </cell>
          <cell r="AN242">
            <v>8936</v>
          </cell>
          <cell r="AS242">
            <v>8870</v>
          </cell>
          <cell r="AT242">
            <v>10434</v>
          </cell>
          <cell r="AU242">
            <v>10739.708060941501</v>
          </cell>
          <cell r="AV242">
            <v>13130.4526324326</v>
          </cell>
          <cell r="AW242">
            <v>15876.9055167849</v>
          </cell>
          <cell r="AX242">
            <v>19011.451020449302</v>
          </cell>
        </row>
        <row r="243">
          <cell r="A243" t="str">
            <v>Income Statement</v>
          </cell>
        </row>
        <row r="244">
          <cell r="B244" t="str">
            <v>Provision for income tax</v>
          </cell>
          <cell r="C244" t="str">
            <v>PROV_INC_TAX</v>
          </cell>
          <cell r="D244" t="str">
            <v>EUR</v>
          </cell>
          <cell r="F244">
            <v>220</v>
          </cell>
          <cell r="G244">
            <v>-828</v>
          </cell>
          <cell r="H244">
            <v>-541</v>
          </cell>
          <cell r="I244">
            <v>-557</v>
          </cell>
          <cell r="J244">
            <v>-742</v>
          </cell>
          <cell r="O244">
            <v>-872</v>
          </cell>
          <cell r="T244">
            <v>60</v>
          </cell>
          <cell r="Y244">
            <v>261</v>
          </cell>
          <cell r="AD244">
            <v>-720</v>
          </cell>
          <cell r="AI244">
            <v>203</v>
          </cell>
          <cell r="AN244">
            <v>-277</v>
          </cell>
          <cell r="AS244">
            <v>-384</v>
          </cell>
          <cell r="AT244">
            <v>-702</v>
          </cell>
          <cell r="AU244">
            <v>-775.842468310919</v>
          </cell>
          <cell r="AV244">
            <v>-965.87957022371302</v>
          </cell>
          <cell r="AW244">
            <v>-1101.3454791500999</v>
          </cell>
          <cell r="AX244">
            <v>-1249.2958040240701</v>
          </cell>
        </row>
        <row r="245">
          <cell r="B245" t="str">
            <v>Minority interest</v>
          </cell>
          <cell r="C245" t="str">
            <v>INC_MINORITY</v>
          </cell>
          <cell r="D245" t="str">
            <v>EUR</v>
          </cell>
          <cell r="F245">
            <v>-14</v>
          </cell>
          <cell r="G245">
            <v>114</v>
          </cell>
          <cell r="H245">
            <v>-129</v>
          </cell>
          <cell r="I245">
            <v>-162</v>
          </cell>
          <cell r="J245">
            <v>-220</v>
          </cell>
          <cell r="K245">
            <v>0</v>
          </cell>
          <cell r="L245">
            <v>0</v>
          </cell>
          <cell r="M245">
            <v>0</v>
          </cell>
          <cell r="N245">
            <v>0</v>
          </cell>
          <cell r="O245">
            <v>-34</v>
          </cell>
          <cell r="P245">
            <v>0</v>
          </cell>
          <cell r="Q245">
            <v>0</v>
          </cell>
          <cell r="R245">
            <v>0</v>
          </cell>
          <cell r="T245">
            <v>-16</v>
          </cell>
          <cell r="Y245">
            <v>-9</v>
          </cell>
          <cell r="AD245">
            <v>-25</v>
          </cell>
          <cell r="AI245">
            <v>-11</v>
          </cell>
          <cell r="AN245">
            <v>-19</v>
          </cell>
          <cell r="AS245">
            <v>-4</v>
          </cell>
          <cell r="AT245">
            <v>-1</v>
          </cell>
          <cell r="AU245">
            <v>-1</v>
          </cell>
          <cell r="AV245">
            <v>-1</v>
          </cell>
          <cell r="AW245">
            <v>-1</v>
          </cell>
          <cell r="AX245">
            <v>-1</v>
          </cell>
        </row>
        <row r="246">
          <cell r="B246" t="str">
            <v>Net income (pre-preferred dividends)</v>
          </cell>
          <cell r="C246" t="str">
            <v>NI_PRE_PREF</v>
          </cell>
          <cell r="D246" t="str">
            <v>EUR</v>
          </cell>
          <cell r="F246">
            <v>179</v>
          </cell>
          <cell r="G246">
            <v>809</v>
          </cell>
          <cell r="H246">
            <v>696</v>
          </cell>
          <cell r="I246">
            <v>769</v>
          </cell>
          <cell r="J246">
            <v>1152</v>
          </cell>
          <cell r="O246">
            <v>1769</v>
          </cell>
          <cell r="T246">
            <v>199</v>
          </cell>
          <cell r="Y246">
            <v>-433</v>
          </cell>
          <cell r="AD246">
            <v>1613</v>
          </cell>
          <cell r="AI246">
            <v>-722</v>
          </cell>
          <cell r="AN246">
            <v>636</v>
          </cell>
          <cell r="AS246">
            <v>1127</v>
          </cell>
          <cell r="AT246">
            <v>1803</v>
          </cell>
          <cell r="AU246">
            <v>2470.67026207561</v>
          </cell>
          <cell r="AV246">
            <v>2955.781567814</v>
          </cell>
          <cell r="AW246">
            <v>3362.1792945931702</v>
          </cell>
          <cell r="AX246">
            <v>3806.0302692150499</v>
          </cell>
        </row>
        <row r="247">
          <cell r="B247" t="str">
            <v>Preferred dividends</v>
          </cell>
          <cell r="C247" t="str">
            <v>PREF_DIV</v>
          </cell>
          <cell r="D247" t="str">
            <v>EUR</v>
          </cell>
          <cell r="F247">
            <v>0</v>
          </cell>
          <cell r="G247">
            <v>0</v>
          </cell>
          <cell r="H247">
            <v>0</v>
          </cell>
          <cell r="I247">
            <v>0</v>
          </cell>
          <cell r="J247">
            <v>0</v>
          </cell>
          <cell r="K247">
            <v>0</v>
          </cell>
          <cell r="L247">
            <v>0</v>
          </cell>
          <cell r="M247">
            <v>0</v>
          </cell>
          <cell r="N247">
            <v>0</v>
          </cell>
          <cell r="O247">
            <v>0</v>
          </cell>
          <cell r="P247">
            <v>0</v>
          </cell>
          <cell r="Q247">
            <v>0</v>
          </cell>
          <cell r="R247">
            <v>0</v>
          </cell>
          <cell r="T247">
            <v>0</v>
          </cell>
          <cell r="Y247">
            <v>0</v>
          </cell>
        </row>
        <row r="248">
          <cell r="B248" t="str">
            <v>Net income (pre-exceptionals)</v>
          </cell>
          <cell r="C248" t="str">
            <v>NET_EARNING</v>
          </cell>
          <cell r="D248" t="str">
            <v>EUR</v>
          </cell>
          <cell r="F248">
            <v>179</v>
          </cell>
          <cell r="G248">
            <v>809</v>
          </cell>
          <cell r="H248">
            <v>696</v>
          </cell>
          <cell r="I248">
            <v>769</v>
          </cell>
          <cell r="J248">
            <v>1152</v>
          </cell>
          <cell r="O248">
            <v>1769</v>
          </cell>
          <cell r="T248">
            <v>199</v>
          </cell>
          <cell r="Y248">
            <v>-433</v>
          </cell>
          <cell r="AD248">
            <v>1613</v>
          </cell>
          <cell r="AI248">
            <v>-722</v>
          </cell>
          <cell r="AN248">
            <v>636</v>
          </cell>
          <cell r="AS248">
            <v>1127</v>
          </cell>
          <cell r="AT248">
            <v>1803</v>
          </cell>
          <cell r="AU248">
            <v>2470.67026207561</v>
          </cell>
          <cell r="AV248">
            <v>2955.781567814</v>
          </cell>
          <cell r="AW248">
            <v>3362.1792945931702</v>
          </cell>
          <cell r="AX248">
            <v>3806.0302692150499</v>
          </cell>
        </row>
        <row r="249">
          <cell r="B249" t="str">
            <v>Post-tax exceptionals</v>
          </cell>
          <cell r="C249" t="str">
            <v>TAX_EXC</v>
          </cell>
          <cell r="D249" t="str">
            <v>EUR</v>
          </cell>
          <cell r="K249">
            <v>0</v>
          </cell>
          <cell r="L249">
            <v>0</v>
          </cell>
          <cell r="M249">
            <v>0</v>
          </cell>
          <cell r="N249">
            <v>0</v>
          </cell>
          <cell r="P249">
            <v>0</v>
          </cell>
          <cell r="Q249">
            <v>0</v>
          </cell>
          <cell r="R249">
            <v>0</v>
          </cell>
        </row>
        <row r="250">
          <cell r="B250" t="str">
            <v>Net income (post-exceptionals)</v>
          </cell>
          <cell r="C250" t="str">
            <v>NET_INC</v>
          </cell>
          <cell r="D250" t="str">
            <v>EUR</v>
          </cell>
          <cell r="F250">
            <v>179</v>
          </cell>
          <cell r="G250">
            <v>809</v>
          </cell>
          <cell r="H250">
            <v>696</v>
          </cell>
          <cell r="I250">
            <v>769</v>
          </cell>
          <cell r="J250">
            <v>1152</v>
          </cell>
          <cell r="O250">
            <v>1769</v>
          </cell>
          <cell r="T250">
            <v>199</v>
          </cell>
          <cell r="Y250">
            <v>-433</v>
          </cell>
          <cell r="AD250">
            <v>1613</v>
          </cell>
          <cell r="AI250">
            <v>-722</v>
          </cell>
          <cell r="AN250">
            <v>636</v>
          </cell>
          <cell r="AS250">
            <v>1127</v>
          </cell>
          <cell r="AT250">
            <v>1803</v>
          </cell>
          <cell r="AU250">
            <v>2470.67026207561</v>
          </cell>
          <cell r="AV250">
            <v>2955.781567814</v>
          </cell>
          <cell r="AW250">
            <v>3362.1792945931702</v>
          </cell>
          <cell r="AX250">
            <v>3806.0302692150499</v>
          </cell>
        </row>
        <row r="251">
          <cell r="B251" t="str">
            <v>EPS (pre-exceptionals, basic)</v>
          </cell>
          <cell r="C251" t="str">
            <v>EPS</v>
          </cell>
          <cell r="D251" t="str">
            <v>EUR</v>
          </cell>
          <cell r="F251">
            <v>0.46413708790399999</v>
          </cell>
          <cell r="G251">
            <v>1.0021109001599999</v>
          </cell>
          <cell r="H251">
            <v>0.86554568551599997</v>
          </cell>
          <cell r="I251">
            <v>0.96010147860600004</v>
          </cell>
          <cell r="J251">
            <v>1.4381393443049999</v>
          </cell>
          <cell r="O251">
            <v>2.2259013837360002</v>
          </cell>
          <cell r="T251">
            <v>0.24869243889199999</v>
          </cell>
          <cell r="Y251">
            <v>-0.53914180659800004</v>
          </cell>
          <cell r="AD251">
            <v>1.9988133492489999</v>
          </cell>
          <cell r="AI251">
            <v>-0.89168978723400005</v>
          </cell>
          <cell r="AN251">
            <v>0.78451366183000004</v>
          </cell>
          <cell r="AS251">
            <v>1.3870644813220001</v>
          </cell>
          <cell r="AT251">
            <v>2.2004489003629999</v>
          </cell>
          <cell r="AU251">
            <v>3.216928835689</v>
          </cell>
          <cell r="AV251">
            <v>3.8485665624640002</v>
          </cell>
          <cell r="AW251">
            <v>4.3777155088460002</v>
          </cell>
          <cell r="AX251">
            <v>4.9556303447219996</v>
          </cell>
        </row>
        <row r="252">
          <cell r="B252" t="str">
            <v>EPS (pre-exceptionals, diluted)</v>
          </cell>
          <cell r="C252" t="str">
            <v>EPS_FUL_DIL</v>
          </cell>
          <cell r="D252" t="str">
            <v>EUR</v>
          </cell>
          <cell r="F252">
            <v>0.46413708790399999</v>
          </cell>
          <cell r="G252">
            <v>1.0021109001599999</v>
          </cell>
          <cell r="H252">
            <v>0.86554568551599997</v>
          </cell>
          <cell r="I252">
            <v>0.96010147860600004</v>
          </cell>
          <cell r="J252">
            <v>1.4326881470990001</v>
          </cell>
          <cell r="O252">
            <v>2.2106521484699999</v>
          </cell>
          <cell r="T252">
            <v>0.24741529868699999</v>
          </cell>
          <cell r="Y252">
            <v>-0.53752201539</v>
          </cell>
          <cell r="AD252">
            <v>1.9972834419179999</v>
          </cell>
          <cell r="AI252">
            <v>-0.89005029576799999</v>
          </cell>
          <cell r="AN252">
            <v>0.78427897503599997</v>
          </cell>
          <cell r="AS252">
            <v>1.3850280838469999</v>
          </cell>
          <cell r="AT252">
            <v>2.1973015140000001E-3</v>
          </cell>
          <cell r="AU252">
            <v>3.0109858609999999E-3</v>
          </cell>
          <cell r="AV252">
            <v>3.6021870839999998E-3</v>
          </cell>
          <cell r="AW252">
            <v>4.0974607059999996E-3</v>
          </cell>
          <cell r="AX252">
            <v>4.638378298E-3</v>
          </cell>
        </row>
        <row r="253">
          <cell r="B253" t="str">
            <v>EPS (post-exceptionals, basic)</v>
          </cell>
          <cell r="C253" t="str">
            <v>EPS_POST_BASIC</v>
          </cell>
          <cell r="D253" t="str">
            <v>EUR</v>
          </cell>
          <cell r="F253">
            <v>0.46413708790399999</v>
          </cell>
          <cell r="G253">
            <v>1.0021109001599999</v>
          </cell>
          <cell r="H253">
            <v>0.86554568551599997</v>
          </cell>
          <cell r="I253">
            <v>0.96010147860600004</v>
          </cell>
          <cell r="J253">
            <v>1.4381393443049999</v>
          </cell>
          <cell r="O253">
            <v>2.2259013837360002</v>
          </cell>
          <cell r="T253">
            <v>0.24869243889199999</v>
          </cell>
          <cell r="Y253">
            <v>-0.53914180659800004</v>
          </cell>
          <cell r="AD253">
            <v>1.9988133492489999</v>
          </cell>
          <cell r="AI253">
            <v>-0.89168978723400005</v>
          </cell>
          <cell r="AN253">
            <v>0.78451366183000004</v>
          </cell>
          <cell r="AS253">
            <v>1.3870644813220001</v>
          </cell>
          <cell r="AT253">
            <v>2.2004489003629999</v>
          </cell>
          <cell r="AU253">
            <v>3.216928835689</v>
          </cell>
          <cell r="AV253">
            <v>3.8485665624640002</v>
          </cell>
          <cell r="AW253">
            <v>4.3777155088460002</v>
          </cell>
          <cell r="AX253">
            <v>4.9556303447219996</v>
          </cell>
        </row>
        <row r="254">
          <cell r="B254" t="str">
            <v>EPS (post-exceptionals, diluted)</v>
          </cell>
          <cell r="C254" t="str">
            <v>FULLY_DIL_EPS</v>
          </cell>
          <cell r="D254" t="str">
            <v>EUR</v>
          </cell>
          <cell r="F254">
            <v>0.46413708790399999</v>
          </cell>
          <cell r="G254">
            <v>1.0021109001599999</v>
          </cell>
          <cell r="H254">
            <v>0.86554568551599997</v>
          </cell>
          <cell r="I254">
            <v>0.96010147860600004</v>
          </cell>
          <cell r="J254">
            <v>1.4326881470990001</v>
          </cell>
          <cell r="O254">
            <v>2.2106521484699999</v>
          </cell>
          <cell r="T254">
            <v>0.24741529868699999</v>
          </cell>
          <cell r="Y254">
            <v>-0.53752201539</v>
          </cell>
          <cell r="AD254">
            <v>1.9972834419179999</v>
          </cell>
          <cell r="AI254">
            <v>-0.89005029576799999</v>
          </cell>
          <cell r="AN254">
            <v>0.78427897503599997</v>
          </cell>
          <cell r="AS254">
            <v>1.3850280838469999</v>
          </cell>
          <cell r="AT254">
            <v>2.1973015140000001E-3</v>
          </cell>
          <cell r="AU254">
            <v>3.0109858609999999E-3</v>
          </cell>
          <cell r="AV254">
            <v>3.6021870839999998E-3</v>
          </cell>
          <cell r="AW254">
            <v>4.0974607059999996E-3</v>
          </cell>
          <cell r="AX254">
            <v>4.638378298E-3</v>
          </cell>
        </row>
        <row r="255">
          <cell r="B255" t="str">
            <v>Common dividends paid</v>
          </cell>
          <cell r="C255" t="str">
            <v>COMMON_DIV_PAID</v>
          </cell>
          <cell r="D255" t="str">
            <v>EUR</v>
          </cell>
          <cell r="F255">
            <v>-403.57883349999997</v>
          </cell>
          <cell r="G255">
            <v>-404.58778050000001</v>
          </cell>
          <cell r="H255">
            <v>-240.28710000000001</v>
          </cell>
          <cell r="I255">
            <v>-320.3828992</v>
          </cell>
          <cell r="J255">
            <v>-399.775147</v>
          </cell>
          <cell r="O255">
            <v>-518.14127689999998</v>
          </cell>
          <cell r="T255">
            <v>-96.255719159999998</v>
          </cell>
          <cell r="Y255">
            <v>-96.505137000000005</v>
          </cell>
          <cell r="AD255">
            <v>-161.9018294</v>
          </cell>
          <cell r="AI255">
            <v>0</v>
          </cell>
          <cell r="AN255">
            <v>-178.4335586</v>
          </cell>
          <cell r="AS255">
            <v>-366.70342994999999</v>
          </cell>
          <cell r="AT255">
            <v>-0.46081285379999998</v>
          </cell>
          <cell r="AU255">
            <v>-0.47512312101499998</v>
          </cell>
          <cell r="AV255">
            <v>-0.52263543311600003</v>
          </cell>
          <cell r="AW255">
            <v>-0.57489897642800003</v>
          </cell>
          <cell r="AX255">
            <v>-0.63238887407099997</v>
          </cell>
        </row>
        <row r="256">
          <cell r="B256" t="str">
            <v>DPS, dividend per share</v>
          </cell>
          <cell r="C256" t="str">
            <v>DPS</v>
          </cell>
          <cell r="D256" t="str">
            <v>EUR</v>
          </cell>
          <cell r="F256">
            <v>0.5</v>
          </cell>
          <cell r="G256">
            <v>0.5</v>
          </cell>
          <cell r="H256">
            <v>0.3</v>
          </cell>
          <cell r="I256">
            <v>0.4</v>
          </cell>
          <cell r="J256">
            <v>0.5</v>
          </cell>
          <cell r="K256">
            <v>0</v>
          </cell>
          <cell r="L256">
            <v>0</v>
          </cell>
          <cell r="M256">
            <v>0</v>
          </cell>
          <cell r="N256">
            <v>0</v>
          </cell>
          <cell r="O256">
            <v>0.65</v>
          </cell>
          <cell r="P256">
            <v>0</v>
          </cell>
          <cell r="Q256">
            <v>0</v>
          </cell>
          <cell r="R256">
            <v>0</v>
          </cell>
          <cell r="T256">
            <v>0.12</v>
          </cell>
          <cell r="Y256">
            <v>0.12</v>
          </cell>
          <cell r="AD256">
            <v>0.2</v>
          </cell>
          <cell r="AI256">
            <v>0</v>
          </cell>
          <cell r="AN256">
            <v>0.22</v>
          </cell>
          <cell r="AS256">
            <v>0.45</v>
          </cell>
          <cell r="AT256">
            <v>0.56239330971599999</v>
          </cell>
          <cell r="AU256">
            <v>0.61863264068699997</v>
          </cell>
          <cell r="AV256">
            <v>0.68049590475599997</v>
          </cell>
          <cell r="AW256">
            <v>0.748545495231</v>
          </cell>
          <cell r="AX256">
            <v>0.82340004475499995</v>
          </cell>
        </row>
        <row r="257">
          <cell r="B257" t="str">
            <v>Weighted average shares outstanding, basic</v>
          </cell>
          <cell r="C257" t="str">
            <v>SH</v>
          </cell>
          <cell r="F257">
            <v>385.66191900000001</v>
          </cell>
          <cell r="G257">
            <v>807.29587900000001</v>
          </cell>
          <cell r="H257">
            <v>804.11699999999996</v>
          </cell>
          <cell r="I257">
            <v>800.95699999999999</v>
          </cell>
          <cell r="J257">
            <v>801.03503499999999</v>
          </cell>
          <cell r="O257">
            <v>794.73422000000005</v>
          </cell>
          <cell r="T257">
            <v>800.18516399999999</v>
          </cell>
          <cell r="Y257">
            <v>803.12822100000005</v>
          </cell>
          <cell r="AD257">
            <v>806.97880099999998</v>
          </cell>
          <cell r="AI257">
            <v>809.69863099999998</v>
          </cell>
          <cell r="AN257">
            <v>810.69333900000004</v>
          </cell>
          <cell r="AS257">
            <v>812.50728800000002</v>
          </cell>
          <cell r="AT257">
            <v>819.37826399999994</v>
          </cell>
          <cell r="AU257">
            <v>768.02142300000003</v>
          </cell>
          <cell r="AV257">
            <v>768.02142300000003</v>
          </cell>
          <cell r="AW257">
            <v>768.02142300000003</v>
          </cell>
          <cell r="AX257">
            <v>768.02142300000003</v>
          </cell>
          <cell r="AY257">
            <v>768.02142300000003</v>
          </cell>
          <cell r="AZ257">
            <v>768.02142300000003</v>
          </cell>
          <cell r="BA257">
            <v>768.02142300000003</v>
          </cell>
          <cell r="BB257">
            <v>768.02142300000003</v>
          </cell>
        </row>
        <row r="258">
          <cell r="B258" t="str">
            <v>Diluted average shares outstanding (mn)</v>
          </cell>
          <cell r="C258" t="str">
            <v>DILUTE_SHARES</v>
          </cell>
          <cell r="F258">
            <v>385.66191900000001</v>
          </cell>
          <cell r="G258">
            <v>807.29587900000001</v>
          </cell>
          <cell r="H258">
            <v>804.11699999999996</v>
          </cell>
          <cell r="I258">
            <v>800.95699999999999</v>
          </cell>
          <cell r="J258">
            <v>804.08287199999995</v>
          </cell>
          <cell r="O258">
            <v>800.21635300000003</v>
          </cell>
          <cell r="T258">
            <v>804.31566299999997</v>
          </cell>
          <cell r="Y258">
            <v>805.54840100000001</v>
          </cell>
          <cell r="AD258">
            <v>807.59694200000001</v>
          </cell>
          <cell r="AI258">
            <v>811.190113</v>
          </cell>
          <cell r="AN258">
            <v>810.93592999999998</v>
          </cell>
          <cell r="AS258">
            <v>813.70191199999999</v>
          </cell>
          <cell r="AT258">
            <v>820551.93099999998</v>
          </cell>
          <cell r="AU258">
            <v>820551.93099999998</v>
          </cell>
          <cell r="AV258">
            <v>820551.93099999998</v>
          </cell>
          <cell r="AW258">
            <v>820551.93099999998</v>
          </cell>
          <cell r="AX258">
            <v>820551.93099999998</v>
          </cell>
          <cell r="AY258">
            <v>820551.93099999998</v>
          </cell>
          <cell r="AZ258">
            <v>820551.93099999998</v>
          </cell>
          <cell r="BA258">
            <v>820551.93099999998</v>
          </cell>
          <cell r="BB258">
            <v>820551.93099999998</v>
          </cell>
        </row>
        <row r="259">
          <cell r="B259" t="str">
            <v>Period-end shares outstanding</v>
          </cell>
          <cell r="C259" t="str">
            <v>NON_OP_ADD</v>
          </cell>
          <cell r="F259">
            <v>807.15766699999995</v>
          </cell>
          <cell r="G259">
            <v>809.17556100000002</v>
          </cell>
          <cell r="H259">
            <v>800.95699999999999</v>
          </cell>
          <cell r="I259">
            <v>800.95724800000005</v>
          </cell>
          <cell r="J259">
            <v>799.55029400000001</v>
          </cell>
          <cell r="O259">
            <v>797.14042600000005</v>
          </cell>
          <cell r="T259">
            <v>802.13099299999999</v>
          </cell>
          <cell r="Y259">
            <v>804.209475</v>
          </cell>
          <cell r="AD259">
            <v>809.50914699999998</v>
          </cell>
          <cell r="AI259">
            <v>810.90861099999995</v>
          </cell>
          <cell r="AN259">
            <v>811.06163000000004</v>
          </cell>
          <cell r="AS259">
            <v>814.89651100000003</v>
          </cell>
          <cell r="AT259">
            <v>819.37826399999994</v>
          </cell>
          <cell r="AU259">
            <v>768.02142300000003</v>
          </cell>
          <cell r="AV259">
            <v>768.02142300000003</v>
          </cell>
          <cell r="AW259">
            <v>768.02142300000003</v>
          </cell>
          <cell r="AX259">
            <v>768.02142300000003</v>
          </cell>
          <cell r="AY259">
            <v>768.02142300000003</v>
          </cell>
          <cell r="AZ259">
            <v>768.02142300000003</v>
          </cell>
          <cell r="BA259">
            <v>768.02142300000003</v>
          </cell>
          <cell r="BB259">
            <v>768.02142300000003</v>
          </cell>
        </row>
        <row r="260">
          <cell r="A260" t="str">
            <v>Additional Income Statement Items</v>
          </cell>
          <cell r="B260" t="str">
            <v>Indirect Sales -% Industry (I)</v>
          </cell>
          <cell r="C260" t="str">
            <v>IND_SALES_IND</v>
          </cell>
        </row>
        <row r="261">
          <cell r="B261" t="str">
            <v>Organic net income (excl. acquisitions)</v>
          </cell>
          <cell r="C261" t="str">
            <v>ORG_NI</v>
          </cell>
          <cell r="D261" t="str">
            <v>EUR</v>
          </cell>
        </row>
        <row r="262">
          <cell r="B262" t="str">
            <v>Organic EPS (excl. acquisitions)</v>
          </cell>
          <cell r="C262" t="str">
            <v>ORG_EPS</v>
          </cell>
          <cell r="D262" t="str">
            <v>EUR</v>
          </cell>
        </row>
        <row r="263">
          <cell r="B263" t="str">
            <v>Marginal tax rate</v>
          </cell>
          <cell r="C263" t="str">
            <v>MARGIN_TAX_RATE</v>
          </cell>
          <cell r="F263">
            <v>0.36</v>
          </cell>
          <cell r="G263">
            <v>0.54366382140500003</v>
          </cell>
          <cell r="H263">
            <v>0.396046852123</v>
          </cell>
          <cell r="I263">
            <v>0.37432795698900001</v>
          </cell>
          <cell r="J263">
            <v>0.35099337748300002</v>
          </cell>
          <cell r="K263">
            <v>0</v>
          </cell>
          <cell r="L263">
            <v>0</v>
          </cell>
          <cell r="M263">
            <v>0</v>
          </cell>
          <cell r="N263">
            <v>0</v>
          </cell>
          <cell r="O263">
            <v>0.32598130841099998</v>
          </cell>
          <cell r="P263">
            <v>0</v>
          </cell>
          <cell r="Q263">
            <v>0</v>
          </cell>
          <cell r="R263">
            <v>0</v>
          </cell>
          <cell r="T263">
            <v>0.38700000000000001</v>
          </cell>
          <cell r="Y263">
            <v>0.38102189781000001</v>
          </cell>
          <cell r="AD263">
            <v>0.30534351144999999</v>
          </cell>
          <cell r="AI263">
            <v>0.22210065645499999</v>
          </cell>
          <cell r="AN263">
            <v>0.29721030042899999</v>
          </cell>
          <cell r="AS263">
            <v>0.25346534653500002</v>
          </cell>
          <cell r="AT263">
            <v>0.28147554129899999</v>
          </cell>
          <cell r="AU263">
            <v>0.23890359568200001</v>
          </cell>
          <cell r="AV263">
            <v>0.24623069294899999</v>
          </cell>
          <cell r="AW263">
            <v>0.24668817734599999</v>
          </cell>
          <cell r="AX263">
            <v>0.24707579889600001</v>
          </cell>
        </row>
        <row r="264">
          <cell r="A264" t="str">
            <v>Balance Sheet</v>
          </cell>
        </row>
        <row r="265">
          <cell r="B265" t="str">
            <v>BVPS, book value per share</v>
          </cell>
          <cell r="C265" t="str">
            <v>BVPS</v>
          </cell>
          <cell r="D265" t="str">
            <v>EUR</v>
          </cell>
          <cell r="F265">
            <v>12.698882038867</v>
          </cell>
          <cell r="G265">
            <v>12.206250999219</v>
          </cell>
          <cell r="H265">
            <v>15.937185142274</v>
          </cell>
          <cell r="I265">
            <v>20.16212480794</v>
          </cell>
          <cell r="J265">
            <v>21.228183051609001</v>
          </cell>
          <cell r="O265">
            <v>17.219048930783998</v>
          </cell>
          <cell r="T265">
            <v>16.225529388066001</v>
          </cell>
          <cell r="Y265">
            <v>16.276853738884</v>
          </cell>
          <cell r="AD265">
            <v>13.615658378719001</v>
          </cell>
          <cell r="AI265">
            <v>12.991599616889999</v>
          </cell>
          <cell r="AN265">
            <v>10.900527990703001</v>
          </cell>
          <cell r="AS265">
            <v>10.860274747207001</v>
          </cell>
          <cell r="AT265">
            <v>12.703534444745999</v>
          </cell>
          <cell r="AU265">
            <v>13.949751582569</v>
          </cell>
          <cell r="AV265">
            <v>17.061311364529999</v>
          </cell>
          <cell r="AW265">
            <v>20.636020092873</v>
          </cell>
          <cell r="AX265">
            <v>24.716043657090999</v>
          </cell>
        </row>
        <row r="266">
          <cell r="A266" t="str">
            <v>Cash Flow Statement</v>
          </cell>
        </row>
        <row r="267">
          <cell r="B267" t="str">
            <v>Net income (pre-preferred dividends)</v>
          </cell>
          <cell r="C267" t="str">
            <v>CF_NI_PRE_PREF</v>
          </cell>
          <cell r="D267" t="str">
            <v>EUR</v>
          </cell>
          <cell r="F267">
            <v>179</v>
          </cell>
          <cell r="G267">
            <v>809</v>
          </cell>
          <cell r="H267">
            <v>696</v>
          </cell>
          <cell r="I267">
            <v>769</v>
          </cell>
          <cell r="J267">
            <v>1152</v>
          </cell>
          <cell r="O267">
            <v>1769</v>
          </cell>
          <cell r="T267">
            <v>199</v>
          </cell>
          <cell r="Y267">
            <v>-433</v>
          </cell>
          <cell r="AD267">
            <v>1613</v>
          </cell>
          <cell r="AI267">
            <v>-722</v>
          </cell>
          <cell r="AN267">
            <v>636</v>
          </cell>
          <cell r="AS267">
            <v>1127</v>
          </cell>
          <cell r="AT267">
            <v>1803</v>
          </cell>
          <cell r="AU267">
            <v>2470.67026207561</v>
          </cell>
          <cell r="AV267">
            <v>2955.781567814</v>
          </cell>
          <cell r="AW267">
            <v>3362.1792945931702</v>
          </cell>
          <cell r="AX267">
            <v>3806.0302692150499</v>
          </cell>
        </row>
        <row r="268">
          <cell r="A268" t="str">
            <v>Other Items</v>
          </cell>
        </row>
        <row r="269">
          <cell r="B269" t="str">
            <v>Beta</v>
          </cell>
          <cell r="C269" t="str">
            <v>BETA_ANALYST</v>
          </cell>
        </row>
        <row r="270">
          <cell r="B270" t="str">
            <v>Market equity risk premium</v>
          </cell>
          <cell r="C270" t="str">
            <v>MKT_EQ_RISK_PREM</v>
          </cell>
        </row>
        <row r="271">
          <cell r="B271" t="str">
            <v>Risk-free rate</v>
          </cell>
          <cell r="C271" t="str">
            <v>RISK_FR_RATE</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row>
        <row r="322">
          <cell r="B322" t="str">
            <v>Sales - % FX: Euro</v>
          </cell>
          <cell r="C322" t="str">
            <v>SALES_FX_EUR</v>
          </cell>
        </row>
        <row r="323">
          <cell r="B323" t="str">
            <v>Sales - % FX: New Russian Ruble</v>
          </cell>
          <cell r="C323" t="str">
            <v>SALES_FX_RUB</v>
          </cell>
        </row>
        <row r="324">
          <cell r="B324" t="str">
            <v>Sales - % FX: U.S. Dollar</v>
          </cell>
          <cell r="C324" t="str">
            <v>SALES_FX_USD</v>
          </cell>
        </row>
        <row r="325">
          <cell r="B325" t="str">
            <v>Sales - % FX: Brazilian Real</v>
          </cell>
          <cell r="C325" t="str">
            <v>SALES_FX_BRL</v>
          </cell>
        </row>
        <row r="326">
          <cell r="B326" t="str">
            <v>Sales - % FX: Japanese Yen</v>
          </cell>
          <cell r="C326" t="str">
            <v>SALES_FX_YEN</v>
          </cell>
        </row>
        <row r="327">
          <cell r="B327" t="str">
            <v>Sales - % FX: Chinese Renminbi</v>
          </cell>
          <cell r="C327" t="str">
            <v>SALES_FX_CNY</v>
          </cell>
        </row>
        <row r="328">
          <cell r="B328" t="str">
            <v>Sales - % FX: Indian Rupee</v>
          </cell>
          <cell r="C328" t="str">
            <v>SALES_FX_INR</v>
          </cell>
        </row>
        <row r="329">
          <cell r="B329" t="str">
            <v>Sales - % FX: South African Rand</v>
          </cell>
          <cell r="C329" t="str">
            <v>SALES_FX_ZAR</v>
          </cell>
        </row>
        <row r="330">
          <cell r="B330" t="str">
            <v>Sales - % FX: Nigerian Naira</v>
          </cell>
          <cell r="C330" t="str">
            <v>SALES_FX_NGN</v>
          </cell>
        </row>
        <row r="331">
          <cell r="B331" t="str">
            <v>Sales - % FX: Swiss Franc</v>
          </cell>
          <cell r="C331" t="str">
            <v>SALES_FX_CHF</v>
          </cell>
        </row>
        <row r="332">
          <cell r="B332" t="str">
            <v>Sales - % FX: UAE Dirham</v>
          </cell>
          <cell r="C332" t="str">
            <v>SALES_FX_AED</v>
          </cell>
        </row>
        <row r="333">
          <cell r="B333" t="str">
            <v>Sales - % FX: New Turkish Lira</v>
          </cell>
          <cell r="C333" t="str">
            <v>SALES_FX_TRY</v>
          </cell>
        </row>
        <row r="334">
          <cell r="B334" t="str">
            <v>Sales - % FX: Other Currency</v>
          </cell>
          <cell r="C334" t="str">
            <v>SALES_FX_OTH</v>
          </cell>
        </row>
        <row r="335">
          <cell r="A335" t="str">
            <v>Security: EADS</v>
          </cell>
          <cell r="B335" t="str">
            <v>161MY</v>
          </cell>
        </row>
        <row r="336">
          <cell r="A336" t="str">
            <v>Reference Data</v>
          </cell>
        </row>
        <row r="337">
          <cell r="B337" t="str">
            <v>Ticker</v>
          </cell>
          <cell r="C337" t="str">
            <v>Ticker</v>
          </cell>
          <cell r="E337" t="str">
            <v>EAD.PA</v>
          </cell>
        </row>
        <row r="338">
          <cell r="B338" t="str">
            <v>Security Name</v>
          </cell>
          <cell r="C338" t="str">
            <v>Security Name</v>
          </cell>
          <cell r="E338" t="str">
            <v>EADS</v>
          </cell>
        </row>
        <row r="339">
          <cell r="B339" t="str">
            <v>Interim Type</v>
          </cell>
          <cell r="C339" t="str">
            <v>Interim Type</v>
          </cell>
          <cell r="E339" t="str">
            <v>Q</v>
          </cell>
        </row>
        <row r="340">
          <cell r="B340" t="str">
            <v>Publishing Currency</v>
          </cell>
          <cell r="C340" t="str">
            <v>PUB_CURRENCY_ISO</v>
          </cell>
          <cell r="E340" t="str">
            <v>EUR</v>
          </cell>
        </row>
        <row r="341">
          <cell r="B341" t="str">
            <v>Pricing Currency</v>
          </cell>
          <cell r="C341" t="str">
            <v>PRICE_CURRENCY_ISO</v>
          </cell>
          <cell r="E341" t="str">
            <v>EUR</v>
          </cell>
        </row>
        <row r="342">
          <cell r="B342" t="str">
            <v>Reporting Currency</v>
          </cell>
          <cell r="C342" t="str">
            <v>CURRENCY_ISO</v>
          </cell>
          <cell r="E342" t="str">
            <v>EUR</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cell r="E346" t="str">
            <v>Coverage Suspended</v>
          </cell>
        </row>
        <row r="347">
          <cell r="B347" t="str">
            <v>Target price</v>
          </cell>
          <cell r="C347" t="str">
            <v>TARGET_PRICE</v>
          </cell>
          <cell r="D347" t="str">
            <v>EUR</v>
          </cell>
        </row>
        <row r="348">
          <cell r="B348" t="str">
            <v>Target price period</v>
          </cell>
          <cell r="C348" t="str">
            <v>TP_PERIOD</v>
          </cell>
        </row>
        <row r="349">
          <cell r="B349" t="str">
            <v>Current shares outstanding (mn)</v>
          </cell>
          <cell r="C349" t="str">
            <v>NUM_SH</v>
          </cell>
          <cell r="E349">
            <v>812.50728800000002</v>
          </cell>
        </row>
        <row r="350">
          <cell r="B350" t="str">
            <v>Free float</v>
          </cell>
          <cell r="C350" t="str">
            <v>FREE_FLOAT</v>
          </cell>
          <cell r="E350">
            <v>0.47</v>
          </cell>
        </row>
        <row r="351">
          <cell r="B351" t="str">
            <v>DaimlerChrysler</v>
          </cell>
          <cell r="C351" t="str">
            <v>ACT1</v>
          </cell>
          <cell r="E351">
            <v>0.22500000000000001</v>
          </cell>
        </row>
        <row r="352">
          <cell r="B352" t="str">
            <v>SOGEADE (Lagardere, French State, Institutions)</v>
          </cell>
          <cell r="C352" t="str">
            <v>ACT2</v>
          </cell>
          <cell r="E352">
            <v>0.25</v>
          </cell>
        </row>
        <row r="353">
          <cell r="B353" t="str">
            <v>SEPI (Spain)</v>
          </cell>
          <cell r="C353" t="str">
            <v>ACT3</v>
          </cell>
          <cell r="E353">
            <v>0.05</v>
          </cell>
        </row>
        <row r="354">
          <cell r="A354" t="str">
            <v>Publishing Items</v>
          </cell>
        </row>
        <row r="355">
          <cell r="B355" t="str">
            <v>Book value per share, BVPS (Pub)</v>
          </cell>
          <cell r="C355" t="str">
            <v>BVPS_PUB</v>
          </cell>
          <cell r="D355" t="str">
            <v>EUR</v>
          </cell>
          <cell r="F355">
            <v>12.698882038867</v>
          </cell>
          <cell r="G355">
            <v>12.206250999219</v>
          </cell>
          <cell r="H355">
            <v>15.937185142274</v>
          </cell>
          <cell r="I355">
            <v>20.16212480794</v>
          </cell>
          <cell r="J355">
            <v>21.228183051609001</v>
          </cell>
          <cell r="O355">
            <v>17.219048930783998</v>
          </cell>
          <cell r="T355">
            <v>16.225529388066001</v>
          </cell>
          <cell r="Y355">
            <v>16.276853738884</v>
          </cell>
          <cell r="AD355">
            <v>13.615658378719001</v>
          </cell>
          <cell r="AI355">
            <v>12.991599616889999</v>
          </cell>
          <cell r="AN355">
            <v>10.900527990703001</v>
          </cell>
          <cell r="AS355">
            <v>10.860274747207001</v>
          </cell>
        </row>
        <row r="356">
          <cell r="B356" t="str">
            <v>DPS, dividend per share (Pub)</v>
          </cell>
          <cell r="C356" t="str">
            <v>DPS_PUB</v>
          </cell>
          <cell r="D356" t="str">
            <v>EUR</v>
          </cell>
          <cell r="F356">
            <v>0.5</v>
          </cell>
          <cell r="G356">
            <v>0.5</v>
          </cell>
          <cell r="H356">
            <v>0.3</v>
          </cell>
          <cell r="I356">
            <v>0.4</v>
          </cell>
          <cell r="J356">
            <v>0.5</v>
          </cell>
          <cell r="O356">
            <v>0.65</v>
          </cell>
          <cell r="T356">
            <v>0.12</v>
          </cell>
          <cell r="Y356">
            <v>0.12</v>
          </cell>
          <cell r="AD356">
            <v>0.2</v>
          </cell>
          <cell r="AI356">
            <v>0</v>
          </cell>
          <cell r="AN356">
            <v>0.22</v>
          </cell>
          <cell r="AS356">
            <v>0.45</v>
          </cell>
        </row>
        <row r="357">
          <cell r="B357" t="str">
            <v>EBITDA (Pub)</v>
          </cell>
          <cell r="C357" t="str">
            <v>EBITDA_PUB</v>
          </cell>
          <cell r="D357" t="str">
            <v>EUR</v>
          </cell>
          <cell r="F357">
            <v>2334</v>
          </cell>
          <cell r="G357">
            <v>3213</v>
          </cell>
          <cell r="H357">
            <v>3031</v>
          </cell>
          <cell r="I357">
            <v>3137</v>
          </cell>
          <cell r="J357">
            <v>3853</v>
          </cell>
          <cell r="O357">
            <v>4369</v>
          </cell>
          <cell r="T357">
            <v>2033</v>
          </cell>
          <cell r="Y357">
            <v>1751</v>
          </cell>
          <cell r="AD357">
            <v>4439</v>
          </cell>
          <cell r="AI357">
            <v>1446</v>
          </cell>
          <cell r="AN357">
            <v>2769</v>
          </cell>
          <cell r="AS357">
            <v>3520</v>
          </cell>
        </row>
        <row r="358">
          <cell r="B358" t="str">
            <v>EPS (Pub)</v>
          </cell>
          <cell r="C358" t="str">
            <v>EPS_PUB</v>
          </cell>
          <cell r="D358" t="str">
            <v>EUR</v>
          </cell>
          <cell r="F358">
            <v>0.46413708790399999</v>
          </cell>
          <cell r="G358">
            <v>1.0021109001599999</v>
          </cell>
          <cell r="H358">
            <v>0.86554568551599997</v>
          </cell>
          <cell r="I358">
            <v>0.96010147860600004</v>
          </cell>
          <cell r="J358">
            <v>1.4381393443049999</v>
          </cell>
          <cell r="O358">
            <v>2.2259009999999999</v>
          </cell>
          <cell r="T358">
            <v>0.24869243889199999</v>
          </cell>
          <cell r="Y358">
            <v>-0.53914180659800004</v>
          </cell>
          <cell r="AD358">
            <v>1.9988133492489999</v>
          </cell>
          <cell r="AI358">
            <v>-0.89168978723400005</v>
          </cell>
          <cell r="AN358">
            <v>0.78451366183000004</v>
          </cell>
          <cell r="AO358">
            <v>0.118416293241</v>
          </cell>
          <cell r="AP358">
            <v>0.30960926670400002</v>
          </cell>
          <cell r="AQ358">
            <v>0.26846160963100002</v>
          </cell>
          <cell r="AR358">
            <v>0.69057731174600001</v>
          </cell>
          <cell r="AS358">
            <v>1.3870644813220001</v>
          </cell>
        </row>
        <row r="359">
          <cell r="B359" t="str">
            <v>EV adjustment (Pub)</v>
          </cell>
          <cell r="C359" t="str">
            <v>EV_ADJ_PUB</v>
          </cell>
          <cell r="D359" t="str">
            <v>EUR</v>
          </cell>
          <cell r="F359">
            <v>6264.7062871936996</v>
          </cell>
          <cell r="G359">
            <v>8550.7711562900695</v>
          </cell>
          <cell r="H359">
            <v>9081.0690396944792</v>
          </cell>
          <cell r="I359">
            <v>10313.128148731799</v>
          </cell>
          <cell r="J359">
            <v>13528.1695160982</v>
          </cell>
          <cell r="K359">
            <v>0</v>
          </cell>
          <cell r="L359">
            <v>0</v>
          </cell>
          <cell r="M359">
            <v>0</v>
          </cell>
          <cell r="N359">
            <v>0</v>
          </cell>
          <cell r="O359">
            <v>15088.2900566424</v>
          </cell>
          <cell r="P359">
            <v>0</v>
          </cell>
          <cell r="Q359">
            <v>0</v>
          </cell>
          <cell r="R359">
            <v>0</v>
          </cell>
          <cell r="T359">
            <v>17500.265122305598</v>
          </cell>
          <cell r="Y359">
            <v>17368.466763587301</v>
          </cell>
          <cell r="AD359">
            <v>15172.967666520501</v>
          </cell>
          <cell r="AI359">
            <v>17039.409962494599</v>
          </cell>
          <cell r="AN359">
            <v>17306.869253794099</v>
          </cell>
          <cell r="AS359">
            <v>18201.1555445622</v>
          </cell>
        </row>
        <row r="360">
          <cell r="B360" t="str">
            <v>Net debt (Pub)</v>
          </cell>
          <cell r="C360" t="str">
            <v>NET_DEBT_PUB</v>
          </cell>
          <cell r="D360" t="str">
            <v>EUR</v>
          </cell>
          <cell r="F360">
            <v>-2143</v>
          </cell>
          <cell r="G360">
            <v>-1533</v>
          </cell>
          <cell r="H360">
            <v>-1224</v>
          </cell>
          <cell r="I360">
            <v>-3105</v>
          </cell>
          <cell r="J360">
            <v>-4058</v>
          </cell>
          <cell r="O360">
            <v>-5489</v>
          </cell>
          <cell r="T360">
            <v>-4229</v>
          </cell>
          <cell r="Y360">
            <v>-7024</v>
          </cell>
          <cell r="AD360">
            <v>-9193</v>
          </cell>
          <cell r="AI360">
            <v>-9797</v>
          </cell>
          <cell r="AN360">
            <v>-11918</v>
          </cell>
          <cell r="AS360">
            <v>-11681</v>
          </cell>
        </row>
        <row r="361">
          <cell r="B361" t="str">
            <v>Net income (Pub)</v>
          </cell>
          <cell r="C361" t="str">
            <v>NI_PUB</v>
          </cell>
          <cell r="D361" t="str">
            <v>EUR</v>
          </cell>
          <cell r="F361">
            <v>179</v>
          </cell>
          <cell r="G361">
            <v>809</v>
          </cell>
          <cell r="H361">
            <v>696</v>
          </cell>
          <cell r="I361">
            <v>769</v>
          </cell>
          <cell r="J361">
            <v>1152</v>
          </cell>
          <cell r="O361">
            <v>1769</v>
          </cell>
          <cell r="T361">
            <v>199</v>
          </cell>
          <cell r="Y361">
            <v>-433</v>
          </cell>
          <cell r="AD361">
            <v>1613</v>
          </cell>
          <cell r="AE361">
            <v>182</v>
          </cell>
          <cell r="AF361">
            <v>215</v>
          </cell>
          <cell r="AG361">
            <v>-81.5</v>
          </cell>
          <cell r="AH361">
            <v>-1037.5</v>
          </cell>
          <cell r="AI361">
            <v>-722</v>
          </cell>
          <cell r="AJ361">
            <v>110</v>
          </cell>
          <cell r="AK361">
            <v>90</v>
          </cell>
          <cell r="AL361">
            <v>159.46</v>
          </cell>
          <cell r="AM361">
            <v>276.54000000000002</v>
          </cell>
          <cell r="AN361">
            <v>636</v>
          </cell>
          <cell r="AO361">
            <v>96</v>
          </cell>
          <cell r="AP361">
            <v>251</v>
          </cell>
          <cell r="AQ361">
            <v>218</v>
          </cell>
          <cell r="AR361">
            <v>562</v>
          </cell>
          <cell r="AS361">
            <v>1127</v>
          </cell>
        </row>
        <row r="362">
          <cell r="B362" t="str">
            <v>EBIT, operating profit (Pub)</v>
          </cell>
          <cell r="C362" t="str">
            <v>EBIT_PUB</v>
          </cell>
          <cell r="D362" t="str">
            <v>EUR</v>
          </cell>
          <cell r="F362">
            <v>1399</v>
          </cell>
          <cell r="G362">
            <v>1694</v>
          </cell>
          <cell r="H362">
            <v>1426</v>
          </cell>
          <cell r="I362">
            <v>1543</v>
          </cell>
          <cell r="J362">
            <v>2444</v>
          </cell>
          <cell r="O362">
            <v>2852</v>
          </cell>
          <cell r="T362">
            <v>399</v>
          </cell>
          <cell r="Y362">
            <v>52</v>
          </cell>
          <cell r="AD362">
            <v>2830</v>
          </cell>
          <cell r="AE362">
            <v>232</v>
          </cell>
          <cell r="AF362">
            <v>656</v>
          </cell>
          <cell r="AG362">
            <v>201</v>
          </cell>
          <cell r="AH362">
            <v>-1411</v>
          </cell>
          <cell r="AI362">
            <v>-322</v>
          </cell>
          <cell r="AJ362">
            <v>83</v>
          </cell>
          <cell r="AK362">
            <v>323</v>
          </cell>
          <cell r="AL362">
            <v>378</v>
          </cell>
          <cell r="AM362">
            <v>560</v>
          </cell>
          <cell r="AN362">
            <v>1344</v>
          </cell>
          <cell r="AO362">
            <v>232</v>
          </cell>
          <cell r="AP362">
            <v>491</v>
          </cell>
          <cell r="AQ362">
            <v>342</v>
          </cell>
          <cell r="AR362">
            <v>729</v>
          </cell>
          <cell r="AS362">
            <v>1794</v>
          </cell>
        </row>
        <row r="363">
          <cell r="B363" t="str">
            <v>Pre-tax profit (Pub)</v>
          </cell>
          <cell r="C363" t="str">
            <v>PTP_PUB</v>
          </cell>
          <cell r="D363" t="str">
            <v>EUR</v>
          </cell>
          <cell r="F363">
            <v>-27</v>
          </cell>
          <cell r="G363">
            <v>1523</v>
          </cell>
          <cell r="H363">
            <v>1366</v>
          </cell>
          <cell r="I363">
            <v>1488</v>
          </cell>
          <cell r="J363">
            <v>2114</v>
          </cell>
          <cell r="O363">
            <v>2675</v>
          </cell>
          <cell r="T363">
            <v>155</v>
          </cell>
          <cell r="Y363">
            <v>-685</v>
          </cell>
          <cell r="AD363">
            <v>2358</v>
          </cell>
          <cell r="AE363">
            <v>263</v>
          </cell>
          <cell r="AF363">
            <v>318</v>
          </cell>
          <cell r="AG363">
            <v>-107</v>
          </cell>
          <cell r="AH363">
            <v>-1388</v>
          </cell>
          <cell r="AI363">
            <v>-914</v>
          </cell>
          <cell r="AJ363">
            <v>160</v>
          </cell>
          <cell r="AK363">
            <v>137</v>
          </cell>
          <cell r="AL363">
            <v>247</v>
          </cell>
          <cell r="AM363">
            <v>388</v>
          </cell>
          <cell r="AN363">
            <v>932</v>
          </cell>
          <cell r="AO363">
            <v>137</v>
          </cell>
          <cell r="AP363">
            <v>366</v>
          </cell>
          <cell r="AQ363">
            <v>273</v>
          </cell>
          <cell r="AR363">
            <v>739</v>
          </cell>
          <cell r="AS363">
            <v>1515</v>
          </cell>
        </row>
        <row r="364">
          <cell r="B364" t="str">
            <v>Sales, revenue (Pub)</v>
          </cell>
          <cell r="C364" t="str">
            <v>REVS_PUB</v>
          </cell>
          <cell r="D364" t="str">
            <v>EUR</v>
          </cell>
          <cell r="F364">
            <v>24208</v>
          </cell>
          <cell r="G364">
            <v>30798</v>
          </cell>
          <cell r="H364">
            <v>29901</v>
          </cell>
          <cell r="I364">
            <v>30133</v>
          </cell>
          <cell r="J364">
            <v>31761</v>
          </cell>
          <cell r="O364">
            <v>34206</v>
          </cell>
          <cell r="T364">
            <v>39434</v>
          </cell>
          <cell r="Y364">
            <v>39123</v>
          </cell>
          <cell r="AD364">
            <v>43265</v>
          </cell>
          <cell r="AE364">
            <v>8467</v>
          </cell>
          <cell r="AF364">
            <v>11728</v>
          </cell>
          <cell r="AG364">
            <v>9528</v>
          </cell>
          <cell r="AH364">
            <v>13099</v>
          </cell>
          <cell r="AI364">
            <v>42822</v>
          </cell>
          <cell r="AJ364">
            <v>8950</v>
          </cell>
          <cell r="AK364">
            <v>11358</v>
          </cell>
          <cell r="AL364">
            <v>11246</v>
          </cell>
          <cell r="AM364">
            <v>14198</v>
          </cell>
          <cell r="AN364">
            <v>45752</v>
          </cell>
          <cell r="AO364">
            <v>9854</v>
          </cell>
          <cell r="AP364">
            <v>12082</v>
          </cell>
          <cell r="AQ364">
            <v>10751</v>
          </cell>
          <cell r="AR364">
            <v>16441</v>
          </cell>
          <cell r="AS364">
            <v>49128</v>
          </cell>
        </row>
        <row r="365">
          <cell r="B365" t="str">
            <v>Total shareholders' equity (Pub)</v>
          </cell>
          <cell r="C365" t="str">
            <v>EQ_PUB</v>
          </cell>
          <cell r="D365" t="str">
            <v>EUR</v>
          </cell>
          <cell r="F365">
            <v>10471</v>
          </cell>
          <cell r="G365">
            <v>10436</v>
          </cell>
          <cell r="H365">
            <v>14126</v>
          </cell>
          <cell r="I365">
            <v>18328</v>
          </cell>
          <cell r="J365">
            <v>19343</v>
          </cell>
          <cell r="O365">
            <v>13902</v>
          </cell>
          <cell r="T365">
            <v>13152</v>
          </cell>
          <cell r="Y365">
            <v>13175</v>
          </cell>
          <cell r="AD365">
            <v>11126</v>
          </cell>
          <cell r="AI365">
            <v>10641</v>
          </cell>
          <cell r="AN365">
            <v>8936</v>
          </cell>
          <cell r="AS365">
            <v>8870</v>
          </cell>
        </row>
        <row r="366">
          <cell r="A366" t="str">
            <v>Income Statement</v>
          </cell>
        </row>
        <row r="367">
          <cell r="B367" t="str">
            <v>Provision for income tax</v>
          </cell>
          <cell r="C367" t="str">
            <v>PROV_INC_TAX</v>
          </cell>
          <cell r="D367" t="str">
            <v>EUR</v>
          </cell>
          <cell r="F367">
            <v>220</v>
          </cell>
          <cell r="G367">
            <v>-828</v>
          </cell>
          <cell r="H367">
            <v>-541</v>
          </cell>
          <cell r="I367">
            <v>-557</v>
          </cell>
          <cell r="J367">
            <v>-742</v>
          </cell>
          <cell r="O367">
            <v>-872</v>
          </cell>
          <cell r="T367">
            <v>60</v>
          </cell>
          <cell r="Y367">
            <v>261</v>
          </cell>
          <cell r="AD367">
            <v>-720</v>
          </cell>
          <cell r="AI367">
            <v>203</v>
          </cell>
          <cell r="AN367">
            <v>-277</v>
          </cell>
          <cell r="AS367">
            <v>-384</v>
          </cell>
        </row>
        <row r="368">
          <cell r="B368" t="str">
            <v>Minority interest</v>
          </cell>
          <cell r="C368" t="str">
            <v>INC_MINORITY</v>
          </cell>
          <cell r="D368" t="str">
            <v>EUR</v>
          </cell>
          <cell r="F368">
            <v>-14</v>
          </cell>
          <cell r="G368">
            <v>114</v>
          </cell>
          <cell r="H368">
            <v>-129</v>
          </cell>
          <cell r="I368">
            <v>-162</v>
          </cell>
          <cell r="J368">
            <v>-220</v>
          </cell>
          <cell r="K368">
            <v>0</v>
          </cell>
          <cell r="L368">
            <v>0</v>
          </cell>
          <cell r="M368">
            <v>0</v>
          </cell>
          <cell r="N368">
            <v>0</v>
          </cell>
          <cell r="O368">
            <v>-34</v>
          </cell>
          <cell r="P368">
            <v>0</v>
          </cell>
          <cell r="Q368">
            <v>0</v>
          </cell>
          <cell r="R368">
            <v>0</v>
          </cell>
          <cell r="T368">
            <v>-16</v>
          </cell>
          <cell r="Y368">
            <v>-9</v>
          </cell>
          <cell r="AD368">
            <v>-25</v>
          </cell>
          <cell r="AI368">
            <v>-11</v>
          </cell>
          <cell r="AN368">
            <v>-19</v>
          </cell>
          <cell r="AS368">
            <v>-4</v>
          </cell>
        </row>
        <row r="369">
          <cell r="B369" t="str">
            <v>Net income (pre-preferred dividends)</v>
          </cell>
          <cell r="C369" t="str">
            <v>NI_PRE_PREF</v>
          </cell>
          <cell r="D369" t="str">
            <v>EUR</v>
          </cell>
          <cell r="F369">
            <v>179</v>
          </cell>
          <cell r="G369">
            <v>809</v>
          </cell>
          <cell r="H369">
            <v>696</v>
          </cell>
          <cell r="I369">
            <v>769</v>
          </cell>
          <cell r="J369">
            <v>1152</v>
          </cell>
          <cell r="O369">
            <v>1769</v>
          </cell>
          <cell r="T369">
            <v>199</v>
          </cell>
          <cell r="Y369">
            <v>-433</v>
          </cell>
          <cell r="AD369">
            <v>1613</v>
          </cell>
          <cell r="AI369">
            <v>-722</v>
          </cell>
          <cell r="AN369">
            <v>636</v>
          </cell>
          <cell r="AS369">
            <v>1127</v>
          </cell>
        </row>
        <row r="370">
          <cell r="B370" t="str">
            <v>Preferred dividends</v>
          </cell>
          <cell r="C370" t="str">
            <v>PREF_DIV</v>
          </cell>
          <cell r="D370" t="str">
            <v>EUR</v>
          </cell>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Y370">
            <v>0</v>
          </cell>
        </row>
        <row r="371">
          <cell r="B371" t="str">
            <v>Net income (pre-exceptionals)</v>
          </cell>
          <cell r="C371" t="str">
            <v>NET_EARNING</v>
          </cell>
          <cell r="D371" t="str">
            <v>EUR</v>
          </cell>
          <cell r="F371">
            <v>179</v>
          </cell>
          <cell r="G371">
            <v>809</v>
          </cell>
          <cell r="H371">
            <v>696</v>
          </cell>
          <cell r="I371">
            <v>769</v>
          </cell>
          <cell r="J371">
            <v>1152</v>
          </cell>
          <cell r="O371">
            <v>1769</v>
          </cell>
          <cell r="T371">
            <v>199</v>
          </cell>
          <cell r="Y371">
            <v>-433</v>
          </cell>
          <cell r="AD371">
            <v>1613</v>
          </cell>
          <cell r="AI371">
            <v>-722</v>
          </cell>
          <cell r="AN371">
            <v>636</v>
          </cell>
          <cell r="AS371">
            <v>1127</v>
          </cell>
        </row>
        <row r="372">
          <cell r="B372" t="str">
            <v>Post-tax exceptionals</v>
          </cell>
          <cell r="C372" t="str">
            <v>TAX_EXC</v>
          </cell>
          <cell r="D372" t="str">
            <v>EUR</v>
          </cell>
          <cell r="K372">
            <v>0</v>
          </cell>
          <cell r="L372">
            <v>0</v>
          </cell>
          <cell r="M372">
            <v>0</v>
          </cell>
          <cell r="N372">
            <v>0</v>
          </cell>
          <cell r="P372">
            <v>0</v>
          </cell>
          <cell r="Q372">
            <v>0</v>
          </cell>
          <cell r="R372">
            <v>0</v>
          </cell>
        </row>
        <row r="373">
          <cell r="B373" t="str">
            <v>Net income (post-exceptionals)</v>
          </cell>
          <cell r="C373" t="str">
            <v>NET_INC</v>
          </cell>
          <cell r="D373" t="str">
            <v>EUR</v>
          </cell>
          <cell r="F373">
            <v>179</v>
          </cell>
          <cell r="G373">
            <v>809</v>
          </cell>
          <cell r="H373">
            <v>696</v>
          </cell>
          <cell r="I373">
            <v>769</v>
          </cell>
          <cell r="J373">
            <v>1152</v>
          </cell>
          <cell r="O373">
            <v>1769</v>
          </cell>
          <cell r="T373">
            <v>199</v>
          </cell>
          <cell r="Y373">
            <v>-433</v>
          </cell>
          <cell r="AD373">
            <v>1613</v>
          </cell>
          <cell r="AI373">
            <v>-722</v>
          </cell>
          <cell r="AN373">
            <v>636</v>
          </cell>
          <cell r="AS373">
            <v>1127</v>
          </cell>
        </row>
        <row r="374">
          <cell r="B374" t="str">
            <v>EPS (pre-exceptionals, basic)</v>
          </cell>
          <cell r="C374" t="str">
            <v>EPS</v>
          </cell>
          <cell r="D374" t="str">
            <v>EUR</v>
          </cell>
          <cell r="F374">
            <v>0.46413708790399999</v>
          </cell>
          <cell r="G374">
            <v>1.0021109001599999</v>
          </cell>
          <cell r="H374">
            <v>0.86554568551599997</v>
          </cell>
          <cell r="I374">
            <v>0.96010147860600004</v>
          </cell>
          <cell r="J374">
            <v>1.4381393443049999</v>
          </cell>
          <cell r="O374">
            <v>2.2259013837360002</v>
          </cell>
          <cell r="T374">
            <v>0.24869243889199999</v>
          </cell>
          <cell r="Y374">
            <v>-0.53914180659800004</v>
          </cell>
          <cell r="AD374">
            <v>1.9988133492489999</v>
          </cell>
          <cell r="AI374">
            <v>-0.89168978723400005</v>
          </cell>
          <cell r="AN374">
            <v>0.78451366183000004</v>
          </cell>
          <cell r="AS374">
            <v>1.3870644813220001</v>
          </cell>
        </row>
        <row r="375">
          <cell r="B375" t="str">
            <v>EPS (pre-exceptionals, diluted)</v>
          </cell>
          <cell r="C375" t="str">
            <v>EPS_FUL_DIL</v>
          </cell>
          <cell r="D375" t="str">
            <v>EUR</v>
          </cell>
          <cell r="F375">
            <v>0.46413708790399999</v>
          </cell>
          <cell r="G375">
            <v>1.0021109001599999</v>
          </cell>
          <cell r="H375">
            <v>0.86554568551599997</v>
          </cell>
          <cell r="I375">
            <v>0.96010147860600004</v>
          </cell>
          <cell r="J375">
            <v>1.4326881470990001</v>
          </cell>
          <cell r="O375">
            <v>2.2106521484699999</v>
          </cell>
          <cell r="T375">
            <v>0.24741529868699999</v>
          </cell>
          <cell r="Y375">
            <v>-0.53752201539</v>
          </cell>
          <cell r="AD375">
            <v>1.9972834419179999</v>
          </cell>
          <cell r="AI375">
            <v>-0.89005029576799999</v>
          </cell>
          <cell r="AN375">
            <v>0.78427897503599997</v>
          </cell>
          <cell r="AS375">
            <v>1.3850280838469999</v>
          </cell>
        </row>
        <row r="376">
          <cell r="B376" t="str">
            <v>EPS (post-exceptionals, basic)</v>
          </cell>
          <cell r="C376" t="str">
            <v>EPS_POST_BASIC</v>
          </cell>
          <cell r="D376" t="str">
            <v>EUR</v>
          </cell>
          <cell r="F376">
            <v>0.46413708790399999</v>
          </cell>
          <cell r="G376">
            <v>1.0021109001599999</v>
          </cell>
          <cell r="H376">
            <v>0.86554568551599997</v>
          </cell>
          <cell r="I376">
            <v>0.96010147860600004</v>
          </cell>
          <cell r="J376">
            <v>1.4381393443049999</v>
          </cell>
          <cell r="O376">
            <v>2.2259013837360002</v>
          </cell>
          <cell r="T376">
            <v>0.24869243889199999</v>
          </cell>
          <cell r="Y376">
            <v>-0.53914180659800004</v>
          </cell>
          <cell r="AD376">
            <v>1.9988133492489999</v>
          </cell>
          <cell r="AI376">
            <v>-0.89168978723400005</v>
          </cell>
          <cell r="AN376">
            <v>0.78451366183000004</v>
          </cell>
          <cell r="AS376">
            <v>1.3870644813220001</v>
          </cell>
        </row>
        <row r="377">
          <cell r="B377" t="str">
            <v>EPS (post-exceptionals, diluted)</v>
          </cell>
          <cell r="C377" t="str">
            <v>FULLY_DIL_EPS</v>
          </cell>
          <cell r="D377" t="str">
            <v>EUR</v>
          </cell>
          <cell r="F377">
            <v>0.46413708790399999</v>
          </cell>
          <cell r="G377">
            <v>1.0021109001599999</v>
          </cell>
          <cell r="H377">
            <v>0.86554568551599997</v>
          </cell>
          <cell r="I377">
            <v>0.96010147860600004</v>
          </cell>
          <cell r="J377">
            <v>1.4326881470990001</v>
          </cell>
          <cell r="O377">
            <v>2.2106521484699999</v>
          </cell>
          <cell r="T377">
            <v>0.24741529868699999</v>
          </cell>
          <cell r="Y377">
            <v>-0.53752201539</v>
          </cell>
          <cell r="AD377">
            <v>1.9972834419179999</v>
          </cell>
          <cell r="AI377">
            <v>-0.89005029576799999</v>
          </cell>
          <cell r="AN377">
            <v>0.78427897503599997</v>
          </cell>
          <cell r="AS377">
            <v>1.3850280838469999</v>
          </cell>
        </row>
        <row r="378">
          <cell r="B378" t="str">
            <v>Common dividends paid</v>
          </cell>
          <cell r="C378" t="str">
            <v>COMMON_DIV_PAID</v>
          </cell>
          <cell r="D378" t="str">
            <v>EUR</v>
          </cell>
          <cell r="F378">
            <v>-403.57883349999997</v>
          </cell>
          <cell r="G378">
            <v>-404.58778050000001</v>
          </cell>
          <cell r="H378">
            <v>-240.28710000000001</v>
          </cell>
          <cell r="I378">
            <v>-320.3828992</v>
          </cell>
          <cell r="J378">
            <v>-399.775147</v>
          </cell>
          <cell r="O378">
            <v>-518.14127689999998</v>
          </cell>
          <cell r="T378">
            <v>-96.255719159999998</v>
          </cell>
          <cell r="Y378">
            <v>-96.505137000000005</v>
          </cell>
          <cell r="AD378">
            <v>-161.9018294</v>
          </cell>
          <cell r="AI378">
            <v>0</v>
          </cell>
          <cell r="AN378">
            <v>-178.4335586</v>
          </cell>
          <cell r="AS378">
            <v>-366.70342994999999</v>
          </cell>
        </row>
        <row r="379">
          <cell r="B379" t="str">
            <v>DPS, dividend per share</v>
          </cell>
          <cell r="C379" t="str">
            <v>DPS</v>
          </cell>
          <cell r="D379" t="str">
            <v>EUR</v>
          </cell>
          <cell r="F379">
            <v>0.5</v>
          </cell>
          <cell r="G379">
            <v>0.5</v>
          </cell>
          <cell r="H379">
            <v>0.3</v>
          </cell>
          <cell r="I379">
            <v>0.4</v>
          </cell>
          <cell r="J379">
            <v>0.5</v>
          </cell>
          <cell r="K379">
            <v>0</v>
          </cell>
          <cell r="L379">
            <v>0</v>
          </cell>
          <cell r="M379">
            <v>0</v>
          </cell>
          <cell r="N379">
            <v>0</v>
          </cell>
          <cell r="O379">
            <v>0.65</v>
          </cell>
          <cell r="P379">
            <v>0</v>
          </cell>
          <cell r="Q379">
            <v>0</v>
          </cell>
          <cell r="R379">
            <v>0</v>
          </cell>
          <cell r="T379">
            <v>0.12</v>
          </cell>
          <cell r="Y379">
            <v>0.12</v>
          </cell>
          <cell r="AD379">
            <v>0.2</v>
          </cell>
          <cell r="AI379">
            <v>0</v>
          </cell>
          <cell r="AN379">
            <v>0.22</v>
          </cell>
          <cell r="AS379">
            <v>0.45</v>
          </cell>
        </row>
        <row r="380">
          <cell r="B380" t="str">
            <v>Weighted average shares outstanding, basic</v>
          </cell>
          <cell r="C380" t="str">
            <v>SH</v>
          </cell>
          <cell r="F380">
            <v>385.66191900000001</v>
          </cell>
          <cell r="G380">
            <v>807.29587900000001</v>
          </cell>
          <cell r="H380">
            <v>804.11699999999996</v>
          </cell>
          <cell r="I380">
            <v>800.95699999999999</v>
          </cell>
          <cell r="J380">
            <v>801.03503499999999</v>
          </cell>
          <cell r="O380">
            <v>794.73422000000005</v>
          </cell>
          <cell r="T380">
            <v>800.18516399999999</v>
          </cell>
          <cell r="Y380">
            <v>803.12822100000005</v>
          </cell>
          <cell r="AD380">
            <v>806.97880099999998</v>
          </cell>
          <cell r="AI380">
            <v>809.69863099999998</v>
          </cell>
          <cell r="AN380">
            <v>810.69333900000004</v>
          </cell>
          <cell r="AS380">
            <v>812.50728800000002</v>
          </cell>
        </row>
        <row r="381">
          <cell r="B381" t="str">
            <v>Diluted average shares outstanding (mn)</v>
          </cell>
          <cell r="C381" t="str">
            <v>DILUTE_SHARES</v>
          </cell>
          <cell r="F381">
            <v>385.66191900000001</v>
          </cell>
          <cell r="G381">
            <v>807.29587900000001</v>
          </cell>
          <cell r="H381">
            <v>804.11699999999996</v>
          </cell>
          <cell r="I381">
            <v>800.95699999999999</v>
          </cell>
          <cell r="J381">
            <v>804.08287199999995</v>
          </cell>
          <cell r="O381">
            <v>800.21635300000003</v>
          </cell>
          <cell r="T381">
            <v>804.31566299999997</v>
          </cell>
          <cell r="Y381">
            <v>805.54840100000001</v>
          </cell>
          <cell r="AD381">
            <v>807.59694200000001</v>
          </cell>
          <cell r="AI381">
            <v>811.190113</v>
          </cell>
          <cell r="AN381">
            <v>810.93592999999998</v>
          </cell>
          <cell r="AS381">
            <v>813.70191199999999</v>
          </cell>
        </row>
        <row r="382">
          <cell r="B382" t="str">
            <v>Period-end shares outstanding</v>
          </cell>
          <cell r="C382" t="str">
            <v>NON_OP_ADD</v>
          </cell>
          <cell r="F382">
            <v>807.15766699999995</v>
          </cell>
          <cell r="G382">
            <v>809.17556100000002</v>
          </cell>
          <cell r="H382">
            <v>800.95699999999999</v>
          </cell>
          <cell r="I382">
            <v>800.95724800000005</v>
          </cell>
          <cell r="J382">
            <v>799.55029400000001</v>
          </cell>
          <cell r="O382">
            <v>797.14042600000005</v>
          </cell>
          <cell r="T382">
            <v>802.13099299999999</v>
          </cell>
          <cell r="Y382">
            <v>804.209475</v>
          </cell>
          <cell r="AD382">
            <v>809.50914699999998</v>
          </cell>
          <cell r="AI382">
            <v>810.90861099999995</v>
          </cell>
          <cell r="AN382">
            <v>811.06163000000004</v>
          </cell>
          <cell r="AS382">
            <v>814.89651100000003</v>
          </cell>
        </row>
        <row r="383">
          <cell r="A383" t="str">
            <v>Additional Income Statement Items</v>
          </cell>
        </row>
        <row r="384">
          <cell r="B384" t="str">
            <v>Organic net income (excl. acquisitions)</v>
          </cell>
          <cell r="C384" t="str">
            <v>ORG_NI</v>
          </cell>
          <cell r="D384" t="str">
            <v>EUR</v>
          </cell>
        </row>
        <row r="385">
          <cell r="B385" t="str">
            <v>Organic EPS (excl. acquisitions)</v>
          </cell>
          <cell r="C385" t="str">
            <v>ORG_EPS</v>
          </cell>
          <cell r="D385" t="str">
            <v>EUR</v>
          </cell>
        </row>
        <row r="386">
          <cell r="B386" t="str">
            <v>Marginal tax rate</v>
          </cell>
          <cell r="C386" t="str">
            <v>MARGIN_TAX_RATE</v>
          </cell>
          <cell r="F386">
            <v>0.36</v>
          </cell>
          <cell r="G386">
            <v>0.54366382140500003</v>
          </cell>
          <cell r="H386">
            <v>0.396046852123</v>
          </cell>
          <cell r="I386">
            <v>0.37432795698900001</v>
          </cell>
          <cell r="J386">
            <v>0.35099337748300002</v>
          </cell>
          <cell r="K386">
            <v>0</v>
          </cell>
          <cell r="L386">
            <v>0</v>
          </cell>
          <cell r="M386">
            <v>0</v>
          </cell>
          <cell r="N386">
            <v>0</v>
          </cell>
          <cell r="O386">
            <v>0.32598130841099998</v>
          </cell>
          <cell r="P386">
            <v>0</v>
          </cell>
          <cell r="Q386">
            <v>0</v>
          </cell>
          <cell r="R386">
            <v>0</v>
          </cell>
          <cell r="T386">
            <v>0.38700000000000001</v>
          </cell>
          <cell r="Y386">
            <v>0.38102189781000001</v>
          </cell>
          <cell r="AD386">
            <v>0.30534351144999999</v>
          </cell>
          <cell r="AI386">
            <v>0.22210065645499999</v>
          </cell>
          <cell r="AN386">
            <v>0.29721030042899999</v>
          </cell>
          <cell r="AS386">
            <v>0.25346534653500002</v>
          </cell>
        </row>
        <row r="387">
          <cell r="A387" t="str">
            <v>Balance Sheet</v>
          </cell>
        </row>
        <row r="388">
          <cell r="B388" t="str">
            <v>BVPS, book value per share</v>
          </cell>
          <cell r="C388" t="str">
            <v>BVPS</v>
          </cell>
          <cell r="D388" t="str">
            <v>EUR</v>
          </cell>
          <cell r="F388">
            <v>12.698882038867</v>
          </cell>
          <cell r="G388">
            <v>12.206250999219</v>
          </cell>
          <cell r="H388">
            <v>15.937185142274</v>
          </cell>
          <cell r="I388">
            <v>20.16212480794</v>
          </cell>
          <cell r="J388">
            <v>21.228183051609001</v>
          </cell>
          <cell r="O388">
            <v>17.219048930783998</v>
          </cell>
          <cell r="T388">
            <v>16.225529388066001</v>
          </cell>
          <cell r="Y388">
            <v>16.276853738884</v>
          </cell>
          <cell r="AD388">
            <v>13.615658378719001</v>
          </cell>
          <cell r="AI388">
            <v>12.991599616889999</v>
          </cell>
          <cell r="AN388">
            <v>10.900527990703001</v>
          </cell>
          <cell r="AS388">
            <v>10.860274747207001</v>
          </cell>
        </row>
        <row r="389">
          <cell r="A389" t="str">
            <v>Cash Flow Statement</v>
          </cell>
        </row>
      </sheetData>
      <sheetData sheetId="2">
        <row r="1">
          <cell r="A1" t="str">
            <v>2959a916-b32d-40da-ade4-7c1f6dda419c</v>
          </cell>
        </row>
        <row r="2">
          <cell r="A2" t="str">
            <v>N:\Aerospace\Chris\WIP models\Migrated models\[cleanEADS model - WIP April '13.xlsx]EAD.PA_Validation_Sheet</v>
          </cell>
        </row>
        <row r="3">
          <cell r="A3" t="str">
            <v>Enabled</v>
          </cell>
          <cell r="AT3" t="str">
            <v>ERROR</v>
          </cell>
        </row>
        <row r="7">
          <cell r="A7" t="str">
            <v>Scalar|||208001433|||ISSR|||CURRENCY_ISO|||False|||</v>
          </cell>
          <cell r="C7" t="str">
            <v>V_KEYWORD_ISSR_208001433_CURRENCY_ISO</v>
          </cell>
        </row>
        <row r="9">
          <cell r="A9" t="str">
            <v>Vector|||208001433|||ISSR|||SALES|||False|||</v>
          </cell>
          <cell r="C9" t="str">
            <v>V_KEYWORD_ISSR_208001433_SALES</v>
          </cell>
        </row>
        <row r="10">
          <cell r="A10" t="str">
            <v>Vector|||208001433|||ISSR|||COST_GD_SD|||False|||</v>
          </cell>
          <cell r="C10" t="str">
            <v>V_KEYWORD_ISSR_208001433_COST_GD_SD</v>
          </cell>
        </row>
        <row r="11">
          <cell r="A11" t="str">
            <v>Vector|||208001433|||ISSR|||SEL_GL_AD|||False|||</v>
          </cell>
          <cell r="C11" t="str">
            <v>V_KEYWORD_ISSR_208001433_SEL_GL_AD</v>
          </cell>
        </row>
        <row r="12">
          <cell r="A12" t="str">
            <v>Vector|||208001433|||ISSR|||OP_COST|||False|||</v>
          </cell>
          <cell r="C12" t="str">
            <v>V_KEYWORD_ISSR_208001433_OP_COST</v>
          </cell>
        </row>
        <row r="13">
          <cell r="A13" t="str">
            <v>Vector|||208001433|||ISSR|||RD_EXP|||False|||</v>
          </cell>
          <cell r="C13" t="str">
            <v>V_KEYWORD_ISSR_208001433_RD_EXP</v>
          </cell>
        </row>
        <row r="14">
          <cell r="A14" t="str">
            <v>Vector|||208001433|||ISSR|||OTH_OP_INC_EXP|||False|||</v>
          </cell>
          <cell r="C14" t="str">
            <v>V_KEYWORD_ISSR_208001433_OTH_OP_INC_EXP</v>
          </cell>
        </row>
        <row r="15">
          <cell r="A15" t="str">
            <v>Vector|||208001433|||ISSR|||TOT_OPS_EXP_DDA|||False|||</v>
          </cell>
          <cell r="C15" t="str">
            <v>V_KEYWORD_ISSR_208001433_TOT_OPS_EXP_DDA</v>
          </cell>
        </row>
        <row r="16">
          <cell r="A16" t="str">
            <v>Vector|||208001433|||ISSR|||TOT_OPS_EXP|||False|||</v>
          </cell>
          <cell r="C16" t="str">
            <v>V_KEYWORD_ISSR_208001433_TOT_OPS_EXP</v>
          </cell>
        </row>
        <row r="17">
          <cell r="A17" t="str">
            <v>Vector|||208001433|||ISSR|||EBITDA_CALC|||False|||</v>
          </cell>
          <cell r="C17" t="str">
            <v>V_KEYWORD_ISSR_208001433_EBITDA_CALC</v>
          </cell>
        </row>
        <row r="18">
          <cell r="A18" t="str">
            <v>Vector|||208001433|||ISSR|||DEPREC|||False|||</v>
          </cell>
          <cell r="C18" t="str">
            <v>V_KEYWORD_ISSR_208001433_DEPREC</v>
          </cell>
        </row>
        <row r="19">
          <cell r="A19" t="str">
            <v>Vector|||208001433|||ISSR|||GOODWILL_AMORT|||False|||</v>
          </cell>
          <cell r="C19" t="str">
            <v>V_KEYWORD_ISSR_208001433_GOODWILL_AMORT</v>
          </cell>
        </row>
        <row r="20">
          <cell r="A20" t="str">
            <v>Vector|||208001433|||ISSR|||EBIT|||False|||</v>
          </cell>
          <cell r="C20" t="str">
            <v>V_KEYWORD_ISSR_208001433_EBIT</v>
          </cell>
        </row>
        <row r="21">
          <cell r="A21" t="str">
            <v>Vector|||208001433|||ISSR|||INT_INC_IND|||False|||</v>
          </cell>
          <cell r="C21" t="str">
            <v>V_KEYWORD_ISSR_208001433_INT_INC_IND</v>
          </cell>
        </row>
        <row r="22">
          <cell r="A22" t="str">
            <v>Vector|||208001433|||ISSR|||INT_EXP_IND|||False|||</v>
          </cell>
          <cell r="C22" t="str">
            <v>V_KEYWORD_ISSR_208001433_INT_EXP_IND</v>
          </cell>
        </row>
        <row r="23">
          <cell r="A23" t="str">
            <v>Vector|||208001433|||ISSR|||NET_INT_EXP|||False|||</v>
          </cell>
          <cell r="C23" t="str">
            <v>V_KEYWORD_ISSR_208001433_NET_INT_EXP</v>
          </cell>
        </row>
        <row r="24">
          <cell r="A24" t="str">
            <v>Vector|||208001433|||ISSR|||ASSOCIATE|||False|||</v>
          </cell>
          <cell r="C24" t="str">
            <v>V_KEYWORD_ISSR_208001433_ASSOCIATE</v>
          </cell>
        </row>
        <row r="25">
          <cell r="A25" t="str">
            <v>Vector|||208001433|||ISSR|||PROFIT_ON_DISP|||False|||</v>
          </cell>
          <cell r="C25" t="str">
            <v>V_KEYWORD_ISSR_208001433_PROFIT_ON_DISP</v>
          </cell>
        </row>
        <row r="26">
          <cell r="A26" t="str">
            <v>Vector|||208001433|||ISSR|||OTH_COST_INC|||False|||</v>
          </cell>
          <cell r="C26" t="str">
            <v>V_KEYWORD_ISSR_208001433_OTH_COST_INC</v>
          </cell>
        </row>
        <row r="27">
          <cell r="A27" t="str">
            <v>Vector|||208001433|||ISSR|||PT_PROF|||False|||</v>
          </cell>
          <cell r="C27" t="str">
            <v>V_KEYWORD_ISSR_208001433_PT_PROF</v>
          </cell>
        </row>
        <row r="29">
          <cell r="A29" t="str">
            <v>Vector|||208001433|||ISSR|||ORG_REV|||False|||</v>
          </cell>
          <cell r="C29" t="str">
            <v>V_KEYWORD_ISSR_208001433_ORG_REV</v>
          </cell>
        </row>
        <row r="30">
          <cell r="A30" t="str">
            <v>Vector|||208001433|||ISSR|||ORG_REV_GRTH|||False|||</v>
          </cell>
          <cell r="C30" t="str">
            <v>V_KEYWORD_ISSR_208001433_ORG_REV_GRTH</v>
          </cell>
        </row>
        <row r="31">
          <cell r="A31" t="str">
            <v>Vector|||208001433|||ISSR|||LEASE_PAY|||False|||</v>
          </cell>
          <cell r="C31" t="str">
            <v>V_KEYWORD_ISSR_208001433_LEASE_PAY</v>
          </cell>
        </row>
        <row r="32">
          <cell r="A32" t="str">
            <v>Vector|||208001433|||ISSR|||LEASE_DEEM_INT|||False|||</v>
          </cell>
          <cell r="C32" t="str">
            <v>V_KEYWORD_ISSR_208001433_LEASE_DEEM_INT</v>
          </cell>
        </row>
        <row r="33">
          <cell r="A33" t="str">
            <v>Vector|||208001433|||ISSR|||LEASE_DEEM_DEPR|||False|||</v>
          </cell>
          <cell r="C33" t="str">
            <v>V_KEYWORD_ISSR_208001433_LEASE_DEEM_DEPR</v>
          </cell>
        </row>
        <row r="34">
          <cell r="A34" t="str">
            <v>Vector|||208001433|||ISSR|||NET_INT_CH|||False|||</v>
          </cell>
          <cell r="C34" t="str">
            <v>V_KEYWORD_ISSR_208001433_NET_INT_CH</v>
          </cell>
        </row>
        <row r="35">
          <cell r="A35" t="str">
            <v>Vector|||208001433|||ISSR|||ASSOCIATE_OP|||False|||</v>
          </cell>
          <cell r="C35" t="str">
            <v>V_KEYWORD_ISSR_208001433_ASSOCIATE_OP</v>
          </cell>
        </row>
        <row r="36">
          <cell r="A36" t="str">
            <v>Vector|||208001433|||ISSR|||GW_AMORT|||False|||</v>
          </cell>
          <cell r="C36" t="str">
            <v>V_KEYWORD_ISSR_208001433_GW_AMORT</v>
          </cell>
        </row>
        <row r="37">
          <cell r="A37" t="str">
            <v>Vector|||208001433|||ISSR|||OTH_INT_AMORT|||False|||</v>
          </cell>
          <cell r="C37" t="str">
            <v>V_KEYWORD_ISSR_208001433_OTH_INT_AMORT</v>
          </cell>
        </row>
        <row r="39">
          <cell r="A39" t="str">
            <v>Vector|||208001433|||ISSR|||CASH_EQ|||False|||</v>
          </cell>
          <cell r="C39" t="str">
            <v>V_KEYWORD_ISSR_208001433_CASH_EQ</v>
          </cell>
          <cell r="AU39" t="str">
            <v>ERROR</v>
          </cell>
          <cell r="AV39" t="str">
            <v>ERROR</v>
          </cell>
          <cell r="AW39" t="str">
            <v>ERROR</v>
          </cell>
          <cell r="AX39" t="str">
            <v>ERROR</v>
          </cell>
          <cell r="AY39" t="str">
            <v>ERROR</v>
          </cell>
          <cell r="AZ39" t="str">
            <v>ERROR</v>
          </cell>
          <cell r="BA39" t="str">
            <v>ERROR</v>
          </cell>
          <cell r="BB39" t="str">
            <v>ERROR</v>
          </cell>
        </row>
        <row r="40">
          <cell r="A40" t="str">
            <v>Vector|||208001433|||ISSR|||DEBTORS|||False|||</v>
          </cell>
          <cell r="C40" t="str">
            <v>V_KEYWORD_ISSR_208001433_DEBTORS</v>
          </cell>
        </row>
        <row r="41">
          <cell r="A41" t="str">
            <v>Vector|||208001433|||ISSR|||STOCKS|||False|||</v>
          </cell>
          <cell r="C41" t="str">
            <v>V_KEYWORD_ISSR_208001433_STOCKS</v>
          </cell>
        </row>
        <row r="42">
          <cell r="A42" t="str">
            <v>Vector|||208001433|||ISSR|||OTH_CUR_ASS|||False|||</v>
          </cell>
          <cell r="C42" t="str">
            <v>V_KEYWORD_ISSR_208001433_OTH_CUR_ASS</v>
          </cell>
        </row>
        <row r="43">
          <cell r="A43" t="str">
            <v>Vector|||208001433|||ISSR|||CUR_ASS|||False|||</v>
          </cell>
          <cell r="C43" t="str">
            <v>V_KEYWORD_ISSR_208001433_CUR_ASS</v>
          </cell>
        </row>
        <row r="44">
          <cell r="A44" t="str">
            <v>Vector|||208001433|||ISSR|||GR_FIX_ASS|||False|||</v>
          </cell>
          <cell r="C44" t="str">
            <v>V_KEYWORD_ISSR_208001433_GR_FIX_ASS</v>
          </cell>
        </row>
        <row r="45">
          <cell r="A45" t="str">
            <v>Vector|||208001433|||ISSR|||ACC_DDA|||False|||</v>
          </cell>
          <cell r="C45" t="str">
            <v>V_KEYWORD_ISSR_208001433_ACC_DDA</v>
          </cell>
        </row>
        <row r="46">
          <cell r="A46" t="str">
            <v>Vector|||208001433|||ISSR|||NET_FIX_ASS|||False|||</v>
          </cell>
          <cell r="C46" t="str">
            <v>V_KEYWORD_ISSR_208001433_NET_FIX_ASS</v>
          </cell>
        </row>
        <row r="47">
          <cell r="A47" t="str">
            <v>Vector|||208001433|||ISSR|||GR_INTANG|||False|||</v>
          </cell>
          <cell r="C47" t="str">
            <v>V_KEYWORD_ISSR_208001433_GR_INTANG</v>
          </cell>
        </row>
        <row r="48">
          <cell r="A48" t="str">
            <v>Vector|||208001433|||ISSR|||ACC_AMORT|||False|||</v>
          </cell>
          <cell r="C48" t="str">
            <v>V_KEYWORD_ISSR_208001433_ACC_AMORT</v>
          </cell>
        </row>
        <row r="49">
          <cell r="A49" t="str">
            <v>Vector|||208001433|||ISSR|||NET_INTANG|||False|||</v>
          </cell>
          <cell r="C49" t="str">
            <v>V_KEYWORD_ISSR_208001433_NET_INTANG</v>
          </cell>
        </row>
        <row r="50">
          <cell r="A50" t="str">
            <v>Vector|||208001433|||ISSR|||FIX_ASS_INV|||False|||</v>
          </cell>
          <cell r="C50" t="str">
            <v>V_KEYWORD_ISSR_208001433_FIX_ASS_INV</v>
          </cell>
        </row>
        <row r="51">
          <cell r="A51" t="str">
            <v>Vector|||208001433|||ISSR|||INV_SECUR|||False|||</v>
          </cell>
          <cell r="C51" t="str">
            <v>V_KEYWORD_ISSR_208001433_INV_SECUR</v>
          </cell>
        </row>
        <row r="52">
          <cell r="A52" t="str">
            <v>Vector|||208001433|||ISSR|||OTH_LT_ASS|||False|||</v>
          </cell>
          <cell r="C52" t="str">
            <v>V_KEYWORD_ISSR_208001433_OTH_LT_ASS</v>
          </cell>
        </row>
        <row r="53">
          <cell r="A53" t="str">
            <v>Vector|||208001433|||ISSR|||TOT_ASSET|||False|||</v>
          </cell>
          <cell r="C53" t="str">
            <v>V_KEYWORD_ISSR_208001433_TOT_ASSET</v>
          </cell>
          <cell r="AU53" t="str">
            <v>ERROR</v>
          </cell>
          <cell r="AV53" t="str">
            <v>ERROR</v>
          </cell>
          <cell r="AW53" t="str">
            <v>ERROR</v>
          </cell>
          <cell r="AX53" t="str">
            <v>ERROR</v>
          </cell>
          <cell r="AY53" t="str">
            <v>ERROR</v>
          </cell>
          <cell r="AZ53" t="str">
            <v>ERROR</v>
          </cell>
          <cell r="BA53" t="str">
            <v>ERROR</v>
          </cell>
          <cell r="BB53" t="str">
            <v>ERROR</v>
          </cell>
        </row>
        <row r="54">
          <cell r="A54" t="str">
            <v>Vector|||208001433|||ISSR|||ACC_PAY_GQ|||False|||</v>
          </cell>
          <cell r="C54" t="str">
            <v>V_KEYWORD_ISSR_208001433_ACC_PAY_GQ</v>
          </cell>
        </row>
        <row r="55">
          <cell r="A55" t="str">
            <v>Vector|||208001433|||ISSR|||SHORT_T_DEBT|||False|||</v>
          </cell>
          <cell r="C55" t="str">
            <v>V_KEYWORD_ISSR_208001433_SHORT_T_DEBT</v>
          </cell>
        </row>
        <row r="56">
          <cell r="A56" t="str">
            <v>Vector|||208001433|||ISSR|||OTH_CUR_LIABS|||False|||</v>
          </cell>
          <cell r="C56" t="str">
            <v>V_KEYWORD_ISSR_208001433_OTH_CUR_LIABS</v>
          </cell>
        </row>
        <row r="57">
          <cell r="A57" t="str">
            <v>Vector|||208001433|||ISSR|||SHORT_TERM_LIABS|||False|||</v>
          </cell>
          <cell r="C57" t="str">
            <v>V_KEYWORD_ISSR_208001433_SHORT_TERM_LIABS</v>
          </cell>
        </row>
        <row r="58">
          <cell r="A58" t="str">
            <v>Vector|||208001433|||ISSR|||LT_DEBT|||False|||</v>
          </cell>
          <cell r="C58" t="str">
            <v>V_KEYWORD_ISSR_208001433_LT_DEBT</v>
          </cell>
        </row>
        <row r="59">
          <cell r="A59" t="str">
            <v>Vector|||208001433|||ISSR|||OTH_LT_CRED_GQ|||False|||</v>
          </cell>
          <cell r="C59" t="str">
            <v>V_KEYWORD_ISSR_208001433_OTH_LT_CRED_GQ</v>
          </cell>
        </row>
        <row r="60">
          <cell r="A60" t="str">
            <v>Vector|||208001433|||ISSR|||TOT_LT_LIAB|||False|||</v>
          </cell>
          <cell r="C60" t="str">
            <v>V_KEYWORD_ISSR_208001433_TOT_LT_LIAB</v>
          </cell>
        </row>
        <row r="61">
          <cell r="A61" t="str">
            <v>Vector|||208001433|||ISSR|||TOT_LIAB|||False|||</v>
          </cell>
          <cell r="C61" t="str">
            <v>V_KEYWORD_ISSR_208001433_TOT_LIAB</v>
          </cell>
        </row>
        <row r="62">
          <cell r="A62" t="str">
            <v>Vector|||208001433|||ISSR|||PREF_SH|||False|||</v>
          </cell>
          <cell r="C62" t="str">
            <v>V_KEYWORD_ISSR_208001433_PREF_SH</v>
          </cell>
        </row>
        <row r="63">
          <cell r="A63" t="str">
            <v>Vector|||208001433|||ISSR|||ORD_SH_FUND|||False|||</v>
          </cell>
          <cell r="C63" t="str">
            <v>V_KEYWORD_ISSR_208001433_ORD_SH_FUND</v>
          </cell>
        </row>
        <row r="64">
          <cell r="A64" t="str">
            <v>Vector|||208001433|||ISSR|||MINORITIES|||False|||</v>
          </cell>
          <cell r="C64" t="str">
            <v>V_KEYWORD_ISSR_208001433_MINORITIES</v>
          </cell>
        </row>
        <row r="65">
          <cell r="A65" t="str">
            <v>Vector|||208001433|||ISSR|||EQ|||False|||</v>
          </cell>
          <cell r="C65" t="str">
            <v>V_KEYWORD_ISSR_208001433_EQ</v>
          </cell>
        </row>
        <row r="66">
          <cell r="A66" t="str">
            <v>Vector|||208001433|||ISSR|||TOT_LIAB_EQ|||False|||</v>
          </cell>
          <cell r="C66" t="str">
            <v>V_KEYWORD_ISSR_208001433_TOT_LIAB_EQ</v>
          </cell>
          <cell r="AU66" t="str">
            <v>ERROR</v>
          </cell>
          <cell r="AV66" t="str">
            <v>ERROR</v>
          </cell>
          <cell r="AW66" t="str">
            <v>ERROR</v>
          </cell>
          <cell r="AX66" t="str">
            <v>ERROR</v>
          </cell>
          <cell r="AY66" t="str">
            <v>ERROR</v>
          </cell>
          <cell r="AZ66" t="str">
            <v>ERROR</v>
          </cell>
          <cell r="BA66" t="str">
            <v>ERROR</v>
          </cell>
          <cell r="BB66" t="str">
            <v>ERROR</v>
          </cell>
        </row>
        <row r="68">
          <cell r="A68" t="str">
            <v>Vector|||208001433|||ISSR|||NET_DEBT|||False|||</v>
          </cell>
          <cell r="C68" t="str">
            <v>V_KEYWORD_ISSR_208001433_NET_DEBT</v>
          </cell>
        </row>
        <row r="69">
          <cell r="A69" t="str">
            <v>Vector|||208001433|||ISSR|||CAP_LEASES|||False|||</v>
          </cell>
          <cell r="C69" t="str">
            <v>V_KEYWORD_ISSR_208001433_CAP_LEASES</v>
          </cell>
        </row>
        <row r="70">
          <cell r="A70" t="str">
            <v>Vector|||208001433|||ISSR|||DEF_INC_TAX|||False|||</v>
          </cell>
          <cell r="C70" t="str">
            <v>V_KEYWORD_ISSR_208001433_DEF_INC_TAX</v>
          </cell>
        </row>
        <row r="71">
          <cell r="A71" t="str">
            <v>Vector|||208001433|||ISSR|||MV_ASSOCIATES|||False|||</v>
          </cell>
          <cell r="C71" t="str">
            <v>V_KEYWORD_ISSR_208001433_MV_ASSOCIATES</v>
          </cell>
        </row>
        <row r="72">
          <cell r="A72" t="str">
            <v>Vector|||208001433|||ISSR|||NET_DEBT_ADJ|||False|||</v>
          </cell>
          <cell r="C72" t="str">
            <v>V_KEYWORD_ISSR_208001433_NET_DEBT_ADJ</v>
          </cell>
        </row>
        <row r="73">
          <cell r="A73" t="str">
            <v>Vector|||208001433|||ISSR|||CO_BOR_MARGIN|||False|||</v>
          </cell>
          <cell r="C73" t="str">
            <v>V_KEYWORD_ISSR_208001433_CO_BOR_MARGIN</v>
          </cell>
        </row>
        <row r="74">
          <cell r="A74" t="str">
            <v>Vector|||208001433|||ISSR|||UNF_PENS|||False|||</v>
          </cell>
          <cell r="C74" t="str">
            <v>V_KEYWORD_ISSR_208001433_UNF_PENS</v>
          </cell>
        </row>
        <row r="75">
          <cell r="A75" t="str">
            <v>Vector|||208001433|||ISSR|||UNF_PENS_OFF|||False|||</v>
          </cell>
          <cell r="C75" t="str">
            <v>V_KEYWORD_ISSR_208001433_UNF_PENS_OFF</v>
          </cell>
        </row>
        <row r="76">
          <cell r="A76" t="str">
            <v>Vector|||208001433|||ISSR|||UNF_PENS_LIAB_OTH|||False|||</v>
          </cell>
          <cell r="C76" t="str">
            <v>V_KEYWORD_ISSR_208001433_UNF_PENS_LIAB_OTH</v>
          </cell>
        </row>
        <row r="77">
          <cell r="A77" t="str">
            <v>Vector|||208001433|||ISSR|||ADJ_UNF_PENS_GOOD|||False|||</v>
          </cell>
          <cell r="C77" t="str">
            <v>V_KEYWORD_ISSR_208001433_ADJ_UNF_PENS_GOOD</v>
          </cell>
        </row>
        <row r="78">
          <cell r="A78" t="str">
            <v>Vector|||208001433|||ISSR|||OTH_GCI_ADJ|||False|||</v>
          </cell>
          <cell r="C78" t="str">
            <v>V_KEYWORD_ISSR_208001433_OTH_GCI_ADJ</v>
          </cell>
        </row>
        <row r="79">
          <cell r="A79" t="str">
            <v>Vector|||208001433|||ISSR|||GCI_INFL|||False|||</v>
          </cell>
          <cell r="C79" t="str">
            <v>V_KEYWORD_ISSR_208001433_GCI_INFL</v>
          </cell>
        </row>
        <row r="80">
          <cell r="A80" t="str">
            <v>Vector|||208001433|||ISSR|||BAL_MINO_INT|||False|||</v>
          </cell>
          <cell r="C80" t="str">
            <v>V_KEYWORD_ISSR_208001433_BAL_MINO_INT</v>
          </cell>
        </row>
        <row r="82">
          <cell r="A82" t="str">
            <v>Vector|||208001433|||ISSR|||CF_INC_MINORITY|||False|||</v>
          </cell>
          <cell r="C82" t="str">
            <v>V_KEYWORD_ISSR_208001433_CF_INC_MINORITY</v>
          </cell>
        </row>
        <row r="83">
          <cell r="A83" t="str">
            <v>Vector|||208001433|||ISSR|||DEPR_AMORT|||False|||</v>
          </cell>
          <cell r="C83" t="str">
            <v>V_KEYWORD_ISSR_208001433_DEPR_AMORT</v>
          </cell>
        </row>
        <row r="84">
          <cell r="A84" t="str">
            <v>Vector|||208001433|||ISSR|||WORK_CAP|||False|||</v>
          </cell>
          <cell r="C84" t="str">
            <v>V_KEYWORD_ISSR_208001433_WORK_CAP</v>
          </cell>
        </row>
        <row r="85">
          <cell r="A85" t="str">
            <v>Vector|||208001433|||ISSR|||OTH_OP_CF|||False|||</v>
          </cell>
          <cell r="C85" t="str">
            <v>V_KEYWORD_ISSR_208001433_OTH_OP_CF</v>
          </cell>
        </row>
        <row r="86">
          <cell r="A86" t="str">
            <v>Vector|||208001433|||ISSR|||CF_OPS|||False|||</v>
          </cell>
          <cell r="C86" t="str">
            <v>V_KEYWORD_ISSR_208001433_CF_OPS</v>
          </cell>
        </row>
        <row r="87">
          <cell r="A87" t="str">
            <v>Vector|||208001433|||ISSR|||CAPEX|||False|||</v>
          </cell>
          <cell r="C87" t="str">
            <v>V_KEYWORD_ISSR_208001433_CAPEX</v>
          </cell>
        </row>
        <row r="88">
          <cell r="A88" t="str">
            <v>Vector|||208001433|||ISSR|||ACQ|||False|||</v>
          </cell>
          <cell r="C88" t="str">
            <v>V_KEYWORD_ISSR_208001433_ACQ</v>
          </cell>
        </row>
        <row r="89">
          <cell r="A89" t="str">
            <v>Vector|||208001433|||ISSR|||DIVEST|||False|||</v>
          </cell>
          <cell r="C89" t="str">
            <v>V_KEYWORD_ISSR_208001433_DIVEST</v>
          </cell>
        </row>
        <row r="90">
          <cell r="A90" t="str">
            <v>Vector|||208001433|||ISSR|||OTH_INV_CF|||False|||</v>
          </cell>
          <cell r="C90" t="str">
            <v>V_KEYWORD_ISSR_208001433_OTH_INV_CF</v>
          </cell>
        </row>
        <row r="91">
          <cell r="A91" t="str">
            <v>Vector|||208001433|||ISSR|||CF_INV|||False|||</v>
          </cell>
          <cell r="C91" t="str">
            <v>V_KEYWORD_ISSR_208001433_CF_INV</v>
          </cell>
        </row>
        <row r="92">
          <cell r="A92" t="str">
            <v>Vector|||208001433|||ISSR|||DIV_PAID|||False|||</v>
          </cell>
          <cell r="C92" t="str">
            <v>V_KEYWORD_ISSR_208001433_DIV_PAID</v>
          </cell>
        </row>
        <row r="93">
          <cell r="A93" t="str">
            <v>Vector|||208001433|||ISSR|||SH_REPUR|||False|||</v>
          </cell>
          <cell r="C93" t="str">
            <v>V_KEYWORD_ISSR_208001433_SH_REPUR</v>
          </cell>
        </row>
        <row r="94">
          <cell r="A94" t="str">
            <v>Vector|||208001433|||ISSR|||CHG_LT_DEBT|||False|||</v>
          </cell>
          <cell r="C94" t="str">
            <v>V_KEYWORD_ISSR_208001433_CHG_LT_DEBT</v>
          </cell>
        </row>
        <row r="95">
          <cell r="A95" t="str">
            <v>Vector|||208001433|||ISSR|||OTH_FIN_CF|||False|||</v>
          </cell>
          <cell r="C95" t="str">
            <v>V_KEYWORD_ISSR_208001433_OTH_FIN_CF</v>
          </cell>
        </row>
        <row r="96">
          <cell r="A96" t="str">
            <v>Vector|||208001433|||ISSR|||CF_FIN|||False|||</v>
          </cell>
          <cell r="C96" t="str">
            <v>V_KEYWORD_ISSR_208001433_CF_FIN</v>
          </cell>
        </row>
        <row r="97">
          <cell r="A97" t="str">
            <v>Vector|||208001433|||ISSR|||OTH_ITEM_NCF|||False|||</v>
          </cell>
          <cell r="C97" t="str">
            <v>V_KEYWORD_ISSR_208001433_OTH_ITEM_NCF</v>
          </cell>
        </row>
        <row r="98">
          <cell r="A98" t="str">
            <v>Vector|||208001433|||ISSR|||TOT_CF|||False|||</v>
          </cell>
          <cell r="C98" t="str">
            <v>V_KEYWORD_ISSR_208001433_TOT_CF</v>
          </cell>
          <cell r="AU98" t="str">
            <v>ERROR</v>
          </cell>
          <cell r="AV98" t="str">
            <v>ERROR</v>
          </cell>
          <cell r="AW98" t="str">
            <v>ERROR</v>
          </cell>
          <cell r="AX98" t="str">
            <v>ERROR</v>
          </cell>
          <cell r="AY98" t="str">
            <v>ERROR</v>
          </cell>
          <cell r="AZ98" t="str">
            <v>ERROR</v>
          </cell>
          <cell r="BA98" t="str">
            <v>ERROR</v>
          </cell>
          <cell r="BB98" t="str">
            <v>ERROR</v>
          </cell>
        </row>
        <row r="100">
          <cell r="A100" t="str">
            <v>Vector|||208001433|||ISSR|||ASSOC_JV_ADDBK|||False|||</v>
          </cell>
          <cell r="C100" t="str">
            <v>V_KEYWORD_ISSR_208001433_ASSOC_JV_ADDBK</v>
          </cell>
        </row>
        <row r="101">
          <cell r="A101" t="str">
            <v>Vector|||208001433|||ISSR|||CASH_INT_INC_EXP|||False|||</v>
          </cell>
          <cell r="C101" t="str">
            <v>V_KEYWORD_ISSR_208001433_CASH_INT_INC_EXP</v>
          </cell>
        </row>
        <row r="102">
          <cell r="A102" t="str">
            <v>Vector|||208001433|||ISSR|||CASH_TAX_PD|||False|||</v>
          </cell>
          <cell r="C102" t="str">
            <v>V_KEYWORD_ISSR_208001433_CASH_TAX_PD</v>
          </cell>
        </row>
        <row r="103">
          <cell r="A103" t="str">
            <v>Vector|||208001433|||ISSR|||PL_SALE_ASSETS|||False|||</v>
          </cell>
          <cell r="C103" t="str">
            <v>V_KEYWORD_ISSR_208001433_PL_SALE_ASSETS</v>
          </cell>
        </row>
        <row r="104">
          <cell r="A104" t="str">
            <v>Vector|||208001433|||ISSR|||OTH_NONCASH_ADJ|||False|||</v>
          </cell>
          <cell r="C104" t="str">
            <v>V_KEYWORD_ISSR_208001433_OTH_NONCASH_ADJ</v>
          </cell>
        </row>
        <row r="105">
          <cell r="A105" t="str">
            <v>Vector|||208001433|||ISSR|||OTH_DACF_ADJ|||False|||</v>
          </cell>
          <cell r="C105" t="str">
            <v>V_KEYWORD_ISSR_208001433_OTH_DACF_ADJ</v>
          </cell>
        </row>
        <row r="106">
          <cell r="A106" t="str">
            <v>Vector|||208001433|||ISSR|||CASH_INT_EXP|||False|||</v>
          </cell>
          <cell r="C106" t="str">
            <v>V_KEYWORD_ISSR_208001433_CASH_INT_EXP</v>
          </cell>
        </row>
        <row r="107">
          <cell r="A107" t="str">
            <v>Vector|||208001433|||ISSR|||CASH_TAX_EXP|||False|||</v>
          </cell>
          <cell r="C107" t="str">
            <v>V_KEYWORD_ISSR_208001433_CASH_TAX_EXP</v>
          </cell>
        </row>
        <row r="108">
          <cell r="A108" t="str">
            <v>Vector|||208001433|||ISSR|||DIVDS_ASSOC_JV|||False|||</v>
          </cell>
          <cell r="C108" t="str">
            <v>V_KEYWORD_ISSR_208001433_DIVDS_ASSOC_JV</v>
          </cell>
        </row>
        <row r="109">
          <cell r="A109" t="str">
            <v>Vector|||208001433|||ISSR|||CAPEX_MAINTENANCE|||False|||</v>
          </cell>
          <cell r="C109" t="str">
            <v>V_KEYWORD_ISSR_208001433_CAPEX_MAINTENANCE</v>
          </cell>
        </row>
        <row r="110">
          <cell r="A110" t="str">
            <v>Vector|||208001433|||ISSR|||CAPEX_EXPANSION|||False|||</v>
          </cell>
          <cell r="C110" t="str">
            <v>V_KEYWORD_ISSR_208001433_CAPEX_EXPANSION</v>
          </cell>
        </row>
        <row r="111">
          <cell r="A111" t="str">
            <v>Vector|||208001433|||ISSR|||NONPPE_CAPEX|||False|||</v>
          </cell>
          <cell r="C111" t="str">
            <v>V_KEYWORD_ISSR_208001433_NONPPE_CAPEX</v>
          </cell>
        </row>
        <row r="112">
          <cell r="A112" t="str">
            <v>Vector|||208001433|||ISSR|||DIVDS_PD_MINORITIES|||False|||</v>
          </cell>
          <cell r="C112" t="str">
            <v>V_KEYWORD_ISSR_208001433_DIVDS_PD_MINORITIES</v>
          </cell>
        </row>
        <row r="114">
          <cell r="A114" t="str">
            <v>Vector|||208001433|||ISSR|||EMPLOYEES|||False|||</v>
          </cell>
          <cell r="C114" t="str">
            <v>V_KEYWORD_ISSR_208001433_EMPLOYEES</v>
          </cell>
        </row>
        <row r="116">
          <cell r="A116" t="str">
            <v>Vector|||208001433|||ISSR|||SALES_TOT_AM|||False|||</v>
          </cell>
          <cell r="C116" t="str">
            <v>V_KEYWORD_ISSR_208001433_SALES_TOT_AM</v>
          </cell>
        </row>
        <row r="117">
          <cell r="A117" t="str">
            <v>Vector|||208001433|||ISSR|||SALES_US|||False|||</v>
          </cell>
          <cell r="C117" t="str">
            <v>V_KEYWORD_ISSR_208001433_SALES_US</v>
          </cell>
        </row>
        <row r="118">
          <cell r="A118" t="str">
            <v>Vector|||208001433|||ISSR|||SALES_BRAZIL|||False|||</v>
          </cell>
          <cell r="C118" t="str">
            <v>V_KEYWORD_ISSR_208001433_SALES_BRAZIL</v>
          </cell>
        </row>
        <row r="119">
          <cell r="A119" t="str">
            <v>Vector|||208001433|||ISSR|||SALES_OTH_AM|||False|||</v>
          </cell>
          <cell r="C119" t="str">
            <v>V_KEYWORD_ISSR_208001433_SALES_OTH_AM</v>
          </cell>
        </row>
        <row r="120">
          <cell r="A120" t="str">
            <v>Vector|||208001433|||ISSR|||SALES_TOT_EMEA|||False|||</v>
          </cell>
          <cell r="C120" t="str">
            <v>V_KEYWORD_ISSR_208001433_SALES_TOT_EMEA</v>
          </cell>
        </row>
        <row r="121">
          <cell r="A121" t="str">
            <v>Vector|||208001433|||ISSR|||SALES_UK|||False|||</v>
          </cell>
          <cell r="C121" t="str">
            <v>V_KEYWORD_ISSR_208001433_SALES_UK</v>
          </cell>
        </row>
        <row r="122">
          <cell r="A122" t="str">
            <v>Vector|||208001433|||ISSR|||SALES_EU_EX_UK|||False|||</v>
          </cell>
          <cell r="C122" t="str">
            <v>V_KEYWORD_ISSR_208001433_SALES_EU_EX_UK</v>
          </cell>
        </row>
        <row r="123">
          <cell r="A123" t="str">
            <v>Vector|||208001433|||ISSR|||SALES_FRA|||False|||</v>
          </cell>
          <cell r="C123" t="str">
            <v>V_KEYWORD_ISSR_208001433_SALES_FRA</v>
          </cell>
        </row>
        <row r="124">
          <cell r="A124" t="str">
            <v>Vector|||208001433|||ISSR|||SALES_GER|||False|||</v>
          </cell>
          <cell r="C124" t="str">
            <v>V_KEYWORD_ISSR_208001433_SALES_GER</v>
          </cell>
        </row>
        <row r="125">
          <cell r="A125" t="str">
            <v>Vector|||208001433|||ISSR|||SALES_ITA|||False|||</v>
          </cell>
          <cell r="C125" t="str">
            <v>V_KEYWORD_ISSR_208001433_SALES_ITA</v>
          </cell>
        </row>
        <row r="126">
          <cell r="A126" t="str">
            <v>Vector|||208001433|||ISSR|||SALES_SPA|||False|||</v>
          </cell>
          <cell r="C126" t="str">
            <v>V_KEYWORD_ISSR_208001433_SALES_SPA</v>
          </cell>
        </row>
        <row r="127">
          <cell r="A127" t="str">
            <v>Vector|||208001433|||ISSR|||SALES_OTH_EU_EX_UK|||False|||</v>
          </cell>
          <cell r="C127" t="str">
            <v>V_KEYWORD_ISSR_208001433_SALES_OTH_EU_EX_UK</v>
          </cell>
        </row>
        <row r="128">
          <cell r="A128" t="str">
            <v>Vector|||208001433|||ISSR|||SALES_CEE|||False|||</v>
          </cell>
          <cell r="C128" t="str">
            <v>V_KEYWORD_ISSR_208001433_SALES_CEE</v>
          </cell>
        </row>
        <row r="129">
          <cell r="A129" t="str">
            <v>Vector|||208001433|||ISSR|||SALES_ME|||False|||</v>
          </cell>
          <cell r="C129" t="str">
            <v>V_KEYWORD_ISSR_208001433_SALES_ME</v>
          </cell>
        </row>
        <row r="130">
          <cell r="A130" t="str">
            <v>Vector|||208001433|||ISSR|||SALES_SO_AFRICA|||False|||</v>
          </cell>
          <cell r="C130" t="str">
            <v>V_KEYWORD_ISSR_208001433_SALES_SO_AFRICA</v>
          </cell>
        </row>
        <row r="131">
          <cell r="A131" t="str">
            <v>Vector|||208001433|||ISSR|||SALES_NIGERIA|||False|||</v>
          </cell>
          <cell r="C131" t="str">
            <v>V_KEYWORD_ISSR_208001433_SALES_NIGERIA</v>
          </cell>
        </row>
        <row r="132">
          <cell r="A132" t="str">
            <v>Vector|||208001433|||ISSR|||SALES_OTH_AFRICA|||False|||</v>
          </cell>
          <cell r="C132" t="str">
            <v>V_KEYWORD_ISSR_208001433_SALES_OTH_AFRICA</v>
          </cell>
        </row>
        <row r="133">
          <cell r="A133" t="str">
            <v>Vector|||208001433|||ISSR|||SALES_TOT_AFRICA|||False|||</v>
          </cell>
          <cell r="C133" t="str">
            <v>V_KEYWORD_ISSR_208001433_SALES_TOT_AFRICA</v>
          </cell>
        </row>
        <row r="134">
          <cell r="A134" t="str">
            <v>Vector|||208001433|||ISSR|||SALES_RUSSIA|||False|||</v>
          </cell>
          <cell r="C134" t="str">
            <v>V_KEYWORD_ISSR_208001433_SALES_RUSSIA</v>
          </cell>
        </row>
        <row r="135">
          <cell r="A135" t="str">
            <v>Vector|||208001433|||ISSR|||SALES_OTH_EMEA|||False|||</v>
          </cell>
          <cell r="C135" t="str">
            <v>V_KEYWORD_ISSR_208001433_SALES_OTH_EMEA</v>
          </cell>
        </row>
        <row r="136">
          <cell r="A136" t="str">
            <v>Vector|||208001433|||ISSR|||SALES_TOT_ASIA|||False|||</v>
          </cell>
          <cell r="C136" t="str">
            <v>V_KEYWORD_ISSR_208001433_SALES_TOT_ASIA</v>
          </cell>
        </row>
        <row r="137">
          <cell r="A137" t="str">
            <v>Vector|||208001433|||ISSR|||SALES_JAPAN|||False|||</v>
          </cell>
          <cell r="C137" t="str">
            <v>V_KEYWORD_ISSR_208001433_SALES_JAPAN</v>
          </cell>
        </row>
        <row r="138">
          <cell r="A138" t="str">
            <v>Vector|||208001433|||ISSR|||SALES_CHINA|||False|||</v>
          </cell>
          <cell r="C138" t="str">
            <v>V_KEYWORD_ISSR_208001433_SALES_CHINA</v>
          </cell>
        </row>
        <row r="139">
          <cell r="A139" t="str">
            <v>Vector|||208001433|||ISSR|||SALES_INDIA|||False|||</v>
          </cell>
          <cell r="C139" t="str">
            <v>V_KEYWORD_ISSR_208001433_SALES_INDIA</v>
          </cell>
        </row>
        <row r="140">
          <cell r="A140" t="str">
            <v>Vector|||208001433|||ISSR|||SALES_OTH_AEJ|||False|||</v>
          </cell>
          <cell r="C140" t="str">
            <v>V_KEYWORD_ISSR_208001433_SALES_OTH_AEJ</v>
          </cell>
        </row>
        <row r="141">
          <cell r="A141" t="str">
            <v>Vector|||208001433|||ISSR|||SALES_OTHER|||False|||</v>
          </cell>
          <cell r="C141" t="str">
            <v>V_KEYWORD_ISSR_208001433_SALES_OTHER</v>
          </cell>
        </row>
        <row r="142">
          <cell r="A142" t="str">
            <v>Vector|||208001433|||ISSR|||IND_SALES_TOT_AM|||False|||</v>
          </cell>
          <cell r="C142" t="str">
            <v>V_KEYWORD_ISSR_208001433_IND_SALES_TOT_AM</v>
          </cell>
        </row>
        <row r="143">
          <cell r="A143" t="str">
            <v>Vector|||208001433|||ISSR|||IND_SALES_US|||False|||</v>
          </cell>
          <cell r="C143" t="str">
            <v>V_KEYWORD_ISSR_208001433_IND_SALES_US</v>
          </cell>
        </row>
        <row r="144">
          <cell r="A144" t="str">
            <v>Vector|||208001433|||ISSR|||IND_SALES_BRAZIL|||False|||</v>
          </cell>
          <cell r="C144" t="str">
            <v>V_KEYWORD_ISSR_208001433_IND_SALES_BRAZIL</v>
          </cell>
        </row>
        <row r="145">
          <cell r="A145" t="str">
            <v>Vector|||208001433|||ISSR|||IND_SALES_OTH_AM|||False|||</v>
          </cell>
          <cell r="C145" t="str">
            <v>V_KEYWORD_ISSR_208001433_IND_SALES_OTH_AM</v>
          </cell>
        </row>
        <row r="146">
          <cell r="A146" t="str">
            <v>Vector|||208001433|||ISSR|||IND_SALES_TOT_EMEA|||False|||</v>
          </cell>
          <cell r="C146" t="str">
            <v>V_KEYWORD_ISSR_208001433_IND_SALES_TOT_EMEA</v>
          </cell>
        </row>
        <row r="147">
          <cell r="A147" t="str">
            <v>Vector|||208001433|||ISSR|||IND_SALES_UK|||False|||</v>
          </cell>
          <cell r="C147" t="str">
            <v>V_KEYWORD_ISSR_208001433_IND_SALES_UK</v>
          </cell>
        </row>
        <row r="148">
          <cell r="A148" t="str">
            <v>Vector|||208001433|||ISSR|||IND_SALES_EU_EX_UK|||False|||</v>
          </cell>
          <cell r="C148" t="str">
            <v>V_KEYWORD_ISSR_208001433_IND_SALES_EU_EX_UK</v>
          </cell>
        </row>
        <row r="149">
          <cell r="A149" t="str">
            <v>Vector|||208001433|||ISSR|||IND_SALES_FRA|||False|||</v>
          </cell>
          <cell r="C149" t="str">
            <v>V_KEYWORD_ISSR_208001433_IND_SALES_FRA</v>
          </cell>
        </row>
        <row r="150">
          <cell r="A150" t="str">
            <v>Vector|||208001433|||ISSR|||IND_SALES_GER|||False|||</v>
          </cell>
          <cell r="C150" t="str">
            <v>V_KEYWORD_ISSR_208001433_IND_SALES_GER</v>
          </cell>
        </row>
        <row r="151">
          <cell r="A151" t="str">
            <v>Vector|||208001433|||ISSR|||IND_SALES_ITA|||False|||</v>
          </cell>
          <cell r="C151" t="str">
            <v>V_KEYWORD_ISSR_208001433_IND_SALES_ITA</v>
          </cell>
        </row>
        <row r="152">
          <cell r="A152" t="str">
            <v>Vector|||208001433|||ISSR|||IND_SALES_SPA|||False|||</v>
          </cell>
          <cell r="C152" t="str">
            <v>V_KEYWORD_ISSR_208001433_IND_SALES_SPA</v>
          </cell>
        </row>
        <row r="153">
          <cell r="A153" t="str">
            <v>Vector|||208001433|||ISSR|||IND_SALES_OTH_EU_EX_UK|||False|||</v>
          </cell>
          <cell r="C153" t="str">
            <v>V_KEYWORD_ISSR_208001433_IND_SALES_OTH_EU_EX_UK</v>
          </cell>
        </row>
        <row r="154">
          <cell r="A154" t="str">
            <v>Vector|||208001433|||ISSR|||IND_SALES_CEE|||False|||</v>
          </cell>
          <cell r="C154" t="str">
            <v>V_KEYWORD_ISSR_208001433_IND_SALES_CEE</v>
          </cell>
        </row>
        <row r="155">
          <cell r="A155" t="str">
            <v>Vector|||208001433|||ISSR|||IND_SALES_ME|||False|||</v>
          </cell>
          <cell r="C155" t="str">
            <v>V_KEYWORD_ISSR_208001433_IND_SALES_ME</v>
          </cell>
        </row>
        <row r="156">
          <cell r="A156" t="str">
            <v>Vector|||208001433|||ISSR|||IND_SALES_RUSSIA|||False|||</v>
          </cell>
          <cell r="C156" t="str">
            <v>V_KEYWORD_ISSR_208001433_IND_SALES_RUSSIA</v>
          </cell>
        </row>
        <row r="157">
          <cell r="A157" t="str">
            <v>Vector|||208001433|||ISSR|||IND_SALES_SO_AFRICA|||False|||</v>
          </cell>
          <cell r="C157" t="str">
            <v>V_KEYWORD_ISSR_208001433_IND_SALES_SO_AFRICA</v>
          </cell>
        </row>
        <row r="158">
          <cell r="A158" t="str">
            <v>Vector|||208001433|||ISSR|||IND_SALES_NIGERIA|||False|||</v>
          </cell>
          <cell r="C158" t="str">
            <v>V_KEYWORD_ISSR_208001433_IND_SALES_NIGERIA</v>
          </cell>
        </row>
        <row r="159">
          <cell r="A159" t="str">
            <v>Vector|||208001433|||ISSR|||IND_SALES_OTH_AFRICA|||False|||</v>
          </cell>
          <cell r="C159" t="str">
            <v>V_KEYWORD_ISSR_208001433_IND_SALES_OTH_AFRICA</v>
          </cell>
        </row>
        <row r="160">
          <cell r="A160" t="str">
            <v>Vector|||208001433|||ISSR|||IND_SALES_OTH_EMEA|||False|||</v>
          </cell>
          <cell r="C160" t="str">
            <v>V_KEYWORD_ISSR_208001433_IND_SALES_OTH_EMEA</v>
          </cell>
        </row>
        <row r="161">
          <cell r="A161" t="str">
            <v>Vector|||208001433|||ISSR|||IND_SALES_TOT_AFRICA|||False|||</v>
          </cell>
          <cell r="C161" t="str">
            <v>V_KEYWORD_ISSR_208001433_IND_SALES_TOT_AFRICA</v>
          </cell>
        </row>
        <row r="162">
          <cell r="A162" t="str">
            <v>Vector|||208001433|||ISSR|||IND_SALES_TOT_ASIA|||False|||</v>
          </cell>
          <cell r="C162" t="str">
            <v>V_KEYWORD_ISSR_208001433_IND_SALES_TOT_ASIA</v>
          </cell>
        </row>
        <row r="163">
          <cell r="A163" t="str">
            <v>Vector|||208001433|||ISSR|||IND_SALES_JAPAN|||False|||</v>
          </cell>
          <cell r="C163" t="str">
            <v>V_KEYWORD_ISSR_208001433_IND_SALES_JAPAN</v>
          </cell>
        </row>
        <row r="164">
          <cell r="A164" t="str">
            <v>Vector|||208001433|||ISSR|||IND_SALES_CHINA|||False|||</v>
          </cell>
          <cell r="C164" t="str">
            <v>V_KEYWORD_ISSR_208001433_IND_SALES_CHINA</v>
          </cell>
        </row>
        <row r="165">
          <cell r="A165" t="str">
            <v>Vector|||208001433|||ISSR|||IND_SALES_INDIA|||False|||</v>
          </cell>
          <cell r="C165" t="str">
            <v>V_KEYWORD_ISSR_208001433_IND_SALES_INDIA</v>
          </cell>
        </row>
        <row r="166">
          <cell r="A166" t="str">
            <v>Vector|||208001433|||ISSR|||IND_SALES_OTH_AEJ|||False|||</v>
          </cell>
          <cell r="C166" t="str">
            <v>V_KEYWORD_ISSR_208001433_IND_SALES_OTH_AEJ</v>
          </cell>
        </row>
        <row r="167">
          <cell r="A167" t="str">
            <v>Vector|||208001433|||ISSR|||IND_SALES_OTHER|||False|||</v>
          </cell>
          <cell r="C167" t="str">
            <v>V_KEYWORD_ISSR_208001433_IND_SALES_OTHER</v>
          </cell>
        </row>
        <row r="168">
          <cell r="A168" t="str">
            <v>Vector|||208001433|||ISSR|||SALES_CONS|||False|||</v>
          </cell>
          <cell r="C168" t="str">
            <v>V_KEYWORD_ISSR_208001433_SALES_CONS</v>
          </cell>
        </row>
        <row r="169">
          <cell r="A169" t="str">
            <v>Vector|||208001433|||ISSR|||SALES_IND|||False|||</v>
          </cell>
          <cell r="C169" t="str">
            <v>V_KEYWORD_ISSR_208001433_SALES_IND</v>
          </cell>
        </row>
        <row r="170">
          <cell r="A170" t="str">
            <v>Vector|||208001433|||ISSR|||SALES_GOV|||False|||</v>
          </cell>
          <cell r="C170" t="str">
            <v>V_KEYWORD_ISSR_208001433_SALES_GOV</v>
          </cell>
        </row>
        <row r="171">
          <cell r="A171" t="str">
            <v>Vector|||208001433|||ISSR|||SALES_FINAN|||False|||</v>
          </cell>
          <cell r="C171" t="str">
            <v>V_KEYWORD_ISSR_208001433_SALES_FINAN</v>
          </cell>
        </row>
        <row r="172">
          <cell r="A172" t="str">
            <v>Vector|||208001433|||ISSR|||IND_SALES_CONS|||False|||</v>
          </cell>
          <cell r="C172" t="str">
            <v>V_KEYWORD_ISSR_208001433_IND_SALES_CONS</v>
          </cell>
        </row>
        <row r="173">
          <cell r="A173" t="str">
            <v>Vector|||208001433|||ISSR|||IND_SALES_IND|||False|||</v>
          </cell>
          <cell r="C173" t="str">
            <v>V_KEYWORD_ISSR_208001433_IND_SALES_IND</v>
          </cell>
        </row>
        <row r="174">
          <cell r="A174" t="str">
            <v>Vector|||208001433|||ISSR|||IND_SALES_GOV|||False|||</v>
          </cell>
          <cell r="C174" t="str">
            <v>V_KEYWORD_ISSR_208001433_IND_SALES_GOV</v>
          </cell>
        </row>
        <row r="175">
          <cell r="A175" t="str">
            <v>Vector|||208001433|||ISSR|||IND_SALES_FINAN|||False|||</v>
          </cell>
          <cell r="C175" t="str">
            <v>V_KEYWORD_ISSR_208001433_IND_SALES_FINAN</v>
          </cell>
        </row>
        <row r="177">
          <cell r="A177" t="str">
            <v>Vector|||208001433|||ISSR|||SALES_OTH_COMMODITY|||False|||</v>
          </cell>
          <cell r="C177" t="str">
            <v>V_KEYWORD_ISSR_208001433_SALES_OTH_COMMODITY</v>
          </cell>
        </row>
        <row r="178">
          <cell r="A178" t="str">
            <v>Vector|||208001433|||ISSR|||SALES_OTH_SALES_SOURCES|||False|||</v>
          </cell>
          <cell r="C178" t="str">
            <v>V_KEYWORD_ISSR_208001433_SALES_OTH_SALES_SOURCES</v>
          </cell>
        </row>
        <row r="179">
          <cell r="A179" t="str">
            <v>Vector|||208001433|||ISSR|||IND_SALES_SPA|||False|||</v>
          </cell>
          <cell r="C179" t="str">
            <v>V_KEYWORD_ISSR_208001433_IND_SALES_SPA</v>
          </cell>
        </row>
        <row r="180">
          <cell r="A180" t="str">
            <v>Vector|||208001433|||ISSR|||EXP_OIL_PETRO_FUEL|||False|||</v>
          </cell>
          <cell r="C180" t="str">
            <v>V_KEYWORD_ISSR_208001433_EXP_OIL_PETRO_FUEL</v>
          </cell>
        </row>
        <row r="181">
          <cell r="A181" t="str">
            <v>Vector|||208001433|||ISSR|||EXP_OIL_DERIV_NGLS_PLASTICS|||False|||</v>
          </cell>
          <cell r="C181" t="str">
            <v>V_KEYWORD_ISSR_208001433_EXP_OIL_DERIV_NGLS_PLASTICS</v>
          </cell>
        </row>
        <row r="182">
          <cell r="A182" t="str">
            <v>Vector|||208001433|||ISSR|||EXP_NAT_GAS|||False|||</v>
          </cell>
          <cell r="C182" t="str">
            <v>V_KEYWORD_ISSR_208001433_EXP_NAT_GAS</v>
          </cell>
        </row>
        <row r="183">
          <cell r="A183" t="str">
            <v>Vector|||208001433|||ISSR|||EXP_GOLD|||False|||</v>
          </cell>
          <cell r="C183" t="str">
            <v>V_KEYWORD_ISSR_208001433_EXP_GOLD</v>
          </cell>
        </row>
        <row r="184">
          <cell r="A184" t="str">
            <v>Vector|||208001433|||ISSR|||EXP_COPPER|||False|||</v>
          </cell>
          <cell r="C184" t="str">
            <v>V_KEYWORD_ISSR_208001433_EXP_COPPER</v>
          </cell>
        </row>
        <row r="185">
          <cell r="A185" t="str">
            <v>Vector|||208001433|||ISSR|||EXP_SILVER|||False|||</v>
          </cell>
          <cell r="C185" t="str">
            <v>V_KEYWORD_ISSR_208001433_EXP_SILVER</v>
          </cell>
        </row>
        <row r="186">
          <cell r="A186" t="str">
            <v>Vector|||208001433|||ISSR|||EXP_PLATINUM|||False|||</v>
          </cell>
          <cell r="C186" t="str">
            <v>V_KEYWORD_ISSR_208001433_EXP_PLATINUM</v>
          </cell>
        </row>
        <row r="187">
          <cell r="A187" t="str">
            <v>Vector|||208001433|||ISSR|||EXP_PALLADIUM|||False|||</v>
          </cell>
          <cell r="C187" t="str">
            <v>V_KEYWORD_ISSR_208001433_EXP_PALLADIUM</v>
          </cell>
        </row>
        <row r="188">
          <cell r="A188" t="str">
            <v>Vector|||208001433|||ISSR|||EXP_ALUMINIUM|||False|||</v>
          </cell>
          <cell r="C188" t="str">
            <v>V_KEYWORD_ISSR_208001433_EXP_ALUMINIUM</v>
          </cell>
        </row>
        <row r="189">
          <cell r="A189" t="str">
            <v>Vector|||208001433|||ISSR|||EXP_NICKEL|||False|||</v>
          </cell>
          <cell r="C189" t="str">
            <v>V_KEYWORD_ISSR_208001433_EXP_NICKEL</v>
          </cell>
        </row>
        <row r="190">
          <cell r="A190" t="str">
            <v>Vector|||208001433|||ISSR|||EXP_ZINC|||False|||</v>
          </cell>
          <cell r="C190" t="str">
            <v>V_KEYWORD_ISSR_208001433_EXP_ZINC</v>
          </cell>
        </row>
        <row r="191">
          <cell r="A191" t="str">
            <v>Vector|||208001433|||ISSR|||EXP_STEEL|||False|||</v>
          </cell>
          <cell r="C191" t="str">
            <v>V_KEYWORD_ISSR_208001433_EXP_STEEL</v>
          </cell>
        </row>
        <row r="192">
          <cell r="A192" t="str">
            <v>Vector|||208001433|||ISSR|||EXP_GLASS|||False|||</v>
          </cell>
          <cell r="C192" t="str">
            <v>V_KEYWORD_ISSR_208001433_EXP_GLASS</v>
          </cell>
        </row>
        <row r="193">
          <cell r="A193" t="str">
            <v>Vector|||208001433|||ISSR|||EXP_RUBBER|||False|||</v>
          </cell>
          <cell r="C193" t="str">
            <v>V_KEYWORD_ISSR_208001433_EXP_RUBBER</v>
          </cell>
        </row>
        <row r="194">
          <cell r="A194" t="str">
            <v>Vector|||208001433|||ISSR|||EXP_WATER|||False|||</v>
          </cell>
          <cell r="C194" t="str">
            <v>V_KEYWORD_ISSR_208001433_EXP_WATER</v>
          </cell>
        </row>
        <row r="195">
          <cell r="A195" t="str">
            <v>Vector|||208001433|||ISSR|||EXP_OTH_COMMODITY|||False|||</v>
          </cell>
          <cell r="C195" t="str">
            <v>V_KEYWORD_ISSR_208001433_EXP_OTH_COMMODITY</v>
          </cell>
        </row>
        <row r="196">
          <cell r="A196" t="str">
            <v>Vector|||208001433|||ISSR|||EXP_OTH_COST|||False|||</v>
          </cell>
          <cell r="C196" t="str">
            <v>V_KEYWORD_ISSR_208001433_EXP_OTH_COST</v>
          </cell>
        </row>
        <row r="198">
          <cell r="A198" t="str">
            <v>Vector|||208001433|||ISSR|||SALES_FX_GPB|||False|||</v>
          </cell>
          <cell r="C198" t="str">
            <v>V_KEYWORD_ISSR_208001433_SALES_FX_GPB</v>
          </cell>
        </row>
        <row r="199">
          <cell r="A199" t="str">
            <v>Vector|||208001433|||ISSR|||SALES_FX_EUR|||False|||</v>
          </cell>
          <cell r="C199" t="str">
            <v>V_KEYWORD_ISSR_208001433_SALES_FX_EUR</v>
          </cell>
        </row>
        <row r="200">
          <cell r="A200" t="str">
            <v>Vector|||208001433|||ISSR|||SALES_FX_RUB|||False|||</v>
          </cell>
          <cell r="C200" t="str">
            <v>V_KEYWORD_ISSR_208001433_SALES_FX_RUB</v>
          </cell>
        </row>
        <row r="201">
          <cell r="A201" t="str">
            <v>Vector|||208001433|||ISSR|||SALES_FX_USD|||False|||</v>
          </cell>
          <cell r="C201" t="str">
            <v>V_KEYWORD_ISSR_208001433_SALES_FX_USD</v>
          </cell>
        </row>
        <row r="202">
          <cell r="A202" t="str">
            <v>Vector|||208001433|||ISSR|||SALES_FX_BRL|||False|||</v>
          </cell>
          <cell r="C202" t="str">
            <v>V_KEYWORD_ISSR_208001433_SALES_FX_BRL</v>
          </cell>
        </row>
        <row r="203">
          <cell r="A203" t="str">
            <v>Vector|||208001433|||ISSR|||SALES_FX_YEN|||False|||</v>
          </cell>
          <cell r="C203" t="str">
            <v>V_KEYWORD_ISSR_208001433_SALES_FX_YEN</v>
          </cell>
        </row>
        <row r="204">
          <cell r="A204" t="str">
            <v>Vector|||208001433|||ISSR|||SALES_FX_CNY|||False|||</v>
          </cell>
          <cell r="C204" t="str">
            <v>V_KEYWORD_ISSR_208001433_SALES_FX_CNY</v>
          </cell>
        </row>
        <row r="205">
          <cell r="A205" t="str">
            <v>Vector|||208001433|||ISSR|||SALES_FX_INR|||False|||</v>
          </cell>
          <cell r="C205" t="str">
            <v>V_KEYWORD_ISSR_208001433_SALES_FX_INR</v>
          </cell>
        </row>
        <row r="206">
          <cell r="A206" t="str">
            <v>Vector|||208001433|||ISSR|||SALES_FX_ZAR|||False|||</v>
          </cell>
          <cell r="C206" t="str">
            <v>V_KEYWORD_ISSR_208001433_SALES_FX_ZAR</v>
          </cell>
        </row>
        <row r="207">
          <cell r="A207" t="str">
            <v>Vector|||208001433|||ISSR|||SALES_FX_NGN|||False|||</v>
          </cell>
          <cell r="C207" t="str">
            <v>V_KEYWORD_ISSR_208001433_SALES_FX_NGN</v>
          </cell>
        </row>
        <row r="208">
          <cell r="A208" t="str">
            <v>Vector|||208001433|||ISSR|||SALES_FX_CHF|||False|||</v>
          </cell>
          <cell r="C208" t="str">
            <v>V_KEYWORD_ISSR_208001433_SALES_FX_CHF</v>
          </cell>
        </row>
        <row r="209">
          <cell r="A209" t="str">
            <v>Vector|||208001433|||ISSR|||SALES_FX_AED|||False|||</v>
          </cell>
          <cell r="C209" t="str">
            <v>V_KEYWORD_ISSR_208001433_SALES_FX_AED</v>
          </cell>
        </row>
        <row r="210">
          <cell r="A210" t="str">
            <v>Vector|||208001433|||ISSR|||SALES_FX_TRY|||False|||</v>
          </cell>
          <cell r="C210" t="str">
            <v>V_KEYWORD_ISSR_208001433_SALES_FX_TRY</v>
          </cell>
        </row>
        <row r="211">
          <cell r="A211" t="str">
            <v>Vector|||208001433|||ISSR|||SALES_FX_OTH|||False|||</v>
          </cell>
          <cell r="C211" t="str">
            <v>V_KEYWORD_ISSR_208001433_SALES_FX_OTH</v>
          </cell>
        </row>
        <row r="217">
          <cell r="A217" t="str">
            <v>Scalar|||200005121|||EQTY|||PUB_CURRENCY_ISO|||False|||</v>
          </cell>
          <cell r="C217" t="str">
            <v>V_KEYWORD_EQTY_200005121_PUB_CURRENCY_ISO</v>
          </cell>
        </row>
        <row r="218">
          <cell r="A218" t="str">
            <v>Scalar|||200005121|||EQTY|||PRICE_CURRENCY_ISO|||False|||</v>
          </cell>
          <cell r="C218" t="str">
            <v>V_KEYWORD_EQTY_200005121_PRICE_CURRENCY_ISO</v>
          </cell>
        </row>
        <row r="219">
          <cell r="A219" t="str">
            <v>Scalar|||200005121|||EQTY|||CURRENCY_ISO|||False|||</v>
          </cell>
          <cell r="C219" t="str">
            <v>V_KEYWORD_EQTY_200005121_CURRENCY_ISO</v>
          </cell>
        </row>
        <row r="221">
          <cell r="A221" t="str">
            <v>Scalar|||200005121|||EQTY|||EURO_LIST|||False|||</v>
          </cell>
          <cell r="C221" t="str">
            <v>V_KEYWORD_EQTY_200005121_EURO_LIST</v>
          </cell>
          <cell r="E221" t="str">
            <v>ERROR</v>
          </cell>
        </row>
        <row r="222">
          <cell r="A222" t="str">
            <v>Scalar|||200005121|||EQTY|||EURO_CONVICTION|||False|||</v>
          </cell>
          <cell r="C222" t="str">
            <v>V_KEYWORD_EQTY_200005121_EURO_CONVICTION</v>
          </cell>
        </row>
        <row r="223">
          <cell r="A223" t="str">
            <v>Scalar|||200005121|||EQTY|||LEGAL_RATING|||False|||</v>
          </cell>
          <cell r="C223" t="str">
            <v>V_KEYWORD_EQTY_200005121_LEGAL_RATING</v>
          </cell>
          <cell r="E223" t="str">
            <v>ERROR</v>
          </cell>
        </row>
        <row r="224">
          <cell r="A224" t="str">
            <v>Scalar|||200005121|||EQTY|||TARGET_PRICE|||False|||</v>
          </cell>
          <cell r="C224" t="str">
            <v>V_KEYWORD_EQTY_200005121_TARGET_PRICE</v>
          </cell>
          <cell r="E224" t="str">
            <v>ERROR</v>
          </cell>
        </row>
        <row r="225">
          <cell r="A225" t="str">
            <v>Scalar|||200005121|||EQTY|||TP_PERIOD|||False|||</v>
          </cell>
          <cell r="C225" t="str">
            <v>V_KEYWORD_EQTY_200005121_TP_PERIOD</v>
          </cell>
          <cell r="E225" t="str">
            <v>ERROR</v>
          </cell>
        </row>
        <row r="226">
          <cell r="A226" t="str">
            <v>Scalar|||200005121|||EQTY|||NUM_SH|||False|||</v>
          </cell>
          <cell r="C226" t="str">
            <v>V_KEYWORD_EQTY_200005121_NUM_SH</v>
          </cell>
        </row>
        <row r="227">
          <cell r="A227" t="str">
            <v>Scalar|||200005121|||EQTY|||FREE_FLOAT|||False|||</v>
          </cell>
          <cell r="C227" t="str">
            <v>V_KEYWORD_EQTY_200005121_FREE_FLOAT</v>
          </cell>
        </row>
        <row r="228">
          <cell r="A228" t="str">
            <v>BreakdownScalar|||200005121|||EQTY|||ACT|||False|||1</v>
          </cell>
          <cell r="C228" t="str">
            <v>V_KEYWORD_EQTY_200005121_ACT1</v>
          </cell>
        </row>
        <row r="229">
          <cell r="A229" t="str">
            <v>BreakdownScalar|||200005121|||EQTY|||ACT|||False|||2</v>
          </cell>
          <cell r="C229" t="str">
            <v>V_KEYWORD_EQTY_200005121_ACT2</v>
          </cell>
        </row>
        <row r="230">
          <cell r="A230" t="str">
            <v>BreakdownScalar|||200005121|||EQTY|||ACT|||False|||3</v>
          </cell>
          <cell r="C230" t="str">
            <v>V_KEYWORD_EQTY_200005121_ACT3</v>
          </cell>
        </row>
        <row r="232">
          <cell r="A232" t="str">
            <v>Vector|||200005121|||EQTY|||BVPS_PUB|||False|||</v>
          </cell>
          <cell r="C232" t="str">
            <v>V_KEYWORD_EQTY_200005121_BVPS_PUB</v>
          </cell>
        </row>
        <row r="233">
          <cell r="A233" t="str">
            <v>Vector|||200005121|||EQTY|||DPS_PUB|||False|||</v>
          </cell>
          <cell r="C233" t="str">
            <v>V_KEYWORD_EQTY_200005121_DPS_PUB</v>
          </cell>
        </row>
        <row r="234">
          <cell r="A234" t="str">
            <v>Vector|||200005121|||EQTY|||EBITDA_PUB|||False|||</v>
          </cell>
          <cell r="C234" t="str">
            <v>V_KEYWORD_EQTY_200005121_EBITDA_PUB</v>
          </cell>
        </row>
        <row r="235">
          <cell r="A235" t="str">
            <v>Vector|||200005121|||EQTY|||EPS_PUB|||False|||</v>
          </cell>
          <cell r="C235" t="str">
            <v>V_KEYWORD_EQTY_200005121_EPS_PUB</v>
          </cell>
          <cell r="AT235" t="str">
            <v>ERROR</v>
          </cell>
          <cell r="AU235" t="str">
            <v>ERROR</v>
          </cell>
          <cell r="AV235" t="str">
            <v>ERROR</v>
          </cell>
          <cell r="AW235" t="str">
            <v>ERROR</v>
          </cell>
          <cell r="AX235" t="str">
            <v>ERROR</v>
          </cell>
          <cell r="AY235" t="str">
            <v>ERROR</v>
          </cell>
          <cell r="AZ235" t="str">
            <v>ERROR</v>
          </cell>
          <cell r="BA235" t="str">
            <v>ERROR</v>
          </cell>
          <cell r="BB235" t="str">
            <v>ERROR</v>
          </cell>
        </row>
        <row r="236">
          <cell r="A236" t="str">
            <v>Vector|||200005121|||EQTY|||EV_ADJ_PUB|||False|||</v>
          </cell>
          <cell r="C236" t="str">
            <v>V_KEYWORD_EQTY_200005121_EV_ADJ_PUB</v>
          </cell>
        </row>
        <row r="237">
          <cell r="A237" t="str">
            <v>Vector|||200005121|||EQTY|||NET_DEBT_PUB|||False|||</v>
          </cell>
          <cell r="C237" t="str">
            <v>V_KEYWORD_EQTY_200005121_NET_DEBT_PUB</v>
          </cell>
        </row>
        <row r="238">
          <cell r="A238" t="str">
            <v>Vector|||200005121|||EQTY|||NI_PUB|||False|||</v>
          </cell>
          <cell r="C238" t="str">
            <v>V_KEYWORD_EQTY_200005121_NI_PUB</v>
          </cell>
        </row>
        <row r="239">
          <cell r="A239" t="str">
            <v>Vector|||200005121|||EQTY|||EBIT_PUB|||False|||</v>
          </cell>
          <cell r="C239" t="str">
            <v>V_KEYWORD_EQTY_200005121_EBIT_PUB</v>
          </cell>
        </row>
        <row r="240">
          <cell r="A240" t="str">
            <v>Vector|||200005121|||EQTY|||PTP_PUB|||False|||</v>
          </cell>
          <cell r="C240" t="str">
            <v>V_KEYWORD_EQTY_200005121_PTP_PUB</v>
          </cell>
        </row>
        <row r="241">
          <cell r="A241" t="str">
            <v>Vector|||200005121|||EQTY|||REVS_PUB|||False|||</v>
          </cell>
          <cell r="C241" t="str">
            <v>V_KEYWORD_EQTY_200005121_REVS_PUB</v>
          </cell>
        </row>
        <row r="242">
          <cell r="A242" t="str">
            <v>Vector|||200005121|||EQTY|||EQ_PUB|||False|||</v>
          </cell>
          <cell r="C242" t="str">
            <v>V_KEYWORD_EQTY_200005121_EQ_PUB</v>
          </cell>
        </row>
        <row r="244">
          <cell r="A244" t="str">
            <v>Vector|||200005121|||EQTY|||PROV_INC_TAX|||False|||</v>
          </cell>
          <cell r="C244" t="str">
            <v>V_KEYWORD_EQTY_200005121_PROV_INC_TAX</v>
          </cell>
        </row>
        <row r="245">
          <cell r="A245" t="str">
            <v>Vector|||200005121|||EQTY|||INC_MINORITY|||False|||</v>
          </cell>
          <cell r="C245" t="str">
            <v>V_KEYWORD_EQTY_200005121_INC_MINORITY</v>
          </cell>
        </row>
        <row r="246">
          <cell r="A246" t="str">
            <v>Vector|||200005121|||EQTY|||NI_PRE_PREF|||False|||</v>
          </cell>
          <cell r="C246" t="str">
            <v>V_KEYWORD_EQTY_200005121_NI_PRE_PREF</v>
          </cell>
        </row>
        <row r="247">
          <cell r="A247" t="str">
            <v>Vector|||200005121|||EQTY|||PREF_DIV|||False|||</v>
          </cell>
          <cell r="C247" t="str">
            <v>V_KEYWORD_EQTY_200005121_PREF_DIV</v>
          </cell>
        </row>
        <row r="248">
          <cell r="A248" t="str">
            <v>Vector|||200005121|||EQTY|||NET_EARNING|||False|||</v>
          </cell>
          <cell r="C248" t="str">
            <v>V_KEYWORD_EQTY_200005121_NET_EARNING</v>
          </cell>
        </row>
        <row r="249">
          <cell r="A249" t="str">
            <v>Vector|||200005121|||EQTY|||TAX_EXC|||False|||</v>
          </cell>
          <cell r="C249" t="str">
            <v>V_KEYWORD_EQTY_200005121_TAX_EXC</v>
          </cell>
        </row>
        <row r="250">
          <cell r="A250" t="str">
            <v>Vector|||200005121|||EQTY|||NET_INC|||False|||</v>
          </cell>
          <cell r="C250" t="str">
            <v>V_KEYWORD_EQTY_200005121_NET_INC</v>
          </cell>
        </row>
        <row r="251">
          <cell r="A251" t="str">
            <v>Vector|||200005121|||EQTY|||EPS|||False|||</v>
          </cell>
          <cell r="C251" t="str">
            <v>V_KEYWORD_EQTY_200005121_EPS</v>
          </cell>
        </row>
        <row r="252">
          <cell r="A252" t="str">
            <v>Vector|||200005121|||EQTY|||EPS_FUL_DIL|||False|||</v>
          </cell>
          <cell r="C252" t="str">
            <v>V_KEYWORD_EQTY_200005121_EPS_FUL_DIL</v>
          </cell>
        </row>
        <row r="253">
          <cell r="A253" t="str">
            <v>Vector|||200005121|||EQTY|||EPS_POST_BASIC|||False|||</v>
          </cell>
          <cell r="C253" t="str">
            <v>V_KEYWORD_EQTY_200005121_EPS_POST_BASIC</v>
          </cell>
        </row>
        <row r="254">
          <cell r="A254" t="str">
            <v>Vector|||200005121|||EQTY|||FULLY_DIL_EPS|||False|||</v>
          </cell>
          <cell r="C254" t="str">
            <v>V_KEYWORD_EQTY_200005121_FULLY_DIL_EPS</v>
          </cell>
        </row>
        <row r="255">
          <cell r="A255" t="str">
            <v>Vector|||200005121|||EQTY|||COMMON_DIV_PAID|||False|||</v>
          </cell>
          <cell r="C255" t="str">
            <v>V_KEYWORD_EQTY_200005121_COMMON_DIV_PAID</v>
          </cell>
        </row>
        <row r="256">
          <cell r="A256" t="str">
            <v>Vector|||200005121|||EQTY|||DPS|||False|||</v>
          </cell>
          <cell r="C256" t="str">
            <v>V_KEYWORD_EQTY_200005121_DPS</v>
          </cell>
        </row>
        <row r="257">
          <cell r="A257" t="str">
            <v>Vector|||200005121|||EQTY|||SH|||False|||</v>
          </cell>
          <cell r="C257" t="str">
            <v>V_KEYWORD_EQTY_200005121_SH</v>
          </cell>
        </row>
        <row r="258">
          <cell r="A258" t="str">
            <v>Vector|||200005121|||EQTY|||DILUTE_SHARES|||False|||</v>
          </cell>
          <cell r="C258" t="str">
            <v>V_KEYWORD_EQTY_200005121_DILUTE_SHARES</v>
          </cell>
        </row>
        <row r="259">
          <cell r="A259" t="str">
            <v>Vector|||200005121|||EQTY|||NON_OP_ADD|||False|||</v>
          </cell>
          <cell r="C259" t="str">
            <v>V_KEYWORD_EQTY_200005121_NON_OP_ADD</v>
          </cell>
        </row>
        <row r="260">
          <cell r="A260" t="str">
            <v>Vector|||208001433|||ISSR|||IND_SALES_IND|||False|||</v>
          </cell>
          <cell r="C260" t="str">
            <v>V_KEYWORD_ISSR_208001433_IND_SALES_IND</v>
          </cell>
        </row>
        <row r="261">
          <cell r="A261" t="str">
            <v>Vector|||200005121|||EQTY|||ORG_NI|||False|||</v>
          </cell>
          <cell r="C261" t="str">
            <v>V_KEYWORD_EQTY_200005121_ORG_NI</v>
          </cell>
        </row>
        <row r="262">
          <cell r="A262" t="str">
            <v>Vector|||200005121|||EQTY|||ORG_EPS|||False|||</v>
          </cell>
          <cell r="C262" t="str">
            <v>V_KEYWORD_EQTY_200005121_ORG_EPS</v>
          </cell>
        </row>
        <row r="263">
          <cell r="A263" t="str">
            <v>Vector|||200005121|||EQTY|||MARGIN_TAX_RATE|||False|||</v>
          </cell>
          <cell r="C263" t="str">
            <v>V_KEYWORD_EQTY_200005121_MARGIN_TAX_RATE</v>
          </cell>
        </row>
        <row r="265">
          <cell r="A265" t="str">
            <v>Vector|||200005121|||EQTY|||BVPS|||False|||</v>
          </cell>
          <cell r="C265" t="str">
            <v>V_KEYWORD_EQTY_200005121_BVPS</v>
          </cell>
        </row>
        <row r="267">
          <cell r="A267" t="str">
            <v>Vector|||200005121|||EQTY|||CF_NI_PRE_PREF|||False|||</v>
          </cell>
          <cell r="C267" t="str">
            <v>V_KEYWORD_EQTY_200005121_CF_NI_PRE_PREF</v>
          </cell>
        </row>
        <row r="269">
          <cell r="A269" t="str">
            <v>Scalar|||200005121|||EQTY|||BETA_ANALYST|||False|||</v>
          </cell>
          <cell r="C269" t="str">
            <v>V_KEYWORD_EQTY_200005121_BETA_ANALYST</v>
          </cell>
        </row>
        <row r="270">
          <cell r="A270" t="str">
            <v>Scalar|||200005121|||EQTY|||MKT_EQ_RISK_PREM|||False|||</v>
          </cell>
          <cell r="C270" t="str">
            <v>V_KEYWORD_EQTY_200005121_MKT_EQ_RISK_PREM</v>
          </cell>
        </row>
        <row r="271">
          <cell r="A271" t="str">
            <v>Scalar|||200005121|||EQTY|||RISK_FR_RATE|||False|||</v>
          </cell>
          <cell r="C271" t="str">
            <v>V_KEYWORD_EQTY_200005121_RISK_FR_RATE</v>
          </cell>
        </row>
        <row r="300">
          <cell r="A300" t="str">
            <v>Vector|||208001433|||ISSR|||SALES_OTH_COMMODITY|||False|||</v>
          </cell>
          <cell r="C300" t="str">
            <v>V_KEYWORD_ISSR_208001433_SALES_OTH_COMMODITY</v>
          </cell>
        </row>
        <row r="301">
          <cell r="A301" t="str">
            <v>Vector|||208001433|||ISSR|||SALES_OTH_SALES_SOURCES|||False|||</v>
          </cell>
          <cell r="C301" t="str">
            <v>V_KEYWORD_ISSR_208001433_SALES_OTH_SALES_SOURCES</v>
          </cell>
        </row>
        <row r="303">
          <cell r="A303" t="str">
            <v>Vector|||208001433|||ISSR|||EXP_OIL_PETRO_FUEL|||False|||</v>
          </cell>
          <cell r="C303" t="str">
            <v>V_KEYWORD_ISSR_208001433_EXP_OIL_PETRO_FUEL</v>
          </cell>
        </row>
        <row r="304">
          <cell r="A304" t="str">
            <v>Vector|||208001433|||ISSR|||EXP_OIL_DERIV_NGLS_PLASTICS|||False|||</v>
          </cell>
          <cell r="C304" t="str">
            <v>V_KEYWORD_ISSR_208001433_EXP_OIL_DERIV_NGLS_PLASTICS</v>
          </cell>
        </row>
        <row r="305">
          <cell r="A305" t="str">
            <v>Vector|||208001433|||ISSR|||EXP_NAT_GAS|||False|||</v>
          </cell>
          <cell r="C305" t="str">
            <v>V_KEYWORD_ISSR_208001433_EXP_NAT_GAS</v>
          </cell>
        </row>
        <row r="306">
          <cell r="A306" t="str">
            <v>Vector|||208001433|||ISSR|||EXP_GOLD|||False|||</v>
          </cell>
          <cell r="C306" t="str">
            <v>V_KEYWORD_ISSR_208001433_EXP_GOLD</v>
          </cell>
        </row>
        <row r="307">
          <cell r="A307" t="str">
            <v>Vector|||208001433|||ISSR|||EXP_COPPER|||False|||</v>
          </cell>
          <cell r="C307" t="str">
            <v>V_KEYWORD_ISSR_208001433_EXP_COPPER</v>
          </cell>
        </row>
        <row r="308">
          <cell r="A308" t="str">
            <v>Vector|||208001433|||ISSR|||EXP_SILVER|||False|||</v>
          </cell>
          <cell r="C308" t="str">
            <v>V_KEYWORD_ISSR_208001433_EXP_SILVER</v>
          </cell>
        </row>
        <row r="309">
          <cell r="A309" t="str">
            <v>Vector|||208001433|||ISSR|||EXP_PLATINUM|||False|||</v>
          </cell>
          <cell r="C309" t="str">
            <v>V_KEYWORD_ISSR_208001433_EXP_PLATINUM</v>
          </cell>
        </row>
        <row r="310">
          <cell r="A310" t="str">
            <v>Vector|||208001433|||ISSR|||EXP_PALLADIUM|||False|||</v>
          </cell>
          <cell r="C310" t="str">
            <v>V_KEYWORD_ISSR_208001433_EXP_PALLADIUM</v>
          </cell>
        </row>
        <row r="311">
          <cell r="A311" t="str">
            <v>Vector|||208001433|||ISSR|||EXP_ALUMINIUM|||False|||</v>
          </cell>
          <cell r="C311" t="str">
            <v>V_KEYWORD_ISSR_208001433_EXP_ALUMINIUM</v>
          </cell>
        </row>
        <row r="312">
          <cell r="A312" t="str">
            <v>Vector|||208001433|||ISSR|||EXP_NICKEL|||False|||</v>
          </cell>
          <cell r="C312" t="str">
            <v>V_KEYWORD_ISSR_208001433_EXP_NICKEL</v>
          </cell>
        </row>
        <row r="313">
          <cell r="A313" t="str">
            <v>Vector|||208001433|||ISSR|||EXP_ZINC|||False|||</v>
          </cell>
          <cell r="C313" t="str">
            <v>V_KEYWORD_ISSR_208001433_EXP_ZINC</v>
          </cell>
        </row>
        <row r="314">
          <cell r="A314" t="str">
            <v>Vector|||208001433|||ISSR|||EXP_STEEL|||False|||</v>
          </cell>
          <cell r="C314" t="str">
            <v>V_KEYWORD_ISSR_208001433_EXP_STEEL</v>
          </cell>
        </row>
        <row r="315">
          <cell r="A315" t="str">
            <v>Vector|||208001433|||ISSR|||EXP_GLASS|||False|||</v>
          </cell>
          <cell r="C315" t="str">
            <v>V_KEYWORD_ISSR_208001433_EXP_GLASS</v>
          </cell>
        </row>
        <row r="316">
          <cell r="A316" t="str">
            <v>Vector|||208001433|||ISSR|||EXP_RUBBER|||False|||</v>
          </cell>
          <cell r="C316" t="str">
            <v>V_KEYWORD_ISSR_208001433_EXP_RUBBER</v>
          </cell>
        </row>
        <row r="317">
          <cell r="A317" t="str">
            <v>Vector|||208001433|||ISSR|||EXP_WATER|||False|||</v>
          </cell>
          <cell r="C317" t="str">
            <v>V_KEYWORD_ISSR_208001433_EXP_WATER</v>
          </cell>
        </row>
        <row r="318">
          <cell r="A318" t="str">
            <v>Vector|||208001433|||ISSR|||EXP_OTH_COMMODITY|||False|||</v>
          </cell>
          <cell r="C318" t="str">
            <v>V_KEYWORD_ISSR_208001433_EXP_OTH_COMMODITY</v>
          </cell>
        </row>
        <row r="319">
          <cell r="A319" t="str">
            <v>Vector|||208001433|||ISSR|||EXP_OTH_COST|||False|||</v>
          </cell>
          <cell r="C319" t="str">
            <v>V_KEYWORD_ISSR_208001433_EXP_OTH_COST</v>
          </cell>
        </row>
        <row r="321">
          <cell r="A321" t="str">
            <v>Vector|||208001433|||ISSR|||SALES_FX_GPB|||False|||</v>
          </cell>
          <cell r="C321" t="str">
            <v>V_KEYWORD_ISSR_208001433_SALES_FX_GPB</v>
          </cell>
        </row>
        <row r="322">
          <cell r="A322" t="str">
            <v>Vector|||208001433|||ISSR|||SALES_FX_EUR|||False|||</v>
          </cell>
          <cell r="C322" t="str">
            <v>V_KEYWORD_ISSR_208001433_SALES_FX_EUR</v>
          </cell>
        </row>
        <row r="323">
          <cell r="A323" t="str">
            <v>Vector|||208001433|||ISSR|||SALES_FX_RUB|||False|||</v>
          </cell>
          <cell r="C323" t="str">
            <v>V_KEYWORD_ISSR_208001433_SALES_FX_RUB</v>
          </cell>
        </row>
        <row r="324">
          <cell r="A324" t="str">
            <v>Vector|||208001433|||ISSR|||SALES_FX_USD|||False|||</v>
          </cell>
          <cell r="C324" t="str">
            <v>V_KEYWORD_ISSR_208001433_SALES_FX_USD</v>
          </cell>
        </row>
        <row r="325">
          <cell r="A325" t="str">
            <v>Vector|||208001433|||ISSR|||SALES_FX_BRL|||False|||</v>
          </cell>
          <cell r="C325" t="str">
            <v>V_KEYWORD_ISSR_208001433_SALES_FX_BRL</v>
          </cell>
        </row>
        <row r="326">
          <cell r="A326" t="str">
            <v>Vector|||208001433|||ISSR|||SALES_FX_YEN|||False|||</v>
          </cell>
          <cell r="C326" t="str">
            <v>V_KEYWORD_ISSR_208001433_SALES_FX_YEN</v>
          </cell>
        </row>
        <row r="327">
          <cell r="A327" t="str">
            <v>Vector|||208001433|||ISSR|||SALES_FX_CNY|||False|||</v>
          </cell>
          <cell r="C327" t="str">
            <v>V_KEYWORD_ISSR_208001433_SALES_FX_CNY</v>
          </cell>
        </row>
        <row r="328">
          <cell r="A328" t="str">
            <v>Vector|||208001433|||ISSR|||SALES_FX_INR|||False|||</v>
          </cell>
          <cell r="C328" t="str">
            <v>V_KEYWORD_ISSR_208001433_SALES_FX_INR</v>
          </cell>
        </row>
        <row r="329">
          <cell r="A329" t="str">
            <v>Vector|||208001433|||ISSR|||SALES_FX_ZAR|||False|||</v>
          </cell>
          <cell r="C329" t="str">
            <v>V_KEYWORD_ISSR_208001433_SALES_FX_ZAR</v>
          </cell>
        </row>
        <row r="330">
          <cell r="A330" t="str">
            <v>Vector|||208001433|||ISSR|||SALES_FX_NGN|||False|||</v>
          </cell>
          <cell r="C330" t="str">
            <v>V_KEYWORD_ISSR_208001433_SALES_FX_NGN</v>
          </cell>
        </row>
        <row r="331">
          <cell r="A331" t="str">
            <v>Vector|||208001433|||ISSR|||SALES_FX_CHF|||False|||</v>
          </cell>
          <cell r="C331" t="str">
            <v>V_KEYWORD_ISSR_208001433_SALES_FX_CHF</v>
          </cell>
        </row>
        <row r="332">
          <cell r="A332" t="str">
            <v>Vector|||208001433|||ISSR|||SALES_FX_AED|||False|||</v>
          </cell>
          <cell r="C332" t="str">
            <v>V_KEYWORD_ISSR_208001433_SALES_FX_AED</v>
          </cell>
        </row>
        <row r="333">
          <cell r="A333" t="str">
            <v>Vector|||208001433|||ISSR|||SALES_FX_TRY|||False|||</v>
          </cell>
          <cell r="C333" t="str">
            <v>V_KEYWORD_ISSR_208001433_SALES_FX_TRY</v>
          </cell>
        </row>
        <row r="334">
          <cell r="A334" t="str">
            <v>Vector|||208001433|||ISSR|||SALES_FX_OTH|||False|||</v>
          </cell>
          <cell r="C334" t="str">
            <v>V_KEYWORD_ISSR_208001433_SALES_FX_OTH</v>
          </cell>
        </row>
        <row r="344">
          <cell r="A344" t="str">
            <v>Scalar|||200005121|||EQTY|||EURO_LIST|||False|||</v>
          </cell>
          <cell r="C344" t="str">
            <v>V_KEYWORD_EQTY_200005121_EURO_LIST</v>
          </cell>
          <cell r="E344" t="str">
            <v>ERROR</v>
          </cell>
        </row>
        <row r="345">
          <cell r="A345" t="str">
            <v>Scalar|||200005121|||EQTY|||EURO_CONVICTION|||False|||</v>
          </cell>
          <cell r="C345" t="str">
            <v>V_KEYWORD_EQTY_200005121_EURO_CONVICTION</v>
          </cell>
          <cell r="E345" t="str">
            <v>ERROR</v>
          </cell>
        </row>
        <row r="346">
          <cell r="A346" t="str">
            <v>Scalar|||200005121|||EQTY|||LEGAL_RATING|||False|||</v>
          </cell>
          <cell r="C346" t="str">
            <v>V_KEYWORD_EQTY_200005121_LEGAL_RATING</v>
          </cell>
          <cell r="E346" t="str">
            <v>ERROR</v>
          </cell>
        </row>
        <row r="347">
          <cell r="A347" t="str">
            <v>Scalar|||200005121|||EQTY|||TARGET_PRICE|||False|||</v>
          </cell>
          <cell r="C347" t="str">
            <v>V_KEYWORD_EQTY_200005121_TARGET_PRICE</v>
          </cell>
          <cell r="E347" t="str">
            <v>ERROR</v>
          </cell>
        </row>
        <row r="348">
          <cell r="A348" t="str">
            <v>Scalar|||200005121|||EQTY|||TP_PERIOD|||False|||</v>
          </cell>
          <cell r="C348" t="str">
            <v>V_KEYWORD_EQTY_200005121_TP_PERIOD</v>
          </cell>
          <cell r="E348" t="str">
            <v>ERROR</v>
          </cell>
        </row>
        <row r="349">
          <cell r="A349" t="str">
            <v>Scalar|||200005121|||EQTY|||NUM_SH|||False|||</v>
          </cell>
          <cell r="C349" t="str">
            <v>V_KEYWORD_EQTY_200005121_NUM_SH</v>
          </cell>
        </row>
        <row r="350">
          <cell r="A350" t="str">
            <v>Scalar|||200005121|||EQTY|||FREE_FLOAT|||False|||</v>
          </cell>
          <cell r="C350" t="str">
            <v>V_KEYWORD_EQTY_200005121_FREE_FLOAT</v>
          </cell>
        </row>
        <row r="351">
          <cell r="A351" t="str">
            <v>BreakdownScalar|||200005121|||EQTY|||ACT|||False|||1</v>
          </cell>
          <cell r="C351" t="str">
            <v>V_KEYWORD_EQTY_200005121_ACT1</v>
          </cell>
        </row>
        <row r="352">
          <cell r="A352" t="str">
            <v>BreakdownScalar|||200005121|||EQTY|||ACT|||False|||2</v>
          </cell>
          <cell r="C352" t="str">
            <v>V_KEYWORD_EQTY_200005121_ACT2</v>
          </cell>
        </row>
        <row r="353">
          <cell r="A353" t="str">
            <v>BreakdownScalar|||200005121|||EQTY|||ACT|||False|||3</v>
          </cell>
          <cell r="C353" t="str">
            <v>V_KEYWORD_EQTY_200005121_ACT3</v>
          </cell>
        </row>
        <row r="355">
          <cell r="A355" t="str">
            <v>Vector|||200005121|||EQTY|||BVPS_PUB|||False|||</v>
          </cell>
          <cell r="C355" t="str">
            <v>V_KEYWORD_EQTY_200005121_BVPS_PUB</v>
          </cell>
        </row>
        <row r="356">
          <cell r="A356" t="str">
            <v>Vector|||200005121|||EQTY|||DPS_PUB|||False|||</v>
          </cell>
          <cell r="C356" t="str">
            <v>V_KEYWORD_EQTY_200005121_DPS_PUB</v>
          </cell>
        </row>
        <row r="357">
          <cell r="A357" t="str">
            <v>Vector|||200005121|||EQTY|||EBITDA_PUB|||False|||</v>
          </cell>
          <cell r="C357" t="str">
            <v>V_KEYWORD_EQTY_200005121_EBITDA_PUB</v>
          </cell>
        </row>
        <row r="358">
          <cell r="A358" t="str">
            <v>Vector|||200005121|||EQTY|||EPS_PUB|||False|||</v>
          </cell>
          <cell r="C358" t="str">
            <v>V_KEYWORD_EQTY_200005121_EPS_PUB</v>
          </cell>
          <cell r="AT358" t="str">
            <v>ERROR</v>
          </cell>
          <cell r="AU358" t="str">
            <v>ERROR</v>
          </cell>
          <cell r="AV358" t="str">
            <v>ERROR</v>
          </cell>
          <cell r="AW358" t="str">
            <v>ERROR</v>
          </cell>
          <cell r="AX358" t="str">
            <v>ERROR</v>
          </cell>
          <cell r="AY358" t="str">
            <v>ERROR</v>
          </cell>
          <cell r="AZ358" t="str">
            <v>ERROR</v>
          </cell>
          <cell r="BA358" t="str">
            <v>ERROR</v>
          </cell>
          <cell r="BB358" t="str">
            <v>ERROR</v>
          </cell>
        </row>
        <row r="359">
          <cell r="A359" t="str">
            <v>Vector|||200005121|||EQTY|||EV_ADJ_PUB|||False|||</v>
          </cell>
          <cell r="C359" t="str">
            <v>V_KEYWORD_EQTY_200005121_EV_ADJ_PUB</v>
          </cell>
        </row>
        <row r="360">
          <cell r="A360" t="str">
            <v>Vector|||200005121|||EQTY|||NET_DEBT_PUB|||False|||</v>
          </cell>
          <cell r="C360" t="str">
            <v>V_KEYWORD_EQTY_200005121_NET_DEBT_PUB</v>
          </cell>
        </row>
        <row r="361">
          <cell r="A361" t="str">
            <v>Vector|||200005121|||EQTY|||NI_PUB|||False|||</v>
          </cell>
          <cell r="C361" t="str">
            <v>V_KEYWORD_EQTY_200005121_NI_PUB</v>
          </cell>
        </row>
        <row r="362">
          <cell r="A362" t="str">
            <v>Vector|||200005121|||EQTY|||EBIT_PUB|||False|||</v>
          </cell>
          <cell r="C362" t="str">
            <v>V_KEYWORD_EQTY_200005121_EBIT_PUB</v>
          </cell>
        </row>
        <row r="363">
          <cell r="A363" t="str">
            <v>Vector|||200005121|||EQTY|||PTP_PUB|||False|||</v>
          </cell>
          <cell r="C363" t="str">
            <v>V_KEYWORD_EQTY_200005121_PTP_PUB</v>
          </cell>
        </row>
        <row r="364">
          <cell r="A364" t="str">
            <v>Vector|||200005121|||EQTY|||REVS_PUB|||False|||</v>
          </cell>
          <cell r="C364" t="str">
            <v>V_KEYWORD_EQTY_200005121_REVS_PUB</v>
          </cell>
        </row>
        <row r="365">
          <cell r="A365" t="str">
            <v>Vector|||200005121|||EQTY|||EQ_PUB|||False|||</v>
          </cell>
          <cell r="C365" t="str">
            <v>V_KEYWORD_EQTY_200005121_EQ_PUB</v>
          </cell>
        </row>
        <row r="367">
          <cell r="A367" t="str">
            <v>Vector|||200005121|||EQTY|||PROV_INC_TAX|||False|||</v>
          </cell>
          <cell r="C367" t="str">
            <v>V_KEYWORD_EQTY_200005121_PROV_INC_TAX</v>
          </cell>
        </row>
        <row r="368">
          <cell r="A368" t="str">
            <v>Vector|||200005121|||EQTY|||INC_MINORITY|||False|||</v>
          </cell>
          <cell r="C368" t="str">
            <v>V_KEYWORD_EQTY_200005121_INC_MINORITY</v>
          </cell>
        </row>
        <row r="369">
          <cell r="A369" t="str">
            <v>Vector|||200005121|||EQTY|||NI_PRE_PREF|||False|||</v>
          </cell>
          <cell r="C369" t="str">
            <v>V_KEYWORD_EQTY_200005121_NI_PRE_PREF</v>
          </cell>
        </row>
        <row r="370">
          <cell r="A370" t="str">
            <v>Vector|||200005121|||EQTY|||PREF_DIV|||False|||</v>
          </cell>
          <cell r="C370" t="str">
            <v>V_KEYWORD_EQTY_200005121_PREF_DIV</v>
          </cell>
        </row>
        <row r="371">
          <cell r="A371" t="str">
            <v>Vector|||200005121|||EQTY|||NET_EARNING|||False|||</v>
          </cell>
          <cell r="C371" t="str">
            <v>V_KEYWORD_EQTY_200005121_NET_EARNING</v>
          </cell>
        </row>
        <row r="372">
          <cell r="A372" t="str">
            <v>Vector|||200005121|||EQTY|||TAX_EXC|||False|||</v>
          </cell>
          <cell r="C372" t="str">
            <v>V_KEYWORD_EQTY_200005121_TAX_EXC</v>
          </cell>
        </row>
        <row r="373">
          <cell r="A373" t="str">
            <v>Vector|||200005121|||EQTY|||NET_INC|||False|||</v>
          </cell>
          <cell r="C373" t="str">
            <v>V_KEYWORD_EQTY_200005121_NET_INC</v>
          </cell>
        </row>
        <row r="374">
          <cell r="A374" t="str">
            <v>Vector|||200005121|||EQTY|||EPS|||False|||</v>
          </cell>
          <cell r="C374" t="str">
            <v>V_KEYWORD_EQTY_200005121_EPS</v>
          </cell>
        </row>
        <row r="375">
          <cell r="A375" t="str">
            <v>Vector|||200005121|||EQTY|||EPS_FUL_DIL|||False|||</v>
          </cell>
          <cell r="C375" t="str">
            <v>V_KEYWORD_EQTY_200005121_EPS_FUL_DIL</v>
          </cell>
        </row>
        <row r="376">
          <cell r="A376" t="str">
            <v>Vector|||200005121|||EQTY|||EPS_POST_BASIC|||False|||</v>
          </cell>
          <cell r="C376" t="str">
            <v>V_KEYWORD_EQTY_200005121_EPS_POST_BASIC</v>
          </cell>
        </row>
        <row r="377">
          <cell r="A377" t="str">
            <v>Vector|||200005121|||EQTY|||FULLY_DIL_EPS|||False|||</v>
          </cell>
          <cell r="C377" t="str">
            <v>V_KEYWORD_EQTY_200005121_FULLY_DIL_EPS</v>
          </cell>
        </row>
        <row r="378">
          <cell r="A378" t="str">
            <v>Vector|||200005121|||EQTY|||COMMON_DIV_PAID|||False|||</v>
          </cell>
          <cell r="C378" t="str">
            <v>V_KEYWORD_EQTY_200005121_COMMON_DIV_PAID</v>
          </cell>
        </row>
        <row r="379">
          <cell r="A379" t="str">
            <v>Vector|||200005121|||EQTY|||DPS|||False|||</v>
          </cell>
          <cell r="C379" t="str">
            <v>V_KEYWORD_EQTY_200005121_DPS</v>
          </cell>
        </row>
        <row r="380">
          <cell r="A380" t="str">
            <v>Vector|||200005121|||EQTY|||SH|||False|||</v>
          </cell>
          <cell r="C380" t="str">
            <v>V_KEYWORD_EQTY_200005121_SH</v>
          </cell>
        </row>
        <row r="381">
          <cell r="A381" t="str">
            <v>Vector|||200005121|||EQTY|||DILUTE_SHARES|||False|||</v>
          </cell>
          <cell r="C381" t="str">
            <v>V_KEYWORD_EQTY_200005121_DILUTE_SHARES</v>
          </cell>
        </row>
        <row r="382">
          <cell r="A382" t="str">
            <v>Vector|||200005121|||EQTY|||NON_OP_ADD|||False|||</v>
          </cell>
          <cell r="C382" t="str">
            <v>V_KEYWORD_EQTY_200005121_NON_OP_ADD</v>
          </cell>
        </row>
        <row r="384">
          <cell r="A384" t="str">
            <v>Vector|||200005121|||EQTY|||ORG_NI|||False|||</v>
          </cell>
          <cell r="C384" t="str">
            <v>V_KEYWORD_EQTY_200005121_ORG_NI</v>
          </cell>
        </row>
        <row r="385">
          <cell r="A385" t="str">
            <v>Vector|||200005121|||EQTY|||ORG_EPS|||False|||</v>
          </cell>
          <cell r="C385" t="str">
            <v>V_KEYWORD_EQTY_200005121_ORG_EPS</v>
          </cell>
        </row>
        <row r="386">
          <cell r="A386" t="str">
            <v>Vector|||200005121|||EQTY|||MARGIN_TAX_RATE|||False|||</v>
          </cell>
          <cell r="C386" t="str">
            <v>V_KEYWORD_EQTY_200005121_MARGIN_TAX_RATE</v>
          </cell>
        </row>
        <row r="388">
          <cell r="A388" t="str">
            <v>Vector|||200005121|||EQTY|||BVPS|||False|||</v>
          </cell>
          <cell r="C388" t="str">
            <v>V_KEYWORD_EQTY_200005121_BVPS</v>
          </cell>
        </row>
      </sheetData>
      <sheetData sheetId="3">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Actual</v>
          </cell>
          <cell r="AR2" t="str">
            <v>Actual</v>
          </cell>
          <cell r="AS2" t="str">
            <v>Actual</v>
          </cell>
          <cell r="AT2" t="str">
            <v>Estimate</v>
          </cell>
          <cell r="AU2" t="str">
            <v>Estimate</v>
          </cell>
          <cell r="AV2" t="str">
            <v>Estimate</v>
          </cell>
          <cell r="AW2" t="str">
            <v>Estimate</v>
          </cell>
          <cell r="AX2" t="str">
            <v>Estimate</v>
          </cell>
        </row>
        <row r="5">
          <cell r="A5" t="str">
            <v>Reference Data</v>
          </cell>
        </row>
        <row r="8">
          <cell r="A8" t="str">
            <v>Income Statement</v>
          </cell>
        </row>
        <row r="9">
          <cell r="B9" t="str">
            <v>Sales, net revenue</v>
          </cell>
          <cell r="C9" t="str">
            <v>SALES</v>
          </cell>
          <cell r="D9" t="str">
            <v>EUR</v>
          </cell>
        </row>
        <row r="10">
          <cell r="B10" t="str">
            <v>Cost of goods sold, COGS</v>
          </cell>
          <cell r="C10" t="str">
            <v>COST_GD_SD</v>
          </cell>
          <cell r="D10" t="str">
            <v>EUR</v>
          </cell>
        </row>
        <row r="11">
          <cell r="B11" t="str">
            <v>SG&amp;A, selling, general and admin. expense</v>
          </cell>
          <cell r="C11" t="str">
            <v>SEL_GL_AD</v>
          </cell>
          <cell r="D11" t="str">
            <v>EUR</v>
          </cell>
        </row>
        <row r="12">
          <cell r="B12" t="str">
            <v>Total operating expense</v>
          </cell>
          <cell r="C12" t="str">
            <v>OP_COST</v>
          </cell>
          <cell r="D12" t="str">
            <v>EUR</v>
          </cell>
        </row>
        <row r="13">
          <cell r="B13" t="str">
            <v>R&amp;D expense</v>
          </cell>
          <cell r="C13" t="str">
            <v>RD_EXP</v>
          </cell>
          <cell r="D13" t="str">
            <v>EUR</v>
          </cell>
        </row>
        <row r="14">
          <cell r="B14" t="str">
            <v>Other operating income/(expense) (incl. leases)</v>
          </cell>
          <cell r="C14" t="str">
            <v>OTH_OP_INC_EXP</v>
          </cell>
          <cell r="D14" t="str">
            <v>EUR</v>
          </cell>
        </row>
        <row r="15">
          <cell r="B15" t="str">
            <v>Total operating expense (incl. D&amp;A)</v>
          </cell>
          <cell r="C15" t="str">
            <v>TOT_OPS_EXP_DDA</v>
          </cell>
          <cell r="D15" t="str">
            <v>EUR</v>
          </cell>
        </row>
        <row r="16">
          <cell r="B16" t="str">
            <v>Total operating expense (excl. D&amp;A)</v>
          </cell>
          <cell r="C16" t="str">
            <v>TOT_OPS_EXP</v>
          </cell>
          <cell r="D16" t="str">
            <v>EUR</v>
          </cell>
        </row>
        <row r="17">
          <cell r="B17" t="str">
            <v>EBITDA</v>
          </cell>
          <cell r="C17" t="str">
            <v>EBITDA_CALC</v>
          </cell>
          <cell r="D17" t="str">
            <v>EUR</v>
          </cell>
        </row>
        <row r="18">
          <cell r="B18" t="str">
            <v>Depreciation</v>
          </cell>
          <cell r="C18" t="str">
            <v>DEPREC</v>
          </cell>
          <cell r="D18" t="str">
            <v>EUR</v>
          </cell>
        </row>
        <row r="19">
          <cell r="B19" t="str">
            <v>Amortization</v>
          </cell>
          <cell r="C19" t="str">
            <v>GOODWILL_AMORT</v>
          </cell>
          <cell r="D19" t="str">
            <v>EUR</v>
          </cell>
        </row>
        <row r="20">
          <cell r="B20" t="str">
            <v>EBIT, operating profit</v>
          </cell>
          <cell r="C20" t="str">
            <v>EBIT</v>
          </cell>
          <cell r="D20" t="str">
            <v>EUR</v>
          </cell>
        </row>
        <row r="21">
          <cell r="B21" t="str">
            <v>Interest income</v>
          </cell>
          <cell r="C21" t="str">
            <v>INT_INC_IND</v>
          </cell>
          <cell r="D21" t="str">
            <v>EUR</v>
          </cell>
        </row>
        <row r="22">
          <cell r="B22" t="str">
            <v>Interest expense</v>
          </cell>
          <cell r="C22" t="str">
            <v>INT_EXP_IND</v>
          </cell>
          <cell r="D22" t="str">
            <v>EUR</v>
          </cell>
        </row>
        <row r="23">
          <cell r="B23" t="str">
            <v>Net interest income/(expense)</v>
          </cell>
          <cell r="C23" t="str">
            <v>NET_INT_EXP</v>
          </cell>
          <cell r="D23" t="str">
            <v>EUR</v>
          </cell>
        </row>
        <row r="24">
          <cell r="B24" t="str">
            <v>Income/(loss) from unconsolidated subs &amp; associates</v>
          </cell>
          <cell r="C24" t="str">
            <v>ASSOCIATE</v>
          </cell>
          <cell r="D24" t="str">
            <v>EUR</v>
          </cell>
        </row>
        <row r="25">
          <cell r="B25" t="str">
            <v>Profit/(loss) on disposals of assets, pre-tax</v>
          </cell>
          <cell r="C25" t="str">
            <v>PROFIT_ON_DISP</v>
          </cell>
          <cell r="D25" t="str">
            <v>EUR</v>
          </cell>
        </row>
        <row r="26">
          <cell r="B26" t="str">
            <v>Other non-ops income/(expense)</v>
          </cell>
          <cell r="C26" t="str">
            <v>OTH_COST_INC</v>
          </cell>
          <cell r="D26" t="str">
            <v>EUR</v>
          </cell>
        </row>
        <row r="27">
          <cell r="B27" t="str">
            <v>Pre-tax profit</v>
          </cell>
          <cell r="C27" t="str">
            <v>PT_PROF</v>
          </cell>
          <cell r="D27" t="str">
            <v>EUR</v>
          </cell>
        </row>
        <row r="28">
          <cell r="A28" t="str">
            <v>Additional Income Statement Items</v>
          </cell>
        </row>
        <row r="29">
          <cell r="B29" t="str">
            <v>Organic revenues (excl. acquisitions)</v>
          </cell>
          <cell r="C29" t="str">
            <v>ORG_REV</v>
          </cell>
          <cell r="D29" t="str">
            <v>EUR</v>
          </cell>
        </row>
        <row r="30">
          <cell r="B30" t="str">
            <v>Organic sales growth (excl. acquisitions)</v>
          </cell>
          <cell r="C30" t="str">
            <v>ORG_REV_GRTH</v>
          </cell>
        </row>
        <row r="31">
          <cell r="B31" t="str">
            <v>Lease payments</v>
          </cell>
          <cell r="C31" t="str">
            <v>LEASE_PAY</v>
          </cell>
          <cell r="D31" t="str">
            <v>EUR</v>
          </cell>
        </row>
        <row r="32">
          <cell r="B32" t="str">
            <v>Lease payments (deemed interest portion)</v>
          </cell>
          <cell r="C32" t="str">
            <v>LEASE_DEEM_INT</v>
          </cell>
          <cell r="D32" t="str">
            <v>EUR</v>
          </cell>
        </row>
        <row r="33">
          <cell r="B33" t="str">
            <v>Lease payments (deemed depreciation portion)</v>
          </cell>
          <cell r="C33" t="str">
            <v>LEASE_DEEM_DEPR</v>
          </cell>
          <cell r="D33" t="str">
            <v>EUR</v>
          </cell>
        </row>
        <row r="34">
          <cell r="B34" t="str">
            <v>Gross interest charge</v>
          </cell>
          <cell r="C34" t="str">
            <v>NET_INT_CH</v>
          </cell>
          <cell r="D34" t="str">
            <v>EUR</v>
          </cell>
        </row>
        <row r="35">
          <cell r="B35" t="str">
            <v>Income from associates (operating)</v>
          </cell>
          <cell r="C35" t="str">
            <v>ASSOCIATE_OP</v>
          </cell>
          <cell r="D35" t="str">
            <v>EUR</v>
          </cell>
        </row>
        <row r="36">
          <cell r="B36" t="str">
            <v>Goodwill amortization</v>
          </cell>
          <cell r="C36" t="str">
            <v>GW_AMORT</v>
          </cell>
          <cell r="D36" t="str">
            <v>EUR</v>
          </cell>
        </row>
        <row r="37">
          <cell r="B37" t="str">
            <v>Other intangible amortization</v>
          </cell>
          <cell r="C37" t="str">
            <v>OTH_INT_AMORT</v>
          </cell>
          <cell r="D37" t="str">
            <v>EUR</v>
          </cell>
        </row>
        <row r="38">
          <cell r="A38" t="str">
            <v>Balance Sheet</v>
          </cell>
        </row>
        <row r="39">
          <cell r="B39" t="str">
            <v>Cash &amp; cash equivalents</v>
          </cell>
          <cell r="C39" t="str">
            <v>CASH_EQ</v>
          </cell>
          <cell r="D39" t="str">
            <v>EUR</v>
          </cell>
        </row>
        <row r="40">
          <cell r="B40" t="str">
            <v>Accounts receivable</v>
          </cell>
          <cell r="C40" t="str">
            <v>DEBTORS</v>
          </cell>
          <cell r="D40" t="str">
            <v>EUR</v>
          </cell>
        </row>
        <row r="41">
          <cell r="B41" t="str">
            <v>Inventory</v>
          </cell>
          <cell r="C41" t="str">
            <v>STOCKS</v>
          </cell>
          <cell r="D41" t="str">
            <v>EUR</v>
          </cell>
        </row>
        <row r="42">
          <cell r="B42" t="str">
            <v>Other current assets</v>
          </cell>
          <cell r="C42" t="str">
            <v>OTH_CUR_ASS</v>
          </cell>
          <cell r="D42" t="str">
            <v>EUR</v>
          </cell>
        </row>
        <row r="43">
          <cell r="B43" t="str">
            <v>Total current assets</v>
          </cell>
          <cell r="C43" t="str">
            <v>CUR_ASS</v>
          </cell>
          <cell r="D43" t="str">
            <v>EUR</v>
          </cell>
        </row>
        <row r="44">
          <cell r="B44" t="str">
            <v>Gross fixed assets, PP&amp;E</v>
          </cell>
          <cell r="C44" t="str">
            <v>GR_FIX_ASS</v>
          </cell>
          <cell r="D44" t="str">
            <v>EUR</v>
          </cell>
        </row>
        <row r="45">
          <cell r="B45" t="str">
            <v>Accumulated depreciation</v>
          </cell>
          <cell r="C45" t="str">
            <v>ACC_DDA</v>
          </cell>
          <cell r="D45" t="str">
            <v>EUR</v>
          </cell>
        </row>
        <row r="46">
          <cell r="B46" t="str">
            <v>Net PP&amp;E</v>
          </cell>
          <cell r="C46" t="str">
            <v>NET_FIX_ASS</v>
          </cell>
          <cell r="D46" t="str">
            <v>EUR</v>
          </cell>
        </row>
        <row r="47">
          <cell r="B47" t="str">
            <v>Gross intangibles</v>
          </cell>
          <cell r="C47" t="str">
            <v>GR_INTANG</v>
          </cell>
          <cell r="D47" t="str">
            <v>EUR</v>
          </cell>
        </row>
        <row r="48">
          <cell r="B48" t="str">
            <v>Accumulated amortization</v>
          </cell>
          <cell r="C48" t="str">
            <v>ACC_AMORT</v>
          </cell>
          <cell r="D48" t="str">
            <v>EUR</v>
          </cell>
        </row>
        <row r="49">
          <cell r="B49" t="str">
            <v>Net intangible assets</v>
          </cell>
          <cell r="C49" t="str">
            <v>NET_INTANG</v>
          </cell>
          <cell r="D49" t="str">
            <v>EUR</v>
          </cell>
        </row>
        <row r="50">
          <cell r="B50" t="str">
            <v>Equity method investments</v>
          </cell>
          <cell r="C50" t="str">
            <v>FIX_ASS_INV</v>
          </cell>
          <cell r="D50" t="str">
            <v>EUR</v>
          </cell>
        </row>
        <row r="51">
          <cell r="B51" t="str">
            <v>Investments in securities</v>
          </cell>
          <cell r="C51" t="str">
            <v>INV_SECUR</v>
          </cell>
          <cell r="D51" t="str">
            <v>EUR</v>
          </cell>
        </row>
        <row r="52">
          <cell r="B52" t="str">
            <v>Other long-term assets</v>
          </cell>
          <cell r="C52" t="str">
            <v>OTH_LT_ASS</v>
          </cell>
          <cell r="D52" t="str">
            <v>EUR</v>
          </cell>
        </row>
        <row r="53">
          <cell r="B53" t="str">
            <v>Total assets</v>
          </cell>
          <cell r="C53" t="str">
            <v>TOT_ASSET</v>
          </cell>
          <cell r="D53" t="str">
            <v>EUR</v>
          </cell>
        </row>
        <row r="54">
          <cell r="B54" t="str">
            <v>Accounts payable</v>
          </cell>
          <cell r="C54" t="str">
            <v>ACC_PAY_GQ</v>
          </cell>
          <cell r="D54" t="str">
            <v>EUR</v>
          </cell>
        </row>
        <row r="55">
          <cell r="B55" t="str">
            <v>Short-term debt</v>
          </cell>
          <cell r="C55" t="str">
            <v>SHORT_T_DEBT</v>
          </cell>
          <cell r="D55" t="str">
            <v>EUR</v>
          </cell>
        </row>
        <row r="56">
          <cell r="B56" t="str">
            <v>Other current liabilities</v>
          </cell>
          <cell r="C56" t="str">
            <v>OTH_CUR_LIABS</v>
          </cell>
          <cell r="D56" t="str">
            <v>EUR</v>
          </cell>
        </row>
        <row r="57">
          <cell r="B57" t="str">
            <v>Total current liabilities</v>
          </cell>
          <cell r="C57" t="str">
            <v>SHORT_TERM_LIABS</v>
          </cell>
          <cell r="D57" t="str">
            <v>EUR</v>
          </cell>
        </row>
        <row r="58">
          <cell r="B58" t="str">
            <v>Long-term  debt</v>
          </cell>
          <cell r="C58" t="str">
            <v>LT_DEBT</v>
          </cell>
          <cell r="D58" t="str">
            <v>EUR</v>
          </cell>
        </row>
        <row r="59">
          <cell r="B59" t="str">
            <v>Other long-term liabilities</v>
          </cell>
          <cell r="C59" t="str">
            <v>OTH_LT_CRED_GQ</v>
          </cell>
          <cell r="D59" t="str">
            <v>EUR</v>
          </cell>
        </row>
        <row r="60">
          <cell r="B60" t="str">
            <v>Total long-term liabilities</v>
          </cell>
          <cell r="C60" t="str">
            <v>TOT_LT_LIAB</v>
          </cell>
          <cell r="D60" t="str">
            <v>EUR</v>
          </cell>
        </row>
        <row r="61">
          <cell r="B61" t="str">
            <v>Total liabilities</v>
          </cell>
          <cell r="C61" t="str">
            <v>TOT_LIAB</v>
          </cell>
          <cell r="D61" t="str">
            <v>EUR</v>
          </cell>
        </row>
        <row r="62">
          <cell r="B62" t="str">
            <v>Preferred shares</v>
          </cell>
          <cell r="C62" t="str">
            <v>PREF_SH</v>
          </cell>
          <cell r="D62" t="str">
            <v>EUR</v>
          </cell>
        </row>
        <row r="63">
          <cell r="B63" t="str">
            <v>Total common equity</v>
          </cell>
          <cell r="C63" t="str">
            <v>ORD_SH_FUND</v>
          </cell>
          <cell r="D63" t="str">
            <v>EUR</v>
          </cell>
        </row>
        <row r="64">
          <cell r="B64" t="str">
            <v>Minority interest</v>
          </cell>
          <cell r="C64" t="str">
            <v>MINORITIES</v>
          </cell>
          <cell r="D64" t="str">
            <v>EUR</v>
          </cell>
        </row>
        <row r="65">
          <cell r="B65" t="str">
            <v>Total shareholders' equity</v>
          </cell>
          <cell r="C65" t="str">
            <v>EQ</v>
          </cell>
          <cell r="D65" t="str">
            <v>EUR</v>
          </cell>
        </row>
        <row r="66">
          <cell r="B66" t="str">
            <v>Total liabilities and equity</v>
          </cell>
          <cell r="C66" t="str">
            <v>TOT_LIAB_EQ</v>
          </cell>
          <cell r="D66" t="str">
            <v>EUR</v>
          </cell>
        </row>
        <row r="67">
          <cell r="A67" t="str">
            <v>Additional Balance Sheet Items</v>
          </cell>
        </row>
        <row r="68">
          <cell r="B68" t="str">
            <v>Net debt</v>
          </cell>
          <cell r="C68" t="str">
            <v>NET_DEBT</v>
          </cell>
          <cell r="D68" t="str">
            <v>EUR</v>
          </cell>
        </row>
        <row r="69">
          <cell r="B69" t="str">
            <v>Capitalized leases</v>
          </cell>
          <cell r="C69" t="str">
            <v>CAP_LEASES</v>
          </cell>
          <cell r="D69" t="str">
            <v>EUR</v>
          </cell>
        </row>
        <row r="70">
          <cell r="B70" t="str">
            <v>Deferred income taxes</v>
          </cell>
          <cell r="C70" t="str">
            <v>DEF_INC_TAX</v>
          </cell>
          <cell r="D70" t="str">
            <v>EUR</v>
          </cell>
        </row>
        <row r="71">
          <cell r="B71" t="str">
            <v>Associates (mkt value) used in EV calculation</v>
          </cell>
          <cell r="C71" t="str">
            <v>MV_ASSOCIATES</v>
          </cell>
          <cell r="D71" t="str">
            <v>EUR</v>
          </cell>
        </row>
        <row r="72">
          <cell r="B72" t="str">
            <v>Net debt adjustment</v>
          </cell>
          <cell r="C72" t="str">
            <v>NET_DEBT_ADJ</v>
          </cell>
          <cell r="D72" t="str">
            <v>EUR</v>
          </cell>
        </row>
        <row r="73">
          <cell r="B73" t="str">
            <v>Company borrowing margin</v>
          </cell>
          <cell r="C73" t="str">
            <v>CO_BOR_MARGIN</v>
          </cell>
        </row>
        <row r="74">
          <cell r="B74" t="str">
            <v>Unfunded pensions &amp; other provisions</v>
          </cell>
          <cell r="C74" t="str">
            <v>UNF_PENS</v>
          </cell>
          <cell r="D74" t="str">
            <v>EUR</v>
          </cell>
        </row>
        <row r="75">
          <cell r="B75" t="str">
            <v>Unfunded pension liabilities (off balance sheet)</v>
          </cell>
          <cell r="C75" t="str">
            <v>UNF_PENS_OFF</v>
          </cell>
          <cell r="D75" t="str">
            <v>EUR</v>
          </cell>
        </row>
        <row r="76">
          <cell r="B76" t="str">
            <v>Unfunded pension liabilities &amp; other, used in EV</v>
          </cell>
          <cell r="C76" t="str">
            <v>UNF_PENS_LIAB_OTH</v>
          </cell>
          <cell r="D76" t="str">
            <v>EUR</v>
          </cell>
        </row>
        <row r="77">
          <cell r="B77" t="str">
            <v>Adjustment for unfunded pensions &amp; goodwill</v>
          </cell>
          <cell r="C77" t="str">
            <v>ADJ_UNF_PENS_GOOD</v>
          </cell>
          <cell r="D77" t="str">
            <v>EUR</v>
          </cell>
        </row>
        <row r="78">
          <cell r="B78" t="str">
            <v>Other GCI adjustments</v>
          </cell>
          <cell r="C78" t="str">
            <v>OTH_GCI_ADJ</v>
          </cell>
          <cell r="D78" t="str">
            <v>EUR</v>
          </cell>
        </row>
        <row r="79">
          <cell r="B79" t="str">
            <v>GCI inflator</v>
          </cell>
          <cell r="C79" t="str">
            <v>GCI_INFL</v>
          </cell>
        </row>
        <row r="80">
          <cell r="B80" t="str">
            <v>Minority interest</v>
          </cell>
          <cell r="C80" t="str">
            <v>BAL_MINO_INT</v>
          </cell>
          <cell r="D80" t="str">
            <v>EUR</v>
          </cell>
        </row>
        <row r="81">
          <cell r="A81" t="str">
            <v>Cash Flow Statement</v>
          </cell>
        </row>
        <row r="82">
          <cell r="B82" t="str">
            <v>Minority interest add-back</v>
          </cell>
          <cell r="C82" t="str">
            <v>CF_INC_MINORITY</v>
          </cell>
          <cell r="D82" t="str">
            <v>EUR</v>
          </cell>
        </row>
        <row r="83">
          <cell r="B83" t="str">
            <v>Depreciation &amp; amortization add-back</v>
          </cell>
          <cell r="C83" t="str">
            <v>DEPR_AMORT</v>
          </cell>
          <cell r="D83" t="str">
            <v>EUR</v>
          </cell>
        </row>
        <row r="84">
          <cell r="B84" t="str">
            <v>(Increase)/decrease in working capital</v>
          </cell>
          <cell r="C84" t="str">
            <v>WORK_CAP</v>
          </cell>
          <cell r="D84" t="str">
            <v>EUR</v>
          </cell>
        </row>
        <row r="85">
          <cell r="B85" t="str">
            <v>Other operating cash flow items</v>
          </cell>
          <cell r="C85" t="str">
            <v>OTH_OP_CF</v>
          </cell>
          <cell r="D85" t="str">
            <v>EUR</v>
          </cell>
        </row>
        <row r="86">
          <cell r="B86" t="str">
            <v>Cash flow from operating activities</v>
          </cell>
          <cell r="C86" t="str">
            <v>CF_OPS</v>
          </cell>
          <cell r="D86" t="str">
            <v>EUR</v>
          </cell>
        </row>
        <row r="87">
          <cell r="B87" t="str">
            <v>Capital expenditures, Capex</v>
          </cell>
          <cell r="C87" t="str">
            <v>CAPEX</v>
          </cell>
          <cell r="D87" t="str">
            <v>EUR</v>
          </cell>
        </row>
        <row r="88">
          <cell r="B88" t="str">
            <v>Acquisitions</v>
          </cell>
          <cell r="C88" t="str">
            <v>ACQ</v>
          </cell>
          <cell r="D88" t="str">
            <v>EUR</v>
          </cell>
        </row>
        <row r="89">
          <cell r="B89" t="str">
            <v>Divestitures</v>
          </cell>
          <cell r="C89" t="str">
            <v>DIVEST</v>
          </cell>
          <cell r="D89" t="str">
            <v>EUR</v>
          </cell>
        </row>
        <row r="90">
          <cell r="B90" t="str">
            <v>Other investing cash flow items</v>
          </cell>
          <cell r="C90" t="str">
            <v>OTH_INV_CF</v>
          </cell>
          <cell r="D90" t="str">
            <v>EUR</v>
          </cell>
        </row>
        <row r="91">
          <cell r="B91" t="str">
            <v>Cash flow from investing</v>
          </cell>
          <cell r="C91" t="str">
            <v>CF_INV</v>
          </cell>
          <cell r="D91" t="str">
            <v>EUR</v>
          </cell>
        </row>
        <row r="92">
          <cell r="B92" t="str">
            <v>Dividends paid</v>
          </cell>
          <cell r="C92" t="str">
            <v>DIV_PAID</v>
          </cell>
          <cell r="D92" t="str">
            <v>EUR</v>
          </cell>
        </row>
        <row r="93">
          <cell r="B93" t="str">
            <v>Common stock issuance/(repurchase)</v>
          </cell>
          <cell r="C93" t="str">
            <v>SH_REPUR</v>
          </cell>
          <cell r="D93" t="str">
            <v>EUR</v>
          </cell>
        </row>
        <row r="94">
          <cell r="B94" t="str">
            <v>Increase/(decrease) in total debt</v>
          </cell>
          <cell r="C94" t="str">
            <v>CHG_LT_DEBT</v>
          </cell>
          <cell r="D94" t="str">
            <v>EUR</v>
          </cell>
        </row>
        <row r="95">
          <cell r="B95" t="str">
            <v>Other financing cash flow items</v>
          </cell>
          <cell r="C95" t="str">
            <v>OTH_FIN_CF</v>
          </cell>
          <cell r="D95" t="str">
            <v>EUR</v>
          </cell>
        </row>
        <row r="96">
          <cell r="B96" t="str">
            <v>Cash flow from financing</v>
          </cell>
          <cell r="C96" t="str">
            <v>CF_FIN</v>
          </cell>
          <cell r="D96" t="str">
            <v>EUR</v>
          </cell>
        </row>
        <row r="97">
          <cell r="B97" t="str">
            <v>Other items net cash flow</v>
          </cell>
          <cell r="C97" t="str">
            <v>OTH_ITEM_NCF</v>
          </cell>
          <cell r="D97" t="str">
            <v>EUR</v>
          </cell>
        </row>
        <row r="98">
          <cell r="B98" t="str">
            <v>Total cash flow</v>
          </cell>
          <cell r="C98" t="str">
            <v>TOT_CF</v>
          </cell>
          <cell r="D98" t="str">
            <v>EUR</v>
          </cell>
        </row>
        <row r="99">
          <cell r="A99" t="str">
            <v>Additional Cash Flow Items</v>
          </cell>
        </row>
        <row r="100">
          <cell r="B100" t="str">
            <v>Associate and JV add-back</v>
          </cell>
          <cell r="C100" t="str">
            <v>ASSOC_JV_ADDBK</v>
          </cell>
          <cell r="D100" t="str">
            <v>EUR</v>
          </cell>
        </row>
        <row r="101">
          <cell r="B101" t="str">
            <v>Cash interest income/(expense)</v>
          </cell>
          <cell r="C101" t="str">
            <v>CASH_INT_INC_EXP</v>
          </cell>
          <cell r="D101" t="str">
            <v>EUR</v>
          </cell>
        </row>
        <row r="102">
          <cell r="B102" t="str">
            <v>Cash taxes paid</v>
          </cell>
          <cell r="C102" t="str">
            <v>CASH_TAX_PD</v>
          </cell>
          <cell r="D102" t="str">
            <v>EUR</v>
          </cell>
        </row>
        <row r="103">
          <cell r="B103" t="str">
            <v>Profit/(loss) on sale of assets</v>
          </cell>
          <cell r="C103" t="str">
            <v>PL_SALE_ASSETS</v>
          </cell>
          <cell r="D103" t="str">
            <v>EUR</v>
          </cell>
        </row>
        <row r="104">
          <cell r="B104" t="str">
            <v>Other non-cash adjustments</v>
          </cell>
          <cell r="C104" t="str">
            <v>OTH_NONCASH_ADJ</v>
          </cell>
          <cell r="D104" t="str">
            <v>EUR</v>
          </cell>
        </row>
        <row r="105">
          <cell r="B105" t="str">
            <v>Other DACF adjustments</v>
          </cell>
          <cell r="C105" t="str">
            <v>OTH_DACF_ADJ</v>
          </cell>
          <cell r="D105" t="str">
            <v>EUR</v>
          </cell>
        </row>
        <row r="106">
          <cell r="B106" t="str">
            <v>Cash interest expense</v>
          </cell>
          <cell r="C106" t="str">
            <v>CASH_INT_EXP</v>
          </cell>
          <cell r="D106" t="str">
            <v>EUR</v>
          </cell>
        </row>
        <row r="107">
          <cell r="B107" t="str">
            <v>Cash tax expense</v>
          </cell>
          <cell r="C107" t="str">
            <v>CASH_TAX_EXP</v>
          </cell>
          <cell r="D107" t="str">
            <v>EUR</v>
          </cell>
        </row>
        <row r="108">
          <cell r="B108" t="str">
            <v>Dividends received from associates/JVs</v>
          </cell>
          <cell r="C108" t="str">
            <v>DIVDS_ASSOC_JV</v>
          </cell>
          <cell r="D108" t="str">
            <v>EUR</v>
          </cell>
        </row>
        <row r="109">
          <cell r="B109" t="str">
            <v>Capex maintenance</v>
          </cell>
          <cell r="C109" t="str">
            <v>CAPEX_MAINTENANCE</v>
          </cell>
          <cell r="D109" t="str">
            <v>EUR</v>
          </cell>
        </row>
        <row r="110">
          <cell r="B110" t="str">
            <v>Capex expansion</v>
          </cell>
          <cell r="C110" t="str">
            <v>CAPEX_EXPANSION</v>
          </cell>
          <cell r="D110" t="str">
            <v>EUR</v>
          </cell>
        </row>
        <row r="111">
          <cell r="B111" t="str">
            <v>Non-PP&amp;E capex</v>
          </cell>
          <cell r="C111" t="str">
            <v>NONPPE_CAPEX</v>
          </cell>
          <cell r="D111" t="str">
            <v>EUR</v>
          </cell>
        </row>
        <row r="112">
          <cell r="B112" t="str">
            <v>Dividends paid to minorities</v>
          </cell>
          <cell r="C112" t="str">
            <v>DIVDS_PD_MINORITIES</v>
          </cell>
          <cell r="D112" t="str">
            <v>EUR</v>
          </cell>
        </row>
        <row r="113">
          <cell r="A113" t="str">
            <v>Other Items</v>
          </cell>
        </row>
        <row r="114">
          <cell r="B114" t="str">
            <v>Number of employees</v>
          </cell>
          <cell r="C114" t="str">
            <v>EMPLOYEES</v>
          </cell>
        </row>
        <row r="115">
          <cell r="A115" t="str">
            <v>Geographical Breakdown</v>
          </cell>
        </row>
        <row r="116">
          <cell r="B116" t="str">
            <v>Sales - Total % Americas</v>
          </cell>
          <cell r="C116" t="str">
            <v>SALES_TOT_AM</v>
          </cell>
        </row>
        <row r="117">
          <cell r="B117" t="str">
            <v>Sales - % United States</v>
          </cell>
          <cell r="C117" t="str">
            <v>SALES_US</v>
          </cell>
        </row>
        <row r="119">
          <cell r="B119" t="str">
            <v>Sales - % Other Americas</v>
          </cell>
          <cell r="C119" t="str">
            <v>SALES_OTH_AM</v>
          </cell>
        </row>
        <row r="120">
          <cell r="B120" t="str">
            <v>Sales - Total % EMEA</v>
          </cell>
          <cell r="C120" t="str">
            <v>SALES_TOT_EMEA</v>
          </cell>
        </row>
        <row r="121">
          <cell r="B121" t="str">
            <v>Sales - % UK</v>
          </cell>
          <cell r="C121" t="str">
            <v>SALES_UK</v>
          </cell>
        </row>
        <row r="122">
          <cell r="B122" t="str">
            <v>Sales - % Western Europe-Ex UK</v>
          </cell>
          <cell r="C122" t="str">
            <v>SALES_EU_EX_UK</v>
          </cell>
        </row>
        <row r="123">
          <cell r="B123" t="str">
            <v>Sales - % France</v>
          </cell>
          <cell r="C123" t="str">
            <v>SALES_FRA</v>
          </cell>
        </row>
        <row r="128">
          <cell r="B128" t="str">
            <v>Sales - % Central &amp; Eastern Europe</v>
          </cell>
          <cell r="C128" t="str">
            <v>SALES_CEE</v>
          </cell>
        </row>
        <row r="129">
          <cell r="B129" t="str">
            <v>Sales - % Middle East</v>
          </cell>
          <cell r="C129" t="str">
            <v>SALES_ME</v>
          </cell>
        </row>
        <row r="133">
          <cell r="B133" t="str">
            <v>Sales - % Total Africa</v>
          </cell>
          <cell r="C133" t="str">
            <v>SALES_TOT_AFRICA</v>
          </cell>
        </row>
        <row r="137">
          <cell r="B137" t="str">
            <v>Sales - % Japan</v>
          </cell>
          <cell r="C137" t="str">
            <v>SALES_JAPAN</v>
          </cell>
        </row>
        <row r="140">
          <cell r="B140" t="str">
            <v>Sales - % Other Asia</v>
          </cell>
          <cell r="C140" t="str">
            <v>SALES_OTH_AEJ</v>
          </cell>
        </row>
        <row r="141">
          <cell r="B141" t="str">
            <v>Sales - % Others</v>
          </cell>
          <cell r="C141" t="str">
            <v>SALES_OTHER</v>
          </cell>
        </row>
        <row r="142">
          <cell r="B142" t="str">
            <v>Indirect Sales - Total % Americas</v>
          </cell>
          <cell r="C142" t="str">
            <v>IND_SALES_TOT_AM</v>
          </cell>
        </row>
        <row r="143">
          <cell r="B143" t="str">
            <v>Indirect Sales - % United States</v>
          </cell>
          <cell r="C143" t="str">
            <v>IND_SALES_US</v>
          </cell>
        </row>
        <row r="144">
          <cell r="B144" t="str">
            <v>Indirect Sales - % Brazil</v>
          </cell>
          <cell r="C144" t="str">
            <v>IND_SALES_BRAZIL</v>
          </cell>
        </row>
        <row r="145">
          <cell r="B145" t="str">
            <v>Indirect Sales - % Other Americas</v>
          </cell>
          <cell r="C145" t="str">
            <v>IND_SALES_OTH_AM</v>
          </cell>
        </row>
        <row r="146">
          <cell r="B146" t="str">
            <v>Indirect Sales - Total % EMEA</v>
          </cell>
          <cell r="C146" t="str">
            <v>IND_SALES_TOT_EMEA</v>
          </cell>
        </row>
        <row r="147">
          <cell r="B147" t="str">
            <v>Indirect Sales - % UK</v>
          </cell>
          <cell r="C147" t="str">
            <v>IND_SALES_UK</v>
          </cell>
        </row>
        <row r="148">
          <cell r="B148" t="str">
            <v>Indirect Sales - % Western Europe-Ex UK</v>
          </cell>
          <cell r="C148" t="str">
            <v>IND_SALES_EU_EX_UK</v>
          </cell>
        </row>
        <row r="149">
          <cell r="B149" t="str">
            <v>Indirect Sales - % France</v>
          </cell>
          <cell r="C149" t="str">
            <v>IND_SALES_FRA</v>
          </cell>
        </row>
        <row r="150">
          <cell r="B150" t="str">
            <v>Indirect Sales - % Germany</v>
          </cell>
          <cell r="C150" t="str">
            <v>IND_SALES_GER</v>
          </cell>
        </row>
        <row r="151">
          <cell r="B151" t="str">
            <v>Indirect Sales - % Italy</v>
          </cell>
          <cell r="C151" t="str">
            <v>IND_SALES_ITA</v>
          </cell>
        </row>
        <row r="155">
          <cell r="B155" t="str">
            <v>Indirect Sales - % Middle East</v>
          </cell>
          <cell r="C155" t="str">
            <v>IND_SALES_ME</v>
          </cell>
        </row>
        <row r="156">
          <cell r="B156" t="str">
            <v>Indirect Sales - % Russia</v>
          </cell>
          <cell r="C156" t="str">
            <v>IND_SALES_RUSSIA</v>
          </cell>
        </row>
        <row r="157">
          <cell r="B157" t="str">
            <v>Indirect sales - % South Africa</v>
          </cell>
          <cell r="C157" t="str">
            <v>IND_SALES_SO_AFRICA</v>
          </cell>
        </row>
        <row r="158">
          <cell r="B158" t="str">
            <v>Indirect sales - % Nigeria</v>
          </cell>
          <cell r="C158" t="str">
            <v>IND_SALES_NIGERIA</v>
          </cell>
        </row>
        <row r="160">
          <cell r="B160" t="str">
            <v>Indirect Sales - % Other EMEA</v>
          </cell>
          <cell r="C160" t="str">
            <v>IND_SALES_OTH_EMEA</v>
          </cell>
        </row>
        <row r="161">
          <cell r="B161" t="str">
            <v>Indirect sales - % Total Africa</v>
          </cell>
          <cell r="C161" t="str">
            <v>IND_SALES_TOT_AFRICA</v>
          </cell>
        </row>
        <row r="162">
          <cell r="B162" t="str">
            <v>Indirect Sales - Total % Asia (incl Australia &amp; New Zealand)</v>
          </cell>
          <cell r="C162" t="str">
            <v>IND_SALES_TOT_ASIA</v>
          </cell>
        </row>
        <row r="163">
          <cell r="B163" t="str">
            <v>Indirect Sales - % Japan</v>
          </cell>
          <cell r="C163" t="str">
            <v>IND_SALES_JAPAN</v>
          </cell>
        </row>
        <row r="164">
          <cell r="B164" t="str">
            <v>Indirect Sales - % China</v>
          </cell>
          <cell r="C164" t="str">
            <v>IND_SALES_CHINA</v>
          </cell>
        </row>
        <row r="169">
          <cell r="B169" t="str">
            <v>Sales -% Industry (I)</v>
          </cell>
          <cell r="C169" t="str">
            <v>SALES_IND</v>
          </cell>
        </row>
        <row r="170">
          <cell r="B170" t="str">
            <v>Sales -% Government (G)</v>
          </cell>
          <cell r="C170" t="str">
            <v>SALES_GOV</v>
          </cell>
        </row>
        <row r="174">
          <cell r="B174" t="str">
            <v>Indirect Sales -% Government (G)</v>
          </cell>
          <cell r="C174" t="str">
            <v>IND_SALES_GOV</v>
          </cell>
        </row>
        <row r="178">
          <cell r="B178" t="str">
            <v>Sales - % Other (Non-Commodity) sales sources</v>
          </cell>
          <cell r="C178" t="str">
            <v>SALES_OTH_SALES_SOURCES</v>
          </cell>
        </row>
        <row r="181">
          <cell r="B181" t="str">
            <v>Expense - % Oil derivatives/NGLs/plastics</v>
          </cell>
          <cell r="C181" t="str">
            <v>EXP_OIL_DERIV_NGLS_PLASTICS</v>
          </cell>
        </row>
        <row r="182">
          <cell r="B182" t="str">
            <v>Expense - % Nat Gas</v>
          </cell>
          <cell r="C182" t="str">
            <v>EXP_NAT_GAS</v>
          </cell>
        </row>
        <row r="183">
          <cell r="B183" t="str">
            <v>Expense - % Gold</v>
          </cell>
          <cell r="C183" t="str">
            <v>EXP_GOLD</v>
          </cell>
        </row>
        <row r="184">
          <cell r="B184" t="str">
            <v>Expense - % Copper</v>
          </cell>
          <cell r="C184" t="str">
            <v>EXP_COPPER</v>
          </cell>
        </row>
        <row r="185">
          <cell r="B185" t="str">
            <v>Expense - % Silver</v>
          </cell>
          <cell r="C185" t="str">
            <v>EXP_SILVER</v>
          </cell>
        </row>
        <row r="186">
          <cell r="B186" t="str">
            <v>Expense - % Platinum</v>
          </cell>
          <cell r="C186" t="str">
            <v>EXP_PLATINUM</v>
          </cell>
        </row>
        <row r="187">
          <cell r="B187" t="str">
            <v>Expense - % Palladium</v>
          </cell>
          <cell r="C187" t="str">
            <v>EXP_PALLADIUM</v>
          </cell>
        </row>
        <row r="188">
          <cell r="B188" t="str">
            <v>Expense - % Aluminium</v>
          </cell>
          <cell r="C188" t="str">
            <v>EXP_ALUMINIUM</v>
          </cell>
        </row>
        <row r="189">
          <cell r="B189" t="str">
            <v>Expense - % Nickel</v>
          </cell>
          <cell r="C189" t="str">
            <v>EXP_NICKEL</v>
          </cell>
        </row>
        <row r="190">
          <cell r="B190" t="str">
            <v>Expense - % Zinc</v>
          </cell>
          <cell r="C190" t="str">
            <v>EXP_ZINC</v>
          </cell>
        </row>
        <row r="191">
          <cell r="B191" t="str">
            <v>Expense - % Steel</v>
          </cell>
          <cell r="C191" t="str">
            <v>EXP_STEEL</v>
          </cell>
        </row>
        <row r="192">
          <cell r="B192" t="str">
            <v>Expense - % Glass</v>
          </cell>
          <cell r="C192" t="str">
            <v>EXP_GLASS</v>
          </cell>
        </row>
        <row r="196">
          <cell r="B196" t="str">
            <v>Expense - % Other (Non-Commodity) cost</v>
          </cell>
          <cell r="C196" t="str">
            <v>EXP_OTH_COST</v>
          </cell>
        </row>
        <row r="197">
          <cell r="A197" t="str">
            <v>FX Exposure - Sales</v>
          </cell>
        </row>
        <row r="235">
          <cell r="B235" t="str">
            <v>EPS (Pub)</v>
          </cell>
          <cell r="C235" t="str">
            <v>EPS_PUB</v>
          </cell>
          <cell r="D235" t="str">
            <v>EUR</v>
          </cell>
        </row>
        <row r="236">
          <cell r="B236" t="str">
            <v>EV adjustment (Pub)</v>
          </cell>
          <cell r="C236" t="str">
            <v>EV_ADJ_PUB</v>
          </cell>
          <cell r="D236" t="str">
            <v>EUR</v>
          </cell>
        </row>
        <row r="237">
          <cell r="B237" t="str">
            <v>Net debt (Pub)</v>
          </cell>
          <cell r="C237" t="str">
            <v>NET_DEBT_PUB</v>
          </cell>
          <cell r="D237" t="str">
            <v>EUR</v>
          </cell>
        </row>
        <row r="238">
          <cell r="B238" t="str">
            <v>Net income (Pub)</v>
          </cell>
          <cell r="C238" t="str">
            <v>NI_PUB</v>
          </cell>
          <cell r="D238" t="str">
            <v>EUR</v>
          </cell>
        </row>
        <row r="257">
          <cell r="B257" t="str">
            <v>Weighted average shares outstanding, basic</v>
          </cell>
          <cell r="C257" t="str">
            <v>SH</v>
          </cell>
        </row>
        <row r="258">
          <cell r="B258" t="str">
            <v>Diluted average shares outstanding (mn)</v>
          </cell>
          <cell r="C258" t="str">
            <v>DILUTE_SHARES</v>
          </cell>
        </row>
        <row r="259">
          <cell r="B259" t="str">
            <v>Period-end shares outstanding</v>
          </cell>
          <cell r="C259" t="str">
            <v>NON_OP_ADD</v>
          </cell>
        </row>
        <row r="260">
          <cell r="A260" t="str">
            <v>Additional Income Statement Items</v>
          </cell>
          <cell r="B260" t="str">
            <v>Indirect Sales -% Industry (I)</v>
          </cell>
          <cell r="C260" t="str">
            <v>IND_SALES_IND</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row>
        <row r="322">
          <cell r="B322" t="str">
            <v>Sales - % FX: Euro</v>
          </cell>
          <cell r="C322" t="str">
            <v>SALES_FX_EUR</v>
          </cell>
        </row>
        <row r="323">
          <cell r="B323" t="str">
            <v>Sales - % FX: New Russian Ruble</v>
          </cell>
          <cell r="C323" t="str">
            <v>SALES_FX_RUB</v>
          </cell>
        </row>
        <row r="324">
          <cell r="B324" t="str">
            <v>Sales - % FX: U.S. Dollar</v>
          </cell>
          <cell r="C324" t="str">
            <v>SALES_FX_USD</v>
          </cell>
        </row>
        <row r="325">
          <cell r="B325" t="str">
            <v>Sales - % FX: Brazilian Real</v>
          </cell>
          <cell r="C325" t="str">
            <v>SALES_FX_BRL</v>
          </cell>
        </row>
        <row r="326">
          <cell r="B326" t="str">
            <v>Sales - % FX: Japanese Yen</v>
          </cell>
          <cell r="C326" t="str">
            <v>SALES_FX_YEN</v>
          </cell>
        </row>
        <row r="327">
          <cell r="B327" t="str">
            <v>Sales - % FX: Chinese Renminbi</v>
          </cell>
          <cell r="C327" t="str">
            <v>SALES_FX_CNY</v>
          </cell>
        </row>
        <row r="328">
          <cell r="B328" t="str">
            <v>Sales - % FX: Indian Rupee</v>
          </cell>
          <cell r="C328" t="str">
            <v>SALES_FX_INR</v>
          </cell>
        </row>
        <row r="329">
          <cell r="B329" t="str">
            <v>Sales - % FX: South African Rand</v>
          </cell>
          <cell r="C329" t="str">
            <v>SALES_FX_ZAR</v>
          </cell>
        </row>
        <row r="331">
          <cell r="B331" t="str">
            <v>Sales - % FX: Swiss Franc</v>
          </cell>
          <cell r="C331" t="str">
            <v>SALES_FX_CHF</v>
          </cell>
        </row>
        <row r="338">
          <cell r="B338" t="str">
            <v>Security Name</v>
          </cell>
          <cell r="C338" t="str">
            <v>Security Name</v>
          </cell>
          <cell r="E338" t="str">
            <v>EADS</v>
          </cell>
        </row>
        <row r="339">
          <cell r="B339" t="str">
            <v>Interim Type</v>
          </cell>
          <cell r="C339" t="str">
            <v>Interim Type</v>
          </cell>
          <cell r="E339" t="str">
            <v>Q</v>
          </cell>
        </row>
        <row r="340">
          <cell r="B340" t="str">
            <v>Publishing Currency</v>
          </cell>
          <cell r="C340" t="str">
            <v>PUB_CURRENCY_ISO</v>
          </cell>
          <cell r="E340" t="str">
            <v>EUR</v>
          </cell>
        </row>
        <row r="341">
          <cell r="B341" t="str">
            <v>Pricing Currency</v>
          </cell>
          <cell r="C341" t="str">
            <v>PRICE_CURRENCY_ISO</v>
          </cell>
          <cell r="E341" t="str">
            <v>EUR</v>
          </cell>
        </row>
        <row r="342">
          <cell r="B342" t="str">
            <v>Reporting Currency</v>
          </cell>
          <cell r="C342" t="str">
            <v>CURRENCY_ISO</v>
          </cell>
          <cell r="E342" t="str">
            <v>EUR</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row>
        <row r="347">
          <cell r="B347" t="str">
            <v>Target price</v>
          </cell>
          <cell r="C347" t="str">
            <v>TARGET_PRICE</v>
          </cell>
          <cell r="D347" t="str">
            <v>EUR</v>
          </cell>
        </row>
        <row r="348">
          <cell r="B348" t="str">
            <v>Target price period</v>
          </cell>
          <cell r="C348" t="str">
            <v>TP_PERIOD</v>
          </cell>
        </row>
        <row r="349">
          <cell r="B349" t="str">
            <v>Current shares outstanding (mn)</v>
          </cell>
          <cell r="C349" t="str">
            <v>NUM_SH</v>
          </cell>
        </row>
        <row r="350">
          <cell r="B350" t="str">
            <v>Free float</v>
          </cell>
          <cell r="C350" t="str">
            <v>FREE_FLOAT</v>
          </cell>
        </row>
        <row r="351">
          <cell r="C351" t="str">
            <v>ACT1</v>
          </cell>
        </row>
        <row r="352">
          <cell r="C352" t="str">
            <v>ACT2</v>
          </cell>
        </row>
        <row r="353">
          <cell r="C353" t="str">
            <v>ACT3</v>
          </cell>
        </row>
        <row r="354">
          <cell r="A354" t="str">
            <v>Publishing Items</v>
          </cell>
        </row>
        <row r="355">
          <cell r="B355" t="str">
            <v>Book value per share, BVPS (Pub)</v>
          </cell>
          <cell r="C355" t="str">
            <v>BVPS_PUB</v>
          </cell>
          <cell r="D355" t="str">
            <v>EUR</v>
          </cell>
        </row>
        <row r="356">
          <cell r="B356" t="str">
            <v>DPS, dividend per share (Pub)</v>
          </cell>
          <cell r="C356" t="str">
            <v>DPS_PUB</v>
          </cell>
          <cell r="D356" t="str">
            <v>EUR</v>
          </cell>
        </row>
        <row r="357">
          <cell r="B357" t="str">
            <v>EBITDA (Pub)</v>
          </cell>
          <cell r="C357" t="str">
            <v>EBITDA_PUB</v>
          </cell>
          <cell r="D357" t="str">
            <v>EUR</v>
          </cell>
        </row>
        <row r="358">
          <cell r="B358" t="str">
            <v>EPS (Pub)</v>
          </cell>
          <cell r="C358" t="str">
            <v>EPS_PUB</v>
          </cell>
          <cell r="D358" t="str">
            <v>EUR</v>
          </cell>
        </row>
        <row r="359">
          <cell r="B359" t="str">
            <v>EV adjustment (Pub)</v>
          </cell>
          <cell r="C359" t="str">
            <v>EV_ADJ_PUB</v>
          </cell>
          <cell r="D359" t="str">
            <v>EUR</v>
          </cell>
        </row>
        <row r="360">
          <cell r="B360" t="str">
            <v>Net debt (Pub)</v>
          </cell>
          <cell r="C360" t="str">
            <v>NET_DEBT_PUB</v>
          </cell>
          <cell r="D360" t="str">
            <v>EUR</v>
          </cell>
        </row>
        <row r="361">
          <cell r="B361" t="str">
            <v>Net income (Pub)</v>
          </cell>
          <cell r="C361" t="str">
            <v>NI_PUB</v>
          </cell>
          <cell r="D361" t="str">
            <v>EUR</v>
          </cell>
        </row>
        <row r="362">
          <cell r="B362" t="str">
            <v>EBIT, operating profit (Pub)</v>
          </cell>
          <cell r="C362" t="str">
            <v>EBIT_PUB</v>
          </cell>
          <cell r="D362" t="str">
            <v>EUR</v>
          </cell>
        </row>
        <row r="363">
          <cell r="B363" t="str">
            <v>Pre-tax profit (Pub)</v>
          </cell>
          <cell r="C363" t="str">
            <v>PTP_PUB</v>
          </cell>
          <cell r="D363" t="str">
            <v>EUR</v>
          </cell>
        </row>
        <row r="364">
          <cell r="B364" t="str">
            <v>Sales, revenue (Pub)</v>
          </cell>
          <cell r="C364" t="str">
            <v>REVS_PUB</v>
          </cell>
          <cell r="D364" t="str">
            <v>EUR</v>
          </cell>
        </row>
        <row r="365">
          <cell r="B365" t="str">
            <v>Total shareholders' equity (Pub)</v>
          </cell>
          <cell r="C365" t="str">
            <v>EQ_PUB</v>
          </cell>
          <cell r="D365" t="str">
            <v>EUR</v>
          </cell>
        </row>
        <row r="366">
          <cell r="A366" t="str">
            <v>Income Statement</v>
          </cell>
        </row>
        <row r="367">
          <cell r="B367" t="str">
            <v>Provision for income tax</v>
          </cell>
          <cell r="C367" t="str">
            <v>PROV_INC_TAX</v>
          </cell>
          <cell r="D367" t="str">
            <v>EUR</v>
          </cell>
        </row>
        <row r="368">
          <cell r="B368" t="str">
            <v>Minority interest</v>
          </cell>
          <cell r="C368" t="str">
            <v>INC_MINORITY</v>
          </cell>
          <cell r="D368" t="str">
            <v>EUR</v>
          </cell>
        </row>
        <row r="369">
          <cell r="B369" t="str">
            <v>Net income (pre-preferred dividends)</v>
          </cell>
          <cell r="C369" t="str">
            <v>NI_PRE_PREF</v>
          </cell>
          <cell r="D369" t="str">
            <v>EUR</v>
          </cell>
        </row>
        <row r="370">
          <cell r="B370" t="str">
            <v>Preferred dividends</v>
          </cell>
          <cell r="C370" t="str">
            <v>PREF_DIV</v>
          </cell>
          <cell r="D370" t="str">
            <v>EUR</v>
          </cell>
        </row>
        <row r="371">
          <cell r="B371" t="str">
            <v>Net income (pre-exceptionals)</v>
          </cell>
          <cell r="C371" t="str">
            <v>NET_EARNING</v>
          </cell>
          <cell r="D371" t="str">
            <v>EUR</v>
          </cell>
        </row>
        <row r="372">
          <cell r="B372" t="str">
            <v>Post-tax exceptionals</v>
          </cell>
          <cell r="C372" t="str">
            <v>TAX_EXC</v>
          </cell>
          <cell r="D372" t="str">
            <v>EUR</v>
          </cell>
        </row>
        <row r="373">
          <cell r="B373" t="str">
            <v>Net income (post-exceptionals)</v>
          </cell>
          <cell r="C373" t="str">
            <v>NET_INC</v>
          </cell>
          <cell r="D373" t="str">
            <v>EUR</v>
          </cell>
        </row>
        <row r="374">
          <cell r="B374" t="str">
            <v>EPS (pre-exceptionals, basic)</v>
          </cell>
          <cell r="C374" t="str">
            <v>EPS</v>
          </cell>
          <cell r="D374" t="str">
            <v>EUR</v>
          </cell>
        </row>
        <row r="375">
          <cell r="B375" t="str">
            <v>EPS (pre-exceptionals, diluted)</v>
          </cell>
          <cell r="C375" t="str">
            <v>EPS_FUL_DIL</v>
          </cell>
          <cell r="D375" t="str">
            <v>EUR</v>
          </cell>
        </row>
        <row r="376">
          <cell r="B376" t="str">
            <v>EPS (post-exceptionals, basic)</v>
          </cell>
          <cell r="C376" t="str">
            <v>EPS_POST_BASIC</v>
          </cell>
          <cell r="D376" t="str">
            <v>EUR</v>
          </cell>
        </row>
        <row r="377">
          <cell r="B377" t="str">
            <v>EPS (post-exceptionals, diluted)</v>
          </cell>
          <cell r="C377" t="str">
            <v>FULLY_DIL_EPS</v>
          </cell>
          <cell r="D377" t="str">
            <v>EUR</v>
          </cell>
        </row>
        <row r="378">
          <cell r="B378" t="str">
            <v>Common dividends paid</v>
          </cell>
          <cell r="C378" t="str">
            <v>COMMON_DIV_PAID</v>
          </cell>
          <cell r="D378" t="str">
            <v>EUR</v>
          </cell>
        </row>
        <row r="379">
          <cell r="B379" t="str">
            <v>DPS, dividend per share</v>
          </cell>
          <cell r="C379" t="str">
            <v>DPS</v>
          </cell>
          <cell r="D379" t="str">
            <v>EUR</v>
          </cell>
        </row>
        <row r="380">
          <cell r="B380" t="str">
            <v>Weighted average shares outstanding, basic</v>
          </cell>
          <cell r="C380" t="str">
            <v>SH</v>
          </cell>
        </row>
        <row r="381">
          <cell r="B381" t="str">
            <v>Diluted average shares outstanding (mn)</v>
          </cell>
          <cell r="C381" t="str">
            <v>DILUTE_SHARES</v>
          </cell>
        </row>
        <row r="382">
          <cell r="B382" t="str">
            <v>Period-end shares outstanding</v>
          </cell>
          <cell r="C382" t="str">
            <v>NON_OP_ADD</v>
          </cell>
        </row>
        <row r="383">
          <cell r="A383" t="str">
            <v>Additional Income Statement Items</v>
          </cell>
        </row>
        <row r="384">
          <cell r="B384" t="str">
            <v>Organic net income (excl. acquisitions)</v>
          </cell>
          <cell r="C384" t="str">
            <v>ORG_NI</v>
          </cell>
          <cell r="D384" t="str">
            <v>EUR</v>
          </cell>
        </row>
        <row r="385">
          <cell r="B385" t="str">
            <v>Organic EPS (excl. acquisitions)</v>
          </cell>
          <cell r="C385" t="str">
            <v>ORG_EPS</v>
          </cell>
          <cell r="D385" t="str">
            <v>EUR</v>
          </cell>
        </row>
        <row r="386">
          <cell r="B386" t="str">
            <v>Marginal tax rate</v>
          </cell>
          <cell r="C386" t="str">
            <v>MARGIN_TAX_RATE</v>
          </cell>
        </row>
        <row r="387">
          <cell r="A387" t="str">
            <v>Balance Sheet</v>
          </cell>
        </row>
        <row r="388">
          <cell r="B388" t="str">
            <v>BVPS, book value per share</v>
          </cell>
          <cell r="C388" t="str">
            <v>BVPS</v>
          </cell>
          <cell r="D388" t="str">
            <v>EUR</v>
          </cell>
        </row>
        <row r="389">
          <cell r="A389" t="str">
            <v>Cash Flow Statement</v>
          </cell>
        </row>
      </sheetData>
      <sheetData sheetId="4">
        <row r="1">
          <cell r="A1" t="str">
            <v>Issuer: EADS</v>
          </cell>
          <cell r="F1">
            <v>2000</v>
          </cell>
          <cell r="G1">
            <v>2001</v>
          </cell>
          <cell r="H1">
            <v>2002</v>
          </cell>
          <cell r="I1">
            <v>2003</v>
          </cell>
          <cell r="J1">
            <v>2004</v>
          </cell>
          <cell r="K1" t="str">
            <v>2005 Q1</v>
          </cell>
          <cell r="L1" t="str">
            <v>2005 Q2</v>
          </cell>
          <cell r="M1" t="str">
            <v>2005 Q3</v>
          </cell>
          <cell r="N1" t="str">
            <v>2005 Q4</v>
          </cell>
          <cell r="O1">
            <v>2005</v>
          </cell>
          <cell r="P1" t="str">
            <v>2006 Q1</v>
          </cell>
          <cell r="Q1" t="str">
            <v>2006 Q2</v>
          </cell>
          <cell r="R1" t="str">
            <v>2006 Q3</v>
          </cell>
          <cell r="S1" t="str">
            <v>2006 Q4</v>
          </cell>
          <cell r="T1">
            <v>2006</v>
          </cell>
          <cell r="U1" t="str">
            <v>2007 Q1</v>
          </cell>
          <cell r="V1" t="str">
            <v>2007 Q2</v>
          </cell>
          <cell r="W1" t="str">
            <v>2007 Q3</v>
          </cell>
          <cell r="X1" t="str">
            <v>2007 Q4</v>
          </cell>
          <cell r="Y1">
            <v>2007</v>
          </cell>
          <cell r="Z1" t="str">
            <v>2008 Q1</v>
          </cell>
          <cell r="AA1" t="str">
            <v>2008 Q2</v>
          </cell>
          <cell r="AB1" t="str">
            <v>2008 Q3</v>
          </cell>
          <cell r="AC1" t="str">
            <v>2008 Q4</v>
          </cell>
          <cell r="AD1">
            <v>2008</v>
          </cell>
          <cell r="AE1" t="str">
            <v>2009 Q1</v>
          </cell>
          <cell r="AF1" t="str">
            <v>2009 Q2</v>
          </cell>
          <cell r="AG1" t="str">
            <v>2009 Q3</v>
          </cell>
          <cell r="AH1" t="str">
            <v>2009 Q4</v>
          </cell>
          <cell r="AI1">
            <v>2009</v>
          </cell>
          <cell r="AJ1" t="str">
            <v>2010 Q1</v>
          </cell>
          <cell r="AK1" t="str">
            <v>2010 Q2</v>
          </cell>
          <cell r="AL1" t="str">
            <v>2010 Q3</v>
          </cell>
          <cell r="AM1" t="str">
            <v>2010 Q4</v>
          </cell>
          <cell r="AN1">
            <v>2010</v>
          </cell>
          <cell r="AO1" t="str">
            <v>2011 Q1</v>
          </cell>
          <cell r="AP1" t="str">
            <v>2011 Q2</v>
          </cell>
          <cell r="AQ1" t="str">
            <v>2011 Q3</v>
          </cell>
          <cell r="AR1" t="str">
            <v>2011 Q4</v>
          </cell>
          <cell r="AS1">
            <v>2011</v>
          </cell>
          <cell r="AT1">
            <v>2012</v>
          </cell>
          <cell r="AU1">
            <v>2013</v>
          </cell>
          <cell r="AV1">
            <v>2014</v>
          </cell>
          <cell r="AW1">
            <v>2015</v>
          </cell>
          <cell r="AX1">
            <v>2016</v>
          </cell>
        </row>
        <row r="2">
          <cell r="A2">
            <v>0</v>
          </cell>
          <cell r="B2">
            <v>0</v>
          </cell>
          <cell r="C2">
            <v>0</v>
          </cell>
          <cell r="D2">
            <v>0</v>
          </cell>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Actual</v>
          </cell>
          <cell r="AR2" t="str">
            <v>Actual</v>
          </cell>
          <cell r="AS2" t="str">
            <v>Actual</v>
          </cell>
          <cell r="AT2" t="str">
            <v>Estimate</v>
          </cell>
          <cell r="AU2" t="str">
            <v>Estimate</v>
          </cell>
          <cell r="AV2" t="str">
            <v>Estimate</v>
          </cell>
          <cell r="AW2" t="str">
            <v>Estimate</v>
          </cell>
          <cell r="AX2" t="str">
            <v>Estimate</v>
          </cell>
          <cell r="AY2" t="str">
            <v>Estimate</v>
          </cell>
          <cell r="AZ2" t="str">
            <v>Estimate</v>
          </cell>
          <cell r="BA2" t="str">
            <v>Estimate</v>
          </cell>
          <cell r="BB2" t="str">
            <v>Estimate</v>
          </cell>
        </row>
        <row r="3">
          <cell r="A3">
            <v>0</v>
          </cell>
          <cell r="B3">
            <v>0</v>
          </cell>
          <cell r="C3">
            <v>0</v>
          </cell>
          <cell r="D3">
            <v>0</v>
          </cell>
          <cell r="F3">
            <v>36891</v>
          </cell>
          <cell r="G3">
            <v>37256</v>
          </cell>
          <cell r="H3">
            <v>37621</v>
          </cell>
          <cell r="I3">
            <v>37986</v>
          </cell>
          <cell r="J3">
            <v>38352</v>
          </cell>
          <cell r="K3">
            <v>38442</v>
          </cell>
          <cell r="L3">
            <v>38533</v>
          </cell>
          <cell r="M3">
            <v>38625</v>
          </cell>
          <cell r="N3">
            <v>38717</v>
          </cell>
          <cell r="O3">
            <v>38717</v>
          </cell>
          <cell r="P3">
            <v>38807</v>
          </cell>
          <cell r="Q3">
            <v>38898</v>
          </cell>
          <cell r="R3">
            <v>38990</v>
          </cell>
          <cell r="S3">
            <v>39082</v>
          </cell>
          <cell r="T3">
            <v>39082</v>
          </cell>
          <cell r="U3">
            <v>39172</v>
          </cell>
          <cell r="V3">
            <v>39263</v>
          </cell>
          <cell r="W3">
            <v>39355</v>
          </cell>
          <cell r="X3">
            <v>39447</v>
          </cell>
          <cell r="Y3">
            <v>39447</v>
          </cell>
          <cell r="Z3">
            <v>39538</v>
          </cell>
          <cell r="AA3">
            <v>39629</v>
          </cell>
          <cell r="AB3">
            <v>39721</v>
          </cell>
          <cell r="AC3">
            <v>39813</v>
          </cell>
          <cell r="AD3">
            <v>39813</v>
          </cell>
          <cell r="AE3">
            <v>39903</v>
          </cell>
          <cell r="AF3">
            <v>39994</v>
          </cell>
          <cell r="AG3">
            <v>40086</v>
          </cell>
          <cell r="AH3">
            <v>40178</v>
          </cell>
          <cell r="AI3">
            <v>40178</v>
          </cell>
          <cell r="AJ3">
            <v>40268</v>
          </cell>
          <cell r="AK3">
            <v>40359</v>
          </cell>
          <cell r="AL3">
            <v>40451</v>
          </cell>
          <cell r="AM3">
            <v>40543</v>
          </cell>
          <cell r="AN3">
            <v>40543</v>
          </cell>
          <cell r="AO3">
            <v>40633</v>
          </cell>
          <cell r="AP3">
            <v>40724</v>
          </cell>
          <cell r="AQ3">
            <v>40816</v>
          </cell>
          <cell r="AR3">
            <v>40908</v>
          </cell>
          <cell r="AS3">
            <v>40908</v>
          </cell>
          <cell r="AT3">
            <v>41274</v>
          </cell>
          <cell r="AU3">
            <v>41639</v>
          </cell>
          <cell r="AV3">
            <v>42004</v>
          </cell>
          <cell r="AW3">
            <v>42369</v>
          </cell>
          <cell r="AX3">
            <v>42735</v>
          </cell>
          <cell r="AY3">
            <v>43100</v>
          </cell>
          <cell r="AZ3">
            <v>43465</v>
          </cell>
          <cell r="BA3">
            <v>43830</v>
          </cell>
          <cell r="BB3">
            <v>44196</v>
          </cell>
        </row>
        <row r="4">
          <cell r="A4" t="str">
            <v>Issuer: EADS</v>
          </cell>
          <cell r="B4">
            <v>0</v>
          </cell>
          <cell r="C4">
            <v>0</v>
          </cell>
          <cell r="D4">
            <v>0</v>
          </cell>
        </row>
        <row r="5">
          <cell r="A5" t="str">
            <v>Reference Data</v>
          </cell>
          <cell r="B5">
            <v>0</v>
          </cell>
          <cell r="C5">
            <v>0</v>
          </cell>
          <cell r="D5">
            <v>0</v>
          </cell>
        </row>
        <row r="6">
          <cell r="B6" t="str">
            <v>Issuer Name</v>
          </cell>
          <cell r="C6" t="str">
            <v>Issuer Name</v>
          </cell>
          <cell r="E6" t="str">
            <v>EADS</v>
          </cell>
        </row>
        <row r="7">
          <cell r="B7" t="str">
            <v>Reporting Currency</v>
          </cell>
          <cell r="C7" t="str">
            <v>CURRENCY_ISO</v>
          </cell>
          <cell r="E7" t="str">
            <v>EUR</v>
          </cell>
        </row>
        <row r="8">
          <cell r="A8" t="str">
            <v>Income Statement</v>
          </cell>
          <cell r="B8">
            <v>0</v>
          </cell>
          <cell r="C8">
            <v>0</v>
          </cell>
          <cell r="D8">
            <v>0</v>
          </cell>
        </row>
        <row r="9">
          <cell r="B9" t="str">
            <v>Sales, net revenue</v>
          </cell>
          <cell r="C9" t="str">
            <v>SALES</v>
          </cell>
          <cell r="D9" t="str">
            <v>EUR</v>
          </cell>
          <cell r="F9">
            <v>24208</v>
          </cell>
          <cell r="G9">
            <v>30798</v>
          </cell>
          <cell r="H9">
            <v>29901</v>
          </cell>
          <cell r="I9">
            <v>30133</v>
          </cell>
          <cell r="J9">
            <v>31761</v>
          </cell>
          <cell r="K9">
            <v>0</v>
          </cell>
          <cell r="L9">
            <v>0</v>
          </cell>
          <cell r="M9">
            <v>0</v>
          </cell>
          <cell r="N9">
            <v>0</v>
          </cell>
          <cell r="O9">
            <v>34206</v>
          </cell>
          <cell r="P9">
            <v>0</v>
          </cell>
          <cell r="Q9">
            <v>0</v>
          </cell>
          <cell r="R9">
            <v>0</v>
          </cell>
          <cell r="S9">
            <v>0</v>
          </cell>
          <cell r="T9">
            <v>39434</v>
          </cell>
          <cell r="U9">
            <v>0</v>
          </cell>
          <cell r="V9">
            <v>0</v>
          </cell>
          <cell r="W9">
            <v>0</v>
          </cell>
          <cell r="X9">
            <v>0</v>
          </cell>
          <cell r="Y9">
            <v>39123</v>
          </cell>
          <cell r="Z9">
            <v>0</v>
          </cell>
          <cell r="AA9">
            <v>0</v>
          </cell>
          <cell r="AB9">
            <v>0</v>
          </cell>
          <cell r="AC9">
            <v>0</v>
          </cell>
          <cell r="AD9">
            <v>43265</v>
          </cell>
          <cell r="AE9">
            <v>0</v>
          </cell>
          <cell r="AF9">
            <v>0</v>
          </cell>
          <cell r="AG9">
            <v>0</v>
          </cell>
          <cell r="AH9">
            <v>0</v>
          </cell>
          <cell r="AI9">
            <v>42822</v>
          </cell>
          <cell r="AJ9">
            <v>0</v>
          </cell>
          <cell r="AK9">
            <v>0</v>
          </cell>
          <cell r="AL9">
            <v>0</v>
          </cell>
          <cell r="AM9">
            <v>0</v>
          </cell>
          <cell r="AN9">
            <v>45752</v>
          </cell>
          <cell r="AO9">
            <v>0</v>
          </cell>
          <cell r="AP9">
            <v>0</v>
          </cell>
          <cell r="AQ9">
            <v>0</v>
          </cell>
          <cell r="AR9">
            <v>0</v>
          </cell>
          <cell r="AS9">
            <v>49128</v>
          </cell>
          <cell r="AT9">
            <v>56480</v>
          </cell>
          <cell r="AU9">
            <v>59216.726978690989</v>
          </cell>
          <cell r="AV9">
            <v>62281.391399614724</v>
          </cell>
          <cell r="AW9">
            <v>66858.97329655182</v>
          </cell>
          <cell r="AX9">
            <v>72864.08033762491</v>
          </cell>
          <cell r="AY9">
            <v>76238.071634599284</v>
          </cell>
          <cell r="AZ9">
            <v>78908.000563478025</v>
          </cell>
          <cell r="BA9">
            <v>84085.651680358176</v>
          </cell>
          <cell r="BB9">
            <v>89235.649575942138</v>
          </cell>
        </row>
        <row r="10">
          <cell r="B10" t="str">
            <v>Cost of goods sold, COGS</v>
          </cell>
          <cell r="C10" t="str">
            <v>COST_GD_SD</v>
          </cell>
          <cell r="D10" t="str">
            <v>EUR</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row>
        <row r="11">
          <cell r="B11" t="str">
            <v>SG&amp;A, selling, general and admin. expense</v>
          </cell>
          <cell r="C11" t="str">
            <v>SEL_GL_AD</v>
          </cell>
          <cell r="D11" t="str">
            <v>EUR</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row>
        <row r="12">
          <cell r="B12" t="str">
            <v>Total operating expense</v>
          </cell>
          <cell r="C12" t="str">
            <v>OP_COST</v>
          </cell>
          <cell r="D12" t="str">
            <v>EUR</v>
          </cell>
          <cell r="F12">
            <v>-20535</v>
          </cell>
          <cell r="G12">
            <v>-25539</v>
          </cell>
          <cell r="H12">
            <v>-24774</v>
          </cell>
          <cell r="I12">
            <v>-24807</v>
          </cell>
          <cell r="J12">
            <v>-25782</v>
          </cell>
          <cell r="K12">
            <v>0</v>
          </cell>
          <cell r="L12">
            <v>0</v>
          </cell>
          <cell r="M12">
            <v>0</v>
          </cell>
          <cell r="N12">
            <v>0</v>
          </cell>
          <cell r="O12">
            <v>-27762</v>
          </cell>
          <cell r="P12">
            <v>0</v>
          </cell>
          <cell r="Q12">
            <v>0</v>
          </cell>
          <cell r="R12">
            <v>0</v>
          </cell>
          <cell r="S12">
            <v>0</v>
          </cell>
          <cell r="T12">
            <v>-31850</v>
          </cell>
          <cell r="U12">
            <v>0</v>
          </cell>
          <cell r="V12">
            <v>0</v>
          </cell>
          <cell r="W12">
            <v>0</v>
          </cell>
          <cell r="X12">
            <v>0</v>
          </cell>
          <cell r="Y12">
            <v>-31190</v>
          </cell>
          <cell r="Z12">
            <v>0</v>
          </cell>
          <cell r="AA12">
            <v>0</v>
          </cell>
          <cell r="AB12">
            <v>0</v>
          </cell>
          <cell r="AC12">
            <v>0</v>
          </cell>
          <cell r="AD12">
            <v>-35651</v>
          </cell>
          <cell r="AE12">
            <v>0</v>
          </cell>
          <cell r="AF12">
            <v>0</v>
          </cell>
          <cell r="AG12">
            <v>0</v>
          </cell>
          <cell r="AH12">
            <v>0</v>
          </cell>
          <cell r="AI12">
            <v>-36079</v>
          </cell>
          <cell r="AJ12">
            <v>0</v>
          </cell>
          <cell r="AK12">
            <v>0</v>
          </cell>
          <cell r="AL12">
            <v>0</v>
          </cell>
          <cell r="AM12">
            <v>0</v>
          </cell>
          <cell r="AN12">
            <v>-39934</v>
          </cell>
          <cell r="AO12">
            <v>0</v>
          </cell>
          <cell r="AP12">
            <v>0</v>
          </cell>
          <cell r="AQ12">
            <v>0</v>
          </cell>
          <cell r="AR12">
            <v>0</v>
          </cell>
          <cell r="AS12">
            <v>-42380</v>
          </cell>
          <cell r="AT12">
            <v>-48381</v>
          </cell>
          <cell r="AU12">
            <v>-50252.301097639836</v>
          </cell>
          <cell r="AV12">
            <v>-52451.87405692703</v>
          </cell>
          <cell r="AW12">
            <v>-56142.378219474282</v>
          </cell>
          <cell r="AX12">
            <v>-61087.756776271388</v>
          </cell>
          <cell r="AY12">
            <v>-63844.80020411218</v>
          </cell>
          <cell r="AZ12">
            <v>-66153.833316441014</v>
          </cell>
          <cell r="BA12">
            <v>-69769.015663985614</v>
          </cell>
          <cell r="BB12">
            <v>-73428.263380534685</v>
          </cell>
        </row>
        <row r="13">
          <cell r="B13" t="str">
            <v>R&amp;D expense</v>
          </cell>
          <cell r="C13" t="str">
            <v>RD_EXP</v>
          </cell>
          <cell r="D13" t="str">
            <v>EUR</v>
          </cell>
          <cell r="F13">
            <v>-1339</v>
          </cell>
          <cell r="G13">
            <v>-2046</v>
          </cell>
          <cell r="H13">
            <v>-2096</v>
          </cell>
          <cell r="I13">
            <v>-2189</v>
          </cell>
          <cell r="J13">
            <v>-2126</v>
          </cell>
          <cell r="K13">
            <v>0</v>
          </cell>
          <cell r="L13">
            <v>0</v>
          </cell>
          <cell r="M13">
            <v>0</v>
          </cell>
          <cell r="N13">
            <v>0</v>
          </cell>
          <cell r="O13">
            <v>-2075</v>
          </cell>
          <cell r="P13">
            <v>0</v>
          </cell>
          <cell r="Q13">
            <v>0</v>
          </cell>
          <cell r="R13">
            <v>0</v>
          </cell>
          <cell r="S13">
            <v>0</v>
          </cell>
          <cell r="T13">
            <v>-2458</v>
          </cell>
          <cell r="U13">
            <v>0</v>
          </cell>
          <cell r="V13">
            <v>0</v>
          </cell>
          <cell r="W13">
            <v>0</v>
          </cell>
          <cell r="X13">
            <v>0</v>
          </cell>
          <cell r="Y13">
            <v>-2608</v>
          </cell>
          <cell r="Z13">
            <v>0</v>
          </cell>
          <cell r="AA13">
            <v>0</v>
          </cell>
          <cell r="AB13">
            <v>0</v>
          </cell>
          <cell r="AC13">
            <v>0</v>
          </cell>
          <cell r="AD13">
            <v>-2669</v>
          </cell>
          <cell r="AE13">
            <v>0</v>
          </cell>
          <cell r="AF13">
            <v>0</v>
          </cell>
          <cell r="AG13">
            <v>0</v>
          </cell>
          <cell r="AH13">
            <v>0</v>
          </cell>
          <cell r="AI13">
            <v>-2825</v>
          </cell>
          <cell r="AJ13">
            <v>0</v>
          </cell>
          <cell r="AK13">
            <v>0</v>
          </cell>
          <cell r="AL13">
            <v>0</v>
          </cell>
          <cell r="AM13">
            <v>0</v>
          </cell>
          <cell r="AN13">
            <v>-2939</v>
          </cell>
          <cell r="AO13">
            <v>0</v>
          </cell>
          <cell r="AP13">
            <v>0</v>
          </cell>
          <cell r="AQ13">
            <v>0</v>
          </cell>
          <cell r="AR13">
            <v>0</v>
          </cell>
          <cell r="AS13">
            <v>-3152</v>
          </cell>
          <cell r="AT13">
            <v>-3142</v>
          </cell>
          <cell r="AU13">
            <v>-3294.2449746290208</v>
          </cell>
          <cell r="AV13">
            <v>-3464.7332113595867</v>
          </cell>
          <cell r="AW13">
            <v>-3719.3855187281483</v>
          </cell>
          <cell r="AX13">
            <v>-4053.4514947028588</v>
          </cell>
          <cell r="AY13">
            <v>-4241.1476819389336</v>
          </cell>
          <cell r="AZ13">
            <v>-4389.6766602416419</v>
          </cell>
          <cell r="BA13">
            <v>-4677.7110053060442</v>
          </cell>
          <cell r="BB13">
            <v>-4964.2069930525886</v>
          </cell>
        </row>
        <row r="14">
          <cell r="B14" t="str">
            <v>Other operating income/(expense) (incl. leases)</v>
          </cell>
          <cell r="C14" t="str">
            <v>OTH_OP_INC_EXP</v>
          </cell>
          <cell r="D14" t="str">
            <v>EUR</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row>
        <row r="15">
          <cell r="B15" t="str">
            <v>Total operating expense (incl. D&amp;A)</v>
          </cell>
          <cell r="C15" t="str">
            <v>TOT_OPS_EXP_DDA</v>
          </cell>
          <cell r="D15" t="str">
            <v>EUR</v>
          </cell>
          <cell r="F15">
            <v>-22809</v>
          </cell>
          <cell r="G15">
            <v>-29104</v>
          </cell>
          <cell r="H15">
            <v>-28475</v>
          </cell>
          <cell r="I15">
            <v>-28590</v>
          </cell>
          <cell r="J15">
            <v>-29317</v>
          </cell>
          <cell r="K15">
            <v>0</v>
          </cell>
          <cell r="L15">
            <v>0</v>
          </cell>
          <cell r="M15">
            <v>0</v>
          </cell>
          <cell r="N15">
            <v>0</v>
          </cell>
          <cell r="O15">
            <v>-31354</v>
          </cell>
          <cell r="P15">
            <v>0</v>
          </cell>
          <cell r="Q15">
            <v>0</v>
          </cell>
          <cell r="R15">
            <v>0</v>
          </cell>
          <cell r="S15">
            <v>0</v>
          </cell>
          <cell r="T15">
            <v>-35878</v>
          </cell>
          <cell r="U15">
            <v>0</v>
          </cell>
          <cell r="V15">
            <v>0</v>
          </cell>
          <cell r="W15">
            <v>0</v>
          </cell>
          <cell r="X15">
            <v>0</v>
          </cell>
          <cell r="Y15">
            <v>-35509</v>
          </cell>
          <cell r="Z15">
            <v>0</v>
          </cell>
          <cell r="AA15">
            <v>0</v>
          </cell>
          <cell r="AB15">
            <v>0</v>
          </cell>
          <cell r="AC15">
            <v>0</v>
          </cell>
          <cell r="AD15">
            <v>-39935</v>
          </cell>
          <cell r="AE15">
            <v>0</v>
          </cell>
          <cell r="AF15">
            <v>0</v>
          </cell>
          <cell r="AG15">
            <v>0</v>
          </cell>
          <cell r="AH15">
            <v>0</v>
          </cell>
          <cell r="AI15">
            <v>-40674</v>
          </cell>
          <cell r="AJ15">
            <v>0</v>
          </cell>
          <cell r="AK15">
            <v>0</v>
          </cell>
          <cell r="AL15">
            <v>0</v>
          </cell>
          <cell r="AM15">
            <v>0</v>
          </cell>
          <cell r="AN15">
            <v>-44411</v>
          </cell>
          <cell r="AO15">
            <v>0</v>
          </cell>
          <cell r="AP15">
            <v>0</v>
          </cell>
          <cell r="AQ15">
            <v>0</v>
          </cell>
          <cell r="AR15">
            <v>0</v>
          </cell>
          <cell r="AS15">
            <v>-47334</v>
          </cell>
          <cell r="AT15">
            <v>-53521</v>
          </cell>
          <cell r="AU15">
            <v>-55639.880914971123</v>
          </cell>
          <cell r="AV15">
            <v>-58121.340058158792</v>
          </cell>
          <cell r="AW15">
            <v>-62232.887739732039</v>
          </cell>
          <cell r="AX15">
            <v>-67730.612809956467</v>
          </cell>
          <cell r="AY15">
            <v>-70797.994141263654</v>
          </cell>
          <cell r="AZ15">
            <v>-73352.605879398528</v>
          </cell>
          <cell r="BA15">
            <v>-77444.025789836043</v>
          </cell>
          <cell r="BB15">
            <v>-81576.967540867394</v>
          </cell>
        </row>
        <row r="16">
          <cell r="B16" t="str">
            <v>Total operating expense (excl. D&amp;A)</v>
          </cell>
          <cell r="C16" t="str">
            <v>TOT_OPS_EXP</v>
          </cell>
          <cell r="D16" t="str">
            <v>EUR</v>
          </cell>
          <cell r="F16">
            <v>-21874</v>
          </cell>
          <cell r="G16">
            <v>-27585</v>
          </cell>
          <cell r="H16">
            <v>-26870</v>
          </cell>
          <cell r="I16">
            <v>-26996</v>
          </cell>
          <cell r="J16">
            <v>-27908</v>
          </cell>
          <cell r="K16">
            <v>0</v>
          </cell>
          <cell r="L16">
            <v>0</v>
          </cell>
          <cell r="M16">
            <v>0</v>
          </cell>
          <cell r="N16">
            <v>0</v>
          </cell>
          <cell r="O16">
            <v>-29837</v>
          </cell>
          <cell r="P16">
            <v>0</v>
          </cell>
          <cell r="Q16">
            <v>0</v>
          </cell>
          <cell r="R16">
            <v>0</v>
          </cell>
          <cell r="S16">
            <v>0</v>
          </cell>
          <cell r="T16">
            <v>-34308</v>
          </cell>
          <cell r="U16">
            <v>0</v>
          </cell>
          <cell r="V16">
            <v>0</v>
          </cell>
          <cell r="W16">
            <v>0</v>
          </cell>
          <cell r="X16">
            <v>0</v>
          </cell>
          <cell r="Y16">
            <v>-33798</v>
          </cell>
          <cell r="Z16">
            <v>0</v>
          </cell>
          <cell r="AA16">
            <v>0</v>
          </cell>
          <cell r="AB16">
            <v>0</v>
          </cell>
          <cell r="AC16">
            <v>0</v>
          </cell>
          <cell r="AD16">
            <v>-38320</v>
          </cell>
          <cell r="AE16">
            <v>0</v>
          </cell>
          <cell r="AF16">
            <v>0</v>
          </cell>
          <cell r="AG16">
            <v>0</v>
          </cell>
          <cell r="AH16">
            <v>0</v>
          </cell>
          <cell r="AI16">
            <v>-38904</v>
          </cell>
          <cell r="AJ16">
            <v>0</v>
          </cell>
          <cell r="AK16">
            <v>0</v>
          </cell>
          <cell r="AL16">
            <v>0</v>
          </cell>
          <cell r="AM16">
            <v>0</v>
          </cell>
          <cell r="AN16">
            <v>-42873</v>
          </cell>
          <cell r="AO16">
            <v>0</v>
          </cell>
          <cell r="AP16">
            <v>0</v>
          </cell>
          <cell r="AQ16">
            <v>0</v>
          </cell>
          <cell r="AR16">
            <v>0</v>
          </cell>
          <cell r="AS16">
            <v>-45532</v>
          </cell>
          <cell r="AT16">
            <v>-51523</v>
          </cell>
          <cell r="AU16">
            <v>-53546.546072268859</v>
          </cell>
          <cell r="AV16">
            <v>-55916.607268286614</v>
          </cell>
          <cell r="AW16">
            <v>-59861.763738202433</v>
          </cell>
          <cell r="AX16">
            <v>-65141.208270974246</v>
          </cell>
          <cell r="AY16">
            <v>-68085.947886051115</v>
          </cell>
          <cell r="AZ16">
            <v>-70543.509976682661</v>
          </cell>
          <cell r="BA16">
            <v>-74446.72666929166</v>
          </cell>
          <cell r="BB16">
            <v>-78392.470373587275</v>
          </cell>
        </row>
        <row r="17">
          <cell r="B17" t="str">
            <v>EBITDA</v>
          </cell>
          <cell r="C17" t="str">
            <v>EBITDA_CALC</v>
          </cell>
          <cell r="D17" t="str">
            <v>EUR</v>
          </cell>
          <cell r="F17">
            <v>2334</v>
          </cell>
          <cell r="G17">
            <v>3213</v>
          </cell>
          <cell r="H17">
            <v>3031</v>
          </cell>
          <cell r="I17">
            <v>3137</v>
          </cell>
          <cell r="J17">
            <v>3853</v>
          </cell>
          <cell r="K17">
            <v>0</v>
          </cell>
          <cell r="L17">
            <v>0</v>
          </cell>
          <cell r="M17">
            <v>0</v>
          </cell>
          <cell r="N17">
            <v>0</v>
          </cell>
          <cell r="O17">
            <v>4369</v>
          </cell>
          <cell r="P17">
            <v>0</v>
          </cell>
          <cell r="Q17">
            <v>0</v>
          </cell>
          <cell r="R17">
            <v>0</v>
          </cell>
          <cell r="S17">
            <v>0</v>
          </cell>
          <cell r="T17">
            <v>5126</v>
          </cell>
          <cell r="U17">
            <v>0</v>
          </cell>
          <cell r="V17">
            <v>0</v>
          </cell>
          <cell r="W17">
            <v>0</v>
          </cell>
          <cell r="X17">
            <v>0</v>
          </cell>
          <cell r="Y17">
            <v>5325</v>
          </cell>
          <cell r="Z17">
            <v>0</v>
          </cell>
          <cell r="AA17">
            <v>0</v>
          </cell>
          <cell r="AB17">
            <v>0</v>
          </cell>
          <cell r="AC17">
            <v>0</v>
          </cell>
          <cell r="AD17">
            <v>4945</v>
          </cell>
          <cell r="AE17">
            <v>0</v>
          </cell>
          <cell r="AF17">
            <v>0</v>
          </cell>
          <cell r="AG17">
            <v>0</v>
          </cell>
          <cell r="AH17">
            <v>0</v>
          </cell>
          <cell r="AI17">
            <v>3918</v>
          </cell>
          <cell r="AJ17">
            <v>0</v>
          </cell>
          <cell r="AK17">
            <v>0</v>
          </cell>
          <cell r="AL17">
            <v>0</v>
          </cell>
          <cell r="AM17">
            <v>0</v>
          </cell>
          <cell r="AN17">
            <v>2879</v>
          </cell>
          <cell r="AO17">
            <v>0</v>
          </cell>
          <cell r="AP17">
            <v>0</v>
          </cell>
          <cell r="AQ17">
            <v>0</v>
          </cell>
          <cell r="AR17">
            <v>0</v>
          </cell>
          <cell r="AS17">
            <v>3596</v>
          </cell>
          <cell r="AT17">
            <v>4957</v>
          </cell>
          <cell r="AU17">
            <v>5670.1809064221325</v>
          </cell>
          <cell r="AV17">
            <v>6364.7841313281106</v>
          </cell>
          <cell r="AW17">
            <v>6997.2095583493847</v>
          </cell>
          <cell r="AX17">
            <v>7722.8720666506642</v>
          </cell>
          <cell r="AY17">
            <v>8152.1237485481652</v>
          </cell>
          <cell r="AZ17">
            <v>8364.4905867953603</v>
          </cell>
          <cell r="BA17">
            <v>9638.9250110665162</v>
          </cell>
          <cell r="BB17">
            <v>10843.179202354855</v>
          </cell>
        </row>
        <row r="18">
          <cell r="B18" t="str">
            <v>Depreciation</v>
          </cell>
          <cell r="C18" t="str">
            <v>DEPREC</v>
          </cell>
          <cell r="D18" t="str">
            <v>EUR</v>
          </cell>
          <cell r="F18">
            <v>-935</v>
          </cell>
          <cell r="G18">
            <v>-1519</v>
          </cell>
          <cell r="H18">
            <v>-1605</v>
          </cell>
          <cell r="I18">
            <v>-1594</v>
          </cell>
          <cell r="J18">
            <v>-1409</v>
          </cell>
          <cell r="K18">
            <v>0</v>
          </cell>
          <cell r="L18">
            <v>0</v>
          </cell>
          <cell r="M18">
            <v>0</v>
          </cell>
          <cell r="N18">
            <v>0</v>
          </cell>
          <cell r="O18">
            <v>-1517</v>
          </cell>
          <cell r="P18">
            <v>0</v>
          </cell>
          <cell r="Q18">
            <v>0</v>
          </cell>
          <cell r="R18">
            <v>0</v>
          </cell>
          <cell r="S18">
            <v>0</v>
          </cell>
          <cell r="T18">
            <v>-1554</v>
          </cell>
          <cell r="U18">
            <v>0</v>
          </cell>
          <cell r="V18">
            <v>0</v>
          </cell>
          <cell r="W18">
            <v>0</v>
          </cell>
          <cell r="X18">
            <v>0</v>
          </cell>
          <cell r="Y18">
            <v>-1574</v>
          </cell>
          <cell r="Z18">
            <v>0</v>
          </cell>
          <cell r="AA18">
            <v>0</v>
          </cell>
          <cell r="AB18">
            <v>0</v>
          </cell>
          <cell r="AC18">
            <v>0</v>
          </cell>
          <cell r="AD18">
            <v>-1543</v>
          </cell>
          <cell r="AE18">
            <v>0</v>
          </cell>
          <cell r="AF18">
            <v>0</v>
          </cell>
          <cell r="AG18">
            <v>0</v>
          </cell>
          <cell r="AH18">
            <v>0</v>
          </cell>
          <cell r="AI18">
            <v>-1483</v>
          </cell>
          <cell r="AJ18">
            <v>0</v>
          </cell>
          <cell r="AK18">
            <v>0</v>
          </cell>
          <cell r="AL18">
            <v>0</v>
          </cell>
          <cell r="AM18">
            <v>0</v>
          </cell>
          <cell r="AN18">
            <v>-1403</v>
          </cell>
          <cell r="AO18">
            <v>0</v>
          </cell>
          <cell r="AP18">
            <v>0</v>
          </cell>
          <cell r="AQ18">
            <v>0</v>
          </cell>
          <cell r="AR18">
            <v>0</v>
          </cell>
          <cell r="AS18">
            <v>-1493</v>
          </cell>
          <cell r="AT18">
            <v>-1618</v>
          </cell>
          <cell r="AU18">
            <v>-1696.399862810234</v>
          </cell>
          <cell r="AV18">
            <v>-1784.1942507892461</v>
          </cell>
          <cell r="AW18">
            <v>-1915.3296528650999</v>
          </cell>
          <cell r="AX18">
            <v>-2087.3598085389003</v>
          </cell>
          <cell r="AY18">
            <v>-2184.0155790506665</v>
          </cell>
          <cell r="AZ18">
            <v>-2260.5018575019021</v>
          </cell>
          <cell r="BA18">
            <v>-2408.8276278119602</v>
          </cell>
          <cell r="BB18">
            <v>-2556.3612077527332</v>
          </cell>
        </row>
        <row r="19">
          <cell r="B19" t="str">
            <v>Amortization</v>
          </cell>
          <cell r="C19" t="str">
            <v>GOODWILL_AMORT</v>
          </cell>
          <cell r="D19" t="str">
            <v>EUR</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-16</v>
          </cell>
          <cell r="U19">
            <v>0</v>
          </cell>
          <cell r="V19">
            <v>0</v>
          </cell>
          <cell r="W19">
            <v>0</v>
          </cell>
          <cell r="X19">
            <v>0</v>
          </cell>
          <cell r="Y19">
            <v>-137</v>
          </cell>
          <cell r="Z19">
            <v>0</v>
          </cell>
          <cell r="AA19">
            <v>0</v>
          </cell>
          <cell r="AB19">
            <v>0</v>
          </cell>
          <cell r="AC19">
            <v>0</v>
          </cell>
          <cell r="AD19">
            <v>-72</v>
          </cell>
          <cell r="AE19">
            <v>0</v>
          </cell>
          <cell r="AF19">
            <v>0</v>
          </cell>
          <cell r="AG19">
            <v>0</v>
          </cell>
          <cell r="AH19">
            <v>0</v>
          </cell>
          <cell r="AI19">
            <v>-287</v>
          </cell>
          <cell r="AJ19">
            <v>0</v>
          </cell>
          <cell r="AK19">
            <v>0</v>
          </cell>
          <cell r="AL19">
            <v>0</v>
          </cell>
          <cell r="AM19">
            <v>0</v>
          </cell>
          <cell r="AN19">
            <v>-135</v>
          </cell>
          <cell r="AO19">
            <v>0</v>
          </cell>
          <cell r="AP19">
            <v>0</v>
          </cell>
          <cell r="AQ19">
            <v>0</v>
          </cell>
          <cell r="AR19">
            <v>0</v>
          </cell>
          <cell r="AS19">
            <v>-309</v>
          </cell>
          <cell r="AT19">
            <v>-380</v>
          </cell>
          <cell r="AU19">
            <v>-396.93497989203269</v>
          </cell>
          <cell r="AV19">
            <v>-420.53853908292905</v>
          </cell>
          <cell r="AW19">
            <v>-455.79434866450896</v>
          </cell>
          <cell r="AX19">
            <v>-502.04473044331195</v>
          </cell>
          <cell r="AY19">
            <v>-528.03067616186468</v>
          </cell>
          <cell r="AZ19">
            <v>-548.59404521395834</v>
          </cell>
          <cell r="BA19">
            <v>-588.47149273242269</v>
          </cell>
          <cell r="BB19">
            <v>-628.13595952737717</v>
          </cell>
          <cell r="BC19" t="str">
            <v>CH: This is the amortisation which isn't added back in underlying EBIT. Underlying EBIT is really EBITA as it excludes a large amount of amortisation and goodwill impairment, but not all the amortisation.</v>
          </cell>
        </row>
        <row r="20">
          <cell r="B20" t="str">
            <v>EBIT, operating profit</v>
          </cell>
          <cell r="C20" t="str">
            <v>EBIT</v>
          </cell>
          <cell r="D20" t="str">
            <v>EUR</v>
          </cell>
          <cell r="F20">
            <v>1399</v>
          </cell>
          <cell r="G20">
            <v>1694</v>
          </cell>
          <cell r="H20">
            <v>1426</v>
          </cell>
          <cell r="I20">
            <v>1543</v>
          </cell>
          <cell r="J20">
            <v>2444</v>
          </cell>
          <cell r="K20">
            <v>0</v>
          </cell>
          <cell r="L20">
            <v>0</v>
          </cell>
          <cell r="M20">
            <v>0</v>
          </cell>
          <cell r="N20">
            <v>0</v>
          </cell>
          <cell r="O20">
            <v>2852</v>
          </cell>
          <cell r="P20">
            <v>0</v>
          </cell>
          <cell r="Q20">
            <v>0</v>
          </cell>
          <cell r="R20">
            <v>0</v>
          </cell>
          <cell r="S20">
            <v>0</v>
          </cell>
          <cell r="T20">
            <v>3556</v>
          </cell>
          <cell r="U20">
            <v>0</v>
          </cell>
          <cell r="V20">
            <v>0</v>
          </cell>
          <cell r="W20">
            <v>0</v>
          </cell>
          <cell r="X20">
            <v>0</v>
          </cell>
          <cell r="Y20">
            <v>3614</v>
          </cell>
          <cell r="Z20">
            <v>0</v>
          </cell>
          <cell r="AA20">
            <v>0</v>
          </cell>
          <cell r="AB20">
            <v>0</v>
          </cell>
          <cell r="AC20">
            <v>0</v>
          </cell>
          <cell r="AD20">
            <v>3330</v>
          </cell>
          <cell r="AE20">
            <v>0</v>
          </cell>
          <cell r="AF20">
            <v>0</v>
          </cell>
          <cell r="AG20">
            <v>0</v>
          </cell>
          <cell r="AH20">
            <v>0</v>
          </cell>
          <cell r="AI20">
            <v>2148</v>
          </cell>
          <cell r="AJ20">
            <v>0</v>
          </cell>
          <cell r="AK20">
            <v>0</v>
          </cell>
          <cell r="AL20">
            <v>0</v>
          </cell>
          <cell r="AM20">
            <v>0</v>
          </cell>
          <cell r="AN20">
            <v>1341</v>
          </cell>
          <cell r="AO20">
            <v>0</v>
          </cell>
          <cell r="AP20">
            <v>0</v>
          </cell>
          <cell r="AQ20">
            <v>0</v>
          </cell>
          <cell r="AR20">
            <v>0</v>
          </cell>
          <cell r="AS20">
            <v>1794</v>
          </cell>
          <cell r="AT20">
            <v>2959</v>
          </cell>
          <cell r="AU20">
            <v>3576.8460637198664</v>
          </cell>
          <cell r="AV20">
            <v>4160.0513414559355</v>
          </cell>
          <cell r="AW20">
            <v>4626.0855568197758</v>
          </cell>
          <cell r="AX20">
            <v>5133.467527668452</v>
          </cell>
          <cell r="AY20">
            <v>5440.0774933356342</v>
          </cell>
          <cell r="AZ20">
            <v>5555.3946840794997</v>
          </cell>
          <cell r="BA20">
            <v>6641.625890522133</v>
          </cell>
          <cell r="BB20">
            <v>7658.6820350747448</v>
          </cell>
        </row>
        <row r="21">
          <cell r="B21" t="str">
            <v>Interest income</v>
          </cell>
          <cell r="C21" t="str">
            <v>INT_INC_IND</v>
          </cell>
          <cell r="D21" t="str">
            <v>EUR</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454</v>
          </cell>
          <cell r="U21">
            <v>0</v>
          </cell>
          <cell r="V21">
            <v>0</v>
          </cell>
          <cell r="W21">
            <v>0</v>
          </cell>
          <cell r="X21">
            <v>0</v>
          </cell>
          <cell r="Y21">
            <v>502</v>
          </cell>
          <cell r="Z21">
            <v>0</v>
          </cell>
          <cell r="AA21">
            <v>0</v>
          </cell>
          <cell r="AB21">
            <v>0</v>
          </cell>
          <cell r="AC21">
            <v>0</v>
          </cell>
          <cell r="AD21">
            <v>617</v>
          </cell>
          <cell r="AE21">
            <v>0</v>
          </cell>
          <cell r="AF21">
            <v>0</v>
          </cell>
          <cell r="AG21">
            <v>0</v>
          </cell>
          <cell r="AH21">
            <v>0</v>
          </cell>
          <cell r="AI21">
            <v>356</v>
          </cell>
          <cell r="AJ21">
            <v>0</v>
          </cell>
          <cell r="AK21">
            <v>0</v>
          </cell>
          <cell r="AL21">
            <v>0</v>
          </cell>
          <cell r="AM21">
            <v>0</v>
          </cell>
          <cell r="AN21">
            <v>316</v>
          </cell>
          <cell r="AO21">
            <v>0</v>
          </cell>
          <cell r="AP21">
            <v>0</v>
          </cell>
          <cell r="AQ21">
            <v>0</v>
          </cell>
          <cell r="AR21">
            <v>0</v>
          </cell>
          <cell r="AS21">
            <v>377</v>
          </cell>
          <cell r="AT21">
            <v>237</v>
          </cell>
          <cell r="AU21">
            <v>206.40346310004233</v>
          </cell>
          <cell r="AV21">
            <v>273.55979658177216</v>
          </cell>
          <cell r="AW21">
            <v>349.38921692349953</v>
          </cell>
          <cell r="AX21">
            <v>433.80854557066743</v>
          </cell>
          <cell r="AY21">
            <v>527.70567642506683</v>
          </cell>
          <cell r="AZ21">
            <v>632.05839792352435</v>
          </cell>
          <cell r="BA21">
            <v>747.94343121163331</v>
          </cell>
          <cell r="BB21">
            <v>876.5463745708679</v>
          </cell>
        </row>
        <row r="22">
          <cell r="B22" t="str">
            <v>Interest expense</v>
          </cell>
          <cell r="C22" t="str">
            <v>INT_EXP_IND</v>
          </cell>
          <cell r="D22" t="str">
            <v>EUR</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-698</v>
          </cell>
          <cell r="U22">
            <v>0</v>
          </cell>
          <cell r="V22">
            <v>0</v>
          </cell>
          <cell r="W22">
            <v>0</v>
          </cell>
          <cell r="X22">
            <v>0</v>
          </cell>
          <cell r="Y22">
            <v>-1239</v>
          </cell>
          <cell r="Z22">
            <v>0</v>
          </cell>
          <cell r="AA22">
            <v>0</v>
          </cell>
          <cell r="AB22">
            <v>0</v>
          </cell>
          <cell r="AC22">
            <v>0</v>
          </cell>
          <cell r="AD22">
            <v>-1089</v>
          </cell>
          <cell r="AE22">
            <v>0</v>
          </cell>
          <cell r="AF22">
            <v>0</v>
          </cell>
          <cell r="AG22">
            <v>0</v>
          </cell>
          <cell r="AH22">
            <v>0</v>
          </cell>
          <cell r="AI22">
            <v>-948</v>
          </cell>
          <cell r="AJ22">
            <v>0</v>
          </cell>
          <cell r="AK22">
            <v>0</v>
          </cell>
          <cell r="AL22">
            <v>0</v>
          </cell>
          <cell r="AM22">
            <v>0</v>
          </cell>
          <cell r="AN22">
            <v>-687</v>
          </cell>
          <cell r="AO22">
            <v>0</v>
          </cell>
          <cell r="AP22">
            <v>0</v>
          </cell>
          <cell r="AQ22">
            <v>0</v>
          </cell>
          <cell r="AR22">
            <v>0</v>
          </cell>
          <cell r="AS22">
            <v>-597</v>
          </cell>
          <cell r="AT22">
            <v>-690</v>
          </cell>
          <cell r="AU22">
            <v>-510.95000000000005</v>
          </cell>
          <cell r="AV22">
            <v>-510.95000000000005</v>
          </cell>
          <cell r="AW22">
            <v>-510.95000000000005</v>
          </cell>
          <cell r="AX22">
            <v>-510.95000000000005</v>
          </cell>
          <cell r="AY22">
            <v>-510.95000000000005</v>
          </cell>
          <cell r="AZ22">
            <v>-510.95000000000005</v>
          </cell>
          <cell r="BA22">
            <v>-510.95000000000005</v>
          </cell>
          <cell r="BB22">
            <v>-510.95000000000005</v>
          </cell>
        </row>
        <row r="23">
          <cell r="B23" t="str">
            <v>Net interest income/(expense)</v>
          </cell>
          <cell r="C23" t="str">
            <v>NET_INT_EXP</v>
          </cell>
          <cell r="D23" t="str">
            <v>EUR</v>
          </cell>
          <cell r="F23">
            <v>-1426</v>
          </cell>
          <cell r="G23">
            <v>-171</v>
          </cell>
          <cell r="H23">
            <v>-60</v>
          </cell>
          <cell r="I23">
            <v>-55</v>
          </cell>
          <cell r="J23">
            <v>-330</v>
          </cell>
          <cell r="K23">
            <v>0</v>
          </cell>
          <cell r="L23">
            <v>0</v>
          </cell>
          <cell r="M23">
            <v>0</v>
          </cell>
          <cell r="N23">
            <v>0</v>
          </cell>
          <cell r="O23">
            <v>-177</v>
          </cell>
          <cell r="P23">
            <v>0</v>
          </cell>
          <cell r="Q23">
            <v>0</v>
          </cell>
          <cell r="R23">
            <v>0</v>
          </cell>
          <cell r="S23">
            <v>0</v>
          </cell>
          <cell r="T23">
            <v>-244</v>
          </cell>
          <cell r="U23">
            <v>0</v>
          </cell>
          <cell r="V23">
            <v>0</v>
          </cell>
          <cell r="W23">
            <v>0</v>
          </cell>
          <cell r="X23">
            <v>0</v>
          </cell>
          <cell r="Y23">
            <v>-737</v>
          </cell>
          <cell r="Z23">
            <v>0</v>
          </cell>
          <cell r="AA23">
            <v>0</v>
          </cell>
          <cell r="AB23">
            <v>0</v>
          </cell>
          <cell r="AC23">
            <v>0</v>
          </cell>
          <cell r="AD23">
            <v>-472</v>
          </cell>
          <cell r="AE23">
            <v>0</v>
          </cell>
          <cell r="AF23">
            <v>0</v>
          </cell>
          <cell r="AG23">
            <v>0</v>
          </cell>
          <cell r="AH23">
            <v>0</v>
          </cell>
          <cell r="AI23">
            <v>-592</v>
          </cell>
          <cell r="AJ23">
            <v>0</v>
          </cell>
          <cell r="AK23">
            <v>0</v>
          </cell>
          <cell r="AL23">
            <v>0</v>
          </cell>
          <cell r="AM23">
            <v>0</v>
          </cell>
          <cell r="AN23">
            <v>-371</v>
          </cell>
          <cell r="AO23">
            <v>0</v>
          </cell>
          <cell r="AP23">
            <v>0</v>
          </cell>
          <cell r="AQ23">
            <v>0</v>
          </cell>
          <cell r="AR23">
            <v>0</v>
          </cell>
          <cell r="AS23">
            <v>-220</v>
          </cell>
          <cell r="AT23">
            <v>-453</v>
          </cell>
          <cell r="AU23">
            <v>-329.33333333333331</v>
          </cell>
          <cell r="AV23">
            <v>-237.39020341822788</v>
          </cell>
          <cell r="AW23">
            <v>-161.56078307650051</v>
          </cell>
          <cell r="AX23">
            <v>-77.141454429332612</v>
          </cell>
          <cell r="AY23">
            <v>16.755676425066781</v>
          </cell>
          <cell r="AZ23">
            <v>121.10839792352431</v>
          </cell>
          <cell r="BA23">
            <v>236.99343121163326</v>
          </cell>
          <cell r="BB23">
            <v>365.59637457086785</v>
          </cell>
        </row>
        <row r="24">
          <cell r="B24" t="str">
            <v>Income/(loss) from unconsolidated subs &amp; associates</v>
          </cell>
          <cell r="C24" t="str">
            <v>ASSOCIATE</v>
          </cell>
          <cell r="D24" t="str">
            <v>EUR</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row>
        <row r="25">
          <cell r="B25" t="str">
            <v>Profit/(loss) on disposals of assets, pre-tax</v>
          </cell>
          <cell r="C25" t="str">
            <v>PROFIT_ON_DISP</v>
          </cell>
          <cell r="D25" t="str">
            <v>EUR</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row>
        <row r="26">
          <cell r="B26" t="str">
            <v>Other non-ops income/(expense)</v>
          </cell>
          <cell r="C26" t="str">
            <v>OTH_COST_INC</v>
          </cell>
          <cell r="D26" t="str">
            <v>EUR</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row>
        <row r="27">
          <cell r="B27" t="str">
            <v>Pre-tax profit</v>
          </cell>
          <cell r="C27" t="str">
            <v>PT_PROF</v>
          </cell>
          <cell r="D27" t="str">
            <v>EUR</v>
          </cell>
          <cell r="F27">
            <v>-27</v>
          </cell>
          <cell r="G27">
            <v>1523</v>
          </cell>
          <cell r="H27">
            <v>1366</v>
          </cell>
          <cell r="I27">
            <v>1488</v>
          </cell>
          <cell r="J27">
            <v>2114</v>
          </cell>
          <cell r="K27">
            <v>0</v>
          </cell>
          <cell r="L27">
            <v>0</v>
          </cell>
          <cell r="M27">
            <v>0</v>
          </cell>
          <cell r="N27">
            <v>0</v>
          </cell>
          <cell r="O27">
            <v>2675</v>
          </cell>
          <cell r="P27">
            <v>0</v>
          </cell>
          <cell r="Q27">
            <v>0</v>
          </cell>
          <cell r="R27">
            <v>0</v>
          </cell>
          <cell r="S27">
            <v>0</v>
          </cell>
          <cell r="T27">
            <v>3312</v>
          </cell>
          <cell r="U27">
            <v>0</v>
          </cell>
          <cell r="V27">
            <v>0</v>
          </cell>
          <cell r="W27">
            <v>0</v>
          </cell>
          <cell r="X27">
            <v>0</v>
          </cell>
          <cell r="Y27">
            <v>2877</v>
          </cell>
          <cell r="Z27">
            <v>0</v>
          </cell>
          <cell r="AA27">
            <v>0</v>
          </cell>
          <cell r="AB27">
            <v>0</v>
          </cell>
          <cell r="AC27">
            <v>0</v>
          </cell>
          <cell r="AD27">
            <v>2858</v>
          </cell>
          <cell r="AE27">
            <v>0</v>
          </cell>
          <cell r="AF27">
            <v>0</v>
          </cell>
          <cell r="AG27">
            <v>0</v>
          </cell>
          <cell r="AH27">
            <v>0</v>
          </cell>
          <cell r="AI27">
            <v>1556</v>
          </cell>
          <cell r="AJ27">
            <v>0</v>
          </cell>
          <cell r="AK27">
            <v>0</v>
          </cell>
          <cell r="AL27">
            <v>0</v>
          </cell>
          <cell r="AM27">
            <v>0</v>
          </cell>
          <cell r="AN27">
            <v>970</v>
          </cell>
          <cell r="AO27">
            <v>0</v>
          </cell>
          <cell r="AP27">
            <v>0</v>
          </cell>
          <cell r="AQ27">
            <v>0</v>
          </cell>
          <cell r="AR27">
            <v>0</v>
          </cell>
          <cell r="AS27">
            <v>1574</v>
          </cell>
          <cell r="AT27">
            <v>2506</v>
          </cell>
          <cell r="AU27">
            <v>3247.5127303865329</v>
          </cell>
          <cell r="AV27">
            <v>3922.6611380377076</v>
          </cell>
          <cell r="AW27">
            <v>4464.5247737432755</v>
          </cell>
          <cell r="AX27">
            <v>5056.3260732391191</v>
          </cell>
          <cell r="AY27">
            <v>5456.8331697607009</v>
          </cell>
          <cell r="AZ27">
            <v>5676.5030820030242</v>
          </cell>
          <cell r="BA27">
            <v>6878.6193217337659</v>
          </cell>
          <cell r="BB27">
            <v>8024.2784096456126</v>
          </cell>
          <cell r="BC27" t="str">
            <v>CH: should match row 314 of the Financials tab</v>
          </cell>
        </row>
        <row r="28">
          <cell r="A28" t="str">
            <v>Additional Income Statement Items</v>
          </cell>
          <cell r="B28">
            <v>0</v>
          </cell>
          <cell r="C28">
            <v>0</v>
          </cell>
          <cell r="D28">
            <v>0</v>
          </cell>
        </row>
        <row r="29">
          <cell r="B29" t="str">
            <v>Organic revenues (excl. acquisitions)</v>
          </cell>
          <cell r="C29" t="str">
            <v>ORG_REV</v>
          </cell>
          <cell r="D29" t="str">
            <v>EUR</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row>
        <row r="30">
          <cell r="B30" t="str">
            <v>Organic sales growth (excl. acquisitions)</v>
          </cell>
          <cell r="C30" t="str">
            <v>ORG_REV_GRTH</v>
          </cell>
          <cell r="F30">
            <v>7.3382698532346025E-2</v>
          </cell>
          <cell r="G30">
            <v>0.1</v>
          </cell>
          <cell r="H30">
            <v>-2.9125267874537286E-2</v>
          </cell>
          <cell r="I30">
            <v>7.7589378281663901E-3</v>
          </cell>
          <cell r="J30">
            <v>5.4027146317990216E-2</v>
          </cell>
          <cell r="K30">
            <v>0</v>
          </cell>
          <cell r="L30">
            <v>0</v>
          </cell>
          <cell r="M30">
            <v>0</v>
          </cell>
          <cell r="N30">
            <v>0</v>
          </cell>
          <cell r="O30">
            <v>7.6981203362614492E-2</v>
          </cell>
          <cell r="P30">
            <v>0</v>
          </cell>
          <cell r="Q30">
            <v>0</v>
          </cell>
          <cell r="R30">
            <v>0</v>
          </cell>
          <cell r="S30">
            <v>0</v>
          </cell>
          <cell r="T30">
            <v>0.15283868327194061</v>
          </cell>
          <cell r="U30">
            <v>0</v>
          </cell>
          <cell r="V30">
            <v>0</v>
          </cell>
          <cell r="W30">
            <v>0</v>
          </cell>
          <cell r="X30">
            <v>0</v>
          </cell>
          <cell r="Y30">
            <v>-7.8865953238321795E-3</v>
          </cell>
          <cell r="Z30">
            <v>0</v>
          </cell>
          <cell r="AA30">
            <v>0</v>
          </cell>
          <cell r="AB30">
            <v>0</v>
          </cell>
          <cell r="AC30">
            <v>0</v>
          </cell>
          <cell r="AD30">
            <v>0.10587122664417348</v>
          </cell>
          <cell r="AE30">
            <v>0</v>
          </cell>
          <cell r="AF30">
            <v>0</v>
          </cell>
          <cell r="AG30">
            <v>0</v>
          </cell>
          <cell r="AH30">
            <v>0</v>
          </cell>
          <cell r="AI30">
            <v>-1.0239223390731578E-2</v>
          </cell>
          <cell r="AJ30">
            <v>0</v>
          </cell>
          <cell r="AK30">
            <v>0</v>
          </cell>
          <cell r="AL30">
            <v>0</v>
          </cell>
          <cell r="AM30">
            <v>0</v>
          </cell>
          <cell r="AN30">
            <v>6.8422773340806042E-2</v>
          </cell>
          <cell r="AO30">
            <v>0</v>
          </cell>
          <cell r="AP30">
            <v>0</v>
          </cell>
          <cell r="AQ30">
            <v>0</v>
          </cell>
          <cell r="AR30">
            <v>0</v>
          </cell>
          <cell r="AS30">
            <v>6.3844203532086086E-2</v>
          </cell>
          <cell r="AT30">
            <v>0.14832681973619932</v>
          </cell>
          <cell r="AU30">
            <v>6.1713061351096644E-2</v>
          </cell>
          <cell r="AV30">
            <v>3.8692789830171423E-2</v>
          </cell>
          <cell r="AW30">
            <v>3.6975210206813158E-2</v>
          </cell>
          <cell r="AX30">
            <v>4.7570003506270234E-2</v>
          </cell>
          <cell r="AY30">
            <v>6.4769577631255569E-3</v>
          </cell>
          <cell r="AZ30">
            <v>-5.973313101589506E-3</v>
          </cell>
          <cell r="BA30">
            <v>3.3392245569248705E-2</v>
          </cell>
          <cell r="BB30">
            <v>3.4347662631197914E-2</v>
          </cell>
          <cell r="BC30" t="str">
            <v>MA: Revenue Growth (pre M&amp;A)</v>
          </cell>
        </row>
        <row r="31">
          <cell r="B31" t="str">
            <v>Lease payments</v>
          </cell>
          <cell r="C31" t="str">
            <v>LEASE_PAY</v>
          </cell>
          <cell r="D31" t="str">
            <v>EUR</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row>
        <row r="32">
          <cell r="B32" t="str">
            <v>Lease payments (deemed interest portion)</v>
          </cell>
          <cell r="C32" t="str">
            <v>LEASE_DEEM_INT</v>
          </cell>
          <cell r="D32" t="str">
            <v>EUR</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row>
        <row r="33">
          <cell r="B33" t="str">
            <v>Lease payments (deemed depreciation portion)</v>
          </cell>
          <cell r="C33" t="str">
            <v>LEASE_DEEM_DEPR</v>
          </cell>
          <cell r="D33" t="str">
            <v>EUR</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row>
        <row r="34">
          <cell r="B34" t="str">
            <v>Gross interest charge</v>
          </cell>
          <cell r="C34" t="str">
            <v>NET_INT_CH</v>
          </cell>
          <cell r="D34" t="str">
            <v>EUR</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row>
        <row r="35">
          <cell r="B35" t="str">
            <v>Income from associates (operating)</v>
          </cell>
          <cell r="C35" t="str">
            <v>ASSOCIATE_OP</v>
          </cell>
          <cell r="D35" t="str">
            <v>EUR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row>
        <row r="36">
          <cell r="B36" t="str">
            <v>Goodwill amortization</v>
          </cell>
          <cell r="C36" t="str">
            <v>GW_AMORT</v>
          </cell>
          <cell r="D36" t="str">
            <v>EUR</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row>
        <row r="37">
          <cell r="B37" t="str">
            <v>Other intangible amortization</v>
          </cell>
          <cell r="C37" t="str">
            <v>OTH_INT_AMORT</v>
          </cell>
          <cell r="D37" t="str">
            <v>EUR</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row>
        <row r="38">
          <cell r="A38" t="str">
            <v>Balance Sheet</v>
          </cell>
          <cell r="B38">
            <v>0</v>
          </cell>
          <cell r="C38">
            <v>0</v>
          </cell>
          <cell r="D38">
            <v>0</v>
          </cell>
        </row>
        <row r="39">
          <cell r="B39" t="str">
            <v>Cash &amp; cash equivalents</v>
          </cell>
          <cell r="C39" t="str">
            <v>CASH_EQ</v>
          </cell>
          <cell r="D39" t="str">
            <v>EUR</v>
          </cell>
          <cell r="F39">
            <v>7922</v>
          </cell>
          <cell r="G39">
            <v>8033</v>
          </cell>
          <cell r="H39">
            <v>6200</v>
          </cell>
          <cell r="I39">
            <v>7872</v>
          </cell>
          <cell r="J39">
            <v>9184</v>
          </cell>
          <cell r="K39">
            <v>0</v>
          </cell>
          <cell r="L39">
            <v>0</v>
          </cell>
          <cell r="M39">
            <v>0</v>
          </cell>
          <cell r="N39">
            <v>0</v>
          </cell>
          <cell r="O39">
            <v>10586</v>
          </cell>
          <cell r="P39">
            <v>0</v>
          </cell>
          <cell r="Q39">
            <v>0</v>
          </cell>
          <cell r="R39">
            <v>0</v>
          </cell>
          <cell r="S39">
            <v>0</v>
          </cell>
          <cell r="T39">
            <v>8143</v>
          </cell>
          <cell r="U39">
            <v>0</v>
          </cell>
          <cell r="V39">
            <v>0</v>
          </cell>
          <cell r="W39">
            <v>0</v>
          </cell>
          <cell r="X39">
            <v>0</v>
          </cell>
          <cell r="Y39">
            <v>7549</v>
          </cell>
          <cell r="Z39">
            <v>0</v>
          </cell>
          <cell r="AA39">
            <v>0</v>
          </cell>
          <cell r="AB39">
            <v>0</v>
          </cell>
          <cell r="AC39">
            <v>0</v>
          </cell>
          <cell r="AD39">
            <v>6745</v>
          </cell>
          <cell r="AE39">
            <v>0</v>
          </cell>
          <cell r="AF39">
            <v>0</v>
          </cell>
          <cell r="AG39">
            <v>0</v>
          </cell>
          <cell r="AH39">
            <v>0</v>
          </cell>
          <cell r="AI39">
            <v>7038</v>
          </cell>
          <cell r="AJ39">
            <v>0</v>
          </cell>
          <cell r="AK39">
            <v>0</v>
          </cell>
          <cell r="AL39">
            <v>0</v>
          </cell>
          <cell r="AM39">
            <v>0</v>
          </cell>
          <cell r="AN39">
            <v>5030</v>
          </cell>
          <cell r="AO39">
            <v>0</v>
          </cell>
          <cell r="AP39">
            <v>0</v>
          </cell>
          <cell r="AQ39">
            <v>0</v>
          </cell>
          <cell r="AR39">
            <v>0</v>
          </cell>
          <cell r="AS39">
            <v>5284</v>
          </cell>
          <cell r="AT39">
            <v>8756</v>
          </cell>
          <cell r="AU39">
            <v>4430.6721038082269</v>
          </cell>
          <cell r="AV39">
            <v>4982.3779077994714</v>
          </cell>
          <cell r="AW39">
            <v>6150.0388104872163</v>
          </cell>
          <cell r="AX39">
            <v>7514.6833060183053</v>
          </cell>
          <cell r="AY39">
            <v>9360.4020311539971</v>
          </cell>
          <cell r="AZ39">
            <v>11876.737012969661</v>
          </cell>
          <cell r="BA39">
            <v>15655.777072255964</v>
          </cell>
          <cell r="BB39">
            <v>21680.138145465848</v>
          </cell>
          <cell r="BC39">
            <v>0</v>
          </cell>
        </row>
        <row r="40">
          <cell r="B40" t="str">
            <v>Accounts receivable</v>
          </cell>
          <cell r="C40" t="str">
            <v>DEBTORS</v>
          </cell>
          <cell r="D40" t="str">
            <v>EUR</v>
          </cell>
          <cell r="F40">
            <v>4118</v>
          </cell>
          <cell r="G40">
            <v>5183</v>
          </cell>
          <cell r="H40">
            <v>4114</v>
          </cell>
          <cell r="I40">
            <v>4001</v>
          </cell>
          <cell r="J40">
            <v>4406</v>
          </cell>
          <cell r="K40">
            <v>0</v>
          </cell>
          <cell r="L40">
            <v>0</v>
          </cell>
          <cell r="M40">
            <v>0</v>
          </cell>
          <cell r="N40">
            <v>0</v>
          </cell>
          <cell r="O40">
            <v>4802</v>
          </cell>
          <cell r="P40">
            <v>0</v>
          </cell>
          <cell r="Q40">
            <v>0</v>
          </cell>
          <cell r="R40">
            <v>0</v>
          </cell>
          <cell r="S40">
            <v>0</v>
          </cell>
          <cell r="T40">
            <v>4852</v>
          </cell>
          <cell r="U40">
            <v>0</v>
          </cell>
          <cell r="V40">
            <v>0</v>
          </cell>
          <cell r="W40">
            <v>0</v>
          </cell>
          <cell r="X40">
            <v>0</v>
          </cell>
          <cell r="Y40">
            <v>4639</v>
          </cell>
          <cell r="Z40">
            <v>0</v>
          </cell>
          <cell r="AA40">
            <v>0</v>
          </cell>
          <cell r="AB40">
            <v>0</v>
          </cell>
          <cell r="AC40">
            <v>0</v>
          </cell>
          <cell r="AD40">
            <v>5267</v>
          </cell>
          <cell r="AE40">
            <v>0</v>
          </cell>
          <cell r="AF40">
            <v>0</v>
          </cell>
          <cell r="AG40">
            <v>0</v>
          </cell>
          <cell r="AH40">
            <v>0</v>
          </cell>
          <cell r="AI40">
            <v>5587</v>
          </cell>
          <cell r="AJ40">
            <v>0</v>
          </cell>
          <cell r="AK40">
            <v>0</v>
          </cell>
          <cell r="AL40">
            <v>0</v>
          </cell>
          <cell r="AM40">
            <v>0</v>
          </cell>
          <cell r="AN40">
            <v>6632</v>
          </cell>
          <cell r="AO40">
            <v>0</v>
          </cell>
          <cell r="AP40">
            <v>0</v>
          </cell>
          <cell r="AQ40">
            <v>0</v>
          </cell>
          <cell r="AR40">
            <v>0</v>
          </cell>
          <cell r="AS40">
            <v>6394</v>
          </cell>
          <cell r="AT40">
            <v>6790</v>
          </cell>
          <cell r="AU40">
            <v>7119.0080769354081</v>
          </cell>
          <cell r="AV40">
            <v>7487.4406445358354</v>
          </cell>
          <cell r="AW40">
            <v>8037.7554653609577</v>
          </cell>
          <cell r="AX40">
            <v>8759.686711977216</v>
          </cell>
          <cell r="AY40">
            <v>9165.3064164116349</v>
          </cell>
          <cell r="AZ40">
            <v>9486.2840620753504</v>
          </cell>
          <cell r="BA40">
            <v>10108.738932535978</v>
          </cell>
          <cell r="BB40">
            <v>10727.869345266416</v>
          </cell>
        </row>
        <row r="41">
          <cell r="B41" t="str">
            <v>Inventory</v>
          </cell>
          <cell r="C41" t="str">
            <v>STOCKS</v>
          </cell>
          <cell r="D41" t="str">
            <v>EUR</v>
          </cell>
          <cell r="F41">
            <v>2081</v>
          </cell>
          <cell r="G41">
            <v>2469</v>
          </cell>
          <cell r="H41">
            <v>2700</v>
          </cell>
          <cell r="I41">
            <v>3279</v>
          </cell>
          <cell r="J41">
            <v>3075</v>
          </cell>
          <cell r="K41">
            <v>0</v>
          </cell>
          <cell r="L41">
            <v>0</v>
          </cell>
          <cell r="M41">
            <v>0</v>
          </cell>
          <cell r="N41">
            <v>0</v>
          </cell>
          <cell r="O41">
            <v>15425</v>
          </cell>
          <cell r="P41">
            <v>0</v>
          </cell>
          <cell r="Q41">
            <v>0</v>
          </cell>
          <cell r="R41">
            <v>0</v>
          </cell>
          <cell r="S41">
            <v>0</v>
          </cell>
          <cell r="T41">
            <v>16892</v>
          </cell>
          <cell r="U41">
            <v>0</v>
          </cell>
          <cell r="V41">
            <v>0</v>
          </cell>
          <cell r="W41">
            <v>0</v>
          </cell>
          <cell r="X41">
            <v>0</v>
          </cell>
          <cell r="Y41">
            <v>18906</v>
          </cell>
          <cell r="Z41">
            <v>0</v>
          </cell>
          <cell r="AA41">
            <v>0</v>
          </cell>
          <cell r="AB41">
            <v>0</v>
          </cell>
          <cell r="AC41">
            <v>0</v>
          </cell>
          <cell r="AD41">
            <v>19452</v>
          </cell>
          <cell r="AE41">
            <v>0</v>
          </cell>
          <cell r="AF41">
            <v>0</v>
          </cell>
          <cell r="AG41">
            <v>0</v>
          </cell>
          <cell r="AH41">
            <v>0</v>
          </cell>
          <cell r="AI41">
            <v>21577</v>
          </cell>
          <cell r="AJ41">
            <v>0</v>
          </cell>
          <cell r="AK41">
            <v>0</v>
          </cell>
          <cell r="AL41">
            <v>0</v>
          </cell>
          <cell r="AM41">
            <v>0</v>
          </cell>
          <cell r="AN41">
            <v>20862</v>
          </cell>
          <cell r="AO41">
            <v>0</v>
          </cell>
          <cell r="AP41">
            <v>0</v>
          </cell>
          <cell r="AQ41">
            <v>0</v>
          </cell>
          <cell r="AR41">
            <v>0</v>
          </cell>
          <cell r="AS41">
            <v>22563</v>
          </cell>
          <cell r="AT41">
            <v>23216</v>
          </cell>
          <cell r="AU41">
            <v>28685.620007468751</v>
          </cell>
          <cell r="AV41">
            <v>31133.635854824322</v>
          </cell>
          <cell r="AW41">
            <v>33513.277703387081</v>
          </cell>
          <cell r="AX41">
            <v>36484.205015224383</v>
          </cell>
          <cell r="AY41">
            <v>37990.445902891013</v>
          </cell>
          <cell r="AZ41">
            <v>38885.136382394056</v>
          </cell>
          <cell r="BA41">
            <v>40851.940978774888</v>
          </cell>
          <cell r="BB41">
            <v>41925.397782378946</v>
          </cell>
        </row>
        <row r="42">
          <cell r="B42" t="str">
            <v>Other current assets</v>
          </cell>
          <cell r="C42" t="str">
            <v>OTH_CUR_ASS</v>
          </cell>
          <cell r="D42" t="str">
            <v>EUR</v>
          </cell>
          <cell r="F42">
            <v>3278</v>
          </cell>
          <cell r="G42">
            <v>3378</v>
          </cell>
          <cell r="H42">
            <v>6221</v>
          </cell>
          <cell r="I42">
            <v>11231</v>
          </cell>
          <cell r="J42">
            <v>12056</v>
          </cell>
          <cell r="K42">
            <v>0</v>
          </cell>
          <cell r="L42">
            <v>0</v>
          </cell>
          <cell r="M42">
            <v>0</v>
          </cell>
          <cell r="N42">
            <v>0</v>
          </cell>
          <cell r="O42">
            <v>3675</v>
          </cell>
          <cell r="P42">
            <v>0</v>
          </cell>
          <cell r="Q42">
            <v>0</v>
          </cell>
          <cell r="R42">
            <v>0</v>
          </cell>
          <cell r="S42">
            <v>0</v>
          </cell>
          <cell r="T42">
            <v>5170</v>
          </cell>
          <cell r="U42">
            <v>0</v>
          </cell>
          <cell r="V42">
            <v>0</v>
          </cell>
          <cell r="W42">
            <v>0</v>
          </cell>
          <cell r="X42">
            <v>0</v>
          </cell>
          <cell r="Y42">
            <v>7311</v>
          </cell>
          <cell r="Z42">
            <v>0</v>
          </cell>
          <cell r="AA42">
            <v>0</v>
          </cell>
          <cell r="AB42">
            <v>0</v>
          </cell>
          <cell r="AC42">
            <v>0</v>
          </cell>
          <cell r="AD42">
            <v>8765</v>
          </cell>
          <cell r="AE42">
            <v>0</v>
          </cell>
          <cell r="AF42">
            <v>0</v>
          </cell>
          <cell r="AG42">
            <v>0</v>
          </cell>
          <cell r="AH42">
            <v>0</v>
          </cell>
          <cell r="AI42">
            <v>8310</v>
          </cell>
          <cell r="AJ42">
            <v>0</v>
          </cell>
          <cell r="AK42">
            <v>0</v>
          </cell>
          <cell r="AL42">
            <v>0</v>
          </cell>
          <cell r="AM42">
            <v>0</v>
          </cell>
          <cell r="AN42">
            <v>9466</v>
          </cell>
          <cell r="AO42">
            <v>0</v>
          </cell>
          <cell r="AP42">
            <v>0</v>
          </cell>
          <cell r="AQ42">
            <v>0</v>
          </cell>
          <cell r="AR42">
            <v>0</v>
          </cell>
          <cell r="AS42">
            <v>8775</v>
          </cell>
          <cell r="AT42">
            <v>6567</v>
          </cell>
          <cell r="AU42">
            <v>6567</v>
          </cell>
          <cell r="AV42">
            <v>6567</v>
          </cell>
          <cell r="AW42">
            <v>6567</v>
          </cell>
          <cell r="AX42">
            <v>6567</v>
          </cell>
          <cell r="AY42">
            <v>6567.0000000000073</v>
          </cell>
          <cell r="AZ42">
            <v>6567</v>
          </cell>
          <cell r="BA42">
            <v>6566.9999999999927</v>
          </cell>
          <cell r="BB42">
            <v>6567.0000000000073</v>
          </cell>
        </row>
        <row r="43">
          <cell r="B43" t="str">
            <v>Total current assets</v>
          </cell>
          <cell r="C43" t="str">
            <v>CUR_ASS</v>
          </cell>
          <cell r="D43" t="str">
            <v>EUR</v>
          </cell>
          <cell r="F43">
            <v>17399</v>
          </cell>
          <cell r="G43">
            <v>19063</v>
          </cell>
          <cell r="H43">
            <v>19235</v>
          </cell>
          <cell r="I43">
            <v>26383</v>
          </cell>
          <cell r="J43">
            <v>28721</v>
          </cell>
          <cell r="K43">
            <v>0</v>
          </cell>
          <cell r="L43">
            <v>0</v>
          </cell>
          <cell r="M43">
            <v>0</v>
          </cell>
          <cell r="N43">
            <v>0</v>
          </cell>
          <cell r="O43">
            <v>34488</v>
          </cell>
          <cell r="P43">
            <v>0</v>
          </cell>
          <cell r="Q43">
            <v>0</v>
          </cell>
          <cell r="R43">
            <v>0</v>
          </cell>
          <cell r="S43">
            <v>0</v>
          </cell>
          <cell r="T43">
            <v>35057</v>
          </cell>
          <cell r="U43">
            <v>0</v>
          </cell>
          <cell r="V43">
            <v>0</v>
          </cell>
          <cell r="W43">
            <v>0</v>
          </cell>
          <cell r="X43">
            <v>0</v>
          </cell>
          <cell r="Y43">
            <v>38405</v>
          </cell>
          <cell r="Z43">
            <v>0</v>
          </cell>
          <cell r="AA43">
            <v>0</v>
          </cell>
          <cell r="AB43">
            <v>0</v>
          </cell>
          <cell r="AC43">
            <v>0</v>
          </cell>
          <cell r="AD43">
            <v>40229</v>
          </cell>
          <cell r="AE43">
            <v>0</v>
          </cell>
          <cell r="AF43">
            <v>0</v>
          </cell>
          <cell r="AG43">
            <v>0</v>
          </cell>
          <cell r="AH43">
            <v>0</v>
          </cell>
          <cell r="AI43">
            <v>42512</v>
          </cell>
          <cell r="AJ43">
            <v>0</v>
          </cell>
          <cell r="AK43">
            <v>0</v>
          </cell>
          <cell r="AL43">
            <v>0</v>
          </cell>
          <cell r="AM43">
            <v>0</v>
          </cell>
          <cell r="AN43">
            <v>41990</v>
          </cell>
          <cell r="AO43">
            <v>0</v>
          </cell>
          <cell r="AP43">
            <v>0</v>
          </cell>
          <cell r="AQ43">
            <v>0</v>
          </cell>
          <cell r="AR43">
            <v>0</v>
          </cell>
          <cell r="AS43">
            <v>43016</v>
          </cell>
          <cell r="AT43">
            <v>45329</v>
          </cell>
          <cell r="AU43">
            <v>46802.300188212386</v>
          </cell>
          <cell r="AV43">
            <v>50170.454407159625</v>
          </cell>
          <cell r="AW43">
            <v>54268.071979235254</v>
          </cell>
          <cell r="AX43">
            <v>59325.575033219902</v>
          </cell>
          <cell r="AY43">
            <v>63083.154350456651</v>
          </cell>
          <cell r="AZ43">
            <v>66815.157457439069</v>
          </cell>
          <cell r="BA43">
            <v>73183.456983566823</v>
          </cell>
          <cell r="BB43">
            <v>80900.405273111217</v>
          </cell>
        </row>
        <row r="44">
          <cell r="B44" t="str">
            <v>Gross fixed assets, PP&amp;E</v>
          </cell>
          <cell r="C44" t="str">
            <v>GR_FIX_ASS</v>
          </cell>
          <cell r="D44" t="str">
            <v>EUR</v>
          </cell>
          <cell r="F44">
            <v>12540</v>
          </cell>
          <cell r="G44">
            <v>16419</v>
          </cell>
          <cell r="H44">
            <v>16419</v>
          </cell>
          <cell r="I44">
            <v>19537</v>
          </cell>
          <cell r="J44">
            <v>21735</v>
          </cell>
          <cell r="K44">
            <v>0</v>
          </cell>
          <cell r="L44">
            <v>0</v>
          </cell>
          <cell r="M44">
            <v>0</v>
          </cell>
          <cell r="N44">
            <v>0</v>
          </cell>
          <cell r="O44">
            <v>23629</v>
          </cell>
          <cell r="P44">
            <v>0</v>
          </cell>
          <cell r="Q44">
            <v>0</v>
          </cell>
          <cell r="R44">
            <v>0</v>
          </cell>
          <cell r="S44">
            <v>0</v>
          </cell>
          <cell r="T44">
            <v>24890</v>
          </cell>
          <cell r="U44">
            <v>0</v>
          </cell>
          <cell r="V44">
            <v>0</v>
          </cell>
          <cell r="W44">
            <v>0</v>
          </cell>
          <cell r="X44">
            <v>0</v>
          </cell>
          <cell r="Y44">
            <v>23936</v>
          </cell>
          <cell r="Z44">
            <v>0</v>
          </cell>
          <cell r="AA44">
            <v>0</v>
          </cell>
          <cell r="AB44">
            <v>0</v>
          </cell>
          <cell r="AC44">
            <v>0</v>
          </cell>
          <cell r="AD44">
            <v>22487</v>
          </cell>
          <cell r="AE44">
            <v>0</v>
          </cell>
          <cell r="AF44">
            <v>0</v>
          </cell>
          <cell r="AG44">
            <v>0</v>
          </cell>
          <cell r="AH44">
            <v>0</v>
          </cell>
          <cell r="AI44">
            <v>24104</v>
          </cell>
          <cell r="AJ44">
            <v>0</v>
          </cell>
          <cell r="AK44">
            <v>0</v>
          </cell>
          <cell r="AL44">
            <v>0</v>
          </cell>
          <cell r="AM44">
            <v>0</v>
          </cell>
          <cell r="AN44">
            <v>26110</v>
          </cell>
          <cell r="AO44">
            <v>0</v>
          </cell>
          <cell r="AP44">
            <v>0</v>
          </cell>
          <cell r="AQ44">
            <v>0</v>
          </cell>
          <cell r="AR44">
            <v>0</v>
          </cell>
          <cell r="AS44">
            <v>28313</v>
          </cell>
          <cell r="AT44">
            <v>31222</v>
          </cell>
          <cell r="AU44">
            <v>31222</v>
          </cell>
          <cell r="AV44">
            <v>31222</v>
          </cell>
          <cell r="AW44">
            <v>31222</v>
          </cell>
          <cell r="AX44">
            <v>31222</v>
          </cell>
          <cell r="AY44">
            <v>31222</v>
          </cell>
          <cell r="AZ44">
            <v>31222</v>
          </cell>
          <cell r="BA44">
            <v>31222</v>
          </cell>
          <cell r="BB44">
            <v>31222</v>
          </cell>
        </row>
        <row r="45">
          <cell r="B45" t="str">
            <v>Accumulated depreciation</v>
          </cell>
          <cell r="C45" t="str">
            <v>ACC_DDA</v>
          </cell>
          <cell r="D45" t="str">
            <v>EUR</v>
          </cell>
          <cell r="F45">
            <v>-4420</v>
          </cell>
          <cell r="G45">
            <v>-6369</v>
          </cell>
          <cell r="H45">
            <v>-5910</v>
          </cell>
          <cell r="I45">
            <v>-8089</v>
          </cell>
          <cell r="J45">
            <v>-8830</v>
          </cell>
          <cell r="K45">
            <v>0</v>
          </cell>
          <cell r="L45">
            <v>0</v>
          </cell>
          <cell r="M45">
            <v>0</v>
          </cell>
          <cell r="N45">
            <v>0</v>
          </cell>
          <cell r="O45">
            <v>-9678</v>
          </cell>
          <cell r="P45">
            <v>0</v>
          </cell>
          <cell r="Q45">
            <v>0</v>
          </cell>
          <cell r="R45">
            <v>0</v>
          </cell>
          <cell r="S45">
            <v>0</v>
          </cell>
          <cell r="T45">
            <v>-10575</v>
          </cell>
          <cell r="U45">
            <v>0</v>
          </cell>
          <cell r="V45">
            <v>0</v>
          </cell>
          <cell r="W45">
            <v>0</v>
          </cell>
          <cell r="X45">
            <v>0</v>
          </cell>
          <cell r="Y45">
            <v>-10447</v>
          </cell>
          <cell r="Z45">
            <v>0</v>
          </cell>
          <cell r="AA45">
            <v>0</v>
          </cell>
          <cell r="AB45">
            <v>0</v>
          </cell>
          <cell r="AC45">
            <v>0</v>
          </cell>
          <cell r="AD45">
            <v>-10244</v>
          </cell>
          <cell r="AE45">
            <v>0</v>
          </cell>
          <cell r="AF45">
            <v>0</v>
          </cell>
          <cell r="AG45">
            <v>0</v>
          </cell>
          <cell r="AH45">
            <v>0</v>
          </cell>
          <cell r="AI45">
            <v>-11518</v>
          </cell>
          <cell r="AJ45">
            <v>0</v>
          </cell>
          <cell r="AK45">
            <v>0</v>
          </cell>
          <cell r="AL45">
            <v>0</v>
          </cell>
          <cell r="AM45">
            <v>0</v>
          </cell>
          <cell r="AN45">
            <v>-12606</v>
          </cell>
          <cell r="AO45">
            <v>0</v>
          </cell>
          <cell r="AP45">
            <v>0</v>
          </cell>
          <cell r="AQ45">
            <v>0</v>
          </cell>
          <cell r="AR45">
            <v>0</v>
          </cell>
          <cell r="AS45">
            <v>-14093</v>
          </cell>
          <cell r="AT45">
            <v>-15954</v>
          </cell>
          <cell r="AU45">
            <v>-16215.236997299566</v>
          </cell>
          <cell r="AV45">
            <v>-16489.993886222677</v>
          </cell>
          <cell r="AW45">
            <v>-16784.944963691178</v>
          </cell>
          <cell r="AX45">
            <v>-17106.38781488498</v>
          </cell>
          <cell r="AY45">
            <v>-17442.715165785321</v>
          </cell>
          <cell r="AZ45">
            <v>-17790.82101664623</v>
          </cell>
          <cell r="BA45">
            <v>-18161.768285799732</v>
          </cell>
          <cell r="BB45">
            <v>-18555.434979936406</v>
          </cell>
        </row>
        <row r="46">
          <cell r="B46" t="str">
            <v>Net PP&amp;E</v>
          </cell>
          <cell r="C46" t="str">
            <v>NET_FIX_ASS</v>
          </cell>
          <cell r="D46" t="str">
            <v>EUR</v>
          </cell>
          <cell r="F46">
            <v>8120</v>
          </cell>
          <cell r="G46">
            <v>10050</v>
          </cell>
          <cell r="H46">
            <v>10509</v>
          </cell>
          <cell r="I46">
            <v>11448</v>
          </cell>
          <cell r="J46">
            <v>12905</v>
          </cell>
          <cell r="K46">
            <v>0</v>
          </cell>
          <cell r="L46">
            <v>0</v>
          </cell>
          <cell r="M46">
            <v>0</v>
          </cell>
          <cell r="N46">
            <v>0</v>
          </cell>
          <cell r="O46">
            <v>13951</v>
          </cell>
          <cell r="P46">
            <v>0</v>
          </cell>
          <cell r="Q46">
            <v>0</v>
          </cell>
          <cell r="R46">
            <v>0</v>
          </cell>
          <cell r="S46">
            <v>0</v>
          </cell>
          <cell r="T46">
            <v>14315</v>
          </cell>
          <cell r="U46">
            <v>0</v>
          </cell>
          <cell r="V46">
            <v>0</v>
          </cell>
          <cell r="W46">
            <v>0</v>
          </cell>
          <cell r="X46">
            <v>0</v>
          </cell>
          <cell r="Y46">
            <v>13489</v>
          </cell>
          <cell r="Z46">
            <v>0</v>
          </cell>
          <cell r="AA46">
            <v>0</v>
          </cell>
          <cell r="AB46">
            <v>0</v>
          </cell>
          <cell r="AC46">
            <v>0</v>
          </cell>
          <cell r="AD46">
            <v>12243</v>
          </cell>
          <cell r="AE46">
            <v>0</v>
          </cell>
          <cell r="AF46">
            <v>0</v>
          </cell>
          <cell r="AG46">
            <v>0</v>
          </cell>
          <cell r="AH46">
            <v>0</v>
          </cell>
          <cell r="AI46">
            <v>12586</v>
          </cell>
          <cell r="AJ46">
            <v>0</v>
          </cell>
          <cell r="AK46">
            <v>0</v>
          </cell>
          <cell r="AL46">
            <v>0</v>
          </cell>
          <cell r="AM46">
            <v>0</v>
          </cell>
          <cell r="AN46">
            <v>13504</v>
          </cell>
          <cell r="AO46">
            <v>0</v>
          </cell>
          <cell r="AP46">
            <v>0</v>
          </cell>
          <cell r="AQ46">
            <v>0</v>
          </cell>
          <cell r="AR46">
            <v>0</v>
          </cell>
          <cell r="AS46">
            <v>14220</v>
          </cell>
          <cell r="AT46">
            <v>15268</v>
          </cell>
          <cell r="AU46">
            <v>15006.763002700434</v>
          </cell>
          <cell r="AV46">
            <v>14732.006113777325</v>
          </cell>
          <cell r="AW46">
            <v>14437.055036308822</v>
          </cell>
          <cell r="AX46">
            <v>14115.61218511502</v>
          </cell>
          <cell r="AY46">
            <v>13779.284834214679</v>
          </cell>
          <cell r="AZ46">
            <v>13431.17898335377</v>
          </cell>
          <cell r="BA46">
            <v>13060.231714200268</v>
          </cell>
          <cell r="BB46">
            <v>12666.565020063594</v>
          </cell>
        </row>
        <row r="47">
          <cell r="B47" t="str">
            <v>Gross intangibles</v>
          </cell>
          <cell r="C47" t="str">
            <v>GR_INTANG</v>
          </cell>
          <cell r="D47" t="str">
            <v>EUR</v>
          </cell>
          <cell r="F47">
            <v>8747</v>
          </cell>
          <cell r="G47">
            <v>12641</v>
          </cell>
          <cell r="H47">
            <v>12641</v>
          </cell>
          <cell r="I47">
            <v>13360</v>
          </cell>
          <cell r="J47">
            <v>11616</v>
          </cell>
          <cell r="K47">
            <v>0</v>
          </cell>
          <cell r="L47">
            <v>0</v>
          </cell>
          <cell r="M47">
            <v>0</v>
          </cell>
          <cell r="N47">
            <v>0</v>
          </cell>
          <cell r="O47">
            <v>12795</v>
          </cell>
          <cell r="P47">
            <v>0</v>
          </cell>
          <cell r="Q47">
            <v>0</v>
          </cell>
          <cell r="R47">
            <v>0</v>
          </cell>
          <cell r="S47">
            <v>0</v>
          </cell>
          <cell r="T47">
            <v>12735</v>
          </cell>
          <cell r="U47">
            <v>0</v>
          </cell>
          <cell r="V47">
            <v>0</v>
          </cell>
          <cell r="W47">
            <v>0</v>
          </cell>
          <cell r="X47">
            <v>0</v>
          </cell>
          <cell r="Y47">
            <v>12910</v>
          </cell>
          <cell r="Z47">
            <v>0</v>
          </cell>
          <cell r="AA47">
            <v>0</v>
          </cell>
          <cell r="AB47">
            <v>0</v>
          </cell>
          <cell r="AC47">
            <v>0</v>
          </cell>
          <cell r="AD47">
            <v>13373</v>
          </cell>
          <cell r="AE47">
            <v>0</v>
          </cell>
          <cell r="AF47">
            <v>0</v>
          </cell>
          <cell r="AG47">
            <v>0</v>
          </cell>
          <cell r="AH47">
            <v>0</v>
          </cell>
          <cell r="AI47">
            <v>13605</v>
          </cell>
          <cell r="AJ47">
            <v>0</v>
          </cell>
          <cell r="AK47">
            <v>0</v>
          </cell>
          <cell r="AL47">
            <v>0</v>
          </cell>
          <cell r="AM47">
            <v>0</v>
          </cell>
          <cell r="AN47">
            <v>14023</v>
          </cell>
          <cell r="AO47">
            <v>0</v>
          </cell>
          <cell r="AP47">
            <v>0</v>
          </cell>
          <cell r="AQ47">
            <v>0</v>
          </cell>
          <cell r="AR47">
            <v>0</v>
          </cell>
          <cell r="AS47">
            <v>15871</v>
          </cell>
          <cell r="AT47">
            <v>16868</v>
          </cell>
          <cell r="AU47">
            <v>19738.325731021338</v>
          </cell>
          <cell r="AV47">
            <v>22757.200454753609</v>
          </cell>
          <cell r="AW47">
            <v>25997.957605546806</v>
          </cell>
          <cell r="AX47">
            <v>29529.791520236999</v>
          </cell>
          <cell r="AY47">
            <v>33225.167976537647</v>
          </cell>
          <cell r="AZ47">
            <v>37049.959989819632</v>
          </cell>
          <cell r="BA47">
            <v>41125.720707136556</v>
          </cell>
          <cell r="BB47">
            <v>45451.109734368671</v>
          </cell>
        </row>
        <row r="48">
          <cell r="B48" t="str">
            <v>Accumulated amortization</v>
          </cell>
          <cell r="C48" t="str">
            <v>ACC_AMORT</v>
          </cell>
          <cell r="D48" t="str">
            <v>EUR</v>
          </cell>
          <cell r="F48">
            <v>-582</v>
          </cell>
          <cell r="G48">
            <v>-2053</v>
          </cell>
          <cell r="H48">
            <v>-2852</v>
          </cell>
          <cell r="I48">
            <v>-3666</v>
          </cell>
          <cell r="J48">
            <v>-1608</v>
          </cell>
          <cell r="K48">
            <v>0</v>
          </cell>
          <cell r="L48">
            <v>0</v>
          </cell>
          <cell r="M48">
            <v>0</v>
          </cell>
          <cell r="N48">
            <v>0</v>
          </cell>
          <cell r="O48">
            <v>-1743</v>
          </cell>
          <cell r="P48">
            <v>0</v>
          </cell>
          <cell r="Q48">
            <v>0</v>
          </cell>
          <cell r="R48">
            <v>0</v>
          </cell>
          <cell r="S48">
            <v>0</v>
          </cell>
          <cell r="T48">
            <v>-1880</v>
          </cell>
          <cell r="U48">
            <v>0</v>
          </cell>
          <cell r="V48">
            <v>0</v>
          </cell>
          <cell r="W48">
            <v>0</v>
          </cell>
          <cell r="X48">
            <v>0</v>
          </cell>
          <cell r="Y48">
            <v>-2078</v>
          </cell>
          <cell r="Z48">
            <v>0</v>
          </cell>
          <cell r="AA48">
            <v>0</v>
          </cell>
          <cell r="AB48">
            <v>0</v>
          </cell>
          <cell r="AC48">
            <v>0</v>
          </cell>
          <cell r="AD48">
            <v>-2202</v>
          </cell>
          <cell r="AE48">
            <v>0</v>
          </cell>
          <cell r="AF48">
            <v>0</v>
          </cell>
          <cell r="AG48">
            <v>0</v>
          </cell>
          <cell r="AH48">
            <v>0</v>
          </cell>
          <cell r="AI48">
            <v>-2545</v>
          </cell>
          <cell r="AJ48">
            <v>0</v>
          </cell>
          <cell r="AK48">
            <v>0</v>
          </cell>
          <cell r="AL48">
            <v>0</v>
          </cell>
          <cell r="AM48">
            <v>0</v>
          </cell>
          <cell r="AN48">
            <v>-2724</v>
          </cell>
          <cell r="AO48">
            <v>0</v>
          </cell>
          <cell r="AP48">
            <v>0</v>
          </cell>
          <cell r="AQ48">
            <v>0</v>
          </cell>
          <cell r="AR48">
            <v>0</v>
          </cell>
          <cell r="AS48">
            <v>-3085</v>
          </cell>
          <cell r="AT48">
            <v>-3446</v>
          </cell>
          <cell r="AU48">
            <v>-5337.2407025455577</v>
          </cell>
          <cell r="AV48">
            <v>-7326.3594606374791</v>
          </cell>
          <cell r="AW48">
            <v>-9461.6752418414435</v>
          </cell>
          <cell r="AX48">
            <v>-11788.779786772709</v>
          </cell>
          <cell r="AY48">
            <v>-14223.641548227755</v>
          </cell>
          <cell r="AZ48">
            <v>-16743.774457225565</v>
          </cell>
          <cell r="BA48">
            <v>-19429.26916575931</v>
          </cell>
          <cell r="BB48">
            <v>-22279.242496045601</v>
          </cell>
        </row>
        <row r="49">
          <cell r="B49" t="str">
            <v>Net intangible assets</v>
          </cell>
          <cell r="C49" t="str">
            <v>NET_INTANG</v>
          </cell>
          <cell r="D49" t="str">
            <v>EUR</v>
          </cell>
          <cell r="F49">
            <v>8165</v>
          </cell>
          <cell r="G49">
            <v>10588</v>
          </cell>
          <cell r="H49">
            <v>9789</v>
          </cell>
          <cell r="I49">
            <v>9694</v>
          </cell>
          <cell r="J49">
            <v>10008</v>
          </cell>
          <cell r="K49">
            <v>0</v>
          </cell>
          <cell r="L49">
            <v>0</v>
          </cell>
          <cell r="M49">
            <v>0</v>
          </cell>
          <cell r="N49">
            <v>0</v>
          </cell>
          <cell r="O49">
            <v>11052</v>
          </cell>
          <cell r="P49">
            <v>0</v>
          </cell>
          <cell r="Q49">
            <v>0</v>
          </cell>
          <cell r="R49">
            <v>0</v>
          </cell>
          <cell r="S49">
            <v>0</v>
          </cell>
          <cell r="T49">
            <v>10855</v>
          </cell>
          <cell r="U49">
            <v>0</v>
          </cell>
          <cell r="V49">
            <v>0</v>
          </cell>
          <cell r="W49">
            <v>0</v>
          </cell>
          <cell r="X49">
            <v>0</v>
          </cell>
          <cell r="Y49">
            <v>10832</v>
          </cell>
          <cell r="Z49">
            <v>0</v>
          </cell>
          <cell r="AA49">
            <v>0</v>
          </cell>
          <cell r="AB49">
            <v>0</v>
          </cell>
          <cell r="AC49">
            <v>0</v>
          </cell>
          <cell r="AD49">
            <v>11171</v>
          </cell>
          <cell r="AE49">
            <v>0</v>
          </cell>
          <cell r="AF49">
            <v>0</v>
          </cell>
          <cell r="AG49">
            <v>0</v>
          </cell>
          <cell r="AH49">
            <v>0</v>
          </cell>
          <cell r="AI49">
            <v>11060</v>
          </cell>
          <cell r="AJ49">
            <v>0</v>
          </cell>
          <cell r="AK49">
            <v>0</v>
          </cell>
          <cell r="AL49">
            <v>0</v>
          </cell>
          <cell r="AM49">
            <v>0</v>
          </cell>
          <cell r="AN49">
            <v>11299</v>
          </cell>
          <cell r="AO49">
            <v>0</v>
          </cell>
          <cell r="AP49">
            <v>0</v>
          </cell>
          <cell r="AQ49">
            <v>0</v>
          </cell>
          <cell r="AR49">
            <v>0</v>
          </cell>
          <cell r="AS49">
            <v>12786</v>
          </cell>
          <cell r="AT49">
            <v>13422</v>
          </cell>
          <cell r="AU49">
            <v>14401.08502847578</v>
          </cell>
          <cell r="AV49">
            <v>15430.84099411613</v>
          </cell>
          <cell r="AW49">
            <v>16536.282363705363</v>
          </cell>
          <cell r="AX49">
            <v>17741.011733464289</v>
          </cell>
          <cell r="AY49">
            <v>19001.526428309891</v>
          </cell>
          <cell r="AZ49">
            <v>20306.185532594067</v>
          </cell>
          <cell r="BA49">
            <v>21696.451541377246</v>
          </cell>
          <cell r="BB49">
            <v>23171.86723832307</v>
          </cell>
        </row>
        <row r="50">
          <cell r="B50" t="str">
            <v>Equity method investments</v>
          </cell>
          <cell r="C50" t="str">
            <v>FIX_ASS_INV</v>
          </cell>
          <cell r="D50" t="str">
            <v>EUR</v>
          </cell>
          <cell r="F50">
            <v>1318</v>
          </cell>
          <cell r="G50">
            <v>1252</v>
          </cell>
          <cell r="H50">
            <v>1333</v>
          </cell>
          <cell r="I50">
            <v>1640</v>
          </cell>
          <cell r="J50">
            <v>1738</v>
          </cell>
          <cell r="K50">
            <v>0</v>
          </cell>
          <cell r="L50">
            <v>0</v>
          </cell>
          <cell r="M50">
            <v>0</v>
          </cell>
          <cell r="N50">
            <v>0</v>
          </cell>
          <cell r="O50">
            <v>1908</v>
          </cell>
          <cell r="P50">
            <v>0</v>
          </cell>
          <cell r="Q50">
            <v>0</v>
          </cell>
          <cell r="R50">
            <v>0</v>
          </cell>
          <cell r="S50">
            <v>0</v>
          </cell>
          <cell r="T50">
            <v>2095</v>
          </cell>
          <cell r="U50">
            <v>0</v>
          </cell>
          <cell r="V50">
            <v>0</v>
          </cell>
          <cell r="W50">
            <v>0</v>
          </cell>
          <cell r="X50">
            <v>0</v>
          </cell>
          <cell r="Y50">
            <v>2238</v>
          </cell>
          <cell r="Z50">
            <v>0</v>
          </cell>
          <cell r="AA50">
            <v>0</v>
          </cell>
          <cell r="AB50">
            <v>0</v>
          </cell>
          <cell r="AC50">
            <v>0</v>
          </cell>
          <cell r="AD50">
            <v>2356</v>
          </cell>
          <cell r="AE50">
            <v>0</v>
          </cell>
          <cell r="AF50">
            <v>0</v>
          </cell>
          <cell r="AG50">
            <v>0</v>
          </cell>
          <cell r="AH50">
            <v>0</v>
          </cell>
          <cell r="AI50">
            <v>2514</v>
          </cell>
          <cell r="AJ50">
            <v>0</v>
          </cell>
          <cell r="AK50">
            <v>0</v>
          </cell>
          <cell r="AL50">
            <v>0</v>
          </cell>
          <cell r="AM50">
            <v>0</v>
          </cell>
          <cell r="AN50">
            <v>2451</v>
          </cell>
          <cell r="AO50">
            <v>0</v>
          </cell>
          <cell r="AP50">
            <v>0</v>
          </cell>
          <cell r="AQ50">
            <v>0</v>
          </cell>
          <cell r="AR50">
            <v>0</v>
          </cell>
          <cell r="AS50">
            <v>2677</v>
          </cell>
          <cell r="AT50">
            <v>2662</v>
          </cell>
          <cell r="AU50">
            <v>2915.05</v>
          </cell>
          <cell r="AV50">
            <v>3180.7525000000001</v>
          </cell>
          <cell r="AW50">
            <v>3459.7401250000003</v>
          </cell>
          <cell r="AX50">
            <v>3752.6771312500005</v>
          </cell>
          <cell r="AY50">
            <v>4060.2609878125004</v>
          </cell>
          <cell r="AZ50">
            <v>4383.2240372031256</v>
          </cell>
          <cell r="BA50">
            <v>4722.3352390632817</v>
          </cell>
          <cell r="BB50">
            <v>5078.4020010164459</v>
          </cell>
        </row>
        <row r="51">
          <cell r="B51" t="str">
            <v>Investments in securities</v>
          </cell>
          <cell r="C51" t="str">
            <v>INV_SECUR</v>
          </cell>
          <cell r="D51" t="str">
            <v>EUR</v>
          </cell>
          <cell r="F51">
            <v>3291</v>
          </cell>
          <cell r="G51">
            <v>3474</v>
          </cell>
          <cell r="H51">
            <v>3542</v>
          </cell>
          <cell r="I51">
            <v>2489</v>
          </cell>
          <cell r="J51">
            <v>2352</v>
          </cell>
          <cell r="K51">
            <v>0</v>
          </cell>
          <cell r="L51">
            <v>0</v>
          </cell>
          <cell r="M51">
            <v>0</v>
          </cell>
          <cell r="N51">
            <v>0</v>
          </cell>
          <cell r="O51">
            <v>1938</v>
          </cell>
          <cell r="P51">
            <v>0</v>
          </cell>
          <cell r="Q51">
            <v>0</v>
          </cell>
          <cell r="R51">
            <v>0</v>
          </cell>
          <cell r="S51">
            <v>0</v>
          </cell>
          <cell r="T51">
            <v>1803</v>
          </cell>
          <cell r="U51">
            <v>0</v>
          </cell>
          <cell r="V51">
            <v>0</v>
          </cell>
          <cell r="W51">
            <v>0</v>
          </cell>
          <cell r="X51">
            <v>0</v>
          </cell>
          <cell r="Y51">
            <v>1649</v>
          </cell>
          <cell r="Z51">
            <v>0</v>
          </cell>
          <cell r="AA51">
            <v>0</v>
          </cell>
          <cell r="AB51">
            <v>0</v>
          </cell>
          <cell r="AC51">
            <v>0</v>
          </cell>
          <cell r="AD51">
            <v>1799</v>
          </cell>
          <cell r="AE51">
            <v>0</v>
          </cell>
          <cell r="AF51">
            <v>0</v>
          </cell>
          <cell r="AG51">
            <v>0</v>
          </cell>
          <cell r="AH51">
            <v>0</v>
          </cell>
          <cell r="AI51">
            <v>2288</v>
          </cell>
          <cell r="AJ51">
            <v>0</v>
          </cell>
          <cell r="AK51">
            <v>0</v>
          </cell>
          <cell r="AL51">
            <v>0</v>
          </cell>
          <cell r="AM51">
            <v>0</v>
          </cell>
          <cell r="AN51">
            <v>2463</v>
          </cell>
          <cell r="AO51">
            <v>0</v>
          </cell>
          <cell r="AP51">
            <v>0</v>
          </cell>
          <cell r="AQ51">
            <v>0</v>
          </cell>
          <cell r="AR51">
            <v>0</v>
          </cell>
          <cell r="AS51">
            <v>2426</v>
          </cell>
          <cell r="AT51">
            <v>2187</v>
          </cell>
          <cell r="AU51">
            <v>2187</v>
          </cell>
          <cell r="AV51">
            <v>2187</v>
          </cell>
          <cell r="AW51">
            <v>2187</v>
          </cell>
          <cell r="AX51">
            <v>2187</v>
          </cell>
          <cell r="AY51">
            <v>2187</v>
          </cell>
          <cell r="AZ51">
            <v>2187</v>
          </cell>
          <cell r="BA51">
            <v>2187</v>
          </cell>
          <cell r="BB51">
            <v>2187</v>
          </cell>
        </row>
        <row r="52">
          <cell r="B52" t="str">
            <v>Other long-term assets</v>
          </cell>
          <cell r="C52" t="str">
            <v>OTH_LT_ASS</v>
          </cell>
          <cell r="D52" t="str">
            <v>EUR</v>
          </cell>
          <cell r="F52">
            <v>3151</v>
          </cell>
          <cell r="G52">
            <v>4288</v>
          </cell>
          <cell r="H52">
            <v>2992</v>
          </cell>
          <cell r="I52">
            <v>2724</v>
          </cell>
          <cell r="J52">
            <v>2543</v>
          </cell>
          <cell r="K52">
            <v>0</v>
          </cell>
          <cell r="L52">
            <v>0</v>
          </cell>
          <cell r="M52">
            <v>0</v>
          </cell>
          <cell r="N52">
            <v>0</v>
          </cell>
          <cell r="O52">
            <v>7048</v>
          </cell>
          <cell r="P52">
            <v>0</v>
          </cell>
          <cell r="Q52">
            <v>0</v>
          </cell>
          <cell r="R52">
            <v>0</v>
          </cell>
          <cell r="S52">
            <v>0</v>
          </cell>
          <cell r="T52">
            <v>8012</v>
          </cell>
          <cell r="U52">
            <v>0</v>
          </cell>
          <cell r="V52">
            <v>0</v>
          </cell>
          <cell r="W52">
            <v>0</v>
          </cell>
          <cell r="X52">
            <v>0</v>
          </cell>
          <cell r="Y52">
            <v>8843</v>
          </cell>
          <cell r="Z52">
            <v>0</v>
          </cell>
          <cell r="AA52">
            <v>0</v>
          </cell>
          <cell r="AB52">
            <v>0</v>
          </cell>
          <cell r="AC52">
            <v>0</v>
          </cell>
          <cell r="AD52">
            <v>8355</v>
          </cell>
          <cell r="AE52">
            <v>0</v>
          </cell>
          <cell r="AF52">
            <v>0</v>
          </cell>
          <cell r="AG52">
            <v>0</v>
          </cell>
          <cell r="AH52">
            <v>0</v>
          </cell>
          <cell r="AI52">
            <v>9344</v>
          </cell>
          <cell r="AJ52">
            <v>0</v>
          </cell>
          <cell r="AK52">
            <v>0</v>
          </cell>
          <cell r="AL52">
            <v>0</v>
          </cell>
          <cell r="AM52">
            <v>0</v>
          </cell>
          <cell r="AN52">
            <v>11480</v>
          </cell>
          <cell r="AO52">
            <v>0</v>
          </cell>
          <cell r="AP52">
            <v>0</v>
          </cell>
          <cell r="AQ52">
            <v>0</v>
          </cell>
          <cell r="AR52">
            <v>0</v>
          </cell>
          <cell r="AS52">
            <v>13357</v>
          </cell>
          <cell r="AT52">
            <v>13234</v>
          </cell>
          <cell r="AU52">
            <v>12700.193857273254</v>
          </cell>
          <cell r="AV52">
            <v>12035.63569143558</v>
          </cell>
          <cell r="AW52">
            <v>11277.87234894342</v>
          </cell>
          <cell r="AX52">
            <v>10418.314124807193</v>
          </cell>
          <cell r="AY52">
            <v>9489.8652569316873</v>
          </cell>
          <cell r="AZ52">
            <v>8523.6312866298758</v>
          </cell>
          <cell r="BA52">
            <v>7350.6230485966189</v>
          </cell>
          <cell r="BB52">
            <v>5980.551655484498</v>
          </cell>
        </row>
        <row r="53">
          <cell r="B53" t="str">
            <v>Total assets</v>
          </cell>
          <cell r="C53" t="str">
            <v>TOT_ASSET</v>
          </cell>
          <cell r="D53" t="str">
            <v>EUR</v>
          </cell>
          <cell r="F53">
            <v>40126</v>
          </cell>
          <cell r="G53">
            <v>47463</v>
          </cell>
          <cell r="H53">
            <v>46067</v>
          </cell>
          <cell r="I53">
            <v>52738</v>
          </cell>
          <cell r="J53">
            <v>56529</v>
          </cell>
          <cell r="K53">
            <v>0</v>
          </cell>
          <cell r="L53">
            <v>0</v>
          </cell>
          <cell r="M53">
            <v>0</v>
          </cell>
          <cell r="N53">
            <v>0</v>
          </cell>
          <cell r="O53">
            <v>68477</v>
          </cell>
          <cell r="P53">
            <v>0</v>
          </cell>
          <cell r="Q53">
            <v>0</v>
          </cell>
          <cell r="R53">
            <v>0</v>
          </cell>
          <cell r="S53">
            <v>0</v>
          </cell>
          <cell r="T53">
            <v>72137</v>
          </cell>
          <cell r="U53">
            <v>0</v>
          </cell>
          <cell r="V53">
            <v>0</v>
          </cell>
          <cell r="W53">
            <v>0</v>
          </cell>
          <cell r="X53">
            <v>0</v>
          </cell>
          <cell r="Y53">
            <v>75456</v>
          </cell>
          <cell r="Z53">
            <v>0</v>
          </cell>
          <cell r="AA53">
            <v>0</v>
          </cell>
          <cell r="AB53">
            <v>0</v>
          </cell>
          <cell r="AC53">
            <v>0</v>
          </cell>
          <cell r="AD53">
            <v>76153</v>
          </cell>
          <cell r="AE53">
            <v>0</v>
          </cell>
          <cell r="AF53">
            <v>0</v>
          </cell>
          <cell r="AG53">
            <v>0</v>
          </cell>
          <cell r="AH53">
            <v>0</v>
          </cell>
          <cell r="AI53">
            <v>80304</v>
          </cell>
          <cell r="AJ53">
            <v>0</v>
          </cell>
          <cell r="AK53">
            <v>0</v>
          </cell>
          <cell r="AL53">
            <v>0</v>
          </cell>
          <cell r="AM53">
            <v>0</v>
          </cell>
          <cell r="AN53">
            <v>83187</v>
          </cell>
          <cell r="AO53">
            <v>0</v>
          </cell>
          <cell r="AP53">
            <v>0</v>
          </cell>
          <cell r="AQ53">
            <v>0</v>
          </cell>
          <cell r="AR53">
            <v>0</v>
          </cell>
          <cell r="AS53">
            <v>88482</v>
          </cell>
          <cell r="AT53">
            <v>92102</v>
          </cell>
          <cell r="AU53">
            <v>94012.392076661854</v>
          </cell>
          <cell r="AV53">
            <v>97736.689706488658</v>
          </cell>
          <cell r="AW53">
            <v>102166.02185319285</v>
          </cell>
          <cell r="AX53">
            <v>107540.1902078564</v>
          </cell>
          <cell r="AY53">
            <v>111601.09185772541</v>
          </cell>
          <cell r="AZ53">
            <v>115646.37729721991</v>
          </cell>
          <cell r="BA53">
            <v>122200.09852680424</v>
          </cell>
          <cell r="BB53">
            <v>129984.79118799882</v>
          </cell>
        </row>
        <row r="54">
          <cell r="B54" t="str">
            <v>Accounts payable</v>
          </cell>
          <cell r="C54" t="str">
            <v>ACC_PAY_GQ</v>
          </cell>
          <cell r="D54" t="str">
            <v>EUR</v>
          </cell>
          <cell r="F54">
            <v>4268</v>
          </cell>
          <cell r="G54">
            <v>5466</v>
          </cell>
          <cell r="H54">
            <v>5070</v>
          </cell>
          <cell r="I54">
            <v>5117</v>
          </cell>
          <cell r="J54">
            <v>5860</v>
          </cell>
          <cell r="K54">
            <v>0</v>
          </cell>
          <cell r="L54">
            <v>0</v>
          </cell>
          <cell r="M54">
            <v>0</v>
          </cell>
          <cell r="N54">
            <v>0</v>
          </cell>
          <cell r="O54">
            <v>6634</v>
          </cell>
          <cell r="P54">
            <v>0</v>
          </cell>
          <cell r="Q54">
            <v>0</v>
          </cell>
          <cell r="R54">
            <v>0</v>
          </cell>
          <cell r="S54">
            <v>0</v>
          </cell>
          <cell r="T54">
            <v>7461</v>
          </cell>
          <cell r="U54">
            <v>0</v>
          </cell>
          <cell r="V54">
            <v>0</v>
          </cell>
          <cell r="W54">
            <v>0</v>
          </cell>
          <cell r="X54">
            <v>0</v>
          </cell>
          <cell r="Y54">
            <v>7398</v>
          </cell>
          <cell r="Z54">
            <v>0</v>
          </cell>
          <cell r="AA54">
            <v>0</v>
          </cell>
          <cell r="AB54">
            <v>0</v>
          </cell>
          <cell r="AC54">
            <v>0</v>
          </cell>
          <cell r="AD54">
            <v>7824</v>
          </cell>
          <cell r="AE54">
            <v>0</v>
          </cell>
          <cell r="AF54">
            <v>0</v>
          </cell>
          <cell r="AG54">
            <v>0</v>
          </cell>
          <cell r="AH54">
            <v>0</v>
          </cell>
          <cell r="AI54">
            <v>8217</v>
          </cell>
          <cell r="AJ54">
            <v>0</v>
          </cell>
          <cell r="AK54">
            <v>0</v>
          </cell>
          <cell r="AL54">
            <v>0</v>
          </cell>
          <cell r="AM54">
            <v>0</v>
          </cell>
          <cell r="AN54">
            <v>8546</v>
          </cell>
          <cell r="AO54">
            <v>0</v>
          </cell>
          <cell r="AP54">
            <v>0</v>
          </cell>
          <cell r="AQ54">
            <v>0</v>
          </cell>
          <cell r="AR54">
            <v>0</v>
          </cell>
          <cell r="AS54">
            <v>9630</v>
          </cell>
          <cell r="AT54">
            <v>9917</v>
          </cell>
          <cell r="AU54">
            <v>10294.178623525306</v>
          </cell>
          <cell r="AV54">
            <v>10390.933168157555</v>
          </cell>
          <cell r="AW54">
            <v>10459.096990814756</v>
          </cell>
          <cell r="AX54">
            <v>10640.938032232665</v>
          </cell>
          <cell r="AY54">
            <v>10219.575766875927</v>
          </cell>
          <cell r="AZ54">
            <v>9654.0027707373811</v>
          </cell>
          <cell r="BA54">
            <v>9587.140529704353</v>
          </cell>
          <cell r="BB54">
            <v>9986.0445242387814</v>
          </cell>
        </row>
        <row r="55">
          <cell r="B55" t="str">
            <v>Short-term debt</v>
          </cell>
          <cell r="C55" t="str">
            <v>SHORT_T_DEBT</v>
          </cell>
          <cell r="D55" t="str">
            <v>EUR</v>
          </cell>
          <cell r="F55">
            <v>1003</v>
          </cell>
          <cell r="G55">
            <v>1462</v>
          </cell>
          <cell r="H55">
            <v>1185</v>
          </cell>
          <cell r="I55">
            <v>978</v>
          </cell>
          <cell r="J55">
            <v>720</v>
          </cell>
          <cell r="K55">
            <v>0</v>
          </cell>
          <cell r="L55">
            <v>0</v>
          </cell>
          <cell r="M55">
            <v>0</v>
          </cell>
          <cell r="N55">
            <v>0</v>
          </cell>
          <cell r="O55">
            <v>908</v>
          </cell>
          <cell r="P55">
            <v>0</v>
          </cell>
          <cell r="Q55">
            <v>0</v>
          </cell>
          <cell r="R55">
            <v>0</v>
          </cell>
          <cell r="S55">
            <v>0</v>
          </cell>
          <cell r="T55">
            <v>2196</v>
          </cell>
          <cell r="U55">
            <v>0</v>
          </cell>
          <cell r="V55">
            <v>0</v>
          </cell>
          <cell r="W55">
            <v>0</v>
          </cell>
          <cell r="X55">
            <v>0</v>
          </cell>
          <cell r="Y55">
            <v>1724</v>
          </cell>
          <cell r="Z55">
            <v>0</v>
          </cell>
          <cell r="AA55">
            <v>0</v>
          </cell>
          <cell r="AB55">
            <v>0</v>
          </cell>
          <cell r="AC55">
            <v>0</v>
          </cell>
          <cell r="AD55">
            <v>1458</v>
          </cell>
          <cell r="AE55">
            <v>0</v>
          </cell>
          <cell r="AF55">
            <v>0</v>
          </cell>
          <cell r="AG55">
            <v>0</v>
          </cell>
          <cell r="AH55">
            <v>0</v>
          </cell>
          <cell r="AI55">
            <v>2429</v>
          </cell>
          <cell r="AJ55">
            <v>0</v>
          </cell>
          <cell r="AK55">
            <v>0</v>
          </cell>
          <cell r="AL55">
            <v>0</v>
          </cell>
          <cell r="AM55">
            <v>0</v>
          </cell>
          <cell r="AN55">
            <v>1408</v>
          </cell>
          <cell r="AO55">
            <v>0</v>
          </cell>
          <cell r="AP55">
            <v>0</v>
          </cell>
          <cell r="AQ55">
            <v>0</v>
          </cell>
          <cell r="AR55">
            <v>0</v>
          </cell>
          <cell r="AS55">
            <v>1476</v>
          </cell>
          <cell r="AT55">
            <v>1273</v>
          </cell>
          <cell r="AU55">
            <v>1273</v>
          </cell>
          <cell r="AV55">
            <v>1273</v>
          </cell>
          <cell r="AW55">
            <v>1273</v>
          </cell>
          <cell r="AX55">
            <v>1273</v>
          </cell>
          <cell r="AY55">
            <v>1273</v>
          </cell>
          <cell r="AZ55">
            <v>1273</v>
          </cell>
          <cell r="BA55">
            <v>1273</v>
          </cell>
          <cell r="BB55">
            <v>1273</v>
          </cell>
        </row>
        <row r="56">
          <cell r="B56" t="str">
            <v>Other current liabilities</v>
          </cell>
          <cell r="C56" t="str">
            <v>OTH_CUR_LIABS</v>
          </cell>
          <cell r="D56" t="str">
            <v>EUR</v>
          </cell>
          <cell r="F56">
            <v>8200</v>
          </cell>
          <cell r="G56">
            <v>10631</v>
          </cell>
          <cell r="H56">
            <v>10246</v>
          </cell>
          <cell r="I56">
            <v>11318</v>
          </cell>
          <cell r="J56">
            <v>13240</v>
          </cell>
          <cell r="K56">
            <v>0</v>
          </cell>
          <cell r="L56">
            <v>0</v>
          </cell>
          <cell r="M56">
            <v>0</v>
          </cell>
          <cell r="N56">
            <v>0</v>
          </cell>
          <cell r="O56">
            <v>17913</v>
          </cell>
          <cell r="P56">
            <v>0</v>
          </cell>
          <cell r="Q56">
            <v>0</v>
          </cell>
          <cell r="R56">
            <v>0</v>
          </cell>
          <cell r="S56">
            <v>0</v>
          </cell>
          <cell r="T56">
            <v>21559</v>
          </cell>
          <cell r="U56">
            <v>0</v>
          </cell>
          <cell r="V56">
            <v>0</v>
          </cell>
          <cell r="W56">
            <v>0</v>
          </cell>
          <cell r="X56">
            <v>0</v>
          </cell>
          <cell r="Y56">
            <v>24946</v>
          </cell>
          <cell r="Z56">
            <v>0</v>
          </cell>
          <cell r="AA56">
            <v>0</v>
          </cell>
          <cell r="AB56">
            <v>0</v>
          </cell>
          <cell r="AC56">
            <v>0</v>
          </cell>
          <cell r="AD56">
            <v>27443</v>
          </cell>
          <cell r="AE56">
            <v>0</v>
          </cell>
          <cell r="AF56">
            <v>0</v>
          </cell>
          <cell r="AG56">
            <v>0</v>
          </cell>
          <cell r="AH56">
            <v>0</v>
          </cell>
          <cell r="AI56">
            <v>31730</v>
          </cell>
          <cell r="AJ56">
            <v>0</v>
          </cell>
          <cell r="AK56">
            <v>0</v>
          </cell>
          <cell r="AL56">
            <v>0</v>
          </cell>
          <cell r="AM56">
            <v>0</v>
          </cell>
          <cell r="AN56">
            <v>33816</v>
          </cell>
          <cell r="AO56">
            <v>0</v>
          </cell>
          <cell r="AP56">
            <v>0</v>
          </cell>
          <cell r="AQ56">
            <v>0</v>
          </cell>
          <cell r="AR56">
            <v>0</v>
          </cell>
          <cell r="AS56">
            <v>36396</v>
          </cell>
          <cell r="AT56">
            <v>37458</v>
          </cell>
          <cell r="AU56">
            <v>38685.505392195089</v>
          </cell>
          <cell r="AV56">
            <v>40060.100713995038</v>
          </cell>
          <cell r="AW56">
            <v>42113.285597052891</v>
          </cell>
          <cell r="AX56">
            <v>44806.758980046958</v>
          </cell>
          <cell r="AY56">
            <v>46320.096825766712</v>
          </cell>
          <cell r="AZ56">
            <v>47517.641258402778</v>
          </cell>
          <cell r="BA56">
            <v>49839.975460667738</v>
          </cell>
          <cell r="BB56">
            <v>52149.906351050675</v>
          </cell>
        </row>
        <row r="57">
          <cell r="B57" t="str">
            <v>Total current liabilities</v>
          </cell>
          <cell r="C57" t="str">
            <v>SHORT_TERM_LIABS</v>
          </cell>
          <cell r="D57" t="str">
            <v>EUR</v>
          </cell>
          <cell r="F57">
            <v>13471</v>
          </cell>
          <cell r="G57">
            <v>17559</v>
          </cell>
          <cell r="H57">
            <v>16501</v>
          </cell>
          <cell r="I57">
            <v>17413</v>
          </cell>
          <cell r="J57">
            <v>19820</v>
          </cell>
          <cell r="K57">
            <v>0</v>
          </cell>
          <cell r="L57">
            <v>0</v>
          </cell>
          <cell r="M57">
            <v>0</v>
          </cell>
          <cell r="N57">
            <v>0</v>
          </cell>
          <cell r="O57">
            <v>25455</v>
          </cell>
          <cell r="P57">
            <v>0</v>
          </cell>
          <cell r="Q57">
            <v>0</v>
          </cell>
          <cell r="R57">
            <v>0</v>
          </cell>
          <cell r="S57">
            <v>0</v>
          </cell>
          <cell r="T57">
            <v>31216</v>
          </cell>
          <cell r="U57">
            <v>0</v>
          </cell>
          <cell r="V57">
            <v>0</v>
          </cell>
          <cell r="W57">
            <v>0</v>
          </cell>
          <cell r="X57">
            <v>0</v>
          </cell>
          <cell r="Y57">
            <v>34068</v>
          </cell>
          <cell r="Z57">
            <v>0</v>
          </cell>
          <cell r="AA57">
            <v>0</v>
          </cell>
          <cell r="AB57">
            <v>0</v>
          </cell>
          <cell r="AC57">
            <v>0</v>
          </cell>
          <cell r="AD57">
            <v>36725</v>
          </cell>
          <cell r="AE57">
            <v>0</v>
          </cell>
          <cell r="AF57">
            <v>0</v>
          </cell>
          <cell r="AG57">
            <v>0</v>
          </cell>
          <cell r="AH57">
            <v>0</v>
          </cell>
          <cell r="AI57">
            <v>42376</v>
          </cell>
          <cell r="AJ57">
            <v>0</v>
          </cell>
          <cell r="AK57">
            <v>0</v>
          </cell>
          <cell r="AL57">
            <v>0</v>
          </cell>
          <cell r="AM57">
            <v>0</v>
          </cell>
          <cell r="AN57">
            <v>43770</v>
          </cell>
          <cell r="AO57">
            <v>0</v>
          </cell>
          <cell r="AP57">
            <v>0</v>
          </cell>
          <cell r="AQ57">
            <v>0</v>
          </cell>
          <cell r="AR57">
            <v>0</v>
          </cell>
          <cell r="AS57">
            <v>47502</v>
          </cell>
          <cell r="AT57">
            <v>48648</v>
          </cell>
          <cell r="AU57">
            <v>50252.684015720399</v>
          </cell>
          <cell r="AV57">
            <v>51724.033882152595</v>
          </cell>
          <cell r="AW57">
            <v>53845.382587867643</v>
          </cell>
          <cell r="AX57">
            <v>56720.697012279619</v>
          </cell>
          <cell r="AY57">
            <v>57812.672592642637</v>
          </cell>
          <cell r="AZ57">
            <v>58444.64402914016</v>
          </cell>
          <cell r="BA57">
            <v>60700.115990372091</v>
          </cell>
          <cell r="BB57">
            <v>63408.950875289454</v>
          </cell>
        </row>
        <row r="58">
          <cell r="B58" t="str">
            <v>Long-term  debt</v>
          </cell>
          <cell r="C58" t="str">
            <v>LT_DEBT</v>
          </cell>
          <cell r="D58" t="str">
            <v>EUR</v>
          </cell>
          <cell r="F58">
            <v>4776</v>
          </cell>
          <cell r="G58">
            <v>5038</v>
          </cell>
          <cell r="H58">
            <v>3791</v>
          </cell>
          <cell r="I58">
            <v>3789</v>
          </cell>
          <cell r="J58">
            <v>4406</v>
          </cell>
          <cell r="K58">
            <v>0</v>
          </cell>
          <cell r="L58">
            <v>0</v>
          </cell>
          <cell r="M58">
            <v>0</v>
          </cell>
          <cell r="N58">
            <v>0</v>
          </cell>
          <cell r="O58">
            <v>4189</v>
          </cell>
          <cell r="P58">
            <v>0</v>
          </cell>
          <cell r="Q58">
            <v>0</v>
          </cell>
          <cell r="R58">
            <v>0</v>
          </cell>
          <cell r="S58">
            <v>0</v>
          </cell>
          <cell r="T58">
            <v>3561</v>
          </cell>
          <cell r="U58">
            <v>0</v>
          </cell>
          <cell r="V58">
            <v>0</v>
          </cell>
          <cell r="W58">
            <v>0</v>
          </cell>
          <cell r="X58">
            <v>0</v>
          </cell>
          <cell r="Y58">
            <v>3090</v>
          </cell>
          <cell r="Z58">
            <v>0</v>
          </cell>
          <cell r="AA58">
            <v>0</v>
          </cell>
          <cell r="AB58">
            <v>0</v>
          </cell>
          <cell r="AC58">
            <v>0</v>
          </cell>
          <cell r="AD58">
            <v>3046</v>
          </cell>
          <cell r="AE58">
            <v>0</v>
          </cell>
          <cell r="AF58">
            <v>0</v>
          </cell>
          <cell r="AG58">
            <v>0</v>
          </cell>
          <cell r="AH58">
            <v>0</v>
          </cell>
          <cell r="AI58">
            <v>2867</v>
          </cell>
          <cell r="AJ58">
            <v>0</v>
          </cell>
          <cell r="AK58">
            <v>0</v>
          </cell>
          <cell r="AL58">
            <v>0</v>
          </cell>
          <cell r="AM58">
            <v>0</v>
          </cell>
          <cell r="AN58">
            <v>2870</v>
          </cell>
          <cell r="AO58">
            <v>0</v>
          </cell>
          <cell r="AP58">
            <v>0</v>
          </cell>
          <cell r="AQ58">
            <v>0</v>
          </cell>
          <cell r="AR58">
            <v>0</v>
          </cell>
          <cell r="AS58">
            <v>3628</v>
          </cell>
          <cell r="AT58">
            <v>3506</v>
          </cell>
          <cell r="AU58">
            <v>3506</v>
          </cell>
          <cell r="AV58">
            <v>3506</v>
          </cell>
          <cell r="AW58">
            <v>3506</v>
          </cell>
          <cell r="AX58">
            <v>3506</v>
          </cell>
          <cell r="AY58">
            <v>3506</v>
          </cell>
          <cell r="AZ58">
            <v>3506</v>
          </cell>
          <cell r="BA58">
            <v>3506</v>
          </cell>
          <cell r="BB58">
            <v>3506</v>
          </cell>
        </row>
        <row r="59">
          <cell r="B59" t="str">
            <v>Other long-term liabilities</v>
          </cell>
          <cell r="C59" t="str">
            <v>OTH_LT_CRED_GQ</v>
          </cell>
          <cell r="D59" t="str">
            <v>EUR</v>
          </cell>
          <cell r="F59">
            <v>12726</v>
          </cell>
          <cell r="G59">
            <v>15682</v>
          </cell>
          <cell r="H59">
            <v>12982</v>
          </cell>
          <cell r="I59">
            <v>14848</v>
          </cell>
          <cell r="J59">
            <v>14698</v>
          </cell>
          <cell r="K59">
            <v>0</v>
          </cell>
          <cell r="L59">
            <v>0</v>
          </cell>
          <cell r="M59">
            <v>0</v>
          </cell>
          <cell r="N59">
            <v>0</v>
          </cell>
          <cell r="O59">
            <v>26839</v>
          </cell>
          <cell r="P59">
            <v>0</v>
          </cell>
          <cell r="Q59">
            <v>0</v>
          </cell>
          <cell r="R59">
            <v>0</v>
          </cell>
          <cell r="S59">
            <v>0</v>
          </cell>
          <cell r="T59">
            <v>24208</v>
          </cell>
          <cell r="U59">
            <v>0</v>
          </cell>
          <cell r="V59">
            <v>0</v>
          </cell>
          <cell r="W59">
            <v>0</v>
          </cell>
          <cell r="X59">
            <v>0</v>
          </cell>
          <cell r="Y59">
            <v>25123</v>
          </cell>
          <cell r="Z59">
            <v>0</v>
          </cell>
          <cell r="AA59">
            <v>0</v>
          </cell>
          <cell r="AB59">
            <v>0</v>
          </cell>
          <cell r="AC59">
            <v>0</v>
          </cell>
          <cell r="AD59">
            <v>25256</v>
          </cell>
          <cell r="AE59">
            <v>0</v>
          </cell>
          <cell r="AF59">
            <v>0</v>
          </cell>
          <cell r="AG59">
            <v>0</v>
          </cell>
          <cell r="AH59">
            <v>0</v>
          </cell>
          <cell r="AI59">
            <v>24420</v>
          </cell>
          <cell r="AJ59">
            <v>0</v>
          </cell>
          <cell r="AK59">
            <v>0</v>
          </cell>
          <cell r="AL59">
            <v>0</v>
          </cell>
          <cell r="AM59">
            <v>0</v>
          </cell>
          <cell r="AN59">
            <v>27611</v>
          </cell>
          <cell r="AO59">
            <v>0</v>
          </cell>
          <cell r="AP59">
            <v>0</v>
          </cell>
          <cell r="AQ59">
            <v>0</v>
          </cell>
          <cell r="AR59">
            <v>0</v>
          </cell>
          <cell r="AS59">
            <v>28487</v>
          </cell>
          <cell r="AT59">
            <v>29514</v>
          </cell>
          <cell r="AU59">
            <v>29514</v>
          </cell>
          <cell r="AV59">
            <v>29376.203191903463</v>
          </cell>
          <cell r="AW59">
            <v>28937.73374854029</v>
          </cell>
          <cell r="AX59">
            <v>28302.042175127477</v>
          </cell>
          <cell r="AY59">
            <v>27897.376609418654</v>
          </cell>
          <cell r="AZ59">
            <v>27839.814152943956</v>
          </cell>
          <cell r="BA59">
            <v>27839.814152943956</v>
          </cell>
          <cell r="BB59">
            <v>27839.814152943956</v>
          </cell>
        </row>
        <row r="60">
          <cell r="B60" t="str">
            <v>Total long-term liabilities</v>
          </cell>
          <cell r="C60" t="str">
            <v>TOT_LT_LIAB</v>
          </cell>
          <cell r="D60" t="str">
            <v>EUR</v>
          </cell>
          <cell r="F60">
            <v>17502</v>
          </cell>
          <cell r="G60">
            <v>20720</v>
          </cell>
          <cell r="H60">
            <v>16773</v>
          </cell>
          <cell r="I60">
            <v>18637</v>
          </cell>
          <cell r="J60">
            <v>19104</v>
          </cell>
          <cell r="K60">
            <v>0</v>
          </cell>
          <cell r="L60">
            <v>0</v>
          </cell>
          <cell r="M60">
            <v>0</v>
          </cell>
          <cell r="N60">
            <v>0</v>
          </cell>
          <cell r="O60">
            <v>31028</v>
          </cell>
          <cell r="P60">
            <v>0</v>
          </cell>
          <cell r="Q60">
            <v>0</v>
          </cell>
          <cell r="R60">
            <v>0</v>
          </cell>
          <cell r="S60">
            <v>0</v>
          </cell>
          <cell r="T60">
            <v>27769</v>
          </cell>
          <cell r="U60">
            <v>0</v>
          </cell>
          <cell r="V60">
            <v>0</v>
          </cell>
          <cell r="W60">
            <v>0</v>
          </cell>
          <cell r="X60">
            <v>0</v>
          </cell>
          <cell r="Y60">
            <v>28213</v>
          </cell>
          <cell r="Z60">
            <v>0</v>
          </cell>
          <cell r="AA60">
            <v>0</v>
          </cell>
          <cell r="AB60">
            <v>0</v>
          </cell>
          <cell r="AC60">
            <v>0</v>
          </cell>
          <cell r="AD60">
            <v>28302</v>
          </cell>
          <cell r="AE60">
            <v>0</v>
          </cell>
          <cell r="AF60">
            <v>0</v>
          </cell>
          <cell r="AG60">
            <v>0</v>
          </cell>
          <cell r="AH60">
            <v>0</v>
          </cell>
          <cell r="AI60">
            <v>27287</v>
          </cell>
          <cell r="AJ60">
            <v>0</v>
          </cell>
          <cell r="AK60">
            <v>0</v>
          </cell>
          <cell r="AL60">
            <v>0</v>
          </cell>
          <cell r="AM60">
            <v>0</v>
          </cell>
          <cell r="AN60">
            <v>30481</v>
          </cell>
          <cell r="AO60">
            <v>0</v>
          </cell>
          <cell r="AP60">
            <v>0</v>
          </cell>
          <cell r="AQ60">
            <v>0</v>
          </cell>
          <cell r="AR60">
            <v>0</v>
          </cell>
          <cell r="AS60">
            <v>32115</v>
          </cell>
          <cell r="AT60">
            <v>33020</v>
          </cell>
          <cell r="AU60">
            <v>33020</v>
          </cell>
          <cell r="AV60">
            <v>32882.203191903463</v>
          </cell>
          <cell r="AW60">
            <v>32443.73374854029</v>
          </cell>
          <cell r="AX60">
            <v>31808.042175127477</v>
          </cell>
          <cell r="AY60">
            <v>31403.376609418654</v>
          </cell>
          <cell r="AZ60">
            <v>31345.814152943956</v>
          </cell>
          <cell r="BA60">
            <v>31345.814152943956</v>
          </cell>
          <cell r="BB60">
            <v>31345.814152943956</v>
          </cell>
        </row>
        <row r="61">
          <cell r="B61" t="str">
            <v>Total liabilities</v>
          </cell>
          <cell r="C61" t="str">
            <v>TOT_LIAB</v>
          </cell>
          <cell r="D61" t="str">
            <v>EUR</v>
          </cell>
          <cell r="F61">
            <v>30973</v>
          </cell>
          <cell r="G61">
            <v>38279</v>
          </cell>
          <cell r="H61">
            <v>33274</v>
          </cell>
          <cell r="I61">
            <v>36050</v>
          </cell>
          <cell r="J61">
            <v>38924</v>
          </cell>
          <cell r="K61">
            <v>0</v>
          </cell>
          <cell r="L61">
            <v>0</v>
          </cell>
          <cell r="M61">
            <v>0</v>
          </cell>
          <cell r="N61">
            <v>0</v>
          </cell>
          <cell r="O61">
            <v>56483</v>
          </cell>
          <cell r="P61">
            <v>0</v>
          </cell>
          <cell r="Q61">
            <v>0</v>
          </cell>
          <cell r="R61">
            <v>0</v>
          </cell>
          <cell r="S61">
            <v>0</v>
          </cell>
          <cell r="T61">
            <v>58985</v>
          </cell>
          <cell r="U61">
            <v>0</v>
          </cell>
          <cell r="V61">
            <v>0</v>
          </cell>
          <cell r="W61">
            <v>0</v>
          </cell>
          <cell r="X61">
            <v>0</v>
          </cell>
          <cell r="Y61">
            <v>62281</v>
          </cell>
          <cell r="Z61">
            <v>0</v>
          </cell>
          <cell r="AA61">
            <v>0</v>
          </cell>
          <cell r="AB61">
            <v>0</v>
          </cell>
          <cell r="AC61">
            <v>0</v>
          </cell>
          <cell r="AD61">
            <v>65027</v>
          </cell>
          <cell r="AE61">
            <v>0</v>
          </cell>
          <cell r="AF61">
            <v>0</v>
          </cell>
          <cell r="AG61">
            <v>0</v>
          </cell>
          <cell r="AH61">
            <v>0</v>
          </cell>
          <cell r="AI61">
            <v>69663</v>
          </cell>
          <cell r="AJ61">
            <v>0</v>
          </cell>
          <cell r="AK61">
            <v>0</v>
          </cell>
          <cell r="AL61">
            <v>0</v>
          </cell>
          <cell r="AM61">
            <v>0</v>
          </cell>
          <cell r="AN61">
            <v>74251</v>
          </cell>
          <cell r="AO61">
            <v>0</v>
          </cell>
          <cell r="AP61">
            <v>0</v>
          </cell>
          <cell r="AQ61">
            <v>0</v>
          </cell>
          <cell r="AR61">
            <v>0</v>
          </cell>
          <cell r="AS61">
            <v>79617</v>
          </cell>
          <cell r="AT61">
            <v>81668</v>
          </cell>
          <cell r="AU61">
            <v>83272.684015720399</v>
          </cell>
          <cell r="AV61">
            <v>84606.237074056058</v>
          </cell>
          <cell r="AW61">
            <v>86289.116336407926</v>
          </cell>
          <cell r="AX61">
            <v>88528.739187407104</v>
          </cell>
          <cell r="AY61">
            <v>89216.049202061287</v>
          </cell>
          <cell r="AZ61">
            <v>89790.458182084112</v>
          </cell>
          <cell r="BA61">
            <v>92045.930143316044</v>
          </cell>
          <cell r="BB61">
            <v>94754.765028233407</v>
          </cell>
        </row>
        <row r="62">
          <cell r="B62" t="str">
            <v>Preferred shares</v>
          </cell>
          <cell r="C62" t="str">
            <v>PREF_SH</v>
          </cell>
          <cell r="D62" t="str">
            <v>EUR</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row>
        <row r="63">
          <cell r="B63" t="str">
            <v>Total common equity</v>
          </cell>
          <cell r="C63" t="str">
            <v>ORD_SH_FUND</v>
          </cell>
          <cell r="D63" t="str">
            <v>EUR</v>
          </cell>
          <cell r="F63">
            <v>10250</v>
          </cell>
          <cell r="G63">
            <v>9877</v>
          </cell>
          <cell r="H63">
            <v>12765</v>
          </cell>
          <cell r="I63">
            <v>16149</v>
          </cell>
          <cell r="J63">
            <v>16973</v>
          </cell>
          <cell r="K63">
            <v>0</v>
          </cell>
          <cell r="L63">
            <v>0</v>
          </cell>
          <cell r="M63">
            <v>0</v>
          </cell>
          <cell r="N63">
            <v>0</v>
          </cell>
          <cell r="O63">
            <v>13726</v>
          </cell>
          <cell r="P63">
            <v>0</v>
          </cell>
          <cell r="Q63">
            <v>0</v>
          </cell>
          <cell r="R63">
            <v>0</v>
          </cell>
          <cell r="S63">
            <v>0</v>
          </cell>
          <cell r="T63">
            <v>13012</v>
          </cell>
          <cell r="U63">
            <v>0</v>
          </cell>
          <cell r="V63">
            <v>0</v>
          </cell>
          <cell r="W63">
            <v>0</v>
          </cell>
          <cell r="X63">
            <v>0</v>
          </cell>
          <cell r="Y63">
            <v>13090</v>
          </cell>
          <cell r="Z63">
            <v>0</v>
          </cell>
          <cell r="AA63">
            <v>0</v>
          </cell>
          <cell r="AB63">
            <v>0</v>
          </cell>
          <cell r="AC63">
            <v>0</v>
          </cell>
          <cell r="AD63">
            <v>11022</v>
          </cell>
          <cell r="AE63">
            <v>0</v>
          </cell>
          <cell r="AF63">
            <v>0</v>
          </cell>
          <cell r="AG63">
            <v>0</v>
          </cell>
          <cell r="AH63">
            <v>0</v>
          </cell>
          <cell r="AI63">
            <v>10535</v>
          </cell>
          <cell r="AJ63">
            <v>0</v>
          </cell>
          <cell r="AK63">
            <v>0</v>
          </cell>
          <cell r="AL63">
            <v>0</v>
          </cell>
          <cell r="AM63">
            <v>0</v>
          </cell>
          <cell r="AN63">
            <v>8841</v>
          </cell>
          <cell r="AO63">
            <v>0</v>
          </cell>
          <cell r="AP63">
            <v>0</v>
          </cell>
          <cell r="AQ63">
            <v>0</v>
          </cell>
          <cell r="AR63">
            <v>0</v>
          </cell>
          <cell r="AS63">
            <v>8850</v>
          </cell>
          <cell r="AT63">
            <v>10409</v>
          </cell>
          <cell r="AU63">
            <v>10713.708060941457</v>
          </cell>
          <cell r="AV63">
            <v>13103.452632432596</v>
          </cell>
          <cell r="AW63">
            <v>15848.905516784911</v>
          </cell>
          <cell r="AX63">
            <v>18982.451020449305</v>
          </cell>
          <cell r="AY63">
            <v>22355.04265566411</v>
          </cell>
          <cell r="AZ63">
            <v>25824.919115135799</v>
          </cell>
          <cell r="BA63">
            <v>30122.168383488199</v>
          </cell>
          <cell r="BB63">
            <v>35197.026159765403</v>
          </cell>
        </row>
        <row r="64">
          <cell r="B64" t="str">
            <v>Minority interest</v>
          </cell>
          <cell r="C64" t="str">
            <v>MINORITIES</v>
          </cell>
          <cell r="D64" t="str">
            <v>EUR</v>
          </cell>
          <cell r="F64">
            <v>221</v>
          </cell>
          <cell r="G64">
            <v>559</v>
          </cell>
          <cell r="H64">
            <v>1361</v>
          </cell>
          <cell r="I64">
            <v>2179</v>
          </cell>
          <cell r="J64">
            <v>2370</v>
          </cell>
          <cell r="K64">
            <v>0</v>
          </cell>
          <cell r="L64">
            <v>0</v>
          </cell>
          <cell r="M64">
            <v>0</v>
          </cell>
          <cell r="N64">
            <v>0</v>
          </cell>
          <cell r="O64">
            <v>176</v>
          </cell>
          <cell r="P64">
            <v>0</v>
          </cell>
          <cell r="Q64">
            <v>0</v>
          </cell>
          <cell r="R64">
            <v>0</v>
          </cell>
          <cell r="S64">
            <v>0</v>
          </cell>
          <cell r="T64">
            <v>140</v>
          </cell>
          <cell r="U64">
            <v>0</v>
          </cell>
          <cell r="V64">
            <v>0</v>
          </cell>
          <cell r="W64">
            <v>0</v>
          </cell>
          <cell r="X64">
            <v>0</v>
          </cell>
          <cell r="Y64">
            <v>85</v>
          </cell>
          <cell r="Z64">
            <v>0</v>
          </cell>
          <cell r="AA64">
            <v>0</v>
          </cell>
          <cell r="AB64">
            <v>0</v>
          </cell>
          <cell r="AC64">
            <v>0</v>
          </cell>
          <cell r="AD64">
            <v>104</v>
          </cell>
          <cell r="AE64">
            <v>0</v>
          </cell>
          <cell r="AF64">
            <v>0</v>
          </cell>
          <cell r="AG64">
            <v>0</v>
          </cell>
          <cell r="AH64">
            <v>0</v>
          </cell>
          <cell r="AI64">
            <v>106</v>
          </cell>
          <cell r="AJ64">
            <v>0</v>
          </cell>
          <cell r="AK64">
            <v>0</v>
          </cell>
          <cell r="AL64">
            <v>0</v>
          </cell>
          <cell r="AM64">
            <v>0</v>
          </cell>
          <cell r="AN64">
            <v>95</v>
          </cell>
          <cell r="AO64">
            <v>0</v>
          </cell>
          <cell r="AP64">
            <v>0</v>
          </cell>
          <cell r="AQ64">
            <v>0</v>
          </cell>
          <cell r="AR64">
            <v>0</v>
          </cell>
          <cell r="AS64">
            <v>15</v>
          </cell>
          <cell r="AT64">
            <v>25</v>
          </cell>
          <cell r="AU64">
            <v>26</v>
          </cell>
          <cell r="AV64">
            <v>27</v>
          </cell>
          <cell r="AW64">
            <v>28</v>
          </cell>
          <cell r="AX64">
            <v>29</v>
          </cell>
          <cell r="AY64">
            <v>30</v>
          </cell>
          <cell r="AZ64">
            <v>31</v>
          </cell>
          <cell r="BA64">
            <v>32</v>
          </cell>
          <cell r="BB64">
            <v>33</v>
          </cell>
        </row>
        <row r="65">
          <cell r="B65" t="str">
            <v>Total shareholders' equity</v>
          </cell>
          <cell r="C65" t="str">
            <v>EQ</v>
          </cell>
          <cell r="D65" t="str">
            <v>EUR</v>
          </cell>
          <cell r="F65">
            <v>10471</v>
          </cell>
          <cell r="G65">
            <v>10436</v>
          </cell>
          <cell r="H65">
            <v>14126</v>
          </cell>
          <cell r="I65">
            <v>18328</v>
          </cell>
          <cell r="J65">
            <v>19343</v>
          </cell>
          <cell r="K65">
            <v>0</v>
          </cell>
          <cell r="L65">
            <v>0</v>
          </cell>
          <cell r="M65">
            <v>0</v>
          </cell>
          <cell r="N65">
            <v>0</v>
          </cell>
          <cell r="O65">
            <v>13902</v>
          </cell>
          <cell r="P65">
            <v>0</v>
          </cell>
          <cell r="Q65">
            <v>0</v>
          </cell>
          <cell r="R65">
            <v>0</v>
          </cell>
          <cell r="S65">
            <v>0</v>
          </cell>
          <cell r="T65">
            <v>13152</v>
          </cell>
          <cell r="U65">
            <v>0</v>
          </cell>
          <cell r="V65">
            <v>0</v>
          </cell>
          <cell r="W65">
            <v>0</v>
          </cell>
          <cell r="X65">
            <v>0</v>
          </cell>
          <cell r="Y65">
            <v>13175</v>
          </cell>
          <cell r="Z65">
            <v>0</v>
          </cell>
          <cell r="AA65">
            <v>0</v>
          </cell>
          <cell r="AB65">
            <v>0</v>
          </cell>
          <cell r="AC65">
            <v>0</v>
          </cell>
          <cell r="AD65">
            <v>11126</v>
          </cell>
          <cell r="AE65">
            <v>0</v>
          </cell>
          <cell r="AF65">
            <v>0</v>
          </cell>
          <cell r="AG65">
            <v>0</v>
          </cell>
          <cell r="AH65">
            <v>0</v>
          </cell>
          <cell r="AI65">
            <v>10641</v>
          </cell>
          <cell r="AJ65">
            <v>0</v>
          </cell>
          <cell r="AK65">
            <v>0</v>
          </cell>
          <cell r="AL65">
            <v>0</v>
          </cell>
          <cell r="AM65">
            <v>0</v>
          </cell>
          <cell r="AN65">
            <v>8936</v>
          </cell>
          <cell r="AO65">
            <v>0</v>
          </cell>
          <cell r="AP65">
            <v>0</v>
          </cell>
          <cell r="AQ65">
            <v>0</v>
          </cell>
          <cell r="AR65">
            <v>0</v>
          </cell>
          <cell r="AS65">
            <v>8865</v>
          </cell>
          <cell r="AT65">
            <v>10434</v>
          </cell>
          <cell r="AU65">
            <v>10739.708060941457</v>
          </cell>
          <cell r="AV65">
            <v>13130.452632432596</v>
          </cell>
          <cell r="AW65">
            <v>15876.905516784911</v>
          </cell>
          <cell r="AX65">
            <v>19011.451020449305</v>
          </cell>
          <cell r="AY65">
            <v>22385.04265566411</v>
          </cell>
          <cell r="AZ65">
            <v>25855.919115135799</v>
          </cell>
          <cell r="BA65">
            <v>30154.168383488199</v>
          </cell>
          <cell r="BB65">
            <v>35230.026159765403</v>
          </cell>
        </row>
        <row r="66">
          <cell r="B66" t="str">
            <v>Total liabilities and equity</v>
          </cell>
          <cell r="C66" t="str">
            <v>TOT_LIAB_EQ</v>
          </cell>
          <cell r="D66" t="str">
            <v>EUR</v>
          </cell>
          <cell r="F66">
            <v>41444</v>
          </cell>
          <cell r="G66">
            <v>48715</v>
          </cell>
          <cell r="H66">
            <v>47400</v>
          </cell>
          <cell r="I66">
            <v>54378</v>
          </cell>
          <cell r="J66">
            <v>58267</v>
          </cell>
          <cell r="K66">
            <v>0</v>
          </cell>
          <cell r="L66">
            <v>0</v>
          </cell>
          <cell r="M66">
            <v>0</v>
          </cell>
          <cell r="N66">
            <v>0</v>
          </cell>
          <cell r="O66">
            <v>70385</v>
          </cell>
          <cell r="P66">
            <v>0</v>
          </cell>
          <cell r="Q66">
            <v>0</v>
          </cell>
          <cell r="R66">
            <v>0</v>
          </cell>
          <cell r="S66">
            <v>0</v>
          </cell>
          <cell r="T66">
            <v>72137</v>
          </cell>
          <cell r="U66">
            <v>0</v>
          </cell>
          <cell r="V66">
            <v>0</v>
          </cell>
          <cell r="W66">
            <v>0</v>
          </cell>
          <cell r="X66">
            <v>0</v>
          </cell>
          <cell r="Y66">
            <v>75456</v>
          </cell>
          <cell r="Z66">
            <v>0</v>
          </cell>
          <cell r="AA66">
            <v>0</v>
          </cell>
          <cell r="AB66">
            <v>0</v>
          </cell>
          <cell r="AC66">
            <v>0</v>
          </cell>
          <cell r="AD66">
            <v>76153</v>
          </cell>
          <cell r="AE66">
            <v>0</v>
          </cell>
          <cell r="AF66">
            <v>0</v>
          </cell>
          <cell r="AG66">
            <v>0</v>
          </cell>
          <cell r="AH66">
            <v>0</v>
          </cell>
          <cell r="AI66">
            <v>80304</v>
          </cell>
          <cell r="AJ66">
            <v>0</v>
          </cell>
          <cell r="AK66">
            <v>0</v>
          </cell>
          <cell r="AL66">
            <v>0</v>
          </cell>
          <cell r="AM66">
            <v>0</v>
          </cell>
          <cell r="AN66">
            <v>83187</v>
          </cell>
          <cell r="AO66">
            <v>0</v>
          </cell>
          <cell r="AP66">
            <v>0</v>
          </cell>
          <cell r="AQ66">
            <v>0</v>
          </cell>
          <cell r="AR66">
            <v>0</v>
          </cell>
          <cell r="AS66">
            <v>88482</v>
          </cell>
          <cell r="AT66">
            <v>92102</v>
          </cell>
          <cell r="AU66">
            <v>94012.392076661854</v>
          </cell>
          <cell r="AV66">
            <v>97736.689706488658</v>
          </cell>
          <cell r="AW66">
            <v>102166.02185319284</v>
          </cell>
          <cell r="AX66">
            <v>107540.19020785642</v>
          </cell>
          <cell r="AY66">
            <v>111601.09185772541</v>
          </cell>
          <cell r="AZ66">
            <v>115646.37729721991</v>
          </cell>
          <cell r="BA66">
            <v>122200.09852680424</v>
          </cell>
          <cell r="BB66">
            <v>129984.79118799881</v>
          </cell>
          <cell r="BC66">
            <v>0</v>
          </cell>
        </row>
        <row r="67">
          <cell r="A67" t="str">
            <v>Additional Balance Sheet Items</v>
          </cell>
          <cell r="B67">
            <v>0</v>
          </cell>
          <cell r="C67">
            <v>0</v>
          </cell>
          <cell r="D67">
            <v>0</v>
          </cell>
        </row>
        <row r="68">
          <cell r="B68" t="str">
            <v>Net debt</v>
          </cell>
          <cell r="C68" t="str">
            <v>NET_DEBT</v>
          </cell>
          <cell r="D68" t="str">
            <v>EUR</v>
          </cell>
          <cell r="F68">
            <v>-2143</v>
          </cell>
          <cell r="G68">
            <v>-1533</v>
          </cell>
          <cell r="H68">
            <v>-1224</v>
          </cell>
          <cell r="I68">
            <v>-3105</v>
          </cell>
          <cell r="J68">
            <v>-4058</v>
          </cell>
          <cell r="K68">
            <v>0</v>
          </cell>
          <cell r="L68">
            <v>0</v>
          </cell>
          <cell r="M68">
            <v>0</v>
          </cell>
          <cell r="N68">
            <v>0</v>
          </cell>
          <cell r="O68">
            <v>-5489</v>
          </cell>
          <cell r="P68">
            <v>0</v>
          </cell>
          <cell r="Q68">
            <v>0</v>
          </cell>
          <cell r="R68">
            <v>0</v>
          </cell>
          <cell r="S68">
            <v>0</v>
          </cell>
          <cell r="T68">
            <v>-4229</v>
          </cell>
          <cell r="U68">
            <v>0</v>
          </cell>
          <cell r="V68">
            <v>0</v>
          </cell>
          <cell r="W68">
            <v>0</v>
          </cell>
          <cell r="X68">
            <v>0</v>
          </cell>
          <cell r="Y68">
            <v>-7024</v>
          </cell>
          <cell r="Z68">
            <v>0</v>
          </cell>
          <cell r="AA68">
            <v>0</v>
          </cell>
          <cell r="AB68">
            <v>0</v>
          </cell>
          <cell r="AC68">
            <v>0</v>
          </cell>
          <cell r="AD68">
            <v>-9193</v>
          </cell>
          <cell r="AE68">
            <v>0</v>
          </cell>
          <cell r="AF68">
            <v>0</v>
          </cell>
          <cell r="AG68">
            <v>0</v>
          </cell>
          <cell r="AH68">
            <v>0</v>
          </cell>
          <cell r="AI68">
            <v>-9797</v>
          </cell>
          <cell r="AJ68">
            <v>0</v>
          </cell>
          <cell r="AK68">
            <v>0</v>
          </cell>
          <cell r="AL68">
            <v>0</v>
          </cell>
          <cell r="AM68">
            <v>0</v>
          </cell>
          <cell r="AN68">
            <v>-11918</v>
          </cell>
          <cell r="AO68">
            <v>0</v>
          </cell>
          <cell r="AP68">
            <v>0</v>
          </cell>
          <cell r="AQ68">
            <v>0</v>
          </cell>
          <cell r="AR68">
            <v>0</v>
          </cell>
          <cell r="AS68">
            <v>-11681</v>
          </cell>
          <cell r="AT68">
            <v>-12292</v>
          </cell>
          <cell r="AU68">
            <v>-7966.6721038082269</v>
          </cell>
          <cell r="AV68">
            <v>-8518.3779077994714</v>
          </cell>
          <cell r="AW68">
            <v>-9686.0388104872163</v>
          </cell>
          <cell r="AX68">
            <v>-11050.683306018305</v>
          </cell>
          <cell r="AY68">
            <v>-12896.402031153997</v>
          </cell>
          <cell r="AZ68">
            <v>-15412.737012969661</v>
          </cell>
          <cell r="BA68">
            <v>-19191.777072255965</v>
          </cell>
          <cell r="BB68">
            <v>-25216.138145465848</v>
          </cell>
        </row>
        <row r="69">
          <cell r="B69" t="str">
            <v>Capitalized leases</v>
          </cell>
          <cell r="C69" t="str">
            <v>CAP_LEASES</v>
          </cell>
          <cell r="D69" t="str">
            <v>EUR</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row>
        <row r="70">
          <cell r="B70" t="str">
            <v>Deferred income taxes</v>
          </cell>
          <cell r="C70" t="str">
            <v>DEF_INC_TAX</v>
          </cell>
          <cell r="D70" t="str">
            <v>EUR</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row>
        <row r="71">
          <cell r="B71" t="str">
            <v>Associates (mkt value) used in EV calculation</v>
          </cell>
          <cell r="C71" t="str">
            <v>MV_ASSOCIATES</v>
          </cell>
          <cell r="D71" t="str">
            <v>EUR</v>
          </cell>
          <cell r="F71">
            <v>900.8590999999999</v>
          </cell>
          <cell r="G71">
            <v>1268.6199999999999</v>
          </cell>
          <cell r="H71">
            <v>1541.79</v>
          </cell>
          <cell r="I71">
            <v>1250.0999999999999</v>
          </cell>
          <cell r="J71">
            <v>2058.0349999999999</v>
          </cell>
          <cell r="K71">
            <v>0</v>
          </cell>
          <cell r="L71">
            <v>0</v>
          </cell>
          <cell r="M71">
            <v>0</v>
          </cell>
          <cell r="N71">
            <v>0</v>
          </cell>
          <cell r="O71">
            <v>2470.9847</v>
          </cell>
          <cell r="P71">
            <v>0</v>
          </cell>
          <cell r="Q71">
            <v>0</v>
          </cell>
          <cell r="R71">
            <v>0</v>
          </cell>
          <cell r="S71">
            <v>0</v>
          </cell>
          <cell r="T71">
            <v>2813.0028000000002</v>
          </cell>
          <cell r="U71">
            <v>0</v>
          </cell>
          <cell r="V71">
            <v>0</v>
          </cell>
          <cell r="W71">
            <v>0</v>
          </cell>
          <cell r="X71">
            <v>0</v>
          </cell>
          <cell r="Y71">
            <v>3881.8475600000006</v>
          </cell>
          <cell r="Z71">
            <v>0</v>
          </cell>
          <cell r="AA71">
            <v>0</v>
          </cell>
          <cell r="AB71">
            <v>0</v>
          </cell>
          <cell r="AC71">
            <v>0</v>
          </cell>
          <cell r="AD71">
            <v>2672.35266</v>
          </cell>
          <cell r="AE71">
            <v>0</v>
          </cell>
          <cell r="AF71">
            <v>0</v>
          </cell>
          <cell r="AG71">
            <v>0</v>
          </cell>
          <cell r="AH71">
            <v>0</v>
          </cell>
          <cell r="AI71">
            <v>1819.0760700000001</v>
          </cell>
          <cell r="AJ71">
            <v>0</v>
          </cell>
          <cell r="AK71">
            <v>0</v>
          </cell>
          <cell r="AL71">
            <v>0</v>
          </cell>
          <cell r="AM71">
            <v>0</v>
          </cell>
          <cell r="AN71">
            <v>2821.5497800000003</v>
          </cell>
          <cell r="AO71">
            <v>0</v>
          </cell>
          <cell r="AP71">
            <v>0</v>
          </cell>
          <cell r="AQ71">
            <v>0</v>
          </cell>
          <cell r="AR71">
            <v>0</v>
          </cell>
          <cell r="AS71">
            <v>3235.01341</v>
          </cell>
          <cell r="AT71">
            <v>3201.5848100000003</v>
          </cell>
          <cell r="AU71">
            <v>4256.261770000001</v>
          </cell>
          <cell r="AV71">
            <v>4256.261770000001</v>
          </cell>
          <cell r="AW71">
            <v>4256.261770000001</v>
          </cell>
          <cell r="AX71">
            <v>4256.261770000001</v>
          </cell>
          <cell r="AY71">
            <v>4256.261770000001</v>
          </cell>
          <cell r="AZ71">
            <v>4256.261770000001</v>
          </cell>
          <cell r="BA71">
            <v>4256.261770000001</v>
          </cell>
          <cell r="BB71">
            <v>4256.261770000001</v>
          </cell>
        </row>
        <row r="72">
          <cell r="B72" t="str">
            <v>Net debt adjustment</v>
          </cell>
          <cell r="C72" t="str">
            <v>NET_DEBT_ADJ</v>
          </cell>
          <cell r="D72" t="str">
            <v>EUR</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-1843</v>
          </cell>
          <cell r="U72">
            <v>0</v>
          </cell>
          <cell r="V72">
            <v>0</v>
          </cell>
          <cell r="W72">
            <v>0</v>
          </cell>
          <cell r="X72">
            <v>0</v>
          </cell>
          <cell r="Y72">
            <v>-4289</v>
          </cell>
          <cell r="Z72">
            <v>0</v>
          </cell>
          <cell r="AA72">
            <v>0</v>
          </cell>
          <cell r="AB72">
            <v>0</v>
          </cell>
          <cell r="AC72">
            <v>0</v>
          </cell>
          <cell r="AD72">
            <v>-6952</v>
          </cell>
          <cell r="AE72">
            <v>0</v>
          </cell>
          <cell r="AF72">
            <v>0</v>
          </cell>
          <cell r="AG72">
            <v>0</v>
          </cell>
          <cell r="AH72">
            <v>0</v>
          </cell>
          <cell r="AI72">
            <v>-8055</v>
          </cell>
          <cell r="AJ72">
            <v>0</v>
          </cell>
          <cell r="AK72">
            <v>0</v>
          </cell>
          <cell r="AL72">
            <v>0</v>
          </cell>
          <cell r="AM72">
            <v>0</v>
          </cell>
          <cell r="AN72">
            <v>-11166</v>
          </cell>
          <cell r="AO72">
            <v>0</v>
          </cell>
          <cell r="AP72">
            <v>0</v>
          </cell>
          <cell r="AQ72">
            <v>0</v>
          </cell>
          <cell r="AR72">
            <v>0</v>
          </cell>
          <cell r="AS72">
            <v>-11501</v>
          </cell>
          <cell r="AT72">
            <v>-8315</v>
          </cell>
          <cell r="AU72">
            <v>-8315</v>
          </cell>
          <cell r="AV72">
            <v>-8315</v>
          </cell>
          <cell r="AW72">
            <v>-8315</v>
          </cell>
          <cell r="AX72">
            <v>-8315</v>
          </cell>
          <cell r="AY72">
            <v>-8315</v>
          </cell>
          <cell r="AZ72">
            <v>-8315</v>
          </cell>
          <cell r="BA72">
            <v>-8315.0000000000018</v>
          </cell>
          <cell r="BB72">
            <v>-8315</v>
          </cell>
        </row>
        <row r="73">
          <cell r="B73" t="str">
            <v>Company borrowing margin</v>
          </cell>
          <cell r="C73" t="str">
            <v>CO_BOR_MARGIN</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row>
        <row r="74">
          <cell r="B74" t="str">
            <v>Unfunded pensions &amp; other provisions</v>
          </cell>
          <cell r="C74" t="str">
            <v>UNF_PENS</v>
          </cell>
          <cell r="D74" t="str">
            <v>EUR</v>
          </cell>
          <cell r="F74">
            <v>-2513</v>
          </cell>
          <cell r="G74">
            <v>-2678</v>
          </cell>
          <cell r="H74">
            <v>-2772</v>
          </cell>
          <cell r="I74">
            <v>-3044</v>
          </cell>
          <cell r="J74">
            <v>-3247</v>
          </cell>
          <cell r="K74">
            <v>0</v>
          </cell>
          <cell r="L74">
            <v>0</v>
          </cell>
          <cell r="M74">
            <v>0</v>
          </cell>
          <cell r="N74">
            <v>0</v>
          </cell>
          <cell r="O74">
            <v>-3442</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row>
        <row r="75">
          <cell r="B75" t="str">
            <v>Unfunded pension liabilities (off balance sheet)</v>
          </cell>
          <cell r="C75" t="str">
            <v>UNF_PENS_OFF</v>
          </cell>
          <cell r="D75" t="str">
            <v>EUR</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row>
        <row r="76">
          <cell r="B76" t="str">
            <v>Unfunded pension liabilities &amp; other, used in EV</v>
          </cell>
          <cell r="C76" t="str">
            <v>UNF_PENS_LIAB_OTH</v>
          </cell>
          <cell r="D76" t="str">
            <v>EUR</v>
          </cell>
          <cell r="F76">
            <v>2513</v>
          </cell>
          <cell r="G76">
            <v>2836</v>
          </cell>
          <cell r="H76">
            <v>3170</v>
          </cell>
          <cell r="I76">
            <v>3428</v>
          </cell>
          <cell r="J76">
            <v>3906</v>
          </cell>
          <cell r="K76">
            <v>0</v>
          </cell>
          <cell r="L76">
            <v>0</v>
          </cell>
          <cell r="M76">
            <v>0</v>
          </cell>
          <cell r="N76">
            <v>0</v>
          </cell>
          <cell r="O76">
            <v>4560</v>
          </cell>
          <cell r="P76">
            <v>0</v>
          </cell>
          <cell r="Q76">
            <v>0</v>
          </cell>
          <cell r="R76">
            <v>0</v>
          </cell>
          <cell r="S76">
            <v>0</v>
          </cell>
          <cell r="T76">
            <v>4840</v>
          </cell>
          <cell r="U76">
            <v>0</v>
          </cell>
          <cell r="V76">
            <v>0</v>
          </cell>
          <cell r="W76">
            <v>0</v>
          </cell>
          <cell r="X76">
            <v>0</v>
          </cell>
          <cell r="Y76">
            <v>4026</v>
          </cell>
          <cell r="Z76">
            <v>0</v>
          </cell>
          <cell r="AA76">
            <v>0</v>
          </cell>
          <cell r="AB76">
            <v>0</v>
          </cell>
          <cell r="AC76">
            <v>0</v>
          </cell>
          <cell r="AD76">
            <v>4093</v>
          </cell>
          <cell r="AE76">
            <v>0</v>
          </cell>
          <cell r="AF76">
            <v>0</v>
          </cell>
          <cell r="AG76">
            <v>0</v>
          </cell>
          <cell r="AH76">
            <v>0</v>
          </cell>
          <cell r="AI76">
            <v>4653</v>
          </cell>
          <cell r="AJ76">
            <v>0</v>
          </cell>
          <cell r="AK76">
            <v>0</v>
          </cell>
          <cell r="AL76">
            <v>0</v>
          </cell>
          <cell r="AM76">
            <v>0</v>
          </cell>
          <cell r="AN76">
            <v>4344</v>
          </cell>
          <cell r="AO76">
            <v>0</v>
          </cell>
          <cell r="AP76">
            <v>0</v>
          </cell>
          <cell r="AQ76">
            <v>0</v>
          </cell>
          <cell r="AR76">
            <v>0</v>
          </cell>
          <cell r="AS76">
            <v>4938</v>
          </cell>
          <cell r="AT76">
            <v>5300</v>
          </cell>
          <cell r="AU76">
            <v>4461.6000000000004</v>
          </cell>
          <cell r="AV76">
            <v>3776.8</v>
          </cell>
          <cell r="AW76">
            <v>3092</v>
          </cell>
          <cell r="AX76">
            <v>2407.1999999999998</v>
          </cell>
          <cell r="AY76">
            <v>1722.4</v>
          </cell>
          <cell r="AZ76">
            <v>1037.5999999999999</v>
          </cell>
          <cell r="BA76">
            <v>352.8</v>
          </cell>
          <cell r="BB76">
            <v>0</v>
          </cell>
        </row>
        <row r="77">
          <cell r="B77" t="str">
            <v>Adjustment for unfunded pensions &amp; goodwill</v>
          </cell>
          <cell r="C77" t="str">
            <v>ADJ_UNF_PENS_GOOD</v>
          </cell>
          <cell r="D77" t="str">
            <v>EUR</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row>
        <row r="78">
          <cell r="B78" t="str">
            <v>Other GCI adjustments</v>
          </cell>
          <cell r="C78" t="str">
            <v>OTH_GCI_ADJ</v>
          </cell>
          <cell r="D78" t="str">
            <v>EUR</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-877</v>
          </cell>
          <cell r="U78">
            <v>0</v>
          </cell>
          <cell r="V78">
            <v>0</v>
          </cell>
          <cell r="W78">
            <v>0</v>
          </cell>
          <cell r="X78">
            <v>0</v>
          </cell>
          <cell r="Y78">
            <v>-970</v>
          </cell>
          <cell r="Z78">
            <v>0</v>
          </cell>
          <cell r="AA78">
            <v>0</v>
          </cell>
          <cell r="AB78">
            <v>0</v>
          </cell>
          <cell r="AC78">
            <v>0</v>
          </cell>
          <cell r="AD78">
            <v>-1057</v>
          </cell>
          <cell r="AE78">
            <v>0</v>
          </cell>
          <cell r="AF78">
            <v>0</v>
          </cell>
          <cell r="AG78">
            <v>0</v>
          </cell>
          <cell r="AH78">
            <v>0</v>
          </cell>
          <cell r="AI78">
            <v>-1110</v>
          </cell>
          <cell r="AJ78">
            <v>0</v>
          </cell>
          <cell r="AK78">
            <v>0</v>
          </cell>
          <cell r="AL78">
            <v>0</v>
          </cell>
          <cell r="AM78">
            <v>0</v>
          </cell>
          <cell r="AN78">
            <v>-1255</v>
          </cell>
          <cell r="AO78">
            <v>0</v>
          </cell>
          <cell r="AP78">
            <v>0</v>
          </cell>
          <cell r="AQ78">
            <v>0</v>
          </cell>
          <cell r="AR78">
            <v>0</v>
          </cell>
          <cell r="AS78">
            <v>-1352</v>
          </cell>
          <cell r="AT78">
            <v>-1840</v>
          </cell>
          <cell r="AU78">
            <v>-2112.0795645598</v>
          </cell>
          <cell r="AV78">
            <v>-2398.240159999049</v>
          </cell>
          <cell r="AW78">
            <v>-2705.4330980347345</v>
          </cell>
          <cell r="AX78">
            <v>-3040.2173433282173</v>
          </cell>
          <cell r="AY78">
            <v>-3390.503865254444</v>
          </cell>
          <cell r="AZ78">
            <v>-3753.0577504315365</v>
          </cell>
          <cell r="BA78">
            <v>-4139.4010804698801</v>
          </cell>
          <cell r="BB78">
            <v>-4549.4067987624512</v>
          </cell>
        </row>
        <row r="79">
          <cell r="B79" t="str">
            <v>GCI inflator</v>
          </cell>
          <cell r="C79" t="str">
            <v>GCI_INFL</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row>
        <row r="80">
          <cell r="B80" t="str">
            <v>Minority interest</v>
          </cell>
          <cell r="C80" t="str">
            <v>BAL_MINO_INT</v>
          </cell>
          <cell r="D80" t="str">
            <v>EUR</v>
          </cell>
          <cell r="F80">
            <v>221</v>
          </cell>
          <cell r="G80">
            <v>559</v>
          </cell>
          <cell r="H80">
            <v>1361</v>
          </cell>
          <cell r="I80">
            <v>2179</v>
          </cell>
          <cell r="J80">
            <v>2370</v>
          </cell>
          <cell r="K80">
            <v>0</v>
          </cell>
          <cell r="L80">
            <v>0</v>
          </cell>
          <cell r="M80">
            <v>0</v>
          </cell>
          <cell r="N80">
            <v>0</v>
          </cell>
          <cell r="O80">
            <v>176</v>
          </cell>
          <cell r="P80">
            <v>0</v>
          </cell>
          <cell r="Q80">
            <v>0</v>
          </cell>
          <cell r="R80">
            <v>0</v>
          </cell>
          <cell r="S80">
            <v>0</v>
          </cell>
          <cell r="T80">
            <v>2890</v>
          </cell>
          <cell r="U80">
            <v>0</v>
          </cell>
          <cell r="V80">
            <v>0</v>
          </cell>
          <cell r="W80">
            <v>0</v>
          </cell>
          <cell r="X80">
            <v>0</v>
          </cell>
          <cell r="Y80">
            <v>85</v>
          </cell>
          <cell r="Z80">
            <v>0</v>
          </cell>
          <cell r="AA80">
            <v>0</v>
          </cell>
          <cell r="AB80">
            <v>0</v>
          </cell>
          <cell r="AC80">
            <v>0</v>
          </cell>
          <cell r="AD80">
            <v>104</v>
          </cell>
          <cell r="AE80">
            <v>0</v>
          </cell>
          <cell r="AF80">
            <v>0</v>
          </cell>
          <cell r="AG80">
            <v>0</v>
          </cell>
          <cell r="AH80">
            <v>0</v>
          </cell>
          <cell r="AI80">
            <v>106</v>
          </cell>
          <cell r="AJ80">
            <v>0</v>
          </cell>
          <cell r="AK80">
            <v>0</v>
          </cell>
          <cell r="AL80">
            <v>0</v>
          </cell>
          <cell r="AM80">
            <v>0</v>
          </cell>
          <cell r="AN80">
            <v>95</v>
          </cell>
          <cell r="AO80">
            <v>0</v>
          </cell>
          <cell r="AP80">
            <v>0</v>
          </cell>
          <cell r="AQ80">
            <v>0</v>
          </cell>
          <cell r="AR80">
            <v>0</v>
          </cell>
          <cell r="AS80">
            <v>15</v>
          </cell>
          <cell r="AT80">
            <v>25</v>
          </cell>
          <cell r="AU80">
            <v>26</v>
          </cell>
          <cell r="AV80">
            <v>27</v>
          </cell>
          <cell r="AW80">
            <v>28</v>
          </cell>
          <cell r="AX80">
            <v>29</v>
          </cell>
          <cell r="AY80">
            <v>30</v>
          </cell>
          <cell r="AZ80">
            <v>31</v>
          </cell>
          <cell r="BA80">
            <v>32</v>
          </cell>
          <cell r="BB80">
            <v>33</v>
          </cell>
        </row>
        <row r="81">
          <cell r="A81" t="str">
            <v>Cash Flow Statement</v>
          </cell>
          <cell r="B81">
            <v>0</v>
          </cell>
          <cell r="C81">
            <v>0</v>
          </cell>
          <cell r="D81">
            <v>0</v>
          </cell>
        </row>
        <row r="82">
          <cell r="B82" t="str">
            <v>Minority interest add-back</v>
          </cell>
          <cell r="C82" t="str">
            <v>CF_INC_MINORITY</v>
          </cell>
          <cell r="D82" t="str">
            <v>EUR</v>
          </cell>
          <cell r="F82">
            <v>14</v>
          </cell>
          <cell r="G82">
            <v>-114</v>
          </cell>
          <cell r="H82">
            <v>129</v>
          </cell>
          <cell r="I82">
            <v>162</v>
          </cell>
          <cell r="J82">
            <v>220</v>
          </cell>
          <cell r="K82">
            <v>0</v>
          </cell>
          <cell r="L82">
            <v>0</v>
          </cell>
          <cell r="M82">
            <v>0</v>
          </cell>
          <cell r="N82">
            <v>0</v>
          </cell>
          <cell r="O82">
            <v>34</v>
          </cell>
          <cell r="P82">
            <v>0</v>
          </cell>
          <cell r="Q82">
            <v>0</v>
          </cell>
          <cell r="R82">
            <v>0</v>
          </cell>
          <cell r="S82">
            <v>0</v>
          </cell>
          <cell r="T82">
            <v>16</v>
          </cell>
          <cell r="U82">
            <v>0</v>
          </cell>
          <cell r="V82">
            <v>0</v>
          </cell>
          <cell r="W82">
            <v>0</v>
          </cell>
          <cell r="X82">
            <v>0</v>
          </cell>
          <cell r="Y82">
            <v>9</v>
          </cell>
          <cell r="Z82">
            <v>0</v>
          </cell>
          <cell r="AA82">
            <v>0</v>
          </cell>
          <cell r="AB82">
            <v>0</v>
          </cell>
          <cell r="AC82">
            <v>0</v>
          </cell>
          <cell r="AD82">
            <v>25</v>
          </cell>
          <cell r="AE82">
            <v>0</v>
          </cell>
          <cell r="AF82">
            <v>0</v>
          </cell>
          <cell r="AG82">
            <v>0</v>
          </cell>
          <cell r="AH82">
            <v>0</v>
          </cell>
          <cell r="AI82">
            <v>11</v>
          </cell>
          <cell r="AJ82">
            <v>0</v>
          </cell>
          <cell r="AK82">
            <v>0</v>
          </cell>
          <cell r="AL82">
            <v>0</v>
          </cell>
          <cell r="AM82">
            <v>0</v>
          </cell>
          <cell r="AN82">
            <v>19</v>
          </cell>
          <cell r="AO82">
            <v>0</v>
          </cell>
          <cell r="AP82">
            <v>0</v>
          </cell>
          <cell r="AQ82">
            <v>0</v>
          </cell>
          <cell r="AR82">
            <v>0</v>
          </cell>
          <cell r="AS82">
            <v>4</v>
          </cell>
          <cell r="AT82">
            <v>1</v>
          </cell>
          <cell r="AU82">
            <v>1</v>
          </cell>
          <cell r="AV82">
            <v>1</v>
          </cell>
          <cell r="AW82">
            <v>1</v>
          </cell>
          <cell r="AX82">
            <v>1</v>
          </cell>
          <cell r="AY82">
            <v>1</v>
          </cell>
          <cell r="AZ82">
            <v>1</v>
          </cell>
          <cell r="BA82">
            <v>1</v>
          </cell>
          <cell r="BB82">
            <v>1</v>
          </cell>
        </row>
        <row r="83">
          <cell r="B83" t="str">
            <v>Depreciation &amp; amortization add-back</v>
          </cell>
          <cell r="C83" t="str">
            <v>DEPR_AMORT</v>
          </cell>
          <cell r="D83" t="str">
            <v>EUR</v>
          </cell>
          <cell r="F83">
            <v>1540</v>
          </cell>
          <cell r="G83">
            <v>3560</v>
          </cell>
          <cell r="H83">
            <v>2768</v>
          </cell>
          <cell r="I83">
            <v>2375</v>
          </cell>
          <cell r="J83">
            <v>1621</v>
          </cell>
          <cell r="K83">
            <v>0</v>
          </cell>
          <cell r="L83">
            <v>0</v>
          </cell>
          <cell r="M83">
            <v>0</v>
          </cell>
          <cell r="N83">
            <v>0</v>
          </cell>
          <cell r="O83">
            <v>1653</v>
          </cell>
          <cell r="P83">
            <v>0</v>
          </cell>
          <cell r="Q83">
            <v>0</v>
          </cell>
          <cell r="R83">
            <v>0</v>
          </cell>
          <cell r="S83">
            <v>0</v>
          </cell>
          <cell r="T83">
            <v>1691</v>
          </cell>
          <cell r="U83">
            <v>0</v>
          </cell>
          <cell r="V83">
            <v>0</v>
          </cell>
          <cell r="W83">
            <v>0</v>
          </cell>
          <cell r="X83">
            <v>0</v>
          </cell>
          <cell r="Y83">
            <v>1772</v>
          </cell>
          <cell r="Z83">
            <v>0</v>
          </cell>
          <cell r="AA83">
            <v>0</v>
          </cell>
          <cell r="AB83">
            <v>0</v>
          </cell>
          <cell r="AC83">
            <v>0</v>
          </cell>
          <cell r="AD83">
            <v>1667</v>
          </cell>
          <cell r="AE83">
            <v>0</v>
          </cell>
          <cell r="AF83">
            <v>0</v>
          </cell>
          <cell r="AG83">
            <v>0</v>
          </cell>
          <cell r="AH83">
            <v>0</v>
          </cell>
          <cell r="AI83">
            <v>1826</v>
          </cell>
          <cell r="AJ83">
            <v>0</v>
          </cell>
          <cell r="AK83">
            <v>0</v>
          </cell>
          <cell r="AL83">
            <v>0</v>
          </cell>
          <cell r="AM83">
            <v>0</v>
          </cell>
          <cell r="AN83">
            <v>1582</v>
          </cell>
          <cell r="AO83">
            <v>0</v>
          </cell>
          <cell r="AP83">
            <v>0</v>
          </cell>
          <cell r="AQ83">
            <v>0</v>
          </cell>
          <cell r="AR83">
            <v>0</v>
          </cell>
          <cell r="AS83">
            <v>1884</v>
          </cell>
          <cell r="AT83">
            <v>2053</v>
          </cell>
          <cell r="AU83">
            <v>2152.4776998451239</v>
          </cell>
          <cell r="AV83">
            <v>2263.8756470150324</v>
          </cell>
          <cell r="AW83">
            <v>2430.2668586724658</v>
          </cell>
          <cell r="AX83">
            <v>2648.5473961250696</v>
          </cell>
          <cell r="AY83">
            <v>2771.1891123553883</v>
          </cell>
          <cell r="AZ83">
            <v>2868.2387598587175</v>
          </cell>
          <cell r="BA83">
            <v>3056.4419776872401</v>
          </cell>
          <cell r="BB83">
            <v>3243.6400244229676</v>
          </cell>
        </row>
        <row r="84">
          <cell r="B84" t="str">
            <v>(Increase)/decrease in working capital</v>
          </cell>
          <cell r="C84" t="str">
            <v>WORK_CAP</v>
          </cell>
          <cell r="D84" t="str">
            <v>EUR</v>
          </cell>
          <cell r="F84">
            <v>1460</v>
          </cell>
          <cell r="G84">
            <v>2</v>
          </cell>
          <cell r="H84">
            <v>804</v>
          </cell>
          <cell r="I84">
            <v>2019</v>
          </cell>
          <cell r="J84">
            <v>2155</v>
          </cell>
          <cell r="K84">
            <v>0</v>
          </cell>
          <cell r="L84">
            <v>0</v>
          </cell>
          <cell r="M84">
            <v>0</v>
          </cell>
          <cell r="N84">
            <v>0</v>
          </cell>
          <cell r="O84">
            <v>1239</v>
          </cell>
          <cell r="P84">
            <v>0</v>
          </cell>
          <cell r="Q84">
            <v>0</v>
          </cell>
          <cell r="R84">
            <v>0</v>
          </cell>
          <cell r="S84">
            <v>0</v>
          </cell>
          <cell r="T84">
            <v>-143</v>
          </cell>
          <cell r="U84">
            <v>0</v>
          </cell>
          <cell r="V84">
            <v>0</v>
          </cell>
          <cell r="W84">
            <v>0</v>
          </cell>
          <cell r="X84">
            <v>0</v>
          </cell>
          <cell r="Y84">
            <v>1175</v>
          </cell>
          <cell r="Z84">
            <v>0</v>
          </cell>
          <cell r="AA84">
            <v>0</v>
          </cell>
          <cell r="AB84">
            <v>0</v>
          </cell>
          <cell r="AC84">
            <v>0</v>
          </cell>
          <cell r="AD84">
            <v>155</v>
          </cell>
          <cell r="AE84">
            <v>0</v>
          </cell>
          <cell r="AF84">
            <v>0</v>
          </cell>
          <cell r="AG84">
            <v>0</v>
          </cell>
          <cell r="AH84">
            <v>0</v>
          </cell>
          <cell r="AI84">
            <v>421</v>
          </cell>
          <cell r="AJ84">
            <v>0</v>
          </cell>
          <cell r="AK84">
            <v>0</v>
          </cell>
          <cell r="AL84">
            <v>0</v>
          </cell>
          <cell r="AM84">
            <v>0</v>
          </cell>
          <cell r="AN84">
            <v>2756</v>
          </cell>
          <cell r="AO84">
            <v>0</v>
          </cell>
          <cell r="AP84">
            <v>0</v>
          </cell>
          <cell r="AQ84">
            <v>0</v>
          </cell>
          <cell r="AR84">
            <v>0</v>
          </cell>
          <cell r="AS84">
            <v>1251</v>
          </cell>
          <cell r="AT84">
            <v>70</v>
          </cell>
          <cell r="AU84">
            <v>-4193.9440686837606</v>
          </cell>
          <cell r="AV84">
            <v>-1345.0985485238007</v>
          </cell>
          <cell r="AW84">
            <v>-808.60796367283001</v>
          </cell>
          <cell r="AX84">
            <v>-817.54413404158822</v>
          </cell>
          <cell r="AY84">
            <v>-819.88501173802979</v>
          </cell>
          <cell r="AZ84">
            <v>-583.69668866923712</v>
          </cell>
          <cell r="BA84">
            <v>-333.78750560952903</v>
          </cell>
          <cell r="BB84">
            <v>1016.2476685828697</v>
          </cell>
        </row>
        <row r="85">
          <cell r="B85" t="str">
            <v>Other operating cash flow items</v>
          </cell>
          <cell r="C85" t="str">
            <v>OTH_OP_CF</v>
          </cell>
          <cell r="D85" t="str">
            <v>EUR</v>
          </cell>
          <cell r="F85">
            <v>-34</v>
          </cell>
          <cell r="G85">
            <v>-1601</v>
          </cell>
          <cell r="H85">
            <v>-1731</v>
          </cell>
          <cell r="I85">
            <v>-616</v>
          </cell>
          <cell r="J85">
            <v>-135</v>
          </cell>
          <cell r="K85">
            <v>0</v>
          </cell>
          <cell r="L85">
            <v>0</v>
          </cell>
          <cell r="M85">
            <v>0</v>
          </cell>
          <cell r="N85">
            <v>0</v>
          </cell>
          <cell r="O85">
            <v>412</v>
          </cell>
          <cell r="P85">
            <v>0</v>
          </cell>
          <cell r="Q85">
            <v>0</v>
          </cell>
          <cell r="R85">
            <v>0</v>
          </cell>
          <cell r="S85">
            <v>0</v>
          </cell>
          <cell r="T85">
            <v>-362</v>
          </cell>
          <cell r="U85">
            <v>0</v>
          </cell>
          <cell r="V85">
            <v>0</v>
          </cell>
          <cell r="W85">
            <v>0</v>
          </cell>
          <cell r="X85">
            <v>0</v>
          </cell>
          <cell r="Y85">
            <v>-987</v>
          </cell>
          <cell r="Z85">
            <v>0</v>
          </cell>
          <cell r="AA85">
            <v>0</v>
          </cell>
          <cell r="AB85">
            <v>0</v>
          </cell>
          <cell r="AC85">
            <v>0</v>
          </cell>
          <cell r="AD85">
            <v>439</v>
          </cell>
          <cell r="AE85">
            <v>0</v>
          </cell>
          <cell r="AF85">
            <v>0</v>
          </cell>
          <cell r="AG85">
            <v>0</v>
          </cell>
          <cell r="AH85">
            <v>0</v>
          </cell>
          <cell r="AI85">
            <v>-1568</v>
          </cell>
          <cell r="AJ85">
            <v>0</v>
          </cell>
          <cell r="AK85">
            <v>0</v>
          </cell>
          <cell r="AL85">
            <v>0</v>
          </cell>
          <cell r="AM85">
            <v>0</v>
          </cell>
          <cell r="AN85">
            <v>-588</v>
          </cell>
          <cell r="AO85">
            <v>0</v>
          </cell>
          <cell r="AP85">
            <v>0</v>
          </cell>
          <cell r="AQ85">
            <v>0</v>
          </cell>
          <cell r="AR85">
            <v>0</v>
          </cell>
          <cell r="AS85">
            <v>-36</v>
          </cell>
          <cell r="AT85">
            <v>-87</v>
          </cell>
          <cell r="AU85">
            <v>517.61328558388641</v>
          </cell>
          <cell r="AV85">
            <v>201.91600059828988</v>
          </cell>
          <cell r="AW85">
            <v>-18.836583013866402</v>
          </cell>
          <cell r="AX85">
            <v>-128.21321266945097</v>
          </cell>
          <cell r="AY85">
            <v>157.05658846132474</v>
          </cell>
          <cell r="AZ85">
            <v>526.56560729362263</v>
          </cell>
          <cell r="BA85">
            <v>774.75417903025118</v>
          </cell>
          <cell r="BB85">
            <v>954.86177401609757</v>
          </cell>
        </row>
        <row r="86">
          <cell r="B86" t="str">
            <v>Cash flow from operating activities</v>
          </cell>
          <cell r="C86" t="str">
            <v>CF_OPS</v>
          </cell>
          <cell r="D86" t="str">
            <v>EUR</v>
          </cell>
          <cell r="F86">
            <v>3159</v>
          </cell>
          <cell r="G86">
            <v>2656</v>
          </cell>
          <cell r="H86">
            <v>2666</v>
          </cell>
          <cell r="I86">
            <v>4709</v>
          </cell>
          <cell r="J86">
            <v>5013</v>
          </cell>
          <cell r="K86">
            <v>0</v>
          </cell>
          <cell r="L86">
            <v>0</v>
          </cell>
          <cell r="M86">
            <v>0</v>
          </cell>
          <cell r="N86">
            <v>0</v>
          </cell>
          <cell r="O86">
            <v>5107</v>
          </cell>
          <cell r="P86">
            <v>0</v>
          </cell>
          <cell r="Q86">
            <v>0</v>
          </cell>
          <cell r="R86">
            <v>0</v>
          </cell>
          <cell r="S86">
            <v>0</v>
          </cell>
          <cell r="T86">
            <v>4558</v>
          </cell>
          <cell r="U86">
            <v>0</v>
          </cell>
          <cell r="V86">
            <v>0</v>
          </cell>
          <cell r="W86">
            <v>0</v>
          </cell>
          <cell r="X86">
            <v>0</v>
          </cell>
          <cell r="Y86">
            <v>5098</v>
          </cell>
          <cell r="Z86">
            <v>0</v>
          </cell>
          <cell r="AA86">
            <v>0</v>
          </cell>
          <cell r="AB86">
            <v>0</v>
          </cell>
          <cell r="AC86">
            <v>0</v>
          </cell>
          <cell r="AD86">
            <v>4399</v>
          </cell>
          <cell r="AE86">
            <v>0</v>
          </cell>
          <cell r="AF86">
            <v>0</v>
          </cell>
          <cell r="AG86">
            <v>0</v>
          </cell>
          <cell r="AH86">
            <v>0</v>
          </cell>
          <cell r="AI86">
            <v>2438</v>
          </cell>
          <cell r="AJ86">
            <v>0</v>
          </cell>
          <cell r="AK86">
            <v>0</v>
          </cell>
          <cell r="AL86">
            <v>0</v>
          </cell>
          <cell r="AM86">
            <v>0</v>
          </cell>
          <cell r="AN86">
            <v>4443</v>
          </cell>
          <cell r="AO86">
            <v>0</v>
          </cell>
          <cell r="AP86">
            <v>0</v>
          </cell>
          <cell r="AQ86">
            <v>0</v>
          </cell>
          <cell r="AR86">
            <v>0</v>
          </cell>
          <cell r="AS86">
            <v>4289</v>
          </cell>
          <cell r="AT86">
            <v>3840</v>
          </cell>
          <cell r="AU86">
            <v>947.81717882086377</v>
          </cell>
          <cell r="AV86">
            <v>4077.4746669035167</v>
          </cell>
          <cell r="AW86">
            <v>4966.0016065789405</v>
          </cell>
          <cell r="AX86">
            <v>5509.8203186290839</v>
          </cell>
          <cell r="AY86">
            <v>6215.7712806849231</v>
          </cell>
          <cell r="AZ86">
            <v>7083.2707042710854</v>
          </cell>
          <cell r="BA86">
            <v>8671.1588566940009</v>
          </cell>
          <cell r="BB86">
            <v>11247.743988541859</v>
          </cell>
        </row>
        <row r="87">
          <cell r="B87" t="str">
            <v>Capital expenditures, Capex</v>
          </cell>
          <cell r="C87" t="str">
            <v>CAPEX</v>
          </cell>
          <cell r="D87" t="str">
            <v>EUR</v>
          </cell>
          <cell r="F87">
            <v>-1215</v>
          </cell>
          <cell r="G87">
            <v>-1636</v>
          </cell>
          <cell r="H87">
            <v>-3018</v>
          </cell>
          <cell r="I87">
            <v>-3599</v>
          </cell>
          <cell r="J87">
            <v>-3299</v>
          </cell>
          <cell r="K87">
            <v>0</v>
          </cell>
          <cell r="L87">
            <v>0</v>
          </cell>
          <cell r="M87">
            <v>0</v>
          </cell>
          <cell r="N87">
            <v>0</v>
          </cell>
          <cell r="O87">
            <v>-2652</v>
          </cell>
          <cell r="P87">
            <v>0</v>
          </cell>
          <cell r="Q87">
            <v>0</v>
          </cell>
          <cell r="R87">
            <v>0</v>
          </cell>
          <cell r="S87">
            <v>0</v>
          </cell>
          <cell r="T87">
            <v>-2632</v>
          </cell>
          <cell r="U87">
            <v>0</v>
          </cell>
          <cell r="V87">
            <v>0</v>
          </cell>
          <cell r="W87">
            <v>0</v>
          </cell>
          <cell r="X87">
            <v>0</v>
          </cell>
          <cell r="Y87">
            <v>-1866</v>
          </cell>
          <cell r="Z87">
            <v>0</v>
          </cell>
          <cell r="AA87">
            <v>0</v>
          </cell>
          <cell r="AB87">
            <v>0</v>
          </cell>
          <cell r="AC87">
            <v>0</v>
          </cell>
          <cell r="AD87">
            <v>-1802</v>
          </cell>
          <cell r="AE87">
            <v>0</v>
          </cell>
          <cell r="AF87">
            <v>0</v>
          </cell>
          <cell r="AG87">
            <v>0</v>
          </cell>
          <cell r="AH87">
            <v>0</v>
          </cell>
          <cell r="AI87">
            <v>-1882</v>
          </cell>
          <cell r="AJ87">
            <v>0</v>
          </cell>
          <cell r="AK87">
            <v>0</v>
          </cell>
          <cell r="AL87">
            <v>0</v>
          </cell>
          <cell r="AM87">
            <v>0</v>
          </cell>
          <cell r="AN87">
            <v>-2205</v>
          </cell>
          <cell r="AO87">
            <v>0</v>
          </cell>
          <cell r="AP87">
            <v>0</v>
          </cell>
          <cell r="AQ87">
            <v>0</v>
          </cell>
          <cell r="AR87">
            <v>0</v>
          </cell>
          <cell r="AS87">
            <v>-2118</v>
          </cell>
          <cell r="AT87">
            <v>-3197</v>
          </cell>
          <cell r="AU87">
            <v>-2870.3257310213367</v>
          </cell>
          <cell r="AV87">
            <v>-3018.8747237322718</v>
          </cell>
          <cell r="AW87">
            <v>-3240.7571507931953</v>
          </cell>
          <cell r="AX87">
            <v>-3531.8339146901944</v>
          </cell>
          <cell r="AY87">
            <v>-3695.3764563006507</v>
          </cell>
          <cell r="AZ87">
            <v>-3824.7920132819845</v>
          </cell>
          <cell r="BA87">
            <v>-4075.7607173169158</v>
          </cell>
          <cell r="BB87">
            <v>-4325.389027232116</v>
          </cell>
        </row>
        <row r="88">
          <cell r="B88" t="str">
            <v>Acquisitions</v>
          </cell>
          <cell r="C88" t="str">
            <v>ACQ</v>
          </cell>
          <cell r="D88" t="str">
            <v>EUR</v>
          </cell>
          <cell r="F88">
            <v>-600</v>
          </cell>
          <cell r="G88">
            <v>-1096</v>
          </cell>
          <cell r="H88">
            <v>-19</v>
          </cell>
          <cell r="I88">
            <v>-92</v>
          </cell>
          <cell r="J88">
            <v>-100</v>
          </cell>
          <cell r="K88">
            <v>0</v>
          </cell>
          <cell r="L88">
            <v>0</v>
          </cell>
          <cell r="M88">
            <v>0</v>
          </cell>
          <cell r="N88">
            <v>0</v>
          </cell>
          <cell r="O88">
            <v>-131</v>
          </cell>
          <cell r="P88">
            <v>0</v>
          </cell>
          <cell r="Q88">
            <v>0</v>
          </cell>
          <cell r="R88">
            <v>0</v>
          </cell>
          <cell r="S88">
            <v>0</v>
          </cell>
          <cell r="T88">
            <v>-82</v>
          </cell>
          <cell r="U88">
            <v>0</v>
          </cell>
          <cell r="V88">
            <v>0</v>
          </cell>
          <cell r="W88">
            <v>0</v>
          </cell>
          <cell r="X88">
            <v>0</v>
          </cell>
          <cell r="Y88">
            <v>0</v>
          </cell>
          <cell r="Z88">
            <v>0</v>
          </cell>
          <cell r="AA88">
            <v>0</v>
          </cell>
          <cell r="AB88">
            <v>0</v>
          </cell>
          <cell r="AC88">
            <v>0</v>
          </cell>
          <cell r="AD88">
            <v>-265</v>
          </cell>
          <cell r="AE88">
            <v>0</v>
          </cell>
          <cell r="AF88">
            <v>0</v>
          </cell>
          <cell r="AG88">
            <v>0</v>
          </cell>
          <cell r="AH88">
            <v>0</v>
          </cell>
          <cell r="AI88">
            <v>-21</v>
          </cell>
          <cell r="AJ88">
            <v>0</v>
          </cell>
          <cell r="AK88">
            <v>0</v>
          </cell>
          <cell r="AL88">
            <v>0</v>
          </cell>
          <cell r="AM88">
            <v>0</v>
          </cell>
          <cell r="AN88">
            <v>-38</v>
          </cell>
          <cell r="AO88">
            <v>0</v>
          </cell>
          <cell r="AP88">
            <v>0</v>
          </cell>
          <cell r="AQ88">
            <v>0</v>
          </cell>
          <cell r="AR88">
            <v>0</v>
          </cell>
          <cell r="AS88">
            <v>-1535</v>
          </cell>
          <cell r="AT88">
            <v>-201</v>
          </cell>
          <cell r="AU88">
            <v>0</v>
          </cell>
          <cell r="AV88">
            <v>0</v>
          </cell>
          <cell r="AW88">
            <v>0</v>
          </cell>
          <cell r="AX88">
            <v>0</v>
          </cell>
          <cell r="AY88">
            <v>0</v>
          </cell>
          <cell r="AZ88">
            <v>0</v>
          </cell>
          <cell r="BA88">
            <v>0</v>
          </cell>
          <cell r="BB88">
            <v>0</v>
          </cell>
        </row>
        <row r="89">
          <cell r="B89" t="str">
            <v>Divestitures</v>
          </cell>
          <cell r="C89" t="str">
            <v>DIVEST</v>
          </cell>
          <cell r="D89" t="str">
            <v>EUR</v>
          </cell>
          <cell r="F89">
            <v>187</v>
          </cell>
          <cell r="G89">
            <v>850</v>
          </cell>
          <cell r="H89">
            <v>84</v>
          </cell>
          <cell r="I89">
            <v>32</v>
          </cell>
          <cell r="J89">
            <v>0</v>
          </cell>
          <cell r="K89">
            <v>0</v>
          </cell>
          <cell r="L89">
            <v>0</v>
          </cell>
          <cell r="M89">
            <v>0</v>
          </cell>
          <cell r="N89">
            <v>0</v>
          </cell>
          <cell r="O89">
            <v>89</v>
          </cell>
          <cell r="P89">
            <v>0</v>
          </cell>
          <cell r="Q89">
            <v>0</v>
          </cell>
          <cell r="R89">
            <v>0</v>
          </cell>
          <cell r="S89">
            <v>0</v>
          </cell>
          <cell r="T89">
            <v>86</v>
          </cell>
          <cell r="U89">
            <v>0</v>
          </cell>
          <cell r="V89">
            <v>0</v>
          </cell>
          <cell r="W89">
            <v>0</v>
          </cell>
          <cell r="X89">
            <v>0</v>
          </cell>
          <cell r="Y89">
            <v>29</v>
          </cell>
          <cell r="Z89">
            <v>0</v>
          </cell>
          <cell r="AA89">
            <v>0</v>
          </cell>
          <cell r="AB89">
            <v>0</v>
          </cell>
          <cell r="AC89">
            <v>0</v>
          </cell>
          <cell r="AD89">
            <v>2</v>
          </cell>
          <cell r="AE89">
            <v>0</v>
          </cell>
          <cell r="AF89">
            <v>0</v>
          </cell>
          <cell r="AG89">
            <v>0</v>
          </cell>
          <cell r="AH89">
            <v>0</v>
          </cell>
          <cell r="AI89">
            <v>13</v>
          </cell>
          <cell r="AJ89">
            <v>0</v>
          </cell>
          <cell r="AK89">
            <v>0</v>
          </cell>
          <cell r="AL89">
            <v>0</v>
          </cell>
          <cell r="AM89">
            <v>0</v>
          </cell>
          <cell r="AN89">
            <v>12</v>
          </cell>
          <cell r="AO89">
            <v>0</v>
          </cell>
          <cell r="AP89">
            <v>0</v>
          </cell>
          <cell r="AQ89">
            <v>0</v>
          </cell>
          <cell r="AR89">
            <v>0</v>
          </cell>
          <cell r="AS89">
            <v>18</v>
          </cell>
          <cell r="AT89">
            <v>0</v>
          </cell>
          <cell r="AU89">
            <v>0</v>
          </cell>
          <cell r="AV89">
            <v>0</v>
          </cell>
          <cell r="AW89">
            <v>0</v>
          </cell>
          <cell r="AX89">
            <v>0</v>
          </cell>
          <cell r="AY89">
            <v>0</v>
          </cell>
          <cell r="AZ89">
            <v>0</v>
          </cell>
          <cell r="BA89">
            <v>0</v>
          </cell>
          <cell r="BB89">
            <v>0</v>
          </cell>
        </row>
        <row r="90">
          <cell r="B90" t="str">
            <v>Other investing cash flow items</v>
          </cell>
          <cell r="C90" t="str">
            <v>OTH_INV_CF</v>
          </cell>
          <cell r="D90" t="str">
            <v>EUR</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3395</v>
          </cell>
          <cell r="U90">
            <v>0</v>
          </cell>
          <cell r="V90">
            <v>0</v>
          </cell>
          <cell r="W90">
            <v>0</v>
          </cell>
          <cell r="X90">
            <v>0</v>
          </cell>
          <cell r="Y90">
            <v>-3100</v>
          </cell>
          <cell r="Z90">
            <v>0</v>
          </cell>
          <cell r="AA90">
            <v>0</v>
          </cell>
          <cell r="AB90">
            <v>0</v>
          </cell>
          <cell r="AC90">
            <v>0</v>
          </cell>
          <cell r="AD90">
            <v>-2887</v>
          </cell>
          <cell r="AE90">
            <v>0</v>
          </cell>
          <cell r="AF90">
            <v>0</v>
          </cell>
          <cell r="AG90">
            <v>0</v>
          </cell>
          <cell r="AH90">
            <v>0</v>
          </cell>
          <cell r="AI90">
            <v>-957</v>
          </cell>
          <cell r="AJ90">
            <v>0</v>
          </cell>
          <cell r="AK90">
            <v>0</v>
          </cell>
          <cell r="AL90">
            <v>0</v>
          </cell>
          <cell r="AM90">
            <v>0</v>
          </cell>
          <cell r="AN90">
            <v>-3205</v>
          </cell>
          <cell r="AO90">
            <v>0</v>
          </cell>
          <cell r="AP90">
            <v>0</v>
          </cell>
          <cell r="AQ90">
            <v>0</v>
          </cell>
          <cell r="AR90">
            <v>0</v>
          </cell>
          <cell r="AS90">
            <v>-563</v>
          </cell>
          <cell r="AT90">
            <v>3372</v>
          </cell>
          <cell r="AU90">
            <v>0</v>
          </cell>
          <cell r="AV90">
            <v>0</v>
          </cell>
          <cell r="AW90">
            <v>0</v>
          </cell>
          <cell r="AX90">
            <v>0</v>
          </cell>
          <cell r="AY90">
            <v>0</v>
          </cell>
          <cell r="AZ90">
            <v>0</v>
          </cell>
          <cell r="BA90">
            <v>0</v>
          </cell>
          <cell r="BB90">
            <v>0</v>
          </cell>
          <cell r="BC90" t="str">
            <v>CH: Large adjustment tends to be investments in securities (hedging)</v>
          </cell>
        </row>
        <row r="91">
          <cell r="B91" t="str">
            <v>Cash flow from investing</v>
          </cell>
          <cell r="C91" t="str">
            <v>CF_INV</v>
          </cell>
          <cell r="D91" t="str">
            <v>EUR</v>
          </cell>
          <cell r="F91">
            <v>-1628</v>
          </cell>
          <cell r="G91">
            <v>-1882</v>
          </cell>
          <cell r="H91">
            <v>-2953</v>
          </cell>
          <cell r="I91">
            <v>-3659</v>
          </cell>
          <cell r="J91">
            <v>-3399</v>
          </cell>
          <cell r="K91">
            <v>0</v>
          </cell>
          <cell r="L91">
            <v>0</v>
          </cell>
          <cell r="M91">
            <v>0</v>
          </cell>
          <cell r="N91">
            <v>0</v>
          </cell>
          <cell r="O91">
            <v>-2694</v>
          </cell>
          <cell r="P91">
            <v>0</v>
          </cell>
          <cell r="Q91">
            <v>0</v>
          </cell>
          <cell r="R91">
            <v>0</v>
          </cell>
          <cell r="S91">
            <v>0</v>
          </cell>
          <cell r="T91">
            <v>767</v>
          </cell>
          <cell r="U91">
            <v>0</v>
          </cell>
          <cell r="V91">
            <v>0</v>
          </cell>
          <cell r="W91">
            <v>0</v>
          </cell>
          <cell r="X91">
            <v>0</v>
          </cell>
          <cell r="Y91">
            <v>-4937</v>
          </cell>
          <cell r="Z91">
            <v>0</v>
          </cell>
          <cell r="AA91">
            <v>0</v>
          </cell>
          <cell r="AB91">
            <v>0</v>
          </cell>
          <cell r="AC91">
            <v>0</v>
          </cell>
          <cell r="AD91">
            <v>-4952</v>
          </cell>
          <cell r="AE91">
            <v>0</v>
          </cell>
          <cell r="AF91">
            <v>0</v>
          </cell>
          <cell r="AG91">
            <v>0</v>
          </cell>
          <cell r="AH91">
            <v>0</v>
          </cell>
          <cell r="AI91">
            <v>-2847</v>
          </cell>
          <cell r="AJ91">
            <v>0</v>
          </cell>
          <cell r="AK91">
            <v>0</v>
          </cell>
          <cell r="AL91">
            <v>0</v>
          </cell>
          <cell r="AM91">
            <v>0</v>
          </cell>
          <cell r="AN91">
            <v>-5436</v>
          </cell>
          <cell r="AO91">
            <v>0</v>
          </cell>
          <cell r="AP91">
            <v>0</v>
          </cell>
          <cell r="AQ91">
            <v>0</v>
          </cell>
          <cell r="AR91">
            <v>0</v>
          </cell>
          <cell r="AS91">
            <v>-4198</v>
          </cell>
          <cell r="AT91">
            <v>-26</v>
          </cell>
          <cell r="AU91">
            <v>-2870.3257310213367</v>
          </cell>
          <cell r="AV91">
            <v>-3018.8747237322718</v>
          </cell>
          <cell r="AW91">
            <v>-3240.7571507931953</v>
          </cell>
          <cell r="AX91">
            <v>-3531.8339146901944</v>
          </cell>
          <cell r="AY91">
            <v>-3695.3764563006507</v>
          </cell>
          <cell r="AZ91">
            <v>-3824.7920132819845</v>
          </cell>
          <cell r="BA91">
            <v>-4075.7607173169158</v>
          </cell>
          <cell r="BB91">
            <v>-4325.389027232116</v>
          </cell>
        </row>
        <row r="92">
          <cell r="B92" t="str">
            <v>Dividends paid</v>
          </cell>
          <cell r="C92" t="str">
            <v>DIV_PAID</v>
          </cell>
          <cell r="D92" t="str">
            <v>EUR</v>
          </cell>
          <cell r="F92">
            <v>-31</v>
          </cell>
          <cell r="G92">
            <v>-404</v>
          </cell>
          <cell r="H92">
            <v>-403</v>
          </cell>
          <cell r="I92">
            <v>-240</v>
          </cell>
          <cell r="J92">
            <v>-320</v>
          </cell>
          <cell r="K92">
            <v>0</v>
          </cell>
          <cell r="L92">
            <v>0</v>
          </cell>
          <cell r="M92">
            <v>0</v>
          </cell>
          <cell r="N92">
            <v>0</v>
          </cell>
          <cell r="O92">
            <v>-396</v>
          </cell>
          <cell r="P92">
            <v>0</v>
          </cell>
          <cell r="Q92">
            <v>0</v>
          </cell>
          <cell r="R92">
            <v>0</v>
          </cell>
          <cell r="S92">
            <v>0</v>
          </cell>
          <cell r="T92">
            <v>-520</v>
          </cell>
          <cell r="U92">
            <v>0</v>
          </cell>
          <cell r="V92">
            <v>0</v>
          </cell>
          <cell r="W92">
            <v>0</v>
          </cell>
          <cell r="X92">
            <v>0</v>
          </cell>
          <cell r="Y92">
            <v>-97</v>
          </cell>
          <cell r="Z92">
            <v>0</v>
          </cell>
          <cell r="AA92">
            <v>0</v>
          </cell>
          <cell r="AB92">
            <v>0</v>
          </cell>
          <cell r="AC92">
            <v>0</v>
          </cell>
          <cell r="AD92">
            <v>-97</v>
          </cell>
          <cell r="AE92">
            <v>0</v>
          </cell>
          <cell r="AF92">
            <v>0</v>
          </cell>
          <cell r="AG92">
            <v>0</v>
          </cell>
          <cell r="AH92">
            <v>0</v>
          </cell>
          <cell r="AI92">
            <v>-162</v>
          </cell>
          <cell r="AJ92">
            <v>0</v>
          </cell>
          <cell r="AK92">
            <v>0</v>
          </cell>
          <cell r="AL92">
            <v>0</v>
          </cell>
          <cell r="AM92">
            <v>0</v>
          </cell>
          <cell r="AN92">
            <v>0</v>
          </cell>
          <cell r="AO92">
            <v>0</v>
          </cell>
          <cell r="AP92">
            <v>0</v>
          </cell>
          <cell r="AQ92">
            <v>0</v>
          </cell>
          <cell r="AR92">
            <v>0</v>
          </cell>
          <cell r="AS92">
            <v>-178</v>
          </cell>
          <cell r="AT92">
            <v>-369</v>
          </cell>
          <cell r="AU92">
            <v>-460.81285379999997</v>
          </cell>
          <cell r="AV92">
            <v>-506.89413918000002</v>
          </cell>
          <cell r="AW92">
            <v>-557.58355309800004</v>
          </cell>
          <cell r="AX92">
            <v>-613.34190840780013</v>
          </cell>
          <cell r="AY92">
            <v>-674.67609924858016</v>
          </cell>
          <cell r="AZ92">
            <v>-742.14370917343831</v>
          </cell>
          <cell r="BA92">
            <v>-816.3580800907821</v>
          </cell>
          <cell r="BB92">
            <v>-897.99388809986044</v>
          </cell>
        </row>
        <row r="93">
          <cell r="B93" t="str">
            <v>Common stock issuance/(repurchase)</v>
          </cell>
          <cell r="C93" t="str">
            <v>SH_REPUR</v>
          </cell>
          <cell r="D93" t="str">
            <v>EUR</v>
          </cell>
          <cell r="F93">
            <v>1540</v>
          </cell>
          <cell r="G93">
            <v>21</v>
          </cell>
          <cell r="H93">
            <v>-140</v>
          </cell>
          <cell r="I93">
            <v>-10</v>
          </cell>
          <cell r="J93">
            <v>124</v>
          </cell>
          <cell r="K93">
            <v>0</v>
          </cell>
          <cell r="L93">
            <v>0</v>
          </cell>
          <cell r="M93">
            <v>0</v>
          </cell>
          <cell r="N93">
            <v>0</v>
          </cell>
          <cell r="O93">
            <v>-101</v>
          </cell>
          <cell r="P93">
            <v>0</v>
          </cell>
          <cell r="Q93">
            <v>0</v>
          </cell>
          <cell r="R93">
            <v>0</v>
          </cell>
          <cell r="S93">
            <v>0</v>
          </cell>
          <cell r="T93">
            <v>-35</v>
          </cell>
          <cell r="U93">
            <v>0</v>
          </cell>
          <cell r="V93">
            <v>0</v>
          </cell>
          <cell r="W93">
            <v>0</v>
          </cell>
          <cell r="X93">
            <v>0</v>
          </cell>
          <cell r="Y93">
            <v>0</v>
          </cell>
          <cell r="Z93">
            <v>0</v>
          </cell>
          <cell r="AA93">
            <v>0</v>
          </cell>
          <cell r="AB93">
            <v>0</v>
          </cell>
          <cell r="AC93">
            <v>0</v>
          </cell>
          <cell r="AD93">
            <v>39</v>
          </cell>
          <cell r="AE93">
            <v>0</v>
          </cell>
          <cell r="AF93">
            <v>0</v>
          </cell>
          <cell r="AG93">
            <v>0</v>
          </cell>
          <cell r="AH93">
            <v>0</v>
          </cell>
          <cell r="AI93">
            <v>-5</v>
          </cell>
          <cell r="AJ93">
            <v>0</v>
          </cell>
          <cell r="AK93">
            <v>0</v>
          </cell>
          <cell r="AL93">
            <v>0</v>
          </cell>
          <cell r="AM93">
            <v>0</v>
          </cell>
          <cell r="AN93">
            <v>-3</v>
          </cell>
          <cell r="AO93">
            <v>0</v>
          </cell>
          <cell r="AP93">
            <v>0</v>
          </cell>
          <cell r="AQ93">
            <v>0</v>
          </cell>
          <cell r="AR93">
            <v>0</v>
          </cell>
          <cell r="AS93">
            <v>-1</v>
          </cell>
          <cell r="AT93">
            <v>-5</v>
          </cell>
          <cell r="AU93">
            <v>0</v>
          </cell>
          <cell r="AV93">
            <v>0</v>
          </cell>
          <cell r="AW93">
            <v>0</v>
          </cell>
          <cell r="AX93">
            <v>0</v>
          </cell>
          <cell r="AY93">
            <v>0</v>
          </cell>
          <cell r="AZ93">
            <v>0</v>
          </cell>
          <cell r="BA93">
            <v>0</v>
          </cell>
          <cell r="BB93">
            <v>0</v>
          </cell>
        </row>
        <row r="94">
          <cell r="B94" t="str">
            <v>Increase/(decrease) in total debt</v>
          </cell>
          <cell r="C94" t="str">
            <v>CHG_LT_DEBT</v>
          </cell>
          <cell r="D94" t="str">
            <v>EUR</v>
          </cell>
          <cell r="F94">
            <v>0</v>
          </cell>
          <cell r="G94">
            <v>721</v>
          </cell>
          <cell r="H94">
            <v>-1524</v>
          </cell>
          <cell r="I94">
            <v>-209</v>
          </cell>
          <cell r="J94">
            <v>359</v>
          </cell>
          <cell r="K94">
            <v>0</v>
          </cell>
          <cell r="L94">
            <v>0</v>
          </cell>
          <cell r="M94">
            <v>0</v>
          </cell>
          <cell r="N94">
            <v>0</v>
          </cell>
          <cell r="O94">
            <v>-29</v>
          </cell>
          <cell r="P94">
            <v>0</v>
          </cell>
          <cell r="Q94">
            <v>0</v>
          </cell>
          <cell r="R94">
            <v>0</v>
          </cell>
          <cell r="S94">
            <v>0</v>
          </cell>
          <cell r="T94">
            <v>845</v>
          </cell>
          <cell r="U94">
            <v>0</v>
          </cell>
          <cell r="V94">
            <v>0</v>
          </cell>
          <cell r="W94">
            <v>0</v>
          </cell>
          <cell r="X94">
            <v>0</v>
          </cell>
          <cell r="Y94">
            <v>-586</v>
          </cell>
          <cell r="Z94">
            <v>0</v>
          </cell>
          <cell r="AA94">
            <v>0</v>
          </cell>
          <cell r="AB94">
            <v>0</v>
          </cell>
          <cell r="AC94">
            <v>0</v>
          </cell>
          <cell r="AD94">
            <v>-157</v>
          </cell>
          <cell r="AE94">
            <v>0</v>
          </cell>
          <cell r="AF94">
            <v>0</v>
          </cell>
          <cell r="AG94">
            <v>0</v>
          </cell>
          <cell r="AH94">
            <v>0</v>
          </cell>
          <cell r="AI94">
            <v>906</v>
          </cell>
          <cell r="AJ94">
            <v>0</v>
          </cell>
          <cell r="AK94">
            <v>0</v>
          </cell>
          <cell r="AL94">
            <v>0</v>
          </cell>
          <cell r="AM94">
            <v>0</v>
          </cell>
          <cell r="AN94">
            <v>-1061</v>
          </cell>
          <cell r="AO94">
            <v>0</v>
          </cell>
          <cell r="AP94">
            <v>0</v>
          </cell>
          <cell r="AQ94">
            <v>0</v>
          </cell>
          <cell r="AR94">
            <v>0</v>
          </cell>
          <cell r="AS94">
            <v>414</v>
          </cell>
          <cell r="AT94">
            <v>-125</v>
          </cell>
          <cell r="AU94">
            <v>0</v>
          </cell>
          <cell r="AV94">
            <v>0</v>
          </cell>
          <cell r="AW94">
            <v>0</v>
          </cell>
          <cell r="AX94">
            <v>0</v>
          </cell>
          <cell r="AY94">
            <v>0</v>
          </cell>
          <cell r="AZ94">
            <v>0</v>
          </cell>
          <cell r="BA94">
            <v>0</v>
          </cell>
          <cell r="BB94">
            <v>0</v>
          </cell>
        </row>
        <row r="95">
          <cell r="B95" t="str">
            <v>Other financing cash flow items</v>
          </cell>
          <cell r="C95" t="str">
            <v>OTH_FIN_CF</v>
          </cell>
          <cell r="D95" t="str">
            <v>EUR</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-2801</v>
          </cell>
          <cell r="U95">
            <v>0</v>
          </cell>
          <cell r="V95">
            <v>0</v>
          </cell>
          <cell r="W95">
            <v>0</v>
          </cell>
          <cell r="X95">
            <v>0</v>
          </cell>
          <cell r="Y95">
            <v>45</v>
          </cell>
          <cell r="Z95">
            <v>0</v>
          </cell>
          <cell r="AA95">
            <v>0</v>
          </cell>
          <cell r="AB95">
            <v>0</v>
          </cell>
          <cell r="AC95">
            <v>0</v>
          </cell>
          <cell r="AD95">
            <v>14</v>
          </cell>
          <cell r="AE95">
            <v>0</v>
          </cell>
          <cell r="AF95">
            <v>0</v>
          </cell>
          <cell r="AG95">
            <v>0</v>
          </cell>
          <cell r="AH95">
            <v>0</v>
          </cell>
          <cell r="AI95">
            <v>13</v>
          </cell>
          <cell r="AJ95">
            <v>0</v>
          </cell>
          <cell r="AK95">
            <v>0</v>
          </cell>
          <cell r="AL95">
            <v>0</v>
          </cell>
          <cell r="AM95">
            <v>0</v>
          </cell>
          <cell r="AN95">
            <v>-55</v>
          </cell>
          <cell r="AO95">
            <v>0</v>
          </cell>
          <cell r="AP95">
            <v>0</v>
          </cell>
          <cell r="AQ95">
            <v>0</v>
          </cell>
          <cell r="AR95">
            <v>0</v>
          </cell>
          <cell r="AS95">
            <v>-70</v>
          </cell>
          <cell r="AT95">
            <v>134</v>
          </cell>
          <cell r="AU95">
            <v>-1942.0064901912997</v>
          </cell>
          <cell r="AV95">
            <v>0</v>
          </cell>
          <cell r="AW95">
            <v>0</v>
          </cell>
          <cell r="AX95">
            <v>0</v>
          </cell>
          <cell r="AY95">
            <v>0</v>
          </cell>
          <cell r="AZ95">
            <v>0</v>
          </cell>
          <cell r="BA95">
            <v>0</v>
          </cell>
          <cell r="BB95">
            <v>0</v>
          </cell>
        </row>
        <row r="96">
          <cell r="B96" t="str">
            <v>Cash flow from financing</v>
          </cell>
          <cell r="C96" t="str">
            <v>CF_FIN</v>
          </cell>
          <cell r="D96" t="str">
            <v>EUR</v>
          </cell>
          <cell r="F96">
            <v>1509</v>
          </cell>
          <cell r="G96">
            <v>338</v>
          </cell>
          <cell r="H96">
            <v>-2067</v>
          </cell>
          <cell r="I96">
            <v>-459</v>
          </cell>
          <cell r="J96">
            <v>163</v>
          </cell>
          <cell r="K96">
            <v>0</v>
          </cell>
          <cell r="L96">
            <v>0</v>
          </cell>
          <cell r="M96">
            <v>0</v>
          </cell>
          <cell r="N96">
            <v>0</v>
          </cell>
          <cell r="O96">
            <v>-526</v>
          </cell>
          <cell r="P96">
            <v>0</v>
          </cell>
          <cell r="Q96">
            <v>0</v>
          </cell>
          <cell r="R96">
            <v>0</v>
          </cell>
          <cell r="S96">
            <v>0</v>
          </cell>
          <cell r="T96">
            <v>-2511</v>
          </cell>
          <cell r="U96">
            <v>0</v>
          </cell>
          <cell r="V96">
            <v>0</v>
          </cell>
          <cell r="W96">
            <v>0</v>
          </cell>
          <cell r="X96">
            <v>0</v>
          </cell>
          <cell r="Y96">
            <v>-638</v>
          </cell>
          <cell r="Z96">
            <v>0</v>
          </cell>
          <cell r="AA96">
            <v>0</v>
          </cell>
          <cell r="AB96">
            <v>0</v>
          </cell>
          <cell r="AC96">
            <v>0</v>
          </cell>
          <cell r="AD96">
            <v>-201</v>
          </cell>
          <cell r="AE96">
            <v>0</v>
          </cell>
          <cell r="AF96">
            <v>0</v>
          </cell>
          <cell r="AG96">
            <v>0</v>
          </cell>
          <cell r="AH96">
            <v>0</v>
          </cell>
          <cell r="AI96">
            <v>752</v>
          </cell>
          <cell r="AJ96">
            <v>0</v>
          </cell>
          <cell r="AK96">
            <v>0</v>
          </cell>
          <cell r="AL96">
            <v>0</v>
          </cell>
          <cell r="AM96">
            <v>0</v>
          </cell>
          <cell r="AN96">
            <v>-1119</v>
          </cell>
          <cell r="AO96">
            <v>0</v>
          </cell>
          <cell r="AP96">
            <v>0</v>
          </cell>
          <cell r="AQ96">
            <v>0</v>
          </cell>
          <cell r="AR96">
            <v>0</v>
          </cell>
          <cell r="AS96">
            <v>165</v>
          </cell>
          <cell r="AT96">
            <v>-365</v>
          </cell>
          <cell r="AU96">
            <v>-2402.8193439912998</v>
          </cell>
          <cell r="AV96">
            <v>-506.89413918000002</v>
          </cell>
          <cell r="AW96">
            <v>-557.58355309800004</v>
          </cell>
          <cell r="AX96">
            <v>-613.34190840780013</v>
          </cell>
          <cell r="AY96">
            <v>-674.67609924858016</v>
          </cell>
          <cell r="AZ96">
            <v>-742.14370917343831</v>
          </cell>
          <cell r="BA96">
            <v>-816.3580800907821</v>
          </cell>
          <cell r="BB96">
            <v>-897.99388809986044</v>
          </cell>
        </row>
        <row r="97">
          <cell r="B97" t="str">
            <v>Other items net cash flow</v>
          </cell>
          <cell r="C97" t="str">
            <v>OTH_ITEM_NCF</v>
          </cell>
          <cell r="D97" t="str">
            <v>EUR</v>
          </cell>
          <cell r="F97">
            <v>0</v>
          </cell>
          <cell r="G97">
            <v>-1001</v>
          </cell>
          <cell r="H97">
            <v>521</v>
          </cell>
          <cell r="I97">
            <v>1081</v>
          </cell>
          <cell r="J97">
            <v>-465</v>
          </cell>
          <cell r="K97">
            <v>0</v>
          </cell>
          <cell r="L97">
            <v>0</v>
          </cell>
          <cell r="M97">
            <v>0</v>
          </cell>
          <cell r="N97">
            <v>0</v>
          </cell>
          <cell r="O97">
            <v>-485</v>
          </cell>
          <cell r="P97">
            <v>0</v>
          </cell>
          <cell r="Q97">
            <v>0</v>
          </cell>
          <cell r="R97">
            <v>0</v>
          </cell>
          <cell r="S97">
            <v>0</v>
          </cell>
          <cell r="T97">
            <v>-5257</v>
          </cell>
          <cell r="U97">
            <v>0</v>
          </cell>
          <cell r="V97">
            <v>0</v>
          </cell>
          <cell r="W97">
            <v>0</v>
          </cell>
          <cell r="X97">
            <v>0</v>
          </cell>
          <cell r="Y97">
            <v>-117</v>
          </cell>
          <cell r="Z97">
            <v>0</v>
          </cell>
          <cell r="AA97">
            <v>0</v>
          </cell>
          <cell r="AB97">
            <v>0</v>
          </cell>
          <cell r="AC97">
            <v>0</v>
          </cell>
          <cell r="AD97">
            <v>-50</v>
          </cell>
          <cell r="AE97">
            <v>0</v>
          </cell>
          <cell r="AF97">
            <v>0</v>
          </cell>
          <cell r="AG97">
            <v>0</v>
          </cell>
          <cell r="AH97">
            <v>0</v>
          </cell>
          <cell r="AI97">
            <v>-50</v>
          </cell>
          <cell r="AJ97">
            <v>0</v>
          </cell>
          <cell r="AK97">
            <v>0</v>
          </cell>
          <cell r="AL97">
            <v>0</v>
          </cell>
          <cell r="AM97">
            <v>0</v>
          </cell>
          <cell r="AN97">
            <v>104</v>
          </cell>
          <cell r="AO97">
            <v>0</v>
          </cell>
          <cell r="AP97">
            <v>0</v>
          </cell>
          <cell r="AQ97">
            <v>0</v>
          </cell>
          <cell r="AR97">
            <v>0</v>
          </cell>
          <cell r="AS97">
            <v>-2</v>
          </cell>
          <cell r="AT97">
            <v>23</v>
          </cell>
          <cell r="AU97">
            <v>0</v>
          </cell>
          <cell r="AV97">
            <v>0</v>
          </cell>
          <cell r="AW97">
            <v>0</v>
          </cell>
          <cell r="AX97">
            <v>0</v>
          </cell>
          <cell r="AY97">
            <v>0</v>
          </cell>
          <cell r="AZ97">
            <v>1.3642420526593924E-12</v>
          </cell>
          <cell r="BA97">
            <v>0</v>
          </cell>
          <cell r="BB97">
            <v>1.5916157281026244E-12</v>
          </cell>
        </row>
        <row r="98">
          <cell r="B98" t="str">
            <v>Total cash flow</v>
          </cell>
          <cell r="C98" t="str">
            <v>TOT_CF</v>
          </cell>
          <cell r="D98" t="str">
            <v>EUR</v>
          </cell>
          <cell r="F98">
            <v>3040</v>
          </cell>
          <cell r="G98">
            <v>111</v>
          </cell>
          <cell r="H98">
            <v>-1833</v>
          </cell>
          <cell r="I98">
            <v>1672</v>
          </cell>
          <cell r="J98">
            <v>1312</v>
          </cell>
          <cell r="K98">
            <v>0</v>
          </cell>
          <cell r="L98">
            <v>0</v>
          </cell>
          <cell r="M98">
            <v>0</v>
          </cell>
          <cell r="N98">
            <v>0</v>
          </cell>
          <cell r="O98">
            <v>1402</v>
          </cell>
          <cell r="P98">
            <v>0</v>
          </cell>
          <cell r="Q98">
            <v>0</v>
          </cell>
          <cell r="R98">
            <v>0</v>
          </cell>
          <cell r="S98">
            <v>0</v>
          </cell>
          <cell r="T98">
            <v>-2443</v>
          </cell>
          <cell r="U98">
            <v>0</v>
          </cell>
          <cell r="V98">
            <v>0</v>
          </cell>
          <cell r="W98">
            <v>0</v>
          </cell>
          <cell r="X98">
            <v>0</v>
          </cell>
          <cell r="Y98">
            <v>-594</v>
          </cell>
          <cell r="Z98">
            <v>0</v>
          </cell>
          <cell r="AA98">
            <v>0</v>
          </cell>
          <cell r="AB98">
            <v>0</v>
          </cell>
          <cell r="AC98">
            <v>0</v>
          </cell>
          <cell r="AD98">
            <v>-804</v>
          </cell>
          <cell r="AE98">
            <v>0</v>
          </cell>
          <cell r="AF98">
            <v>0</v>
          </cell>
          <cell r="AG98">
            <v>0</v>
          </cell>
          <cell r="AH98">
            <v>0</v>
          </cell>
          <cell r="AI98">
            <v>293</v>
          </cell>
          <cell r="AJ98">
            <v>0</v>
          </cell>
          <cell r="AK98">
            <v>0</v>
          </cell>
          <cell r="AL98">
            <v>0</v>
          </cell>
          <cell r="AM98">
            <v>0</v>
          </cell>
          <cell r="AN98">
            <v>-2008</v>
          </cell>
          <cell r="AO98">
            <v>0</v>
          </cell>
          <cell r="AP98">
            <v>0</v>
          </cell>
          <cell r="AQ98">
            <v>0</v>
          </cell>
          <cell r="AR98">
            <v>0</v>
          </cell>
          <cell r="AS98">
            <v>254</v>
          </cell>
          <cell r="AT98">
            <v>3472</v>
          </cell>
          <cell r="AU98">
            <v>-4325.3278961917731</v>
          </cell>
          <cell r="AV98">
            <v>551.70580399124447</v>
          </cell>
          <cell r="AW98">
            <v>1167.660902687745</v>
          </cell>
          <cell r="AX98">
            <v>1364.644495531089</v>
          </cell>
          <cell r="AY98">
            <v>1845.7187251356918</v>
          </cell>
          <cell r="AZ98">
            <v>2516.3349818156639</v>
          </cell>
          <cell r="BA98">
            <v>3779.0400592863025</v>
          </cell>
          <cell r="BB98">
            <v>6024.3610732098841</v>
          </cell>
        </row>
        <row r="99">
          <cell r="A99" t="str">
            <v>Additional Cash Flow Items</v>
          </cell>
          <cell r="B99">
            <v>0</v>
          </cell>
          <cell r="C99">
            <v>0</v>
          </cell>
          <cell r="D99">
            <v>0</v>
          </cell>
        </row>
        <row r="100">
          <cell r="B100" t="str">
            <v>Associate and JV add-back</v>
          </cell>
          <cell r="C100" t="str">
            <v>ASSOC_JV_ADDBK</v>
          </cell>
          <cell r="D100" t="str">
            <v>EUR</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row>
        <row r="101">
          <cell r="B101" t="str">
            <v>Cash interest income/(expense)</v>
          </cell>
          <cell r="C101" t="str">
            <v>CASH_INT_INC_EXP</v>
          </cell>
          <cell r="D101" t="str">
            <v>EUR</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row>
        <row r="102">
          <cell r="B102" t="str">
            <v>Cash taxes paid</v>
          </cell>
          <cell r="C102" t="str">
            <v>CASH_TAX_PD</v>
          </cell>
          <cell r="D102" t="str">
            <v>EUR</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row>
        <row r="103">
          <cell r="B103" t="str">
            <v>Profit/(loss) on sale of assets</v>
          </cell>
          <cell r="C103" t="str">
            <v>PL_SALE_ASSETS</v>
          </cell>
          <cell r="D103" t="str">
            <v>EUR</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row>
        <row r="104">
          <cell r="B104" t="str">
            <v>Other non-cash adjustments</v>
          </cell>
          <cell r="C104" t="str">
            <v>OTH_NONCASH_ADJ</v>
          </cell>
          <cell r="D104" t="str">
            <v>EUR</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row>
        <row r="105">
          <cell r="B105" t="str">
            <v>Other DACF adjustments</v>
          </cell>
          <cell r="C105" t="str">
            <v>OTH_DACF_ADJ</v>
          </cell>
          <cell r="D105" t="str">
            <v>EUR</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-93</v>
          </cell>
          <cell r="Z105">
            <v>0</v>
          </cell>
          <cell r="AA105">
            <v>0</v>
          </cell>
          <cell r="AB105">
            <v>0</v>
          </cell>
          <cell r="AC105">
            <v>0</v>
          </cell>
          <cell r="AD105">
            <v>-87</v>
          </cell>
          <cell r="AE105">
            <v>0</v>
          </cell>
          <cell r="AF105">
            <v>0</v>
          </cell>
          <cell r="AG105">
            <v>0</v>
          </cell>
          <cell r="AH105">
            <v>0</v>
          </cell>
          <cell r="AI105">
            <v>-53</v>
          </cell>
          <cell r="AJ105">
            <v>0</v>
          </cell>
          <cell r="AK105">
            <v>0</v>
          </cell>
          <cell r="AL105">
            <v>0</v>
          </cell>
          <cell r="AM105">
            <v>0</v>
          </cell>
          <cell r="AN105">
            <v>-145</v>
          </cell>
          <cell r="AO105">
            <v>0</v>
          </cell>
          <cell r="AP105">
            <v>0</v>
          </cell>
          <cell r="AQ105">
            <v>0</v>
          </cell>
          <cell r="AR105">
            <v>0</v>
          </cell>
          <cell r="AS105">
            <v>-97</v>
          </cell>
          <cell r="AT105">
            <v>-488</v>
          </cell>
          <cell r="AU105">
            <v>-272.07956455980019</v>
          </cell>
          <cell r="AV105">
            <v>-286.16059543924905</v>
          </cell>
          <cell r="AW105">
            <v>-307.19293803568547</v>
          </cell>
          <cell r="AX105">
            <v>-334.78424529348274</v>
          </cell>
          <cell r="AY105">
            <v>-350.28652192622678</v>
          </cell>
          <cell r="AZ105">
            <v>-362.55388517709247</v>
          </cell>
          <cell r="BA105">
            <v>-386.34333003834331</v>
          </cell>
          <cell r="BB105">
            <v>-410.0057182925708</v>
          </cell>
        </row>
        <row r="106">
          <cell r="B106" t="str">
            <v>Cash interest expense</v>
          </cell>
          <cell r="C106" t="str">
            <v>CASH_INT_EXP</v>
          </cell>
          <cell r="D106" t="str">
            <v>EUR</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row>
        <row r="107">
          <cell r="B107" t="str">
            <v>Cash tax expense</v>
          </cell>
          <cell r="C107" t="str">
            <v>CASH_TAX_EXP</v>
          </cell>
          <cell r="D107" t="str">
            <v>EUR</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row>
        <row r="108">
          <cell r="B108" t="str">
            <v>Dividends received from associates/JVs</v>
          </cell>
          <cell r="C108" t="str">
            <v>DIVDS_ASSOC_JV</v>
          </cell>
          <cell r="D108" t="str">
            <v>EUR</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row>
        <row r="109">
          <cell r="B109" t="str">
            <v>Capex maintenance</v>
          </cell>
          <cell r="C109" t="str">
            <v>CAPEX_MAINTENANCE</v>
          </cell>
          <cell r="D109" t="str">
            <v>EUR</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row>
        <row r="110">
          <cell r="B110" t="str">
            <v>Capex expansion</v>
          </cell>
          <cell r="C110" t="str">
            <v>CAPEX_EXPANSION</v>
          </cell>
          <cell r="D110" t="str">
            <v>EUR</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row>
        <row r="111">
          <cell r="B111" t="str">
            <v>Non-PP&amp;E capex</v>
          </cell>
          <cell r="C111" t="str">
            <v>NONPPE_CAPEX</v>
          </cell>
          <cell r="D111" t="str">
            <v>EUR</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-411</v>
          </cell>
          <cell r="U111">
            <v>0</v>
          </cell>
          <cell r="V111">
            <v>0</v>
          </cell>
          <cell r="W111">
            <v>0</v>
          </cell>
          <cell r="X111">
            <v>0</v>
          </cell>
          <cell r="Y111">
            <v>-93</v>
          </cell>
          <cell r="Z111">
            <v>0</v>
          </cell>
          <cell r="AA111">
            <v>0</v>
          </cell>
          <cell r="AB111">
            <v>0</v>
          </cell>
          <cell r="AC111">
            <v>0</v>
          </cell>
          <cell r="AD111">
            <v>-87</v>
          </cell>
          <cell r="AE111">
            <v>0</v>
          </cell>
          <cell r="AF111">
            <v>0</v>
          </cell>
          <cell r="AG111">
            <v>0</v>
          </cell>
          <cell r="AH111">
            <v>0</v>
          </cell>
          <cell r="AI111">
            <v>-53</v>
          </cell>
          <cell r="AJ111">
            <v>0</v>
          </cell>
          <cell r="AK111">
            <v>0</v>
          </cell>
          <cell r="AL111">
            <v>0</v>
          </cell>
          <cell r="AM111">
            <v>0</v>
          </cell>
          <cell r="AN111">
            <v>-145</v>
          </cell>
          <cell r="AO111">
            <v>0</v>
          </cell>
          <cell r="AP111">
            <v>0</v>
          </cell>
          <cell r="AQ111">
            <v>0</v>
          </cell>
          <cell r="AR111">
            <v>0</v>
          </cell>
          <cell r="AS111">
            <v>-97</v>
          </cell>
          <cell r="AT111">
            <v>-488</v>
          </cell>
          <cell r="AU111">
            <v>-272.07956455980019</v>
          </cell>
          <cell r="AV111">
            <v>-286.16059543924905</v>
          </cell>
          <cell r="AW111">
            <v>-307.19293803568547</v>
          </cell>
          <cell r="AX111">
            <v>-334.78424529348274</v>
          </cell>
          <cell r="AY111">
            <v>-350.28652192622678</v>
          </cell>
          <cell r="AZ111">
            <v>-362.55388517709247</v>
          </cell>
          <cell r="BA111">
            <v>-386.34333003834331</v>
          </cell>
          <cell r="BB111">
            <v>-410.0057182925708</v>
          </cell>
          <cell r="BC111" t="str">
            <v>MA: linking to capitalized R&amp;D</v>
          </cell>
        </row>
        <row r="112">
          <cell r="B112" t="str">
            <v>Dividends paid to minorities</v>
          </cell>
          <cell r="C112" t="str">
            <v>DIVDS_PD_MINORITIES</v>
          </cell>
          <cell r="D112" t="str">
            <v>EUR</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row>
        <row r="113">
          <cell r="A113" t="str">
            <v>Other Items</v>
          </cell>
          <cell r="B113">
            <v>0</v>
          </cell>
          <cell r="C113">
            <v>0</v>
          </cell>
          <cell r="D113">
            <v>0</v>
          </cell>
        </row>
        <row r="114">
          <cell r="B114" t="str">
            <v>Number of employees</v>
          </cell>
          <cell r="C114" t="str">
            <v>EMPLOYEES</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116.80500000000001</v>
          </cell>
          <cell r="Z114">
            <v>0</v>
          </cell>
          <cell r="AA114">
            <v>0</v>
          </cell>
          <cell r="AB114">
            <v>0</v>
          </cell>
          <cell r="AC114">
            <v>0</v>
          </cell>
          <cell r="AD114">
            <v>116.49299999999999</v>
          </cell>
          <cell r="AE114">
            <v>0</v>
          </cell>
          <cell r="AF114">
            <v>0</v>
          </cell>
          <cell r="AG114">
            <v>0</v>
          </cell>
          <cell r="AH114">
            <v>0</v>
          </cell>
          <cell r="AI114">
            <v>118.349</v>
          </cell>
          <cell r="AJ114">
            <v>0</v>
          </cell>
          <cell r="AK114">
            <v>0</v>
          </cell>
          <cell r="AL114">
            <v>0</v>
          </cell>
          <cell r="AM114">
            <v>0</v>
          </cell>
          <cell r="AN114">
            <v>119.506</v>
          </cell>
          <cell r="AO114">
            <v>0</v>
          </cell>
          <cell r="AP114">
            <v>0</v>
          </cell>
          <cell r="AQ114">
            <v>0</v>
          </cell>
          <cell r="AR114">
            <v>0</v>
          </cell>
          <cell r="AS114">
            <v>121.691</v>
          </cell>
          <cell r="AT114">
            <v>133.11500000000001</v>
          </cell>
          <cell r="AU114">
            <v>140.405</v>
          </cell>
          <cell r="AV114">
            <v>0</v>
          </cell>
          <cell r="AW114">
            <v>0</v>
          </cell>
          <cell r="AX114">
            <v>0</v>
          </cell>
          <cell r="AY114">
            <v>0</v>
          </cell>
          <cell r="AZ114">
            <v>0</v>
          </cell>
          <cell r="BA114">
            <v>0</v>
          </cell>
          <cell r="BB114">
            <v>0</v>
          </cell>
        </row>
        <row r="115">
          <cell r="A115" t="str">
            <v>Geographical Breakdown</v>
          </cell>
          <cell r="B115">
            <v>0</v>
          </cell>
          <cell r="C115">
            <v>0</v>
          </cell>
          <cell r="D115">
            <v>0</v>
          </cell>
        </row>
        <row r="116">
          <cell r="B116" t="str">
            <v>Sales - Total % Americas</v>
          </cell>
          <cell r="C116" t="str">
            <v>SALES_TOT_AM</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0.26</v>
          </cell>
          <cell r="AU116">
            <v>0.26</v>
          </cell>
          <cell r="AV116">
            <v>0</v>
          </cell>
          <cell r="AW116">
            <v>0</v>
          </cell>
          <cell r="AX116">
            <v>0</v>
          </cell>
          <cell r="AY116">
            <v>0</v>
          </cell>
          <cell r="AZ116">
            <v>0</v>
          </cell>
          <cell r="BA116">
            <v>0</v>
          </cell>
          <cell r="BB116">
            <v>0</v>
          </cell>
        </row>
        <row r="117">
          <cell r="B117" t="str">
            <v>Sales - % United States</v>
          </cell>
          <cell r="C117" t="str">
            <v>SALES_US</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0.2</v>
          </cell>
          <cell r="AU117">
            <v>0.2</v>
          </cell>
          <cell r="AV117">
            <v>0</v>
          </cell>
          <cell r="AW117">
            <v>0</v>
          </cell>
          <cell r="AX117">
            <v>0</v>
          </cell>
          <cell r="AY117">
            <v>0</v>
          </cell>
          <cell r="AZ117">
            <v>0</v>
          </cell>
          <cell r="BA117">
            <v>0</v>
          </cell>
          <cell r="BB117">
            <v>0</v>
          </cell>
          <cell r="BD117" t="str">
            <v>NK: Sales exposure based on Backlog, country assumptions made</v>
          </cell>
        </row>
        <row r="118">
          <cell r="A118">
            <v>0</v>
          </cell>
          <cell r="B118" t="str">
            <v>Sales - % Brazil</v>
          </cell>
          <cell r="C118" t="str">
            <v>SALES_BRAZIL</v>
          </cell>
          <cell r="D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row>
        <row r="119">
          <cell r="B119" t="str">
            <v>Sales - % Other Americas</v>
          </cell>
          <cell r="C119" t="str">
            <v>SALES_OTH_AM</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0.06</v>
          </cell>
          <cell r="AU119">
            <v>0.06</v>
          </cell>
          <cell r="AV119">
            <v>0</v>
          </cell>
          <cell r="AW119">
            <v>0</v>
          </cell>
          <cell r="AX119">
            <v>0</v>
          </cell>
          <cell r="AY119">
            <v>0</v>
          </cell>
          <cell r="AZ119">
            <v>0</v>
          </cell>
          <cell r="BA119">
            <v>0</v>
          </cell>
          <cell r="BB119">
            <v>0</v>
          </cell>
        </row>
        <row r="120">
          <cell r="B120" t="str">
            <v>Sales - Total % EMEA</v>
          </cell>
          <cell r="C120" t="str">
            <v>SALES_TOT_EMEA</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0.37</v>
          </cell>
          <cell r="AU120">
            <v>0.37</v>
          </cell>
          <cell r="AV120">
            <v>0</v>
          </cell>
          <cell r="AW120">
            <v>0</v>
          </cell>
          <cell r="AX120">
            <v>0</v>
          </cell>
          <cell r="AY120">
            <v>0</v>
          </cell>
          <cell r="AZ120">
            <v>0</v>
          </cell>
          <cell r="BA120">
            <v>0</v>
          </cell>
          <cell r="BB120">
            <v>0</v>
          </cell>
        </row>
        <row r="121">
          <cell r="B121" t="str">
            <v>Sales - % UK</v>
          </cell>
          <cell r="C121" t="str">
            <v>SALES_UK</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row>
        <row r="122">
          <cell r="B122" t="str">
            <v>Sales - % Western Europe-Ex UK</v>
          </cell>
          <cell r="C122" t="str">
            <v>SALES_EU_EX_UK</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0.22</v>
          </cell>
          <cell r="AU122">
            <v>0.22</v>
          </cell>
          <cell r="AV122">
            <v>0</v>
          </cell>
          <cell r="AW122">
            <v>0</v>
          </cell>
          <cell r="AX122">
            <v>0</v>
          </cell>
          <cell r="AY122">
            <v>0</v>
          </cell>
          <cell r="AZ122">
            <v>0</v>
          </cell>
          <cell r="BA122">
            <v>0</v>
          </cell>
          <cell r="BB122">
            <v>0</v>
          </cell>
        </row>
        <row r="123">
          <cell r="B123" t="str">
            <v>Sales - % France</v>
          </cell>
          <cell r="C123" t="str">
            <v>SALES_FRA</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row>
        <row r="124">
          <cell r="A124">
            <v>0</v>
          </cell>
          <cell r="B124" t="str">
            <v>Sales - % Germany</v>
          </cell>
          <cell r="C124" t="str">
            <v>SALES_GER</v>
          </cell>
          <cell r="D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row>
        <row r="125">
          <cell r="A125">
            <v>0</v>
          </cell>
          <cell r="B125" t="str">
            <v>Sales - % Italy</v>
          </cell>
          <cell r="C125" t="str">
            <v>SALES_ITA</v>
          </cell>
          <cell r="D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row>
        <row r="126">
          <cell r="A126">
            <v>0</v>
          </cell>
          <cell r="B126" t="str">
            <v>Sales - % Spain</v>
          </cell>
          <cell r="C126" t="str">
            <v>SALES_SPA</v>
          </cell>
          <cell r="D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row>
        <row r="127">
          <cell r="A127">
            <v>0</v>
          </cell>
          <cell r="B127" t="str">
            <v>Sales - % Other Western Europe-Ex UK</v>
          </cell>
          <cell r="C127" t="str">
            <v>SALES_OTH_EU_EX_UK</v>
          </cell>
          <cell r="D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0.22</v>
          </cell>
          <cell r="AU127">
            <v>0.22</v>
          </cell>
          <cell r="AV127">
            <v>0</v>
          </cell>
          <cell r="AW127">
            <v>0</v>
          </cell>
          <cell r="AX127">
            <v>0</v>
          </cell>
        </row>
        <row r="128">
          <cell r="B128" t="str">
            <v>Sales - % Central &amp; Eastern Europe</v>
          </cell>
          <cell r="C128" t="str">
            <v>SALES_CEE</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row>
        <row r="129">
          <cell r="B129" t="str">
            <v>Sales - % Middle East</v>
          </cell>
          <cell r="C129" t="str">
            <v>SALES_ME</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0.15</v>
          </cell>
          <cell r="AU129">
            <v>0.15</v>
          </cell>
          <cell r="AV129">
            <v>0</v>
          </cell>
          <cell r="AW129">
            <v>0</v>
          </cell>
          <cell r="AX129">
            <v>0</v>
          </cell>
          <cell r="AY129">
            <v>0</v>
          </cell>
          <cell r="AZ129">
            <v>0</v>
          </cell>
          <cell r="BA129">
            <v>0</v>
          </cell>
          <cell r="BB129">
            <v>0</v>
          </cell>
        </row>
        <row r="130">
          <cell r="A130">
            <v>0</v>
          </cell>
          <cell r="B130" t="str">
            <v>Sales - % South Africa</v>
          </cell>
          <cell r="C130" t="str">
            <v>SALES_SO_AFRICA</v>
          </cell>
          <cell r="D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row>
        <row r="131">
          <cell r="A131">
            <v>0</v>
          </cell>
          <cell r="B131" t="str">
            <v>Sales - % Nigeria</v>
          </cell>
          <cell r="C131" t="str">
            <v>SALES_NIGERIA</v>
          </cell>
          <cell r="D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row>
        <row r="132">
          <cell r="A132">
            <v>0</v>
          </cell>
          <cell r="B132" t="str">
            <v>Sales - % Other Africa</v>
          </cell>
          <cell r="C132" t="str">
            <v>SALES_OTH_AFRICA</v>
          </cell>
          <cell r="D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row>
        <row r="133">
          <cell r="B133" t="str">
            <v>Sales - % Total Africa</v>
          </cell>
          <cell r="C133" t="str">
            <v>SALES_TOT_AFRICA</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row>
        <row r="134">
          <cell r="A134">
            <v>0</v>
          </cell>
          <cell r="B134" t="str">
            <v>Sales - % Russia</v>
          </cell>
          <cell r="C134" t="str">
            <v>SALES_RUSSIA</v>
          </cell>
          <cell r="D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row>
        <row r="135">
          <cell r="A135">
            <v>0</v>
          </cell>
          <cell r="B135" t="str">
            <v>Sales - % Other EMEA</v>
          </cell>
          <cell r="C135" t="str">
            <v>SALES_OTH_EMEA</v>
          </cell>
          <cell r="D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row>
        <row r="136">
          <cell r="A136">
            <v>0</v>
          </cell>
          <cell r="B136" t="str">
            <v>Sales - Total % Asia (incl Australia &amp; New Zealand)</v>
          </cell>
          <cell r="C136" t="str">
            <v>SALES_TOT_ASIA</v>
          </cell>
          <cell r="D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0.35</v>
          </cell>
          <cell r="AU136">
            <v>0.35</v>
          </cell>
          <cell r="AV136">
            <v>0</v>
          </cell>
          <cell r="AW136">
            <v>0</v>
          </cell>
          <cell r="AX136">
            <v>0</v>
          </cell>
        </row>
        <row r="137">
          <cell r="B137" t="str">
            <v>Sales - % Japan</v>
          </cell>
          <cell r="C137" t="str">
            <v>SALES_JAPAN</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row>
        <row r="138">
          <cell r="B138" t="str">
            <v>Sales - % China</v>
          </cell>
          <cell r="C138" t="str">
            <v>SALES_CHINA</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row>
        <row r="139">
          <cell r="A139">
            <v>0</v>
          </cell>
          <cell r="B139" t="str">
            <v>Sales - % India</v>
          </cell>
          <cell r="C139" t="str">
            <v>SALES_INDIA</v>
          </cell>
          <cell r="D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row>
        <row r="140">
          <cell r="A140">
            <v>0</v>
          </cell>
          <cell r="B140" t="str">
            <v>Sales - % Other Asia</v>
          </cell>
          <cell r="C140" t="str">
            <v>SALES_OTH_AEJ</v>
          </cell>
          <cell r="D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0.35</v>
          </cell>
          <cell r="AU140">
            <v>0.35</v>
          </cell>
          <cell r="AV140">
            <v>0</v>
          </cell>
          <cell r="AW140">
            <v>0</v>
          </cell>
          <cell r="AX140">
            <v>0</v>
          </cell>
          <cell r="AY140">
            <v>0</v>
          </cell>
          <cell r="AZ140">
            <v>0</v>
          </cell>
          <cell r="BA140">
            <v>0</v>
          </cell>
          <cell r="BB140">
            <v>0</v>
          </cell>
        </row>
        <row r="141">
          <cell r="B141" t="str">
            <v>Sales - % Others</v>
          </cell>
          <cell r="C141" t="str">
            <v>SALES_OTHER</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0.02</v>
          </cell>
          <cell r="AU141">
            <v>0.02</v>
          </cell>
          <cell r="AV141">
            <v>0</v>
          </cell>
          <cell r="AW141">
            <v>0</v>
          </cell>
          <cell r="AX141">
            <v>0</v>
          </cell>
          <cell r="AY141">
            <v>0</v>
          </cell>
          <cell r="AZ141">
            <v>0</v>
          </cell>
          <cell r="BA141">
            <v>0</v>
          </cell>
          <cell r="BB141">
            <v>0</v>
          </cell>
        </row>
        <row r="142">
          <cell r="B142" t="str">
            <v>Indirect Sales - Total % Americas</v>
          </cell>
          <cell r="C142" t="str">
            <v>IND_SALES_TOT_AM</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0.26</v>
          </cell>
          <cell r="AU142">
            <v>0.26</v>
          </cell>
          <cell r="AV142">
            <v>0</v>
          </cell>
          <cell r="AW142">
            <v>0</v>
          </cell>
          <cell r="AX142">
            <v>0</v>
          </cell>
          <cell r="AY142">
            <v>0</v>
          </cell>
          <cell r="AZ142">
            <v>0</v>
          </cell>
          <cell r="BA142">
            <v>0</v>
          </cell>
          <cell r="BB142">
            <v>0</v>
          </cell>
        </row>
        <row r="143">
          <cell r="B143" t="str">
            <v>Indirect Sales - % United States</v>
          </cell>
          <cell r="C143" t="str">
            <v>IND_SALES_US</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0.2</v>
          </cell>
          <cell r="AU143">
            <v>0.2</v>
          </cell>
          <cell r="AV143">
            <v>0</v>
          </cell>
          <cell r="AW143">
            <v>0</v>
          </cell>
          <cell r="AX143">
            <v>0</v>
          </cell>
          <cell r="AY143">
            <v>0</v>
          </cell>
          <cell r="AZ143">
            <v>0</v>
          </cell>
          <cell r="BA143">
            <v>0</v>
          </cell>
          <cell r="BB143">
            <v>0</v>
          </cell>
        </row>
        <row r="144">
          <cell r="B144" t="str">
            <v>Indirect Sales - % Brazil</v>
          </cell>
          <cell r="C144" t="str">
            <v>IND_SALES_BRAZIL</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row>
        <row r="145">
          <cell r="B145" t="str">
            <v>Indirect Sales - % Other Americas</v>
          </cell>
          <cell r="C145" t="str">
            <v>IND_SALES_OTH_AM</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0.06</v>
          </cell>
          <cell r="AU145">
            <v>0.06</v>
          </cell>
          <cell r="AV145">
            <v>0</v>
          </cell>
          <cell r="AW145">
            <v>0</v>
          </cell>
          <cell r="AX145">
            <v>0</v>
          </cell>
          <cell r="AY145">
            <v>0</v>
          </cell>
          <cell r="AZ145">
            <v>0</v>
          </cell>
          <cell r="BA145">
            <v>0</v>
          </cell>
          <cell r="BB145">
            <v>0</v>
          </cell>
        </row>
        <row r="146">
          <cell r="B146" t="str">
            <v>Indirect Sales - Total % EMEA</v>
          </cell>
          <cell r="C146" t="str">
            <v>IND_SALES_TOT_EMEA</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0.37</v>
          </cell>
          <cell r="AU146">
            <v>0.37</v>
          </cell>
          <cell r="AV146">
            <v>0</v>
          </cell>
          <cell r="AW146">
            <v>0</v>
          </cell>
          <cell r="AX146">
            <v>0</v>
          </cell>
          <cell r="AY146">
            <v>0</v>
          </cell>
          <cell r="AZ146">
            <v>0</v>
          </cell>
          <cell r="BA146">
            <v>0</v>
          </cell>
          <cell r="BB146">
            <v>0</v>
          </cell>
        </row>
        <row r="147">
          <cell r="B147" t="str">
            <v>Indirect Sales - % UK</v>
          </cell>
          <cell r="C147" t="str">
            <v>IND_SALES_UK</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row>
        <row r="148">
          <cell r="B148" t="str">
            <v>Indirect Sales - % Western Europe-Ex UK</v>
          </cell>
          <cell r="C148" t="str">
            <v>IND_SALES_EU_EX_UK</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0.22</v>
          </cell>
          <cell r="AU148">
            <v>0.22</v>
          </cell>
          <cell r="AV148">
            <v>0</v>
          </cell>
          <cell r="AW148">
            <v>0</v>
          </cell>
          <cell r="AX148">
            <v>0</v>
          </cell>
          <cell r="AY148">
            <v>0</v>
          </cell>
          <cell r="AZ148">
            <v>0</v>
          </cell>
          <cell r="BA148">
            <v>0</v>
          </cell>
          <cell r="BB148">
            <v>0</v>
          </cell>
        </row>
        <row r="149">
          <cell r="B149" t="str">
            <v>Indirect Sales - % France</v>
          </cell>
          <cell r="C149" t="str">
            <v>IND_SALES_FRA</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row>
        <row r="150">
          <cell r="B150" t="str">
            <v>Indirect Sales - % Germany</v>
          </cell>
          <cell r="C150" t="str">
            <v>IND_SALES_GER</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row>
        <row r="151">
          <cell r="B151" t="str">
            <v>Indirect Sales - % Italy</v>
          </cell>
          <cell r="C151" t="str">
            <v>IND_SALES_ITA</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row>
        <row r="152">
          <cell r="B152" t="str">
            <v>Indirect Sales - % Spain</v>
          </cell>
          <cell r="C152" t="str">
            <v>IND_SALES_SPA</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row>
        <row r="153">
          <cell r="A153">
            <v>0</v>
          </cell>
          <cell r="B153" t="str">
            <v>Indirect Sales - % Other Western Europe-Ex UK</v>
          </cell>
          <cell r="C153" t="str">
            <v>IND_SALES_OTH_EU_EX_UK</v>
          </cell>
          <cell r="D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0.22</v>
          </cell>
          <cell r="AU153">
            <v>0.22</v>
          </cell>
          <cell r="AV153">
            <v>0</v>
          </cell>
          <cell r="AW153">
            <v>0</v>
          </cell>
          <cell r="AX153">
            <v>0</v>
          </cell>
        </row>
        <row r="154">
          <cell r="A154">
            <v>0</v>
          </cell>
          <cell r="B154" t="str">
            <v>Indirect Sales - % Central &amp; Eastern Europe</v>
          </cell>
          <cell r="C154" t="str">
            <v>IND_SALES_CEE</v>
          </cell>
          <cell r="D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row>
        <row r="155">
          <cell r="A155">
            <v>0</v>
          </cell>
          <cell r="B155" t="str">
            <v>Indirect Sales - % Middle East</v>
          </cell>
          <cell r="C155" t="str">
            <v>IND_SALES_ME</v>
          </cell>
          <cell r="D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0.15</v>
          </cell>
          <cell r="AU155">
            <v>0.15</v>
          </cell>
          <cell r="AV155">
            <v>0</v>
          </cell>
          <cell r="AW155">
            <v>0</v>
          </cell>
          <cell r="AX155">
            <v>0</v>
          </cell>
          <cell r="AY155">
            <v>0</v>
          </cell>
          <cell r="AZ155">
            <v>0</v>
          </cell>
          <cell r="BA155">
            <v>0</v>
          </cell>
          <cell r="BB155">
            <v>0</v>
          </cell>
        </row>
        <row r="156">
          <cell r="B156" t="str">
            <v>Indirect Sales - % Russia</v>
          </cell>
          <cell r="C156" t="str">
            <v>IND_SALES_RUSSIA</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row>
        <row r="157">
          <cell r="B157" t="str">
            <v>Indirect sales - % South Africa</v>
          </cell>
          <cell r="C157" t="str">
            <v>IND_SALES_SO_AFRICA</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row>
        <row r="158">
          <cell r="B158" t="str">
            <v>Indirect sales - % Nigeria</v>
          </cell>
          <cell r="C158" t="str">
            <v>IND_SALES_NIGERIA</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row>
        <row r="159">
          <cell r="B159" t="str">
            <v>Indirect sales - % Other Africa</v>
          </cell>
          <cell r="C159" t="str">
            <v>IND_SALES_OTH_AFRICA</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row>
        <row r="160">
          <cell r="A160">
            <v>0</v>
          </cell>
          <cell r="B160" t="str">
            <v>Indirect Sales - % Other EMEA</v>
          </cell>
          <cell r="C160" t="str">
            <v>IND_SALES_OTH_EMEA</v>
          </cell>
          <cell r="D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row>
        <row r="161">
          <cell r="B161" t="str">
            <v>Indirect sales - % Total Africa</v>
          </cell>
          <cell r="C161" t="str">
            <v>IND_SALES_TOT_AFRICA</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row>
        <row r="162">
          <cell r="B162" t="str">
            <v>Indirect Sales - Total % Asia (incl Australia &amp; New Zealand)</v>
          </cell>
          <cell r="C162" t="str">
            <v>IND_SALES_TOT_ASIA</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0.35</v>
          </cell>
          <cell r="AU162">
            <v>0.35</v>
          </cell>
          <cell r="AV162">
            <v>0</v>
          </cell>
          <cell r="AW162">
            <v>0</v>
          </cell>
          <cell r="AX162">
            <v>0</v>
          </cell>
          <cell r="AY162">
            <v>0</v>
          </cell>
          <cell r="AZ162">
            <v>0</v>
          </cell>
          <cell r="BA162">
            <v>0</v>
          </cell>
          <cell r="BB162">
            <v>0</v>
          </cell>
        </row>
        <row r="163">
          <cell r="B163" t="str">
            <v>Indirect Sales - % Japan</v>
          </cell>
          <cell r="C163" t="str">
            <v>IND_SALES_JAPAN</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row>
        <row r="164">
          <cell r="B164" t="str">
            <v>Indirect Sales - % China</v>
          </cell>
          <cell r="C164" t="str">
            <v>IND_SALES_CHINA</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row>
        <row r="165">
          <cell r="B165" t="str">
            <v>Indirect Sales - % India</v>
          </cell>
          <cell r="C165" t="str">
            <v>IND_SALES_INDIA</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row>
        <row r="166">
          <cell r="A166">
            <v>0</v>
          </cell>
          <cell r="B166" t="str">
            <v>Indirect Sales - % Other Asia</v>
          </cell>
          <cell r="C166" t="str">
            <v>IND_SALES_OTH_AEJ</v>
          </cell>
          <cell r="D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0.35</v>
          </cell>
          <cell r="AU166">
            <v>0.35</v>
          </cell>
          <cell r="AV166">
            <v>0</v>
          </cell>
          <cell r="AW166">
            <v>0</v>
          </cell>
          <cell r="AX166">
            <v>0</v>
          </cell>
        </row>
        <row r="167">
          <cell r="A167">
            <v>0</v>
          </cell>
          <cell r="B167" t="str">
            <v>Indirect Sales - % Others</v>
          </cell>
          <cell r="C167" t="str">
            <v>IND_SALES_OTHER</v>
          </cell>
          <cell r="D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0.02</v>
          </cell>
          <cell r="AU167">
            <v>0.02</v>
          </cell>
          <cell r="AV167">
            <v>0</v>
          </cell>
          <cell r="AW167">
            <v>0</v>
          </cell>
          <cell r="AX167">
            <v>0</v>
          </cell>
        </row>
        <row r="168">
          <cell r="A168">
            <v>0</v>
          </cell>
          <cell r="B168" t="str">
            <v>Sales -% Consumer (C)</v>
          </cell>
          <cell r="C168" t="str">
            <v>SALES_CONS</v>
          </cell>
          <cell r="D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row>
        <row r="169">
          <cell r="A169">
            <v>0</v>
          </cell>
          <cell r="B169" t="str">
            <v>Sales -% Industry (I)</v>
          </cell>
          <cell r="C169" t="str">
            <v>SALES_IND</v>
          </cell>
          <cell r="D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0.9</v>
          </cell>
          <cell r="AU169">
            <v>0.9</v>
          </cell>
          <cell r="AV169">
            <v>0</v>
          </cell>
          <cell r="AW169">
            <v>0</v>
          </cell>
          <cell r="AX169">
            <v>0</v>
          </cell>
          <cell r="AY169">
            <v>0</v>
          </cell>
          <cell r="AZ169">
            <v>0</v>
          </cell>
          <cell r="BA169">
            <v>0</v>
          </cell>
          <cell r="BB169">
            <v>0</v>
          </cell>
        </row>
        <row r="170">
          <cell r="B170" t="str">
            <v>Sales -% Government (G)</v>
          </cell>
          <cell r="C170" t="str">
            <v>SALES_GOV</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0.1</v>
          </cell>
          <cell r="AU170">
            <v>0.1</v>
          </cell>
          <cell r="AV170">
            <v>0</v>
          </cell>
          <cell r="AW170">
            <v>0</v>
          </cell>
          <cell r="AX170">
            <v>0</v>
          </cell>
          <cell r="AY170">
            <v>0</v>
          </cell>
          <cell r="AZ170">
            <v>0</v>
          </cell>
          <cell r="BA170">
            <v>0</v>
          </cell>
          <cell r="BB170">
            <v>0</v>
          </cell>
        </row>
        <row r="171">
          <cell r="B171" t="str">
            <v>Sales - % Industry Sub-Segment: Financial Services</v>
          </cell>
          <cell r="C171" t="str">
            <v>SALES_FINAN</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row>
        <row r="172">
          <cell r="A172">
            <v>0</v>
          </cell>
          <cell r="B172" t="str">
            <v>Indirect Sales -% Consumer (C)</v>
          </cell>
          <cell r="C172" t="str">
            <v>IND_SALES_CONS</v>
          </cell>
          <cell r="D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row>
        <row r="173">
          <cell r="A173">
            <v>0</v>
          </cell>
          <cell r="B173" t="str">
            <v>Indirect Sales -% Industry (I)</v>
          </cell>
          <cell r="C173" t="str">
            <v>IND_SALES_IND</v>
          </cell>
          <cell r="D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0.9</v>
          </cell>
          <cell r="AU173">
            <v>0.9</v>
          </cell>
          <cell r="AV173">
            <v>0</v>
          </cell>
          <cell r="AW173">
            <v>0</v>
          </cell>
          <cell r="AX173">
            <v>0</v>
          </cell>
        </row>
        <row r="174">
          <cell r="A174">
            <v>0</v>
          </cell>
          <cell r="B174" t="str">
            <v>Indirect Sales -% Government (G)</v>
          </cell>
          <cell r="C174" t="str">
            <v>IND_SALES_GOV</v>
          </cell>
          <cell r="D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0.1</v>
          </cell>
          <cell r="AU174">
            <v>0.1</v>
          </cell>
          <cell r="AV174">
            <v>0</v>
          </cell>
          <cell r="AW174">
            <v>0</v>
          </cell>
          <cell r="AX174">
            <v>0</v>
          </cell>
          <cell r="AY174">
            <v>0</v>
          </cell>
          <cell r="AZ174">
            <v>0</v>
          </cell>
          <cell r="BA174">
            <v>0</v>
          </cell>
          <cell r="BB174">
            <v>0</v>
          </cell>
        </row>
        <row r="175">
          <cell r="B175" t="str">
            <v>Indirect Sales -% Industry Sub-Segment: Financial Services</v>
          </cell>
          <cell r="C175" t="str">
            <v>IND_SALES_FINAN</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row>
        <row r="176">
          <cell r="A176" t="str">
            <v>Commodities Exposure - Sales</v>
          </cell>
          <cell r="B176">
            <v>0</v>
          </cell>
          <cell r="C176">
            <v>0</v>
          </cell>
          <cell r="D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row>
        <row r="177">
          <cell r="A177">
            <v>0</v>
          </cell>
          <cell r="B177" t="str">
            <v>Sales - % Other commodity</v>
          </cell>
          <cell r="C177" t="str">
            <v>SALES_OTH_COMMODITY</v>
          </cell>
          <cell r="D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row>
        <row r="178">
          <cell r="A178">
            <v>0</v>
          </cell>
          <cell r="B178" t="str">
            <v>Sales - % Other (Non-Commodity) sales sources</v>
          </cell>
          <cell r="C178" t="str">
            <v>SALES_OTH_SALES_SOURCES</v>
          </cell>
          <cell r="D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row>
        <row r="179">
          <cell r="A179" t="str">
            <v>Commodities Exposure - Expense</v>
          </cell>
          <cell r="B179">
            <v>0</v>
          </cell>
          <cell r="C179">
            <v>0</v>
          </cell>
          <cell r="D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row>
        <row r="180">
          <cell r="B180" t="str">
            <v>Expense - % Oil/Petrol/Fuel</v>
          </cell>
          <cell r="C180" t="str">
            <v>EXP_OIL_PETRO_FUEL</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row>
        <row r="181">
          <cell r="A181">
            <v>0</v>
          </cell>
          <cell r="B181" t="str">
            <v>Expense - % Oil derivatives/NGLs/plastics</v>
          </cell>
          <cell r="C181" t="str">
            <v>EXP_OIL_DERIV_NGLS_PLASTICS</v>
          </cell>
          <cell r="D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row>
        <row r="182">
          <cell r="A182">
            <v>0</v>
          </cell>
          <cell r="B182" t="str">
            <v>Expense - % Nat Gas</v>
          </cell>
          <cell r="C182" t="str">
            <v>EXP_NAT_GAS</v>
          </cell>
          <cell r="D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row>
        <row r="183">
          <cell r="B183" t="str">
            <v>Expense - % Gold</v>
          </cell>
          <cell r="C183" t="str">
            <v>EXP_GOLD</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row>
        <row r="184">
          <cell r="B184" t="str">
            <v>Expense - % Copper</v>
          </cell>
          <cell r="C184" t="str">
            <v>EXP_COPPER</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row>
        <row r="185">
          <cell r="B185" t="str">
            <v>Expense - % Silver</v>
          </cell>
          <cell r="C185" t="str">
            <v>EXP_SILVER</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row>
        <row r="186">
          <cell r="B186" t="str">
            <v>Expense - % Platinum</v>
          </cell>
          <cell r="C186" t="str">
            <v>EXP_PLATINUM</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row>
        <row r="187">
          <cell r="B187" t="str">
            <v>Expense - % Palladium</v>
          </cell>
          <cell r="C187" t="str">
            <v>EXP_PALLADIUM</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row>
        <row r="188">
          <cell r="B188" t="str">
            <v>Expense - % Aluminium</v>
          </cell>
          <cell r="C188" t="str">
            <v>EXP_ALUMINIUM</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row>
        <row r="189">
          <cell r="B189" t="str">
            <v>Expense - % Nickel</v>
          </cell>
          <cell r="C189" t="str">
            <v>EXP_NICKEL</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row>
        <row r="190">
          <cell r="B190" t="str">
            <v>Expense - % Zinc</v>
          </cell>
          <cell r="C190" t="str">
            <v>EXP_ZINC</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row>
        <row r="191">
          <cell r="B191" t="str">
            <v>Expense - % Steel</v>
          </cell>
          <cell r="C191" t="str">
            <v>EXP_STEEL</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row>
        <row r="192">
          <cell r="B192" t="str">
            <v>Expense - % Glass</v>
          </cell>
          <cell r="C192" t="str">
            <v>EXP_GLASS</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row>
        <row r="193">
          <cell r="B193" t="str">
            <v>Expense - % Rubber</v>
          </cell>
          <cell r="C193" t="str">
            <v>EXP_RUBBER</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row>
        <row r="194">
          <cell r="B194" t="str">
            <v>Expense - % Water</v>
          </cell>
          <cell r="C194" t="str">
            <v>EXP_WATER</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row>
        <row r="195">
          <cell r="A195">
            <v>0</v>
          </cell>
          <cell r="B195" t="str">
            <v>Expense - % Other commodity</v>
          </cell>
          <cell r="C195" t="str">
            <v>EXP_OTH_COMMODITY</v>
          </cell>
          <cell r="D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row>
        <row r="196">
          <cell r="A196">
            <v>0</v>
          </cell>
          <cell r="B196" t="str">
            <v>Expense - % Other (Non-Commodity) cost</v>
          </cell>
          <cell r="C196" t="str">
            <v>EXP_OTH_COST</v>
          </cell>
          <cell r="D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row>
        <row r="197">
          <cell r="A197" t="str">
            <v>FX Exposure - Sales</v>
          </cell>
          <cell r="B197">
            <v>0</v>
          </cell>
          <cell r="C197">
            <v>0</v>
          </cell>
          <cell r="D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row>
        <row r="198">
          <cell r="B198" t="str">
            <v>Sales - % FX: British Pounds/Pence</v>
          </cell>
          <cell r="C198" t="str">
            <v>SALES_FX_GPB</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0.1</v>
          </cell>
          <cell r="AU198">
            <v>0.1</v>
          </cell>
          <cell r="AV198">
            <v>0</v>
          </cell>
          <cell r="AW198">
            <v>0</v>
          </cell>
          <cell r="AX198">
            <v>0</v>
          </cell>
        </row>
        <row r="199">
          <cell r="B199" t="str">
            <v>Sales - % FX: Euro</v>
          </cell>
          <cell r="C199" t="str">
            <v>SALES_FX_EUR</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0.17</v>
          </cell>
          <cell r="AU199">
            <v>0.17</v>
          </cell>
          <cell r="AV199">
            <v>0</v>
          </cell>
          <cell r="AW199">
            <v>0</v>
          </cell>
          <cell r="AX199">
            <v>0</v>
          </cell>
        </row>
        <row r="200">
          <cell r="A200">
            <v>0</v>
          </cell>
          <cell r="B200" t="str">
            <v>Sales - % FX: New Russian Ruble</v>
          </cell>
          <cell r="C200" t="str">
            <v>SALES_FX_RUB</v>
          </cell>
          <cell r="D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row>
        <row r="201">
          <cell r="A201">
            <v>0</v>
          </cell>
          <cell r="B201" t="str">
            <v>Sales - % FX: U.S. Dollar</v>
          </cell>
          <cell r="C201" t="str">
            <v>SALES_FX_USD</v>
          </cell>
          <cell r="D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0.73</v>
          </cell>
          <cell r="AU201">
            <v>0.73</v>
          </cell>
          <cell r="AV201">
            <v>0</v>
          </cell>
          <cell r="AW201">
            <v>0</v>
          </cell>
          <cell r="AX201">
            <v>0</v>
          </cell>
        </row>
        <row r="202">
          <cell r="A202">
            <v>0</v>
          </cell>
          <cell r="B202" t="str">
            <v>Sales - % FX: Brazilian Real</v>
          </cell>
          <cell r="C202" t="str">
            <v>SALES_FX_BRL</v>
          </cell>
          <cell r="D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row>
        <row r="203">
          <cell r="A203">
            <v>0</v>
          </cell>
          <cell r="B203" t="str">
            <v>Sales - % FX: Japanese Yen</v>
          </cell>
          <cell r="C203" t="str">
            <v>SALES_FX_YEN</v>
          </cell>
          <cell r="D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row>
        <row r="204">
          <cell r="A204">
            <v>0</v>
          </cell>
          <cell r="B204" t="str">
            <v>Sales - % FX: Chinese Renminbi</v>
          </cell>
          <cell r="C204" t="str">
            <v>SALES_FX_CNY</v>
          </cell>
          <cell r="D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row>
        <row r="205">
          <cell r="A205">
            <v>0</v>
          </cell>
          <cell r="B205" t="str">
            <v>Sales - % FX: Indian Rupee</v>
          </cell>
          <cell r="C205" t="str">
            <v>SALES_FX_INR</v>
          </cell>
          <cell r="D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row>
        <row r="206">
          <cell r="A206">
            <v>0</v>
          </cell>
          <cell r="B206" t="str">
            <v>Sales - % FX: South African Rand</v>
          </cell>
          <cell r="C206" t="str">
            <v>SALES_FX_ZAR</v>
          </cell>
          <cell r="D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row>
        <row r="207">
          <cell r="A207">
            <v>0</v>
          </cell>
          <cell r="B207" t="str">
            <v>Sales - % FX: Nigerian Naira</v>
          </cell>
          <cell r="C207" t="str">
            <v>SALES_FX_NGN</v>
          </cell>
          <cell r="D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row>
        <row r="208">
          <cell r="A208">
            <v>0</v>
          </cell>
          <cell r="B208" t="str">
            <v>Sales - % FX: Swiss Franc</v>
          </cell>
          <cell r="C208" t="str">
            <v>SALES_FX_CHF</v>
          </cell>
          <cell r="D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row>
        <row r="209">
          <cell r="A209">
            <v>0</v>
          </cell>
          <cell r="B209" t="str">
            <v>Sales - % FX: UAE Dirham</v>
          </cell>
          <cell r="C209" t="str">
            <v>SALES_FX_AED</v>
          </cell>
          <cell r="D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row>
        <row r="210">
          <cell r="A210">
            <v>0</v>
          </cell>
          <cell r="B210" t="str">
            <v>Sales - % FX: New Turkish Lira</v>
          </cell>
          <cell r="C210" t="str">
            <v>SALES_FX_TRY</v>
          </cell>
          <cell r="D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row>
        <row r="211">
          <cell r="A211">
            <v>0</v>
          </cell>
          <cell r="B211" t="str">
            <v>Sales - % FX: Other Currency</v>
          </cell>
          <cell r="C211" t="str">
            <v>SALES_FX_OTH</v>
          </cell>
          <cell r="D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row>
        <row r="212">
          <cell r="A212" t="str">
            <v>Security: EADS</v>
          </cell>
          <cell r="B212">
            <v>0</v>
          </cell>
          <cell r="C212">
            <v>0</v>
          </cell>
          <cell r="D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row>
        <row r="213">
          <cell r="A213" t="str">
            <v>Reference Data</v>
          </cell>
          <cell r="B213">
            <v>0</v>
          </cell>
          <cell r="C213">
            <v>0</v>
          </cell>
          <cell r="D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row>
        <row r="214">
          <cell r="A214">
            <v>0</v>
          </cell>
          <cell r="B214" t="str">
            <v>Ticker</v>
          </cell>
          <cell r="C214" t="str">
            <v>Ticker</v>
          </cell>
          <cell r="D214">
            <v>0</v>
          </cell>
          <cell r="E214" t="str">
            <v>EAD.PA</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row>
        <row r="215">
          <cell r="A215">
            <v>0</v>
          </cell>
          <cell r="B215" t="str">
            <v>Security Name</v>
          </cell>
          <cell r="C215" t="str">
            <v>Security Name</v>
          </cell>
          <cell r="D215">
            <v>0</v>
          </cell>
          <cell r="E215" t="str">
            <v>EADS</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row>
        <row r="216">
          <cell r="A216">
            <v>0</v>
          </cell>
          <cell r="B216" t="str">
            <v>Interim Type</v>
          </cell>
          <cell r="C216" t="str">
            <v>Interim Type</v>
          </cell>
          <cell r="D216">
            <v>0</v>
          </cell>
          <cell r="E216" t="str">
            <v>Q</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row>
        <row r="217">
          <cell r="A217">
            <v>0</v>
          </cell>
          <cell r="B217" t="str">
            <v>Publishing Currency</v>
          </cell>
          <cell r="C217" t="str">
            <v>PUB_CURRENCY_ISO</v>
          </cell>
          <cell r="D217">
            <v>0</v>
          </cell>
          <cell r="E217" t="str">
            <v>EUR</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row>
        <row r="218">
          <cell r="A218">
            <v>0</v>
          </cell>
          <cell r="B218" t="str">
            <v>Pricing Currency</v>
          </cell>
          <cell r="C218" t="str">
            <v>PRICE_CURRENCY_ISO</v>
          </cell>
          <cell r="D218">
            <v>0</v>
          </cell>
          <cell r="E218" t="str">
            <v>EUR</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row>
        <row r="219">
          <cell r="A219">
            <v>0</v>
          </cell>
          <cell r="B219" t="str">
            <v>Reporting Currency</v>
          </cell>
          <cell r="C219" t="str">
            <v>CURRENCY_ISO</v>
          </cell>
          <cell r="D219">
            <v>0</v>
          </cell>
          <cell r="E219" t="str">
            <v>EUR</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row>
        <row r="220">
          <cell r="A220" t="str">
            <v>General Information</v>
          </cell>
          <cell r="B220">
            <v>0</v>
          </cell>
          <cell r="C220">
            <v>0</v>
          </cell>
          <cell r="D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row>
        <row r="221">
          <cell r="A221">
            <v>0</v>
          </cell>
          <cell r="B221" t="str">
            <v>Pan Europe Investment List</v>
          </cell>
          <cell r="C221" t="str">
            <v>EURO_LIST</v>
          </cell>
          <cell r="D221">
            <v>0</v>
          </cell>
          <cell r="E221" t="str">
            <v>Buy</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row>
        <row r="222">
          <cell r="A222">
            <v>0</v>
          </cell>
          <cell r="B222" t="str">
            <v>Pan Europe Conviction List</v>
          </cell>
          <cell r="C222" t="str">
            <v>EURO_CONVICTION</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row>
        <row r="223">
          <cell r="A223">
            <v>0</v>
          </cell>
          <cell r="B223" t="str">
            <v>Legal rating</v>
          </cell>
          <cell r="C223" t="str">
            <v>LEGAL_RATING</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row>
        <row r="224">
          <cell r="A224">
            <v>0</v>
          </cell>
          <cell r="B224" t="str">
            <v>Target price</v>
          </cell>
          <cell r="C224" t="str">
            <v>TARGET_PRICE</v>
          </cell>
          <cell r="D224" t="str">
            <v>EUR</v>
          </cell>
          <cell r="E224">
            <v>60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row>
        <row r="225">
          <cell r="A225">
            <v>0</v>
          </cell>
          <cell r="B225" t="str">
            <v>Target price period</v>
          </cell>
          <cell r="C225" t="str">
            <v>TP_PERIOD</v>
          </cell>
          <cell r="D225">
            <v>0</v>
          </cell>
          <cell r="E225" t="str">
            <v>12 months</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row>
        <row r="226">
          <cell r="A226">
            <v>0</v>
          </cell>
          <cell r="B226" t="str">
            <v>Current shares outstanding (mn)</v>
          </cell>
          <cell r="C226" t="str">
            <v>NUM_SH</v>
          </cell>
          <cell r="D226">
            <v>0</v>
          </cell>
          <cell r="E226">
            <v>812.5072879999999</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row>
        <row r="227">
          <cell r="A227">
            <v>0</v>
          </cell>
          <cell r="B227" t="str">
            <v>Free float</v>
          </cell>
          <cell r="C227" t="str">
            <v>FREE_FLOAT</v>
          </cell>
          <cell r="D227">
            <v>0</v>
          </cell>
          <cell r="E227">
            <v>0.47</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row>
        <row r="228">
          <cell r="A228">
            <v>0</v>
          </cell>
          <cell r="B228" t="str">
            <v>DaimlerChrysler</v>
          </cell>
          <cell r="C228" t="str">
            <v>ACT1</v>
          </cell>
          <cell r="D228">
            <v>0</v>
          </cell>
          <cell r="E228">
            <v>0.22500000000000001</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row>
        <row r="229">
          <cell r="A229">
            <v>0</v>
          </cell>
          <cell r="B229" t="str">
            <v>SOGEADE (Lagardere, French State, Institutions)</v>
          </cell>
          <cell r="C229" t="str">
            <v>ACT2</v>
          </cell>
          <cell r="D229">
            <v>0</v>
          </cell>
          <cell r="E229">
            <v>0.25</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row>
        <row r="230">
          <cell r="A230">
            <v>0</v>
          </cell>
          <cell r="B230" t="str">
            <v>SEPI (Spain)</v>
          </cell>
          <cell r="C230" t="str">
            <v>ACT3</v>
          </cell>
          <cell r="D230">
            <v>0</v>
          </cell>
          <cell r="E230">
            <v>0.05</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row>
        <row r="231">
          <cell r="A231" t="str">
            <v>Publishing Items</v>
          </cell>
          <cell r="B231">
            <v>0</v>
          </cell>
          <cell r="C231">
            <v>0</v>
          </cell>
          <cell r="D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row>
        <row r="232">
          <cell r="A232">
            <v>0</v>
          </cell>
          <cell r="B232" t="str">
            <v>Book value per share, BVPS (Pub)</v>
          </cell>
          <cell r="C232" t="str">
            <v>BVPS_PUB</v>
          </cell>
          <cell r="D232" t="str">
            <v>EUR</v>
          </cell>
          <cell r="F232">
            <v>12.698882038866888</v>
          </cell>
          <cell r="G232">
            <v>12.206250999219192</v>
          </cell>
          <cell r="H232">
            <v>15.937185142273556</v>
          </cell>
          <cell r="I232">
            <v>20.162124807939811</v>
          </cell>
          <cell r="J232">
            <v>21.228183051609257</v>
          </cell>
          <cell r="K232">
            <v>0</v>
          </cell>
          <cell r="L232">
            <v>0</v>
          </cell>
          <cell r="M232">
            <v>0</v>
          </cell>
          <cell r="N232">
            <v>0</v>
          </cell>
          <cell r="O232">
            <v>17.219048930783995</v>
          </cell>
          <cell r="P232">
            <v>0</v>
          </cell>
          <cell r="Q232">
            <v>0</v>
          </cell>
          <cell r="R232">
            <v>0</v>
          </cell>
          <cell r="S232">
            <v>0</v>
          </cell>
          <cell r="T232">
            <v>16.261236255562469</v>
          </cell>
          <cell r="U232">
            <v>0</v>
          </cell>
          <cell r="V232">
            <v>0</v>
          </cell>
          <cell r="W232">
            <v>0</v>
          </cell>
          <cell r="X232">
            <v>0</v>
          </cell>
          <cell r="Y232">
            <v>16.298767317255059</v>
          </cell>
          <cell r="Z232">
            <v>0</v>
          </cell>
          <cell r="AA232">
            <v>0</v>
          </cell>
          <cell r="AB232">
            <v>0</v>
          </cell>
          <cell r="AC232">
            <v>0</v>
          </cell>
          <cell r="AD232">
            <v>13.658351354882742</v>
          </cell>
          <cell r="AE232">
            <v>0</v>
          </cell>
          <cell r="AF232">
            <v>0</v>
          </cell>
          <cell r="AG232">
            <v>0</v>
          </cell>
          <cell r="AH232">
            <v>0</v>
          </cell>
          <cell r="AI232">
            <v>13.011013723697403</v>
          </cell>
          <cell r="AJ232">
            <v>0</v>
          </cell>
          <cell r="AK232">
            <v>0</v>
          </cell>
          <cell r="AL232">
            <v>0</v>
          </cell>
          <cell r="AM232">
            <v>0</v>
          </cell>
          <cell r="AN232">
            <v>10.905480006663778</v>
          </cell>
          <cell r="AO232">
            <v>0</v>
          </cell>
          <cell r="AP232">
            <v>0</v>
          </cell>
          <cell r="AQ232">
            <v>0</v>
          </cell>
          <cell r="AR232">
            <v>0</v>
          </cell>
          <cell r="AS232">
            <v>10.892209990859801</v>
          </cell>
          <cell r="AT232">
            <v>12.703534444745779</v>
          </cell>
          <cell r="AU232">
            <v>13.949751582569407</v>
          </cell>
          <cell r="AV232">
            <v>17.061311364530255</v>
          </cell>
          <cell r="AW232">
            <v>20.636020092873</v>
          </cell>
          <cell r="AX232">
            <v>24.716043657091198</v>
          </cell>
        </row>
        <row r="233">
          <cell r="A233">
            <v>0</v>
          </cell>
          <cell r="B233" t="str">
            <v>DPS, dividend per share (Pub)</v>
          </cell>
          <cell r="C233" t="str">
            <v>DPS_PUB</v>
          </cell>
          <cell r="D233" t="str">
            <v>EUR</v>
          </cell>
          <cell r="F233">
            <v>0.5</v>
          </cell>
          <cell r="G233">
            <v>0.5</v>
          </cell>
          <cell r="H233">
            <v>0.3</v>
          </cell>
          <cell r="I233">
            <v>0.4</v>
          </cell>
          <cell r="J233">
            <v>0.5</v>
          </cell>
          <cell r="K233">
            <v>0</v>
          </cell>
          <cell r="L233">
            <v>0</v>
          </cell>
          <cell r="M233">
            <v>0</v>
          </cell>
          <cell r="N233">
            <v>0</v>
          </cell>
          <cell r="O233">
            <v>0.65</v>
          </cell>
          <cell r="P233">
            <v>0</v>
          </cell>
          <cell r="Q233">
            <v>0</v>
          </cell>
          <cell r="R233">
            <v>0</v>
          </cell>
          <cell r="S233">
            <v>0</v>
          </cell>
          <cell r="T233">
            <v>0.12122194257528124</v>
          </cell>
          <cell r="U233">
            <v>0</v>
          </cell>
          <cell r="V233">
            <v>0</v>
          </cell>
          <cell r="W233">
            <v>0</v>
          </cell>
          <cell r="X233">
            <v>0</v>
          </cell>
          <cell r="Y233">
            <v>0.1207777257275585</v>
          </cell>
          <cell r="Z233">
            <v>0</v>
          </cell>
          <cell r="AA233">
            <v>0</v>
          </cell>
          <cell r="AB233">
            <v>0</v>
          </cell>
          <cell r="AC233">
            <v>0</v>
          </cell>
          <cell r="AD233">
            <v>0.20074876787252804</v>
          </cell>
          <cell r="AE233">
            <v>0</v>
          </cell>
          <cell r="AF233">
            <v>0</v>
          </cell>
          <cell r="AG233">
            <v>0</v>
          </cell>
          <cell r="AH233">
            <v>0</v>
          </cell>
          <cell r="AI233">
            <v>0</v>
          </cell>
          <cell r="AJ233">
            <v>0</v>
          </cell>
          <cell r="AK233">
            <v>0</v>
          </cell>
          <cell r="AL233">
            <v>0</v>
          </cell>
          <cell r="AM233">
            <v>0</v>
          </cell>
          <cell r="AN233">
            <v>0.21956514434862032</v>
          </cell>
          <cell r="AO233">
            <v>0</v>
          </cell>
          <cell r="AP233">
            <v>0</v>
          </cell>
          <cell r="AQ233">
            <v>0</v>
          </cell>
          <cell r="AR233">
            <v>0</v>
          </cell>
          <cell r="AS233">
            <v>0.45414977250025601</v>
          </cell>
          <cell r="AT233">
            <v>0.56239330971562107</v>
          </cell>
          <cell r="AU233">
            <v>0.61863264068718327</v>
          </cell>
          <cell r="AV233">
            <v>0.6804959047559016</v>
          </cell>
          <cell r="AW233">
            <v>0.74854549523149183</v>
          </cell>
          <cell r="AX233">
            <v>0.82340004475464112</v>
          </cell>
        </row>
        <row r="234">
          <cell r="A234">
            <v>0</v>
          </cell>
          <cell r="B234" t="str">
            <v>EBITDA (Pub)</v>
          </cell>
          <cell r="C234" t="str">
            <v>EBITDA_PUB</v>
          </cell>
          <cell r="D234" t="str">
            <v>EUR</v>
          </cell>
          <cell r="F234">
            <v>2334</v>
          </cell>
          <cell r="G234">
            <v>3213</v>
          </cell>
          <cell r="H234">
            <v>3031</v>
          </cell>
          <cell r="I234">
            <v>3137</v>
          </cell>
          <cell r="J234">
            <v>3853</v>
          </cell>
          <cell r="K234">
            <v>0</v>
          </cell>
          <cell r="L234">
            <v>0</v>
          </cell>
          <cell r="M234">
            <v>0</v>
          </cell>
          <cell r="N234">
            <v>0</v>
          </cell>
          <cell r="O234">
            <v>4369</v>
          </cell>
          <cell r="P234">
            <v>0</v>
          </cell>
          <cell r="Q234">
            <v>0</v>
          </cell>
          <cell r="R234">
            <v>0</v>
          </cell>
          <cell r="S234">
            <v>0</v>
          </cell>
          <cell r="T234">
            <v>5126</v>
          </cell>
          <cell r="U234">
            <v>0</v>
          </cell>
          <cell r="V234">
            <v>0</v>
          </cell>
          <cell r="W234">
            <v>0</v>
          </cell>
          <cell r="X234">
            <v>0</v>
          </cell>
          <cell r="Y234">
            <v>5325</v>
          </cell>
          <cell r="Z234">
            <v>0</v>
          </cell>
          <cell r="AA234">
            <v>0</v>
          </cell>
          <cell r="AB234">
            <v>0</v>
          </cell>
          <cell r="AC234">
            <v>0</v>
          </cell>
          <cell r="AD234">
            <v>4945</v>
          </cell>
          <cell r="AE234">
            <v>0</v>
          </cell>
          <cell r="AF234">
            <v>0</v>
          </cell>
          <cell r="AG234">
            <v>0</v>
          </cell>
          <cell r="AH234">
            <v>0</v>
          </cell>
          <cell r="AI234">
            <v>3918</v>
          </cell>
          <cell r="AJ234">
            <v>0</v>
          </cell>
          <cell r="AK234">
            <v>0</v>
          </cell>
          <cell r="AL234">
            <v>0</v>
          </cell>
          <cell r="AM234">
            <v>0</v>
          </cell>
          <cell r="AN234">
            <v>2879</v>
          </cell>
          <cell r="AO234">
            <v>0</v>
          </cell>
          <cell r="AP234">
            <v>0</v>
          </cell>
          <cell r="AQ234">
            <v>0</v>
          </cell>
          <cell r="AR234">
            <v>0</v>
          </cell>
          <cell r="AS234">
            <v>3596</v>
          </cell>
          <cell r="AT234">
            <v>4957</v>
          </cell>
          <cell r="AU234">
            <v>5670.1809064221325</v>
          </cell>
          <cell r="AV234">
            <v>6364.7841313281106</v>
          </cell>
          <cell r="AW234">
            <v>6997.2095583493847</v>
          </cell>
          <cell r="AX234">
            <v>7722.8720666506642</v>
          </cell>
        </row>
        <row r="235">
          <cell r="A235">
            <v>0</v>
          </cell>
          <cell r="B235" t="str">
            <v>EPS (Pub)</v>
          </cell>
          <cell r="C235" t="str">
            <v>EPS_PUB</v>
          </cell>
          <cell r="D235" t="str">
            <v>EUR</v>
          </cell>
          <cell r="F235">
            <v>0.46413708790366726</v>
          </cell>
          <cell r="G235">
            <v>1.0021109001598161</v>
          </cell>
          <cell r="H235">
            <v>0.86554568551591382</v>
          </cell>
          <cell r="I235">
            <v>0.96010147860621731</v>
          </cell>
          <cell r="J235">
            <v>1.4381393443047095</v>
          </cell>
          <cell r="K235">
            <v>0</v>
          </cell>
          <cell r="L235">
            <v>0</v>
          </cell>
          <cell r="M235">
            <v>0</v>
          </cell>
          <cell r="N235">
            <v>0</v>
          </cell>
          <cell r="O235">
            <v>2.2259013837355588</v>
          </cell>
          <cell r="P235">
            <v>0</v>
          </cell>
          <cell r="Q235">
            <v>0</v>
          </cell>
          <cell r="R235">
            <v>0</v>
          </cell>
          <cell r="S235">
            <v>0</v>
          </cell>
          <cell r="T235">
            <v>4.1940292709550908</v>
          </cell>
          <cell r="U235">
            <v>0</v>
          </cell>
          <cell r="V235">
            <v>0</v>
          </cell>
          <cell r="W235">
            <v>0</v>
          </cell>
          <cell r="X235">
            <v>0</v>
          </cell>
          <cell r="Y235">
            <v>3.8960155031085626</v>
          </cell>
          <cell r="Z235">
            <v>0</v>
          </cell>
          <cell r="AA235">
            <v>0</v>
          </cell>
          <cell r="AB235">
            <v>0</v>
          </cell>
          <cell r="AC235">
            <v>0</v>
          </cell>
          <cell r="AD235">
            <v>2.6184083118188379</v>
          </cell>
          <cell r="AE235">
            <v>0</v>
          </cell>
          <cell r="AF235">
            <v>0</v>
          </cell>
          <cell r="AG235">
            <v>0</v>
          </cell>
          <cell r="AH235">
            <v>0</v>
          </cell>
          <cell r="AI235">
            <v>2.1588279059347943</v>
          </cell>
          <cell r="AJ235">
            <v>0</v>
          </cell>
          <cell r="AK235">
            <v>0</v>
          </cell>
          <cell r="AL235">
            <v>0</v>
          </cell>
          <cell r="AM235">
            <v>0</v>
          </cell>
          <cell r="AN235">
            <v>0.7808131256891947</v>
          </cell>
          <cell r="AO235">
            <v>0</v>
          </cell>
          <cell r="AP235">
            <v>0</v>
          </cell>
          <cell r="AQ235">
            <v>0</v>
          </cell>
          <cell r="AR235">
            <v>0</v>
          </cell>
          <cell r="AS235">
            <v>1.3870644813219204</v>
          </cell>
          <cell r="AT235">
            <v>2.1858036497780469</v>
          </cell>
          <cell r="AU235">
            <v>3.21692883568902</v>
          </cell>
          <cell r="AV235">
            <v>3.8485665624642289</v>
          </cell>
          <cell r="AW235">
            <v>4.3777155088461273</v>
          </cell>
          <cell r="AX235">
            <v>4.9556303447215875</v>
          </cell>
          <cell r="AY235">
            <v>5.3467396463578076</v>
          </cell>
          <cell r="AZ235">
            <v>5.5612550612250082</v>
          </cell>
          <cell r="BA235">
            <v>6.7351639559487122</v>
          </cell>
          <cell r="BB235">
            <v>7.8539404512417157</v>
          </cell>
        </row>
        <row r="236">
          <cell r="A236">
            <v>0</v>
          </cell>
          <cell r="B236" t="str">
            <v>EV adjustment (Pub)</v>
          </cell>
          <cell r="C236" t="str">
            <v>EV_ADJ_PUB</v>
          </cell>
          <cell r="D236" t="str">
            <v>EUR</v>
          </cell>
          <cell r="F236">
            <v>4294</v>
          </cell>
          <cell r="G236">
            <v>5364</v>
          </cell>
          <cell r="H236">
            <v>4816</v>
          </cell>
          <cell r="I236">
            <v>5140</v>
          </cell>
          <cell r="J236">
            <v>7390</v>
          </cell>
          <cell r="K236">
            <v>0</v>
          </cell>
          <cell r="L236">
            <v>0</v>
          </cell>
          <cell r="M236">
            <v>0</v>
          </cell>
          <cell r="N236">
            <v>0</v>
          </cell>
          <cell r="O236">
            <v>9233</v>
          </cell>
          <cell r="P236">
            <v>0</v>
          </cell>
          <cell r="Q236">
            <v>0</v>
          </cell>
          <cell r="R236">
            <v>0</v>
          </cell>
          <cell r="S236">
            <v>0</v>
          </cell>
          <cell r="T236">
            <v>4750.1719545194146</v>
          </cell>
          <cell r="U236">
            <v>0</v>
          </cell>
          <cell r="V236">
            <v>0</v>
          </cell>
          <cell r="W236">
            <v>0</v>
          </cell>
          <cell r="X236">
            <v>0</v>
          </cell>
          <cell r="Y236">
            <v>8623.466763587272</v>
          </cell>
          <cell r="Z236">
            <v>0</v>
          </cell>
          <cell r="AA236">
            <v>0</v>
          </cell>
          <cell r="AB236">
            <v>0</v>
          </cell>
          <cell r="AC236">
            <v>0</v>
          </cell>
          <cell r="AD236">
            <v>9392.9676665205388</v>
          </cell>
          <cell r="AE236">
            <v>0</v>
          </cell>
          <cell r="AF236">
            <v>0</v>
          </cell>
          <cell r="AG236">
            <v>0</v>
          </cell>
          <cell r="AH236">
            <v>0</v>
          </cell>
          <cell r="AI236">
            <v>12898.409962494567</v>
          </cell>
          <cell r="AJ236">
            <v>0</v>
          </cell>
          <cell r="AK236">
            <v>0</v>
          </cell>
          <cell r="AL236">
            <v>0</v>
          </cell>
          <cell r="AM236">
            <v>0</v>
          </cell>
          <cell r="AN236">
            <v>15329.869253794099</v>
          </cell>
          <cell r="AO236">
            <v>0</v>
          </cell>
          <cell r="AP236">
            <v>0</v>
          </cell>
          <cell r="AQ236">
            <v>0</v>
          </cell>
          <cell r="AR236">
            <v>0</v>
          </cell>
          <cell r="AS236">
            <v>13568.215482884127</v>
          </cell>
          <cell r="AT236">
            <v>13235.313238407645</v>
          </cell>
          <cell r="AU236">
            <v>10089.8724436873</v>
          </cell>
          <cell r="AV236">
            <v>9832.7891314504195</v>
          </cell>
          <cell r="AW236">
            <v>10408.428062132371</v>
          </cell>
          <cell r="AX236">
            <v>11529.091344775967</v>
          </cell>
          <cell r="AY236">
            <v>13002.915799978513</v>
          </cell>
          <cell r="AZ236">
            <v>15312.58680798716</v>
          </cell>
          <cell r="BA236">
            <v>19144.579592144582</v>
          </cell>
          <cell r="BB236">
            <v>25595.358966716194</v>
          </cell>
        </row>
        <row r="237">
          <cell r="B237" t="str">
            <v>Net debt (Pub)</v>
          </cell>
          <cell r="C237" t="str">
            <v>NET_DEBT_PUB</v>
          </cell>
          <cell r="D237" t="str">
            <v>EUR</v>
          </cell>
          <cell r="F237">
            <v>-2143</v>
          </cell>
          <cell r="G237">
            <v>-1533</v>
          </cell>
          <cell r="H237">
            <v>-1224</v>
          </cell>
          <cell r="I237">
            <v>-3105</v>
          </cell>
          <cell r="J237">
            <v>-4058</v>
          </cell>
          <cell r="K237">
            <v>0</v>
          </cell>
          <cell r="L237">
            <v>0</v>
          </cell>
          <cell r="M237">
            <v>0</v>
          </cell>
          <cell r="N237">
            <v>0</v>
          </cell>
          <cell r="O237">
            <v>-5489</v>
          </cell>
          <cell r="P237">
            <v>0</v>
          </cell>
          <cell r="Q237">
            <v>0</v>
          </cell>
          <cell r="R237">
            <v>0</v>
          </cell>
          <cell r="S237">
            <v>0</v>
          </cell>
          <cell r="T237">
            <v>-4229</v>
          </cell>
          <cell r="U237">
            <v>0</v>
          </cell>
          <cell r="V237">
            <v>0</v>
          </cell>
          <cell r="W237">
            <v>0</v>
          </cell>
          <cell r="X237">
            <v>0</v>
          </cell>
          <cell r="Y237">
            <v>-7024</v>
          </cell>
          <cell r="Z237">
            <v>0</v>
          </cell>
          <cell r="AA237">
            <v>0</v>
          </cell>
          <cell r="AB237">
            <v>0</v>
          </cell>
          <cell r="AC237">
            <v>0</v>
          </cell>
          <cell r="AD237">
            <v>-9193</v>
          </cell>
          <cell r="AE237">
            <v>0</v>
          </cell>
          <cell r="AF237">
            <v>0</v>
          </cell>
          <cell r="AG237">
            <v>0</v>
          </cell>
          <cell r="AH237">
            <v>0</v>
          </cell>
          <cell r="AI237">
            <v>-9797</v>
          </cell>
          <cell r="AJ237">
            <v>0</v>
          </cell>
          <cell r="AK237">
            <v>0</v>
          </cell>
          <cell r="AL237">
            <v>0</v>
          </cell>
          <cell r="AM237">
            <v>0</v>
          </cell>
          <cell r="AN237">
            <v>-11918</v>
          </cell>
          <cell r="AO237">
            <v>0</v>
          </cell>
          <cell r="AP237">
            <v>0</v>
          </cell>
          <cell r="AQ237">
            <v>0</v>
          </cell>
          <cell r="AR237">
            <v>0</v>
          </cell>
          <cell r="AS237">
            <v>-11681</v>
          </cell>
          <cell r="AT237">
            <v>-12292</v>
          </cell>
          <cell r="AU237">
            <v>-7966.6721038082269</v>
          </cell>
          <cell r="AV237">
            <v>-8518.3779077994714</v>
          </cell>
          <cell r="AW237">
            <v>-9686.0388104872163</v>
          </cell>
          <cell r="AX237">
            <v>-11050.683306018305</v>
          </cell>
          <cell r="AY237">
            <v>-12896.402031153997</v>
          </cell>
          <cell r="AZ237">
            <v>-15412.737012969661</v>
          </cell>
          <cell r="BA237">
            <v>-19191.777072255965</v>
          </cell>
          <cell r="BB237">
            <v>-25216.138145465848</v>
          </cell>
        </row>
        <row r="238">
          <cell r="B238" t="str">
            <v>Net income (Pub)</v>
          </cell>
          <cell r="C238" t="str">
            <v>NI_PUB</v>
          </cell>
          <cell r="D238" t="str">
            <v>EUR</v>
          </cell>
          <cell r="F238">
            <v>179</v>
          </cell>
          <cell r="G238">
            <v>809</v>
          </cell>
          <cell r="H238">
            <v>696</v>
          </cell>
          <cell r="I238">
            <v>769</v>
          </cell>
          <cell r="J238">
            <v>1152</v>
          </cell>
          <cell r="K238">
            <v>0</v>
          </cell>
          <cell r="L238">
            <v>0</v>
          </cell>
          <cell r="M238">
            <v>0</v>
          </cell>
          <cell r="N238">
            <v>0</v>
          </cell>
          <cell r="O238">
            <v>1769</v>
          </cell>
          <cell r="P238">
            <v>0</v>
          </cell>
          <cell r="Q238">
            <v>0</v>
          </cell>
          <cell r="R238">
            <v>0</v>
          </cell>
          <cell r="S238">
            <v>0</v>
          </cell>
          <cell r="T238">
            <v>3356</v>
          </cell>
          <cell r="U238">
            <v>0</v>
          </cell>
          <cell r="V238">
            <v>0</v>
          </cell>
          <cell r="W238">
            <v>0</v>
          </cell>
          <cell r="X238">
            <v>0</v>
          </cell>
          <cell r="Y238">
            <v>3129</v>
          </cell>
          <cell r="Z238">
            <v>0</v>
          </cell>
          <cell r="AA238">
            <v>0</v>
          </cell>
          <cell r="AB238">
            <v>0</v>
          </cell>
          <cell r="AC238">
            <v>0</v>
          </cell>
          <cell r="AD238">
            <v>2113</v>
          </cell>
          <cell r="AE238">
            <v>0</v>
          </cell>
          <cell r="AF238">
            <v>0</v>
          </cell>
          <cell r="AG238">
            <v>0</v>
          </cell>
          <cell r="AH238">
            <v>0</v>
          </cell>
          <cell r="AI238">
            <v>1748</v>
          </cell>
          <cell r="AJ238">
            <v>0</v>
          </cell>
          <cell r="AK238">
            <v>0</v>
          </cell>
          <cell r="AL238">
            <v>0</v>
          </cell>
          <cell r="AM238">
            <v>0</v>
          </cell>
          <cell r="AN238">
            <v>633</v>
          </cell>
          <cell r="AO238">
            <v>0</v>
          </cell>
          <cell r="AP238">
            <v>0</v>
          </cell>
          <cell r="AQ238">
            <v>0</v>
          </cell>
          <cell r="AR238">
            <v>0</v>
          </cell>
          <cell r="AS238">
            <v>1127</v>
          </cell>
          <cell r="AT238">
            <v>1791</v>
          </cell>
          <cell r="AU238">
            <v>2470.6702620756141</v>
          </cell>
          <cell r="AV238">
            <v>2955.781567813995</v>
          </cell>
          <cell r="AW238">
            <v>3362.1792945931711</v>
          </cell>
          <cell r="AX238">
            <v>3806.0302692150535</v>
          </cell>
          <cell r="AY238">
            <v>4106.4105916062399</v>
          </cell>
          <cell r="AZ238">
            <v>4271.1630257879824</v>
          </cell>
          <cell r="BA238">
            <v>5172.7502055860386</v>
          </cell>
          <cell r="BB238">
            <v>6031.9945215199241</v>
          </cell>
        </row>
        <row r="239">
          <cell r="B239" t="str">
            <v>EBIT, operating profit (Pub)</v>
          </cell>
          <cell r="C239" t="str">
            <v>EBIT_PUB</v>
          </cell>
          <cell r="D239" t="str">
            <v>EUR</v>
          </cell>
          <cell r="F239">
            <v>1399</v>
          </cell>
          <cell r="G239">
            <v>1694</v>
          </cell>
          <cell r="H239">
            <v>1426</v>
          </cell>
          <cell r="I239">
            <v>1543</v>
          </cell>
          <cell r="J239">
            <v>2444</v>
          </cell>
          <cell r="K239">
            <v>0</v>
          </cell>
          <cell r="L239">
            <v>0</v>
          </cell>
          <cell r="M239">
            <v>0</v>
          </cell>
          <cell r="N239">
            <v>0</v>
          </cell>
          <cell r="O239">
            <v>2852</v>
          </cell>
          <cell r="P239">
            <v>0</v>
          </cell>
          <cell r="Q239">
            <v>0</v>
          </cell>
          <cell r="R239">
            <v>0</v>
          </cell>
          <cell r="S239">
            <v>0</v>
          </cell>
          <cell r="T239">
            <v>3556</v>
          </cell>
          <cell r="U239">
            <v>0</v>
          </cell>
          <cell r="V239">
            <v>0</v>
          </cell>
          <cell r="W239">
            <v>0</v>
          </cell>
          <cell r="X239">
            <v>0</v>
          </cell>
          <cell r="Y239">
            <v>3614</v>
          </cell>
          <cell r="Z239">
            <v>0</v>
          </cell>
          <cell r="AA239">
            <v>0</v>
          </cell>
          <cell r="AB239">
            <v>0</v>
          </cell>
          <cell r="AC239">
            <v>0</v>
          </cell>
          <cell r="AD239">
            <v>3330</v>
          </cell>
          <cell r="AE239">
            <v>0</v>
          </cell>
          <cell r="AF239">
            <v>0</v>
          </cell>
          <cell r="AG239">
            <v>0</v>
          </cell>
          <cell r="AH239">
            <v>0</v>
          </cell>
          <cell r="AI239">
            <v>2148</v>
          </cell>
          <cell r="AJ239">
            <v>0</v>
          </cell>
          <cell r="AK239">
            <v>0</v>
          </cell>
          <cell r="AL239">
            <v>0</v>
          </cell>
          <cell r="AM239">
            <v>0</v>
          </cell>
          <cell r="AN239">
            <v>1341</v>
          </cell>
          <cell r="AO239">
            <v>0</v>
          </cell>
          <cell r="AP239">
            <v>0</v>
          </cell>
          <cell r="AQ239">
            <v>0</v>
          </cell>
          <cell r="AR239">
            <v>0</v>
          </cell>
          <cell r="AS239">
            <v>1794</v>
          </cell>
          <cell r="AT239">
            <v>2959</v>
          </cell>
          <cell r="AU239">
            <v>3576.8460637198664</v>
          </cell>
          <cell r="AV239">
            <v>4160.0513414559355</v>
          </cell>
          <cell r="AW239">
            <v>4626.0855568197758</v>
          </cell>
          <cell r="AX239">
            <v>5133.467527668452</v>
          </cell>
        </row>
        <row r="240">
          <cell r="B240" t="str">
            <v>Pre-tax profit (Pub)</v>
          </cell>
          <cell r="C240" t="str">
            <v>PTP_PUB</v>
          </cell>
          <cell r="D240" t="str">
            <v>EUR</v>
          </cell>
          <cell r="F240">
            <v>-27</v>
          </cell>
          <cell r="G240">
            <v>1523</v>
          </cell>
          <cell r="H240">
            <v>1366</v>
          </cell>
          <cell r="I240">
            <v>1488</v>
          </cell>
          <cell r="J240">
            <v>2114</v>
          </cell>
          <cell r="K240">
            <v>0</v>
          </cell>
          <cell r="L240">
            <v>0</v>
          </cell>
          <cell r="M240">
            <v>0</v>
          </cell>
          <cell r="N240">
            <v>0</v>
          </cell>
          <cell r="O240">
            <v>2675</v>
          </cell>
          <cell r="P240">
            <v>0</v>
          </cell>
          <cell r="Q240">
            <v>0</v>
          </cell>
          <cell r="R240">
            <v>0</v>
          </cell>
          <cell r="S240">
            <v>0</v>
          </cell>
          <cell r="T240">
            <v>3312</v>
          </cell>
          <cell r="U240">
            <v>0</v>
          </cell>
          <cell r="V240">
            <v>0</v>
          </cell>
          <cell r="W240">
            <v>0</v>
          </cell>
          <cell r="X240">
            <v>0</v>
          </cell>
          <cell r="Y240">
            <v>2877</v>
          </cell>
          <cell r="Z240">
            <v>0</v>
          </cell>
          <cell r="AA240">
            <v>0</v>
          </cell>
          <cell r="AB240">
            <v>0</v>
          </cell>
          <cell r="AC240">
            <v>0</v>
          </cell>
          <cell r="AD240">
            <v>2858</v>
          </cell>
          <cell r="AE240">
            <v>0</v>
          </cell>
          <cell r="AF240">
            <v>0</v>
          </cell>
          <cell r="AG240">
            <v>0</v>
          </cell>
          <cell r="AH240">
            <v>0</v>
          </cell>
          <cell r="AI240">
            <v>1556</v>
          </cell>
          <cell r="AJ240">
            <v>0</v>
          </cell>
          <cell r="AK240">
            <v>0</v>
          </cell>
          <cell r="AL240">
            <v>0</v>
          </cell>
          <cell r="AM240">
            <v>0</v>
          </cell>
          <cell r="AN240">
            <v>929</v>
          </cell>
          <cell r="AO240">
            <v>0</v>
          </cell>
          <cell r="AP240">
            <v>0</v>
          </cell>
          <cell r="AQ240">
            <v>0</v>
          </cell>
          <cell r="AR240">
            <v>0</v>
          </cell>
          <cell r="AS240">
            <v>1515</v>
          </cell>
          <cell r="AT240">
            <v>2494</v>
          </cell>
          <cell r="AU240">
            <v>3247.5127303865329</v>
          </cell>
          <cell r="AV240">
            <v>3922.6611380377076</v>
          </cell>
          <cell r="AW240">
            <v>4464.5247737432755</v>
          </cell>
          <cell r="AX240">
            <v>5056.3260732391191</v>
          </cell>
        </row>
        <row r="241">
          <cell r="A241">
            <v>0</v>
          </cell>
          <cell r="B241" t="str">
            <v>Sales, revenue (Pub)</v>
          </cell>
          <cell r="C241" t="str">
            <v>REVS_PUB</v>
          </cell>
          <cell r="D241" t="str">
            <v>EUR</v>
          </cell>
          <cell r="F241">
            <v>24208</v>
          </cell>
          <cell r="G241">
            <v>30798</v>
          </cell>
          <cell r="H241">
            <v>29901</v>
          </cell>
          <cell r="I241">
            <v>30133</v>
          </cell>
          <cell r="J241">
            <v>31761</v>
          </cell>
          <cell r="K241">
            <v>0</v>
          </cell>
          <cell r="L241">
            <v>0</v>
          </cell>
          <cell r="M241">
            <v>0</v>
          </cell>
          <cell r="N241">
            <v>0</v>
          </cell>
          <cell r="O241">
            <v>34206</v>
          </cell>
          <cell r="P241">
            <v>0</v>
          </cell>
          <cell r="Q241">
            <v>0</v>
          </cell>
          <cell r="R241">
            <v>0</v>
          </cell>
          <cell r="S241">
            <v>0</v>
          </cell>
          <cell r="T241">
            <v>39434</v>
          </cell>
          <cell r="U241">
            <v>0</v>
          </cell>
          <cell r="V241">
            <v>0</v>
          </cell>
          <cell r="W241">
            <v>0</v>
          </cell>
          <cell r="X241">
            <v>0</v>
          </cell>
          <cell r="Y241">
            <v>39123</v>
          </cell>
          <cell r="Z241">
            <v>0</v>
          </cell>
          <cell r="AA241">
            <v>0</v>
          </cell>
          <cell r="AB241">
            <v>0</v>
          </cell>
          <cell r="AC241">
            <v>0</v>
          </cell>
          <cell r="AD241">
            <v>43265</v>
          </cell>
          <cell r="AE241">
            <v>0</v>
          </cell>
          <cell r="AF241">
            <v>0</v>
          </cell>
          <cell r="AG241">
            <v>0</v>
          </cell>
          <cell r="AH241">
            <v>0</v>
          </cell>
          <cell r="AI241">
            <v>42822</v>
          </cell>
          <cell r="AJ241">
            <v>0</v>
          </cell>
          <cell r="AK241">
            <v>0</v>
          </cell>
          <cell r="AL241">
            <v>0</v>
          </cell>
          <cell r="AM241">
            <v>0</v>
          </cell>
          <cell r="AN241">
            <v>45752</v>
          </cell>
          <cell r="AO241">
            <v>0</v>
          </cell>
          <cell r="AP241">
            <v>0</v>
          </cell>
          <cell r="AQ241">
            <v>0</v>
          </cell>
          <cell r="AR241">
            <v>0</v>
          </cell>
          <cell r="AS241">
            <v>49128</v>
          </cell>
          <cell r="AT241">
            <v>56480</v>
          </cell>
          <cell r="AU241">
            <v>59216.726978690989</v>
          </cell>
          <cell r="AV241">
            <v>62281.391399614724</v>
          </cell>
          <cell r="AW241">
            <v>66858.97329655182</v>
          </cell>
          <cell r="AX241">
            <v>72864.08033762491</v>
          </cell>
        </row>
        <row r="242">
          <cell r="A242">
            <v>0</v>
          </cell>
          <cell r="B242" t="str">
            <v>Total shareholders' equity (Pub)</v>
          </cell>
          <cell r="C242" t="str">
            <v>EQ_PUB</v>
          </cell>
          <cell r="D242" t="str">
            <v>EUR</v>
          </cell>
          <cell r="F242">
            <v>10471</v>
          </cell>
          <cell r="G242">
            <v>10436</v>
          </cell>
          <cell r="H242">
            <v>14126</v>
          </cell>
          <cell r="I242">
            <v>18328</v>
          </cell>
          <cell r="J242">
            <v>19343</v>
          </cell>
          <cell r="K242">
            <v>0</v>
          </cell>
          <cell r="L242">
            <v>0</v>
          </cell>
          <cell r="M242">
            <v>0</v>
          </cell>
          <cell r="N242">
            <v>0</v>
          </cell>
          <cell r="O242">
            <v>13902</v>
          </cell>
          <cell r="P242">
            <v>0</v>
          </cell>
          <cell r="Q242">
            <v>0</v>
          </cell>
          <cell r="R242">
            <v>0</v>
          </cell>
          <cell r="S242">
            <v>0</v>
          </cell>
          <cell r="T242">
            <v>13152</v>
          </cell>
          <cell r="U242">
            <v>0</v>
          </cell>
          <cell r="V242">
            <v>0</v>
          </cell>
          <cell r="W242">
            <v>0</v>
          </cell>
          <cell r="X242">
            <v>0</v>
          </cell>
          <cell r="Y242">
            <v>13175</v>
          </cell>
          <cell r="Z242">
            <v>0</v>
          </cell>
          <cell r="AA242">
            <v>0</v>
          </cell>
          <cell r="AB242">
            <v>0</v>
          </cell>
          <cell r="AC242">
            <v>0</v>
          </cell>
          <cell r="AD242">
            <v>11126</v>
          </cell>
          <cell r="AE242">
            <v>0</v>
          </cell>
          <cell r="AF242">
            <v>0</v>
          </cell>
          <cell r="AG242">
            <v>0</v>
          </cell>
          <cell r="AH242">
            <v>0</v>
          </cell>
          <cell r="AI242">
            <v>10641</v>
          </cell>
          <cell r="AJ242">
            <v>0</v>
          </cell>
          <cell r="AK242">
            <v>0</v>
          </cell>
          <cell r="AL242">
            <v>0</v>
          </cell>
          <cell r="AM242">
            <v>0</v>
          </cell>
          <cell r="AN242">
            <v>8936</v>
          </cell>
          <cell r="AO242">
            <v>0</v>
          </cell>
          <cell r="AP242">
            <v>0</v>
          </cell>
          <cell r="AQ242">
            <v>0</v>
          </cell>
          <cell r="AR242">
            <v>0</v>
          </cell>
          <cell r="AS242">
            <v>8865</v>
          </cell>
          <cell r="AT242">
            <v>10434</v>
          </cell>
          <cell r="AU242">
            <v>10739.708060941457</v>
          </cell>
          <cell r="AV242">
            <v>13130.452632432596</v>
          </cell>
          <cell r="AW242">
            <v>15876.905516784911</v>
          </cell>
          <cell r="AX242">
            <v>19011.451020449305</v>
          </cell>
        </row>
        <row r="243">
          <cell r="A243" t="str">
            <v>Income Statement</v>
          </cell>
          <cell r="B243">
            <v>0</v>
          </cell>
          <cell r="C243">
            <v>0</v>
          </cell>
          <cell r="D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row>
        <row r="244">
          <cell r="A244">
            <v>0</v>
          </cell>
          <cell r="B244" t="str">
            <v>Provision for income tax</v>
          </cell>
          <cell r="C244" t="str">
            <v>PROV_INC_TAX</v>
          </cell>
          <cell r="D244" t="str">
            <v>EUR</v>
          </cell>
          <cell r="F244">
            <v>220</v>
          </cell>
          <cell r="G244">
            <v>-828</v>
          </cell>
          <cell r="H244">
            <v>-541</v>
          </cell>
          <cell r="I244">
            <v>-557</v>
          </cell>
          <cell r="J244">
            <v>-742</v>
          </cell>
          <cell r="K244">
            <v>0</v>
          </cell>
          <cell r="L244">
            <v>0</v>
          </cell>
          <cell r="M244">
            <v>0</v>
          </cell>
          <cell r="N244">
            <v>0</v>
          </cell>
          <cell r="O244">
            <v>-872</v>
          </cell>
          <cell r="P244">
            <v>0</v>
          </cell>
          <cell r="Q244">
            <v>0</v>
          </cell>
          <cell r="R244">
            <v>0</v>
          </cell>
          <cell r="S244">
            <v>0</v>
          </cell>
          <cell r="T244">
            <v>60</v>
          </cell>
          <cell r="U244">
            <v>0</v>
          </cell>
          <cell r="V244">
            <v>0</v>
          </cell>
          <cell r="W244">
            <v>0</v>
          </cell>
          <cell r="X244">
            <v>0</v>
          </cell>
          <cell r="Y244">
            <v>261</v>
          </cell>
          <cell r="Z244">
            <v>0</v>
          </cell>
          <cell r="AA244">
            <v>0</v>
          </cell>
          <cell r="AB244">
            <v>0</v>
          </cell>
          <cell r="AC244">
            <v>0</v>
          </cell>
          <cell r="AD244">
            <v>-720</v>
          </cell>
          <cell r="AE244">
            <v>0</v>
          </cell>
          <cell r="AF244">
            <v>0</v>
          </cell>
          <cell r="AG244">
            <v>0</v>
          </cell>
          <cell r="AH244">
            <v>0</v>
          </cell>
          <cell r="AI244">
            <v>203</v>
          </cell>
          <cell r="AJ244">
            <v>0</v>
          </cell>
          <cell r="AK244">
            <v>0</v>
          </cell>
          <cell r="AL244">
            <v>0</v>
          </cell>
          <cell r="AM244">
            <v>0</v>
          </cell>
          <cell r="AN244">
            <v>-277</v>
          </cell>
          <cell r="AO244">
            <v>0</v>
          </cell>
          <cell r="AP244">
            <v>0</v>
          </cell>
          <cell r="AQ244">
            <v>0</v>
          </cell>
          <cell r="AR244">
            <v>0</v>
          </cell>
          <cell r="AS244">
            <v>-384</v>
          </cell>
          <cell r="AT244">
            <v>-702</v>
          </cell>
          <cell r="AU244">
            <v>-775.84246831091889</v>
          </cell>
          <cell r="AV244">
            <v>-965.87957022371268</v>
          </cell>
          <cell r="AW244">
            <v>-1101.3454791501047</v>
          </cell>
          <cell r="AX244">
            <v>-1249.2958040240655</v>
          </cell>
        </row>
        <row r="245">
          <cell r="A245">
            <v>0</v>
          </cell>
          <cell r="B245" t="str">
            <v>Minority interest</v>
          </cell>
          <cell r="C245" t="str">
            <v>INC_MINORITY</v>
          </cell>
          <cell r="D245" t="str">
            <v>EUR</v>
          </cell>
          <cell r="F245">
            <v>-14</v>
          </cell>
          <cell r="G245">
            <v>114</v>
          </cell>
          <cell r="H245">
            <v>-129</v>
          </cell>
          <cell r="I245">
            <v>-162</v>
          </cell>
          <cell r="J245">
            <v>-220</v>
          </cell>
          <cell r="K245">
            <v>0</v>
          </cell>
          <cell r="L245">
            <v>0</v>
          </cell>
          <cell r="M245">
            <v>0</v>
          </cell>
          <cell r="N245">
            <v>0</v>
          </cell>
          <cell r="O245">
            <v>-34</v>
          </cell>
          <cell r="P245">
            <v>0</v>
          </cell>
          <cell r="Q245">
            <v>0</v>
          </cell>
          <cell r="R245">
            <v>0</v>
          </cell>
          <cell r="S245">
            <v>0</v>
          </cell>
          <cell r="T245">
            <v>-16</v>
          </cell>
          <cell r="U245">
            <v>0</v>
          </cell>
          <cell r="V245">
            <v>0</v>
          </cell>
          <cell r="W245">
            <v>0</v>
          </cell>
          <cell r="X245">
            <v>0</v>
          </cell>
          <cell r="Y245">
            <v>-9</v>
          </cell>
          <cell r="Z245">
            <v>0</v>
          </cell>
          <cell r="AA245">
            <v>0</v>
          </cell>
          <cell r="AB245">
            <v>0</v>
          </cell>
          <cell r="AC245">
            <v>0</v>
          </cell>
          <cell r="AD245">
            <v>-25</v>
          </cell>
          <cell r="AE245">
            <v>0</v>
          </cell>
          <cell r="AF245">
            <v>0</v>
          </cell>
          <cell r="AG245">
            <v>0</v>
          </cell>
          <cell r="AH245">
            <v>0</v>
          </cell>
          <cell r="AI245">
            <v>-11</v>
          </cell>
          <cell r="AJ245">
            <v>0</v>
          </cell>
          <cell r="AK245">
            <v>0</v>
          </cell>
          <cell r="AL245">
            <v>0</v>
          </cell>
          <cell r="AM245">
            <v>0</v>
          </cell>
          <cell r="AN245">
            <v>-19</v>
          </cell>
          <cell r="AO245">
            <v>0</v>
          </cell>
          <cell r="AP245">
            <v>0</v>
          </cell>
          <cell r="AQ245">
            <v>0</v>
          </cell>
          <cell r="AR245">
            <v>0</v>
          </cell>
          <cell r="AS245">
            <v>-4</v>
          </cell>
          <cell r="AT245">
            <v>-1</v>
          </cell>
          <cell r="AU245">
            <v>-1</v>
          </cell>
          <cell r="AV245">
            <v>-1</v>
          </cell>
          <cell r="AW245">
            <v>-1</v>
          </cell>
          <cell r="AX245">
            <v>-1</v>
          </cell>
        </row>
        <row r="246">
          <cell r="A246">
            <v>0</v>
          </cell>
          <cell r="B246" t="str">
            <v>Net income (pre-preferred dividends)</v>
          </cell>
          <cell r="C246" t="str">
            <v>NI_PRE_PREF</v>
          </cell>
          <cell r="D246" t="str">
            <v>EUR</v>
          </cell>
          <cell r="F246">
            <v>179</v>
          </cell>
          <cell r="G246">
            <v>809</v>
          </cell>
          <cell r="H246">
            <v>696</v>
          </cell>
          <cell r="I246">
            <v>769</v>
          </cell>
          <cell r="J246">
            <v>1152</v>
          </cell>
          <cell r="K246">
            <v>0</v>
          </cell>
          <cell r="L246">
            <v>0</v>
          </cell>
          <cell r="M246">
            <v>0</v>
          </cell>
          <cell r="N246">
            <v>0</v>
          </cell>
          <cell r="O246">
            <v>1769</v>
          </cell>
          <cell r="P246">
            <v>0</v>
          </cell>
          <cell r="Q246">
            <v>0</v>
          </cell>
          <cell r="R246">
            <v>0</v>
          </cell>
          <cell r="S246">
            <v>0</v>
          </cell>
          <cell r="T246">
            <v>3356</v>
          </cell>
          <cell r="U246">
            <v>0</v>
          </cell>
          <cell r="V246">
            <v>0</v>
          </cell>
          <cell r="W246">
            <v>0</v>
          </cell>
          <cell r="X246">
            <v>0</v>
          </cell>
          <cell r="Y246">
            <v>3129</v>
          </cell>
          <cell r="Z246">
            <v>0</v>
          </cell>
          <cell r="AA246">
            <v>0</v>
          </cell>
          <cell r="AB246">
            <v>0</v>
          </cell>
          <cell r="AC246">
            <v>0</v>
          </cell>
          <cell r="AD246">
            <v>2113</v>
          </cell>
          <cell r="AE246">
            <v>0</v>
          </cell>
          <cell r="AF246">
            <v>0</v>
          </cell>
          <cell r="AG246">
            <v>0</v>
          </cell>
          <cell r="AH246">
            <v>0</v>
          </cell>
          <cell r="AI246">
            <v>1748</v>
          </cell>
          <cell r="AJ246">
            <v>0</v>
          </cell>
          <cell r="AK246">
            <v>0</v>
          </cell>
          <cell r="AL246">
            <v>0</v>
          </cell>
          <cell r="AM246">
            <v>0</v>
          </cell>
          <cell r="AN246">
            <v>674</v>
          </cell>
          <cell r="AO246">
            <v>0</v>
          </cell>
          <cell r="AP246">
            <v>0</v>
          </cell>
          <cell r="AQ246">
            <v>0</v>
          </cell>
          <cell r="AR246">
            <v>0</v>
          </cell>
          <cell r="AS246">
            <v>1186</v>
          </cell>
          <cell r="AT246">
            <v>1803</v>
          </cell>
          <cell r="AU246">
            <v>2470.6702620756141</v>
          </cell>
          <cell r="AV246">
            <v>2955.781567813995</v>
          </cell>
          <cell r="AW246">
            <v>3362.1792945931711</v>
          </cell>
          <cell r="AX246">
            <v>3806.0302692150535</v>
          </cell>
        </row>
        <row r="247">
          <cell r="A247">
            <v>0</v>
          </cell>
          <cell r="B247" t="str">
            <v>Preferred dividends</v>
          </cell>
          <cell r="C247" t="str">
            <v>PREF_DIV</v>
          </cell>
          <cell r="D247" t="str">
            <v>EUR</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row>
        <row r="248">
          <cell r="A248">
            <v>0</v>
          </cell>
          <cell r="B248" t="str">
            <v>Net income (pre-exceptionals)</v>
          </cell>
          <cell r="C248" t="str">
            <v>NET_EARNING</v>
          </cell>
          <cell r="D248" t="str">
            <v>EUR</v>
          </cell>
          <cell r="F248">
            <v>179</v>
          </cell>
          <cell r="G248">
            <v>809</v>
          </cell>
          <cell r="H248">
            <v>696</v>
          </cell>
          <cell r="I248">
            <v>769</v>
          </cell>
          <cell r="J248">
            <v>1152</v>
          </cell>
          <cell r="K248">
            <v>0</v>
          </cell>
          <cell r="L248">
            <v>0</v>
          </cell>
          <cell r="M248">
            <v>0</v>
          </cell>
          <cell r="N248">
            <v>0</v>
          </cell>
          <cell r="O248">
            <v>1769</v>
          </cell>
          <cell r="P248">
            <v>0</v>
          </cell>
          <cell r="Q248">
            <v>0</v>
          </cell>
          <cell r="R248">
            <v>0</v>
          </cell>
          <cell r="S248">
            <v>0</v>
          </cell>
          <cell r="T248">
            <v>3356</v>
          </cell>
          <cell r="U248">
            <v>0</v>
          </cell>
          <cell r="V248">
            <v>0</v>
          </cell>
          <cell r="W248">
            <v>0</v>
          </cell>
          <cell r="X248">
            <v>0</v>
          </cell>
          <cell r="Y248">
            <v>3129</v>
          </cell>
          <cell r="Z248">
            <v>0</v>
          </cell>
          <cell r="AA248">
            <v>0</v>
          </cell>
          <cell r="AB248">
            <v>0</v>
          </cell>
          <cell r="AC248">
            <v>0</v>
          </cell>
          <cell r="AD248">
            <v>2113</v>
          </cell>
          <cell r="AE248">
            <v>0</v>
          </cell>
          <cell r="AF248">
            <v>0</v>
          </cell>
          <cell r="AG248">
            <v>0</v>
          </cell>
          <cell r="AH248">
            <v>0</v>
          </cell>
          <cell r="AI248">
            <v>1748</v>
          </cell>
          <cell r="AJ248">
            <v>0</v>
          </cell>
          <cell r="AK248">
            <v>0</v>
          </cell>
          <cell r="AL248">
            <v>0</v>
          </cell>
          <cell r="AM248">
            <v>0</v>
          </cell>
          <cell r="AN248">
            <v>674</v>
          </cell>
          <cell r="AO248">
            <v>0</v>
          </cell>
          <cell r="AP248">
            <v>0</v>
          </cell>
          <cell r="AQ248">
            <v>0</v>
          </cell>
          <cell r="AR248">
            <v>0</v>
          </cell>
          <cell r="AS248">
            <v>1186</v>
          </cell>
          <cell r="AT248">
            <v>1803</v>
          </cell>
          <cell r="AU248">
            <v>2470.6702620756141</v>
          </cell>
          <cell r="AV248">
            <v>2955.781567813995</v>
          </cell>
          <cell r="AW248">
            <v>3362.1792945931711</v>
          </cell>
          <cell r="AX248">
            <v>3806.0302692150535</v>
          </cell>
        </row>
        <row r="249">
          <cell r="A249">
            <v>0</v>
          </cell>
          <cell r="B249" t="str">
            <v>Post-tax exceptionals</v>
          </cell>
          <cell r="C249" t="str">
            <v>TAX_EXC</v>
          </cell>
          <cell r="D249" t="str">
            <v>EUR</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row>
        <row r="250">
          <cell r="A250">
            <v>0</v>
          </cell>
          <cell r="B250" t="str">
            <v>Net income (post-exceptionals)</v>
          </cell>
          <cell r="C250" t="str">
            <v>NET_INC</v>
          </cell>
          <cell r="D250" t="str">
            <v>EUR</v>
          </cell>
          <cell r="F250">
            <v>179</v>
          </cell>
          <cell r="G250">
            <v>809</v>
          </cell>
          <cell r="H250">
            <v>696</v>
          </cell>
          <cell r="I250">
            <v>769</v>
          </cell>
          <cell r="J250">
            <v>1152</v>
          </cell>
          <cell r="K250">
            <v>0</v>
          </cell>
          <cell r="L250">
            <v>0</v>
          </cell>
          <cell r="M250">
            <v>0</v>
          </cell>
          <cell r="N250">
            <v>0</v>
          </cell>
          <cell r="O250">
            <v>1769</v>
          </cell>
          <cell r="P250">
            <v>0</v>
          </cell>
          <cell r="Q250">
            <v>0</v>
          </cell>
          <cell r="R250">
            <v>0</v>
          </cell>
          <cell r="S250">
            <v>0</v>
          </cell>
          <cell r="T250">
            <v>3356</v>
          </cell>
          <cell r="U250">
            <v>0</v>
          </cell>
          <cell r="V250">
            <v>0</v>
          </cell>
          <cell r="W250">
            <v>0</v>
          </cell>
          <cell r="X250">
            <v>0</v>
          </cell>
          <cell r="Y250">
            <v>3129</v>
          </cell>
          <cell r="Z250">
            <v>0</v>
          </cell>
          <cell r="AA250">
            <v>0</v>
          </cell>
          <cell r="AB250">
            <v>0</v>
          </cell>
          <cell r="AC250">
            <v>0</v>
          </cell>
          <cell r="AD250">
            <v>2113</v>
          </cell>
          <cell r="AE250">
            <v>0</v>
          </cell>
          <cell r="AF250">
            <v>0</v>
          </cell>
          <cell r="AG250">
            <v>0</v>
          </cell>
          <cell r="AH250">
            <v>0</v>
          </cell>
          <cell r="AI250">
            <v>1748</v>
          </cell>
          <cell r="AJ250">
            <v>0</v>
          </cell>
          <cell r="AK250">
            <v>0</v>
          </cell>
          <cell r="AL250">
            <v>0</v>
          </cell>
          <cell r="AM250">
            <v>0</v>
          </cell>
          <cell r="AN250">
            <v>674</v>
          </cell>
          <cell r="AO250">
            <v>0</v>
          </cell>
          <cell r="AP250">
            <v>0</v>
          </cell>
          <cell r="AQ250">
            <v>0</v>
          </cell>
          <cell r="AR250">
            <v>0</v>
          </cell>
          <cell r="AS250">
            <v>1186</v>
          </cell>
          <cell r="AT250">
            <v>1803</v>
          </cell>
          <cell r="AU250">
            <v>2470.6702620756141</v>
          </cell>
          <cell r="AV250">
            <v>2955.781567813995</v>
          </cell>
          <cell r="AW250">
            <v>3362.1792945931711</v>
          </cell>
          <cell r="AX250">
            <v>3806.0302692150535</v>
          </cell>
        </row>
        <row r="251">
          <cell r="A251">
            <v>0</v>
          </cell>
          <cell r="B251" t="str">
            <v>EPS (pre-exceptionals, basic)</v>
          </cell>
          <cell r="C251" t="str">
            <v>EPS</v>
          </cell>
          <cell r="D251" t="str">
            <v>EUR</v>
          </cell>
          <cell r="F251">
            <v>0.46413708790366726</v>
          </cell>
          <cell r="G251">
            <v>1.0021109001598161</v>
          </cell>
          <cell r="H251">
            <v>0.86554568551591382</v>
          </cell>
          <cell r="I251">
            <v>0.96010147860621731</v>
          </cell>
          <cell r="J251">
            <v>1.4381393443047095</v>
          </cell>
          <cell r="K251">
            <v>0</v>
          </cell>
          <cell r="L251">
            <v>0</v>
          </cell>
          <cell r="M251">
            <v>0</v>
          </cell>
          <cell r="N251">
            <v>0</v>
          </cell>
          <cell r="O251">
            <v>2.2259013837355588</v>
          </cell>
          <cell r="P251">
            <v>0</v>
          </cell>
          <cell r="Q251">
            <v>0</v>
          </cell>
          <cell r="R251">
            <v>0</v>
          </cell>
          <cell r="S251">
            <v>0</v>
          </cell>
          <cell r="T251">
            <v>4.1940292709550908</v>
          </cell>
          <cell r="U251">
            <v>0</v>
          </cell>
          <cell r="V251">
            <v>0</v>
          </cell>
          <cell r="W251">
            <v>0</v>
          </cell>
          <cell r="X251">
            <v>0</v>
          </cell>
          <cell r="Y251">
            <v>3.8960155031085626</v>
          </cell>
          <cell r="Z251">
            <v>0</v>
          </cell>
          <cell r="AA251">
            <v>0</v>
          </cell>
          <cell r="AB251">
            <v>0</v>
          </cell>
          <cell r="AC251">
            <v>0</v>
          </cell>
          <cell r="AD251">
            <v>2.6184083118188379</v>
          </cell>
          <cell r="AE251">
            <v>0</v>
          </cell>
          <cell r="AF251">
            <v>0</v>
          </cell>
          <cell r="AG251">
            <v>0</v>
          </cell>
          <cell r="AH251">
            <v>0</v>
          </cell>
          <cell r="AI251">
            <v>2.1588279059347943</v>
          </cell>
          <cell r="AJ251">
            <v>0</v>
          </cell>
          <cell r="AK251">
            <v>0</v>
          </cell>
          <cell r="AL251">
            <v>0</v>
          </cell>
          <cell r="AM251">
            <v>0</v>
          </cell>
          <cell r="AN251">
            <v>0.83138711961219158</v>
          </cell>
          <cell r="AO251">
            <v>0</v>
          </cell>
          <cell r="AP251">
            <v>0</v>
          </cell>
          <cell r="AQ251">
            <v>0</v>
          </cell>
          <cell r="AR251">
            <v>0</v>
          </cell>
          <cell r="AS251">
            <v>1.4596792145943189</v>
          </cell>
          <cell r="AT251">
            <v>2.2004489003628245</v>
          </cell>
          <cell r="AU251">
            <v>3.21692883568902</v>
          </cell>
          <cell r="AV251">
            <v>3.8485665624642289</v>
          </cell>
          <cell r="AW251">
            <v>4.3777155088461273</v>
          </cell>
          <cell r="AX251">
            <v>4.9556303447215875</v>
          </cell>
        </row>
        <row r="252">
          <cell r="A252">
            <v>0</v>
          </cell>
          <cell r="B252" t="str">
            <v>EPS (pre-exceptionals, diluted)</v>
          </cell>
          <cell r="C252" t="str">
            <v>EPS_FUL_DIL</v>
          </cell>
          <cell r="D252" t="str">
            <v>EUR</v>
          </cell>
          <cell r="F252">
            <v>0.46413708790366726</v>
          </cell>
          <cell r="G252">
            <v>1.0021109001598161</v>
          </cell>
          <cell r="H252">
            <v>0.86554568551591382</v>
          </cell>
          <cell r="I252">
            <v>0.96010147860621731</v>
          </cell>
          <cell r="J252">
            <v>1.4326881470993453</v>
          </cell>
          <cell r="K252">
            <v>0</v>
          </cell>
          <cell r="L252">
            <v>0</v>
          </cell>
          <cell r="M252">
            <v>0</v>
          </cell>
          <cell r="N252">
            <v>0</v>
          </cell>
          <cell r="O252">
            <v>2.2106521484696526</v>
          </cell>
          <cell r="P252">
            <v>0</v>
          </cell>
          <cell r="Q252">
            <v>0</v>
          </cell>
          <cell r="R252">
            <v>0</v>
          </cell>
          <cell r="S252">
            <v>0</v>
          </cell>
          <cell r="T252">
            <v>4.172491167811561E-3</v>
          </cell>
          <cell r="U252">
            <v>0</v>
          </cell>
          <cell r="V252">
            <v>0</v>
          </cell>
          <cell r="W252">
            <v>0</v>
          </cell>
          <cell r="X252">
            <v>0</v>
          </cell>
          <cell r="Y252">
            <v>3.8843103606384047E-3</v>
          </cell>
          <cell r="Z252">
            <v>0</v>
          </cell>
          <cell r="AA252">
            <v>0</v>
          </cell>
          <cell r="AB252">
            <v>0</v>
          </cell>
          <cell r="AC252">
            <v>0</v>
          </cell>
          <cell r="AD252">
            <v>2.616404161669052E-3</v>
          </cell>
          <cell r="AE252">
            <v>0</v>
          </cell>
          <cell r="AF252">
            <v>0</v>
          </cell>
          <cell r="AG252">
            <v>0</v>
          </cell>
          <cell r="AH252">
            <v>0</v>
          </cell>
          <cell r="AI252">
            <v>2.1548586108075508E-3</v>
          </cell>
          <cell r="AJ252">
            <v>0</v>
          </cell>
          <cell r="AK252">
            <v>0</v>
          </cell>
          <cell r="AL252">
            <v>0</v>
          </cell>
          <cell r="AM252">
            <v>0</v>
          </cell>
          <cell r="AN252">
            <v>8.311384106510115E-4</v>
          </cell>
          <cell r="AO252">
            <v>0</v>
          </cell>
          <cell r="AP252">
            <v>0</v>
          </cell>
          <cell r="AQ252">
            <v>0</v>
          </cell>
          <cell r="AR252">
            <v>0</v>
          </cell>
          <cell r="AS252">
            <v>1.4575362089108621E-3</v>
          </cell>
          <cell r="AT252">
            <v>2.1973015136320484E-3</v>
          </cell>
          <cell r="AU252">
            <v>3.0109858605349062E-3</v>
          </cell>
          <cell r="AV252">
            <v>3.602187084261453E-3</v>
          </cell>
          <cell r="AW252">
            <v>4.0974607061075472E-3</v>
          </cell>
          <cell r="AX252">
            <v>4.6383782981007371E-3</v>
          </cell>
        </row>
        <row r="253">
          <cell r="A253">
            <v>0</v>
          </cell>
          <cell r="B253" t="str">
            <v>EPS (post-exceptionals, basic)</v>
          </cell>
          <cell r="C253" t="str">
            <v>EPS_POST_BASIC</v>
          </cell>
          <cell r="D253" t="str">
            <v>EUR</v>
          </cell>
          <cell r="F253">
            <v>0.46413708790366726</v>
          </cell>
          <cell r="G253">
            <v>1.0021109001598161</v>
          </cell>
          <cell r="H253">
            <v>0.86554568551591382</v>
          </cell>
          <cell r="I253">
            <v>0.96010147860621731</v>
          </cell>
          <cell r="J253">
            <v>1.4381393443047095</v>
          </cell>
          <cell r="K253">
            <v>0</v>
          </cell>
          <cell r="L253">
            <v>0</v>
          </cell>
          <cell r="M253">
            <v>0</v>
          </cell>
          <cell r="N253">
            <v>0</v>
          </cell>
          <cell r="O253">
            <v>2.2259013837355588</v>
          </cell>
          <cell r="P253">
            <v>0</v>
          </cell>
          <cell r="Q253">
            <v>0</v>
          </cell>
          <cell r="R253">
            <v>0</v>
          </cell>
          <cell r="S253">
            <v>0</v>
          </cell>
          <cell r="T253">
            <v>4.1940292709550908</v>
          </cell>
          <cell r="U253">
            <v>0</v>
          </cell>
          <cell r="V253">
            <v>0</v>
          </cell>
          <cell r="W253">
            <v>0</v>
          </cell>
          <cell r="X253">
            <v>0</v>
          </cell>
          <cell r="Y253">
            <v>3.8960155031085626</v>
          </cell>
          <cell r="Z253">
            <v>0</v>
          </cell>
          <cell r="AA253">
            <v>0</v>
          </cell>
          <cell r="AB253">
            <v>0</v>
          </cell>
          <cell r="AC253">
            <v>0</v>
          </cell>
          <cell r="AD253">
            <v>2.6184083118188379</v>
          </cell>
          <cell r="AE253">
            <v>0</v>
          </cell>
          <cell r="AF253">
            <v>0</v>
          </cell>
          <cell r="AG253">
            <v>0</v>
          </cell>
          <cell r="AH253">
            <v>0</v>
          </cell>
          <cell r="AI253">
            <v>2.1588279059347943</v>
          </cell>
          <cell r="AJ253">
            <v>0</v>
          </cell>
          <cell r="AK253">
            <v>0</v>
          </cell>
          <cell r="AL253">
            <v>0</v>
          </cell>
          <cell r="AM253">
            <v>0</v>
          </cell>
          <cell r="AN253">
            <v>0.83138711961219158</v>
          </cell>
          <cell r="AO253">
            <v>0</v>
          </cell>
          <cell r="AP253">
            <v>0</v>
          </cell>
          <cell r="AQ253">
            <v>0</v>
          </cell>
          <cell r="AR253">
            <v>0</v>
          </cell>
          <cell r="AS253">
            <v>1.4596792145943189</v>
          </cell>
          <cell r="AT253">
            <v>2.2004489003628245</v>
          </cell>
          <cell r="AU253">
            <v>3.21692883568902</v>
          </cell>
          <cell r="AV253">
            <v>3.8485665624642289</v>
          </cell>
          <cell r="AW253">
            <v>4.3777155088461273</v>
          </cell>
          <cell r="AX253">
            <v>4.9556303447215875</v>
          </cell>
        </row>
        <row r="254">
          <cell r="A254">
            <v>0</v>
          </cell>
          <cell r="B254" t="str">
            <v>EPS (post-exceptionals, diluted)</v>
          </cell>
          <cell r="C254" t="str">
            <v>FULLY_DIL_EPS</v>
          </cell>
          <cell r="D254" t="str">
            <v>EUR</v>
          </cell>
          <cell r="F254">
            <v>0.46413708790366726</v>
          </cell>
          <cell r="G254">
            <v>1.0021109001598161</v>
          </cell>
          <cell r="H254">
            <v>0.86554568551591382</v>
          </cell>
          <cell r="I254">
            <v>0.96010147860621731</v>
          </cell>
          <cell r="J254">
            <v>1.4326881470993453</v>
          </cell>
          <cell r="K254">
            <v>0</v>
          </cell>
          <cell r="L254">
            <v>0</v>
          </cell>
          <cell r="M254">
            <v>0</v>
          </cell>
          <cell r="N254">
            <v>0</v>
          </cell>
          <cell r="O254">
            <v>2.2106521484696526</v>
          </cell>
          <cell r="P254">
            <v>0</v>
          </cell>
          <cell r="Q254">
            <v>0</v>
          </cell>
          <cell r="R254">
            <v>0</v>
          </cell>
          <cell r="S254">
            <v>0</v>
          </cell>
          <cell r="T254">
            <v>4.172491167811561E-3</v>
          </cell>
          <cell r="U254">
            <v>0</v>
          </cell>
          <cell r="V254">
            <v>0</v>
          </cell>
          <cell r="W254">
            <v>0</v>
          </cell>
          <cell r="X254">
            <v>0</v>
          </cell>
          <cell r="Y254">
            <v>3.8843103606384047E-3</v>
          </cell>
          <cell r="Z254">
            <v>0</v>
          </cell>
          <cell r="AA254">
            <v>0</v>
          </cell>
          <cell r="AB254">
            <v>0</v>
          </cell>
          <cell r="AC254">
            <v>0</v>
          </cell>
          <cell r="AD254">
            <v>2.616404161669052E-3</v>
          </cell>
          <cell r="AE254">
            <v>0</v>
          </cell>
          <cell r="AF254">
            <v>0</v>
          </cell>
          <cell r="AG254">
            <v>0</v>
          </cell>
          <cell r="AH254">
            <v>0</v>
          </cell>
          <cell r="AI254">
            <v>2.1548586108075508E-3</v>
          </cell>
          <cell r="AJ254">
            <v>0</v>
          </cell>
          <cell r="AK254">
            <v>0</v>
          </cell>
          <cell r="AL254">
            <v>0</v>
          </cell>
          <cell r="AM254">
            <v>0</v>
          </cell>
          <cell r="AN254">
            <v>8.311384106510115E-4</v>
          </cell>
          <cell r="AO254">
            <v>0</v>
          </cell>
          <cell r="AP254">
            <v>0</v>
          </cell>
          <cell r="AQ254">
            <v>0</v>
          </cell>
          <cell r="AR254">
            <v>0</v>
          </cell>
          <cell r="AS254">
            <v>1.4575362089108621E-3</v>
          </cell>
          <cell r="AT254">
            <v>2.1973015136320484E-3</v>
          </cell>
          <cell r="AU254">
            <v>3.0109858605349062E-3</v>
          </cell>
          <cell r="AV254">
            <v>3.602187084261453E-3</v>
          </cell>
          <cell r="AW254">
            <v>4.0974607061075472E-3</v>
          </cell>
          <cell r="AX254">
            <v>4.6383782981007371E-3</v>
          </cell>
        </row>
        <row r="255">
          <cell r="A255">
            <v>0</v>
          </cell>
          <cell r="B255" t="str">
            <v>Common dividends paid</v>
          </cell>
          <cell r="C255" t="str">
            <v>COMMON_DIV_PAID</v>
          </cell>
          <cell r="D255" t="str">
            <v>EUR</v>
          </cell>
          <cell r="F255">
            <v>-403.57883349999997</v>
          </cell>
          <cell r="G255">
            <v>-404.58778050000001</v>
          </cell>
          <cell r="H255">
            <v>-240.28709999999998</v>
          </cell>
          <cell r="I255">
            <v>-320.38289920000005</v>
          </cell>
          <cell r="J255">
            <v>-399.775147</v>
          </cell>
          <cell r="K255">
            <v>0</v>
          </cell>
          <cell r="L255">
            <v>0</v>
          </cell>
          <cell r="M255">
            <v>0</v>
          </cell>
          <cell r="N255">
            <v>0</v>
          </cell>
          <cell r="O255">
            <v>-518.14127690000009</v>
          </cell>
          <cell r="P255">
            <v>0</v>
          </cell>
          <cell r="Q255">
            <v>0</v>
          </cell>
          <cell r="R255">
            <v>0</v>
          </cell>
          <cell r="S255">
            <v>0</v>
          </cell>
          <cell r="T255">
            <v>-9.7000000000000003E-2</v>
          </cell>
          <cell r="U255">
            <v>0</v>
          </cell>
          <cell r="V255">
            <v>0</v>
          </cell>
          <cell r="W255">
            <v>0</v>
          </cell>
          <cell r="X255">
            <v>0</v>
          </cell>
          <cell r="Y255">
            <v>-9.7000000000000003E-2</v>
          </cell>
          <cell r="Z255">
            <v>0</v>
          </cell>
          <cell r="AA255">
            <v>0</v>
          </cell>
          <cell r="AB255">
            <v>0</v>
          </cell>
          <cell r="AC255">
            <v>0</v>
          </cell>
          <cell r="AD255">
            <v>-0.16200000000000001</v>
          </cell>
          <cell r="AE255">
            <v>0</v>
          </cell>
          <cell r="AF255">
            <v>0</v>
          </cell>
          <cell r="AG255">
            <v>0</v>
          </cell>
          <cell r="AH255">
            <v>0</v>
          </cell>
          <cell r="AI255">
            <v>0</v>
          </cell>
          <cell r="AJ255">
            <v>0</v>
          </cell>
          <cell r="AK255">
            <v>0</v>
          </cell>
          <cell r="AL255">
            <v>0</v>
          </cell>
          <cell r="AM255">
            <v>0</v>
          </cell>
          <cell r="AN255">
            <v>-0.17799999999999999</v>
          </cell>
          <cell r="AO255">
            <v>0</v>
          </cell>
          <cell r="AP255">
            <v>0</v>
          </cell>
          <cell r="AQ255">
            <v>0</v>
          </cell>
          <cell r="AR255">
            <v>0</v>
          </cell>
          <cell r="AS255">
            <v>-0.36899999999999994</v>
          </cell>
          <cell r="AT255">
            <v>-0.46081285379999992</v>
          </cell>
          <cell r="AU255">
            <v>-0.47512312101481813</v>
          </cell>
          <cell r="AV255">
            <v>-0.52263543311630001</v>
          </cell>
          <cell r="AW255">
            <v>-0.57489897642793009</v>
          </cell>
          <cell r="AX255">
            <v>-0.63238887407072308</v>
          </cell>
        </row>
        <row r="256">
          <cell r="A256">
            <v>0</v>
          </cell>
          <cell r="B256" t="str">
            <v>DPS, dividend per share</v>
          </cell>
          <cell r="C256" t="str">
            <v>DPS</v>
          </cell>
          <cell r="D256" t="str">
            <v>EUR</v>
          </cell>
          <cell r="F256">
            <v>0.5</v>
          </cell>
          <cell r="G256">
            <v>0.5</v>
          </cell>
          <cell r="H256">
            <v>0.3</v>
          </cell>
          <cell r="I256">
            <v>0.4</v>
          </cell>
          <cell r="J256">
            <v>0.5</v>
          </cell>
          <cell r="K256">
            <v>0</v>
          </cell>
          <cell r="L256">
            <v>0</v>
          </cell>
          <cell r="M256">
            <v>0</v>
          </cell>
          <cell r="N256">
            <v>0</v>
          </cell>
          <cell r="O256">
            <v>0.65</v>
          </cell>
          <cell r="P256">
            <v>0</v>
          </cell>
          <cell r="Q256">
            <v>0</v>
          </cell>
          <cell r="R256">
            <v>0</v>
          </cell>
          <cell r="S256">
            <v>0</v>
          </cell>
          <cell r="T256">
            <v>0.12122194257528124</v>
          </cell>
          <cell r="U256">
            <v>0</v>
          </cell>
          <cell r="V256">
            <v>0</v>
          </cell>
          <cell r="W256">
            <v>0</v>
          </cell>
          <cell r="X256">
            <v>0</v>
          </cell>
          <cell r="Y256">
            <v>0.1207777257275585</v>
          </cell>
          <cell r="Z256">
            <v>0</v>
          </cell>
          <cell r="AA256">
            <v>0</v>
          </cell>
          <cell r="AB256">
            <v>0</v>
          </cell>
          <cell r="AC256">
            <v>0</v>
          </cell>
          <cell r="AD256">
            <v>0.20074876787252804</v>
          </cell>
          <cell r="AE256">
            <v>0</v>
          </cell>
          <cell r="AF256">
            <v>0</v>
          </cell>
          <cell r="AG256">
            <v>0</v>
          </cell>
          <cell r="AH256">
            <v>0</v>
          </cell>
          <cell r="AI256">
            <v>0</v>
          </cell>
          <cell r="AJ256">
            <v>0</v>
          </cell>
          <cell r="AK256">
            <v>0</v>
          </cell>
          <cell r="AL256">
            <v>0</v>
          </cell>
          <cell r="AM256">
            <v>0</v>
          </cell>
          <cell r="AN256">
            <v>0.21956514434862032</v>
          </cell>
          <cell r="AO256">
            <v>0</v>
          </cell>
          <cell r="AP256">
            <v>0</v>
          </cell>
          <cell r="AQ256">
            <v>0</v>
          </cell>
          <cell r="AR256">
            <v>0</v>
          </cell>
          <cell r="AS256">
            <v>0.45414977250025601</v>
          </cell>
          <cell r="AT256">
            <v>0.56239330971562107</v>
          </cell>
          <cell r="AU256">
            <v>0.61863264068718327</v>
          </cell>
          <cell r="AV256">
            <v>0.6804959047559016</v>
          </cell>
          <cell r="AW256">
            <v>0.74854549523149183</v>
          </cell>
          <cell r="AX256">
            <v>0.82340004475464112</v>
          </cell>
        </row>
        <row r="257">
          <cell r="A257">
            <v>0</v>
          </cell>
          <cell r="B257" t="str">
            <v>Weighted average shares outstanding, basic</v>
          </cell>
          <cell r="C257" t="str">
            <v>SH</v>
          </cell>
          <cell r="D257">
            <v>0</v>
          </cell>
          <cell r="F257">
            <v>385.66191900000001</v>
          </cell>
          <cell r="G257">
            <v>807.29587900000001</v>
          </cell>
          <cell r="H257">
            <v>804.11699999999996</v>
          </cell>
          <cell r="I257">
            <v>800.95699999999999</v>
          </cell>
          <cell r="J257">
            <v>801.03503499999999</v>
          </cell>
          <cell r="K257">
            <v>0</v>
          </cell>
          <cell r="L257">
            <v>0</v>
          </cell>
          <cell r="M257">
            <v>0</v>
          </cell>
          <cell r="N257">
            <v>0</v>
          </cell>
          <cell r="O257">
            <v>794.73422000000005</v>
          </cell>
          <cell r="P257">
            <v>0</v>
          </cell>
          <cell r="Q257">
            <v>0</v>
          </cell>
          <cell r="R257">
            <v>0</v>
          </cell>
          <cell r="S257">
            <v>0</v>
          </cell>
          <cell r="T257">
            <v>800.18516399999999</v>
          </cell>
          <cell r="U257">
            <v>0</v>
          </cell>
          <cell r="V257">
            <v>0</v>
          </cell>
          <cell r="W257">
            <v>0</v>
          </cell>
          <cell r="X257">
            <v>0</v>
          </cell>
          <cell r="Y257">
            <v>803.12822100000005</v>
          </cell>
          <cell r="Z257">
            <v>0</v>
          </cell>
          <cell r="AA257">
            <v>0</v>
          </cell>
          <cell r="AB257">
            <v>0</v>
          </cell>
          <cell r="AC257">
            <v>0</v>
          </cell>
          <cell r="AD257">
            <v>806.97880099999998</v>
          </cell>
          <cell r="AE257">
            <v>0</v>
          </cell>
          <cell r="AF257">
            <v>0</v>
          </cell>
          <cell r="AG257">
            <v>0</v>
          </cell>
          <cell r="AH257">
            <v>0</v>
          </cell>
          <cell r="AI257">
            <v>809.69863100000009</v>
          </cell>
          <cell r="AJ257">
            <v>0</v>
          </cell>
          <cell r="AK257">
            <v>0</v>
          </cell>
          <cell r="AL257">
            <v>0</v>
          </cell>
          <cell r="AM257">
            <v>0</v>
          </cell>
          <cell r="AN257">
            <v>810.69333900000004</v>
          </cell>
          <cell r="AO257">
            <v>0</v>
          </cell>
          <cell r="AP257">
            <v>0</v>
          </cell>
          <cell r="AQ257">
            <v>0</v>
          </cell>
          <cell r="AR257">
            <v>0</v>
          </cell>
          <cell r="AS257">
            <v>812.5072879999999</v>
          </cell>
          <cell r="AT257">
            <v>819.37826399999994</v>
          </cell>
          <cell r="AU257">
            <v>768.02142299999991</v>
          </cell>
          <cell r="AV257">
            <v>768.02142299999991</v>
          </cell>
          <cell r="AW257">
            <v>768.02142299999991</v>
          </cell>
          <cell r="AX257">
            <v>768.02142299999991</v>
          </cell>
          <cell r="AY257">
            <v>768.02142299999991</v>
          </cell>
          <cell r="AZ257">
            <v>768.02142299999991</v>
          </cell>
          <cell r="BA257">
            <v>768.02142299999991</v>
          </cell>
          <cell r="BB257">
            <v>768.02142299999991</v>
          </cell>
        </row>
        <row r="258">
          <cell r="A258">
            <v>0</v>
          </cell>
          <cell r="B258" t="str">
            <v>Diluted average shares outstanding (mn)</v>
          </cell>
          <cell r="C258" t="str">
            <v>DILUTE_SHARES</v>
          </cell>
          <cell r="D258">
            <v>0</v>
          </cell>
          <cell r="F258">
            <v>385.66191900000001</v>
          </cell>
          <cell r="G258">
            <v>807.29587900000001</v>
          </cell>
          <cell r="H258">
            <v>804.11699999999996</v>
          </cell>
          <cell r="I258">
            <v>800.95699999999999</v>
          </cell>
          <cell r="J258">
            <v>804.08287199999995</v>
          </cell>
          <cell r="K258">
            <v>0</v>
          </cell>
          <cell r="L258">
            <v>0</v>
          </cell>
          <cell r="M258">
            <v>0</v>
          </cell>
          <cell r="N258">
            <v>0</v>
          </cell>
          <cell r="O258">
            <v>800.21635300000003</v>
          </cell>
          <cell r="P258">
            <v>0</v>
          </cell>
          <cell r="Q258">
            <v>0</v>
          </cell>
          <cell r="R258">
            <v>0</v>
          </cell>
          <cell r="S258">
            <v>0</v>
          </cell>
          <cell r="T258">
            <v>804315.66299999994</v>
          </cell>
          <cell r="U258">
            <v>0</v>
          </cell>
          <cell r="V258">
            <v>0</v>
          </cell>
          <cell r="W258">
            <v>0</v>
          </cell>
          <cell r="X258">
            <v>0</v>
          </cell>
          <cell r="Y258">
            <v>805548.40099999995</v>
          </cell>
          <cell r="Z258">
            <v>0</v>
          </cell>
          <cell r="AA258">
            <v>0</v>
          </cell>
          <cell r="AB258">
            <v>0</v>
          </cell>
          <cell r="AC258">
            <v>0</v>
          </cell>
          <cell r="AD258">
            <v>807596.94200000004</v>
          </cell>
          <cell r="AE258">
            <v>0</v>
          </cell>
          <cell r="AF258">
            <v>0</v>
          </cell>
          <cell r="AG258">
            <v>0</v>
          </cell>
          <cell r="AH258">
            <v>0</v>
          </cell>
          <cell r="AI258">
            <v>811190.11300000001</v>
          </cell>
          <cell r="AJ258">
            <v>0</v>
          </cell>
          <cell r="AK258">
            <v>0</v>
          </cell>
          <cell r="AL258">
            <v>0</v>
          </cell>
          <cell r="AM258">
            <v>0</v>
          </cell>
          <cell r="AN258">
            <v>810935.93</v>
          </cell>
          <cell r="AO258">
            <v>0</v>
          </cell>
          <cell r="AP258">
            <v>0</v>
          </cell>
          <cell r="AQ258">
            <v>0</v>
          </cell>
          <cell r="AR258">
            <v>0</v>
          </cell>
          <cell r="AS258">
            <v>813701.91200000001</v>
          </cell>
          <cell r="AT258">
            <v>820551.93099999998</v>
          </cell>
          <cell r="AU258">
            <v>820551.93099999998</v>
          </cell>
          <cell r="AV258">
            <v>820551.93099999998</v>
          </cell>
          <cell r="AW258">
            <v>820551.93099999998</v>
          </cell>
          <cell r="AX258">
            <v>820551.93099999998</v>
          </cell>
          <cell r="AY258">
            <v>820551.93099999998</v>
          </cell>
          <cell r="AZ258">
            <v>820551.93099999998</v>
          </cell>
          <cell r="BA258">
            <v>820551.93099999998</v>
          </cell>
          <cell r="BB258">
            <v>820551.93099999998</v>
          </cell>
        </row>
        <row r="259">
          <cell r="B259" t="str">
            <v>Period-end shares outstanding</v>
          </cell>
          <cell r="C259" t="str">
            <v>NON_OP_ADD</v>
          </cell>
          <cell r="F259">
            <v>807.15766699999995</v>
          </cell>
          <cell r="G259">
            <v>809.17556100000002</v>
          </cell>
          <cell r="H259">
            <v>800.95699999999999</v>
          </cell>
          <cell r="I259">
            <v>800.95724800000005</v>
          </cell>
          <cell r="J259">
            <v>799.55029400000001</v>
          </cell>
          <cell r="K259">
            <v>0</v>
          </cell>
          <cell r="L259">
            <v>0</v>
          </cell>
          <cell r="M259">
            <v>0</v>
          </cell>
          <cell r="N259">
            <v>0</v>
          </cell>
          <cell r="O259">
            <v>797.14042600000005</v>
          </cell>
          <cell r="P259">
            <v>0</v>
          </cell>
          <cell r="Q259">
            <v>0</v>
          </cell>
          <cell r="R259">
            <v>0</v>
          </cell>
          <cell r="S259">
            <v>0</v>
          </cell>
          <cell r="T259">
            <v>800.18516399999999</v>
          </cell>
          <cell r="U259">
            <v>0</v>
          </cell>
          <cell r="V259">
            <v>0</v>
          </cell>
          <cell r="W259">
            <v>0</v>
          </cell>
          <cell r="X259">
            <v>0</v>
          </cell>
          <cell r="Y259">
            <v>803.12822100000005</v>
          </cell>
          <cell r="Z259">
            <v>0</v>
          </cell>
          <cell r="AA259">
            <v>0</v>
          </cell>
          <cell r="AB259">
            <v>0</v>
          </cell>
          <cell r="AC259">
            <v>0</v>
          </cell>
          <cell r="AD259">
            <v>806.97880099999998</v>
          </cell>
          <cell r="AE259">
            <v>0</v>
          </cell>
          <cell r="AF259">
            <v>0</v>
          </cell>
          <cell r="AG259">
            <v>0</v>
          </cell>
          <cell r="AH259">
            <v>0</v>
          </cell>
          <cell r="AI259">
            <v>809.69863100000009</v>
          </cell>
          <cell r="AJ259">
            <v>0</v>
          </cell>
          <cell r="AK259">
            <v>0</v>
          </cell>
          <cell r="AL259">
            <v>0</v>
          </cell>
          <cell r="AM259">
            <v>0</v>
          </cell>
          <cell r="AN259">
            <v>810.69333900000004</v>
          </cell>
          <cell r="AO259">
            <v>0</v>
          </cell>
          <cell r="AP259">
            <v>0</v>
          </cell>
          <cell r="AQ259">
            <v>0</v>
          </cell>
          <cell r="AR259">
            <v>0</v>
          </cell>
          <cell r="AS259">
            <v>812.5072879999999</v>
          </cell>
          <cell r="AT259">
            <v>819.37826399999994</v>
          </cell>
          <cell r="AU259">
            <v>768.02142299999991</v>
          </cell>
          <cell r="AV259">
            <v>768.02142299999991</v>
          </cell>
          <cell r="AW259">
            <v>768.02142299999991</v>
          </cell>
          <cell r="AX259">
            <v>768.02142299999991</v>
          </cell>
          <cell r="AY259">
            <v>768.02142299999991</v>
          </cell>
          <cell r="AZ259">
            <v>768.02142299999991</v>
          </cell>
          <cell r="BA259">
            <v>768.02142299999991</v>
          </cell>
          <cell r="BB259">
            <v>768.02142299999991</v>
          </cell>
        </row>
        <row r="260">
          <cell r="A260" t="str">
            <v>Additional Income Statement Items</v>
          </cell>
          <cell r="B260">
            <v>0</v>
          </cell>
          <cell r="C260">
            <v>0</v>
          </cell>
          <cell r="D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0.9</v>
          </cell>
          <cell r="AU260">
            <v>0.9</v>
          </cell>
          <cell r="AV260">
            <v>0</v>
          </cell>
          <cell r="AW260">
            <v>0</v>
          </cell>
          <cell r="AX260">
            <v>0</v>
          </cell>
          <cell r="AY260">
            <v>0</v>
          </cell>
          <cell r="AZ260">
            <v>0</v>
          </cell>
          <cell r="BA260">
            <v>0</v>
          </cell>
          <cell r="BB260">
            <v>0</v>
          </cell>
        </row>
        <row r="261">
          <cell r="B261" t="str">
            <v>Organic net income (excl. acquisitions)</v>
          </cell>
          <cell r="C261" t="str">
            <v>ORG_NI</v>
          </cell>
          <cell r="D261" t="str">
            <v>EUR</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row>
        <row r="262">
          <cell r="B262" t="str">
            <v>Organic EPS (excl. acquisitions)</v>
          </cell>
          <cell r="C262" t="str">
            <v>ORG_EPS</v>
          </cell>
          <cell r="D262" t="str">
            <v>EUR</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row>
        <row r="263">
          <cell r="A263">
            <v>0</v>
          </cell>
          <cell r="B263" t="str">
            <v>Marginal tax rate</v>
          </cell>
          <cell r="C263" t="str">
            <v>MARGIN_TAX_RATE</v>
          </cell>
          <cell r="D263">
            <v>0</v>
          </cell>
          <cell r="F263">
            <v>0.36</v>
          </cell>
          <cell r="G263">
            <v>0.54366382140512148</v>
          </cell>
          <cell r="H263">
            <v>0.39604685212298685</v>
          </cell>
          <cell r="I263">
            <v>0.37432795698924731</v>
          </cell>
          <cell r="J263">
            <v>0.35099337748344372</v>
          </cell>
          <cell r="K263">
            <v>0</v>
          </cell>
          <cell r="L263">
            <v>0</v>
          </cell>
          <cell r="M263">
            <v>0</v>
          </cell>
          <cell r="N263">
            <v>0</v>
          </cell>
          <cell r="O263">
            <v>0.32598130841121498</v>
          </cell>
          <cell r="P263">
            <v>0</v>
          </cell>
          <cell r="Q263">
            <v>0</v>
          </cell>
          <cell r="R263">
            <v>0</v>
          </cell>
          <cell r="S263">
            <v>0</v>
          </cell>
          <cell r="T263">
            <v>1.8115942028985508E-2</v>
          </cell>
          <cell r="U263">
            <v>0</v>
          </cell>
          <cell r="V263">
            <v>0</v>
          </cell>
          <cell r="W263">
            <v>0</v>
          </cell>
          <cell r="X263">
            <v>0</v>
          </cell>
          <cell r="Y263">
            <v>9.0719499478623566E-2</v>
          </cell>
          <cell r="Z263">
            <v>0</v>
          </cell>
          <cell r="AA263">
            <v>0</v>
          </cell>
          <cell r="AB263">
            <v>0</v>
          </cell>
          <cell r="AC263">
            <v>0</v>
          </cell>
          <cell r="AD263">
            <v>0.25192442267319803</v>
          </cell>
          <cell r="AE263">
            <v>0</v>
          </cell>
          <cell r="AF263">
            <v>0</v>
          </cell>
          <cell r="AG263">
            <v>0</v>
          </cell>
          <cell r="AH263">
            <v>0</v>
          </cell>
          <cell r="AI263">
            <v>0.13046272493573266</v>
          </cell>
          <cell r="AJ263">
            <v>0</v>
          </cell>
          <cell r="AK263">
            <v>0</v>
          </cell>
          <cell r="AL263">
            <v>0</v>
          </cell>
          <cell r="AM263">
            <v>0</v>
          </cell>
          <cell r="AN263">
            <v>0.29817007534983853</v>
          </cell>
          <cell r="AO263">
            <v>0</v>
          </cell>
          <cell r="AP263">
            <v>0</v>
          </cell>
          <cell r="AQ263">
            <v>0</v>
          </cell>
          <cell r="AR263">
            <v>0</v>
          </cell>
          <cell r="AS263">
            <v>0.25346534653465347</v>
          </cell>
          <cell r="AT263">
            <v>0.28147554129911789</v>
          </cell>
          <cell r="AU263">
            <v>0.23890359568154018</v>
          </cell>
          <cell r="AV263">
            <v>0.2462306929491466</v>
          </cell>
          <cell r="AW263">
            <v>0.24668817734584611</v>
          </cell>
          <cell r="AX263">
            <v>0.24707579889596748</v>
          </cell>
        </row>
        <row r="264">
          <cell r="A264" t="str">
            <v>Balance Sheet</v>
          </cell>
          <cell r="B264">
            <v>0</v>
          </cell>
          <cell r="C264">
            <v>0</v>
          </cell>
          <cell r="D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row>
        <row r="265">
          <cell r="A265">
            <v>0</v>
          </cell>
          <cell r="B265" t="str">
            <v>BVPS, book value per share</v>
          </cell>
          <cell r="C265" t="str">
            <v>BVPS</v>
          </cell>
          <cell r="D265" t="str">
            <v>EUR</v>
          </cell>
          <cell r="F265">
            <v>12.698882038866888</v>
          </cell>
          <cell r="G265">
            <v>12.206250999219192</v>
          </cell>
          <cell r="H265">
            <v>15.937185142273556</v>
          </cell>
          <cell r="I265">
            <v>20.162124807939811</v>
          </cell>
          <cell r="J265">
            <v>21.228183051609257</v>
          </cell>
          <cell r="K265">
            <v>0</v>
          </cell>
          <cell r="L265">
            <v>0</v>
          </cell>
          <cell r="M265">
            <v>0</v>
          </cell>
          <cell r="N265">
            <v>0</v>
          </cell>
          <cell r="O265">
            <v>17.219048930783995</v>
          </cell>
          <cell r="P265">
            <v>0</v>
          </cell>
          <cell r="Q265">
            <v>0</v>
          </cell>
          <cell r="R265">
            <v>0</v>
          </cell>
          <cell r="S265">
            <v>0</v>
          </cell>
          <cell r="T265">
            <v>16.261236255562469</v>
          </cell>
          <cell r="U265">
            <v>0</v>
          </cell>
          <cell r="V265">
            <v>0</v>
          </cell>
          <cell r="W265">
            <v>0</v>
          </cell>
          <cell r="X265">
            <v>0</v>
          </cell>
          <cell r="Y265">
            <v>16.298767317255059</v>
          </cell>
          <cell r="Z265">
            <v>0</v>
          </cell>
          <cell r="AA265">
            <v>0</v>
          </cell>
          <cell r="AB265">
            <v>0</v>
          </cell>
          <cell r="AC265">
            <v>0</v>
          </cell>
          <cell r="AD265">
            <v>13.658351354882742</v>
          </cell>
          <cell r="AE265">
            <v>0</v>
          </cell>
          <cell r="AF265">
            <v>0</v>
          </cell>
          <cell r="AG265">
            <v>0</v>
          </cell>
          <cell r="AH265">
            <v>0</v>
          </cell>
          <cell r="AI265">
            <v>13.011013723697403</v>
          </cell>
          <cell r="AJ265">
            <v>0</v>
          </cell>
          <cell r="AK265">
            <v>0</v>
          </cell>
          <cell r="AL265">
            <v>0</v>
          </cell>
          <cell r="AM265">
            <v>0</v>
          </cell>
          <cell r="AN265">
            <v>10.905480006663778</v>
          </cell>
          <cell r="AO265">
            <v>0</v>
          </cell>
          <cell r="AP265">
            <v>0</v>
          </cell>
          <cell r="AQ265">
            <v>0</v>
          </cell>
          <cell r="AR265">
            <v>0</v>
          </cell>
          <cell r="AS265">
            <v>10.892209990859801</v>
          </cell>
          <cell r="AT265">
            <v>12.703534444745779</v>
          </cell>
          <cell r="AU265">
            <v>13.949751582569407</v>
          </cell>
          <cell r="AV265">
            <v>17.061311364530255</v>
          </cell>
          <cell r="AW265">
            <v>20.636020092873</v>
          </cell>
          <cell r="AX265">
            <v>24.716043657091198</v>
          </cell>
        </row>
        <row r="266">
          <cell r="A266" t="str">
            <v>Cash Flow Statement</v>
          </cell>
          <cell r="B266">
            <v>0</v>
          </cell>
          <cell r="C266">
            <v>0</v>
          </cell>
          <cell r="D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row>
        <row r="267">
          <cell r="A267">
            <v>0</v>
          </cell>
          <cell r="B267" t="str">
            <v>Net income (pre-preferred dividends)</v>
          </cell>
          <cell r="C267" t="str">
            <v>CF_NI_PRE_PREF</v>
          </cell>
          <cell r="D267" t="str">
            <v>EUR</v>
          </cell>
          <cell r="F267">
            <v>179</v>
          </cell>
          <cell r="G267">
            <v>809</v>
          </cell>
          <cell r="H267">
            <v>696</v>
          </cell>
          <cell r="I267">
            <v>769</v>
          </cell>
          <cell r="J267">
            <v>1152</v>
          </cell>
          <cell r="K267">
            <v>0</v>
          </cell>
          <cell r="L267">
            <v>0</v>
          </cell>
          <cell r="M267">
            <v>0</v>
          </cell>
          <cell r="N267">
            <v>0</v>
          </cell>
          <cell r="O267">
            <v>1769</v>
          </cell>
          <cell r="P267">
            <v>0</v>
          </cell>
          <cell r="Q267">
            <v>0</v>
          </cell>
          <cell r="R267">
            <v>0</v>
          </cell>
          <cell r="S267">
            <v>0</v>
          </cell>
          <cell r="T267">
            <v>3356</v>
          </cell>
          <cell r="U267">
            <v>0</v>
          </cell>
          <cell r="V267">
            <v>0</v>
          </cell>
          <cell r="W267">
            <v>0</v>
          </cell>
          <cell r="X267">
            <v>0</v>
          </cell>
          <cell r="Y267">
            <v>3129</v>
          </cell>
          <cell r="Z267">
            <v>0</v>
          </cell>
          <cell r="AA267">
            <v>0</v>
          </cell>
          <cell r="AB267">
            <v>0</v>
          </cell>
          <cell r="AC267">
            <v>0</v>
          </cell>
          <cell r="AD267">
            <v>2113</v>
          </cell>
          <cell r="AE267">
            <v>0</v>
          </cell>
          <cell r="AF267">
            <v>0</v>
          </cell>
          <cell r="AG267">
            <v>0</v>
          </cell>
          <cell r="AH267">
            <v>0</v>
          </cell>
          <cell r="AI267">
            <v>1748</v>
          </cell>
          <cell r="AJ267">
            <v>0</v>
          </cell>
          <cell r="AK267">
            <v>0</v>
          </cell>
          <cell r="AL267">
            <v>0</v>
          </cell>
          <cell r="AM267">
            <v>0</v>
          </cell>
          <cell r="AN267">
            <v>674</v>
          </cell>
          <cell r="AO267">
            <v>0</v>
          </cell>
          <cell r="AP267">
            <v>0</v>
          </cell>
          <cell r="AQ267">
            <v>0</v>
          </cell>
          <cell r="AR267">
            <v>0</v>
          </cell>
          <cell r="AS267">
            <v>1186</v>
          </cell>
          <cell r="AT267">
            <v>1803</v>
          </cell>
          <cell r="AU267">
            <v>2470.6702620756141</v>
          </cell>
          <cell r="AV267">
            <v>2955.781567813995</v>
          </cell>
          <cell r="AW267">
            <v>3362.1792945931711</v>
          </cell>
          <cell r="AX267">
            <v>3806.0302692150535</v>
          </cell>
        </row>
        <row r="268">
          <cell r="A268" t="str">
            <v>Other Items</v>
          </cell>
          <cell r="B268">
            <v>0</v>
          </cell>
          <cell r="C268">
            <v>0</v>
          </cell>
          <cell r="D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row>
        <row r="269">
          <cell r="A269">
            <v>0</v>
          </cell>
          <cell r="B269" t="str">
            <v>Beta</v>
          </cell>
          <cell r="C269" t="str">
            <v>BETA_ANALYST</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row>
        <row r="270">
          <cell r="A270">
            <v>0</v>
          </cell>
          <cell r="B270" t="str">
            <v>Market equity risk premium</v>
          </cell>
          <cell r="C270" t="str">
            <v>MKT_EQ_RISK_PREM</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row>
        <row r="271">
          <cell r="A271">
            <v>0</v>
          </cell>
          <cell r="B271" t="str">
            <v>Risk-free rate</v>
          </cell>
          <cell r="C271" t="str">
            <v>RISK_FR_RATE</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row>
        <row r="272">
          <cell r="A272">
            <v>0</v>
          </cell>
          <cell r="B272" t="str">
            <v>Indirect Sales BRICs/other - % Consumer (C)</v>
          </cell>
          <cell r="C272" t="str">
            <v>IND_SALES_BRICS_CONS</v>
          </cell>
          <cell r="D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row>
        <row r="273">
          <cell r="A273">
            <v>0</v>
          </cell>
          <cell r="B273" t="str">
            <v>Indirect Sales BRICs/other - % Industry (I)</v>
          </cell>
          <cell r="C273" t="str">
            <v>IND_SALES_BRICS_IND</v>
          </cell>
          <cell r="D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row>
        <row r="274">
          <cell r="A274">
            <v>0</v>
          </cell>
          <cell r="B274" t="str">
            <v>Indirect Sales BRICs/other - % Government (G)</v>
          </cell>
          <cell r="C274" t="str">
            <v>IND_SALES_BRICS_GOV</v>
          </cell>
          <cell r="D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row>
        <row r="275">
          <cell r="A275">
            <v>0</v>
          </cell>
          <cell r="B275" t="str">
            <v>Operating Profit US - % Consumer (C)</v>
          </cell>
          <cell r="C275" t="str">
            <v>OP_US_CONS</v>
          </cell>
          <cell r="D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row>
        <row r="276">
          <cell r="A276">
            <v>0</v>
          </cell>
          <cell r="B276" t="str">
            <v>Operating Profit US - % Industry (I)</v>
          </cell>
          <cell r="C276" t="str">
            <v>OP_US_IND</v>
          </cell>
          <cell r="D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row>
        <row r="277">
          <cell r="A277">
            <v>0</v>
          </cell>
          <cell r="B277" t="str">
            <v>Operating Profit US - % Government (G)</v>
          </cell>
          <cell r="C277" t="str">
            <v>OP_US_GOV</v>
          </cell>
          <cell r="D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row>
        <row r="278">
          <cell r="A278">
            <v>0</v>
          </cell>
          <cell r="B278" t="str">
            <v>Operating Profit UK - % Consumer (C)</v>
          </cell>
          <cell r="C278" t="str">
            <v>OP_UK_CONS</v>
          </cell>
          <cell r="D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row>
        <row r="279">
          <cell r="A279">
            <v>0</v>
          </cell>
          <cell r="B279" t="str">
            <v>Operating Profit UK - % Industry (I)</v>
          </cell>
          <cell r="C279" t="str">
            <v>OP_UK_IND</v>
          </cell>
          <cell r="D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row>
        <row r="280">
          <cell r="A280">
            <v>0</v>
          </cell>
          <cell r="B280" t="str">
            <v>Operating Profit UK - % Government (G)</v>
          </cell>
          <cell r="C280" t="str">
            <v>OP_UK_GOV</v>
          </cell>
          <cell r="D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row>
        <row r="281">
          <cell r="A281">
            <v>0</v>
          </cell>
          <cell r="B281" t="str">
            <v>Operating Profit Dev, EU ex-UK% Consumer (C)</v>
          </cell>
          <cell r="C281" t="str">
            <v>OP_EU_EX_UK_CONS</v>
          </cell>
          <cell r="D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row>
        <row r="282">
          <cell r="A282">
            <v>0</v>
          </cell>
          <cell r="B282" t="str">
            <v>Operating Profit Dev, EU ex-UK% Industry (I)</v>
          </cell>
          <cell r="C282" t="str">
            <v>OP_EU_EX_UK_IND</v>
          </cell>
          <cell r="D282">
            <v>0</v>
          </cell>
          <cell r="F282" t="str">
            <v/>
          </cell>
          <cell r="G282" t="str">
            <v/>
          </cell>
          <cell r="H282" t="str">
            <v/>
          </cell>
          <cell r="I282" t="str">
            <v/>
          </cell>
          <cell r="J282" t="str">
            <v/>
          </cell>
          <cell r="K282" t="str">
            <v/>
          </cell>
          <cell r="L282" t="str">
            <v/>
          </cell>
          <cell r="M282" t="str">
            <v/>
          </cell>
          <cell r="N282" t="str">
            <v/>
          </cell>
          <cell r="O282" t="str">
            <v/>
          </cell>
          <cell r="P282" t="str">
            <v/>
          </cell>
          <cell r="Q282" t="str">
            <v/>
          </cell>
          <cell r="R282" t="str">
            <v/>
          </cell>
          <cell r="S282" t="str">
            <v/>
          </cell>
          <cell r="T282" t="str">
            <v/>
          </cell>
          <cell r="U282" t="str">
            <v/>
          </cell>
          <cell r="V282" t="str">
            <v/>
          </cell>
          <cell r="W282" t="str">
            <v/>
          </cell>
          <cell r="X282" t="str">
            <v/>
          </cell>
          <cell r="Y282" t="str">
            <v/>
          </cell>
          <cell r="Z282" t="str">
            <v/>
          </cell>
          <cell r="AA282" t="str">
            <v/>
          </cell>
          <cell r="AB282" t="str">
            <v/>
          </cell>
          <cell r="AC282" t="str">
            <v/>
          </cell>
          <cell r="AD282" t="str">
            <v/>
          </cell>
          <cell r="AE282" t="str">
            <v/>
          </cell>
          <cell r="AF282" t="str">
            <v/>
          </cell>
          <cell r="AG282" t="str">
            <v/>
          </cell>
          <cell r="AH282" t="str">
            <v/>
          </cell>
          <cell r="AI282" t="str">
            <v/>
          </cell>
          <cell r="AJ282" t="str">
            <v/>
          </cell>
          <cell r="AK282" t="str">
            <v/>
          </cell>
          <cell r="AL282" t="str">
            <v/>
          </cell>
          <cell r="AM282" t="str">
            <v/>
          </cell>
          <cell r="AN282" t="str">
            <v/>
          </cell>
          <cell r="AO282" t="str">
            <v/>
          </cell>
          <cell r="AP282" t="str">
            <v/>
          </cell>
          <cell r="AQ282" t="str">
            <v/>
          </cell>
          <cell r="AR282" t="str">
            <v/>
          </cell>
          <cell r="AS282" t="str">
            <v/>
          </cell>
          <cell r="AT282">
            <v>0</v>
          </cell>
          <cell r="AU282">
            <v>0</v>
          </cell>
          <cell r="AV282" t="str">
            <v/>
          </cell>
          <cell r="AW282" t="str">
            <v/>
          </cell>
          <cell r="AX282" t="str">
            <v/>
          </cell>
        </row>
        <row r="283">
          <cell r="A283">
            <v>0</v>
          </cell>
          <cell r="B283" t="str">
            <v>Operating Profit Dev, EU ex-UK% Government (G)</v>
          </cell>
          <cell r="C283" t="str">
            <v>OP_EU_EX_UK_GOV</v>
          </cell>
          <cell r="D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row>
        <row r="284">
          <cell r="A284">
            <v>0</v>
          </cell>
          <cell r="B284" t="str">
            <v>Operating Profit BRICs/other - % Consumer (C)</v>
          </cell>
          <cell r="C284" t="str">
            <v>OP_BRICS_CONS</v>
          </cell>
          <cell r="D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row>
        <row r="285">
          <cell r="A285">
            <v>0</v>
          </cell>
          <cell r="B285" t="str">
            <v>Operating Profit BRICs/other - % Industry (I)</v>
          </cell>
          <cell r="C285" t="str">
            <v>OP_BRICS_IND</v>
          </cell>
          <cell r="D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row>
        <row r="286">
          <cell r="A286">
            <v>0</v>
          </cell>
          <cell r="B286" t="str">
            <v>Operating Profit BRICs/other - % Government (G)</v>
          </cell>
          <cell r="C286" t="str">
            <v>OP_BRICS_GOV</v>
          </cell>
          <cell r="D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row>
        <row r="287">
          <cell r="A287">
            <v>0</v>
          </cell>
          <cell r="B287" t="str">
            <v>Net Income  US - % Consumer (C)</v>
          </cell>
          <cell r="C287" t="str">
            <v>NI_US_CONS</v>
          </cell>
          <cell r="D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row>
        <row r="288">
          <cell r="A288">
            <v>0</v>
          </cell>
          <cell r="B288" t="str">
            <v>Net Income  US - % Industry (I)</v>
          </cell>
          <cell r="C288" t="str">
            <v>NI_US_IND</v>
          </cell>
          <cell r="D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row>
        <row r="289">
          <cell r="A289">
            <v>0</v>
          </cell>
          <cell r="B289" t="str">
            <v>Net Income  US - % Government (G)</v>
          </cell>
          <cell r="C289" t="str">
            <v>NI_US_GOV</v>
          </cell>
          <cell r="D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row>
        <row r="290">
          <cell r="A290">
            <v>0</v>
          </cell>
          <cell r="B290" t="str">
            <v>Net Income  UK - % Consumer (C)</v>
          </cell>
          <cell r="C290" t="str">
            <v>NI_UK_CONS</v>
          </cell>
          <cell r="D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row>
        <row r="291">
          <cell r="A291">
            <v>0</v>
          </cell>
          <cell r="B291" t="str">
            <v>Net Income  UK - % Industry (I)</v>
          </cell>
          <cell r="C291" t="str">
            <v>NI_UK_IND</v>
          </cell>
          <cell r="D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row>
        <row r="292">
          <cell r="A292">
            <v>0</v>
          </cell>
          <cell r="B292" t="str">
            <v>Net Income  UK - % Government (G)</v>
          </cell>
          <cell r="C292" t="str">
            <v>NI_UK_GOV</v>
          </cell>
          <cell r="D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row>
        <row r="293">
          <cell r="A293">
            <v>0</v>
          </cell>
          <cell r="B293" t="str">
            <v>Net Income  Dev, EU ex-UK% Consumer (C)</v>
          </cell>
          <cell r="C293" t="str">
            <v>NI_EU_EX_UK_CONS</v>
          </cell>
          <cell r="D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row>
        <row r="294">
          <cell r="A294">
            <v>0</v>
          </cell>
          <cell r="B294" t="str">
            <v>Net Income  Dev, EU ex-UK% Industry (I)</v>
          </cell>
          <cell r="C294" t="str">
            <v>NI_EU_EX_UK_IND</v>
          </cell>
          <cell r="D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row>
        <row r="295">
          <cell r="A295">
            <v>0</v>
          </cell>
          <cell r="B295" t="str">
            <v>Net Income  Dev, EU ex-UK% Government (G)</v>
          </cell>
          <cell r="C295" t="str">
            <v>NI_EU_EX_UK_GOV</v>
          </cell>
          <cell r="D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row>
        <row r="296">
          <cell r="A296">
            <v>0</v>
          </cell>
          <cell r="B296" t="str">
            <v>Net Income  BRICs/other - % Consumer (C)</v>
          </cell>
          <cell r="C296" t="str">
            <v>NI_BRICS_CONS</v>
          </cell>
          <cell r="D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row>
        <row r="297">
          <cell r="A297">
            <v>0</v>
          </cell>
          <cell r="B297" t="str">
            <v>Net Income  BRICs/other - % Industry (I)</v>
          </cell>
          <cell r="C297" t="str">
            <v>NI_BRICS_IND</v>
          </cell>
          <cell r="D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row>
        <row r="298">
          <cell r="A298">
            <v>0</v>
          </cell>
          <cell r="B298" t="str">
            <v>Net Income  BRICs/other - % Government (G)</v>
          </cell>
          <cell r="C298" t="str">
            <v>NI_BRICS_GOV</v>
          </cell>
          <cell r="D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row>
        <row r="299">
          <cell r="A299" t="str">
            <v>Commodities Exposure - Sales</v>
          </cell>
          <cell r="B299">
            <v>0</v>
          </cell>
          <cell r="C299">
            <v>0</v>
          </cell>
          <cell r="D299">
            <v>0</v>
          </cell>
        </row>
        <row r="300">
          <cell r="B300" t="str">
            <v>Sales - % Other commodity</v>
          </cell>
          <cell r="C300" t="str">
            <v>SALES_OTH_COMMODITY</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row>
        <row r="301">
          <cell r="B301" t="str">
            <v>Sales - % Other (Non-Commodity) sales sources</v>
          </cell>
          <cell r="C301" t="str">
            <v>SALES_OTH_SALES_SOURCES</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row>
        <row r="302">
          <cell r="A302" t="str">
            <v>Commodities Exposure - Expense</v>
          </cell>
          <cell r="B302">
            <v>0</v>
          </cell>
          <cell r="C302">
            <v>0</v>
          </cell>
          <cell r="D302">
            <v>0</v>
          </cell>
        </row>
        <row r="303">
          <cell r="B303" t="str">
            <v>Expense - % Oil/Petrol/Fuel</v>
          </cell>
          <cell r="C303" t="str">
            <v>EXP_OIL_PETRO_FUEL</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row>
        <row r="304">
          <cell r="B304" t="str">
            <v>Expense - % Oil derivatives/NGLs/plastics</v>
          </cell>
          <cell r="C304" t="str">
            <v>EXP_OIL_DERIV_NGLS_PLASTICS</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row>
        <row r="305">
          <cell r="B305" t="str">
            <v>Expense - % Nat Gas</v>
          </cell>
          <cell r="C305" t="str">
            <v>EXP_NAT_GAS</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row>
        <row r="306">
          <cell r="B306" t="str">
            <v>Expense - % Gold</v>
          </cell>
          <cell r="C306" t="str">
            <v>EXP_GOLD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row>
        <row r="307">
          <cell r="B307" t="str">
            <v>Expense - % Copper</v>
          </cell>
          <cell r="C307" t="str">
            <v>EXP_COPPER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row>
        <row r="308">
          <cell r="B308" t="str">
            <v>Expense - % Silver</v>
          </cell>
          <cell r="C308" t="str">
            <v>EXP_SILVER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row>
        <row r="309">
          <cell r="B309" t="str">
            <v>Expense - % Platinum</v>
          </cell>
          <cell r="C309" t="str">
            <v>EXP_PLATINUM</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row>
        <row r="310">
          <cell r="B310" t="str">
            <v>Expense - % Palladium</v>
          </cell>
          <cell r="C310" t="str">
            <v>EXP_PALLADIUM</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row>
        <row r="311">
          <cell r="B311" t="str">
            <v>Expense - % Aluminium</v>
          </cell>
          <cell r="C311" t="str">
            <v>EXP_ALUMINIUM</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row>
        <row r="312">
          <cell r="B312" t="str">
            <v>Expense - % Nickel</v>
          </cell>
          <cell r="C312" t="str">
            <v>EXP_NICKEL</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row>
        <row r="313">
          <cell r="B313" t="str">
            <v>Expense - % Zinc</v>
          </cell>
          <cell r="C313" t="str">
            <v>EXP_ZINC</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row>
        <row r="314">
          <cell r="B314" t="str">
            <v>Expense - % Steel</v>
          </cell>
          <cell r="C314" t="str">
            <v>EXP_STEEL</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row>
        <row r="315">
          <cell r="B315" t="str">
            <v>Expense - % Glass</v>
          </cell>
          <cell r="C315" t="str">
            <v>EXP_GLASS</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row>
        <row r="316">
          <cell r="B316" t="str">
            <v>Expense - % Rubber</v>
          </cell>
          <cell r="C316" t="str">
            <v>EXP_RUBBER</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row>
        <row r="317">
          <cell r="B317" t="str">
            <v>Expense - % Water</v>
          </cell>
          <cell r="C317" t="str">
            <v>EXP_WATER</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row>
        <row r="318">
          <cell r="B318" t="str">
            <v>Expense - % Other commodity</v>
          </cell>
          <cell r="C318" t="str">
            <v>EXP_OTH_COMMODITY</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row>
        <row r="319">
          <cell r="B319" t="str">
            <v>Expense - % Other (Non-Commodity) cost</v>
          </cell>
          <cell r="C319" t="str">
            <v>EXP_OTH_COST</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row>
        <row r="320">
          <cell r="A320" t="str">
            <v>FX Exposure - Sales</v>
          </cell>
          <cell r="B320">
            <v>0</v>
          </cell>
          <cell r="C320">
            <v>0</v>
          </cell>
          <cell r="D320">
            <v>0</v>
          </cell>
        </row>
        <row r="321">
          <cell r="B321" t="str">
            <v>Sales - % FX: British Pounds/Pence</v>
          </cell>
          <cell r="C321" t="str">
            <v>SALES_FX_GPB</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0.1</v>
          </cell>
          <cell r="AU321">
            <v>0.1</v>
          </cell>
          <cell r="AV321">
            <v>0</v>
          </cell>
          <cell r="AW321">
            <v>0</v>
          </cell>
          <cell r="AX321">
            <v>0</v>
          </cell>
          <cell r="AY321">
            <v>0</v>
          </cell>
          <cell r="AZ321">
            <v>0</v>
          </cell>
          <cell r="BA321">
            <v>0</v>
          </cell>
          <cell r="BB321">
            <v>0</v>
          </cell>
        </row>
        <row r="322">
          <cell r="B322" t="str">
            <v>Sales - % FX: Euro</v>
          </cell>
          <cell r="C322" t="str">
            <v>SALES_FX_EUR</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0.17</v>
          </cell>
          <cell r="AU322">
            <v>0.17</v>
          </cell>
          <cell r="AV322">
            <v>0</v>
          </cell>
          <cell r="AW322">
            <v>0</v>
          </cell>
          <cell r="AX322">
            <v>0</v>
          </cell>
          <cell r="AY322">
            <v>0</v>
          </cell>
          <cell r="AZ322">
            <v>0</v>
          </cell>
          <cell r="BA322">
            <v>0</v>
          </cell>
          <cell r="BB322">
            <v>0</v>
          </cell>
        </row>
        <row r="323">
          <cell r="B323" t="str">
            <v>Sales - % FX: New Russian Ruble</v>
          </cell>
          <cell r="C323" t="str">
            <v>SALES_FX_RUB</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row>
        <row r="324">
          <cell r="B324" t="str">
            <v>Sales - % FX: U.S. Dollar</v>
          </cell>
          <cell r="C324" t="str">
            <v>SALES_FX_USD</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0.73</v>
          </cell>
          <cell r="AU324">
            <v>0.73</v>
          </cell>
          <cell r="AV324">
            <v>0</v>
          </cell>
          <cell r="AW324">
            <v>0</v>
          </cell>
          <cell r="AX324">
            <v>0</v>
          </cell>
          <cell r="AY324">
            <v>0</v>
          </cell>
          <cell r="AZ324">
            <v>0</v>
          </cell>
          <cell r="BA324">
            <v>0</v>
          </cell>
          <cell r="BB324">
            <v>0</v>
          </cell>
        </row>
        <row r="325">
          <cell r="B325" t="str">
            <v>Sales - % FX: Brazilian Real</v>
          </cell>
          <cell r="C325" t="str">
            <v>SALES_FX_BRL</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row>
        <row r="326">
          <cell r="B326" t="str">
            <v>Sales - % FX: Japanese Yen</v>
          </cell>
          <cell r="C326" t="str">
            <v>SALES_FX_YEN</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row>
        <row r="327">
          <cell r="B327" t="str">
            <v>Sales - % FX: Chinese Renminbi</v>
          </cell>
          <cell r="C327" t="str">
            <v>SALES_FX_CNY</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row>
        <row r="328">
          <cell r="B328" t="str">
            <v>Sales - % FX: Indian Rupee</v>
          </cell>
          <cell r="C328" t="str">
            <v>SALES_FX_INR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row>
        <row r="329">
          <cell r="B329" t="str">
            <v>Sales - % FX: South African Rand</v>
          </cell>
          <cell r="C329" t="str">
            <v>SALES_FX_ZAR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row>
        <row r="330">
          <cell r="B330" t="str">
            <v>Sales - % FX: Nigerian Naira</v>
          </cell>
          <cell r="C330" t="str">
            <v>SALES_FX_NGN</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row>
        <row r="331">
          <cell r="B331" t="str">
            <v>Sales - % FX: Swiss Franc</v>
          </cell>
          <cell r="C331" t="str">
            <v>SALES_FX_CHF</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row>
        <row r="332">
          <cell r="B332" t="str">
            <v>Sales - % FX: UAE Dirham</v>
          </cell>
          <cell r="C332" t="str">
            <v>SALES_FX_AED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row>
        <row r="333">
          <cell r="B333" t="str">
            <v>Sales - % FX: New Turkish Lira</v>
          </cell>
          <cell r="C333" t="str">
            <v>SALES_FX_TRY</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row>
        <row r="334">
          <cell r="B334" t="str">
            <v>Sales - % FX: Other Currency</v>
          </cell>
          <cell r="C334" t="str">
            <v>SALES_FX_OTH</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row>
        <row r="335">
          <cell r="A335" t="str">
            <v>Security: EADS</v>
          </cell>
          <cell r="B335">
            <v>0</v>
          </cell>
          <cell r="C335">
            <v>0</v>
          </cell>
          <cell r="D335">
            <v>0</v>
          </cell>
        </row>
        <row r="336">
          <cell r="A336" t="str">
            <v>Reference Data</v>
          </cell>
          <cell r="B336">
            <v>0</v>
          </cell>
          <cell r="C336">
            <v>0</v>
          </cell>
          <cell r="D336">
            <v>0</v>
          </cell>
        </row>
        <row r="337">
          <cell r="B337" t="str">
            <v>Ticker</v>
          </cell>
          <cell r="C337" t="str">
            <v>Ticker</v>
          </cell>
          <cell r="E337" t="str">
            <v>EAD.PA</v>
          </cell>
        </row>
        <row r="338">
          <cell r="B338" t="str">
            <v>Security Name</v>
          </cell>
          <cell r="C338" t="str">
            <v>Security Name</v>
          </cell>
          <cell r="E338" t="str">
            <v>EADS</v>
          </cell>
        </row>
        <row r="339">
          <cell r="B339" t="str">
            <v>Interim Type</v>
          </cell>
          <cell r="C339" t="str">
            <v>Interim Type</v>
          </cell>
          <cell r="E339" t="str">
            <v>Q</v>
          </cell>
        </row>
        <row r="340">
          <cell r="B340" t="str">
            <v>Publishing Currency</v>
          </cell>
          <cell r="C340" t="str">
            <v>PUB_CURRENCY_ISO</v>
          </cell>
          <cell r="E340" t="str">
            <v>EUR</v>
          </cell>
        </row>
        <row r="341">
          <cell r="B341" t="str">
            <v>Pricing Currency</v>
          </cell>
          <cell r="C341" t="str">
            <v>PRICE_CURRENCY_ISO</v>
          </cell>
          <cell r="E341" t="str">
            <v>EUR</v>
          </cell>
        </row>
        <row r="342">
          <cell r="B342" t="str">
            <v>Reporting Currency</v>
          </cell>
          <cell r="C342" t="str">
            <v>CURRENCY_ISO</v>
          </cell>
          <cell r="E342" t="str">
            <v>EUR</v>
          </cell>
        </row>
        <row r="343">
          <cell r="A343" t="str">
            <v>General Information</v>
          </cell>
          <cell r="B343">
            <v>0</v>
          </cell>
          <cell r="C343">
            <v>0</v>
          </cell>
          <cell r="D343">
            <v>0</v>
          </cell>
        </row>
        <row r="344">
          <cell r="B344" t="str">
            <v>Pan Europe Investment List</v>
          </cell>
          <cell r="C344" t="str">
            <v>EURO_LIST</v>
          </cell>
          <cell r="E344" t="str">
            <v>Buy</v>
          </cell>
        </row>
        <row r="345">
          <cell r="B345" t="str">
            <v>Pan Europe Conviction List</v>
          </cell>
          <cell r="C345" t="str">
            <v>EURO_CONVICTION</v>
          </cell>
          <cell r="E345">
            <v>0</v>
          </cell>
        </row>
        <row r="346">
          <cell r="B346" t="str">
            <v>Legal rating</v>
          </cell>
          <cell r="C346" t="str">
            <v>LEGAL_RATING</v>
          </cell>
          <cell r="E346">
            <v>0</v>
          </cell>
        </row>
        <row r="347">
          <cell r="B347" t="str">
            <v>Target price</v>
          </cell>
          <cell r="C347" t="str">
            <v>TARGET_PRICE</v>
          </cell>
          <cell r="D347" t="str">
            <v>EUR</v>
          </cell>
          <cell r="E347">
            <v>60</v>
          </cell>
        </row>
        <row r="348">
          <cell r="B348" t="str">
            <v>Target price period</v>
          </cell>
          <cell r="C348" t="str">
            <v>TP_PERIOD</v>
          </cell>
          <cell r="E348" t="str">
            <v>12 months</v>
          </cell>
        </row>
        <row r="349">
          <cell r="B349" t="str">
            <v>Current shares outstanding (mn)</v>
          </cell>
          <cell r="C349" t="str">
            <v>NUM_SH</v>
          </cell>
          <cell r="E349">
            <v>812.5072879999999</v>
          </cell>
        </row>
        <row r="350">
          <cell r="B350" t="str">
            <v>Free float</v>
          </cell>
          <cell r="C350" t="str">
            <v>FREE_FLOAT</v>
          </cell>
          <cell r="E350">
            <v>0.47</v>
          </cell>
        </row>
        <row r="351">
          <cell r="B351" t="str">
            <v>Indirect Sales - % Central &amp; Eastern Europe</v>
          </cell>
          <cell r="C351" t="str">
            <v>ACT1</v>
          </cell>
          <cell r="E351">
            <v>0.22500000000000001</v>
          </cell>
        </row>
        <row r="352">
          <cell r="B352" t="str">
            <v>Indirect Sales - % Middle East</v>
          </cell>
          <cell r="C352" t="str">
            <v>ACT2</v>
          </cell>
          <cell r="E352">
            <v>0.25</v>
          </cell>
        </row>
        <row r="353">
          <cell r="B353" t="str">
            <v>Indirect Sales - % Russia</v>
          </cell>
          <cell r="C353" t="str">
            <v>ACT3</v>
          </cell>
          <cell r="E353">
            <v>0.05</v>
          </cell>
        </row>
        <row r="354">
          <cell r="A354" t="str">
            <v>Publishing Items</v>
          </cell>
          <cell r="B354">
            <v>0</v>
          </cell>
          <cell r="C354">
            <v>0</v>
          </cell>
          <cell r="D354">
            <v>0</v>
          </cell>
        </row>
        <row r="355">
          <cell r="B355" t="str">
            <v>Book value per share, BVPS (Pub)</v>
          </cell>
          <cell r="C355" t="str">
            <v>BVPS_PUB</v>
          </cell>
          <cell r="D355" t="str">
            <v>EUR</v>
          </cell>
          <cell r="F355">
            <v>12.698882038866888</v>
          </cell>
          <cell r="G355">
            <v>12.206250999219192</v>
          </cell>
          <cell r="H355">
            <v>15.937185142273556</v>
          </cell>
          <cell r="I355">
            <v>20.162124807939811</v>
          </cell>
          <cell r="J355">
            <v>21.228183051609257</v>
          </cell>
          <cell r="K355">
            <v>0</v>
          </cell>
          <cell r="L355">
            <v>0</v>
          </cell>
          <cell r="M355">
            <v>0</v>
          </cell>
          <cell r="N355">
            <v>0</v>
          </cell>
          <cell r="O355">
            <v>17.219048930783995</v>
          </cell>
          <cell r="P355">
            <v>0</v>
          </cell>
          <cell r="Q355">
            <v>0</v>
          </cell>
          <cell r="R355">
            <v>0</v>
          </cell>
          <cell r="S355">
            <v>0</v>
          </cell>
          <cell r="T355">
            <v>16.261236255562469</v>
          </cell>
          <cell r="U355">
            <v>0</v>
          </cell>
          <cell r="V355">
            <v>0</v>
          </cell>
          <cell r="W355">
            <v>0</v>
          </cell>
          <cell r="X355">
            <v>0</v>
          </cell>
          <cell r="Y355">
            <v>16.298767317255059</v>
          </cell>
          <cell r="Z355">
            <v>0</v>
          </cell>
          <cell r="AA355">
            <v>0</v>
          </cell>
          <cell r="AB355">
            <v>0</v>
          </cell>
          <cell r="AC355">
            <v>0</v>
          </cell>
          <cell r="AD355">
            <v>13.658351354882742</v>
          </cell>
          <cell r="AE355">
            <v>0</v>
          </cell>
          <cell r="AF355">
            <v>0</v>
          </cell>
          <cell r="AG355">
            <v>0</v>
          </cell>
          <cell r="AH355">
            <v>0</v>
          </cell>
          <cell r="AI355">
            <v>13.011013723697403</v>
          </cell>
          <cell r="AJ355">
            <v>0</v>
          </cell>
          <cell r="AK355">
            <v>0</v>
          </cell>
          <cell r="AL355">
            <v>0</v>
          </cell>
          <cell r="AM355">
            <v>0</v>
          </cell>
          <cell r="AN355">
            <v>10.905480006663778</v>
          </cell>
          <cell r="AO355">
            <v>0</v>
          </cell>
          <cell r="AP355">
            <v>0</v>
          </cell>
          <cell r="AQ355">
            <v>0</v>
          </cell>
          <cell r="AR355">
            <v>0</v>
          </cell>
          <cell r="AS355">
            <v>10.892209990859801</v>
          </cell>
          <cell r="AT355">
            <v>12.703534444745779</v>
          </cell>
          <cell r="AU355">
            <v>13.949751582569407</v>
          </cell>
          <cell r="AV355">
            <v>17.061311364530255</v>
          </cell>
          <cell r="AW355">
            <v>20.636020092873</v>
          </cell>
          <cell r="AX355">
            <v>24.716043657091198</v>
          </cell>
          <cell r="AY355">
            <v>29.107316522945627</v>
          </cell>
          <cell r="AZ355">
            <v>33.625258803667251</v>
          </cell>
          <cell r="BA355">
            <v>39.220479379112582</v>
          </cell>
          <cell r="BB355">
            <v>45.828182789850914</v>
          </cell>
        </row>
        <row r="356">
          <cell r="B356" t="str">
            <v>DPS, dividend per share (Pub)</v>
          </cell>
          <cell r="C356" t="str">
            <v>DPS_PUB</v>
          </cell>
          <cell r="D356" t="str">
            <v>EUR</v>
          </cell>
          <cell r="F356">
            <v>0.5</v>
          </cell>
          <cell r="G356">
            <v>0.5</v>
          </cell>
          <cell r="H356">
            <v>0.3</v>
          </cell>
          <cell r="I356">
            <v>0.4</v>
          </cell>
          <cell r="J356">
            <v>0.5</v>
          </cell>
          <cell r="K356">
            <v>0</v>
          </cell>
          <cell r="L356">
            <v>0</v>
          </cell>
          <cell r="M356">
            <v>0</v>
          </cell>
          <cell r="N356">
            <v>0</v>
          </cell>
          <cell r="O356">
            <v>0.65</v>
          </cell>
          <cell r="P356">
            <v>0</v>
          </cell>
          <cell r="Q356">
            <v>0</v>
          </cell>
          <cell r="R356">
            <v>0</v>
          </cell>
          <cell r="S356">
            <v>0</v>
          </cell>
          <cell r="T356">
            <v>0.12122194257528124</v>
          </cell>
          <cell r="U356">
            <v>0</v>
          </cell>
          <cell r="V356">
            <v>0</v>
          </cell>
          <cell r="W356">
            <v>0</v>
          </cell>
          <cell r="X356">
            <v>0</v>
          </cell>
          <cell r="Y356">
            <v>0.1207777257275585</v>
          </cell>
          <cell r="Z356">
            <v>0</v>
          </cell>
          <cell r="AA356">
            <v>0</v>
          </cell>
          <cell r="AB356">
            <v>0</v>
          </cell>
          <cell r="AC356">
            <v>0</v>
          </cell>
          <cell r="AD356">
            <v>0.20074876787252804</v>
          </cell>
          <cell r="AE356">
            <v>0</v>
          </cell>
          <cell r="AF356">
            <v>0</v>
          </cell>
          <cell r="AG356">
            <v>0</v>
          </cell>
          <cell r="AH356">
            <v>0</v>
          </cell>
          <cell r="AI356">
            <v>0</v>
          </cell>
          <cell r="AJ356">
            <v>0</v>
          </cell>
          <cell r="AK356">
            <v>0</v>
          </cell>
          <cell r="AL356">
            <v>0</v>
          </cell>
          <cell r="AM356">
            <v>0</v>
          </cell>
          <cell r="AN356">
            <v>0.21956514434862032</v>
          </cell>
          <cell r="AO356">
            <v>0</v>
          </cell>
          <cell r="AP356">
            <v>0</v>
          </cell>
          <cell r="AQ356">
            <v>0</v>
          </cell>
          <cell r="AR356">
            <v>0</v>
          </cell>
          <cell r="AS356">
            <v>0.45414977250025601</v>
          </cell>
          <cell r="AT356">
            <v>0.56239330971562107</v>
          </cell>
          <cell r="AU356">
            <v>0.61863264068718327</v>
          </cell>
          <cell r="AV356">
            <v>0.6804959047559016</v>
          </cell>
          <cell r="AW356">
            <v>0.74854549523149183</v>
          </cell>
          <cell r="AX356">
            <v>0.82340004475464112</v>
          </cell>
          <cell r="AY356">
            <v>0.90574004923010532</v>
          </cell>
          <cell r="AZ356">
            <v>0.99631405415311591</v>
          </cell>
          <cell r="BA356">
            <v>1.0959454595684275</v>
          </cell>
          <cell r="BB356">
            <v>1.2055400055252703</v>
          </cell>
        </row>
        <row r="357">
          <cell r="B357" t="str">
            <v>EBITDA (Pub)</v>
          </cell>
          <cell r="C357" t="str">
            <v>EBITDA_PUB</v>
          </cell>
          <cell r="D357" t="str">
            <v>EUR</v>
          </cell>
          <cell r="F357">
            <v>2334</v>
          </cell>
          <cell r="G357">
            <v>3213</v>
          </cell>
          <cell r="H357">
            <v>3031</v>
          </cell>
          <cell r="I357">
            <v>3137</v>
          </cell>
          <cell r="J357">
            <v>3853</v>
          </cell>
          <cell r="K357">
            <v>0</v>
          </cell>
          <cell r="L357">
            <v>0</v>
          </cell>
          <cell r="M357">
            <v>0</v>
          </cell>
          <cell r="N357">
            <v>0</v>
          </cell>
          <cell r="O357">
            <v>4369</v>
          </cell>
          <cell r="P357">
            <v>0</v>
          </cell>
          <cell r="Q357">
            <v>0</v>
          </cell>
          <cell r="R357">
            <v>0</v>
          </cell>
          <cell r="S357">
            <v>0</v>
          </cell>
          <cell r="T357">
            <v>5126</v>
          </cell>
          <cell r="U357">
            <v>0</v>
          </cell>
          <cell r="V357">
            <v>0</v>
          </cell>
          <cell r="W357">
            <v>0</v>
          </cell>
          <cell r="X357">
            <v>0</v>
          </cell>
          <cell r="Y357">
            <v>5325</v>
          </cell>
          <cell r="Z357">
            <v>0</v>
          </cell>
          <cell r="AA357">
            <v>0</v>
          </cell>
          <cell r="AB357">
            <v>0</v>
          </cell>
          <cell r="AC357">
            <v>0</v>
          </cell>
          <cell r="AD357">
            <v>4945</v>
          </cell>
          <cell r="AE357">
            <v>0</v>
          </cell>
          <cell r="AF357">
            <v>0</v>
          </cell>
          <cell r="AG357">
            <v>0</v>
          </cell>
          <cell r="AH357">
            <v>0</v>
          </cell>
          <cell r="AI357">
            <v>3918</v>
          </cell>
          <cell r="AJ357">
            <v>0</v>
          </cell>
          <cell r="AK357">
            <v>0</v>
          </cell>
          <cell r="AL357">
            <v>0</v>
          </cell>
          <cell r="AM357">
            <v>0</v>
          </cell>
          <cell r="AN357">
            <v>2879</v>
          </cell>
          <cell r="AO357">
            <v>0</v>
          </cell>
          <cell r="AP357">
            <v>0</v>
          </cell>
          <cell r="AQ357">
            <v>0</v>
          </cell>
          <cell r="AR357">
            <v>0</v>
          </cell>
          <cell r="AS357">
            <v>3596</v>
          </cell>
          <cell r="AT357">
            <v>4957</v>
          </cell>
          <cell r="AU357">
            <v>5670.1809064221325</v>
          </cell>
          <cell r="AV357">
            <v>6364.7841313281106</v>
          </cell>
          <cell r="AW357">
            <v>6997.2095583493847</v>
          </cell>
          <cell r="AX357">
            <v>7722.8720666506642</v>
          </cell>
          <cell r="AY357">
            <v>8152.1237485481652</v>
          </cell>
          <cell r="AZ357">
            <v>8364.4905867953603</v>
          </cell>
          <cell r="BA357">
            <v>9638.9250110665162</v>
          </cell>
          <cell r="BB357">
            <v>10843.179202354855</v>
          </cell>
          <cell r="BC357" t="str">
            <v>CH: GS A&amp;D standard EBITDA (company defined underlying EBIT exclusing any additional depreciation, amortisation or impairments)</v>
          </cell>
        </row>
        <row r="358">
          <cell r="B358" t="str">
            <v>EPS (Pub)</v>
          </cell>
          <cell r="C358" t="str">
            <v>EPS_PUB</v>
          </cell>
          <cell r="D358" t="str">
            <v>EUR</v>
          </cell>
          <cell r="F358">
            <v>0.46413708790366726</v>
          </cell>
          <cell r="G358">
            <v>1.0021109001598161</v>
          </cell>
          <cell r="H358">
            <v>0.86554568551591382</v>
          </cell>
          <cell r="I358">
            <v>0.96010147860621731</v>
          </cell>
          <cell r="J358">
            <v>1.4381393443047095</v>
          </cell>
          <cell r="K358">
            <v>0</v>
          </cell>
          <cell r="L358">
            <v>0</v>
          </cell>
          <cell r="M358">
            <v>0</v>
          </cell>
          <cell r="N358">
            <v>0</v>
          </cell>
          <cell r="O358">
            <v>2.2259013837355588</v>
          </cell>
          <cell r="P358">
            <v>0</v>
          </cell>
          <cell r="Q358">
            <v>0</v>
          </cell>
          <cell r="R358">
            <v>0</v>
          </cell>
          <cell r="S358">
            <v>0</v>
          </cell>
          <cell r="T358">
            <v>4.1940292709550908</v>
          </cell>
          <cell r="U358">
            <v>0</v>
          </cell>
          <cell r="V358">
            <v>0</v>
          </cell>
          <cell r="W358">
            <v>0</v>
          </cell>
          <cell r="X358">
            <v>0</v>
          </cell>
          <cell r="Y358">
            <v>3.8960155031085626</v>
          </cell>
          <cell r="Z358">
            <v>0</v>
          </cell>
          <cell r="AA358">
            <v>0</v>
          </cell>
          <cell r="AB358">
            <v>0</v>
          </cell>
          <cell r="AC358">
            <v>0</v>
          </cell>
          <cell r="AD358">
            <v>2.6184083118188379</v>
          </cell>
          <cell r="AE358">
            <v>0</v>
          </cell>
          <cell r="AF358">
            <v>0</v>
          </cell>
          <cell r="AG358">
            <v>0</v>
          </cell>
          <cell r="AH358">
            <v>0</v>
          </cell>
          <cell r="AI358">
            <v>2.1588279059347943</v>
          </cell>
          <cell r="AJ358">
            <v>0</v>
          </cell>
          <cell r="AK358">
            <v>0</v>
          </cell>
          <cell r="AL358">
            <v>0</v>
          </cell>
          <cell r="AM358">
            <v>0</v>
          </cell>
          <cell r="AN358">
            <v>0.7808131256891947</v>
          </cell>
          <cell r="AO358">
            <v>0</v>
          </cell>
          <cell r="AP358">
            <v>0</v>
          </cell>
          <cell r="AQ358">
            <v>0</v>
          </cell>
          <cell r="AR358">
            <v>0</v>
          </cell>
          <cell r="AS358">
            <v>1.3870644813219204</v>
          </cell>
          <cell r="AT358">
            <v>2.1858036497780469</v>
          </cell>
          <cell r="AU358">
            <v>3.21692883568902</v>
          </cell>
          <cell r="AV358">
            <v>3.8485665624642289</v>
          </cell>
          <cell r="AW358">
            <v>4.3777155088461273</v>
          </cell>
          <cell r="AX358">
            <v>4.9556303447215875</v>
          </cell>
          <cell r="AY358">
            <v>5.3467396463578076</v>
          </cell>
          <cell r="AZ358">
            <v>5.5612550612250082</v>
          </cell>
          <cell r="BA358">
            <v>6.7351639559487122</v>
          </cell>
          <cell r="BB358">
            <v>7.8539404512417157</v>
          </cell>
          <cell r="BC358" t="str">
            <v>CH: the method used from 2010 onwards adds excludes one-offs, we use this method back to 2006.</v>
          </cell>
        </row>
        <row r="359">
          <cell r="B359" t="str">
            <v>EV adjustment (Pub)</v>
          </cell>
          <cell r="C359" t="str">
            <v>EV_ADJ_PUB</v>
          </cell>
          <cell r="D359" t="str">
            <v>EUR</v>
          </cell>
          <cell r="F359">
            <v>4294</v>
          </cell>
          <cell r="G359">
            <v>5364</v>
          </cell>
          <cell r="H359">
            <v>4816</v>
          </cell>
          <cell r="I359">
            <v>5140</v>
          </cell>
          <cell r="J359">
            <v>7390</v>
          </cell>
          <cell r="K359">
            <v>0</v>
          </cell>
          <cell r="L359">
            <v>0</v>
          </cell>
          <cell r="M359">
            <v>0</v>
          </cell>
          <cell r="N359">
            <v>0</v>
          </cell>
          <cell r="O359">
            <v>9233</v>
          </cell>
          <cell r="P359">
            <v>0</v>
          </cell>
          <cell r="Q359">
            <v>0</v>
          </cell>
          <cell r="R359">
            <v>0</v>
          </cell>
          <cell r="S359">
            <v>0</v>
          </cell>
          <cell r="T359">
            <v>4750.1719545194146</v>
          </cell>
          <cell r="U359">
            <v>0</v>
          </cell>
          <cell r="V359">
            <v>0</v>
          </cell>
          <cell r="W359">
            <v>0</v>
          </cell>
          <cell r="X359">
            <v>0</v>
          </cell>
          <cell r="Y359">
            <v>8623.466763587272</v>
          </cell>
          <cell r="Z359">
            <v>0</v>
          </cell>
          <cell r="AA359">
            <v>0</v>
          </cell>
          <cell r="AB359">
            <v>0</v>
          </cell>
          <cell r="AC359">
            <v>0</v>
          </cell>
          <cell r="AD359">
            <v>9392.9676665205388</v>
          </cell>
          <cell r="AE359">
            <v>0</v>
          </cell>
          <cell r="AF359">
            <v>0</v>
          </cell>
          <cell r="AG359">
            <v>0</v>
          </cell>
          <cell r="AH359">
            <v>0</v>
          </cell>
          <cell r="AI359">
            <v>12898.409962494567</v>
          </cell>
          <cell r="AJ359">
            <v>0</v>
          </cell>
          <cell r="AK359">
            <v>0</v>
          </cell>
          <cell r="AL359">
            <v>0</v>
          </cell>
          <cell r="AM359">
            <v>0</v>
          </cell>
          <cell r="AN359">
            <v>15329.869253794099</v>
          </cell>
          <cell r="AO359">
            <v>0</v>
          </cell>
          <cell r="AP359">
            <v>0</v>
          </cell>
          <cell r="AQ359">
            <v>0</v>
          </cell>
          <cell r="AR359">
            <v>0</v>
          </cell>
          <cell r="AS359">
            <v>13568.215482884127</v>
          </cell>
          <cell r="AT359">
            <v>13235.313238407645</v>
          </cell>
          <cell r="AU359">
            <v>10089.8724436873</v>
          </cell>
          <cell r="AV359">
            <v>9832.7891314504195</v>
          </cell>
          <cell r="AW359">
            <v>10408.428062132371</v>
          </cell>
          <cell r="AX359">
            <v>11529.091344775967</v>
          </cell>
          <cell r="AY359">
            <v>13002.915799978513</v>
          </cell>
          <cell r="AZ359">
            <v>15312.58680798716</v>
          </cell>
          <cell r="BA359">
            <v>19144.579592144582</v>
          </cell>
          <cell r="BB359">
            <v>25595.358966716194</v>
          </cell>
        </row>
        <row r="360">
          <cell r="B360" t="str">
            <v>Net debt (Pub)</v>
          </cell>
          <cell r="C360" t="str">
            <v>NET_DEBT_PUB</v>
          </cell>
          <cell r="D360" t="str">
            <v>EUR</v>
          </cell>
          <cell r="F360">
            <v>-2143</v>
          </cell>
          <cell r="G360">
            <v>-1533</v>
          </cell>
          <cell r="H360">
            <v>-1224</v>
          </cell>
          <cell r="I360">
            <v>-3105</v>
          </cell>
          <cell r="J360">
            <v>-4058</v>
          </cell>
          <cell r="K360">
            <v>0</v>
          </cell>
          <cell r="L360">
            <v>0</v>
          </cell>
          <cell r="M360">
            <v>0</v>
          </cell>
          <cell r="N360">
            <v>0</v>
          </cell>
          <cell r="O360">
            <v>-5489</v>
          </cell>
          <cell r="P360">
            <v>0</v>
          </cell>
          <cell r="Q360">
            <v>0</v>
          </cell>
          <cell r="R360">
            <v>0</v>
          </cell>
          <cell r="S360">
            <v>0</v>
          </cell>
          <cell r="T360">
            <v>-4229</v>
          </cell>
          <cell r="U360">
            <v>0</v>
          </cell>
          <cell r="V360">
            <v>0</v>
          </cell>
          <cell r="W360">
            <v>0</v>
          </cell>
          <cell r="X360">
            <v>0</v>
          </cell>
          <cell r="Y360">
            <v>-7024</v>
          </cell>
          <cell r="Z360">
            <v>0</v>
          </cell>
          <cell r="AA360">
            <v>0</v>
          </cell>
          <cell r="AB360">
            <v>0</v>
          </cell>
          <cell r="AC360">
            <v>0</v>
          </cell>
          <cell r="AD360">
            <v>-9193</v>
          </cell>
          <cell r="AE360">
            <v>0</v>
          </cell>
          <cell r="AF360">
            <v>0</v>
          </cell>
          <cell r="AG360">
            <v>0</v>
          </cell>
          <cell r="AH360">
            <v>0</v>
          </cell>
          <cell r="AI360">
            <v>-9797</v>
          </cell>
          <cell r="AJ360">
            <v>0</v>
          </cell>
          <cell r="AK360">
            <v>0</v>
          </cell>
          <cell r="AL360">
            <v>0</v>
          </cell>
          <cell r="AM360">
            <v>0</v>
          </cell>
          <cell r="AN360">
            <v>-11918</v>
          </cell>
          <cell r="AO360">
            <v>0</v>
          </cell>
          <cell r="AP360">
            <v>0</v>
          </cell>
          <cell r="AQ360">
            <v>0</v>
          </cell>
          <cell r="AR360">
            <v>0</v>
          </cell>
          <cell r="AS360">
            <v>-11681</v>
          </cell>
          <cell r="AT360">
            <v>-12292</v>
          </cell>
          <cell r="AU360">
            <v>-7966.6721038082269</v>
          </cell>
          <cell r="AV360">
            <v>-8518.3779077994714</v>
          </cell>
          <cell r="AW360">
            <v>-9686.0388104872163</v>
          </cell>
          <cell r="AX360">
            <v>-11050.683306018305</v>
          </cell>
          <cell r="AY360">
            <v>-12896.402031153997</v>
          </cell>
          <cell r="AZ360">
            <v>-15412.737012969661</v>
          </cell>
          <cell r="BA360">
            <v>-19191.777072255965</v>
          </cell>
          <cell r="BB360">
            <v>-25216.138145465848</v>
          </cell>
        </row>
        <row r="361">
          <cell r="B361" t="str">
            <v>Net income (Pub)</v>
          </cell>
          <cell r="C361" t="str">
            <v>NI_PUB</v>
          </cell>
          <cell r="D361" t="str">
            <v>EUR</v>
          </cell>
          <cell r="F361">
            <v>179</v>
          </cell>
          <cell r="G361">
            <v>809</v>
          </cell>
          <cell r="H361">
            <v>696</v>
          </cell>
          <cell r="I361">
            <v>769</v>
          </cell>
          <cell r="J361">
            <v>1152</v>
          </cell>
          <cell r="K361">
            <v>0</v>
          </cell>
          <cell r="L361">
            <v>0</v>
          </cell>
          <cell r="M361">
            <v>0</v>
          </cell>
          <cell r="N361">
            <v>0</v>
          </cell>
          <cell r="O361">
            <v>1769</v>
          </cell>
          <cell r="P361">
            <v>0</v>
          </cell>
          <cell r="Q361">
            <v>0</v>
          </cell>
          <cell r="R361">
            <v>0</v>
          </cell>
          <cell r="S361">
            <v>0</v>
          </cell>
          <cell r="T361">
            <v>3356</v>
          </cell>
          <cell r="U361">
            <v>0</v>
          </cell>
          <cell r="V361">
            <v>0</v>
          </cell>
          <cell r="W361">
            <v>0</v>
          </cell>
          <cell r="X361">
            <v>0</v>
          </cell>
          <cell r="Y361">
            <v>3129</v>
          </cell>
          <cell r="Z361">
            <v>0</v>
          </cell>
          <cell r="AA361">
            <v>0</v>
          </cell>
          <cell r="AB361">
            <v>0</v>
          </cell>
          <cell r="AC361">
            <v>0</v>
          </cell>
          <cell r="AD361">
            <v>2113</v>
          </cell>
          <cell r="AE361">
            <v>0</v>
          </cell>
          <cell r="AF361">
            <v>0</v>
          </cell>
          <cell r="AG361">
            <v>0</v>
          </cell>
          <cell r="AH361">
            <v>0</v>
          </cell>
          <cell r="AI361">
            <v>1748</v>
          </cell>
          <cell r="AJ361">
            <v>0</v>
          </cell>
          <cell r="AK361">
            <v>0</v>
          </cell>
          <cell r="AL361">
            <v>0</v>
          </cell>
          <cell r="AM361">
            <v>0</v>
          </cell>
          <cell r="AN361">
            <v>633</v>
          </cell>
          <cell r="AO361">
            <v>0</v>
          </cell>
          <cell r="AP361">
            <v>0</v>
          </cell>
          <cell r="AQ361">
            <v>0</v>
          </cell>
          <cell r="AR361">
            <v>0</v>
          </cell>
          <cell r="AS361">
            <v>1127</v>
          </cell>
          <cell r="AT361">
            <v>1791</v>
          </cell>
          <cell r="AU361">
            <v>2470.6702620756141</v>
          </cell>
          <cell r="AV361">
            <v>2955.781567813995</v>
          </cell>
          <cell r="AW361">
            <v>3362.1792945931711</v>
          </cell>
          <cell r="AX361">
            <v>3806.0302692150535</v>
          </cell>
          <cell r="AY361">
            <v>4106.4105916062399</v>
          </cell>
          <cell r="AZ361">
            <v>4271.1630257879824</v>
          </cell>
          <cell r="BA361">
            <v>5172.7502055860386</v>
          </cell>
          <cell r="BB361">
            <v>6031.9945215199241</v>
          </cell>
          <cell r="BC361" t="str">
            <v>CH: company defined underlying Net Income</v>
          </cell>
        </row>
        <row r="362">
          <cell r="B362" t="str">
            <v>EBIT, operating profit (Pub)</v>
          </cell>
          <cell r="C362" t="str">
            <v>EBIT_PUB</v>
          </cell>
          <cell r="D362" t="str">
            <v>EUR</v>
          </cell>
          <cell r="F362">
            <v>1399</v>
          </cell>
          <cell r="G362">
            <v>1694</v>
          </cell>
          <cell r="H362">
            <v>1426</v>
          </cell>
          <cell r="I362">
            <v>1543</v>
          </cell>
          <cell r="J362">
            <v>2444</v>
          </cell>
          <cell r="K362">
            <v>0</v>
          </cell>
          <cell r="L362">
            <v>0</v>
          </cell>
          <cell r="M362">
            <v>0</v>
          </cell>
          <cell r="N362">
            <v>0</v>
          </cell>
          <cell r="O362">
            <v>2852</v>
          </cell>
          <cell r="P362">
            <v>0</v>
          </cell>
          <cell r="Q362">
            <v>0</v>
          </cell>
          <cell r="R362">
            <v>0</v>
          </cell>
          <cell r="S362">
            <v>0</v>
          </cell>
          <cell r="T362">
            <v>3556</v>
          </cell>
          <cell r="U362">
            <v>0</v>
          </cell>
          <cell r="V362">
            <v>0</v>
          </cell>
          <cell r="W362">
            <v>0</v>
          </cell>
          <cell r="X362">
            <v>0</v>
          </cell>
          <cell r="Y362">
            <v>3614</v>
          </cell>
          <cell r="Z362">
            <v>0</v>
          </cell>
          <cell r="AA362">
            <v>0</v>
          </cell>
          <cell r="AB362">
            <v>0</v>
          </cell>
          <cell r="AC362">
            <v>0</v>
          </cell>
          <cell r="AD362">
            <v>3330</v>
          </cell>
          <cell r="AE362">
            <v>0</v>
          </cell>
          <cell r="AF362">
            <v>0</v>
          </cell>
          <cell r="AG362">
            <v>0</v>
          </cell>
          <cell r="AH362">
            <v>0</v>
          </cell>
          <cell r="AI362">
            <v>2148</v>
          </cell>
          <cell r="AJ362">
            <v>0</v>
          </cell>
          <cell r="AK362">
            <v>0</v>
          </cell>
          <cell r="AL362">
            <v>0</v>
          </cell>
          <cell r="AM362">
            <v>0</v>
          </cell>
          <cell r="AN362">
            <v>1341</v>
          </cell>
          <cell r="AO362">
            <v>0</v>
          </cell>
          <cell r="AP362">
            <v>0</v>
          </cell>
          <cell r="AQ362">
            <v>0</v>
          </cell>
          <cell r="AR362">
            <v>0</v>
          </cell>
          <cell r="AS362">
            <v>1794</v>
          </cell>
          <cell r="AT362">
            <v>2959</v>
          </cell>
          <cell r="AU362">
            <v>3576.8460637198664</v>
          </cell>
          <cell r="AV362">
            <v>4160.0513414559355</v>
          </cell>
          <cell r="AW362">
            <v>4626.0855568197758</v>
          </cell>
          <cell r="AX362">
            <v>5133.467527668452</v>
          </cell>
          <cell r="AY362">
            <v>5440.0774933356342</v>
          </cell>
          <cell r="AZ362">
            <v>5555.3946840794997</v>
          </cell>
          <cell r="BA362">
            <v>6641.625890522133</v>
          </cell>
          <cell r="BB362">
            <v>7658.6820350747448</v>
          </cell>
          <cell r="BC362" t="str">
            <v>CH: company defined underlying EBIT before one-offs</v>
          </cell>
        </row>
        <row r="363">
          <cell r="B363" t="str">
            <v>Pre-tax profit (Pub)</v>
          </cell>
          <cell r="C363" t="str">
            <v>PTP_PUB</v>
          </cell>
          <cell r="D363" t="str">
            <v>EUR</v>
          </cell>
          <cell r="F363">
            <v>-27</v>
          </cell>
          <cell r="G363">
            <v>1523</v>
          </cell>
          <cell r="H363">
            <v>1366</v>
          </cell>
          <cell r="I363">
            <v>1488</v>
          </cell>
          <cell r="J363">
            <v>2114</v>
          </cell>
          <cell r="K363">
            <v>0</v>
          </cell>
          <cell r="L363">
            <v>0</v>
          </cell>
          <cell r="M363">
            <v>0</v>
          </cell>
          <cell r="N363">
            <v>0</v>
          </cell>
          <cell r="O363">
            <v>2675</v>
          </cell>
          <cell r="P363">
            <v>0</v>
          </cell>
          <cell r="Q363">
            <v>0</v>
          </cell>
          <cell r="R363">
            <v>0</v>
          </cell>
          <cell r="S363">
            <v>0</v>
          </cell>
          <cell r="T363">
            <v>3312</v>
          </cell>
          <cell r="U363">
            <v>0</v>
          </cell>
          <cell r="V363">
            <v>0</v>
          </cell>
          <cell r="W363">
            <v>0</v>
          </cell>
          <cell r="X363">
            <v>0</v>
          </cell>
          <cell r="Y363">
            <v>2877</v>
          </cell>
          <cell r="Z363">
            <v>0</v>
          </cell>
          <cell r="AA363">
            <v>0</v>
          </cell>
          <cell r="AB363">
            <v>0</v>
          </cell>
          <cell r="AC363">
            <v>0</v>
          </cell>
          <cell r="AD363">
            <v>2858</v>
          </cell>
          <cell r="AE363">
            <v>0</v>
          </cell>
          <cell r="AF363">
            <v>0</v>
          </cell>
          <cell r="AG363">
            <v>0</v>
          </cell>
          <cell r="AH363">
            <v>0</v>
          </cell>
          <cell r="AI363">
            <v>1556</v>
          </cell>
          <cell r="AJ363">
            <v>0</v>
          </cell>
          <cell r="AK363">
            <v>0</v>
          </cell>
          <cell r="AL363">
            <v>0</v>
          </cell>
          <cell r="AM363">
            <v>0</v>
          </cell>
          <cell r="AN363">
            <v>929</v>
          </cell>
          <cell r="AO363">
            <v>0</v>
          </cell>
          <cell r="AP363">
            <v>0</v>
          </cell>
          <cell r="AQ363">
            <v>0</v>
          </cell>
          <cell r="AR363">
            <v>0</v>
          </cell>
          <cell r="AS363">
            <v>1515</v>
          </cell>
          <cell r="AT363">
            <v>2494</v>
          </cell>
          <cell r="AU363">
            <v>3247.5127303865329</v>
          </cell>
          <cell r="AV363">
            <v>3922.6611380377076</v>
          </cell>
          <cell r="AW363">
            <v>4464.5247737432755</v>
          </cell>
          <cell r="AX363">
            <v>5056.3260732391191</v>
          </cell>
          <cell r="AY363">
            <v>5456.8331697607009</v>
          </cell>
          <cell r="AZ363">
            <v>5676.5030820030242</v>
          </cell>
          <cell r="BA363">
            <v>6878.6193217337659</v>
          </cell>
          <cell r="BB363">
            <v>8024.2784096456126</v>
          </cell>
        </row>
        <row r="364">
          <cell r="B364" t="str">
            <v>Sales, revenue (Pub)</v>
          </cell>
          <cell r="C364" t="str">
            <v>REVS_PUB</v>
          </cell>
          <cell r="D364" t="str">
            <v>EUR</v>
          </cell>
          <cell r="F364">
            <v>24208</v>
          </cell>
          <cell r="G364">
            <v>30798</v>
          </cell>
          <cell r="H364">
            <v>29901</v>
          </cell>
          <cell r="I364">
            <v>30133</v>
          </cell>
          <cell r="J364">
            <v>31761</v>
          </cell>
          <cell r="K364">
            <v>0</v>
          </cell>
          <cell r="L364">
            <v>0</v>
          </cell>
          <cell r="M364">
            <v>0</v>
          </cell>
          <cell r="N364">
            <v>0</v>
          </cell>
          <cell r="O364">
            <v>34206</v>
          </cell>
          <cell r="P364">
            <v>0</v>
          </cell>
          <cell r="Q364">
            <v>0</v>
          </cell>
          <cell r="R364">
            <v>0</v>
          </cell>
          <cell r="S364">
            <v>0</v>
          </cell>
          <cell r="T364">
            <v>39434</v>
          </cell>
          <cell r="U364">
            <v>0</v>
          </cell>
          <cell r="V364">
            <v>0</v>
          </cell>
          <cell r="W364">
            <v>0</v>
          </cell>
          <cell r="X364">
            <v>0</v>
          </cell>
          <cell r="Y364">
            <v>39123</v>
          </cell>
          <cell r="Z364">
            <v>0</v>
          </cell>
          <cell r="AA364">
            <v>0</v>
          </cell>
          <cell r="AB364">
            <v>0</v>
          </cell>
          <cell r="AC364">
            <v>0</v>
          </cell>
          <cell r="AD364">
            <v>43265</v>
          </cell>
          <cell r="AE364">
            <v>0</v>
          </cell>
          <cell r="AF364">
            <v>0</v>
          </cell>
          <cell r="AG364">
            <v>0</v>
          </cell>
          <cell r="AH364">
            <v>0</v>
          </cell>
          <cell r="AI364">
            <v>42822</v>
          </cell>
          <cell r="AJ364">
            <v>0</v>
          </cell>
          <cell r="AK364">
            <v>0</v>
          </cell>
          <cell r="AL364">
            <v>0</v>
          </cell>
          <cell r="AM364">
            <v>0</v>
          </cell>
          <cell r="AN364">
            <v>45752</v>
          </cell>
          <cell r="AO364">
            <v>0</v>
          </cell>
          <cell r="AP364">
            <v>0</v>
          </cell>
          <cell r="AQ364">
            <v>0</v>
          </cell>
          <cell r="AR364">
            <v>0</v>
          </cell>
          <cell r="AS364">
            <v>49128</v>
          </cell>
          <cell r="AT364">
            <v>56480</v>
          </cell>
          <cell r="AU364">
            <v>59216.726978690989</v>
          </cell>
          <cell r="AV364">
            <v>62281.391399614724</v>
          </cell>
          <cell r="AW364">
            <v>66858.97329655182</v>
          </cell>
          <cell r="AX364">
            <v>72864.08033762491</v>
          </cell>
          <cell r="AY364">
            <v>76238.071634599284</v>
          </cell>
          <cell r="AZ364">
            <v>78908.000563478025</v>
          </cell>
          <cell r="BA364">
            <v>84085.651680358176</v>
          </cell>
          <cell r="BB364">
            <v>89235.649575942138</v>
          </cell>
        </row>
        <row r="365">
          <cell r="B365" t="str">
            <v>Total shareholders' equity (Pub)</v>
          </cell>
          <cell r="C365" t="str">
            <v>EQ_PUB</v>
          </cell>
          <cell r="D365" t="str">
            <v>EUR</v>
          </cell>
          <cell r="F365">
            <v>10471</v>
          </cell>
          <cell r="G365">
            <v>10436</v>
          </cell>
          <cell r="H365">
            <v>14126</v>
          </cell>
          <cell r="I365">
            <v>18328</v>
          </cell>
          <cell r="J365">
            <v>19343</v>
          </cell>
          <cell r="K365">
            <v>0</v>
          </cell>
          <cell r="L365">
            <v>0</v>
          </cell>
          <cell r="M365">
            <v>0</v>
          </cell>
          <cell r="N365">
            <v>0</v>
          </cell>
          <cell r="O365">
            <v>13902</v>
          </cell>
          <cell r="P365">
            <v>0</v>
          </cell>
          <cell r="Q365">
            <v>0</v>
          </cell>
          <cell r="R365">
            <v>0</v>
          </cell>
          <cell r="S365">
            <v>0</v>
          </cell>
          <cell r="T365">
            <v>13152</v>
          </cell>
          <cell r="U365">
            <v>0</v>
          </cell>
          <cell r="V365">
            <v>0</v>
          </cell>
          <cell r="W365">
            <v>0</v>
          </cell>
          <cell r="X365">
            <v>0</v>
          </cell>
          <cell r="Y365">
            <v>13175</v>
          </cell>
          <cell r="Z365">
            <v>0</v>
          </cell>
          <cell r="AA365">
            <v>0</v>
          </cell>
          <cell r="AB365">
            <v>0</v>
          </cell>
          <cell r="AC365">
            <v>0</v>
          </cell>
          <cell r="AD365">
            <v>11126</v>
          </cell>
          <cell r="AE365">
            <v>0</v>
          </cell>
          <cell r="AF365">
            <v>0</v>
          </cell>
          <cell r="AG365">
            <v>0</v>
          </cell>
          <cell r="AH365">
            <v>0</v>
          </cell>
          <cell r="AI365">
            <v>10641</v>
          </cell>
          <cell r="AJ365">
            <v>0</v>
          </cell>
          <cell r="AK365">
            <v>0</v>
          </cell>
          <cell r="AL365">
            <v>0</v>
          </cell>
          <cell r="AM365">
            <v>0</v>
          </cell>
          <cell r="AN365">
            <v>8936</v>
          </cell>
          <cell r="AO365">
            <v>0</v>
          </cell>
          <cell r="AP365">
            <v>0</v>
          </cell>
          <cell r="AQ365">
            <v>0</v>
          </cell>
          <cell r="AR365">
            <v>0</v>
          </cell>
          <cell r="AS365">
            <v>8865</v>
          </cell>
          <cell r="AT365">
            <v>10434</v>
          </cell>
          <cell r="AU365">
            <v>10739.708060941457</v>
          </cell>
          <cell r="AV365">
            <v>13130.452632432596</v>
          </cell>
          <cell r="AW365">
            <v>15876.905516784911</v>
          </cell>
          <cell r="AX365">
            <v>19011.451020449305</v>
          </cell>
          <cell r="AY365">
            <v>22385.04265566411</v>
          </cell>
          <cell r="AZ365">
            <v>25855.919115135799</v>
          </cell>
          <cell r="BA365">
            <v>30154.168383488199</v>
          </cell>
          <cell r="BB365">
            <v>35230.026159765403</v>
          </cell>
        </row>
        <row r="366">
          <cell r="A366" t="str">
            <v>Income Statement</v>
          </cell>
          <cell r="B366">
            <v>0</v>
          </cell>
          <cell r="C366">
            <v>0</v>
          </cell>
          <cell r="D366">
            <v>0</v>
          </cell>
        </row>
        <row r="367">
          <cell r="B367" t="str">
            <v>Provision for income tax</v>
          </cell>
          <cell r="C367" t="str">
            <v>PROV_INC_TAX</v>
          </cell>
          <cell r="D367" t="str">
            <v>EUR</v>
          </cell>
          <cell r="F367">
            <v>220</v>
          </cell>
          <cell r="G367">
            <v>-828</v>
          </cell>
          <cell r="H367">
            <v>-541</v>
          </cell>
          <cell r="I367">
            <v>-557</v>
          </cell>
          <cell r="J367">
            <v>-742</v>
          </cell>
          <cell r="K367">
            <v>0</v>
          </cell>
          <cell r="L367">
            <v>0</v>
          </cell>
          <cell r="M367">
            <v>0</v>
          </cell>
          <cell r="N367">
            <v>0</v>
          </cell>
          <cell r="O367">
            <v>-872</v>
          </cell>
          <cell r="P367">
            <v>0</v>
          </cell>
          <cell r="Q367">
            <v>0</v>
          </cell>
          <cell r="R367">
            <v>0</v>
          </cell>
          <cell r="S367">
            <v>0</v>
          </cell>
          <cell r="T367">
            <v>60</v>
          </cell>
          <cell r="U367">
            <v>0</v>
          </cell>
          <cell r="V367">
            <v>0</v>
          </cell>
          <cell r="W367">
            <v>0</v>
          </cell>
          <cell r="X367">
            <v>0</v>
          </cell>
          <cell r="Y367">
            <v>261</v>
          </cell>
          <cell r="Z367">
            <v>0</v>
          </cell>
          <cell r="AA367">
            <v>0</v>
          </cell>
          <cell r="AB367">
            <v>0</v>
          </cell>
          <cell r="AC367">
            <v>0</v>
          </cell>
          <cell r="AD367">
            <v>-720</v>
          </cell>
          <cell r="AE367">
            <v>0</v>
          </cell>
          <cell r="AF367">
            <v>0</v>
          </cell>
          <cell r="AG367">
            <v>0</v>
          </cell>
          <cell r="AH367">
            <v>0</v>
          </cell>
          <cell r="AI367">
            <v>203</v>
          </cell>
          <cell r="AJ367">
            <v>0</v>
          </cell>
          <cell r="AK367">
            <v>0</v>
          </cell>
          <cell r="AL367">
            <v>0</v>
          </cell>
          <cell r="AM367">
            <v>0</v>
          </cell>
          <cell r="AN367">
            <v>-277</v>
          </cell>
          <cell r="AO367">
            <v>0</v>
          </cell>
          <cell r="AP367">
            <v>0</v>
          </cell>
          <cell r="AQ367">
            <v>0</v>
          </cell>
          <cell r="AR367">
            <v>0</v>
          </cell>
          <cell r="AS367">
            <v>-384</v>
          </cell>
          <cell r="AT367">
            <v>-702</v>
          </cell>
          <cell r="AU367">
            <v>-775.84246831091889</v>
          </cell>
          <cell r="AV367">
            <v>-965.87957022371268</v>
          </cell>
          <cell r="AW367">
            <v>-1101.3454791501047</v>
          </cell>
          <cell r="AX367">
            <v>-1249.2958040240655</v>
          </cell>
          <cell r="AY367">
            <v>-1349.422578154461</v>
          </cell>
          <cell r="AZ367">
            <v>-1404.3400562150418</v>
          </cell>
          <cell r="BA367">
            <v>-1704.8691161477273</v>
          </cell>
          <cell r="BB367">
            <v>-1991.2838881256889</v>
          </cell>
        </row>
        <row r="368">
          <cell r="B368" t="str">
            <v>Minority interest</v>
          </cell>
          <cell r="C368" t="str">
            <v>INC_MINORITY</v>
          </cell>
          <cell r="D368" t="str">
            <v>EUR</v>
          </cell>
          <cell r="F368">
            <v>-14</v>
          </cell>
          <cell r="G368">
            <v>114</v>
          </cell>
          <cell r="H368">
            <v>-129</v>
          </cell>
          <cell r="I368">
            <v>-162</v>
          </cell>
          <cell r="J368">
            <v>-220</v>
          </cell>
          <cell r="K368">
            <v>0</v>
          </cell>
          <cell r="L368">
            <v>0</v>
          </cell>
          <cell r="M368">
            <v>0</v>
          </cell>
          <cell r="N368">
            <v>0</v>
          </cell>
          <cell r="O368">
            <v>-34</v>
          </cell>
          <cell r="P368">
            <v>0</v>
          </cell>
          <cell r="Q368">
            <v>0</v>
          </cell>
          <cell r="R368">
            <v>0</v>
          </cell>
          <cell r="S368">
            <v>0</v>
          </cell>
          <cell r="T368">
            <v>-16</v>
          </cell>
          <cell r="U368">
            <v>0</v>
          </cell>
          <cell r="V368">
            <v>0</v>
          </cell>
          <cell r="W368">
            <v>0</v>
          </cell>
          <cell r="X368">
            <v>0</v>
          </cell>
          <cell r="Y368">
            <v>-9</v>
          </cell>
          <cell r="Z368">
            <v>0</v>
          </cell>
          <cell r="AA368">
            <v>0</v>
          </cell>
          <cell r="AB368">
            <v>0</v>
          </cell>
          <cell r="AC368">
            <v>0</v>
          </cell>
          <cell r="AD368">
            <v>-25</v>
          </cell>
          <cell r="AE368">
            <v>0</v>
          </cell>
          <cell r="AF368">
            <v>0</v>
          </cell>
          <cell r="AG368">
            <v>0</v>
          </cell>
          <cell r="AH368">
            <v>0</v>
          </cell>
          <cell r="AI368">
            <v>-11</v>
          </cell>
          <cell r="AJ368">
            <v>0</v>
          </cell>
          <cell r="AK368">
            <v>0</v>
          </cell>
          <cell r="AL368">
            <v>0</v>
          </cell>
          <cell r="AM368">
            <v>0</v>
          </cell>
          <cell r="AN368">
            <v>-19</v>
          </cell>
          <cell r="AO368">
            <v>0</v>
          </cell>
          <cell r="AP368">
            <v>0</v>
          </cell>
          <cell r="AQ368">
            <v>0</v>
          </cell>
          <cell r="AR368">
            <v>0</v>
          </cell>
          <cell r="AS368">
            <v>-4</v>
          </cell>
          <cell r="AT368">
            <v>-1</v>
          </cell>
          <cell r="AU368">
            <v>-1</v>
          </cell>
          <cell r="AV368">
            <v>-1</v>
          </cell>
          <cell r="AW368">
            <v>-1</v>
          </cell>
          <cell r="AX368">
            <v>-1</v>
          </cell>
          <cell r="AY368">
            <v>-1</v>
          </cell>
          <cell r="AZ368">
            <v>-1</v>
          </cell>
          <cell r="BA368">
            <v>-1</v>
          </cell>
          <cell r="BB368">
            <v>-1</v>
          </cell>
        </row>
        <row r="369">
          <cell r="B369" t="str">
            <v>Net income (pre-preferred dividends)</v>
          </cell>
          <cell r="C369" t="str">
            <v>NI_PRE_PREF</v>
          </cell>
          <cell r="D369" t="str">
            <v>EUR</v>
          </cell>
          <cell r="F369">
            <v>179</v>
          </cell>
          <cell r="G369">
            <v>809</v>
          </cell>
          <cell r="H369">
            <v>696</v>
          </cell>
          <cell r="I369">
            <v>769</v>
          </cell>
          <cell r="J369">
            <v>1152</v>
          </cell>
          <cell r="K369">
            <v>0</v>
          </cell>
          <cell r="L369">
            <v>0</v>
          </cell>
          <cell r="M369">
            <v>0</v>
          </cell>
          <cell r="N369">
            <v>0</v>
          </cell>
          <cell r="O369">
            <v>1769</v>
          </cell>
          <cell r="P369">
            <v>0</v>
          </cell>
          <cell r="Q369">
            <v>0</v>
          </cell>
          <cell r="R369">
            <v>0</v>
          </cell>
          <cell r="S369">
            <v>0</v>
          </cell>
          <cell r="T369">
            <v>3356</v>
          </cell>
          <cell r="U369">
            <v>0</v>
          </cell>
          <cell r="V369">
            <v>0</v>
          </cell>
          <cell r="W369">
            <v>0</v>
          </cell>
          <cell r="X369">
            <v>0</v>
          </cell>
          <cell r="Y369">
            <v>3129</v>
          </cell>
          <cell r="Z369">
            <v>0</v>
          </cell>
          <cell r="AA369">
            <v>0</v>
          </cell>
          <cell r="AB369">
            <v>0</v>
          </cell>
          <cell r="AC369">
            <v>0</v>
          </cell>
          <cell r="AD369">
            <v>2113</v>
          </cell>
          <cell r="AE369">
            <v>0</v>
          </cell>
          <cell r="AF369">
            <v>0</v>
          </cell>
          <cell r="AG369">
            <v>0</v>
          </cell>
          <cell r="AH369">
            <v>0</v>
          </cell>
          <cell r="AI369">
            <v>1748</v>
          </cell>
          <cell r="AJ369">
            <v>0</v>
          </cell>
          <cell r="AK369">
            <v>0</v>
          </cell>
          <cell r="AL369">
            <v>0</v>
          </cell>
          <cell r="AM369">
            <v>0</v>
          </cell>
          <cell r="AN369">
            <v>674</v>
          </cell>
          <cell r="AO369">
            <v>0</v>
          </cell>
          <cell r="AP369">
            <v>0</v>
          </cell>
          <cell r="AQ369">
            <v>0</v>
          </cell>
          <cell r="AR369">
            <v>0</v>
          </cell>
          <cell r="AS369">
            <v>1186</v>
          </cell>
          <cell r="AT369">
            <v>1803</v>
          </cell>
          <cell r="AU369">
            <v>2470.6702620756141</v>
          </cell>
          <cell r="AV369">
            <v>2955.781567813995</v>
          </cell>
          <cell r="AW369">
            <v>3362.1792945931711</v>
          </cell>
          <cell r="AX369">
            <v>3806.0302692150535</v>
          </cell>
          <cell r="AY369">
            <v>4106.4105916062399</v>
          </cell>
          <cell r="AZ369">
            <v>4271.1630257879824</v>
          </cell>
          <cell r="BA369">
            <v>5172.7502055860386</v>
          </cell>
          <cell r="BB369">
            <v>6031.9945215199241</v>
          </cell>
        </row>
        <row r="370">
          <cell r="B370" t="str">
            <v>Preferred dividends</v>
          </cell>
          <cell r="C370" t="str">
            <v>PREF_DIV</v>
          </cell>
          <cell r="D370" t="str">
            <v>EUR</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row>
        <row r="371">
          <cell r="B371" t="str">
            <v>Net income (pre-exceptionals)</v>
          </cell>
          <cell r="C371" t="str">
            <v>NET_EARNING</v>
          </cell>
          <cell r="D371" t="str">
            <v>EUR</v>
          </cell>
          <cell r="F371">
            <v>179</v>
          </cell>
          <cell r="G371">
            <v>809</v>
          </cell>
          <cell r="H371">
            <v>696</v>
          </cell>
          <cell r="I371">
            <v>769</v>
          </cell>
          <cell r="J371">
            <v>1152</v>
          </cell>
          <cell r="K371">
            <v>0</v>
          </cell>
          <cell r="L371">
            <v>0</v>
          </cell>
          <cell r="M371">
            <v>0</v>
          </cell>
          <cell r="N371">
            <v>0</v>
          </cell>
          <cell r="O371">
            <v>1769</v>
          </cell>
          <cell r="P371">
            <v>0</v>
          </cell>
          <cell r="Q371">
            <v>0</v>
          </cell>
          <cell r="R371">
            <v>0</v>
          </cell>
          <cell r="S371">
            <v>0</v>
          </cell>
          <cell r="T371">
            <v>3356</v>
          </cell>
          <cell r="U371">
            <v>0</v>
          </cell>
          <cell r="V371">
            <v>0</v>
          </cell>
          <cell r="W371">
            <v>0</v>
          </cell>
          <cell r="X371">
            <v>0</v>
          </cell>
          <cell r="Y371">
            <v>3129</v>
          </cell>
          <cell r="Z371">
            <v>0</v>
          </cell>
          <cell r="AA371">
            <v>0</v>
          </cell>
          <cell r="AB371">
            <v>0</v>
          </cell>
          <cell r="AC371">
            <v>0</v>
          </cell>
          <cell r="AD371">
            <v>2113</v>
          </cell>
          <cell r="AE371">
            <v>0</v>
          </cell>
          <cell r="AF371">
            <v>0</v>
          </cell>
          <cell r="AG371">
            <v>0</v>
          </cell>
          <cell r="AH371">
            <v>0</v>
          </cell>
          <cell r="AI371">
            <v>1748</v>
          </cell>
          <cell r="AJ371">
            <v>0</v>
          </cell>
          <cell r="AK371">
            <v>0</v>
          </cell>
          <cell r="AL371">
            <v>0</v>
          </cell>
          <cell r="AM371">
            <v>0</v>
          </cell>
          <cell r="AN371">
            <v>674</v>
          </cell>
          <cell r="AO371">
            <v>0</v>
          </cell>
          <cell r="AP371">
            <v>0</v>
          </cell>
          <cell r="AQ371">
            <v>0</v>
          </cell>
          <cell r="AR371">
            <v>0</v>
          </cell>
          <cell r="AS371">
            <v>1186</v>
          </cell>
          <cell r="AT371">
            <v>1803</v>
          </cell>
          <cell r="AU371">
            <v>2470.6702620756141</v>
          </cell>
          <cell r="AV371">
            <v>2955.781567813995</v>
          </cell>
          <cell r="AW371">
            <v>3362.1792945931711</v>
          </cell>
          <cell r="AX371">
            <v>3806.0302692150535</v>
          </cell>
          <cell r="AY371">
            <v>4106.4105916062399</v>
          </cell>
          <cell r="AZ371">
            <v>4271.1630257879824</v>
          </cell>
          <cell r="BA371">
            <v>5172.7502055860386</v>
          </cell>
          <cell r="BB371">
            <v>6031.9945215199241</v>
          </cell>
        </row>
        <row r="372">
          <cell r="B372" t="str">
            <v>Post-tax exceptionals</v>
          </cell>
          <cell r="C372" t="str">
            <v>TAX_EXC</v>
          </cell>
          <cell r="D372" t="str">
            <v>EUR</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row>
        <row r="373">
          <cell r="B373" t="str">
            <v>Net income (post-exceptionals)</v>
          </cell>
          <cell r="C373" t="str">
            <v>NET_INC</v>
          </cell>
          <cell r="D373" t="str">
            <v>EUR</v>
          </cell>
          <cell r="F373">
            <v>179</v>
          </cell>
          <cell r="G373">
            <v>809</v>
          </cell>
          <cell r="H373">
            <v>696</v>
          </cell>
          <cell r="I373">
            <v>769</v>
          </cell>
          <cell r="J373">
            <v>1152</v>
          </cell>
          <cell r="K373">
            <v>0</v>
          </cell>
          <cell r="L373">
            <v>0</v>
          </cell>
          <cell r="M373">
            <v>0</v>
          </cell>
          <cell r="N373">
            <v>0</v>
          </cell>
          <cell r="O373">
            <v>1769</v>
          </cell>
          <cell r="P373">
            <v>0</v>
          </cell>
          <cell r="Q373">
            <v>0</v>
          </cell>
          <cell r="R373">
            <v>0</v>
          </cell>
          <cell r="S373">
            <v>0</v>
          </cell>
          <cell r="T373">
            <v>3356</v>
          </cell>
          <cell r="U373">
            <v>0</v>
          </cell>
          <cell r="V373">
            <v>0</v>
          </cell>
          <cell r="W373">
            <v>0</v>
          </cell>
          <cell r="X373">
            <v>0</v>
          </cell>
          <cell r="Y373">
            <v>3129</v>
          </cell>
          <cell r="Z373">
            <v>0</v>
          </cell>
          <cell r="AA373">
            <v>0</v>
          </cell>
          <cell r="AB373">
            <v>0</v>
          </cell>
          <cell r="AC373">
            <v>0</v>
          </cell>
          <cell r="AD373">
            <v>2113</v>
          </cell>
          <cell r="AE373">
            <v>0</v>
          </cell>
          <cell r="AF373">
            <v>0</v>
          </cell>
          <cell r="AG373">
            <v>0</v>
          </cell>
          <cell r="AH373">
            <v>0</v>
          </cell>
          <cell r="AI373">
            <v>1748</v>
          </cell>
          <cell r="AJ373">
            <v>0</v>
          </cell>
          <cell r="AK373">
            <v>0</v>
          </cell>
          <cell r="AL373">
            <v>0</v>
          </cell>
          <cell r="AM373">
            <v>0</v>
          </cell>
          <cell r="AN373">
            <v>674</v>
          </cell>
          <cell r="AO373">
            <v>0</v>
          </cell>
          <cell r="AP373">
            <v>0</v>
          </cell>
          <cell r="AQ373">
            <v>0</v>
          </cell>
          <cell r="AR373">
            <v>0</v>
          </cell>
          <cell r="AS373">
            <v>1186</v>
          </cell>
          <cell r="AT373">
            <v>1803</v>
          </cell>
          <cell r="AU373">
            <v>2470.6702620756141</v>
          </cell>
          <cell r="AV373">
            <v>2955.781567813995</v>
          </cell>
          <cell r="AW373">
            <v>3362.1792945931711</v>
          </cell>
          <cell r="AX373">
            <v>3806.0302692150535</v>
          </cell>
          <cell r="AY373">
            <v>4106.4105916062399</v>
          </cell>
          <cell r="AZ373">
            <v>4271.1630257879824</v>
          </cell>
          <cell r="BA373">
            <v>5172.7502055860386</v>
          </cell>
          <cell r="BB373">
            <v>6031.9945215199241</v>
          </cell>
        </row>
        <row r="374">
          <cell r="B374" t="str">
            <v>EPS (pre-exceptionals, basic)</v>
          </cell>
          <cell r="C374" t="str">
            <v>EPS</v>
          </cell>
          <cell r="D374" t="str">
            <v>EUR</v>
          </cell>
          <cell r="F374">
            <v>0.46413708790366726</v>
          </cell>
          <cell r="G374">
            <v>1.0021109001598161</v>
          </cell>
          <cell r="H374">
            <v>0.86554568551591382</v>
          </cell>
          <cell r="I374">
            <v>0.96010147860621731</v>
          </cell>
          <cell r="J374">
            <v>1.4381393443047095</v>
          </cell>
          <cell r="K374">
            <v>0</v>
          </cell>
          <cell r="L374">
            <v>0</v>
          </cell>
          <cell r="M374">
            <v>0</v>
          </cell>
          <cell r="N374">
            <v>0</v>
          </cell>
          <cell r="O374">
            <v>2.2259013837355588</v>
          </cell>
          <cell r="P374">
            <v>0</v>
          </cell>
          <cell r="Q374">
            <v>0</v>
          </cell>
          <cell r="R374">
            <v>0</v>
          </cell>
          <cell r="S374">
            <v>0</v>
          </cell>
          <cell r="T374">
            <v>4.1940292709550908</v>
          </cell>
          <cell r="U374">
            <v>0</v>
          </cell>
          <cell r="V374">
            <v>0</v>
          </cell>
          <cell r="W374">
            <v>0</v>
          </cell>
          <cell r="X374">
            <v>0</v>
          </cell>
          <cell r="Y374">
            <v>3.8960155031085626</v>
          </cell>
          <cell r="Z374">
            <v>0</v>
          </cell>
          <cell r="AA374">
            <v>0</v>
          </cell>
          <cell r="AB374">
            <v>0</v>
          </cell>
          <cell r="AC374">
            <v>0</v>
          </cell>
          <cell r="AD374">
            <v>2.6184083118188379</v>
          </cell>
          <cell r="AE374">
            <v>0</v>
          </cell>
          <cell r="AF374">
            <v>0</v>
          </cell>
          <cell r="AG374">
            <v>0</v>
          </cell>
          <cell r="AH374">
            <v>0</v>
          </cell>
          <cell r="AI374">
            <v>2.1588279059347943</v>
          </cell>
          <cell r="AJ374">
            <v>0</v>
          </cell>
          <cell r="AK374">
            <v>0</v>
          </cell>
          <cell r="AL374">
            <v>0</v>
          </cell>
          <cell r="AM374">
            <v>0</v>
          </cell>
          <cell r="AN374">
            <v>0.83138711961219158</v>
          </cell>
          <cell r="AO374">
            <v>0</v>
          </cell>
          <cell r="AP374">
            <v>0</v>
          </cell>
          <cell r="AQ374">
            <v>0</v>
          </cell>
          <cell r="AR374">
            <v>0</v>
          </cell>
          <cell r="AS374">
            <v>1.4596792145943189</v>
          </cell>
          <cell r="AT374">
            <v>2.2004489003628245</v>
          </cell>
          <cell r="AU374">
            <v>3.21692883568902</v>
          </cell>
          <cell r="AV374">
            <v>3.8485665624642289</v>
          </cell>
          <cell r="AW374">
            <v>4.3777155088461273</v>
          </cell>
          <cell r="AX374">
            <v>4.9556303447215875</v>
          </cell>
          <cell r="AY374">
            <v>5.3467396463578076</v>
          </cell>
          <cell r="AZ374">
            <v>5.5612550612250082</v>
          </cell>
          <cell r="BA374">
            <v>6.7351639559487122</v>
          </cell>
          <cell r="BB374">
            <v>7.8539404512417157</v>
          </cell>
        </row>
        <row r="375">
          <cell r="B375" t="str">
            <v>EPS (pre-exceptionals, diluted)</v>
          </cell>
          <cell r="C375" t="str">
            <v>EPS_FUL_DIL</v>
          </cell>
          <cell r="D375" t="str">
            <v>EUR</v>
          </cell>
          <cell r="F375">
            <v>0.46413708790366726</v>
          </cell>
          <cell r="G375">
            <v>1.0021109001598161</v>
          </cell>
          <cell r="H375">
            <v>0.86554568551591382</v>
          </cell>
          <cell r="I375">
            <v>0.96010147860621731</v>
          </cell>
          <cell r="J375">
            <v>1.4326881470993453</v>
          </cell>
          <cell r="K375">
            <v>0</v>
          </cell>
          <cell r="L375">
            <v>0</v>
          </cell>
          <cell r="M375">
            <v>0</v>
          </cell>
          <cell r="N375">
            <v>0</v>
          </cell>
          <cell r="O375">
            <v>2.2106521484696526</v>
          </cell>
          <cell r="P375">
            <v>0</v>
          </cell>
          <cell r="Q375">
            <v>0</v>
          </cell>
          <cell r="R375">
            <v>0</v>
          </cell>
          <cell r="S375">
            <v>0</v>
          </cell>
          <cell r="T375">
            <v>4.172491167811561E-3</v>
          </cell>
          <cell r="U375">
            <v>0</v>
          </cell>
          <cell r="V375">
            <v>0</v>
          </cell>
          <cell r="W375">
            <v>0</v>
          </cell>
          <cell r="X375">
            <v>0</v>
          </cell>
          <cell r="Y375">
            <v>3.8843103606384047E-3</v>
          </cell>
          <cell r="Z375">
            <v>0</v>
          </cell>
          <cell r="AA375">
            <v>0</v>
          </cell>
          <cell r="AB375">
            <v>0</v>
          </cell>
          <cell r="AC375">
            <v>0</v>
          </cell>
          <cell r="AD375">
            <v>2.616404161669052E-3</v>
          </cell>
          <cell r="AE375">
            <v>0</v>
          </cell>
          <cell r="AF375">
            <v>0</v>
          </cell>
          <cell r="AG375">
            <v>0</v>
          </cell>
          <cell r="AH375">
            <v>0</v>
          </cell>
          <cell r="AI375">
            <v>2.1548586108075508E-3</v>
          </cell>
          <cell r="AJ375">
            <v>0</v>
          </cell>
          <cell r="AK375">
            <v>0</v>
          </cell>
          <cell r="AL375">
            <v>0</v>
          </cell>
          <cell r="AM375">
            <v>0</v>
          </cell>
          <cell r="AN375">
            <v>8.311384106510115E-4</v>
          </cell>
          <cell r="AO375">
            <v>0</v>
          </cell>
          <cell r="AP375">
            <v>0</v>
          </cell>
          <cell r="AQ375">
            <v>0</v>
          </cell>
          <cell r="AR375">
            <v>0</v>
          </cell>
          <cell r="AS375">
            <v>1.4575362089108621E-3</v>
          </cell>
          <cell r="AT375">
            <v>2.1973015136320484E-3</v>
          </cell>
          <cell r="AU375">
            <v>3.0109858605349062E-3</v>
          </cell>
          <cell r="AV375">
            <v>3.602187084261453E-3</v>
          </cell>
          <cell r="AW375">
            <v>4.0974607061075472E-3</v>
          </cell>
          <cell r="AX375">
            <v>4.6383782981007371E-3</v>
          </cell>
          <cell r="AY375">
            <v>5.0044493669057491E-3</v>
          </cell>
          <cell r="AZ375">
            <v>5.205231825586896E-3</v>
          </cell>
          <cell r="BA375">
            <v>6.3039888277175221E-3</v>
          </cell>
          <cell r="BB375">
            <v>7.3511429242129516E-3</v>
          </cell>
        </row>
        <row r="376">
          <cell r="B376" t="str">
            <v>EPS (post-exceptionals, basic)</v>
          </cell>
          <cell r="C376" t="str">
            <v>EPS_POST_BASIC</v>
          </cell>
          <cell r="D376" t="str">
            <v>EUR</v>
          </cell>
          <cell r="F376">
            <v>0.46413708790366726</v>
          </cell>
          <cell r="G376">
            <v>1.0021109001598161</v>
          </cell>
          <cell r="H376">
            <v>0.86554568551591382</v>
          </cell>
          <cell r="I376">
            <v>0.96010147860621731</v>
          </cell>
          <cell r="J376">
            <v>1.4381393443047095</v>
          </cell>
          <cell r="K376">
            <v>0</v>
          </cell>
          <cell r="L376">
            <v>0</v>
          </cell>
          <cell r="M376">
            <v>0</v>
          </cell>
          <cell r="N376">
            <v>0</v>
          </cell>
          <cell r="O376">
            <v>2.2259013837355588</v>
          </cell>
          <cell r="P376">
            <v>0</v>
          </cell>
          <cell r="Q376">
            <v>0</v>
          </cell>
          <cell r="R376">
            <v>0</v>
          </cell>
          <cell r="S376">
            <v>0</v>
          </cell>
          <cell r="T376">
            <v>4.1940292709550908</v>
          </cell>
          <cell r="U376">
            <v>0</v>
          </cell>
          <cell r="V376">
            <v>0</v>
          </cell>
          <cell r="W376">
            <v>0</v>
          </cell>
          <cell r="X376">
            <v>0</v>
          </cell>
          <cell r="Y376">
            <v>3.8960155031085626</v>
          </cell>
          <cell r="Z376">
            <v>0</v>
          </cell>
          <cell r="AA376">
            <v>0</v>
          </cell>
          <cell r="AB376">
            <v>0</v>
          </cell>
          <cell r="AC376">
            <v>0</v>
          </cell>
          <cell r="AD376">
            <v>2.6184083118188379</v>
          </cell>
          <cell r="AE376">
            <v>0</v>
          </cell>
          <cell r="AF376">
            <v>0</v>
          </cell>
          <cell r="AG376">
            <v>0</v>
          </cell>
          <cell r="AH376">
            <v>0</v>
          </cell>
          <cell r="AI376">
            <v>2.1588279059347943</v>
          </cell>
          <cell r="AJ376">
            <v>0</v>
          </cell>
          <cell r="AK376">
            <v>0</v>
          </cell>
          <cell r="AL376">
            <v>0</v>
          </cell>
          <cell r="AM376">
            <v>0</v>
          </cell>
          <cell r="AN376">
            <v>0.83138711961219158</v>
          </cell>
          <cell r="AO376">
            <v>0</v>
          </cell>
          <cell r="AP376">
            <v>0</v>
          </cell>
          <cell r="AQ376">
            <v>0</v>
          </cell>
          <cell r="AR376">
            <v>0</v>
          </cell>
          <cell r="AS376">
            <v>1.4596792145943189</v>
          </cell>
          <cell r="AT376">
            <v>2.2004489003628245</v>
          </cell>
          <cell r="AU376">
            <v>3.21692883568902</v>
          </cell>
          <cell r="AV376">
            <v>3.8485665624642289</v>
          </cell>
          <cell r="AW376">
            <v>4.3777155088461273</v>
          </cell>
          <cell r="AX376">
            <v>4.9556303447215875</v>
          </cell>
          <cell r="AY376">
            <v>5.3467396463578076</v>
          </cell>
          <cell r="AZ376">
            <v>5.5612550612250082</v>
          </cell>
          <cell r="BA376">
            <v>6.7351639559487122</v>
          </cell>
          <cell r="BB376">
            <v>7.8539404512417157</v>
          </cell>
        </row>
        <row r="377">
          <cell r="B377" t="str">
            <v>EPS (post-exceptionals, diluted)</v>
          </cell>
          <cell r="C377" t="str">
            <v>FULLY_DIL_EPS</v>
          </cell>
          <cell r="D377" t="str">
            <v>EUR</v>
          </cell>
          <cell r="F377">
            <v>0.46413708790366726</v>
          </cell>
          <cell r="G377">
            <v>1.0021109001598161</v>
          </cell>
          <cell r="H377">
            <v>0.86554568551591382</v>
          </cell>
          <cell r="I377">
            <v>0.96010147860621731</v>
          </cell>
          <cell r="J377">
            <v>1.4326881470993453</v>
          </cell>
          <cell r="K377">
            <v>0</v>
          </cell>
          <cell r="L377">
            <v>0</v>
          </cell>
          <cell r="M377">
            <v>0</v>
          </cell>
          <cell r="N377">
            <v>0</v>
          </cell>
          <cell r="O377">
            <v>2.2106521484696526</v>
          </cell>
          <cell r="P377">
            <v>0</v>
          </cell>
          <cell r="Q377">
            <v>0</v>
          </cell>
          <cell r="R377">
            <v>0</v>
          </cell>
          <cell r="S377">
            <v>0</v>
          </cell>
          <cell r="T377">
            <v>4.172491167811561E-3</v>
          </cell>
          <cell r="U377">
            <v>0</v>
          </cell>
          <cell r="V377">
            <v>0</v>
          </cell>
          <cell r="W377">
            <v>0</v>
          </cell>
          <cell r="X377">
            <v>0</v>
          </cell>
          <cell r="Y377">
            <v>3.8843103606384047E-3</v>
          </cell>
          <cell r="Z377">
            <v>0</v>
          </cell>
          <cell r="AA377">
            <v>0</v>
          </cell>
          <cell r="AB377">
            <v>0</v>
          </cell>
          <cell r="AC377">
            <v>0</v>
          </cell>
          <cell r="AD377">
            <v>2.616404161669052E-3</v>
          </cell>
          <cell r="AE377">
            <v>0</v>
          </cell>
          <cell r="AF377">
            <v>0</v>
          </cell>
          <cell r="AG377">
            <v>0</v>
          </cell>
          <cell r="AH377">
            <v>0</v>
          </cell>
          <cell r="AI377">
            <v>2.1548586108075508E-3</v>
          </cell>
          <cell r="AJ377">
            <v>0</v>
          </cell>
          <cell r="AK377">
            <v>0</v>
          </cell>
          <cell r="AL377">
            <v>0</v>
          </cell>
          <cell r="AM377">
            <v>0</v>
          </cell>
          <cell r="AN377">
            <v>8.311384106510115E-4</v>
          </cell>
          <cell r="AO377">
            <v>0</v>
          </cell>
          <cell r="AP377">
            <v>0</v>
          </cell>
          <cell r="AQ377">
            <v>0</v>
          </cell>
          <cell r="AR377">
            <v>0</v>
          </cell>
          <cell r="AS377">
            <v>1.4575362089108621E-3</v>
          </cell>
          <cell r="AT377">
            <v>2.1973015136320484E-3</v>
          </cell>
          <cell r="AU377">
            <v>3.0109858605349062E-3</v>
          </cell>
          <cell r="AV377">
            <v>3.602187084261453E-3</v>
          </cell>
          <cell r="AW377">
            <v>4.0974607061075472E-3</v>
          </cell>
          <cell r="AX377">
            <v>4.6383782981007371E-3</v>
          </cell>
          <cell r="AY377">
            <v>5.0044493669057491E-3</v>
          </cell>
          <cell r="AZ377">
            <v>5.205231825586896E-3</v>
          </cell>
          <cell r="BA377">
            <v>6.3039888277175221E-3</v>
          </cell>
          <cell r="BB377">
            <v>7.3511429242129516E-3</v>
          </cell>
        </row>
        <row r="378">
          <cell r="B378" t="str">
            <v>Common dividends paid</v>
          </cell>
          <cell r="C378" t="str">
            <v>COMMON_DIV_PAID</v>
          </cell>
          <cell r="D378" t="str">
            <v>EUR</v>
          </cell>
          <cell r="F378">
            <v>-403.57883349999997</v>
          </cell>
          <cell r="G378">
            <v>-404.58778050000001</v>
          </cell>
          <cell r="H378">
            <v>-240.28709999999998</v>
          </cell>
          <cell r="I378">
            <v>-320.38289920000005</v>
          </cell>
          <cell r="J378">
            <v>-399.775147</v>
          </cell>
          <cell r="K378">
            <v>0</v>
          </cell>
          <cell r="L378">
            <v>0</v>
          </cell>
          <cell r="M378">
            <v>0</v>
          </cell>
          <cell r="N378">
            <v>0</v>
          </cell>
          <cell r="O378">
            <v>-518.14127690000009</v>
          </cell>
          <cell r="P378">
            <v>0</v>
          </cell>
          <cell r="Q378">
            <v>0</v>
          </cell>
          <cell r="R378">
            <v>0</v>
          </cell>
          <cell r="S378">
            <v>0</v>
          </cell>
          <cell r="T378">
            <v>-9.7000000000000003E-2</v>
          </cell>
          <cell r="U378">
            <v>0</v>
          </cell>
          <cell r="V378">
            <v>0</v>
          </cell>
          <cell r="W378">
            <v>0</v>
          </cell>
          <cell r="X378">
            <v>0</v>
          </cell>
          <cell r="Y378">
            <v>-9.7000000000000003E-2</v>
          </cell>
          <cell r="Z378">
            <v>0</v>
          </cell>
          <cell r="AA378">
            <v>0</v>
          </cell>
          <cell r="AB378">
            <v>0</v>
          </cell>
          <cell r="AC378">
            <v>0</v>
          </cell>
          <cell r="AD378">
            <v>-0.16200000000000001</v>
          </cell>
          <cell r="AE378">
            <v>0</v>
          </cell>
          <cell r="AF378">
            <v>0</v>
          </cell>
          <cell r="AG378">
            <v>0</v>
          </cell>
          <cell r="AH378">
            <v>0</v>
          </cell>
          <cell r="AI378">
            <v>0</v>
          </cell>
          <cell r="AJ378">
            <v>0</v>
          </cell>
          <cell r="AK378">
            <v>0</v>
          </cell>
          <cell r="AL378">
            <v>0</v>
          </cell>
          <cell r="AM378">
            <v>0</v>
          </cell>
          <cell r="AN378">
            <v>-0.17799999999999999</v>
          </cell>
          <cell r="AO378">
            <v>0</v>
          </cell>
          <cell r="AP378">
            <v>0</v>
          </cell>
          <cell r="AQ378">
            <v>0</v>
          </cell>
          <cell r="AR378">
            <v>0</v>
          </cell>
          <cell r="AS378">
            <v>-0.36899999999999994</v>
          </cell>
          <cell r="AT378">
            <v>-0.46081285379999992</v>
          </cell>
          <cell r="AU378">
            <v>-0.47512312101481813</v>
          </cell>
          <cell r="AV378">
            <v>-0.52263543311630001</v>
          </cell>
          <cell r="AW378">
            <v>-0.57489897642793009</v>
          </cell>
          <cell r="AX378">
            <v>-0.63238887407072308</v>
          </cell>
          <cell r="AY378">
            <v>-0.69562776147779548</v>
          </cell>
          <cell r="AZ378">
            <v>-0.7651905376255751</v>
          </cell>
          <cell r="BA378">
            <v>-0.84170959138813262</v>
          </cell>
          <cell r="BB378">
            <v>-0.92588055052694584</v>
          </cell>
        </row>
        <row r="379">
          <cell r="B379" t="str">
            <v>DPS, dividend per share</v>
          </cell>
          <cell r="C379" t="str">
            <v>DPS</v>
          </cell>
          <cell r="D379" t="str">
            <v>EUR</v>
          </cell>
          <cell r="F379">
            <v>0.5</v>
          </cell>
          <cell r="G379">
            <v>0.5</v>
          </cell>
          <cell r="H379">
            <v>0.3</v>
          </cell>
          <cell r="I379">
            <v>0.4</v>
          </cell>
          <cell r="J379">
            <v>0.5</v>
          </cell>
          <cell r="K379">
            <v>0</v>
          </cell>
          <cell r="L379">
            <v>0</v>
          </cell>
          <cell r="M379">
            <v>0</v>
          </cell>
          <cell r="N379">
            <v>0</v>
          </cell>
          <cell r="O379">
            <v>0.65</v>
          </cell>
          <cell r="P379">
            <v>0</v>
          </cell>
          <cell r="Q379">
            <v>0</v>
          </cell>
          <cell r="R379">
            <v>0</v>
          </cell>
          <cell r="S379">
            <v>0</v>
          </cell>
          <cell r="T379">
            <v>0.12122194257528124</v>
          </cell>
          <cell r="U379">
            <v>0</v>
          </cell>
          <cell r="V379">
            <v>0</v>
          </cell>
          <cell r="W379">
            <v>0</v>
          </cell>
          <cell r="X379">
            <v>0</v>
          </cell>
          <cell r="Y379">
            <v>0.1207777257275585</v>
          </cell>
          <cell r="Z379">
            <v>0</v>
          </cell>
          <cell r="AA379">
            <v>0</v>
          </cell>
          <cell r="AB379">
            <v>0</v>
          </cell>
          <cell r="AC379">
            <v>0</v>
          </cell>
          <cell r="AD379">
            <v>0.20074876787252804</v>
          </cell>
          <cell r="AE379">
            <v>0</v>
          </cell>
          <cell r="AF379">
            <v>0</v>
          </cell>
          <cell r="AG379">
            <v>0</v>
          </cell>
          <cell r="AH379">
            <v>0</v>
          </cell>
          <cell r="AI379">
            <v>0</v>
          </cell>
          <cell r="AJ379">
            <v>0</v>
          </cell>
          <cell r="AK379">
            <v>0</v>
          </cell>
          <cell r="AL379">
            <v>0</v>
          </cell>
          <cell r="AM379">
            <v>0</v>
          </cell>
          <cell r="AN379">
            <v>0.21956514434862032</v>
          </cell>
          <cell r="AO379">
            <v>0</v>
          </cell>
          <cell r="AP379">
            <v>0</v>
          </cell>
          <cell r="AQ379">
            <v>0</v>
          </cell>
          <cell r="AR379">
            <v>0</v>
          </cell>
          <cell r="AS379">
            <v>0.45414977250025601</v>
          </cell>
          <cell r="AT379">
            <v>0.56239330971562107</v>
          </cell>
          <cell r="AU379">
            <v>0.61863264068718327</v>
          </cell>
          <cell r="AV379">
            <v>0.6804959047559016</v>
          </cell>
          <cell r="AW379">
            <v>0.74854549523149183</v>
          </cell>
          <cell r="AX379">
            <v>0.82340004475464112</v>
          </cell>
          <cell r="AY379">
            <v>0.90574004923010532</v>
          </cell>
          <cell r="AZ379">
            <v>0.99631405415311591</v>
          </cell>
          <cell r="BA379">
            <v>1.0959454595684275</v>
          </cell>
          <cell r="BB379">
            <v>1.2055400055252703</v>
          </cell>
        </row>
        <row r="380">
          <cell r="B380" t="str">
            <v>Weighted average shares outstanding, basic</v>
          </cell>
          <cell r="C380" t="str">
            <v>SH</v>
          </cell>
          <cell r="F380">
            <v>385.66191900000001</v>
          </cell>
          <cell r="G380">
            <v>807.29587900000001</v>
          </cell>
          <cell r="H380">
            <v>804.11699999999996</v>
          </cell>
          <cell r="I380">
            <v>800.95699999999999</v>
          </cell>
          <cell r="J380">
            <v>801.03503499999999</v>
          </cell>
          <cell r="K380">
            <v>0</v>
          </cell>
          <cell r="L380">
            <v>0</v>
          </cell>
          <cell r="M380">
            <v>0</v>
          </cell>
          <cell r="N380">
            <v>0</v>
          </cell>
          <cell r="O380">
            <v>794.73422000000005</v>
          </cell>
          <cell r="P380">
            <v>0</v>
          </cell>
          <cell r="Q380">
            <v>0</v>
          </cell>
          <cell r="R380">
            <v>0</v>
          </cell>
          <cell r="S380">
            <v>0</v>
          </cell>
          <cell r="T380">
            <v>800.18516399999999</v>
          </cell>
          <cell r="U380">
            <v>0</v>
          </cell>
          <cell r="V380">
            <v>0</v>
          </cell>
          <cell r="W380">
            <v>0</v>
          </cell>
          <cell r="X380">
            <v>0</v>
          </cell>
          <cell r="Y380">
            <v>803.12822100000005</v>
          </cell>
          <cell r="Z380">
            <v>0</v>
          </cell>
          <cell r="AA380">
            <v>0</v>
          </cell>
          <cell r="AB380">
            <v>0</v>
          </cell>
          <cell r="AC380">
            <v>0</v>
          </cell>
          <cell r="AD380">
            <v>806.97880099999998</v>
          </cell>
          <cell r="AE380">
            <v>0</v>
          </cell>
          <cell r="AF380">
            <v>0</v>
          </cell>
          <cell r="AG380">
            <v>0</v>
          </cell>
          <cell r="AH380">
            <v>0</v>
          </cell>
          <cell r="AI380">
            <v>809.69863100000009</v>
          </cell>
          <cell r="AJ380">
            <v>0</v>
          </cell>
          <cell r="AK380">
            <v>0</v>
          </cell>
          <cell r="AL380">
            <v>0</v>
          </cell>
          <cell r="AM380">
            <v>0</v>
          </cell>
          <cell r="AN380">
            <v>810.69333900000004</v>
          </cell>
          <cell r="AO380">
            <v>0</v>
          </cell>
          <cell r="AP380">
            <v>0</v>
          </cell>
          <cell r="AQ380">
            <v>0</v>
          </cell>
          <cell r="AR380">
            <v>0</v>
          </cell>
          <cell r="AS380">
            <v>812.5072879999999</v>
          </cell>
          <cell r="AT380">
            <v>819.37826399999994</v>
          </cell>
          <cell r="AU380">
            <v>768.02142299999991</v>
          </cell>
          <cell r="AV380">
            <v>768.02142299999991</v>
          </cell>
          <cell r="AW380">
            <v>768.02142299999991</v>
          </cell>
          <cell r="AX380">
            <v>768.02142299999991</v>
          </cell>
          <cell r="AY380">
            <v>768.02142299999991</v>
          </cell>
          <cell r="AZ380">
            <v>768.02142299999991</v>
          </cell>
          <cell r="BA380">
            <v>768.02142299999991</v>
          </cell>
          <cell r="BB380">
            <v>768.02142299999991</v>
          </cell>
        </row>
        <row r="381">
          <cell r="B381" t="str">
            <v>Diluted average shares outstanding (mn)</v>
          </cell>
          <cell r="C381" t="str">
            <v>DILUTE_SHARES</v>
          </cell>
          <cell r="F381">
            <v>385.66191900000001</v>
          </cell>
          <cell r="G381">
            <v>807.29587900000001</v>
          </cell>
          <cell r="H381">
            <v>804.11699999999996</v>
          </cell>
          <cell r="I381">
            <v>800.95699999999999</v>
          </cell>
          <cell r="J381">
            <v>804.08287199999995</v>
          </cell>
          <cell r="K381">
            <v>0</v>
          </cell>
          <cell r="L381">
            <v>0</v>
          </cell>
          <cell r="M381">
            <v>0</v>
          </cell>
          <cell r="N381">
            <v>0</v>
          </cell>
          <cell r="O381">
            <v>800.21635300000003</v>
          </cell>
          <cell r="P381">
            <v>0</v>
          </cell>
          <cell r="Q381">
            <v>0</v>
          </cell>
          <cell r="R381">
            <v>0</v>
          </cell>
          <cell r="S381">
            <v>0</v>
          </cell>
          <cell r="T381">
            <v>804315.66299999994</v>
          </cell>
          <cell r="U381">
            <v>0</v>
          </cell>
          <cell r="V381">
            <v>0</v>
          </cell>
          <cell r="W381">
            <v>0</v>
          </cell>
          <cell r="X381">
            <v>0</v>
          </cell>
          <cell r="Y381">
            <v>805548.40099999995</v>
          </cell>
          <cell r="Z381">
            <v>0</v>
          </cell>
          <cell r="AA381">
            <v>0</v>
          </cell>
          <cell r="AB381">
            <v>0</v>
          </cell>
          <cell r="AC381">
            <v>0</v>
          </cell>
          <cell r="AD381">
            <v>807596.94200000004</v>
          </cell>
          <cell r="AE381">
            <v>0</v>
          </cell>
          <cell r="AF381">
            <v>0</v>
          </cell>
          <cell r="AG381">
            <v>0</v>
          </cell>
          <cell r="AH381">
            <v>0</v>
          </cell>
          <cell r="AI381">
            <v>811190.11300000001</v>
          </cell>
          <cell r="AJ381">
            <v>0</v>
          </cell>
          <cell r="AK381">
            <v>0</v>
          </cell>
          <cell r="AL381">
            <v>0</v>
          </cell>
          <cell r="AM381">
            <v>0</v>
          </cell>
          <cell r="AN381">
            <v>810935.93</v>
          </cell>
          <cell r="AO381">
            <v>0</v>
          </cell>
          <cell r="AP381">
            <v>0</v>
          </cell>
          <cell r="AQ381">
            <v>0</v>
          </cell>
          <cell r="AR381">
            <v>0</v>
          </cell>
          <cell r="AS381">
            <v>813701.91200000001</v>
          </cell>
          <cell r="AT381">
            <v>820551.93099999998</v>
          </cell>
          <cell r="AU381">
            <v>820551.93099999998</v>
          </cell>
          <cell r="AV381">
            <v>820551.93099999998</v>
          </cell>
          <cell r="AW381">
            <v>820551.93099999998</v>
          </cell>
          <cell r="AX381">
            <v>820551.93099999998</v>
          </cell>
          <cell r="AY381">
            <v>820551.93099999998</v>
          </cell>
          <cell r="AZ381">
            <v>820551.93099999998</v>
          </cell>
          <cell r="BA381">
            <v>820551.93099999998</v>
          </cell>
          <cell r="BB381">
            <v>820551.93099999998</v>
          </cell>
        </row>
        <row r="382">
          <cell r="B382" t="str">
            <v>Period-end shares outstanding</v>
          </cell>
          <cell r="C382" t="str">
            <v>NON_OP_ADD</v>
          </cell>
          <cell r="F382">
            <v>807.15766699999995</v>
          </cell>
          <cell r="G382">
            <v>809.17556100000002</v>
          </cell>
          <cell r="H382">
            <v>800.95699999999999</v>
          </cell>
          <cell r="I382">
            <v>800.95724800000005</v>
          </cell>
          <cell r="J382">
            <v>799.55029400000001</v>
          </cell>
          <cell r="K382">
            <v>0</v>
          </cell>
          <cell r="L382">
            <v>0</v>
          </cell>
          <cell r="M382">
            <v>0</v>
          </cell>
          <cell r="N382">
            <v>0</v>
          </cell>
          <cell r="O382">
            <v>797.14042600000005</v>
          </cell>
          <cell r="P382">
            <v>0</v>
          </cell>
          <cell r="Q382">
            <v>0</v>
          </cell>
          <cell r="R382">
            <v>0</v>
          </cell>
          <cell r="S382">
            <v>0</v>
          </cell>
          <cell r="T382">
            <v>800.18516399999999</v>
          </cell>
          <cell r="U382">
            <v>0</v>
          </cell>
          <cell r="V382">
            <v>0</v>
          </cell>
          <cell r="W382">
            <v>0</v>
          </cell>
          <cell r="X382">
            <v>0</v>
          </cell>
          <cell r="Y382">
            <v>803.12822100000005</v>
          </cell>
          <cell r="Z382">
            <v>0</v>
          </cell>
          <cell r="AA382">
            <v>0</v>
          </cell>
          <cell r="AB382">
            <v>0</v>
          </cell>
          <cell r="AC382">
            <v>0</v>
          </cell>
          <cell r="AD382">
            <v>806.97880099999998</v>
          </cell>
          <cell r="AE382">
            <v>0</v>
          </cell>
          <cell r="AF382">
            <v>0</v>
          </cell>
          <cell r="AG382">
            <v>0</v>
          </cell>
          <cell r="AH382">
            <v>0</v>
          </cell>
          <cell r="AI382">
            <v>809.69863100000009</v>
          </cell>
          <cell r="AJ382">
            <v>0</v>
          </cell>
          <cell r="AK382">
            <v>0</v>
          </cell>
          <cell r="AL382">
            <v>0</v>
          </cell>
          <cell r="AM382">
            <v>0</v>
          </cell>
          <cell r="AN382">
            <v>810.69333900000004</v>
          </cell>
          <cell r="AO382">
            <v>0</v>
          </cell>
          <cell r="AP382">
            <v>0</v>
          </cell>
          <cell r="AQ382">
            <v>0</v>
          </cell>
          <cell r="AR382">
            <v>0</v>
          </cell>
          <cell r="AS382">
            <v>812.5072879999999</v>
          </cell>
          <cell r="AT382">
            <v>819.37826399999994</v>
          </cell>
          <cell r="AU382">
            <v>768.02142299999991</v>
          </cell>
          <cell r="AV382">
            <v>768.02142299999991</v>
          </cell>
          <cell r="AW382">
            <v>768.02142299999991</v>
          </cell>
          <cell r="AX382">
            <v>768.02142299999991</v>
          </cell>
          <cell r="AY382">
            <v>768.02142299999991</v>
          </cell>
          <cell r="AZ382">
            <v>768.02142299999991</v>
          </cell>
          <cell r="BA382">
            <v>768.02142299999991</v>
          </cell>
          <cell r="BB382">
            <v>768.02142299999991</v>
          </cell>
        </row>
        <row r="383">
          <cell r="A383" t="str">
            <v>Additional Income Statement Items</v>
          </cell>
          <cell r="B383">
            <v>0</v>
          </cell>
          <cell r="C383">
            <v>0</v>
          </cell>
          <cell r="D383">
            <v>0</v>
          </cell>
        </row>
        <row r="384">
          <cell r="B384" t="str">
            <v>Organic net income (excl. acquisitions)</v>
          </cell>
          <cell r="C384" t="str">
            <v>ORG_NI</v>
          </cell>
          <cell r="D384" t="str">
            <v>EUR</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row>
        <row r="385">
          <cell r="B385" t="str">
            <v>Organic EPS (excl. acquisitions)</v>
          </cell>
          <cell r="C385" t="str">
            <v>ORG_EPS</v>
          </cell>
          <cell r="D385" t="str">
            <v>EUR</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row>
        <row r="386">
          <cell r="B386" t="str">
            <v>Marginal tax rate</v>
          </cell>
          <cell r="C386" t="str">
            <v>MARGIN_TAX_RATE</v>
          </cell>
          <cell r="F386">
            <v>0.36</v>
          </cell>
          <cell r="G386">
            <v>0.54366382140512148</v>
          </cell>
          <cell r="H386">
            <v>0.39604685212298685</v>
          </cell>
          <cell r="I386">
            <v>0.37432795698924731</v>
          </cell>
          <cell r="J386">
            <v>0.35099337748344372</v>
          </cell>
          <cell r="K386">
            <v>0</v>
          </cell>
          <cell r="L386">
            <v>0</v>
          </cell>
          <cell r="M386">
            <v>0</v>
          </cell>
          <cell r="N386">
            <v>0</v>
          </cell>
          <cell r="O386">
            <v>0.32598130841121498</v>
          </cell>
          <cell r="P386">
            <v>0</v>
          </cell>
          <cell r="Q386">
            <v>0</v>
          </cell>
          <cell r="R386">
            <v>0</v>
          </cell>
          <cell r="S386">
            <v>0</v>
          </cell>
          <cell r="T386">
            <v>1.8115942028985508E-2</v>
          </cell>
          <cell r="U386">
            <v>0</v>
          </cell>
          <cell r="V386">
            <v>0</v>
          </cell>
          <cell r="W386">
            <v>0</v>
          </cell>
          <cell r="X386">
            <v>0</v>
          </cell>
          <cell r="Y386">
            <v>9.0719499478623566E-2</v>
          </cell>
          <cell r="Z386">
            <v>0</v>
          </cell>
          <cell r="AA386">
            <v>0</v>
          </cell>
          <cell r="AB386">
            <v>0</v>
          </cell>
          <cell r="AC386">
            <v>0</v>
          </cell>
          <cell r="AD386">
            <v>0.25192442267319803</v>
          </cell>
          <cell r="AE386">
            <v>0</v>
          </cell>
          <cell r="AF386">
            <v>0</v>
          </cell>
          <cell r="AG386">
            <v>0</v>
          </cell>
          <cell r="AH386">
            <v>0</v>
          </cell>
          <cell r="AI386">
            <v>0.13046272493573266</v>
          </cell>
          <cell r="AJ386">
            <v>0</v>
          </cell>
          <cell r="AK386">
            <v>0</v>
          </cell>
          <cell r="AL386">
            <v>0</v>
          </cell>
          <cell r="AM386">
            <v>0</v>
          </cell>
          <cell r="AN386">
            <v>0.29817007534983853</v>
          </cell>
          <cell r="AO386">
            <v>0</v>
          </cell>
          <cell r="AP386">
            <v>0</v>
          </cell>
          <cell r="AQ386">
            <v>0</v>
          </cell>
          <cell r="AR386">
            <v>0</v>
          </cell>
          <cell r="AS386">
            <v>0.25346534653465347</v>
          </cell>
          <cell r="AT386">
            <v>0.28147554129911789</v>
          </cell>
          <cell r="AU386">
            <v>0.23890359568154018</v>
          </cell>
          <cell r="AV386">
            <v>0.2462306929491466</v>
          </cell>
          <cell r="AW386">
            <v>0.24668817734584611</v>
          </cell>
          <cell r="AX386">
            <v>0.24707579889596748</v>
          </cell>
          <cell r="AY386">
            <v>0.24729042215040586</v>
          </cell>
          <cell r="AZ386">
            <v>0.2473952776785075</v>
          </cell>
          <cell r="BA386">
            <v>0.24785048225608342</v>
          </cell>
          <cell r="BB386">
            <v>0.24815737770664326</v>
          </cell>
        </row>
        <row r="387">
          <cell r="A387" t="str">
            <v>Balance Sheet</v>
          </cell>
          <cell r="B387">
            <v>0</v>
          </cell>
          <cell r="C387">
            <v>0</v>
          </cell>
          <cell r="D387">
            <v>0</v>
          </cell>
        </row>
        <row r="388">
          <cell r="B388" t="str">
            <v>BVPS, book value per share</v>
          </cell>
          <cell r="C388" t="str">
            <v>BVPS</v>
          </cell>
          <cell r="D388" t="str">
            <v>EUR</v>
          </cell>
          <cell r="F388">
            <v>12.698882038866888</v>
          </cell>
          <cell r="G388">
            <v>12.206250999219192</v>
          </cell>
          <cell r="H388">
            <v>15.937185142273556</v>
          </cell>
          <cell r="I388">
            <v>20.162124807939811</v>
          </cell>
          <cell r="J388">
            <v>21.228183051609257</v>
          </cell>
          <cell r="K388">
            <v>0</v>
          </cell>
          <cell r="L388">
            <v>0</v>
          </cell>
          <cell r="M388">
            <v>0</v>
          </cell>
          <cell r="N388">
            <v>0</v>
          </cell>
          <cell r="O388">
            <v>17.219048930783995</v>
          </cell>
          <cell r="P388">
            <v>0</v>
          </cell>
          <cell r="Q388">
            <v>0</v>
          </cell>
          <cell r="R388">
            <v>0</v>
          </cell>
          <cell r="S388">
            <v>0</v>
          </cell>
          <cell r="T388">
            <v>16.261236255562469</v>
          </cell>
          <cell r="U388">
            <v>0</v>
          </cell>
          <cell r="V388">
            <v>0</v>
          </cell>
          <cell r="W388">
            <v>0</v>
          </cell>
          <cell r="X388">
            <v>0</v>
          </cell>
          <cell r="Y388">
            <v>16.298767317255059</v>
          </cell>
          <cell r="Z388">
            <v>0</v>
          </cell>
          <cell r="AA388">
            <v>0</v>
          </cell>
          <cell r="AB388">
            <v>0</v>
          </cell>
          <cell r="AC388">
            <v>0</v>
          </cell>
          <cell r="AD388">
            <v>13.658351354882742</v>
          </cell>
          <cell r="AE388">
            <v>0</v>
          </cell>
          <cell r="AF388">
            <v>0</v>
          </cell>
          <cell r="AG388">
            <v>0</v>
          </cell>
          <cell r="AH388">
            <v>0</v>
          </cell>
          <cell r="AI388">
            <v>13.011013723697403</v>
          </cell>
          <cell r="AJ388">
            <v>0</v>
          </cell>
          <cell r="AK388">
            <v>0</v>
          </cell>
          <cell r="AL388">
            <v>0</v>
          </cell>
          <cell r="AM388">
            <v>0</v>
          </cell>
          <cell r="AN388">
            <v>10.905480006663778</v>
          </cell>
          <cell r="AO388">
            <v>0</v>
          </cell>
          <cell r="AP388">
            <v>0</v>
          </cell>
          <cell r="AQ388">
            <v>0</v>
          </cell>
          <cell r="AR388">
            <v>0</v>
          </cell>
          <cell r="AS388">
            <v>10.892209990859801</v>
          </cell>
          <cell r="AT388">
            <v>12.703534444745779</v>
          </cell>
          <cell r="AU388">
            <v>13.949751582569407</v>
          </cell>
          <cell r="AV388">
            <v>17.061311364530255</v>
          </cell>
          <cell r="AW388">
            <v>20.636020092873</v>
          </cell>
          <cell r="AX388">
            <v>24.716043657091198</v>
          </cell>
          <cell r="AY388">
            <v>29.107316522945627</v>
          </cell>
          <cell r="AZ388">
            <v>33.625258803667251</v>
          </cell>
          <cell r="BA388">
            <v>39.220479379112582</v>
          </cell>
          <cell r="BB388">
            <v>45.828182789850914</v>
          </cell>
        </row>
        <row r="389">
          <cell r="A389" t="str">
            <v>Cash Flow Statement</v>
          </cell>
          <cell r="B389">
            <v>0</v>
          </cell>
          <cell r="C389">
            <v>0</v>
          </cell>
          <cell r="D389">
            <v>0</v>
          </cell>
        </row>
      </sheetData>
      <sheetData sheetId="5"/>
      <sheetData sheetId="6"/>
      <sheetData sheetId="7"/>
      <sheetData sheetId="8"/>
      <sheetData sheetId="9">
        <row r="299">
          <cell r="B299">
            <v>2458</v>
          </cell>
        </row>
      </sheetData>
      <sheetData sheetId="10">
        <row r="142">
          <cell r="B142">
            <v>8632</v>
          </cell>
        </row>
      </sheetData>
      <sheetData sheetId="11"/>
      <sheetData sheetId="12"/>
      <sheetData sheetId="13">
        <row r="102">
          <cell r="I102">
            <v>20</v>
          </cell>
        </row>
      </sheetData>
      <sheetData sheetId="14">
        <row r="36">
          <cell r="I36">
            <v>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v>0</v>
          </cell>
          <cell r="B6" t="str">
            <v>2000pf</v>
          </cell>
          <cell r="C6">
            <v>2001</v>
          </cell>
          <cell r="D6">
            <v>2002</v>
          </cell>
          <cell r="E6">
            <v>2003</v>
          </cell>
          <cell r="F6">
            <v>2004</v>
          </cell>
          <cell r="G6" t="str">
            <v>2004pf</v>
          </cell>
          <cell r="H6">
            <v>2005</v>
          </cell>
          <cell r="I6">
            <v>2006</v>
          </cell>
          <cell r="J6">
            <v>2007</v>
          </cell>
          <cell r="K6">
            <v>2008</v>
          </cell>
          <cell r="L6">
            <v>2009</v>
          </cell>
          <cell r="M6">
            <v>2010</v>
          </cell>
          <cell r="N6">
            <v>2011</v>
          </cell>
          <cell r="O6" t="str">
            <v>2012E</v>
          </cell>
          <cell r="P6" t="str">
            <v>2013E</v>
          </cell>
          <cell r="Q6" t="str">
            <v>2014E</v>
          </cell>
          <cell r="R6" t="str">
            <v>2015E</v>
          </cell>
        </row>
        <row r="7">
          <cell r="A7">
            <v>0</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row>
        <row r="8">
          <cell r="A8" t="str">
            <v>Divisional sales</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row>
        <row r="9">
          <cell r="A9" t="str">
            <v>Airbus Commercial</v>
          </cell>
          <cell r="B9">
            <v>14856</v>
          </cell>
          <cell r="C9">
            <v>20549</v>
          </cell>
          <cell r="D9">
            <v>19512</v>
          </cell>
          <cell r="E9">
            <v>19048</v>
          </cell>
          <cell r="F9">
            <v>20224</v>
          </cell>
          <cell r="G9">
            <v>20224</v>
          </cell>
          <cell r="H9">
            <v>22179</v>
          </cell>
          <cell r="I9">
            <v>25190</v>
          </cell>
          <cell r="J9">
            <v>25216</v>
          </cell>
          <cell r="K9">
            <v>27453</v>
          </cell>
          <cell r="L9">
            <v>26370</v>
          </cell>
          <cell r="M9">
            <v>27673</v>
          </cell>
          <cell r="N9">
            <v>31159</v>
          </cell>
          <cell r="O9">
            <v>35440.226302800205</v>
          </cell>
          <cell r="P9">
            <v>38385.502476700261</v>
          </cell>
          <cell r="Q9">
            <v>41368.149137727349</v>
          </cell>
          <cell r="R9">
            <v>43130.418542228523</v>
          </cell>
        </row>
        <row r="10">
          <cell r="A10" t="str">
            <v>Aeronautics</v>
          </cell>
          <cell r="B10">
            <v>4704</v>
          </cell>
          <cell r="C10">
            <v>5065</v>
          </cell>
          <cell r="D10">
            <v>3834</v>
          </cell>
          <cell r="E10">
            <v>3803</v>
          </cell>
          <cell r="F10">
            <v>3876</v>
          </cell>
          <cell r="G10">
            <v>0</v>
          </cell>
          <cell r="H10">
            <v>0</v>
          </cell>
          <cell r="I10">
            <v>0</v>
          </cell>
          <cell r="J10">
            <v>0</v>
          </cell>
          <cell r="K10">
            <v>0</v>
          </cell>
          <cell r="L10">
            <v>0</v>
          </cell>
          <cell r="M10">
            <v>0</v>
          </cell>
          <cell r="N10">
            <v>0</v>
          </cell>
          <cell r="O10">
            <v>0</v>
          </cell>
          <cell r="P10">
            <v>0</v>
          </cell>
          <cell r="Q10">
            <v>0</v>
          </cell>
          <cell r="R10">
            <v>0</v>
          </cell>
        </row>
        <row r="11">
          <cell r="A11" t="str">
            <v>Eurocopter</v>
          </cell>
          <cell r="B11">
            <v>0</v>
          </cell>
          <cell r="C11">
            <v>0</v>
          </cell>
          <cell r="D11">
            <v>0</v>
          </cell>
          <cell r="E11">
            <v>0</v>
          </cell>
          <cell r="F11">
            <v>0</v>
          </cell>
          <cell r="G11">
            <v>2786</v>
          </cell>
          <cell r="H11">
            <v>3211</v>
          </cell>
          <cell r="I11">
            <v>3803</v>
          </cell>
          <cell r="J11">
            <v>4172</v>
          </cell>
          <cell r="K11">
            <v>4486</v>
          </cell>
          <cell r="L11">
            <v>4570</v>
          </cell>
          <cell r="M11">
            <v>4830</v>
          </cell>
          <cell r="N11">
            <v>5415</v>
          </cell>
          <cell r="O11">
            <v>5629.8285000000005</v>
          </cell>
          <cell r="P11">
            <v>5842.6805850000001</v>
          </cell>
          <cell r="Q11">
            <v>6113.7377953499999</v>
          </cell>
          <cell r="R11">
            <v>6366.3464361225006</v>
          </cell>
        </row>
        <row r="12">
          <cell r="A12" t="str">
            <v>Cassidian (Defence &amp; Security)</v>
          </cell>
          <cell r="B12">
            <v>2909</v>
          </cell>
          <cell r="C12">
            <v>3345</v>
          </cell>
          <cell r="D12">
            <v>4770</v>
          </cell>
          <cell r="E12">
            <v>5165</v>
          </cell>
          <cell r="F12">
            <v>5385</v>
          </cell>
          <cell r="G12">
            <v>5385</v>
          </cell>
          <cell r="H12">
            <v>5636</v>
          </cell>
          <cell r="I12">
            <v>5864</v>
          </cell>
          <cell r="J12">
            <v>5465</v>
          </cell>
          <cell r="K12">
            <v>5668</v>
          </cell>
          <cell r="L12">
            <v>5363</v>
          </cell>
          <cell r="M12">
            <v>5933</v>
          </cell>
          <cell r="N12">
            <v>5803</v>
          </cell>
          <cell r="O12">
            <v>5603.7764000000006</v>
          </cell>
          <cell r="P12">
            <v>5283.5086279999996</v>
          </cell>
          <cell r="Q12">
            <v>5367.5788005600007</v>
          </cell>
          <cell r="R12">
            <v>5437.9703765712002</v>
          </cell>
        </row>
        <row r="13">
          <cell r="A13" t="str">
            <v>Astrium (Space)</v>
          </cell>
          <cell r="B13">
            <v>2535</v>
          </cell>
          <cell r="C13">
            <v>2439</v>
          </cell>
          <cell r="D13">
            <v>2216</v>
          </cell>
          <cell r="E13">
            <v>2424</v>
          </cell>
          <cell r="F13">
            <v>2592</v>
          </cell>
          <cell r="G13">
            <v>2592</v>
          </cell>
          <cell r="H13">
            <v>2698</v>
          </cell>
          <cell r="I13">
            <v>3212</v>
          </cell>
          <cell r="J13">
            <v>3550</v>
          </cell>
          <cell r="K13">
            <v>4289</v>
          </cell>
          <cell r="L13">
            <v>4799</v>
          </cell>
          <cell r="M13">
            <v>5003</v>
          </cell>
          <cell r="N13">
            <v>4964</v>
          </cell>
          <cell r="O13">
            <v>5375.2307692307695</v>
          </cell>
          <cell r="P13">
            <v>5553.647507692307</v>
          </cell>
          <cell r="Q13">
            <v>5761.2084190769237</v>
          </cell>
          <cell r="R13">
            <v>5977.0437321107693</v>
          </cell>
        </row>
        <row r="14">
          <cell r="A14" t="str">
            <v>Airbus Military</v>
          </cell>
          <cell r="B14">
            <v>316</v>
          </cell>
          <cell r="C14">
            <v>547</v>
          </cell>
          <cell r="D14">
            <v>524</v>
          </cell>
          <cell r="E14">
            <v>934</v>
          </cell>
          <cell r="F14">
            <v>1304</v>
          </cell>
          <cell r="G14">
            <v>1304</v>
          </cell>
          <cell r="H14">
            <v>763</v>
          </cell>
          <cell r="I14">
            <v>2200</v>
          </cell>
          <cell r="J14">
            <v>1140</v>
          </cell>
          <cell r="K14">
            <v>2759</v>
          </cell>
          <cell r="L14">
            <v>0</v>
          </cell>
          <cell r="M14">
            <v>0</v>
          </cell>
          <cell r="N14">
            <v>0</v>
          </cell>
          <cell r="O14">
            <v>0</v>
          </cell>
          <cell r="P14">
            <v>0</v>
          </cell>
          <cell r="Q14">
            <v>0</v>
          </cell>
          <cell r="R14">
            <v>0</v>
          </cell>
        </row>
        <row r="15">
          <cell r="A15" t="str">
            <v>Other businesses</v>
          </cell>
          <cell r="B15">
            <v>0</v>
          </cell>
          <cell r="C15">
            <v>0</v>
          </cell>
          <cell r="D15">
            <v>0</v>
          </cell>
          <cell r="E15">
            <v>0</v>
          </cell>
          <cell r="F15">
            <v>0</v>
          </cell>
          <cell r="G15">
            <v>1123</v>
          </cell>
          <cell r="H15">
            <v>1155</v>
          </cell>
          <cell r="I15">
            <v>1257</v>
          </cell>
          <cell r="J15">
            <v>1269</v>
          </cell>
          <cell r="K15">
            <v>1528</v>
          </cell>
          <cell r="L15">
            <v>1096</v>
          </cell>
          <cell r="M15">
            <v>1182</v>
          </cell>
          <cell r="N15">
            <v>1252</v>
          </cell>
          <cell r="O15">
            <v>1301.2036000000001</v>
          </cell>
          <cell r="P15">
            <v>1352.7622120000001</v>
          </cell>
          <cell r="Q15">
            <v>1400.7538134000001</v>
          </cell>
          <cell r="R15">
            <v>1444.3448147124002</v>
          </cell>
        </row>
        <row r="16">
          <cell r="A16" t="str">
            <v>HQ / consolidation</v>
          </cell>
          <cell r="B16">
            <v>-1112</v>
          </cell>
          <cell r="C16">
            <v>-1147</v>
          </cell>
          <cell r="D16">
            <v>-955</v>
          </cell>
          <cell r="E16">
            <v>-1241</v>
          </cell>
          <cell r="F16">
            <v>-1620</v>
          </cell>
          <cell r="G16">
            <v>-1653</v>
          </cell>
          <cell r="H16">
            <v>-1436</v>
          </cell>
          <cell r="I16">
            <v>-2092</v>
          </cell>
          <cell r="J16">
            <v>-1689</v>
          </cell>
          <cell r="K16">
            <v>-2918</v>
          </cell>
          <cell r="L16">
            <v>-1073</v>
          </cell>
          <cell r="M16">
            <v>-1174</v>
          </cell>
          <cell r="N16">
            <v>-1409</v>
          </cell>
          <cell r="O16">
            <v>-1550</v>
          </cell>
          <cell r="P16">
            <v>-1650</v>
          </cell>
          <cell r="Q16">
            <v>-1750</v>
          </cell>
          <cell r="R16">
            <v>-1850</v>
          </cell>
        </row>
        <row r="17">
          <cell r="A17" t="str">
            <v>Total sales</v>
          </cell>
          <cell r="B17">
            <v>24208</v>
          </cell>
          <cell r="C17">
            <v>30798</v>
          </cell>
          <cell r="D17">
            <v>29901</v>
          </cell>
          <cell r="E17">
            <v>30133</v>
          </cell>
          <cell r="F17">
            <v>31761</v>
          </cell>
          <cell r="G17">
            <v>31761</v>
          </cell>
          <cell r="H17">
            <v>34206</v>
          </cell>
          <cell r="I17">
            <v>39434</v>
          </cell>
          <cell r="J17">
            <v>39123</v>
          </cell>
          <cell r="K17">
            <v>43265</v>
          </cell>
          <cell r="L17">
            <v>42822</v>
          </cell>
          <cell r="M17">
            <v>45752</v>
          </cell>
          <cell r="N17">
            <v>49128</v>
          </cell>
          <cell r="O17">
            <v>53609.497572030981</v>
          </cell>
          <cell r="P17">
            <v>56542.610369392569</v>
          </cell>
          <cell r="Q17">
            <v>60081.672194914274</v>
          </cell>
          <cell r="R17">
            <v>62512.588346325392</v>
          </cell>
        </row>
        <row r="18">
          <cell r="A18">
            <v>0</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row>
        <row r="19">
          <cell r="A19" t="str">
            <v>Divisional sales growth</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row>
        <row r="20">
          <cell r="A20" t="str">
            <v>Airbus Commercial</v>
          </cell>
          <cell r="B20">
            <v>0.175409446949917</v>
          </cell>
          <cell r="C20">
            <v>0.175409446949917</v>
          </cell>
          <cell r="D20">
            <v>-5.0464742809869123E-2</v>
          </cell>
          <cell r="E20">
            <v>-5.0464742809869123E-2</v>
          </cell>
          <cell r="F20">
            <v>6.1738765224695458E-2</v>
          </cell>
          <cell r="G20">
            <v>6.1738765224695458E-2</v>
          </cell>
          <cell r="H20">
            <v>9.6667325949367111E-2</v>
          </cell>
          <cell r="I20">
            <v>0.1357590513548852</v>
          </cell>
          <cell r="J20">
            <v>1.0321556173085167E-3</v>
          </cell>
          <cell r="K20">
            <v>8.8713515228426409E-2</v>
          </cell>
          <cell r="L20">
            <v>-3.9449240520161744E-2</v>
          </cell>
          <cell r="M20">
            <v>4.9412210845658056E-2</v>
          </cell>
          <cell r="N20">
            <v>0.12597116322769497</v>
          </cell>
          <cell r="O20">
            <v>0.13739934859270853</v>
          </cell>
          <cell r="P20">
            <v>8.3105456176710168E-2</v>
          </cell>
          <cell r="Q20">
            <v>7.770242587908105E-2</v>
          </cell>
          <cell r="R20">
            <v>4.2599667648509865E-2</v>
          </cell>
        </row>
        <row r="21">
          <cell r="A21" t="str">
            <v>Aeronautics</v>
          </cell>
          <cell r="B21">
            <v>9.9065420560747741E-2</v>
          </cell>
          <cell r="C21">
            <v>9.9065420560747741E-2</v>
          </cell>
          <cell r="D21">
            <v>-0.24304047384007899</v>
          </cell>
          <cell r="E21">
            <v>-0.24304047384007899</v>
          </cell>
          <cell r="F21">
            <v>1.9195372074677808E-2</v>
          </cell>
          <cell r="G21">
            <v>0</v>
          </cell>
          <cell r="H21">
            <v>0</v>
          </cell>
          <cell r="I21">
            <v>0</v>
          </cell>
          <cell r="J21">
            <v>0</v>
          </cell>
          <cell r="K21">
            <v>0</v>
          </cell>
          <cell r="L21">
            <v>0</v>
          </cell>
          <cell r="M21">
            <v>0</v>
          </cell>
          <cell r="N21">
            <v>0</v>
          </cell>
          <cell r="O21">
            <v>0</v>
          </cell>
          <cell r="P21">
            <v>0</v>
          </cell>
          <cell r="Q21">
            <v>0</v>
          </cell>
          <cell r="R21">
            <v>0</v>
          </cell>
        </row>
        <row r="22">
          <cell r="A22" t="str">
            <v>Eurocopter</v>
          </cell>
          <cell r="B22">
            <v>0</v>
          </cell>
          <cell r="C22">
            <v>0</v>
          </cell>
          <cell r="D22">
            <v>0</v>
          </cell>
          <cell r="E22">
            <v>0</v>
          </cell>
          <cell r="F22">
            <v>0</v>
          </cell>
          <cell r="G22">
            <v>0</v>
          </cell>
          <cell r="H22">
            <v>0.15254845656855709</v>
          </cell>
          <cell r="I22">
            <v>0.18436624104640309</v>
          </cell>
          <cell r="J22">
            <v>9.7028661582960751E-2</v>
          </cell>
          <cell r="K22">
            <v>7.5263662511984686E-2</v>
          </cell>
          <cell r="L22">
            <v>1.8724921979491826E-2</v>
          </cell>
          <cell r="M22">
            <v>5.6892778993435478E-2</v>
          </cell>
          <cell r="N22">
            <v>0.12111801242236031</v>
          </cell>
          <cell r="O22">
            <v>3.9672853185595658E-2</v>
          </cell>
          <cell r="P22">
            <v>3.7807916351270565E-2</v>
          </cell>
          <cell r="Q22">
            <v>4.6392611474583845E-2</v>
          </cell>
          <cell r="R22">
            <v>4.1318199966742242E-2</v>
          </cell>
        </row>
        <row r="23">
          <cell r="A23" t="str">
            <v>Cassidian (Defence &amp; Security)</v>
          </cell>
          <cell r="B23">
            <v>-0.24046997389033942</v>
          </cell>
          <cell r="C23">
            <v>-0.24046997389033942</v>
          </cell>
          <cell r="D23">
            <v>0.42600896860986537</v>
          </cell>
          <cell r="E23">
            <v>0.42600896860986537</v>
          </cell>
          <cell r="F23">
            <v>4.2594385285575909E-2</v>
          </cell>
          <cell r="G23">
            <v>4.2594385285575909E-2</v>
          </cell>
          <cell r="H23">
            <v>4.6610956360259914E-2</v>
          </cell>
          <cell r="I23">
            <v>4.0454222853087307E-2</v>
          </cell>
          <cell r="J23">
            <v>-6.8042291950886735E-2</v>
          </cell>
          <cell r="K23">
            <v>3.7145471180237921E-2</v>
          </cell>
          <cell r="L23">
            <v>-5.3810868031051506E-2</v>
          </cell>
          <cell r="M23">
            <v>0.10628379638262175</v>
          </cell>
          <cell r="N23">
            <v>-2.1911343333895217E-2</v>
          </cell>
          <cell r="O23">
            <v>-3.4331139066000271E-2</v>
          </cell>
          <cell r="P23">
            <v>-5.7152132622565244E-2</v>
          </cell>
          <cell r="Q23">
            <v>1.5911807565614833E-2</v>
          </cell>
          <cell r="R23">
            <v>1.3114213806019182E-2</v>
          </cell>
        </row>
        <row r="24">
          <cell r="A24" t="str">
            <v>Astrium (Space)</v>
          </cell>
          <cell r="B24">
            <v>6.7513899920572662E-3</v>
          </cell>
          <cell r="C24">
            <v>6.7513899920572662E-3</v>
          </cell>
          <cell r="D24">
            <v>-9.1430914309143074E-2</v>
          </cell>
          <cell r="E24">
            <v>-9.1430914309143074E-2</v>
          </cell>
          <cell r="F24">
            <v>6.9306930693069368E-2</v>
          </cell>
          <cell r="G24">
            <v>6.9306930693069368E-2</v>
          </cell>
          <cell r="H24">
            <v>4.0895061728394966E-2</v>
          </cell>
          <cell r="I24">
            <v>0.19051148999258705</v>
          </cell>
          <cell r="J24">
            <v>0.10523038605230384</v>
          </cell>
          <cell r="K24">
            <v>0.20816901408450694</v>
          </cell>
          <cell r="L24">
            <v>0.11890883655863838</v>
          </cell>
          <cell r="M24">
            <v>4.2508856011669094E-2</v>
          </cell>
          <cell r="N24">
            <v>-7.7953228063162294E-3</v>
          </cell>
          <cell r="O24">
            <v>8.2842620715304127E-2</v>
          </cell>
          <cell r="P24">
            <v>3.3192386731159873E-2</v>
          </cell>
          <cell r="Q24">
            <v>3.7373800029102622E-2</v>
          </cell>
          <cell r="R24">
            <v>3.7463548848390316E-2</v>
          </cell>
        </row>
        <row r="25">
          <cell r="A25" t="str">
            <v>Airbus Military</v>
          </cell>
          <cell r="B25">
            <v>0.31120331950207469</v>
          </cell>
          <cell r="C25">
            <v>0.31120331950207469</v>
          </cell>
          <cell r="D25">
            <v>-4.2047531992687404E-2</v>
          </cell>
          <cell r="E25">
            <v>-4.2047531992687404E-2</v>
          </cell>
          <cell r="F25">
            <v>0.3961456102783727</v>
          </cell>
          <cell r="G25">
            <v>0.3961456102783727</v>
          </cell>
          <cell r="H25">
            <v>-0.41487730061349692</v>
          </cell>
          <cell r="I25">
            <v>1.8833551769331587</v>
          </cell>
          <cell r="J25">
            <v>-0.48181818181818181</v>
          </cell>
          <cell r="K25">
            <v>1.4201754385964911</v>
          </cell>
          <cell r="L25">
            <v>0</v>
          </cell>
          <cell r="M25">
            <v>0</v>
          </cell>
          <cell r="N25">
            <v>0</v>
          </cell>
          <cell r="O25">
            <v>0</v>
          </cell>
          <cell r="P25">
            <v>0</v>
          </cell>
          <cell r="Q25">
            <v>0</v>
          </cell>
          <cell r="R25">
            <v>0</v>
          </cell>
        </row>
        <row r="26">
          <cell r="A26" t="str">
            <v>Other businesses</v>
          </cell>
          <cell r="B26">
            <v>0</v>
          </cell>
          <cell r="C26" t="str">
            <v>n/a</v>
          </cell>
          <cell r="D26">
            <v>0</v>
          </cell>
          <cell r="E26" t="str">
            <v>n/a</v>
          </cell>
          <cell r="F26">
            <v>0</v>
          </cell>
          <cell r="G26" t="str">
            <v>n/a</v>
          </cell>
          <cell r="H26">
            <v>2.8495102404274331E-2</v>
          </cell>
          <cell r="I26">
            <v>8.8311688311688341E-2</v>
          </cell>
          <cell r="J26">
            <v>9.5465393794749165E-3</v>
          </cell>
          <cell r="K26">
            <v>0.20409771473601257</v>
          </cell>
          <cell r="L26">
            <v>-0.2827225130890052</v>
          </cell>
          <cell r="M26">
            <v>7.8467153284671465E-2</v>
          </cell>
          <cell r="N26">
            <v>5.9221658206429773E-2</v>
          </cell>
          <cell r="O26">
            <v>3.9300000000000113E-2</v>
          </cell>
          <cell r="P26">
            <v>3.9623785240065379E-2</v>
          </cell>
          <cell r="Q26">
            <v>3.5476746004788673E-2</v>
          </cell>
          <cell r="R26">
            <v>3.1119673489657051E-2</v>
          </cell>
        </row>
        <row r="27">
          <cell r="A27" t="str">
            <v>Total sales growth</v>
          </cell>
          <cell r="B27">
            <v>7.3382698532346025E-2</v>
          </cell>
          <cell r="C27">
            <v>7.3382698532346025E-2</v>
          </cell>
          <cell r="D27">
            <v>-2.9125267874537286E-2</v>
          </cell>
          <cell r="E27">
            <v>-2.9125267874537286E-2</v>
          </cell>
          <cell r="F27">
            <v>5.4027146317990216E-2</v>
          </cell>
          <cell r="G27">
            <v>5.4027146317990216E-2</v>
          </cell>
          <cell r="H27">
            <v>7.6981203362614492E-2</v>
          </cell>
          <cell r="I27">
            <v>0.15283868327194061</v>
          </cell>
          <cell r="J27">
            <v>-7.8865953238321795E-3</v>
          </cell>
          <cell r="K27">
            <v>0.10587122664417348</v>
          </cell>
          <cell r="L27">
            <v>-1.0239223390731578E-2</v>
          </cell>
          <cell r="M27">
            <v>6.8422773340806042E-2</v>
          </cell>
          <cell r="N27">
            <v>7.3789123972722415E-2</v>
          </cell>
          <cell r="O27">
            <v>9.1220842941519775E-2</v>
          </cell>
          <cell r="P27">
            <v>5.4712558971861114E-2</v>
          </cell>
          <cell r="Q27">
            <v>6.2591058361137542E-2</v>
          </cell>
          <cell r="R27">
            <v>4.0460194641801062E-2</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A29" t="str">
            <v>Divisional EBITA</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A30" t="str">
            <v>Airbus Commercial</v>
          </cell>
          <cell r="B30">
            <v>1412</v>
          </cell>
          <cell r="C30">
            <v>1655</v>
          </cell>
          <cell r="D30">
            <v>1361</v>
          </cell>
          <cell r="E30">
            <v>1353</v>
          </cell>
          <cell r="F30">
            <v>1922</v>
          </cell>
          <cell r="G30">
            <v>1919</v>
          </cell>
          <cell r="H30">
            <v>2307</v>
          </cell>
          <cell r="I30">
            <v>-572</v>
          </cell>
          <cell r="J30">
            <v>-881</v>
          </cell>
          <cell r="K30">
            <v>1790</v>
          </cell>
          <cell r="L30">
            <v>386</v>
          </cell>
          <cell r="M30">
            <v>291</v>
          </cell>
          <cell r="N30">
            <v>543</v>
          </cell>
          <cell r="O30">
            <v>585.03978979540261</v>
          </cell>
          <cell r="P30">
            <v>1230.9052211182416</v>
          </cell>
          <cell r="Q30">
            <v>2035.0805070818587</v>
          </cell>
          <cell r="R30">
            <v>3265.4652944724075</v>
          </cell>
        </row>
        <row r="31">
          <cell r="A31" t="str">
            <v>Aeronautics</v>
          </cell>
          <cell r="B31">
            <v>296</v>
          </cell>
          <cell r="C31">
            <v>308</v>
          </cell>
          <cell r="D31">
            <v>180</v>
          </cell>
          <cell r="E31">
            <v>217</v>
          </cell>
          <cell r="F31">
            <v>206</v>
          </cell>
          <cell r="G31">
            <v>0</v>
          </cell>
          <cell r="H31">
            <v>0</v>
          </cell>
          <cell r="I31">
            <v>0</v>
          </cell>
          <cell r="J31">
            <v>0</v>
          </cell>
          <cell r="K31">
            <v>0</v>
          </cell>
          <cell r="L31">
            <v>0</v>
          </cell>
          <cell r="M31">
            <v>0</v>
          </cell>
          <cell r="N31">
            <v>0</v>
          </cell>
          <cell r="O31">
            <v>0</v>
          </cell>
          <cell r="P31">
            <v>0</v>
          </cell>
          <cell r="Q31">
            <v>0</v>
          </cell>
          <cell r="R31">
            <v>0</v>
          </cell>
        </row>
        <row r="32">
          <cell r="A32" t="str">
            <v>Eurocopter</v>
          </cell>
          <cell r="B32">
            <v>0</v>
          </cell>
          <cell r="C32">
            <v>0</v>
          </cell>
          <cell r="D32">
            <v>0</v>
          </cell>
          <cell r="E32">
            <v>0</v>
          </cell>
          <cell r="F32">
            <v>0</v>
          </cell>
          <cell r="G32">
            <v>201</v>
          </cell>
          <cell r="H32">
            <v>212</v>
          </cell>
          <cell r="I32">
            <v>257</v>
          </cell>
          <cell r="J32">
            <v>211</v>
          </cell>
          <cell r="K32">
            <v>293</v>
          </cell>
          <cell r="L32">
            <v>263</v>
          </cell>
          <cell r="M32">
            <v>183</v>
          </cell>
          <cell r="N32">
            <v>259</v>
          </cell>
          <cell r="O32">
            <v>293.69830000000002</v>
          </cell>
          <cell r="P32">
            <v>321.00835397500003</v>
          </cell>
          <cell r="Q32">
            <v>402.67082080350008</v>
          </cell>
          <cell r="R32">
            <v>435.33203843497512</v>
          </cell>
        </row>
        <row r="33">
          <cell r="A33" t="str">
            <v>Cassidian (Defence &amp; Security)</v>
          </cell>
          <cell r="B33">
            <v>-110</v>
          </cell>
          <cell r="C33">
            <v>-79</v>
          </cell>
          <cell r="D33">
            <v>122</v>
          </cell>
          <cell r="E33">
            <v>171</v>
          </cell>
          <cell r="F33">
            <v>228</v>
          </cell>
          <cell r="G33">
            <v>226</v>
          </cell>
          <cell r="H33">
            <v>201</v>
          </cell>
          <cell r="I33">
            <v>348</v>
          </cell>
          <cell r="J33">
            <v>340</v>
          </cell>
          <cell r="K33">
            <v>408</v>
          </cell>
          <cell r="L33">
            <v>449</v>
          </cell>
          <cell r="M33">
            <v>457</v>
          </cell>
          <cell r="N33">
            <v>331</v>
          </cell>
          <cell r="O33">
            <v>327.43693100000002</v>
          </cell>
          <cell r="P33">
            <v>339.97162372000003</v>
          </cell>
          <cell r="Q33">
            <v>355.8162646092</v>
          </cell>
          <cell r="R33">
            <v>370.81518248448003</v>
          </cell>
        </row>
        <row r="34">
          <cell r="A34" t="str">
            <v>Astrium (Space)</v>
          </cell>
          <cell r="B34">
            <v>67</v>
          </cell>
          <cell r="C34">
            <v>-222</v>
          </cell>
          <cell r="D34">
            <v>-268</v>
          </cell>
          <cell r="E34">
            <v>-400</v>
          </cell>
          <cell r="F34">
            <v>10</v>
          </cell>
          <cell r="G34">
            <v>9</v>
          </cell>
          <cell r="H34">
            <v>58</v>
          </cell>
          <cell r="I34">
            <v>130</v>
          </cell>
          <cell r="J34">
            <v>174</v>
          </cell>
          <cell r="K34">
            <v>234</v>
          </cell>
          <cell r="L34">
            <v>261</v>
          </cell>
          <cell r="M34">
            <v>283</v>
          </cell>
          <cell r="N34">
            <v>267</v>
          </cell>
          <cell r="O34">
            <v>290.26246153846154</v>
          </cell>
          <cell r="P34">
            <v>333.21885046153841</v>
          </cell>
          <cell r="Q34">
            <v>362.95613040184622</v>
          </cell>
          <cell r="R34">
            <v>400.46193005142158</v>
          </cell>
        </row>
        <row r="35">
          <cell r="A35" t="str">
            <v>Airbus Military</v>
          </cell>
          <cell r="B35">
            <v>-63</v>
          </cell>
          <cell r="C35">
            <v>1</v>
          </cell>
          <cell r="D35">
            <v>-80</v>
          </cell>
          <cell r="E35">
            <v>30</v>
          </cell>
          <cell r="F35">
            <v>26</v>
          </cell>
          <cell r="G35">
            <v>26</v>
          </cell>
          <cell r="H35">
            <v>48</v>
          </cell>
          <cell r="I35">
            <v>75</v>
          </cell>
          <cell r="J35">
            <v>-155</v>
          </cell>
          <cell r="K35">
            <v>-16</v>
          </cell>
          <cell r="L35">
            <v>0</v>
          </cell>
          <cell r="M35">
            <v>0</v>
          </cell>
          <cell r="N35">
            <v>0</v>
          </cell>
          <cell r="O35">
            <v>0</v>
          </cell>
          <cell r="P35">
            <v>0</v>
          </cell>
          <cell r="Q35">
            <v>0</v>
          </cell>
          <cell r="R35">
            <v>0</v>
          </cell>
        </row>
        <row r="36">
          <cell r="A36" t="str">
            <v>Other businesses</v>
          </cell>
          <cell r="B36">
            <v>0</v>
          </cell>
          <cell r="C36">
            <v>0</v>
          </cell>
          <cell r="D36">
            <v>0</v>
          </cell>
          <cell r="E36">
            <v>0</v>
          </cell>
          <cell r="F36">
            <v>0</v>
          </cell>
          <cell r="G36">
            <v>2</v>
          </cell>
          <cell r="H36">
            <v>-171</v>
          </cell>
          <cell r="I36">
            <v>-288</v>
          </cell>
          <cell r="J36">
            <v>94</v>
          </cell>
          <cell r="K36">
            <v>80</v>
          </cell>
          <cell r="L36">
            <v>21</v>
          </cell>
          <cell r="M36">
            <v>25</v>
          </cell>
          <cell r="N36">
            <v>59</v>
          </cell>
          <cell r="O36">
            <v>42.885882800000005</v>
          </cell>
          <cell r="P36">
            <v>56.635328300000005</v>
          </cell>
          <cell r="Q36">
            <v>64.484869269879994</v>
          </cell>
          <cell r="R36">
            <v>67.388259493432003</v>
          </cell>
        </row>
        <row r="37">
          <cell r="A37" t="str">
            <v>HQ / consolidation</v>
          </cell>
          <cell r="B37">
            <v>-203</v>
          </cell>
          <cell r="C37">
            <v>31</v>
          </cell>
          <cell r="D37">
            <v>111</v>
          </cell>
          <cell r="E37">
            <v>172</v>
          </cell>
          <cell r="F37">
            <v>52</v>
          </cell>
          <cell r="G37">
            <v>49</v>
          </cell>
          <cell r="H37">
            <v>197</v>
          </cell>
          <cell r="I37">
            <v>449</v>
          </cell>
          <cell r="J37">
            <v>269</v>
          </cell>
          <cell r="K37">
            <v>41</v>
          </cell>
          <cell r="L37">
            <v>55</v>
          </cell>
          <cell r="M37">
            <v>-22</v>
          </cell>
          <cell r="N37">
            <v>196</v>
          </cell>
          <cell r="O37">
            <v>58.900000000000034</v>
          </cell>
          <cell r="P37">
            <v>77.375000000000057</v>
          </cell>
          <cell r="Q37">
            <v>97.576750000000089</v>
          </cell>
          <cell r="R37">
            <v>119.67188750000014</v>
          </cell>
        </row>
        <row r="38">
          <cell r="A38" t="str">
            <v>Total EBITA as reported</v>
          </cell>
          <cell r="B38">
            <v>1399</v>
          </cell>
          <cell r="C38">
            <v>1694</v>
          </cell>
          <cell r="D38">
            <v>1426</v>
          </cell>
          <cell r="E38">
            <v>1543</v>
          </cell>
          <cell r="F38">
            <v>2444</v>
          </cell>
          <cell r="G38">
            <v>2432</v>
          </cell>
          <cell r="H38">
            <v>2852</v>
          </cell>
          <cell r="I38">
            <v>399</v>
          </cell>
          <cell r="J38">
            <v>52</v>
          </cell>
          <cell r="K38">
            <v>2830</v>
          </cell>
          <cell r="L38">
            <v>-322</v>
          </cell>
          <cell r="M38">
            <v>1231</v>
          </cell>
          <cell r="N38">
            <v>1696</v>
          </cell>
          <cell r="O38">
            <v>1638.5003251338644</v>
          </cell>
          <cell r="P38">
            <v>2410.7172807747797</v>
          </cell>
          <cell r="Q38">
            <v>3383.3499958942857</v>
          </cell>
          <cell r="R38">
            <v>4744.8691035573156</v>
          </cell>
        </row>
        <row r="39">
          <cell r="A39" t="str">
            <v>o/w total one-offs</v>
          </cell>
          <cell r="B39">
            <v>0</v>
          </cell>
          <cell r="C39">
            <v>0</v>
          </cell>
          <cell r="D39">
            <v>0</v>
          </cell>
          <cell r="E39">
            <v>0</v>
          </cell>
          <cell r="F39">
            <v>0</v>
          </cell>
          <cell r="G39">
            <v>0</v>
          </cell>
          <cell r="H39">
            <v>0</v>
          </cell>
          <cell r="I39">
            <v>-3157</v>
          </cell>
          <cell r="J39">
            <v>-3562</v>
          </cell>
          <cell r="K39">
            <v>-500</v>
          </cell>
          <cell r="L39">
            <v>-2470</v>
          </cell>
          <cell r="M39">
            <v>-113</v>
          </cell>
          <cell r="N39">
            <v>-98</v>
          </cell>
          <cell r="O39">
            <v>-1140</v>
          </cell>
          <cell r="P39">
            <v>-1050</v>
          </cell>
          <cell r="Q39">
            <v>-900</v>
          </cell>
          <cell r="R39">
            <v>-200</v>
          </cell>
        </row>
        <row r="40">
          <cell r="A40" t="str">
            <v>EADS defined EBITA pre one-offs</v>
          </cell>
          <cell r="B40">
            <v>0</v>
          </cell>
          <cell r="C40">
            <v>0</v>
          </cell>
          <cell r="D40">
            <v>0</v>
          </cell>
          <cell r="E40">
            <v>0</v>
          </cell>
          <cell r="F40">
            <v>0</v>
          </cell>
          <cell r="G40">
            <v>0</v>
          </cell>
          <cell r="H40">
            <v>0</v>
          </cell>
          <cell r="I40">
            <v>3556</v>
          </cell>
          <cell r="J40">
            <v>3614</v>
          </cell>
          <cell r="K40">
            <v>3330</v>
          </cell>
          <cell r="L40">
            <v>2148</v>
          </cell>
          <cell r="M40">
            <v>1344</v>
          </cell>
          <cell r="N40">
            <v>1794</v>
          </cell>
          <cell r="O40">
            <v>2778.5003251338644</v>
          </cell>
          <cell r="P40">
            <v>3460.7172807747797</v>
          </cell>
          <cell r="Q40">
            <v>4283.3499958942857</v>
          </cell>
          <cell r="R40">
            <v>4944.8691035573156</v>
          </cell>
        </row>
        <row r="41">
          <cell r="A41">
            <v>0</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row>
        <row r="42">
          <cell r="A42" t="str">
            <v>Divisional EBITA margin</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A43" t="str">
            <v>Airbus Commercial</v>
          </cell>
          <cell r="B43">
            <v>9.5045772751750135E-2</v>
          </cell>
          <cell r="C43">
            <v>8.053919898778529E-2</v>
          </cell>
          <cell r="D43">
            <v>6.9751947519475194E-2</v>
          </cell>
          <cell r="E43">
            <v>7.1031079378412437E-2</v>
          </cell>
          <cell r="F43">
            <v>9.5035601265822792E-2</v>
          </cell>
          <cell r="G43">
            <v>9.4887262658227847E-2</v>
          </cell>
          <cell r="H43">
            <v>0.10401731367509806</v>
          </cell>
          <cell r="I43">
            <v>-2.2707423580786028E-2</v>
          </cell>
          <cell r="J43">
            <v>-3.4938134517766499E-2</v>
          </cell>
          <cell r="K43">
            <v>6.5202345827414132E-2</v>
          </cell>
          <cell r="L43">
            <v>1.4637846037163444E-2</v>
          </cell>
          <cell r="M43">
            <v>1.0515665088714632E-2</v>
          </cell>
          <cell r="N43">
            <v>1.7426746686350653E-2</v>
          </cell>
          <cell r="O43">
            <v>1.6507789335114303E-2</v>
          </cell>
          <cell r="P43">
            <v>3.2066930004769185E-2</v>
          </cell>
          <cell r="Q43">
            <v>4.9194381414223949E-2</v>
          </cell>
          <cell r="R43">
            <v>7.5711421424654757E-2</v>
          </cell>
        </row>
        <row r="44">
          <cell r="A44" t="str">
            <v>Aeronautics</v>
          </cell>
          <cell r="B44">
            <v>6.2925170068027211E-2</v>
          </cell>
          <cell r="C44">
            <v>6.0809476801579464E-2</v>
          </cell>
          <cell r="D44">
            <v>4.6948356807511735E-2</v>
          </cell>
          <cell r="E44">
            <v>5.7060215619247963E-2</v>
          </cell>
          <cell r="F44">
            <v>5.3147574819401446E-2</v>
          </cell>
          <cell r="G44">
            <v>0</v>
          </cell>
          <cell r="H44">
            <v>0</v>
          </cell>
          <cell r="I44">
            <v>0</v>
          </cell>
          <cell r="J44">
            <v>0</v>
          </cell>
          <cell r="K44">
            <v>0</v>
          </cell>
          <cell r="L44">
            <v>0</v>
          </cell>
          <cell r="M44">
            <v>0</v>
          </cell>
          <cell r="N44">
            <v>0</v>
          </cell>
          <cell r="O44">
            <v>0</v>
          </cell>
          <cell r="P44">
            <v>0</v>
          </cell>
          <cell r="Q44">
            <v>0</v>
          </cell>
          <cell r="R44">
            <v>0</v>
          </cell>
        </row>
        <row r="45">
          <cell r="A45" t="str">
            <v>Eurocopter</v>
          </cell>
          <cell r="B45">
            <v>0</v>
          </cell>
          <cell r="C45">
            <v>0</v>
          </cell>
          <cell r="D45">
            <v>0</v>
          </cell>
          <cell r="E45">
            <v>0</v>
          </cell>
          <cell r="F45">
            <v>0</v>
          </cell>
          <cell r="G45">
            <v>7.2146446518305818E-2</v>
          </cell>
          <cell r="H45">
            <v>6.6023045780130796E-2</v>
          </cell>
          <cell r="I45">
            <v>6.7578227714961872E-2</v>
          </cell>
          <cell r="J45">
            <v>5.0575263662511985E-2</v>
          </cell>
          <cell r="K45">
            <v>6.5314311190370039E-2</v>
          </cell>
          <cell r="L45">
            <v>5.7549234135667399E-2</v>
          </cell>
          <cell r="M45">
            <v>3.7888198757763975E-2</v>
          </cell>
          <cell r="N45">
            <v>4.7830101569713755E-2</v>
          </cell>
          <cell r="O45">
            <v>5.2168249885409475E-2</v>
          </cell>
          <cell r="P45">
            <v>5.4941965302558127E-2</v>
          </cell>
          <cell r="Q45">
            <v>6.5863279434352634E-2</v>
          </cell>
          <cell r="R45">
            <v>6.8380199350275908E-2</v>
          </cell>
        </row>
        <row r="46">
          <cell r="A46" t="str">
            <v>Cassidian (Defence &amp; Security)</v>
          </cell>
          <cell r="B46">
            <v>-3.7813681677552426E-2</v>
          </cell>
          <cell r="C46">
            <v>-2.3617339312406577E-2</v>
          </cell>
          <cell r="D46">
            <v>2.5576519916142557E-2</v>
          </cell>
          <cell r="E46">
            <v>3.3107454017424973E-2</v>
          </cell>
          <cell r="F46">
            <v>4.233983286908078E-2</v>
          </cell>
          <cell r="G46">
            <v>4.1968430826369543E-2</v>
          </cell>
          <cell r="H46">
            <v>3.5663591199432222E-2</v>
          </cell>
          <cell r="I46">
            <v>5.9345156889495224E-2</v>
          </cell>
          <cell r="J46">
            <v>6.2214089661482161E-2</v>
          </cell>
          <cell r="K46">
            <v>7.1983062808750886E-2</v>
          </cell>
          <cell r="L46">
            <v>8.3721797501398465E-2</v>
          </cell>
          <cell r="M46">
            <v>7.7026799258385306E-2</v>
          </cell>
          <cell r="N46">
            <v>5.7039462347061864E-2</v>
          </cell>
          <cell r="O46">
            <v>5.8431476851931487E-2</v>
          </cell>
          <cell r="P46">
            <v>6.4345806481381981E-2</v>
          </cell>
          <cell r="Q46">
            <v>6.628990049891352E-2</v>
          </cell>
          <cell r="R46">
            <v>6.8189996783007467E-2</v>
          </cell>
        </row>
        <row r="47">
          <cell r="A47" t="str">
            <v>Astrium (Space)</v>
          </cell>
          <cell r="B47">
            <v>2.6429980276134121E-2</v>
          </cell>
          <cell r="C47">
            <v>-9.1020910209102093E-2</v>
          </cell>
          <cell r="D47">
            <v>-0.12093862815884476</v>
          </cell>
          <cell r="E47">
            <v>-0.16501650165016502</v>
          </cell>
          <cell r="F47">
            <v>3.8580246913580245E-3</v>
          </cell>
          <cell r="G47">
            <v>3.472222222222222E-3</v>
          </cell>
          <cell r="H47">
            <v>2.1497405485544848E-2</v>
          </cell>
          <cell r="I47">
            <v>4.0473225404732256E-2</v>
          </cell>
          <cell r="J47">
            <v>4.9014084507042255E-2</v>
          </cell>
          <cell r="K47">
            <v>5.455817206808114E-2</v>
          </cell>
          <cell r="L47">
            <v>5.4386330485517817E-2</v>
          </cell>
          <cell r="M47">
            <v>5.6566060363781728E-2</v>
          </cell>
          <cell r="N47">
            <v>5.378726833199033E-2</v>
          </cell>
          <cell r="O47">
            <v>5.3999999999999999E-2</v>
          </cell>
          <cell r="P47">
            <v>0.06</v>
          </cell>
          <cell r="Q47">
            <v>6.3E-2</v>
          </cell>
          <cell r="R47">
            <v>6.7000000000000004E-2</v>
          </cell>
        </row>
        <row r="48">
          <cell r="A48" t="str">
            <v>Airbus Military</v>
          </cell>
          <cell r="B48">
            <v>-0.19936708860759494</v>
          </cell>
          <cell r="C48">
            <v>1.8281535648994515E-3</v>
          </cell>
          <cell r="D48">
            <v>-0.15267175572519084</v>
          </cell>
          <cell r="E48">
            <v>3.2119914346895075E-2</v>
          </cell>
          <cell r="F48">
            <v>1.9938650306748466E-2</v>
          </cell>
          <cell r="G48">
            <v>1.9938650306748466E-2</v>
          </cell>
          <cell r="H48">
            <v>6.2909567496723454E-2</v>
          </cell>
          <cell r="I48">
            <v>3.4090909090909088E-2</v>
          </cell>
          <cell r="J48">
            <v>-0.13596491228070176</v>
          </cell>
          <cell r="K48">
            <v>-5.7992026096411742E-3</v>
          </cell>
          <cell r="L48">
            <v>0</v>
          </cell>
          <cell r="M48">
            <v>0</v>
          </cell>
          <cell r="N48">
            <v>0</v>
          </cell>
          <cell r="O48">
            <v>0</v>
          </cell>
          <cell r="P48">
            <v>0</v>
          </cell>
          <cell r="Q48">
            <v>0</v>
          </cell>
          <cell r="R48">
            <v>0</v>
          </cell>
        </row>
        <row r="49">
          <cell r="A49" t="str">
            <v>Other businesses</v>
          </cell>
          <cell r="B49">
            <v>0</v>
          </cell>
          <cell r="C49">
            <v>0</v>
          </cell>
          <cell r="D49">
            <v>0</v>
          </cell>
          <cell r="E49">
            <v>0</v>
          </cell>
          <cell r="F49">
            <v>0</v>
          </cell>
          <cell r="G49">
            <v>1.7809439002671415E-3</v>
          </cell>
          <cell r="H49">
            <v>-0.14805194805194805</v>
          </cell>
          <cell r="I49">
            <v>-0.22911694510739858</v>
          </cell>
          <cell r="J49">
            <v>7.407407407407407E-2</v>
          </cell>
          <cell r="K49">
            <v>5.2356020942408377E-2</v>
          </cell>
          <cell r="L49">
            <v>1.916058394160584E-2</v>
          </cell>
          <cell r="M49">
            <v>2.1150592216582064E-2</v>
          </cell>
          <cell r="N49">
            <v>4.7124600638977637E-2</v>
          </cell>
          <cell r="O49">
            <v>3.2958625998268064E-2</v>
          </cell>
          <cell r="P49">
            <v>4.1866432842078825E-2</v>
          </cell>
          <cell r="Q49">
            <v>4.6035833458384919E-2</v>
          </cell>
          <cell r="R49">
            <v>4.6656628532882875E-2</v>
          </cell>
        </row>
        <row r="50">
          <cell r="A50" t="str">
            <v>HQ / consolidation</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A51" t="str">
            <v>Total EBITA margin as reported</v>
          </cell>
          <cell r="B51">
            <v>5.779081295439524E-2</v>
          </cell>
          <cell r="C51">
            <v>5.5003571660497436E-2</v>
          </cell>
          <cell r="D51">
            <v>4.7690712685194474E-2</v>
          </cell>
          <cell r="E51">
            <v>5.1206318653967409E-2</v>
          </cell>
          <cell r="F51">
            <v>7.6949718207864989E-2</v>
          </cell>
          <cell r="G51">
            <v>7.6571896350870569E-2</v>
          </cell>
          <cell r="H51">
            <v>8.3377185289130559E-2</v>
          </cell>
          <cell r="I51">
            <v>1.0118172135720443E-2</v>
          </cell>
          <cell r="J51">
            <v>1.3291414257597832E-3</v>
          </cell>
          <cell r="K51">
            <v>6.5410840171038945E-2</v>
          </cell>
          <cell r="L51">
            <v>-7.5194993227780116E-3</v>
          </cell>
          <cell r="M51">
            <v>2.6905927609721981E-2</v>
          </cell>
          <cell r="N51">
            <v>3.4522064810291485E-2</v>
          </cell>
          <cell r="O51">
            <v>3.0563620241587545E-2</v>
          </cell>
          <cell r="P51">
            <v>4.263540832348519E-2</v>
          </cell>
          <cell r="Q51">
            <v>5.6312513821489073E-2</v>
          </cell>
          <cell r="R51">
            <v>7.590261784187069E-2</v>
          </cell>
        </row>
        <row r="52">
          <cell r="A52" t="str">
            <v>EADS defined EBITA margin - pre one-offs</v>
          </cell>
          <cell r="B52">
            <v>0</v>
          </cell>
          <cell r="C52">
            <v>0</v>
          </cell>
          <cell r="D52">
            <v>0</v>
          </cell>
          <cell r="E52">
            <v>0</v>
          </cell>
          <cell r="F52">
            <v>0</v>
          </cell>
          <cell r="G52">
            <v>0</v>
          </cell>
          <cell r="H52">
            <v>0</v>
          </cell>
          <cell r="I52">
            <v>9.0175990262210279E-2</v>
          </cell>
          <cell r="J52">
            <v>9.2375329090304936E-2</v>
          </cell>
          <cell r="K52">
            <v>7.6967525713625334E-2</v>
          </cell>
          <cell r="L52">
            <v>5.0161132128345241E-2</v>
          </cell>
          <cell r="M52">
            <v>2.937576499388005E-2</v>
          </cell>
          <cell r="N52">
            <v>3.6516853932584269E-2</v>
          </cell>
          <cell r="O52">
            <v>5.1828508957775736E-2</v>
          </cell>
          <cell r="P52">
            <v>6.1205474210793108E-2</v>
          </cell>
          <cell r="Q52">
            <v>7.1292123528094109E-2</v>
          </cell>
          <cell r="R52">
            <v>7.9101973448328422E-2</v>
          </cell>
        </row>
        <row r="53">
          <cell r="A53">
            <v>0</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row>
        <row r="54">
          <cell r="A54" t="str">
            <v>Summary of P&amp;L</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row>
        <row r="56">
          <cell r="A56" t="str">
            <v>EADS defined EBITA (pre-one-offs from 2010)</v>
          </cell>
          <cell r="B56">
            <v>0</v>
          </cell>
          <cell r="C56">
            <v>0</v>
          </cell>
          <cell r="D56">
            <v>0</v>
          </cell>
          <cell r="E56">
            <v>0</v>
          </cell>
          <cell r="F56">
            <v>0</v>
          </cell>
          <cell r="G56">
            <v>0</v>
          </cell>
          <cell r="H56">
            <v>0</v>
          </cell>
          <cell r="I56">
            <v>399</v>
          </cell>
          <cell r="J56">
            <v>52</v>
          </cell>
          <cell r="K56">
            <v>2830</v>
          </cell>
          <cell r="L56">
            <v>-322</v>
          </cell>
          <cell r="M56">
            <v>1344</v>
          </cell>
          <cell r="N56">
            <v>1794</v>
          </cell>
          <cell r="O56">
            <v>2778.5003251338644</v>
          </cell>
          <cell r="P56">
            <v>3460.7172807747797</v>
          </cell>
          <cell r="Q56">
            <v>4283.3499958942857</v>
          </cell>
          <cell r="R56">
            <v>4944.8691035573156</v>
          </cell>
        </row>
        <row r="57">
          <cell r="A57" t="str">
            <v>EADS defined finance charge (pre-one-offs from 2010)</v>
          </cell>
          <cell r="B57">
            <v>0</v>
          </cell>
          <cell r="C57">
            <v>0</v>
          </cell>
          <cell r="D57">
            <v>0</v>
          </cell>
          <cell r="E57">
            <v>0</v>
          </cell>
          <cell r="F57">
            <v>0</v>
          </cell>
          <cell r="G57">
            <v>0</v>
          </cell>
          <cell r="H57">
            <v>0</v>
          </cell>
          <cell r="I57">
            <v>-244</v>
          </cell>
          <cell r="J57">
            <v>-737</v>
          </cell>
          <cell r="K57">
            <v>-472</v>
          </cell>
          <cell r="L57">
            <v>-592</v>
          </cell>
          <cell r="M57">
            <v>-412</v>
          </cell>
          <cell r="N57">
            <v>-279</v>
          </cell>
          <cell r="O57">
            <v>-362.81382943848172</v>
          </cell>
          <cell r="P57">
            <v>-313.76691556310402</v>
          </cell>
          <cell r="Q57">
            <v>-258.78876094624781</v>
          </cell>
          <cell r="R57">
            <v>-191.88956503166111</v>
          </cell>
        </row>
        <row r="58">
          <cell r="A58" t="str">
            <v>EADS defined PTP (pre-one-offs from 2010)</v>
          </cell>
          <cell r="B58">
            <v>0</v>
          </cell>
          <cell r="C58">
            <v>0</v>
          </cell>
          <cell r="D58">
            <v>0</v>
          </cell>
          <cell r="E58">
            <v>0</v>
          </cell>
          <cell r="F58">
            <v>0</v>
          </cell>
          <cell r="G58">
            <v>0</v>
          </cell>
          <cell r="H58">
            <v>0</v>
          </cell>
          <cell r="I58">
            <v>34</v>
          </cell>
          <cell r="J58">
            <v>-770</v>
          </cell>
          <cell r="K58">
            <v>2300</v>
          </cell>
          <cell r="L58">
            <v>-972</v>
          </cell>
          <cell r="M58">
            <v>932</v>
          </cell>
          <cell r="N58">
            <v>1515</v>
          </cell>
          <cell r="O58">
            <v>2415.6864956953827</v>
          </cell>
          <cell r="P58">
            <v>3146.9503652116755</v>
          </cell>
          <cell r="Q58">
            <v>4024.561234948038</v>
          </cell>
          <cell r="R58">
            <v>4752.9795385256548</v>
          </cell>
        </row>
        <row r="59">
          <cell r="A59" t="str">
            <v>EADS defined tax charge (pre-one-offs from 2010)</v>
          </cell>
          <cell r="B59">
            <v>0</v>
          </cell>
          <cell r="C59">
            <v>0</v>
          </cell>
          <cell r="D59">
            <v>0</v>
          </cell>
          <cell r="E59">
            <v>0</v>
          </cell>
          <cell r="F59">
            <v>0</v>
          </cell>
          <cell r="G59">
            <v>0</v>
          </cell>
          <cell r="H59">
            <v>0</v>
          </cell>
          <cell r="I59">
            <v>81</v>
          </cell>
          <cell r="J59">
            <v>333</v>
          </cell>
          <cell r="K59">
            <v>-703</v>
          </cell>
          <cell r="L59">
            <v>220</v>
          </cell>
          <cell r="M59">
            <v>-277</v>
          </cell>
          <cell r="N59">
            <v>-384</v>
          </cell>
          <cell r="O59">
            <v>-736.78438118709164</v>
          </cell>
          <cell r="P59">
            <v>-959.81986138956108</v>
          </cell>
          <cell r="Q59">
            <v>-1227.4911766591515</v>
          </cell>
          <cell r="R59">
            <v>-1449.6587592503247</v>
          </cell>
        </row>
        <row r="60">
          <cell r="A60" t="str">
            <v>Underlying tax rate</v>
          </cell>
          <cell r="B60">
            <v>0</v>
          </cell>
          <cell r="C60">
            <v>0</v>
          </cell>
          <cell r="D60">
            <v>0</v>
          </cell>
          <cell r="E60">
            <v>0</v>
          </cell>
          <cell r="F60">
            <v>0</v>
          </cell>
          <cell r="G60">
            <v>0</v>
          </cell>
          <cell r="H60">
            <v>0</v>
          </cell>
          <cell r="I60">
            <v>2.3823529411764706</v>
          </cell>
          <cell r="J60">
            <v>-0.43246753246753245</v>
          </cell>
          <cell r="K60">
            <v>-0.3056521739130435</v>
          </cell>
          <cell r="L60">
            <v>-0.22633744855967078</v>
          </cell>
          <cell r="M60">
            <v>-0.29721030042918456</v>
          </cell>
          <cell r="N60">
            <v>-0.25346534653465347</v>
          </cell>
          <cell r="O60">
            <v>-0.30499999999999994</v>
          </cell>
          <cell r="P60">
            <v>-0.30499999999999999</v>
          </cell>
          <cell r="Q60">
            <v>-0.30499999999999999</v>
          </cell>
          <cell r="R60">
            <v>-0.30499999999999999</v>
          </cell>
        </row>
        <row r="61">
          <cell r="A61" t="str">
            <v>Minorities</v>
          </cell>
          <cell r="B61">
            <v>0</v>
          </cell>
          <cell r="C61">
            <v>0</v>
          </cell>
          <cell r="D61">
            <v>0</v>
          </cell>
          <cell r="E61">
            <v>0</v>
          </cell>
          <cell r="F61">
            <v>0</v>
          </cell>
          <cell r="G61">
            <v>0</v>
          </cell>
          <cell r="H61">
            <v>0</v>
          </cell>
          <cell r="I61">
            <v>-16</v>
          </cell>
          <cell r="J61">
            <v>-9</v>
          </cell>
          <cell r="K61">
            <v>-25</v>
          </cell>
          <cell r="L61">
            <v>-11</v>
          </cell>
          <cell r="M61">
            <v>-19</v>
          </cell>
          <cell r="N61">
            <v>-4</v>
          </cell>
          <cell r="O61">
            <v>-10</v>
          </cell>
          <cell r="P61">
            <v>-10.700000000000001</v>
          </cell>
          <cell r="Q61">
            <v>-11.449000000000002</v>
          </cell>
          <cell r="R61">
            <v>-12.250430000000003</v>
          </cell>
        </row>
        <row r="62">
          <cell r="A62" t="str">
            <v>EADS defined Net Income (pre-one-offs from 2010)</v>
          </cell>
          <cell r="B62">
            <v>0</v>
          </cell>
          <cell r="C62">
            <v>0</v>
          </cell>
          <cell r="D62">
            <v>0</v>
          </cell>
          <cell r="E62">
            <v>0</v>
          </cell>
          <cell r="F62">
            <v>0</v>
          </cell>
          <cell r="G62">
            <v>0</v>
          </cell>
          <cell r="H62">
            <v>0</v>
          </cell>
          <cell r="I62">
            <v>99</v>
          </cell>
          <cell r="J62">
            <v>-446</v>
          </cell>
          <cell r="K62">
            <v>1572</v>
          </cell>
          <cell r="L62">
            <v>-763</v>
          </cell>
          <cell r="M62">
            <v>636</v>
          </cell>
          <cell r="N62">
            <v>1127</v>
          </cell>
          <cell r="O62">
            <v>1668.9021145082911</v>
          </cell>
          <cell r="P62">
            <v>2176.4305038221146</v>
          </cell>
          <cell r="Q62">
            <v>2785.6210582888866</v>
          </cell>
          <cell r="R62">
            <v>3291.07034927533</v>
          </cell>
        </row>
        <row r="63">
          <cell r="A63" t="str">
            <v>Avg. no. of shares</v>
          </cell>
          <cell r="B63">
            <v>0</v>
          </cell>
          <cell r="C63">
            <v>0</v>
          </cell>
          <cell r="D63">
            <v>0</v>
          </cell>
          <cell r="E63">
            <v>0</v>
          </cell>
          <cell r="F63">
            <v>0</v>
          </cell>
          <cell r="G63">
            <v>0</v>
          </cell>
          <cell r="H63">
            <v>0</v>
          </cell>
          <cell r="I63">
            <v>800.18516399999999</v>
          </cell>
          <cell r="J63">
            <v>803.12822100000005</v>
          </cell>
          <cell r="K63">
            <v>806.97880099999998</v>
          </cell>
          <cell r="L63">
            <v>809.69863099999998</v>
          </cell>
          <cell r="M63">
            <v>810.69333900000004</v>
          </cell>
          <cell r="N63">
            <v>812.50728800000002</v>
          </cell>
          <cell r="O63">
            <v>817</v>
          </cell>
          <cell r="P63">
            <v>818.02697000000001</v>
          </cell>
          <cell r="Q63">
            <v>818.02697000000001</v>
          </cell>
          <cell r="R63">
            <v>818.02697000000001</v>
          </cell>
        </row>
        <row r="64">
          <cell r="A64" t="str">
            <v>EADS defined EPS (pre-one-offs from 2010)</v>
          </cell>
          <cell r="B64">
            <v>0</v>
          </cell>
          <cell r="C64">
            <v>0</v>
          </cell>
          <cell r="D64">
            <v>0</v>
          </cell>
          <cell r="E64">
            <v>0</v>
          </cell>
          <cell r="F64">
            <v>0</v>
          </cell>
          <cell r="G64">
            <v>0</v>
          </cell>
          <cell r="H64">
            <v>0</v>
          </cell>
          <cell r="I64">
            <v>0.12372136407167879</v>
          </cell>
          <cell r="J64">
            <v>-0.55532851210815559</v>
          </cell>
          <cell r="K64">
            <v>1.9480065623186056</v>
          </cell>
          <cell r="L64">
            <v>-0.94232591088572559</v>
          </cell>
          <cell r="M64">
            <v>0.78451366182990179</v>
          </cell>
          <cell r="N64">
            <v>1.3870644813219202</v>
          </cell>
          <cell r="O64">
            <v>2.0427198463993772</v>
          </cell>
          <cell r="P64">
            <v>2.6605852663049907</v>
          </cell>
          <cell r="Q64">
            <v>3.4052924419947752</v>
          </cell>
          <cell r="R64">
            <v>4.0231807384973264</v>
          </cell>
        </row>
        <row r="65">
          <cell r="A65" t="str">
            <v>EPS growth y/y</v>
          </cell>
          <cell r="B65">
            <v>0</v>
          </cell>
          <cell r="C65">
            <v>0</v>
          </cell>
          <cell r="D65">
            <v>0</v>
          </cell>
          <cell r="E65">
            <v>0</v>
          </cell>
          <cell r="F65">
            <v>0</v>
          </cell>
          <cell r="G65">
            <v>0</v>
          </cell>
          <cell r="H65">
            <v>0</v>
          </cell>
          <cell r="I65" t="str">
            <v>n/a</v>
          </cell>
          <cell r="J65" t="str">
            <v>n/a</v>
          </cell>
          <cell r="K65" t="str">
            <v>n/a</v>
          </cell>
          <cell r="L65" t="str">
            <v>n/a</v>
          </cell>
          <cell r="M65" t="str">
            <v>n/a</v>
          </cell>
          <cell r="N65">
            <v>0.7680565027848596</v>
          </cell>
          <cell r="O65">
            <v>0.472692779540137</v>
          </cell>
          <cell r="P65">
            <v>0.30247193270026762</v>
          </cell>
          <cell r="Q65">
            <v>0.27990351789177215</v>
          </cell>
          <cell r="R65">
            <v>0.18144940765809836</v>
          </cell>
        </row>
        <row r="66">
          <cell r="A66">
            <v>0</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row>
        <row r="67">
          <cell r="A67" t="str">
            <v>Net (debt) / Cash</v>
          </cell>
          <cell r="B67">
            <v>2143</v>
          </cell>
          <cell r="C67">
            <v>2577</v>
          </cell>
          <cell r="D67">
            <v>2370</v>
          </cell>
          <cell r="E67">
            <v>3105</v>
          </cell>
          <cell r="F67">
            <v>4058</v>
          </cell>
          <cell r="G67">
            <v>3961</v>
          </cell>
          <cell r="H67">
            <v>5489</v>
          </cell>
          <cell r="I67">
            <v>4229</v>
          </cell>
          <cell r="J67">
            <v>7024</v>
          </cell>
          <cell r="K67">
            <v>9193</v>
          </cell>
          <cell r="L67">
            <v>9797</v>
          </cell>
          <cell r="M67">
            <v>11918</v>
          </cell>
          <cell r="N67">
            <v>11681</v>
          </cell>
          <cell r="O67">
            <v>11537.434570751095</v>
          </cell>
          <cell r="P67">
            <v>12529.274634313588</v>
          </cell>
          <cell r="Q67">
            <v>14509.761005499369</v>
          </cell>
          <cell r="R67">
            <v>16080.056164800524</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GT.L_Live_Sheet"/>
      <sheetName val="MGGT.L_Validation_Sheet"/>
      <sheetName val="MGGT.L_Annotation_Sheet"/>
      <sheetName val="MGGT.L_Exchange_Sheet"/>
      <sheetName val="Sheet5"/>
      <sheetName val="Sheet4"/>
      <sheetName val="MigrationOutput_QP_MGGT.L"/>
      <sheetName val="QP_MGGT.L_migrated"/>
      <sheetName val="_QP_MGGT.L"/>
      <sheetName val="CH Financials"/>
      <sheetName val="Forecasting"/>
      <sheetName val="Use of cash"/>
      <sheetName val="Interims"/>
      <sheetName val="Aircraft Braking Systems"/>
      <sheetName val="Control Systems"/>
      <sheetName val="Polymers &amp; Composites"/>
      <sheetName val="Sensing Systems"/>
      <sheetName val="Equipment Group"/>
      <sheetName val="Old Model ----&gt;"/>
      <sheetName val="Data"/>
      <sheetName val="CROCI"/>
      <sheetName val="SOTP"/>
      <sheetName val="Val"/>
      <sheetName val="Financials"/>
      <sheetName val="InterimsDP"/>
      <sheetName val="Structure - new"/>
      <sheetName val="R4"/>
      <sheetName val="Org sales 09"/>
      <sheetName val="Covenants"/>
      <sheetName val="DCF -old"/>
      <sheetName val="Structure - old"/>
      <sheetName val="Aerospace - old"/>
      <sheetName val="Sensing - old"/>
      <sheetName val="Defence - old"/>
      <sheetName val="Ch1"/>
      <sheetName val="Civil AM"/>
      <sheetName val="R1"/>
      <sheetName val="R1b"/>
      <sheetName val="R5-bridge new"/>
      <sheetName val="R5-bridge"/>
      <sheetName val="R6-bridge (2)"/>
      <sheetName val="2010 AM est"/>
      <sheetName val="Rights - first read"/>
      <sheetName val="Rights issue and restr."/>
      <sheetName val="Debt profile"/>
      <sheetName val="K&amp;F"/>
      <sheetName val="D&amp;M"/>
      <sheetName val="Ch2"/>
      <sheetName val="Z3 ROIC"/>
      <sheetName val="Z2 (GS)"/>
      <sheetName val="Z2 (pres)"/>
      <sheetName val="Old_SOTP"/>
      <sheetName val="Sheet1"/>
      <sheetName val="Sheet2"/>
      <sheetName val="Sheet3"/>
    </sheetNames>
    <sheetDataSet>
      <sheetData sheetId="0">
        <row r="1">
          <cell r="A1" t="str">
            <v>Issuer: Meggitt</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t="str">
            <v>2006 H1</v>
          </cell>
          <cell r="W1" t="str">
            <v>2006 H2</v>
          </cell>
          <cell r="X1">
            <v>2006</v>
          </cell>
          <cell r="Y1" t="str">
            <v>2007 H1</v>
          </cell>
          <cell r="Z1" t="str">
            <v>2007 H2</v>
          </cell>
          <cell r="AA1">
            <v>2007</v>
          </cell>
          <cell r="AB1" t="str">
            <v>2008 H1</v>
          </cell>
          <cell r="AC1" t="str">
            <v>2008 H2</v>
          </cell>
          <cell r="AD1">
            <v>2008</v>
          </cell>
          <cell r="AE1" t="str">
            <v>2009 H1</v>
          </cell>
          <cell r="AF1" t="str">
            <v>2009 H2</v>
          </cell>
          <cell r="AG1">
            <v>2009</v>
          </cell>
          <cell r="AH1" t="str">
            <v>2010 H1</v>
          </cell>
          <cell r="AI1" t="str">
            <v>2010 H2</v>
          </cell>
          <cell r="AJ1">
            <v>2010</v>
          </cell>
          <cell r="AK1" t="str">
            <v>2011 H1</v>
          </cell>
          <cell r="AL1" t="str">
            <v>2011 H2</v>
          </cell>
          <cell r="AM1">
            <v>2011</v>
          </cell>
          <cell r="AN1">
            <v>2012</v>
          </cell>
          <cell r="AO1">
            <v>2013</v>
          </cell>
          <cell r="AP1">
            <v>2014</v>
          </cell>
          <cell r="AQ1">
            <v>2015</v>
          </cell>
          <cell r="AR1">
            <v>2016</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Estimate</v>
          </cell>
          <cell r="AO2" t="str">
            <v>Estimate</v>
          </cell>
          <cell r="AP2" t="str">
            <v>Estimate</v>
          </cell>
          <cell r="AQ2" t="str">
            <v>Estimate</v>
          </cell>
          <cell r="AR2" t="str">
            <v>Estimate</v>
          </cell>
          <cell r="AS2" t="str">
            <v>Estimate</v>
          </cell>
          <cell r="AT2" t="str">
            <v>Estimate</v>
          </cell>
          <cell r="AU2" t="str">
            <v>Estimate</v>
          </cell>
          <cell r="AV2" t="str">
            <v>Estimate</v>
          </cell>
        </row>
        <row r="3">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38717</v>
          </cell>
          <cell r="V3">
            <v>38898</v>
          </cell>
          <cell r="W3">
            <v>39082</v>
          </cell>
          <cell r="X3">
            <v>39082</v>
          </cell>
          <cell r="Y3">
            <v>39263</v>
          </cell>
          <cell r="Z3">
            <v>39447</v>
          </cell>
          <cell r="AA3">
            <v>39447</v>
          </cell>
          <cell r="AB3">
            <v>39629</v>
          </cell>
          <cell r="AC3">
            <v>39813</v>
          </cell>
          <cell r="AD3">
            <v>39813</v>
          </cell>
          <cell r="AE3">
            <v>39994</v>
          </cell>
          <cell r="AF3">
            <v>40178</v>
          </cell>
          <cell r="AG3">
            <v>40178</v>
          </cell>
          <cell r="AH3">
            <v>40359</v>
          </cell>
          <cell r="AI3">
            <v>40543</v>
          </cell>
          <cell r="AJ3">
            <v>40543</v>
          </cell>
          <cell r="AK3">
            <v>40724</v>
          </cell>
          <cell r="AL3">
            <v>40908</v>
          </cell>
          <cell r="AM3">
            <v>40908</v>
          </cell>
          <cell r="AN3">
            <v>41274</v>
          </cell>
          <cell r="AO3">
            <v>41639</v>
          </cell>
          <cell r="AP3">
            <v>42004</v>
          </cell>
          <cell r="AQ3">
            <v>42369</v>
          </cell>
          <cell r="AR3">
            <v>42735</v>
          </cell>
          <cell r="AS3">
            <v>43100</v>
          </cell>
          <cell r="AT3">
            <v>43465</v>
          </cell>
          <cell r="AU3">
            <v>43830</v>
          </cell>
          <cell r="AV3">
            <v>44196</v>
          </cell>
        </row>
        <row r="4">
          <cell r="A4" t="str">
            <v>Issuer: Meggitt</v>
          </cell>
          <cell r="B4" t="str">
            <v>161MO</v>
          </cell>
        </row>
        <row r="5">
          <cell r="A5" t="str">
            <v>Reference Data</v>
          </cell>
        </row>
        <row r="6">
          <cell r="B6" t="str">
            <v>Issuer Name</v>
          </cell>
          <cell r="C6" t="str">
            <v>Issuer Name</v>
          </cell>
          <cell r="E6" t="str">
            <v>Meggitt</v>
          </cell>
        </row>
        <row r="7">
          <cell r="B7" t="str">
            <v>Reporting Currency</v>
          </cell>
          <cell r="C7" t="str">
            <v>CURRENCY_ISO</v>
          </cell>
          <cell r="E7" t="str">
            <v>GBP</v>
          </cell>
        </row>
        <row r="8">
          <cell r="A8" t="str">
            <v>Income Statement</v>
          </cell>
        </row>
        <row r="9">
          <cell r="B9" t="str">
            <v>Sales, net revenue</v>
          </cell>
          <cell r="C9" t="str">
            <v>SALES</v>
          </cell>
          <cell r="D9" t="str">
            <v>GBP</v>
          </cell>
          <cell r="F9">
            <v>304.94299999999998</v>
          </cell>
          <cell r="G9">
            <v>301.91899999999998</v>
          </cell>
          <cell r="H9">
            <v>327.60500000000002</v>
          </cell>
          <cell r="I9">
            <v>359.73500000000001</v>
          </cell>
          <cell r="J9">
            <v>345.48099999999999</v>
          </cell>
          <cell r="K9">
            <v>358.15199999999999</v>
          </cell>
          <cell r="L9">
            <v>256.29899999999998</v>
          </cell>
          <cell r="M9">
            <v>265.12599999999998</v>
          </cell>
          <cell r="N9">
            <v>293.90100000000001</v>
          </cell>
          <cell r="O9">
            <v>346.45499999999998</v>
          </cell>
          <cell r="P9">
            <v>386.02300000000002</v>
          </cell>
          <cell r="Q9">
            <v>435.084</v>
          </cell>
          <cell r="R9">
            <v>403.84</v>
          </cell>
          <cell r="S9">
            <v>402.44099999999997</v>
          </cell>
          <cell r="T9">
            <v>479.18299999999999</v>
          </cell>
          <cell r="U9">
            <v>616.29999999999995</v>
          </cell>
          <cell r="X9">
            <v>670.3</v>
          </cell>
          <cell r="AA9">
            <v>878.2</v>
          </cell>
          <cell r="AD9">
            <v>1162.5999999999999</v>
          </cell>
          <cell r="AG9">
            <v>1150.5</v>
          </cell>
          <cell r="AJ9">
            <v>1162</v>
          </cell>
          <cell r="AM9">
            <v>1455.3</v>
          </cell>
          <cell r="AN9">
            <v>1605.8</v>
          </cell>
          <cell r="AO9">
            <v>1702.3833241621601</v>
          </cell>
          <cell r="AP9">
            <v>1752.35910937003</v>
          </cell>
          <cell r="AQ9">
            <v>1919.1679682628301</v>
          </cell>
          <cell r="AR9">
            <v>2095.6480291551702</v>
          </cell>
          <cell r="AS9">
            <v>2274.3369284958599</v>
          </cell>
          <cell r="AT9">
            <v>2468.2827300211402</v>
          </cell>
          <cell r="AU9">
            <v>2682.33466423359</v>
          </cell>
          <cell r="AV9">
            <v>2915.4053933023401</v>
          </cell>
        </row>
        <row r="10">
          <cell r="B10" t="str">
            <v>Cost of goods sold, COGS</v>
          </cell>
          <cell r="C10" t="str">
            <v>COST_GD_SD</v>
          </cell>
          <cell r="D10" t="str">
            <v>GBP</v>
          </cell>
        </row>
        <row r="11">
          <cell r="B11" t="str">
            <v>SG&amp;A, selling, general and admin. expense</v>
          </cell>
          <cell r="C11" t="str">
            <v>SEL_GL_AD</v>
          </cell>
          <cell r="D11" t="str">
            <v>GBP</v>
          </cell>
          <cell r="N11">
            <v>0</v>
          </cell>
          <cell r="O11">
            <v>0</v>
          </cell>
          <cell r="P11">
            <v>0</v>
          </cell>
          <cell r="Q11">
            <v>0</v>
          </cell>
          <cell r="R11">
            <v>0</v>
          </cell>
          <cell r="S11">
            <v>0</v>
          </cell>
          <cell r="T11">
            <v>0</v>
          </cell>
          <cell r="U11">
            <v>0</v>
          </cell>
          <cell r="V11">
            <v>0</v>
          </cell>
          <cell r="W11">
            <v>0</v>
          </cell>
          <cell r="X11">
            <v>0</v>
          </cell>
          <cell r="Y11">
            <v>0</v>
          </cell>
          <cell r="AA11">
            <v>0</v>
          </cell>
        </row>
        <row r="12">
          <cell r="B12" t="str">
            <v>Total operating expense</v>
          </cell>
          <cell r="C12" t="str">
            <v>OP_COST</v>
          </cell>
          <cell r="D12" t="str">
            <v>GBP</v>
          </cell>
          <cell r="F12">
            <v>-276.01100000000002</v>
          </cell>
          <cell r="G12">
            <v>-270.26299999999998</v>
          </cell>
          <cell r="H12">
            <v>-284.24900000000002</v>
          </cell>
          <cell r="I12">
            <v>-312.81</v>
          </cell>
          <cell r="J12">
            <v>-308.18700000000001</v>
          </cell>
          <cell r="K12">
            <v>-318.74</v>
          </cell>
          <cell r="L12">
            <v>-212.18799999999999</v>
          </cell>
          <cell r="M12">
            <v>-212.84</v>
          </cell>
          <cell r="N12">
            <v>-230.13200000000001</v>
          </cell>
          <cell r="O12">
            <v>-258.178</v>
          </cell>
          <cell r="P12">
            <v>-272.55900000000003</v>
          </cell>
          <cell r="Q12">
            <v>-314.20400000000001</v>
          </cell>
          <cell r="R12">
            <v>-291.08199999999999</v>
          </cell>
          <cell r="S12">
            <v>-288.60000000000002</v>
          </cell>
          <cell r="T12">
            <v>-341.88400000000001</v>
          </cell>
          <cell r="U12">
            <v>-432.8</v>
          </cell>
          <cell r="V12">
            <v>0</v>
          </cell>
          <cell r="W12">
            <v>0</v>
          </cell>
          <cell r="X12">
            <v>-464.4</v>
          </cell>
          <cell r="Y12">
            <v>0</v>
          </cell>
          <cell r="AA12">
            <v>-594.20000000000005</v>
          </cell>
          <cell r="AD12">
            <v>-780.3</v>
          </cell>
          <cell r="AG12">
            <v>-769.7</v>
          </cell>
          <cell r="AJ12">
            <v>-755.4</v>
          </cell>
          <cell r="AM12">
            <v>-967.4</v>
          </cell>
          <cell r="AN12">
            <v>-1082.5999999999999</v>
          </cell>
          <cell r="AO12">
            <v>-1153.6796341670199</v>
          </cell>
          <cell r="AP12">
            <v>-1175.5437068439201</v>
          </cell>
          <cell r="AQ12">
            <v>-1299.4428130205399</v>
          </cell>
          <cell r="AR12">
            <v>-1430.0687976996101</v>
          </cell>
          <cell r="AS12">
            <v>-1563.687263628</v>
          </cell>
          <cell r="AT12">
            <v>-1708.6757989343901</v>
          </cell>
          <cell r="AU12">
            <v>-1868.41328444121</v>
          </cell>
          <cell r="AV12">
            <v>-2042.1696199176399</v>
          </cell>
        </row>
        <row r="13">
          <cell r="B13" t="str">
            <v>R&amp;D expense</v>
          </cell>
          <cell r="C13" t="str">
            <v>RD_EXP</v>
          </cell>
          <cell r="D13" t="str">
            <v>GBP</v>
          </cell>
          <cell r="F13">
            <v>0</v>
          </cell>
          <cell r="G13">
            <v>0</v>
          </cell>
          <cell r="H13">
            <v>-8.3439999999999994</v>
          </cell>
          <cell r="I13">
            <v>-11.034000000000001</v>
          </cell>
          <cell r="J13">
            <v>-10.144</v>
          </cell>
          <cell r="K13">
            <v>-10.144</v>
          </cell>
          <cell r="L13">
            <v>-11.429</v>
          </cell>
          <cell r="M13">
            <v>-12.673</v>
          </cell>
          <cell r="N13">
            <v>-17.634</v>
          </cell>
          <cell r="O13">
            <v>-22.518999999999998</v>
          </cell>
          <cell r="P13">
            <v>-22.95</v>
          </cell>
          <cell r="Q13">
            <v>-25.626999999999999</v>
          </cell>
          <cell r="R13">
            <v>-22.989000000000001</v>
          </cell>
          <cell r="S13">
            <v>-19.988</v>
          </cell>
          <cell r="T13">
            <v>-23.693999999999999</v>
          </cell>
          <cell r="U13">
            <v>-23.8</v>
          </cell>
          <cell r="X13">
            <v>-26</v>
          </cell>
          <cell r="AA13">
            <v>-34.299999999999997</v>
          </cell>
          <cell r="AD13">
            <v>-39.200000000000003</v>
          </cell>
          <cell r="AG13">
            <v>-37.4</v>
          </cell>
          <cell r="AJ13">
            <v>-42.2</v>
          </cell>
          <cell r="AM13">
            <v>-53</v>
          </cell>
          <cell r="AN13">
            <v>-44.9</v>
          </cell>
          <cell r="AO13">
            <v>-47.600579932046998</v>
          </cell>
          <cell r="AP13">
            <v>-48.997959902051001</v>
          </cell>
          <cell r="AQ13">
            <v>-53.662125902977003</v>
          </cell>
          <cell r="AR13">
            <v>-58.59670974534</v>
          </cell>
          <cell r="AS13">
            <v>-63.593055230704003</v>
          </cell>
          <cell r="AT13">
            <v>-69.016001107205</v>
          </cell>
          <cell r="AU13">
            <v>-75.001137392008999</v>
          </cell>
          <cell r="AV13">
            <v>-81.518060878860993</v>
          </cell>
        </row>
        <row r="14">
          <cell r="B14" t="str">
            <v>Other operating income/(expense) (incl. leases)</v>
          </cell>
          <cell r="C14" t="str">
            <v>OTH_OP_INC_EXP</v>
          </cell>
          <cell r="D14" t="str">
            <v>GBP</v>
          </cell>
          <cell r="N14">
            <v>0</v>
          </cell>
          <cell r="O14">
            <v>0</v>
          </cell>
          <cell r="P14">
            <v>0</v>
          </cell>
          <cell r="Q14">
            <v>0</v>
          </cell>
          <cell r="R14">
            <v>0</v>
          </cell>
          <cell r="S14">
            <v>0</v>
          </cell>
          <cell r="T14">
            <v>0</v>
          </cell>
          <cell r="U14">
            <v>0</v>
          </cell>
          <cell r="V14">
            <v>0</v>
          </cell>
          <cell r="W14">
            <v>0</v>
          </cell>
          <cell r="X14">
            <v>0</v>
          </cell>
          <cell r="Y14">
            <v>0</v>
          </cell>
          <cell r="AA14">
            <v>0</v>
          </cell>
        </row>
        <row r="15">
          <cell r="B15" t="str">
            <v>Total operating expense (incl. D&amp;A)</v>
          </cell>
          <cell r="C15" t="str">
            <v>TOT_OPS_EXP_DDA</v>
          </cell>
          <cell r="D15" t="str">
            <v>GBP</v>
          </cell>
          <cell r="F15">
            <v>-276.01100000000002</v>
          </cell>
          <cell r="G15">
            <v>-278.55500000000001</v>
          </cell>
          <cell r="H15">
            <v>-302.32</v>
          </cell>
          <cell r="I15">
            <v>-333.06599999999997</v>
          </cell>
          <cell r="J15">
            <v>-327.33600000000001</v>
          </cell>
          <cell r="K15">
            <v>-337.34</v>
          </cell>
          <cell r="L15">
            <v>-230.7</v>
          </cell>
          <cell r="M15">
            <v>-232.55600000000001</v>
          </cell>
          <cell r="N15">
            <v>-256.07400000000001</v>
          </cell>
          <cell r="O15">
            <v>-290.43599999999998</v>
          </cell>
          <cell r="P15">
            <v>-305.42899999999997</v>
          </cell>
          <cell r="Q15">
            <v>-350.601</v>
          </cell>
          <cell r="R15">
            <v>-325.428</v>
          </cell>
          <cell r="S15">
            <v>-318.75</v>
          </cell>
          <cell r="T15">
            <v>-378.56299999999999</v>
          </cell>
          <cell r="U15">
            <v>-485.7</v>
          </cell>
          <cell r="X15">
            <v>-521.1</v>
          </cell>
          <cell r="AA15">
            <v>-661.9</v>
          </cell>
          <cell r="AD15">
            <v>-866.2</v>
          </cell>
          <cell r="AG15">
            <v>-864.3</v>
          </cell>
          <cell r="AJ15">
            <v>-858.3</v>
          </cell>
          <cell r="AM15">
            <v>-1095.8</v>
          </cell>
          <cell r="AN15">
            <v>-1282.2</v>
          </cell>
          <cell r="AO15">
            <v>-1365.2848848226199</v>
          </cell>
          <cell r="AP15">
            <v>-1393.3609183461399</v>
          </cell>
          <cell r="AQ15">
            <v>-1537.9942680368899</v>
          </cell>
          <cell r="AR15">
            <v>-1690.5566209773399</v>
          </cell>
          <cell r="AS15">
            <v>-1846.3860124932201</v>
          </cell>
          <cell r="AT15">
            <v>-2015.4818973976001</v>
          </cell>
          <cell r="AU15">
            <v>-2201.8259130257302</v>
          </cell>
          <cell r="AV15">
            <v>-2404.55280369093</v>
          </cell>
        </row>
        <row r="16">
          <cell r="B16" t="str">
            <v>Total operating expense (excl. D&amp;A)</v>
          </cell>
          <cell r="C16" t="str">
            <v>TOT_OPS_EXP</v>
          </cell>
          <cell r="D16" t="str">
            <v>GBP</v>
          </cell>
          <cell r="F16">
            <v>-276.01100000000002</v>
          </cell>
          <cell r="G16">
            <v>-270.26299999999998</v>
          </cell>
          <cell r="H16">
            <v>-292.59300000000002</v>
          </cell>
          <cell r="I16">
            <v>-323.84399999999999</v>
          </cell>
          <cell r="J16">
            <v>-318.33100000000002</v>
          </cell>
          <cell r="K16">
            <v>-328.88400000000001</v>
          </cell>
          <cell r="L16">
            <v>-223.61699999999999</v>
          </cell>
          <cell r="M16">
            <v>-225.51300000000001</v>
          </cell>
          <cell r="N16">
            <v>-247.76599999999999</v>
          </cell>
          <cell r="O16">
            <v>-280.697</v>
          </cell>
          <cell r="P16">
            <v>-295.50900000000001</v>
          </cell>
          <cell r="Q16">
            <v>-339.83100000000002</v>
          </cell>
          <cell r="R16">
            <v>-314.07100000000003</v>
          </cell>
          <cell r="S16">
            <v>-308.58800000000002</v>
          </cell>
          <cell r="T16">
            <v>-365.57799999999997</v>
          </cell>
          <cell r="U16">
            <v>-456.6</v>
          </cell>
          <cell r="X16">
            <v>-490.4</v>
          </cell>
          <cell r="AA16">
            <v>-628.5</v>
          </cell>
          <cell r="AD16">
            <v>-819.5</v>
          </cell>
          <cell r="AG16">
            <v>-807.1</v>
          </cell>
          <cell r="AJ16">
            <v>-797.6</v>
          </cell>
          <cell r="AM16">
            <v>-1020.4</v>
          </cell>
          <cell r="AN16">
            <v>-1127.5</v>
          </cell>
          <cell r="AO16">
            <v>-1201.28021409906</v>
          </cell>
          <cell r="AP16">
            <v>-1224.5416667459699</v>
          </cell>
          <cell r="AQ16">
            <v>-1353.10493892352</v>
          </cell>
          <cell r="AR16">
            <v>-1488.66550744495</v>
          </cell>
          <cell r="AS16">
            <v>-1627.2803188587</v>
          </cell>
          <cell r="AT16">
            <v>-1777.6918000415999</v>
          </cell>
          <cell r="AU16">
            <v>-1943.4144218332201</v>
          </cell>
          <cell r="AV16">
            <v>-2123.6876807965</v>
          </cell>
        </row>
        <row r="17">
          <cell r="B17" t="str">
            <v>EBITDA</v>
          </cell>
          <cell r="C17" t="str">
            <v>EBITDA_CALC</v>
          </cell>
          <cell r="D17" t="str">
            <v>GBP</v>
          </cell>
          <cell r="F17">
            <v>28.931999999999999</v>
          </cell>
          <cell r="G17">
            <v>31.655999999999999</v>
          </cell>
          <cell r="H17">
            <v>35.012</v>
          </cell>
          <cell r="I17">
            <v>35.890999999999998</v>
          </cell>
          <cell r="J17">
            <v>27.15</v>
          </cell>
          <cell r="K17">
            <v>29.268000000000001</v>
          </cell>
          <cell r="L17">
            <v>32.682000000000002</v>
          </cell>
          <cell r="M17">
            <v>39.613</v>
          </cell>
          <cell r="N17">
            <v>46.134999999999998</v>
          </cell>
          <cell r="O17">
            <v>65.757999999999996</v>
          </cell>
          <cell r="P17">
            <v>90.513999999999996</v>
          </cell>
          <cell r="Q17">
            <v>95.253</v>
          </cell>
          <cell r="R17">
            <v>89.769000000000005</v>
          </cell>
          <cell r="S17">
            <v>93.852999999999994</v>
          </cell>
          <cell r="T17">
            <v>113.605</v>
          </cell>
          <cell r="U17">
            <v>159.69999999999999</v>
          </cell>
          <cell r="X17">
            <v>179.9</v>
          </cell>
          <cell r="AA17">
            <v>249.7</v>
          </cell>
          <cell r="AD17">
            <v>343.1</v>
          </cell>
          <cell r="AG17">
            <v>343.4</v>
          </cell>
          <cell r="AJ17">
            <v>364.4</v>
          </cell>
          <cell r="AM17">
            <v>434.9</v>
          </cell>
          <cell r="AN17">
            <v>478.3</v>
          </cell>
          <cell r="AO17">
            <v>501.10311006309701</v>
          </cell>
          <cell r="AP17">
            <v>527.81744262405698</v>
          </cell>
          <cell r="AQ17">
            <v>566.06302933931102</v>
          </cell>
          <cell r="AR17">
            <v>606.98252171022295</v>
          </cell>
          <cell r="AS17">
            <v>647.05660963715502</v>
          </cell>
          <cell r="AT17">
            <v>690.59092997954394</v>
          </cell>
          <cell r="AU17">
            <v>738.92024240036994</v>
          </cell>
          <cell r="AV17">
            <v>791.71771250583504</v>
          </cell>
        </row>
        <row r="18">
          <cell r="B18" t="str">
            <v>Depreciation</v>
          </cell>
          <cell r="C18" t="str">
            <v>DEPREC</v>
          </cell>
          <cell r="D18" t="str">
            <v>GBP</v>
          </cell>
          <cell r="F18">
            <v>0</v>
          </cell>
          <cell r="G18">
            <v>-8.2919999999999998</v>
          </cell>
          <cell r="H18">
            <v>-9.7270000000000003</v>
          </cell>
          <cell r="I18">
            <v>-9.2219999999999995</v>
          </cell>
          <cell r="J18">
            <v>-9.0050000000000008</v>
          </cell>
          <cell r="K18">
            <v>-8.4559999999999995</v>
          </cell>
          <cell r="L18">
            <v>-7.0830000000000002</v>
          </cell>
          <cell r="M18">
            <v>-7.0430000000000001</v>
          </cell>
          <cell r="N18">
            <v>-8.3079999999999998</v>
          </cell>
          <cell r="O18">
            <v>-9.7390000000000008</v>
          </cell>
          <cell r="P18">
            <v>-9.92</v>
          </cell>
          <cell r="Q18">
            <v>-10.77</v>
          </cell>
          <cell r="R18">
            <v>-11.356999999999999</v>
          </cell>
          <cell r="S18">
            <v>-10.162000000000001</v>
          </cell>
          <cell r="T18">
            <v>-12.984999999999999</v>
          </cell>
          <cell r="U18">
            <v>-15.5</v>
          </cell>
          <cell r="V18">
            <v>0</v>
          </cell>
          <cell r="W18">
            <v>0</v>
          </cell>
          <cell r="X18">
            <v>-14.7</v>
          </cell>
          <cell r="Y18">
            <v>0</v>
          </cell>
          <cell r="AA18">
            <v>-18.8</v>
          </cell>
          <cell r="AD18">
            <v>-26.3</v>
          </cell>
          <cell r="AG18">
            <v>-29.5</v>
          </cell>
          <cell r="AJ18">
            <v>-28.8</v>
          </cell>
          <cell r="AM18">
            <v>-32.200000000000003</v>
          </cell>
          <cell r="AN18">
            <v>-31.9</v>
          </cell>
          <cell r="AO18">
            <v>-33.818674829227</v>
          </cell>
          <cell r="AP18">
            <v>-34.811468170944998</v>
          </cell>
          <cell r="AQ18">
            <v>-38.125207490088997</v>
          </cell>
          <cell r="AR18">
            <v>-41.631069952703001</v>
          </cell>
          <cell r="AS18">
            <v>-45.180812068138998</v>
          </cell>
          <cell r="AT18">
            <v>-49.033639984851</v>
          </cell>
          <cell r="AU18">
            <v>-53.285886031293998</v>
          </cell>
          <cell r="AV18">
            <v>-57.915949711262002</v>
          </cell>
        </row>
        <row r="19">
          <cell r="B19" t="str">
            <v>Amortization</v>
          </cell>
          <cell r="C19" t="str">
            <v>GOODWILL_AMORT</v>
          </cell>
          <cell r="D19" t="str">
            <v>GBP</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-13.6</v>
          </cell>
          <cell r="V19">
            <v>0</v>
          </cell>
          <cell r="W19">
            <v>0</v>
          </cell>
          <cell r="X19">
            <v>-16</v>
          </cell>
          <cell r="Y19">
            <v>0</v>
          </cell>
          <cell r="AA19">
            <v>-14.6</v>
          </cell>
          <cell r="AD19">
            <v>-20.399999999999999</v>
          </cell>
          <cell r="AG19">
            <v>-27.7</v>
          </cell>
          <cell r="AJ19">
            <v>-31.9</v>
          </cell>
          <cell r="AM19">
            <v>-43.2</v>
          </cell>
          <cell r="AN19">
            <v>-122.8</v>
          </cell>
          <cell r="AO19">
            <v>-130.18599589432901</v>
          </cell>
          <cell r="AP19">
            <v>-134.00778342921899</v>
          </cell>
          <cell r="AQ19">
            <v>-146.76412162328799</v>
          </cell>
          <cell r="AR19">
            <v>-160.26004357968301</v>
          </cell>
          <cell r="AS19">
            <v>-173.92488156637901</v>
          </cell>
          <cell r="AT19">
            <v>-188.75645737115201</v>
          </cell>
          <cell r="AU19">
            <v>-205.125605161219</v>
          </cell>
          <cell r="AV19">
            <v>-222.94917318316499</v>
          </cell>
        </row>
        <row r="20">
          <cell r="B20" t="str">
            <v>EBIT, operating profit</v>
          </cell>
          <cell r="C20" t="str">
            <v>EBIT</v>
          </cell>
          <cell r="D20" t="str">
            <v>GBP</v>
          </cell>
          <cell r="F20">
            <v>28.931999999999999</v>
          </cell>
          <cell r="G20">
            <v>23.364000000000001</v>
          </cell>
          <cell r="H20">
            <v>25.285</v>
          </cell>
          <cell r="I20">
            <v>26.669</v>
          </cell>
          <cell r="J20">
            <v>18.145</v>
          </cell>
          <cell r="K20">
            <v>20.812000000000001</v>
          </cell>
          <cell r="L20">
            <v>25.599</v>
          </cell>
          <cell r="M20">
            <v>32.57</v>
          </cell>
          <cell r="N20">
            <v>37.826999999999998</v>
          </cell>
          <cell r="O20">
            <v>56.018999999999998</v>
          </cell>
          <cell r="P20">
            <v>80.593999999999994</v>
          </cell>
          <cell r="Q20">
            <v>84.483000000000004</v>
          </cell>
          <cell r="R20">
            <v>78.412000000000006</v>
          </cell>
          <cell r="S20">
            <v>83.691000000000003</v>
          </cell>
          <cell r="T20">
            <v>100.62</v>
          </cell>
          <cell r="U20">
            <v>130.6</v>
          </cell>
          <cell r="X20">
            <v>149.19999999999999</v>
          </cell>
          <cell r="AA20">
            <v>216.3</v>
          </cell>
          <cell r="AD20">
            <v>296.39999999999998</v>
          </cell>
          <cell r="AG20">
            <v>286.2</v>
          </cell>
          <cell r="AJ20">
            <v>303.7</v>
          </cell>
          <cell r="AM20">
            <v>359.5</v>
          </cell>
          <cell r="AN20">
            <v>323.60000000000002</v>
          </cell>
          <cell r="AO20">
            <v>337.09843933954102</v>
          </cell>
          <cell r="AP20">
            <v>358.99819102389301</v>
          </cell>
          <cell r="AQ20">
            <v>381.173700225934</v>
          </cell>
          <cell r="AR20">
            <v>405.09140817783702</v>
          </cell>
          <cell r="AS20">
            <v>427.95091600263697</v>
          </cell>
          <cell r="AT20">
            <v>452.80083262353997</v>
          </cell>
          <cell r="AU20">
            <v>480.50875120785798</v>
          </cell>
          <cell r="AV20">
            <v>510.85258961140801</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cell r="F23">
            <v>-5.8860000000000001</v>
          </cell>
          <cell r="G23">
            <v>-2.609</v>
          </cell>
          <cell r="H23">
            <v>0.92900000000000005</v>
          </cell>
          <cell r="I23">
            <v>-3.2389999999999999</v>
          </cell>
          <cell r="J23">
            <v>-3.4060000000000001</v>
          </cell>
          <cell r="K23">
            <v>-2.4660000000000002</v>
          </cell>
          <cell r="L23">
            <v>-1.909</v>
          </cell>
          <cell r="M23">
            <v>-1.3240000000000001</v>
          </cell>
          <cell r="N23">
            <v>-1.6240000000000001</v>
          </cell>
          <cell r="O23">
            <v>-6.8979999999999997</v>
          </cell>
          <cell r="P23">
            <v>-14.468</v>
          </cell>
          <cell r="Q23">
            <v>-12.045</v>
          </cell>
          <cell r="R23">
            <v>-8.1</v>
          </cell>
          <cell r="S23">
            <v>-8.1739999999999995</v>
          </cell>
          <cell r="T23">
            <v>-11.151</v>
          </cell>
          <cell r="U23">
            <v>-14.3</v>
          </cell>
          <cell r="X23">
            <v>-16.5</v>
          </cell>
          <cell r="AA23">
            <v>-37.299999999999997</v>
          </cell>
          <cell r="AD23">
            <v>-53.1</v>
          </cell>
          <cell r="AG23">
            <v>-52</v>
          </cell>
          <cell r="AJ23">
            <v>-47.6</v>
          </cell>
          <cell r="AM23">
            <v>-36.5</v>
          </cell>
          <cell r="AN23">
            <v>-31.5</v>
          </cell>
          <cell r="AO23">
            <v>-26.318239349666001</v>
          </cell>
          <cell r="AP23">
            <v>-25.041026744410999</v>
          </cell>
          <cell r="AQ23">
            <v>-24.238312101139002</v>
          </cell>
          <cell r="AR23">
            <v>-24.678277837947</v>
          </cell>
          <cell r="AS23">
            <v>-25.003379959568001</v>
          </cell>
          <cell r="AT23">
            <v>-24.766738388577</v>
          </cell>
          <cell r="AU23">
            <v>-24.736499715707001</v>
          </cell>
          <cell r="AV23">
            <v>-24.878062893913999</v>
          </cell>
        </row>
        <row r="24">
          <cell r="B24" t="str">
            <v>Income/(loss) from unconsolidated subs &amp; associates</v>
          </cell>
          <cell r="C24" t="str">
            <v>ASSOCIATE</v>
          </cell>
          <cell r="D24" t="str">
            <v>GBP</v>
          </cell>
          <cell r="N24">
            <v>0</v>
          </cell>
          <cell r="O24">
            <v>0</v>
          </cell>
          <cell r="P24">
            <v>0</v>
          </cell>
          <cell r="Q24">
            <v>0</v>
          </cell>
          <cell r="R24">
            <v>0</v>
          </cell>
          <cell r="S24">
            <v>0</v>
          </cell>
          <cell r="T24">
            <v>0</v>
          </cell>
          <cell r="U24">
            <v>0</v>
          </cell>
          <cell r="V24">
            <v>0</v>
          </cell>
          <cell r="W24">
            <v>0</v>
          </cell>
          <cell r="X24">
            <v>0</v>
          </cell>
          <cell r="Y24">
            <v>0</v>
          </cell>
          <cell r="AA24">
            <v>0</v>
          </cell>
        </row>
        <row r="25">
          <cell r="B25" t="str">
            <v>Profit/(loss) on disposals of assets, pre-tax</v>
          </cell>
          <cell r="C25" t="str">
            <v>PROFIT_ON_DISP</v>
          </cell>
          <cell r="D25" t="str">
            <v>GBP</v>
          </cell>
          <cell r="N25">
            <v>0</v>
          </cell>
          <cell r="S25">
            <v>0</v>
          </cell>
          <cell r="T25">
            <v>0</v>
          </cell>
          <cell r="U25">
            <v>0</v>
          </cell>
          <cell r="V25">
            <v>0</v>
          </cell>
          <cell r="W25">
            <v>0</v>
          </cell>
          <cell r="Y25">
            <v>0</v>
          </cell>
        </row>
        <row r="26">
          <cell r="B26" t="str">
            <v>Other non-ops income/(expense)</v>
          </cell>
          <cell r="C26" t="str">
            <v>OTH_COST_INC</v>
          </cell>
          <cell r="D26" t="str">
            <v>GBP</v>
          </cell>
          <cell r="S26">
            <v>0</v>
          </cell>
          <cell r="T26">
            <v>0</v>
          </cell>
          <cell r="U26">
            <v>0</v>
          </cell>
          <cell r="V26">
            <v>0</v>
          </cell>
          <cell r="W26">
            <v>0</v>
          </cell>
          <cell r="Y26">
            <v>0</v>
          </cell>
        </row>
        <row r="27">
          <cell r="B27" t="str">
            <v>Pre-tax profit</v>
          </cell>
          <cell r="C27" t="str">
            <v>PT_PROF</v>
          </cell>
          <cell r="D27" t="str">
            <v>GBP</v>
          </cell>
          <cell r="F27">
            <v>23.045999999999999</v>
          </cell>
          <cell r="G27">
            <v>20.754999999999999</v>
          </cell>
          <cell r="H27">
            <v>26.213999999999999</v>
          </cell>
          <cell r="I27">
            <v>23.43</v>
          </cell>
          <cell r="J27">
            <v>14.739000000000001</v>
          </cell>
          <cell r="K27">
            <v>18.346</v>
          </cell>
          <cell r="L27">
            <v>23.69</v>
          </cell>
          <cell r="M27">
            <v>31.245999999999999</v>
          </cell>
          <cell r="N27">
            <v>36.203000000000003</v>
          </cell>
          <cell r="O27">
            <v>49.121000000000002</v>
          </cell>
          <cell r="P27">
            <v>66.126000000000005</v>
          </cell>
          <cell r="Q27">
            <v>72.438000000000002</v>
          </cell>
          <cell r="R27">
            <v>70.311999999999998</v>
          </cell>
          <cell r="S27">
            <v>75.516999999999996</v>
          </cell>
          <cell r="T27">
            <v>89.468999999999994</v>
          </cell>
          <cell r="U27">
            <v>116.3</v>
          </cell>
          <cell r="X27">
            <v>132.69999999999999</v>
          </cell>
          <cell r="AA27">
            <v>179</v>
          </cell>
          <cell r="AD27">
            <v>243.3</v>
          </cell>
          <cell r="AG27">
            <v>234.2</v>
          </cell>
          <cell r="AJ27">
            <v>256.10000000000002</v>
          </cell>
          <cell r="AM27">
            <v>323</v>
          </cell>
          <cell r="AN27">
            <v>292.10000000000002</v>
          </cell>
          <cell r="AO27">
            <v>310.78019998987497</v>
          </cell>
          <cell r="AP27">
            <v>333.95716427948099</v>
          </cell>
          <cell r="AQ27">
            <v>356.93538812479602</v>
          </cell>
          <cell r="AR27">
            <v>380.41313033989002</v>
          </cell>
          <cell r="AS27">
            <v>402.94753604306902</v>
          </cell>
          <cell r="AT27">
            <v>428.03409423496299</v>
          </cell>
          <cell r="AU27">
            <v>455.77225149215099</v>
          </cell>
          <cell r="AV27">
            <v>485.97452671749397</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cell r="S30">
            <v>0.12</v>
          </cell>
          <cell r="T30">
            <v>0.29897165788800001</v>
          </cell>
          <cell r="U30">
            <v>4.8294510837000003E-2</v>
          </cell>
          <cell r="X30">
            <v>0.104186272919</v>
          </cell>
          <cell r="AA30">
            <v>0.11</v>
          </cell>
          <cell r="AD30">
            <v>0.1</v>
          </cell>
          <cell r="AG30">
            <v>-0.13</v>
          </cell>
          <cell r="AJ30">
            <v>0.01</v>
          </cell>
          <cell r="AM30">
            <v>0.12</v>
          </cell>
          <cell r="AN30">
            <v>0.06</v>
          </cell>
          <cell r="AO30">
            <v>3.9347071615E-2</v>
          </cell>
          <cell r="AP30">
            <v>4.06864485E-2</v>
          </cell>
          <cell r="AQ30">
            <v>5.7128086316999997E-2</v>
          </cell>
          <cell r="AR30">
            <v>5.7841237934999998E-2</v>
          </cell>
          <cell r="AS30">
            <v>5.2243509665999999E-2</v>
          </cell>
          <cell r="AT30">
            <v>5.3087867463000003E-2</v>
          </cell>
          <cell r="AU30">
            <v>5.5410984933999999E-2</v>
          </cell>
          <cell r="AV30">
            <v>5.6584716035000003E-2</v>
          </cell>
        </row>
        <row r="31">
          <cell r="B31" t="str">
            <v>Lease payments</v>
          </cell>
          <cell r="C31" t="str">
            <v>LEASE_PAY</v>
          </cell>
          <cell r="D31" t="str">
            <v>GBP</v>
          </cell>
          <cell r="N31">
            <v>0</v>
          </cell>
          <cell r="O31">
            <v>0</v>
          </cell>
          <cell r="P31">
            <v>0</v>
          </cell>
          <cell r="Q31">
            <v>0</v>
          </cell>
          <cell r="R31">
            <v>0</v>
          </cell>
          <cell r="S31">
            <v>0</v>
          </cell>
          <cell r="T31">
            <v>0</v>
          </cell>
          <cell r="U31">
            <v>0</v>
          </cell>
          <cell r="V31">
            <v>0</v>
          </cell>
          <cell r="W31">
            <v>0</v>
          </cell>
          <cell r="X31">
            <v>0</v>
          </cell>
          <cell r="Y31">
            <v>0</v>
          </cell>
          <cell r="AA31">
            <v>0</v>
          </cell>
        </row>
        <row r="32">
          <cell r="B32" t="str">
            <v>Lease payments (deemed interest portion)</v>
          </cell>
          <cell r="C32" t="str">
            <v>LEASE_DEEM_INT</v>
          </cell>
          <cell r="D32" t="str">
            <v>GBP</v>
          </cell>
          <cell r="N32">
            <v>0.33333299999999999</v>
          </cell>
          <cell r="O32">
            <v>0.33333299999999999</v>
          </cell>
          <cell r="P32">
            <v>0.33333299999999999</v>
          </cell>
          <cell r="Q32">
            <v>0.33333299999999999</v>
          </cell>
          <cell r="R32">
            <v>0.33333299999999999</v>
          </cell>
          <cell r="S32">
            <v>0.33333299999999999</v>
          </cell>
          <cell r="T32">
            <v>0.33333299999999999</v>
          </cell>
          <cell r="U32">
            <v>0.33333299999999999</v>
          </cell>
          <cell r="V32">
            <v>0.33333299999999999</v>
          </cell>
          <cell r="W32">
            <v>0.33333299999999999</v>
          </cell>
          <cell r="X32">
            <v>0.33333299999999999</v>
          </cell>
          <cell r="Y32">
            <v>0.33333299999999999</v>
          </cell>
          <cell r="AA32">
            <v>0.33333299999999999</v>
          </cell>
        </row>
        <row r="33">
          <cell r="B33" t="str">
            <v>Lease payments (deemed depreciation portion)</v>
          </cell>
          <cell r="C33" t="str">
            <v>LEASE_DEEM_DEPR</v>
          </cell>
          <cell r="D33" t="str">
            <v>GBP</v>
          </cell>
          <cell r="N33">
            <v>0.66666700000000001</v>
          </cell>
          <cell r="O33">
            <v>0.66666700000000001</v>
          </cell>
          <cell r="P33">
            <v>0.66666700000000001</v>
          </cell>
          <cell r="Q33">
            <v>0.66666700000000001</v>
          </cell>
          <cell r="R33">
            <v>0.66666700000000001</v>
          </cell>
          <cell r="S33">
            <v>0.66666700000000001</v>
          </cell>
          <cell r="T33">
            <v>0.66666700000000001</v>
          </cell>
          <cell r="U33">
            <v>0.66666700000000001</v>
          </cell>
          <cell r="V33">
            <v>0.66666700000000001</v>
          </cell>
          <cell r="W33">
            <v>0.66666700000000001</v>
          </cell>
          <cell r="X33">
            <v>0.66666700000000001</v>
          </cell>
          <cell r="Y33">
            <v>0.66666700000000001</v>
          </cell>
          <cell r="AA33">
            <v>0.66666700000000001</v>
          </cell>
        </row>
        <row r="34">
          <cell r="B34" t="str">
            <v>Gross interest charge</v>
          </cell>
          <cell r="C34" t="str">
            <v>NET_INT_CH</v>
          </cell>
          <cell r="D34" t="str">
            <v>GBP</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AA34">
            <v>0</v>
          </cell>
          <cell r="AD34">
            <v>0</v>
          </cell>
          <cell r="AG34">
            <v>0</v>
          </cell>
          <cell r="AJ34">
            <v>0</v>
          </cell>
          <cell r="AM34">
            <v>0</v>
          </cell>
        </row>
        <row r="35">
          <cell r="B35" t="str">
            <v>Income from associates (operating)</v>
          </cell>
          <cell r="C35" t="str">
            <v>ASSOCIATE_OP</v>
          </cell>
          <cell r="D35" t="str">
            <v>GBP</v>
          </cell>
          <cell r="N35">
            <v>0</v>
          </cell>
          <cell r="O35">
            <v>0</v>
          </cell>
          <cell r="P35">
            <v>0</v>
          </cell>
          <cell r="Q35">
            <v>0</v>
          </cell>
          <cell r="R35">
            <v>0</v>
          </cell>
          <cell r="S35">
            <v>0</v>
          </cell>
          <cell r="T35">
            <v>0</v>
          </cell>
          <cell r="U35">
            <v>0</v>
          </cell>
          <cell r="V35">
            <v>0</v>
          </cell>
          <cell r="W35">
            <v>0</v>
          </cell>
          <cell r="X35">
            <v>0</v>
          </cell>
          <cell r="Y35">
            <v>0</v>
          </cell>
          <cell r="AA35">
            <v>0</v>
          </cell>
        </row>
        <row r="36">
          <cell r="B36" t="str">
            <v>Goodwill amortization</v>
          </cell>
          <cell r="C36" t="str">
            <v>GW_AMORT</v>
          </cell>
          <cell r="D36" t="str">
            <v>GBP</v>
          </cell>
          <cell r="F36">
            <v>0</v>
          </cell>
          <cell r="G36">
            <v>0</v>
          </cell>
          <cell r="H36">
            <v>0</v>
          </cell>
          <cell r="I36">
            <v>0</v>
          </cell>
          <cell r="J36">
            <v>0</v>
          </cell>
          <cell r="K36">
            <v>0</v>
          </cell>
          <cell r="L36">
            <v>0</v>
          </cell>
          <cell r="M36">
            <v>0</v>
          </cell>
          <cell r="N36">
            <v>-0.84699999999999998</v>
          </cell>
          <cell r="O36">
            <v>-7.8029999999999999</v>
          </cell>
          <cell r="P36">
            <v>-16.292999999999999</v>
          </cell>
          <cell r="Q36">
            <v>-18.260999999999999</v>
          </cell>
          <cell r="R36">
            <v>-18.111000000000001</v>
          </cell>
          <cell r="S36">
            <v>-20.184999999999999</v>
          </cell>
          <cell r="T36">
            <v>-24.981000000000002</v>
          </cell>
          <cell r="U36">
            <v>0</v>
          </cell>
          <cell r="X36">
            <v>-2.4</v>
          </cell>
          <cell r="AA36">
            <v>-3.2</v>
          </cell>
          <cell r="AD36">
            <v>0</v>
          </cell>
          <cell r="AG36">
            <v>0</v>
          </cell>
          <cell r="AJ36">
            <v>0</v>
          </cell>
          <cell r="AM36">
            <v>0</v>
          </cell>
        </row>
        <row r="37">
          <cell r="B37" t="str">
            <v>Other intangible amortization</v>
          </cell>
          <cell r="C37" t="str">
            <v>OTH_INT_AMORT</v>
          </cell>
          <cell r="D37" t="str">
            <v>GBP</v>
          </cell>
          <cell r="N37">
            <v>0</v>
          </cell>
          <cell r="O37">
            <v>0</v>
          </cell>
          <cell r="P37">
            <v>0</v>
          </cell>
          <cell r="Q37">
            <v>0</v>
          </cell>
          <cell r="R37">
            <v>0</v>
          </cell>
          <cell r="S37">
            <v>0</v>
          </cell>
          <cell r="T37">
            <v>0</v>
          </cell>
          <cell r="U37">
            <v>0</v>
          </cell>
          <cell r="V37">
            <v>0</v>
          </cell>
          <cell r="W37">
            <v>0</v>
          </cell>
          <cell r="X37">
            <v>0</v>
          </cell>
          <cell r="Y37">
            <v>0</v>
          </cell>
          <cell r="AA37">
            <v>0</v>
          </cell>
        </row>
        <row r="38">
          <cell r="A38" t="str">
            <v>Balance Sheet</v>
          </cell>
        </row>
        <row r="39">
          <cell r="B39" t="str">
            <v>Cash &amp; cash equivalents</v>
          </cell>
          <cell r="C39" t="str">
            <v>CASH_EQ</v>
          </cell>
          <cell r="D39" t="str">
            <v>GBP</v>
          </cell>
          <cell r="F39">
            <v>12.923</v>
          </cell>
          <cell r="G39">
            <v>58.2</v>
          </cell>
          <cell r="H39">
            <v>52.08</v>
          </cell>
          <cell r="I39">
            <v>70.212999999999994</v>
          </cell>
          <cell r="J39">
            <v>34.780999999999999</v>
          </cell>
          <cell r="K39">
            <v>51.201999999999998</v>
          </cell>
          <cell r="L39">
            <v>33.948</v>
          </cell>
          <cell r="M39">
            <v>40.335000000000001</v>
          </cell>
          <cell r="N39">
            <v>39.51</v>
          </cell>
          <cell r="O39">
            <v>25.795999999999999</v>
          </cell>
          <cell r="P39">
            <v>30.88</v>
          </cell>
          <cell r="Q39">
            <v>30.797999999999998</v>
          </cell>
          <cell r="R39">
            <v>27.05</v>
          </cell>
          <cell r="S39">
            <v>22.67</v>
          </cell>
          <cell r="T39">
            <v>43.951000000000001</v>
          </cell>
          <cell r="U39">
            <v>45.5</v>
          </cell>
          <cell r="V39">
            <v>0</v>
          </cell>
          <cell r="W39">
            <v>0</v>
          </cell>
          <cell r="X39">
            <v>43.6</v>
          </cell>
          <cell r="Y39">
            <v>0</v>
          </cell>
          <cell r="AA39">
            <v>64.900000000000006</v>
          </cell>
          <cell r="AD39">
            <v>67.3</v>
          </cell>
          <cell r="AG39">
            <v>62.9</v>
          </cell>
          <cell r="AJ39">
            <v>51.9</v>
          </cell>
          <cell r="AM39">
            <v>94.6</v>
          </cell>
          <cell r="AN39">
            <v>104.9</v>
          </cell>
          <cell r="AO39">
            <v>233.11520935050899</v>
          </cell>
          <cell r="AP39">
            <v>333.26256322681797</v>
          </cell>
          <cell r="AQ39">
            <v>322.303381513386</v>
          </cell>
          <cell r="AR39">
            <v>312.36875232117598</v>
          </cell>
          <cell r="AS39">
            <v>303.30231197695002</v>
          </cell>
          <cell r="AT39">
            <v>293.70811156957501</v>
          </cell>
          <cell r="AU39">
            <v>283.969981026504</v>
          </cell>
          <cell r="AV39">
            <v>275.420303547407</v>
          </cell>
        </row>
        <row r="40">
          <cell r="B40" t="str">
            <v>Accounts receivable</v>
          </cell>
          <cell r="C40" t="str">
            <v>DEBTORS</v>
          </cell>
          <cell r="D40" t="str">
            <v>GBP</v>
          </cell>
          <cell r="F40">
            <v>71.183000000000007</v>
          </cell>
          <cell r="G40">
            <v>69.549000000000007</v>
          </cell>
          <cell r="H40">
            <v>89.986000000000004</v>
          </cell>
          <cell r="I40">
            <v>88.61</v>
          </cell>
          <cell r="J40">
            <v>84.805000000000007</v>
          </cell>
          <cell r="K40">
            <v>77.649000000000001</v>
          </cell>
          <cell r="L40">
            <v>58.183</v>
          </cell>
          <cell r="M40">
            <v>68.655000000000001</v>
          </cell>
          <cell r="N40">
            <v>71.417000000000002</v>
          </cell>
          <cell r="O40">
            <v>94.012</v>
          </cell>
          <cell r="P40">
            <v>102.077</v>
          </cell>
          <cell r="Q40">
            <v>108.642</v>
          </cell>
          <cell r="R40">
            <v>117.91500000000001</v>
          </cell>
          <cell r="S40">
            <v>122.29900000000001</v>
          </cell>
          <cell r="T40">
            <v>176.27099999999999</v>
          </cell>
          <cell r="U40">
            <v>206.7</v>
          </cell>
          <cell r="X40">
            <v>223.8</v>
          </cell>
          <cell r="AA40">
            <v>229</v>
          </cell>
          <cell r="AD40">
            <v>306.2</v>
          </cell>
          <cell r="AG40">
            <v>247.5</v>
          </cell>
          <cell r="AJ40">
            <v>327</v>
          </cell>
          <cell r="AM40">
            <v>432.1</v>
          </cell>
          <cell r="AN40">
            <v>403</v>
          </cell>
          <cell r="AO40">
            <v>427.239058187414</v>
          </cell>
          <cell r="AP40">
            <v>439.78124366429302</v>
          </cell>
          <cell r="AQ40">
            <v>481.64447079955198</v>
          </cell>
          <cell r="AR40">
            <v>525.93483357176103</v>
          </cell>
          <cell r="AS40">
            <v>570.77953803950095</v>
          </cell>
          <cell r="AT40">
            <v>619.45319479294994</v>
          </cell>
          <cell r="AU40">
            <v>673.17279218217595</v>
          </cell>
          <cell r="AV40">
            <v>731.66544619556703</v>
          </cell>
        </row>
        <row r="41">
          <cell r="B41" t="str">
            <v>Inventory</v>
          </cell>
          <cell r="C41" t="str">
            <v>STOCKS</v>
          </cell>
          <cell r="D41" t="str">
            <v>GBP</v>
          </cell>
          <cell r="F41">
            <v>58.612000000000002</v>
          </cell>
          <cell r="G41">
            <v>48.761000000000003</v>
          </cell>
          <cell r="H41">
            <v>57.527999999999999</v>
          </cell>
          <cell r="I41">
            <v>51.326999999999998</v>
          </cell>
          <cell r="J41">
            <v>54.652999999999999</v>
          </cell>
          <cell r="K41">
            <v>50.530999999999999</v>
          </cell>
          <cell r="L41">
            <v>40.545000000000002</v>
          </cell>
          <cell r="M41">
            <v>38.375</v>
          </cell>
          <cell r="N41">
            <v>54.680999999999997</v>
          </cell>
          <cell r="O41">
            <v>75.153999999999996</v>
          </cell>
          <cell r="P41">
            <v>79.164000000000001</v>
          </cell>
          <cell r="Q41">
            <v>82.301000000000002</v>
          </cell>
          <cell r="R41">
            <v>75.430999999999997</v>
          </cell>
          <cell r="S41">
            <v>73.539000000000001</v>
          </cell>
          <cell r="T41">
            <v>106.351</v>
          </cell>
          <cell r="U41">
            <v>134.5</v>
          </cell>
          <cell r="V41">
            <v>0</v>
          </cell>
          <cell r="W41">
            <v>0</v>
          </cell>
          <cell r="X41">
            <v>154.4</v>
          </cell>
          <cell r="Y41">
            <v>0</v>
          </cell>
          <cell r="AA41">
            <v>204.6</v>
          </cell>
          <cell r="AD41">
            <v>273.10000000000002</v>
          </cell>
          <cell r="AG41">
            <v>236.5</v>
          </cell>
          <cell r="AJ41">
            <v>239.1</v>
          </cell>
          <cell r="AM41">
            <v>277.5</v>
          </cell>
          <cell r="AN41">
            <v>291.2</v>
          </cell>
          <cell r="AO41">
            <v>308.71467430316397</v>
          </cell>
          <cell r="AP41">
            <v>317.77741477678001</v>
          </cell>
          <cell r="AQ41">
            <v>348.02697244870802</v>
          </cell>
          <cell r="AR41">
            <v>380.030331355079</v>
          </cell>
          <cell r="AS41">
            <v>412.434246841446</v>
          </cell>
          <cell r="AT41">
            <v>447.60488914071198</v>
          </cell>
          <cell r="AU41">
            <v>486.42163048002402</v>
          </cell>
          <cell r="AV41">
            <v>528.68729015421604</v>
          </cell>
        </row>
        <row r="42">
          <cell r="B42" t="str">
            <v>Other current assets</v>
          </cell>
          <cell r="C42" t="str">
            <v>OTH_CUR_ASS</v>
          </cell>
          <cell r="D42" t="str">
            <v>GBP</v>
          </cell>
          <cell r="F42">
            <v>0</v>
          </cell>
          <cell r="G42">
            <v>0</v>
          </cell>
          <cell r="H42">
            <v>0</v>
          </cell>
          <cell r="I42">
            <v>0</v>
          </cell>
          <cell r="J42">
            <v>0</v>
          </cell>
          <cell r="K42">
            <v>3.97</v>
          </cell>
          <cell r="L42">
            <v>1.1919999999999999</v>
          </cell>
          <cell r="M42">
            <v>0</v>
          </cell>
          <cell r="N42">
            <v>0</v>
          </cell>
          <cell r="O42">
            <v>0</v>
          </cell>
          <cell r="P42">
            <v>0</v>
          </cell>
          <cell r="Q42">
            <v>0</v>
          </cell>
          <cell r="R42">
            <v>0</v>
          </cell>
          <cell r="S42">
            <v>0</v>
          </cell>
          <cell r="T42">
            <v>0</v>
          </cell>
          <cell r="U42">
            <v>1.6</v>
          </cell>
          <cell r="V42">
            <v>0</v>
          </cell>
          <cell r="W42">
            <v>0</v>
          </cell>
          <cell r="X42">
            <v>8.6</v>
          </cell>
          <cell r="Y42">
            <v>0</v>
          </cell>
          <cell r="AA42">
            <v>25.9</v>
          </cell>
          <cell r="AD42">
            <v>3.3</v>
          </cell>
          <cell r="AG42">
            <v>6.6</v>
          </cell>
          <cell r="AJ42">
            <v>19</v>
          </cell>
          <cell r="AM42">
            <v>6.7</v>
          </cell>
          <cell r="AN42">
            <v>5.2</v>
          </cell>
          <cell r="AO42">
            <v>5.2</v>
          </cell>
          <cell r="AP42">
            <v>5.2</v>
          </cell>
          <cell r="AQ42">
            <v>5.2</v>
          </cell>
          <cell r="AR42">
            <v>5.2</v>
          </cell>
          <cell r="AS42">
            <v>5.2</v>
          </cell>
          <cell r="AT42">
            <v>5.2</v>
          </cell>
          <cell r="AU42">
            <v>5.2</v>
          </cell>
          <cell r="AV42">
            <v>5.2</v>
          </cell>
        </row>
        <row r="43">
          <cell r="B43" t="str">
            <v>Total current assets</v>
          </cell>
          <cell r="C43" t="str">
            <v>CUR_ASS</v>
          </cell>
          <cell r="D43" t="str">
            <v>GBP</v>
          </cell>
          <cell r="F43">
            <v>142.71799999999999</v>
          </cell>
          <cell r="G43">
            <v>176.51</v>
          </cell>
          <cell r="H43">
            <v>199.59399999999999</v>
          </cell>
          <cell r="I43">
            <v>210.15</v>
          </cell>
          <cell r="J43">
            <v>174.239</v>
          </cell>
          <cell r="K43">
            <v>183.352</v>
          </cell>
          <cell r="L43">
            <v>133.86799999999999</v>
          </cell>
          <cell r="M43">
            <v>147.36500000000001</v>
          </cell>
          <cell r="N43">
            <v>165.608</v>
          </cell>
          <cell r="O43">
            <v>194.96199999999999</v>
          </cell>
          <cell r="P43">
            <v>212.12100000000001</v>
          </cell>
          <cell r="Q43">
            <v>221.74100000000001</v>
          </cell>
          <cell r="R43">
            <v>220.39599999999999</v>
          </cell>
          <cell r="S43">
            <v>218.50800000000001</v>
          </cell>
          <cell r="T43">
            <v>326.57299999999998</v>
          </cell>
          <cell r="U43">
            <v>388.3</v>
          </cell>
          <cell r="V43">
            <v>0</v>
          </cell>
          <cell r="W43">
            <v>0</v>
          </cell>
          <cell r="X43">
            <v>430.4</v>
          </cell>
          <cell r="Y43">
            <v>0</v>
          </cell>
          <cell r="AA43">
            <v>524.4</v>
          </cell>
          <cell r="AD43">
            <v>649.9</v>
          </cell>
          <cell r="AG43">
            <v>553.5</v>
          </cell>
          <cell r="AJ43">
            <v>637</v>
          </cell>
          <cell r="AM43">
            <v>810.9</v>
          </cell>
          <cell r="AN43">
            <v>804.3</v>
          </cell>
          <cell r="AO43">
            <v>974.26894184108801</v>
          </cell>
          <cell r="AP43">
            <v>1096.0212216678899</v>
          </cell>
          <cell r="AQ43">
            <v>1157.1748247616499</v>
          </cell>
          <cell r="AR43">
            <v>1223.5339172480201</v>
          </cell>
          <cell r="AS43">
            <v>1291.7160968579001</v>
          </cell>
          <cell r="AT43">
            <v>1365.96619550324</v>
          </cell>
          <cell r="AU43">
            <v>1448.7644036887</v>
          </cell>
          <cell r="AV43">
            <v>1540.9730398971899</v>
          </cell>
        </row>
        <row r="44">
          <cell r="B44" t="str">
            <v>Gross fixed assets, PP&amp;E</v>
          </cell>
          <cell r="C44" t="str">
            <v>GR_FIX_ASS</v>
          </cell>
          <cell r="D44" t="str">
            <v>GBP</v>
          </cell>
          <cell r="F44">
            <v>49.808999999999997</v>
          </cell>
          <cell r="G44">
            <v>46.167999999999999</v>
          </cell>
          <cell r="H44">
            <v>52.481000000000002</v>
          </cell>
          <cell r="I44">
            <v>49.122</v>
          </cell>
          <cell r="J44">
            <v>44.774999999999999</v>
          </cell>
          <cell r="K44">
            <v>37.308999999999997</v>
          </cell>
          <cell r="L44">
            <v>34.954000000000001</v>
          </cell>
          <cell r="M44">
            <v>37.905999999999999</v>
          </cell>
          <cell r="N44">
            <v>131.83000000000001</v>
          </cell>
          <cell r="O44">
            <v>147.55799999999999</v>
          </cell>
          <cell r="P44">
            <v>149.74700000000001</v>
          </cell>
          <cell r="Q44">
            <v>150.31399999999999</v>
          </cell>
          <cell r="R44">
            <v>148.63800000000001</v>
          </cell>
          <cell r="S44">
            <v>150.911</v>
          </cell>
          <cell r="T44">
            <v>306.80799999999999</v>
          </cell>
          <cell r="U44">
            <v>327.5</v>
          </cell>
          <cell r="X44">
            <v>327.7</v>
          </cell>
          <cell r="AA44">
            <v>415.8</v>
          </cell>
          <cell r="AD44">
            <v>503.9</v>
          </cell>
          <cell r="AG44">
            <v>474.7</v>
          </cell>
          <cell r="AJ44">
            <v>487.3</v>
          </cell>
          <cell r="AM44">
            <v>537</v>
          </cell>
          <cell r="AN44">
            <v>549.9</v>
          </cell>
          <cell r="AO44">
            <v>586.15562055085195</v>
          </cell>
          <cell r="AP44">
            <v>623.47557431004304</v>
          </cell>
          <cell r="AQ44">
            <v>664.34805270143704</v>
          </cell>
          <cell r="AR44">
            <v>708.97902310323298</v>
          </cell>
          <cell r="AS44">
            <v>757.415527099722</v>
          </cell>
          <cell r="AT44">
            <v>809.98249060420301</v>
          </cell>
          <cell r="AU44">
            <v>867.108113486295</v>
          </cell>
          <cell r="AV44">
            <v>929.19743860553604</v>
          </cell>
        </row>
        <row r="45">
          <cell r="B45" t="str">
            <v>Accumulated depreciation</v>
          </cell>
          <cell r="C45" t="str">
            <v>ACC_DDA</v>
          </cell>
          <cell r="D45" t="str">
            <v>GBP</v>
          </cell>
          <cell r="F45">
            <v>0</v>
          </cell>
          <cell r="G45">
            <v>0</v>
          </cell>
          <cell r="H45">
            <v>0</v>
          </cell>
          <cell r="I45">
            <v>0</v>
          </cell>
          <cell r="J45">
            <v>0</v>
          </cell>
          <cell r="K45">
            <v>0</v>
          </cell>
          <cell r="L45">
            <v>0</v>
          </cell>
          <cell r="M45">
            <v>0</v>
          </cell>
          <cell r="N45">
            <v>-78.23</v>
          </cell>
          <cell r="O45">
            <v>-93.292000000000002</v>
          </cell>
          <cell r="P45">
            <v>-93.507999999999996</v>
          </cell>
          <cell r="Q45">
            <v>-90.894000000000005</v>
          </cell>
          <cell r="R45">
            <v>-92.424000000000007</v>
          </cell>
          <cell r="S45">
            <v>-97.599000000000004</v>
          </cell>
          <cell r="T45">
            <v>-193.75299999999999</v>
          </cell>
          <cell r="U45">
            <v>-210.6</v>
          </cell>
          <cell r="X45">
            <v>-200.1</v>
          </cell>
          <cell r="AA45">
            <v>-220.4</v>
          </cell>
          <cell r="AD45">
            <v>-258.7</v>
          </cell>
          <cell r="AG45">
            <v>-258.8</v>
          </cell>
          <cell r="AJ45">
            <v>-280.2</v>
          </cell>
          <cell r="AM45">
            <v>-307.10000000000002</v>
          </cell>
          <cell r="AN45">
            <v>-317.7</v>
          </cell>
          <cell r="AO45">
            <v>-351.518674829227</v>
          </cell>
          <cell r="AP45">
            <v>-365.05354725549199</v>
          </cell>
          <cell r="AQ45">
            <v>-339.34896751153798</v>
          </cell>
          <cell r="AR45">
            <v>-312.89493108126197</v>
          </cell>
          <cell r="AS45">
            <v>-285.73531761748598</v>
          </cell>
          <cell r="AT45">
            <v>-258.17321292148603</v>
          </cell>
          <cell r="AU45">
            <v>-230.60803512299299</v>
          </cell>
          <cell r="AV45">
            <v>-203.41760185553099</v>
          </cell>
        </row>
        <row r="46">
          <cell r="B46" t="str">
            <v>Net PP&amp;E</v>
          </cell>
          <cell r="C46" t="str">
            <v>NET_FIX_ASS</v>
          </cell>
          <cell r="D46" t="str">
            <v>GBP</v>
          </cell>
          <cell r="F46">
            <v>49.808999999999997</v>
          </cell>
          <cell r="G46">
            <v>46.167999999999999</v>
          </cell>
          <cell r="H46">
            <v>52.481000000000002</v>
          </cell>
          <cell r="I46">
            <v>49.122</v>
          </cell>
          <cell r="J46">
            <v>44.774999999999999</v>
          </cell>
          <cell r="K46">
            <v>37.308999999999997</v>
          </cell>
          <cell r="L46">
            <v>34.954000000000001</v>
          </cell>
          <cell r="M46">
            <v>37.905999999999999</v>
          </cell>
          <cell r="N46">
            <v>53.6</v>
          </cell>
          <cell r="O46">
            <v>54.265999999999998</v>
          </cell>
          <cell r="P46">
            <v>56.238999999999997</v>
          </cell>
          <cell r="Q46">
            <v>59.42</v>
          </cell>
          <cell r="R46">
            <v>56.213999999999999</v>
          </cell>
          <cell r="S46">
            <v>53.311999999999998</v>
          </cell>
          <cell r="T46">
            <v>113.05500000000001</v>
          </cell>
          <cell r="U46">
            <v>116.9</v>
          </cell>
          <cell r="V46">
            <v>0</v>
          </cell>
          <cell r="W46">
            <v>0</v>
          </cell>
          <cell r="X46">
            <v>127.6</v>
          </cell>
          <cell r="Y46">
            <v>0</v>
          </cell>
          <cell r="AA46">
            <v>195.4</v>
          </cell>
          <cell r="AD46">
            <v>245.2</v>
          </cell>
          <cell r="AG46">
            <v>215.9</v>
          </cell>
          <cell r="AJ46">
            <v>207.1</v>
          </cell>
          <cell r="AM46">
            <v>229.9</v>
          </cell>
          <cell r="AN46">
            <v>232.2</v>
          </cell>
          <cell r="AO46">
            <v>234.63694572162501</v>
          </cell>
          <cell r="AP46">
            <v>258.42202705455202</v>
          </cell>
          <cell r="AQ46">
            <v>324.99908518989997</v>
          </cell>
          <cell r="AR46">
            <v>396.084092021971</v>
          </cell>
          <cell r="AS46">
            <v>471.68020948223602</v>
          </cell>
          <cell r="AT46">
            <v>551.80927768271602</v>
          </cell>
          <cell r="AU46">
            <v>636.50007836330303</v>
          </cell>
          <cell r="AV46">
            <v>725.77983675000496</v>
          </cell>
        </row>
        <row r="47">
          <cell r="B47" t="str">
            <v>Gross intangibles</v>
          </cell>
          <cell r="C47" t="str">
            <v>GR_INTANG</v>
          </cell>
          <cell r="D47" t="str">
            <v>GBP</v>
          </cell>
          <cell r="F47">
            <v>0.26600000000000001</v>
          </cell>
          <cell r="G47">
            <v>0.26600000000000001</v>
          </cell>
          <cell r="H47">
            <v>0.39800000000000002</v>
          </cell>
          <cell r="I47">
            <v>0.38400000000000001</v>
          </cell>
          <cell r="J47">
            <v>0.36699999999999999</v>
          </cell>
          <cell r="K47">
            <v>0.46700000000000003</v>
          </cell>
          <cell r="L47">
            <v>0.307</v>
          </cell>
          <cell r="M47">
            <v>7.1999999999999995E-2</v>
          </cell>
          <cell r="N47">
            <v>49.665999999999997</v>
          </cell>
          <cell r="O47">
            <v>287.33800000000002</v>
          </cell>
          <cell r="P47">
            <v>337.411</v>
          </cell>
          <cell r="Q47">
            <v>345.161</v>
          </cell>
          <cell r="R47">
            <v>366.76600000000002</v>
          </cell>
          <cell r="S47">
            <v>392.68299999999999</v>
          </cell>
          <cell r="T47">
            <v>732.86699999999996</v>
          </cell>
          <cell r="U47">
            <v>780.4</v>
          </cell>
          <cell r="V47">
            <v>0</v>
          </cell>
          <cell r="W47">
            <v>0</v>
          </cell>
          <cell r="X47">
            <v>847.7</v>
          </cell>
          <cell r="Y47">
            <v>0</v>
          </cell>
          <cell r="AA47">
            <v>1992.9</v>
          </cell>
          <cell r="AD47">
            <v>2801.2</v>
          </cell>
          <cell r="AG47">
            <v>2627</v>
          </cell>
          <cell r="AJ47">
            <v>2767.4</v>
          </cell>
          <cell r="AM47">
            <v>3301.7</v>
          </cell>
          <cell r="AN47">
            <v>3309.2</v>
          </cell>
          <cell r="AO47">
            <v>3417.5381251764402</v>
          </cell>
          <cell r="AP47">
            <v>3527.9968990789298</v>
          </cell>
          <cell r="AQ47">
            <v>3645.5339608489198</v>
          </cell>
          <cell r="AR47">
            <v>3770.5596936772599</v>
          </cell>
          <cell r="AS47">
            <v>3903.1678263652602</v>
          </cell>
          <cell r="AT47">
            <v>4044.0057630516799</v>
          </cell>
          <cell r="AU47">
            <v>4193.9266778185602</v>
          </cell>
          <cell r="AV47">
            <v>4353.7376051710098</v>
          </cell>
        </row>
        <row r="48">
          <cell r="B48" t="str">
            <v>Accumulated amortization</v>
          </cell>
          <cell r="C48" t="str">
            <v>ACC_AMORT</v>
          </cell>
          <cell r="D48" t="str">
            <v>GBP</v>
          </cell>
          <cell r="F48">
            <v>0</v>
          </cell>
          <cell r="G48">
            <v>0</v>
          </cell>
          <cell r="H48">
            <v>0</v>
          </cell>
          <cell r="I48">
            <v>0</v>
          </cell>
          <cell r="J48">
            <v>0</v>
          </cell>
          <cell r="K48">
            <v>0</v>
          </cell>
          <cell r="L48">
            <v>0</v>
          </cell>
          <cell r="M48">
            <v>0</v>
          </cell>
          <cell r="N48">
            <v>-1.407</v>
          </cell>
          <cell r="O48">
            <v>-9.4410000000000007</v>
          </cell>
          <cell r="P48">
            <v>-26.756</v>
          </cell>
          <cell r="Q48">
            <v>-49.805</v>
          </cell>
          <cell r="R48">
            <v>-59.756999999999998</v>
          </cell>
          <cell r="S48">
            <v>-73.168999999999997</v>
          </cell>
          <cell r="T48">
            <v>-104.03400000000001</v>
          </cell>
          <cell r="U48">
            <v>-29.6</v>
          </cell>
          <cell r="X48">
            <v>-45.3</v>
          </cell>
          <cell r="AA48">
            <v>0</v>
          </cell>
          <cell r="AD48">
            <v>-238.7</v>
          </cell>
          <cell r="AG48">
            <v>-316.7</v>
          </cell>
          <cell r="AJ48">
            <v>-414.7</v>
          </cell>
          <cell r="AM48">
            <v>-508.6</v>
          </cell>
          <cell r="AN48">
            <v>-611</v>
          </cell>
          <cell r="AO48">
            <v>-741.18599589432904</v>
          </cell>
          <cell r="AP48">
            <v>-846.47037506822903</v>
          </cell>
          <cell r="AQ48">
            <v>-907.06428392555802</v>
          </cell>
          <cell r="AR48">
            <v>-975.40943388821995</v>
          </cell>
          <cell r="AS48">
            <v>-1051.67474098651</v>
          </cell>
          <cell r="AT48">
            <v>-1137.0269430385199</v>
          </cell>
          <cell r="AU48">
            <v>-1233.0036120295199</v>
          </cell>
          <cell r="AV48">
            <v>-1341.05916819141</v>
          </cell>
        </row>
        <row r="49">
          <cell r="B49" t="str">
            <v>Net intangible assets</v>
          </cell>
          <cell r="C49" t="str">
            <v>NET_INTANG</v>
          </cell>
          <cell r="D49" t="str">
            <v>GBP</v>
          </cell>
          <cell r="F49">
            <v>0.26600000000000001</v>
          </cell>
          <cell r="G49">
            <v>0.26600000000000001</v>
          </cell>
          <cell r="H49">
            <v>0.39800000000000002</v>
          </cell>
          <cell r="I49">
            <v>0.38400000000000001</v>
          </cell>
          <cell r="J49">
            <v>0.36699999999999999</v>
          </cell>
          <cell r="K49">
            <v>0.46700000000000003</v>
          </cell>
          <cell r="L49">
            <v>0.307</v>
          </cell>
          <cell r="M49">
            <v>7.1999999999999995E-2</v>
          </cell>
          <cell r="N49">
            <v>48.259</v>
          </cell>
          <cell r="O49">
            <v>277.89699999999999</v>
          </cell>
          <cell r="P49">
            <v>310.65499999999997</v>
          </cell>
          <cell r="Q49">
            <v>295.35599999999999</v>
          </cell>
          <cell r="R49">
            <v>307.00900000000001</v>
          </cell>
          <cell r="S49">
            <v>319.51400000000001</v>
          </cell>
          <cell r="T49">
            <v>628.83299999999997</v>
          </cell>
          <cell r="U49">
            <v>750.8</v>
          </cell>
          <cell r="V49">
            <v>0</v>
          </cell>
          <cell r="W49">
            <v>0</v>
          </cell>
          <cell r="X49">
            <v>802.4</v>
          </cell>
          <cell r="Y49">
            <v>0</v>
          </cell>
          <cell r="AA49">
            <v>1992.9</v>
          </cell>
          <cell r="AD49">
            <v>2562.5</v>
          </cell>
          <cell r="AG49">
            <v>2310.3000000000002</v>
          </cell>
          <cell r="AJ49">
            <v>2352.6999999999998</v>
          </cell>
          <cell r="AM49">
            <v>2793.1</v>
          </cell>
          <cell r="AN49">
            <v>2698.2</v>
          </cell>
          <cell r="AO49">
            <v>2676.3521292821101</v>
          </cell>
          <cell r="AP49">
            <v>2681.5265240107001</v>
          </cell>
          <cell r="AQ49">
            <v>2738.4696769233601</v>
          </cell>
          <cell r="AR49">
            <v>2795.1502597890399</v>
          </cell>
          <cell r="AS49">
            <v>2851.49308537875</v>
          </cell>
          <cell r="AT49">
            <v>2906.9788200131702</v>
          </cell>
          <cell r="AU49">
            <v>2960.9230657890398</v>
          </cell>
          <cell r="AV49">
            <v>3012.6784369796001</v>
          </cell>
        </row>
        <row r="50">
          <cell r="B50" t="str">
            <v>Equity method investments</v>
          </cell>
          <cell r="C50" t="str">
            <v>FIX_ASS_INV</v>
          </cell>
          <cell r="D50" t="str">
            <v>GBP</v>
          </cell>
          <cell r="F50">
            <v>0.374</v>
          </cell>
          <cell r="G50">
            <v>0.153</v>
          </cell>
          <cell r="H50">
            <v>0</v>
          </cell>
          <cell r="I50">
            <v>0</v>
          </cell>
          <cell r="J50">
            <v>0</v>
          </cell>
          <cell r="K50">
            <v>3.4</v>
          </cell>
          <cell r="L50">
            <v>6.5759999999999996</v>
          </cell>
          <cell r="M50">
            <v>5.9980000000000002</v>
          </cell>
          <cell r="N50">
            <v>7.0209999999999999</v>
          </cell>
          <cell r="O50">
            <v>6.9390000000000001</v>
          </cell>
          <cell r="P50">
            <v>4.0650000000000004</v>
          </cell>
          <cell r="Q50">
            <v>1.7869999999999999</v>
          </cell>
          <cell r="R50">
            <v>1.401</v>
          </cell>
          <cell r="S50">
            <v>1.139</v>
          </cell>
          <cell r="T50">
            <v>1.075</v>
          </cell>
          <cell r="U50">
            <v>1.1000000000000001</v>
          </cell>
          <cell r="V50">
            <v>0</v>
          </cell>
          <cell r="W50">
            <v>0</v>
          </cell>
          <cell r="X50">
            <v>0</v>
          </cell>
          <cell r="Y50">
            <v>0</v>
          </cell>
          <cell r="AA50">
            <v>0</v>
          </cell>
          <cell r="AD50">
            <v>0</v>
          </cell>
          <cell r="AG50">
            <v>0</v>
          </cell>
          <cell r="AJ50">
            <v>0</v>
          </cell>
          <cell r="AM50">
            <v>0</v>
          </cell>
        </row>
        <row r="51">
          <cell r="B51" t="str">
            <v>Investments in securities</v>
          </cell>
          <cell r="C51" t="str">
            <v>INV_SECUR</v>
          </cell>
          <cell r="D51" t="str">
            <v>GBP</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AA51">
            <v>0</v>
          </cell>
          <cell r="AD51">
            <v>0</v>
          </cell>
          <cell r="AG51">
            <v>0</v>
          </cell>
          <cell r="AJ51">
            <v>0</v>
          </cell>
          <cell r="AM51">
            <v>0</v>
          </cell>
          <cell r="AN51">
            <v>49.8</v>
          </cell>
          <cell r="AO51">
            <v>49.8</v>
          </cell>
          <cell r="AP51">
            <v>49.8</v>
          </cell>
          <cell r="AQ51">
            <v>49.8</v>
          </cell>
          <cell r="AR51">
            <v>49.8</v>
          </cell>
          <cell r="AS51">
            <v>49.8</v>
          </cell>
          <cell r="AT51">
            <v>49.8</v>
          </cell>
          <cell r="AU51">
            <v>49.8</v>
          </cell>
          <cell r="AV51">
            <v>49.8</v>
          </cell>
        </row>
        <row r="52">
          <cell r="B52" t="str">
            <v>Other long-term assets</v>
          </cell>
          <cell r="C52" t="str">
            <v>OTH_LT_ASS</v>
          </cell>
          <cell r="D52" t="str">
            <v>GBP</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32</v>
          </cell>
          <cell r="V52">
            <v>0</v>
          </cell>
          <cell r="W52">
            <v>0</v>
          </cell>
          <cell r="X52">
            <v>32.9</v>
          </cell>
          <cell r="Y52">
            <v>0</v>
          </cell>
          <cell r="AA52">
            <v>41.4</v>
          </cell>
          <cell r="AD52">
            <v>112.4</v>
          </cell>
          <cell r="AG52">
            <v>170.6</v>
          </cell>
          <cell r="AJ52">
            <v>105</v>
          </cell>
          <cell r="AM52">
            <v>112.5</v>
          </cell>
          <cell r="AN52">
            <v>100.2</v>
          </cell>
          <cell r="AO52">
            <v>100.2</v>
          </cell>
          <cell r="AP52">
            <v>100.2</v>
          </cell>
          <cell r="AQ52">
            <v>100.2</v>
          </cell>
          <cell r="AR52">
            <v>100.19999999999899</v>
          </cell>
          <cell r="AS52">
            <v>100.2</v>
          </cell>
          <cell r="AT52">
            <v>100.2</v>
          </cell>
          <cell r="AU52">
            <v>100.2</v>
          </cell>
          <cell r="AV52">
            <v>100.2</v>
          </cell>
        </row>
        <row r="53">
          <cell r="B53" t="str">
            <v>Total assets</v>
          </cell>
          <cell r="C53" t="str">
            <v>TOT_ASSET</v>
          </cell>
          <cell r="D53" t="str">
            <v>GBP</v>
          </cell>
          <cell r="F53">
            <v>193.167</v>
          </cell>
          <cell r="G53">
            <v>223.09700000000001</v>
          </cell>
          <cell r="H53">
            <v>252.47300000000001</v>
          </cell>
          <cell r="I53">
            <v>259.65600000000001</v>
          </cell>
          <cell r="J53">
            <v>219.381</v>
          </cell>
          <cell r="K53">
            <v>224.52799999999999</v>
          </cell>
          <cell r="L53">
            <v>175.70500000000001</v>
          </cell>
          <cell r="M53">
            <v>191.34100000000001</v>
          </cell>
          <cell r="N53">
            <v>274.488</v>
          </cell>
          <cell r="O53">
            <v>534.06399999999996</v>
          </cell>
          <cell r="P53">
            <v>583.08000000000004</v>
          </cell>
          <cell r="Q53">
            <v>578.30399999999997</v>
          </cell>
          <cell r="R53">
            <v>585.02</v>
          </cell>
          <cell r="S53">
            <v>592.47299999999996</v>
          </cell>
          <cell r="T53">
            <v>1069.5360000000001</v>
          </cell>
          <cell r="U53">
            <v>1289.0999999999999</v>
          </cell>
          <cell r="X53">
            <v>1393.3</v>
          </cell>
          <cell r="AA53">
            <v>2754.1</v>
          </cell>
          <cell r="AD53">
            <v>3570</v>
          </cell>
          <cell r="AG53">
            <v>3250.3</v>
          </cell>
          <cell r="AJ53">
            <v>3301.8</v>
          </cell>
          <cell r="AM53">
            <v>3946.4</v>
          </cell>
          <cell r="AN53">
            <v>3884.7</v>
          </cell>
          <cell r="AO53">
            <v>4035.2580168448198</v>
          </cell>
          <cell r="AP53">
            <v>4185.9697727331504</v>
          </cell>
          <cell r="AQ53">
            <v>4370.6435868749004</v>
          </cell>
          <cell r="AR53">
            <v>4564.76826905903</v>
          </cell>
          <cell r="AS53">
            <v>4764.8893917188798</v>
          </cell>
          <cell r="AT53">
            <v>4974.7542931991202</v>
          </cell>
          <cell r="AU53">
            <v>5196.1875478410402</v>
          </cell>
          <cell r="AV53">
            <v>5429.4313136267901</v>
          </cell>
        </row>
        <row r="54">
          <cell r="B54" t="str">
            <v>Accounts payable</v>
          </cell>
          <cell r="C54" t="str">
            <v>ACC_PAY_GQ</v>
          </cell>
          <cell r="D54" t="str">
            <v>GBP</v>
          </cell>
          <cell r="F54">
            <v>57.356999999999999</v>
          </cell>
          <cell r="G54">
            <v>58.707000000000001</v>
          </cell>
          <cell r="H54">
            <v>78.798000000000002</v>
          </cell>
          <cell r="I54">
            <v>82.971999999999994</v>
          </cell>
          <cell r="J54">
            <v>84.878</v>
          </cell>
          <cell r="K54">
            <v>93.566999999999993</v>
          </cell>
          <cell r="L54">
            <v>54.295000000000002</v>
          </cell>
          <cell r="M54">
            <v>59.281999999999996</v>
          </cell>
          <cell r="N54">
            <v>71.149000000000001</v>
          </cell>
          <cell r="O54">
            <v>76.915000000000006</v>
          </cell>
          <cell r="P54">
            <v>89.078999999999994</v>
          </cell>
          <cell r="Q54">
            <v>89.125</v>
          </cell>
          <cell r="R54">
            <v>87.322000000000003</v>
          </cell>
          <cell r="S54">
            <v>90.409000000000006</v>
          </cell>
          <cell r="T54">
            <v>135.51300000000001</v>
          </cell>
          <cell r="U54">
            <v>168.2</v>
          </cell>
          <cell r="V54">
            <v>0</v>
          </cell>
          <cell r="W54">
            <v>0</v>
          </cell>
          <cell r="X54">
            <v>198.2</v>
          </cell>
          <cell r="Y54">
            <v>0</v>
          </cell>
          <cell r="AA54">
            <v>226.8</v>
          </cell>
          <cell r="AD54">
            <v>314.60000000000002</v>
          </cell>
          <cell r="AG54">
            <v>239.2</v>
          </cell>
          <cell r="AJ54">
            <v>249.9</v>
          </cell>
          <cell r="AM54">
            <v>349.4</v>
          </cell>
          <cell r="AN54">
            <v>351.9</v>
          </cell>
          <cell r="AO54">
            <v>373.44449291000501</v>
          </cell>
          <cell r="AP54">
            <v>384.59241062171202</v>
          </cell>
          <cell r="AQ54">
            <v>421.80185965359698</v>
          </cell>
          <cell r="AR54">
            <v>461.16862874790303</v>
          </cell>
          <cell r="AS54">
            <v>501.02811544850903</v>
          </cell>
          <cell r="AT54">
            <v>544.29090415591702</v>
          </cell>
          <cell r="AU54">
            <v>592.03869518524903</v>
          </cell>
          <cell r="AV54">
            <v>644.02894001799598</v>
          </cell>
        </row>
        <row r="55">
          <cell r="B55" t="str">
            <v>Short-term debt</v>
          </cell>
          <cell r="C55" t="str">
            <v>SHORT_T_DEBT</v>
          </cell>
          <cell r="D55" t="str">
            <v>GBP</v>
          </cell>
          <cell r="F55">
            <v>18.64</v>
          </cell>
          <cell r="G55">
            <v>7.7869999999999999</v>
          </cell>
          <cell r="H55">
            <v>15.63</v>
          </cell>
          <cell r="I55">
            <v>46.793999999999997</v>
          </cell>
          <cell r="J55">
            <v>13.907999999999999</v>
          </cell>
          <cell r="K55">
            <v>14.558</v>
          </cell>
          <cell r="L55">
            <v>8.3849999999999998</v>
          </cell>
          <cell r="M55">
            <v>8.3539999999999992</v>
          </cell>
          <cell r="N55">
            <v>57.401000000000003</v>
          </cell>
          <cell r="O55">
            <v>55.673000000000002</v>
          </cell>
          <cell r="P55">
            <v>43.094999999999999</v>
          </cell>
          <cell r="Q55">
            <v>24.167000000000002</v>
          </cell>
          <cell r="R55">
            <v>18.625</v>
          </cell>
          <cell r="S55">
            <v>7.7889999999999997</v>
          </cell>
          <cell r="T55">
            <v>5.9139999999999997</v>
          </cell>
          <cell r="U55">
            <v>13</v>
          </cell>
          <cell r="V55">
            <v>0</v>
          </cell>
          <cell r="W55">
            <v>0</v>
          </cell>
          <cell r="X55">
            <v>17.3</v>
          </cell>
          <cell r="Y55">
            <v>0</v>
          </cell>
          <cell r="AA55">
            <v>16.7</v>
          </cell>
          <cell r="AD55">
            <v>13.5</v>
          </cell>
          <cell r="AG55">
            <v>9.6999999999999993</v>
          </cell>
          <cell r="AJ55">
            <v>12.7</v>
          </cell>
          <cell r="AM55">
            <v>7</v>
          </cell>
          <cell r="AN55">
            <v>127</v>
          </cell>
          <cell r="AO55">
            <v>127</v>
          </cell>
          <cell r="AP55">
            <v>127</v>
          </cell>
          <cell r="AQ55">
            <v>127</v>
          </cell>
          <cell r="AR55">
            <v>127</v>
          </cell>
          <cell r="AS55">
            <v>127</v>
          </cell>
          <cell r="AT55">
            <v>127</v>
          </cell>
          <cell r="AU55">
            <v>127</v>
          </cell>
          <cell r="AV55">
            <v>127</v>
          </cell>
        </row>
        <row r="56">
          <cell r="B56" t="str">
            <v>Other current liabilities</v>
          </cell>
          <cell r="C56" t="str">
            <v>OTH_CUR_LIABS</v>
          </cell>
          <cell r="D56" t="str">
            <v>GBP</v>
          </cell>
          <cell r="F56">
            <v>11.042</v>
          </cell>
          <cell r="G56">
            <v>11.502000000000001</v>
          </cell>
          <cell r="H56">
            <v>14.988</v>
          </cell>
          <cell r="I56">
            <v>12.975</v>
          </cell>
          <cell r="J56">
            <v>10.601000000000001</v>
          </cell>
          <cell r="K56">
            <v>9.3529999999999998</v>
          </cell>
          <cell r="L56">
            <v>10.247999999999999</v>
          </cell>
          <cell r="M56">
            <v>10.518000000000001</v>
          </cell>
          <cell r="N56">
            <v>9.6560000000000006</v>
          </cell>
          <cell r="O56">
            <v>9.734</v>
          </cell>
          <cell r="P56">
            <v>6.89</v>
          </cell>
          <cell r="Q56">
            <v>8.9659999999999993</v>
          </cell>
          <cell r="R56">
            <v>15.271000000000001</v>
          </cell>
          <cell r="S56">
            <v>18.951000000000001</v>
          </cell>
          <cell r="T56">
            <v>19.689</v>
          </cell>
          <cell r="U56">
            <v>38.799999999999997</v>
          </cell>
          <cell r="V56">
            <v>0</v>
          </cell>
          <cell r="W56">
            <v>0</v>
          </cell>
          <cell r="X56">
            <v>25</v>
          </cell>
          <cell r="Y56">
            <v>0</v>
          </cell>
          <cell r="AA56">
            <v>62.7</v>
          </cell>
          <cell r="AD56">
            <v>82.4</v>
          </cell>
          <cell r="AG56">
            <v>70.400000000000006</v>
          </cell>
          <cell r="AJ56">
            <v>101.5</v>
          </cell>
          <cell r="AM56">
            <v>112.8</v>
          </cell>
          <cell r="AN56">
            <v>108.9</v>
          </cell>
          <cell r="AO56">
            <v>108.9</v>
          </cell>
          <cell r="AP56">
            <v>108.9</v>
          </cell>
          <cell r="AQ56">
            <v>108.9</v>
          </cell>
          <cell r="AR56">
            <v>108.9</v>
          </cell>
          <cell r="AS56">
            <v>108.9</v>
          </cell>
          <cell r="AT56">
            <v>108.9</v>
          </cell>
          <cell r="AU56">
            <v>108.9</v>
          </cell>
          <cell r="AV56">
            <v>108.9</v>
          </cell>
        </row>
        <row r="57">
          <cell r="B57" t="str">
            <v>Total current liabilities</v>
          </cell>
          <cell r="C57" t="str">
            <v>SHORT_TERM_LIABS</v>
          </cell>
          <cell r="D57" t="str">
            <v>GBP</v>
          </cell>
          <cell r="F57">
            <v>87.039000000000001</v>
          </cell>
          <cell r="G57">
            <v>77.995999999999995</v>
          </cell>
          <cell r="H57">
            <v>109.416</v>
          </cell>
          <cell r="I57">
            <v>142.74100000000001</v>
          </cell>
          <cell r="J57">
            <v>109.387</v>
          </cell>
          <cell r="K57">
            <v>117.47799999999999</v>
          </cell>
          <cell r="L57">
            <v>72.927999999999997</v>
          </cell>
          <cell r="M57">
            <v>78.153999999999996</v>
          </cell>
          <cell r="N57">
            <v>138.20599999999999</v>
          </cell>
          <cell r="O57">
            <v>142.322</v>
          </cell>
          <cell r="P57">
            <v>139.06399999999999</v>
          </cell>
          <cell r="Q57">
            <v>122.258</v>
          </cell>
          <cell r="R57">
            <v>121.218</v>
          </cell>
          <cell r="S57">
            <v>117.149</v>
          </cell>
          <cell r="T57">
            <v>161.11600000000001</v>
          </cell>
          <cell r="U57">
            <v>220</v>
          </cell>
          <cell r="X57">
            <v>240.5</v>
          </cell>
          <cell r="AA57">
            <v>306.2</v>
          </cell>
          <cell r="AD57">
            <v>410.5</v>
          </cell>
          <cell r="AG57">
            <v>319.3</v>
          </cell>
          <cell r="AJ57">
            <v>364.1</v>
          </cell>
          <cell r="AM57">
            <v>469.2</v>
          </cell>
          <cell r="AN57">
            <v>587.79999999999995</v>
          </cell>
          <cell r="AO57">
            <v>609.34449291000499</v>
          </cell>
          <cell r="AP57">
            <v>620.492410621712</v>
          </cell>
          <cell r="AQ57">
            <v>657.70185965359701</v>
          </cell>
          <cell r="AR57">
            <v>697.06862874790295</v>
          </cell>
          <cell r="AS57">
            <v>736.92811544850895</v>
          </cell>
          <cell r="AT57">
            <v>780.190904155917</v>
          </cell>
          <cell r="AU57">
            <v>827.938695185249</v>
          </cell>
          <cell r="AV57">
            <v>879.92894001799596</v>
          </cell>
        </row>
        <row r="58">
          <cell r="B58" t="str">
            <v>Long-term  debt</v>
          </cell>
          <cell r="C58" t="str">
            <v>LT_DEBT</v>
          </cell>
          <cell r="D58" t="str">
            <v>GBP</v>
          </cell>
          <cell r="F58">
            <v>29.771999999999998</v>
          </cell>
          <cell r="G58">
            <v>28.276</v>
          </cell>
          <cell r="H58">
            <v>48.241</v>
          </cell>
          <cell r="I58">
            <v>41.048999999999999</v>
          </cell>
          <cell r="J58">
            <v>38.832000000000001</v>
          </cell>
          <cell r="K58">
            <v>39.247999999999998</v>
          </cell>
          <cell r="L58">
            <v>35.387</v>
          </cell>
          <cell r="M58">
            <v>36.607999999999997</v>
          </cell>
          <cell r="N58">
            <v>39.802</v>
          </cell>
          <cell r="O58">
            <v>183.28899999999999</v>
          </cell>
          <cell r="P58">
            <v>170.31299999999999</v>
          </cell>
          <cell r="Q58">
            <v>156.066</v>
          </cell>
          <cell r="R58">
            <v>148.096</v>
          </cell>
          <cell r="S58">
            <v>155.40199999999999</v>
          </cell>
          <cell r="T58">
            <v>366.24200000000002</v>
          </cell>
          <cell r="U58">
            <v>346.8</v>
          </cell>
          <cell r="V58">
            <v>0</v>
          </cell>
          <cell r="W58">
            <v>0</v>
          </cell>
          <cell r="X58">
            <v>380</v>
          </cell>
          <cell r="Y58">
            <v>0</v>
          </cell>
          <cell r="AA58">
            <v>863.6</v>
          </cell>
          <cell r="AD58">
            <v>1101.7</v>
          </cell>
          <cell r="AG58">
            <v>861.8</v>
          </cell>
          <cell r="AJ58">
            <v>760.6</v>
          </cell>
          <cell r="AM58">
            <v>876</v>
          </cell>
          <cell r="AN58">
            <v>617.29999999999995</v>
          </cell>
          <cell r="AO58">
            <v>617.29999999999995</v>
          </cell>
          <cell r="AP58">
            <v>617.29999999999995</v>
          </cell>
          <cell r="AQ58">
            <v>617.29999999999995</v>
          </cell>
          <cell r="AR58">
            <v>617.29999999999995</v>
          </cell>
          <cell r="AS58">
            <v>617.29999999999995</v>
          </cell>
          <cell r="AT58">
            <v>617.29999999999995</v>
          </cell>
          <cell r="AU58">
            <v>617.29999999999995</v>
          </cell>
          <cell r="AV58">
            <v>617.29999999999995</v>
          </cell>
        </row>
        <row r="59">
          <cell r="B59" t="str">
            <v>Other long-term liabilities</v>
          </cell>
          <cell r="C59" t="str">
            <v>OTH_LT_CRED_GQ</v>
          </cell>
          <cell r="D59" t="str">
            <v>GBP</v>
          </cell>
          <cell r="F59">
            <v>11.057</v>
          </cell>
          <cell r="G59">
            <v>6.6059999999999999</v>
          </cell>
          <cell r="H59">
            <v>6.7789999999999999</v>
          </cell>
          <cell r="I59">
            <v>6.2750000000000004</v>
          </cell>
          <cell r="J59">
            <v>5.7409999999999997</v>
          </cell>
          <cell r="K59">
            <v>3.6909999999999998</v>
          </cell>
          <cell r="L59">
            <v>1.5640000000000001</v>
          </cell>
          <cell r="M59">
            <v>2.2149999999999999</v>
          </cell>
          <cell r="N59">
            <v>3.6520000000000001</v>
          </cell>
          <cell r="O59">
            <v>28.757000000000001</v>
          </cell>
          <cell r="P59">
            <v>53.976999999999997</v>
          </cell>
          <cell r="Q59">
            <v>50.572000000000003</v>
          </cell>
          <cell r="R59">
            <v>58.218000000000004</v>
          </cell>
          <cell r="S59">
            <v>52.456000000000003</v>
          </cell>
          <cell r="T59">
            <v>77.183000000000007</v>
          </cell>
          <cell r="U59">
            <v>225.6</v>
          </cell>
          <cell r="V59">
            <v>0</v>
          </cell>
          <cell r="W59">
            <v>0</v>
          </cell>
          <cell r="X59">
            <v>211.3</v>
          </cell>
          <cell r="Y59">
            <v>0</v>
          </cell>
          <cell r="AA59">
            <v>520.9</v>
          </cell>
          <cell r="AD59">
            <v>771.4</v>
          </cell>
          <cell r="AG59">
            <v>795.6</v>
          </cell>
          <cell r="AJ59">
            <v>738.9</v>
          </cell>
          <cell r="AM59">
            <v>807.9</v>
          </cell>
          <cell r="AN59">
            <v>774.2</v>
          </cell>
          <cell r="AO59">
            <v>749.2</v>
          </cell>
          <cell r="AP59">
            <v>724.2</v>
          </cell>
          <cell r="AQ59">
            <v>699.2</v>
          </cell>
          <cell r="AR59">
            <v>674.2</v>
          </cell>
          <cell r="AS59">
            <v>649.20000000000005</v>
          </cell>
          <cell r="AT59">
            <v>624.20000000000005</v>
          </cell>
          <cell r="AU59">
            <v>599.20000000000005</v>
          </cell>
          <cell r="AV59">
            <v>574.20000000000005</v>
          </cell>
        </row>
        <row r="60">
          <cell r="B60" t="str">
            <v>Total long-term liabilities</v>
          </cell>
          <cell r="C60" t="str">
            <v>TOT_LT_LIAB</v>
          </cell>
          <cell r="D60" t="str">
            <v>GBP</v>
          </cell>
          <cell r="F60">
            <v>40.829000000000001</v>
          </cell>
          <cell r="G60">
            <v>34.881999999999998</v>
          </cell>
          <cell r="H60">
            <v>55.02</v>
          </cell>
          <cell r="I60">
            <v>47.323999999999998</v>
          </cell>
          <cell r="J60">
            <v>44.573</v>
          </cell>
          <cell r="K60">
            <v>42.939</v>
          </cell>
          <cell r="L60">
            <v>36.951000000000001</v>
          </cell>
          <cell r="M60">
            <v>38.823</v>
          </cell>
          <cell r="N60">
            <v>43.454000000000001</v>
          </cell>
          <cell r="O60">
            <v>212.04599999999999</v>
          </cell>
          <cell r="P60">
            <v>224.29</v>
          </cell>
          <cell r="Q60">
            <v>206.63800000000001</v>
          </cell>
          <cell r="R60">
            <v>206.31399999999999</v>
          </cell>
          <cell r="S60">
            <v>207.858</v>
          </cell>
          <cell r="T60">
            <v>443.42500000000001</v>
          </cell>
          <cell r="U60">
            <v>572.4</v>
          </cell>
          <cell r="X60">
            <v>591.29999999999995</v>
          </cell>
          <cell r="AA60">
            <v>1384.5</v>
          </cell>
          <cell r="AD60">
            <v>1873.1</v>
          </cell>
          <cell r="AG60">
            <v>1657.4</v>
          </cell>
          <cell r="AJ60">
            <v>1499.5</v>
          </cell>
          <cell r="AM60">
            <v>1683.9</v>
          </cell>
          <cell r="AN60">
            <v>1391.5</v>
          </cell>
          <cell r="AO60">
            <v>1366.5</v>
          </cell>
          <cell r="AP60">
            <v>1341.5</v>
          </cell>
          <cell r="AQ60">
            <v>1316.5</v>
          </cell>
          <cell r="AR60">
            <v>1291.5</v>
          </cell>
          <cell r="AS60">
            <v>1266.5</v>
          </cell>
          <cell r="AT60">
            <v>1241.5</v>
          </cell>
          <cell r="AU60">
            <v>1216.5</v>
          </cell>
          <cell r="AV60">
            <v>1191.5</v>
          </cell>
        </row>
        <row r="61">
          <cell r="B61" t="str">
            <v>Total liabilities</v>
          </cell>
          <cell r="C61" t="str">
            <v>TOT_LIAB</v>
          </cell>
          <cell r="D61" t="str">
            <v>GBP</v>
          </cell>
          <cell r="F61">
            <v>127.86799999999999</v>
          </cell>
          <cell r="G61">
            <v>112.878</v>
          </cell>
          <cell r="H61">
            <v>164.43600000000001</v>
          </cell>
          <cell r="I61">
            <v>190.065</v>
          </cell>
          <cell r="J61">
            <v>153.96</v>
          </cell>
          <cell r="K61">
            <v>160.417</v>
          </cell>
          <cell r="L61">
            <v>109.879</v>
          </cell>
          <cell r="M61">
            <v>116.977</v>
          </cell>
          <cell r="N61">
            <v>181.66</v>
          </cell>
          <cell r="O61">
            <v>354.36799999999999</v>
          </cell>
          <cell r="P61">
            <v>363.35399999999998</v>
          </cell>
          <cell r="Q61">
            <v>328.89600000000002</v>
          </cell>
          <cell r="R61">
            <v>327.53199999999998</v>
          </cell>
          <cell r="S61">
            <v>325.00700000000001</v>
          </cell>
          <cell r="T61">
            <v>604.54100000000005</v>
          </cell>
          <cell r="U61">
            <v>792.4</v>
          </cell>
          <cell r="V61">
            <v>0</v>
          </cell>
          <cell r="W61">
            <v>0</v>
          </cell>
          <cell r="X61">
            <v>831.8</v>
          </cell>
          <cell r="Y61">
            <v>0</v>
          </cell>
          <cell r="AA61">
            <v>1690.7</v>
          </cell>
          <cell r="AD61">
            <v>2283.6</v>
          </cell>
          <cell r="AG61">
            <v>1976.7</v>
          </cell>
          <cell r="AJ61">
            <v>1863.6</v>
          </cell>
          <cell r="AM61">
            <v>2153.1</v>
          </cell>
          <cell r="AN61">
            <v>1979.3</v>
          </cell>
          <cell r="AO61">
            <v>1975.8444929100001</v>
          </cell>
          <cell r="AP61">
            <v>1961.99241062171</v>
          </cell>
          <cell r="AQ61">
            <v>1974.2018596536</v>
          </cell>
          <cell r="AR61">
            <v>1988.5686287479</v>
          </cell>
          <cell r="AS61">
            <v>2003.42811544851</v>
          </cell>
          <cell r="AT61">
            <v>2021.69090415592</v>
          </cell>
          <cell r="AU61">
            <v>2044.43869518525</v>
          </cell>
          <cell r="AV61">
            <v>2071.428940018</v>
          </cell>
        </row>
        <row r="62">
          <cell r="B62" t="str">
            <v>Preferred shares</v>
          </cell>
          <cell r="C62" t="str">
            <v>PREF_SH</v>
          </cell>
          <cell r="D62" t="str">
            <v>GBP</v>
          </cell>
          <cell r="N62">
            <v>0</v>
          </cell>
          <cell r="O62">
            <v>0</v>
          </cell>
          <cell r="P62">
            <v>0</v>
          </cell>
          <cell r="Q62">
            <v>0</v>
          </cell>
          <cell r="R62">
            <v>0</v>
          </cell>
          <cell r="S62">
            <v>0</v>
          </cell>
          <cell r="T62">
            <v>0</v>
          </cell>
          <cell r="U62">
            <v>0</v>
          </cell>
          <cell r="V62">
            <v>0</v>
          </cell>
          <cell r="W62">
            <v>0</v>
          </cell>
          <cell r="X62">
            <v>0</v>
          </cell>
          <cell r="Y62">
            <v>0</v>
          </cell>
          <cell r="AA62">
            <v>0</v>
          </cell>
        </row>
        <row r="63">
          <cell r="B63" t="str">
            <v>Total common equity</v>
          </cell>
          <cell r="C63" t="str">
            <v>ORD_SH_FUND</v>
          </cell>
          <cell r="D63" t="str">
            <v>GBP</v>
          </cell>
          <cell r="F63">
            <v>45.572000000000003</v>
          </cell>
          <cell r="G63">
            <v>89.438999999999993</v>
          </cell>
          <cell r="H63">
            <v>67.254999999999995</v>
          </cell>
          <cell r="I63">
            <v>68.811000000000007</v>
          </cell>
          <cell r="J63">
            <v>64.078000000000003</v>
          </cell>
          <cell r="K63">
            <v>63.575000000000003</v>
          </cell>
          <cell r="L63">
            <v>64.725999999999999</v>
          </cell>
          <cell r="M63">
            <v>74.335999999999999</v>
          </cell>
          <cell r="N63">
            <v>92.828000000000003</v>
          </cell>
          <cell r="O63">
            <v>179.684</v>
          </cell>
          <cell r="P63">
            <v>219.72399999999999</v>
          </cell>
          <cell r="Q63">
            <v>249.40799999999999</v>
          </cell>
          <cell r="R63">
            <v>257.488</v>
          </cell>
          <cell r="S63">
            <v>267.46100000000001</v>
          </cell>
          <cell r="T63">
            <v>464.995</v>
          </cell>
          <cell r="U63">
            <v>496.7</v>
          </cell>
          <cell r="V63">
            <v>0</v>
          </cell>
          <cell r="W63">
            <v>0</v>
          </cell>
          <cell r="X63">
            <v>561.5</v>
          </cell>
          <cell r="Y63">
            <v>0</v>
          </cell>
          <cell r="AA63">
            <v>1063.4000000000001</v>
          </cell>
          <cell r="AD63">
            <v>1286.4000000000001</v>
          </cell>
          <cell r="AG63">
            <v>1273.5999999999999</v>
          </cell>
          <cell r="AJ63">
            <v>1438.2</v>
          </cell>
          <cell r="AM63">
            <v>1793.3</v>
          </cell>
          <cell r="AN63">
            <v>1905.4</v>
          </cell>
          <cell r="AO63">
            <v>2059.4135239348202</v>
          </cell>
          <cell r="AP63">
            <v>2223.97736211144</v>
          </cell>
          <cell r="AQ63">
            <v>2396.44172722131</v>
          </cell>
          <cell r="AR63">
            <v>2576.1996403111302</v>
          </cell>
          <cell r="AS63">
            <v>2761.46127627037</v>
          </cell>
          <cell r="AT63">
            <v>2953.0633890432</v>
          </cell>
          <cell r="AU63">
            <v>3151.74885265579</v>
          </cell>
          <cell r="AV63">
            <v>3358.0023736087901</v>
          </cell>
        </row>
        <row r="64">
          <cell r="B64" t="str">
            <v>Minority interest</v>
          </cell>
          <cell r="C64" t="str">
            <v>MINORITIES</v>
          </cell>
          <cell r="D64" t="str">
            <v>GBP</v>
          </cell>
          <cell r="F64">
            <v>19.727</v>
          </cell>
          <cell r="G64">
            <v>20.79</v>
          </cell>
          <cell r="H64">
            <v>20.782</v>
          </cell>
          <cell r="I64">
            <v>0.78</v>
          </cell>
          <cell r="J64">
            <v>1.343</v>
          </cell>
          <cell r="K64">
            <v>0.53600000000000003</v>
          </cell>
          <cell r="L64">
            <v>1.1000000000000001</v>
          </cell>
          <cell r="M64">
            <v>0</v>
          </cell>
          <cell r="N64">
            <v>0</v>
          </cell>
          <cell r="O64">
            <v>0</v>
          </cell>
          <cell r="P64">
            <v>0</v>
          </cell>
          <cell r="Q64">
            <v>0</v>
          </cell>
          <cell r="R64">
            <v>0</v>
          </cell>
          <cell r="S64">
            <v>0</v>
          </cell>
          <cell r="T64">
            <v>0</v>
          </cell>
          <cell r="U64">
            <v>0</v>
          </cell>
          <cell r="V64">
            <v>0</v>
          </cell>
          <cell r="W64">
            <v>0</v>
          </cell>
          <cell r="X64">
            <v>0</v>
          </cell>
          <cell r="Y64">
            <v>0</v>
          </cell>
          <cell r="AA64">
            <v>0</v>
          </cell>
          <cell r="AD64">
            <v>0</v>
          </cell>
          <cell r="AG64">
            <v>0</v>
          </cell>
          <cell r="AJ64">
            <v>0</v>
          </cell>
          <cell r="AM64">
            <v>0</v>
          </cell>
        </row>
        <row r="65">
          <cell r="B65" t="str">
            <v>Total shareholders' equity</v>
          </cell>
          <cell r="C65" t="str">
            <v>EQ</v>
          </cell>
          <cell r="D65" t="str">
            <v>GBP</v>
          </cell>
          <cell r="F65">
            <v>65.299000000000007</v>
          </cell>
          <cell r="G65">
            <v>110.229</v>
          </cell>
          <cell r="H65">
            <v>88.037000000000006</v>
          </cell>
          <cell r="I65">
            <v>69.590999999999994</v>
          </cell>
          <cell r="J65">
            <v>65.421000000000006</v>
          </cell>
          <cell r="K65">
            <v>64.111000000000004</v>
          </cell>
          <cell r="L65">
            <v>65.825999999999993</v>
          </cell>
          <cell r="M65">
            <v>74.335999999999999</v>
          </cell>
          <cell r="N65">
            <v>92.828000000000003</v>
          </cell>
          <cell r="O65">
            <v>179.684</v>
          </cell>
          <cell r="P65">
            <v>219.72399999999999</v>
          </cell>
          <cell r="Q65">
            <v>249.40799999999999</v>
          </cell>
          <cell r="R65">
            <v>257.488</v>
          </cell>
          <cell r="S65">
            <v>267.46100000000001</v>
          </cell>
          <cell r="T65">
            <v>464.995</v>
          </cell>
          <cell r="U65">
            <v>496.7</v>
          </cell>
          <cell r="X65">
            <v>561.5</v>
          </cell>
          <cell r="AA65">
            <v>1063.4000000000001</v>
          </cell>
          <cell r="AD65">
            <v>1286.4000000000001</v>
          </cell>
          <cell r="AG65">
            <v>1273.5999999999999</v>
          </cell>
          <cell r="AJ65">
            <v>1438.2</v>
          </cell>
          <cell r="AM65">
            <v>1793.3</v>
          </cell>
          <cell r="AN65">
            <v>1905.4</v>
          </cell>
          <cell r="AO65">
            <v>2059.4135239348202</v>
          </cell>
          <cell r="AP65">
            <v>2223.97736211144</v>
          </cell>
          <cell r="AQ65">
            <v>2396.44172722131</v>
          </cell>
          <cell r="AR65">
            <v>2576.1996403111302</v>
          </cell>
          <cell r="AS65">
            <v>2761.46127627037</v>
          </cell>
          <cell r="AT65">
            <v>2953.0633890432</v>
          </cell>
          <cell r="AU65">
            <v>3151.74885265579</v>
          </cell>
          <cell r="AV65">
            <v>3358.0023736087901</v>
          </cell>
        </row>
        <row r="66">
          <cell r="B66" t="str">
            <v>Total liabilities and equity</v>
          </cell>
          <cell r="C66" t="str">
            <v>TOT_LIAB_EQ</v>
          </cell>
          <cell r="D66" t="str">
            <v>GBP</v>
          </cell>
          <cell r="F66">
            <v>193.167</v>
          </cell>
          <cell r="G66">
            <v>223.107</v>
          </cell>
          <cell r="H66">
            <v>252.47300000000001</v>
          </cell>
          <cell r="I66">
            <v>259.65600000000001</v>
          </cell>
          <cell r="J66">
            <v>219.381</v>
          </cell>
          <cell r="K66">
            <v>224.52799999999999</v>
          </cell>
          <cell r="L66">
            <v>175.70500000000001</v>
          </cell>
          <cell r="M66">
            <v>191.31299999999999</v>
          </cell>
          <cell r="N66">
            <v>274.488</v>
          </cell>
          <cell r="O66">
            <v>534.05200000000002</v>
          </cell>
          <cell r="P66">
            <v>583.07799999999997</v>
          </cell>
          <cell r="Q66">
            <v>578.30399999999997</v>
          </cell>
          <cell r="R66">
            <v>585.02</v>
          </cell>
          <cell r="S66">
            <v>592.46799999999996</v>
          </cell>
          <cell r="T66">
            <v>1069.5360000000001</v>
          </cell>
          <cell r="U66">
            <v>1289.0999999999999</v>
          </cell>
          <cell r="X66">
            <v>1393.3</v>
          </cell>
          <cell r="AA66">
            <v>2754.1</v>
          </cell>
          <cell r="AD66">
            <v>3570</v>
          </cell>
          <cell r="AG66">
            <v>3250.3</v>
          </cell>
          <cell r="AJ66">
            <v>3301.8</v>
          </cell>
          <cell r="AM66">
            <v>3946.4</v>
          </cell>
          <cell r="AN66">
            <v>3884.7</v>
          </cell>
          <cell r="AO66">
            <v>4035.2580168448198</v>
          </cell>
          <cell r="AP66">
            <v>4185.9697727331504</v>
          </cell>
          <cell r="AQ66">
            <v>4370.6435868749004</v>
          </cell>
          <cell r="AR66">
            <v>4564.76826905903</v>
          </cell>
          <cell r="AS66">
            <v>4764.8893917188798</v>
          </cell>
          <cell r="AT66">
            <v>4974.7542931991202</v>
          </cell>
          <cell r="AU66">
            <v>5196.1875478410402</v>
          </cell>
          <cell r="AV66">
            <v>5429.4313136267901</v>
          </cell>
        </row>
        <row r="67">
          <cell r="A67" t="str">
            <v>Additional Balance Sheet Items</v>
          </cell>
        </row>
        <row r="68">
          <cell r="B68" t="str">
            <v>Net debt</v>
          </cell>
          <cell r="C68" t="str">
            <v>NET_DEBT</v>
          </cell>
          <cell r="D68" t="str">
            <v>GBP</v>
          </cell>
          <cell r="F68">
            <v>35.488999999999997</v>
          </cell>
          <cell r="G68">
            <v>-22.137</v>
          </cell>
          <cell r="H68">
            <v>11.791</v>
          </cell>
          <cell r="I68">
            <v>17.63</v>
          </cell>
          <cell r="J68">
            <v>17.959</v>
          </cell>
          <cell r="K68">
            <v>2.6040000000000001</v>
          </cell>
          <cell r="L68">
            <v>9.8239999999999998</v>
          </cell>
          <cell r="M68">
            <v>4.6269999999999998</v>
          </cell>
          <cell r="N68">
            <v>57.692999999999998</v>
          </cell>
          <cell r="O68">
            <v>213.166</v>
          </cell>
          <cell r="P68">
            <v>182.52799999999999</v>
          </cell>
          <cell r="Q68">
            <v>149.435</v>
          </cell>
          <cell r="R68">
            <v>139.67099999999999</v>
          </cell>
          <cell r="S68">
            <v>140.52099999999999</v>
          </cell>
          <cell r="T68">
            <v>328.20499999999998</v>
          </cell>
          <cell r="U68">
            <v>314.3</v>
          </cell>
          <cell r="V68">
            <v>0</v>
          </cell>
          <cell r="W68">
            <v>0</v>
          </cell>
          <cell r="X68">
            <v>353.7</v>
          </cell>
          <cell r="Y68">
            <v>0</v>
          </cell>
          <cell r="AA68">
            <v>815.4</v>
          </cell>
          <cell r="AD68">
            <v>1047.9000000000001</v>
          </cell>
          <cell r="AG68">
            <v>808.6</v>
          </cell>
          <cell r="AJ68">
            <v>721.4</v>
          </cell>
          <cell r="AM68">
            <v>788.4</v>
          </cell>
          <cell r="AN68">
            <v>642.5</v>
          </cell>
          <cell r="AO68">
            <v>514.28479064949101</v>
          </cell>
          <cell r="AP68">
            <v>414.137436773182</v>
          </cell>
          <cell r="AQ68">
            <v>425.09661848661398</v>
          </cell>
          <cell r="AR68">
            <v>435.031247678824</v>
          </cell>
          <cell r="AS68">
            <v>444.09768802305001</v>
          </cell>
          <cell r="AT68">
            <v>453.69188843042502</v>
          </cell>
          <cell r="AU68">
            <v>463.43001897349598</v>
          </cell>
          <cell r="AV68">
            <v>471.97969645259298</v>
          </cell>
        </row>
        <row r="69">
          <cell r="B69" t="str">
            <v>Capitalized leases</v>
          </cell>
          <cell r="C69" t="str">
            <v>CAP_LEASES</v>
          </cell>
          <cell r="D69" t="str">
            <v>GBP</v>
          </cell>
          <cell r="N69">
            <v>0</v>
          </cell>
          <cell r="O69">
            <v>0</v>
          </cell>
          <cell r="P69">
            <v>0</v>
          </cell>
          <cell r="Q69">
            <v>0</v>
          </cell>
          <cell r="R69">
            <v>0</v>
          </cell>
          <cell r="S69">
            <v>0</v>
          </cell>
          <cell r="T69">
            <v>0</v>
          </cell>
          <cell r="U69">
            <v>0</v>
          </cell>
          <cell r="V69">
            <v>0</v>
          </cell>
          <cell r="W69">
            <v>0</v>
          </cell>
          <cell r="X69">
            <v>0</v>
          </cell>
          <cell r="Y69">
            <v>0</v>
          </cell>
          <cell r="AA69">
            <v>0</v>
          </cell>
        </row>
        <row r="70">
          <cell r="B70" t="str">
            <v>Deferred income taxes</v>
          </cell>
          <cell r="C70" t="str">
            <v>DEF_INC_TAX</v>
          </cell>
          <cell r="D70" t="str">
            <v>GBP</v>
          </cell>
          <cell r="N70">
            <v>0</v>
          </cell>
          <cell r="O70">
            <v>0</v>
          </cell>
          <cell r="P70">
            <v>0</v>
          </cell>
          <cell r="Q70">
            <v>0</v>
          </cell>
          <cell r="R70">
            <v>0</v>
          </cell>
          <cell r="S70">
            <v>0</v>
          </cell>
          <cell r="T70">
            <v>0</v>
          </cell>
          <cell r="U70">
            <v>0</v>
          </cell>
          <cell r="V70">
            <v>0</v>
          </cell>
          <cell r="W70">
            <v>0</v>
          </cell>
          <cell r="X70">
            <v>0</v>
          </cell>
          <cell r="Y70">
            <v>0</v>
          </cell>
          <cell r="AA70">
            <v>0</v>
          </cell>
        </row>
        <row r="71">
          <cell r="B71" t="str">
            <v>Associates (mkt value) used in EV calculation</v>
          </cell>
          <cell r="C71" t="str">
            <v>MV_ASSOCIATES</v>
          </cell>
          <cell r="D71" t="str">
            <v>GBP</v>
          </cell>
          <cell r="N71">
            <v>0</v>
          </cell>
          <cell r="O71">
            <v>0</v>
          </cell>
          <cell r="P71">
            <v>0</v>
          </cell>
          <cell r="Q71">
            <v>0</v>
          </cell>
          <cell r="R71">
            <v>0</v>
          </cell>
          <cell r="S71">
            <v>0</v>
          </cell>
          <cell r="T71">
            <v>0</v>
          </cell>
          <cell r="U71">
            <v>0</v>
          </cell>
          <cell r="V71">
            <v>0</v>
          </cell>
          <cell r="W71">
            <v>0</v>
          </cell>
          <cell r="X71">
            <v>0</v>
          </cell>
          <cell r="Y71">
            <v>0</v>
          </cell>
          <cell r="AA71">
            <v>0</v>
          </cell>
        </row>
        <row r="72">
          <cell r="B72" t="str">
            <v>Net debt adjustment</v>
          </cell>
          <cell r="C72" t="str">
            <v>NET_DEBT_ADJ</v>
          </cell>
          <cell r="D72" t="str">
            <v>GBP</v>
          </cell>
          <cell r="N72">
            <v>0</v>
          </cell>
          <cell r="O72">
            <v>0</v>
          </cell>
          <cell r="P72">
            <v>0</v>
          </cell>
          <cell r="Q72">
            <v>0</v>
          </cell>
          <cell r="R72">
            <v>0</v>
          </cell>
          <cell r="S72">
            <v>0</v>
          </cell>
          <cell r="T72">
            <v>0</v>
          </cell>
          <cell r="U72">
            <v>0</v>
          </cell>
          <cell r="V72">
            <v>0</v>
          </cell>
          <cell r="W72">
            <v>0</v>
          </cell>
          <cell r="X72">
            <v>0</v>
          </cell>
          <cell r="Y72">
            <v>0</v>
          </cell>
          <cell r="AA72">
            <v>0</v>
          </cell>
          <cell r="AD72">
            <v>1</v>
          </cell>
          <cell r="AG72">
            <v>0.8</v>
          </cell>
          <cell r="AJ72">
            <v>0.8</v>
          </cell>
          <cell r="AM72">
            <v>0.7</v>
          </cell>
          <cell r="AN72">
            <v>3.1</v>
          </cell>
          <cell r="AO72">
            <v>3.1</v>
          </cell>
          <cell r="AP72">
            <v>3.1</v>
          </cell>
          <cell r="AQ72">
            <v>3.1</v>
          </cell>
          <cell r="AR72">
            <v>3.1</v>
          </cell>
          <cell r="AS72">
            <v>3.1</v>
          </cell>
          <cell r="AT72">
            <v>3.1</v>
          </cell>
          <cell r="AU72">
            <v>3.1</v>
          </cell>
          <cell r="AV72">
            <v>3.1</v>
          </cell>
        </row>
        <row r="73">
          <cell r="B73" t="str">
            <v>Company borrowing margin</v>
          </cell>
          <cell r="C73" t="str">
            <v>CO_BOR_MARGIN</v>
          </cell>
          <cell r="AG73">
            <v>9.5000000000000001E-2</v>
          </cell>
          <cell r="AJ73">
            <v>9.5000000000000001E-2</v>
          </cell>
          <cell r="AM73">
            <v>9.5000000000000001E-2</v>
          </cell>
        </row>
        <row r="74">
          <cell r="B74" t="str">
            <v>Unfunded pensions &amp; other provisions</v>
          </cell>
          <cell r="C74" t="str">
            <v>UNF_PENS</v>
          </cell>
          <cell r="D74" t="str">
            <v>GBP</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-33.414499999999997</v>
          </cell>
          <cell r="V74">
            <v>0</v>
          </cell>
          <cell r="W74">
            <v>0</v>
          </cell>
          <cell r="X74">
            <v>-33.200000000000003</v>
          </cell>
          <cell r="Y74">
            <v>0</v>
          </cell>
          <cell r="AA74">
            <v>-50.25</v>
          </cell>
          <cell r="AD74">
            <v>-79.400000000000006</v>
          </cell>
          <cell r="AG74">
            <v>-93.45</v>
          </cell>
          <cell r="AJ74">
            <v>-88.05</v>
          </cell>
          <cell r="AM74">
            <v>-109.1</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cell r="F76">
            <v>34.703107827003002</v>
          </cell>
          <cell r="G76">
            <v>24.163608082962998</v>
          </cell>
          <cell r="H76">
            <v>43.208599802366003</v>
          </cell>
          <cell r="I76">
            <v>5.3890755759309998</v>
          </cell>
          <cell r="J76">
            <v>4.610659539107</v>
          </cell>
          <cell r="K76">
            <v>-1.3342650773460001</v>
          </cell>
          <cell r="L76">
            <v>-1.8692678400280001</v>
          </cell>
          <cell r="M76">
            <v>-4.2960000000000003</v>
          </cell>
          <cell r="N76">
            <v>-5.0419999999999998</v>
          </cell>
          <cell r="O76">
            <v>-6.5030000000000001</v>
          </cell>
          <cell r="P76">
            <v>-3.2440000000000002</v>
          </cell>
          <cell r="Q76">
            <v>-0.97199999999999998</v>
          </cell>
          <cell r="R76">
            <v>4.5179999999999998</v>
          </cell>
          <cell r="S76">
            <v>7.4610000000000003</v>
          </cell>
          <cell r="T76">
            <v>5.125</v>
          </cell>
          <cell r="U76">
            <v>52.914499999999997</v>
          </cell>
          <cell r="V76">
            <v>0</v>
          </cell>
          <cell r="W76">
            <v>0</v>
          </cell>
          <cell r="X76">
            <v>80.5</v>
          </cell>
          <cell r="Y76">
            <v>0</v>
          </cell>
          <cell r="AA76">
            <v>94.45</v>
          </cell>
          <cell r="AD76">
            <v>123.6</v>
          </cell>
          <cell r="AG76">
            <v>141.85</v>
          </cell>
          <cell r="AJ76">
            <v>131.75</v>
          </cell>
          <cell r="AM76">
            <v>151.19999999999999</v>
          </cell>
          <cell r="AN76">
            <v>200.79400000000001</v>
          </cell>
          <cell r="AO76">
            <v>184.04441708375001</v>
          </cell>
          <cell r="AP76">
            <v>167.29483416750099</v>
          </cell>
          <cell r="AQ76">
            <v>150.54525125125099</v>
          </cell>
          <cell r="AR76">
            <v>133.79566833500201</v>
          </cell>
          <cell r="AS76">
            <v>117.046085418752</v>
          </cell>
          <cell r="AT76">
            <v>100.29650250250199</v>
          </cell>
          <cell r="AU76">
            <v>83.546919586252997</v>
          </cell>
          <cell r="AV76">
            <v>66.797336670003006</v>
          </cell>
        </row>
        <row r="77">
          <cell r="B77" t="str">
            <v>Adjustment for unfunded pensions &amp; goodwill</v>
          </cell>
          <cell r="C77" t="str">
            <v>ADJ_UNF_PENS_GOOD</v>
          </cell>
          <cell r="D77" t="str">
            <v>GBP</v>
          </cell>
        </row>
        <row r="78">
          <cell r="B78" t="str">
            <v>Other GCI adjustments</v>
          </cell>
          <cell r="C78" t="str">
            <v>OTH_GCI_ADJ</v>
          </cell>
          <cell r="D78" t="str">
            <v>GBP</v>
          </cell>
          <cell r="X78">
            <v>-45.8</v>
          </cell>
          <cell r="AA78">
            <v>-68.2</v>
          </cell>
          <cell r="AD78">
            <v>-91.9</v>
          </cell>
          <cell r="AG78">
            <v>-127</v>
          </cell>
          <cell r="AJ78">
            <v>-160.5</v>
          </cell>
          <cell r="AM78">
            <v>-201.7</v>
          </cell>
          <cell r="AN78">
            <v>-253.9</v>
          </cell>
          <cell r="AO78">
            <v>-309.23964972055302</v>
          </cell>
          <cell r="AP78">
            <v>-366.20387036391799</v>
          </cell>
          <cell r="AQ78">
            <v>-428.590573529518</v>
          </cell>
          <cell r="AR78">
            <v>-496.71414254303102</v>
          </cell>
          <cell r="AS78">
            <v>-570.64638047271399</v>
          </cell>
          <cell r="AT78">
            <v>-650.883245902471</v>
          </cell>
          <cell r="AU78">
            <v>-738.07833213549702</v>
          </cell>
          <cell r="AV78">
            <v>-832.84988620847105</v>
          </cell>
        </row>
        <row r="79">
          <cell r="B79" t="str">
            <v>GCI inflator</v>
          </cell>
          <cell r="C79" t="str">
            <v>GCI_INFL</v>
          </cell>
          <cell r="N79">
            <v>1</v>
          </cell>
          <cell r="O79">
            <v>1</v>
          </cell>
          <cell r="P79">
            <v>1</v>
          </cell>
          <cell r="Q79">
            <v>1</v>
          </cell>
          <cell r="R79">
            <v>1</v>
          </cell>
          <cell r="S79">
            <v>1</v>
          </cell>
          <cell r="T79">
            <v>1</v>
          </cell>
          <cell r="U79">
            <v>1</v>
          </cell>
          <cell r="V79">
            <v>1</v>
          </cell>
          <cell r="W79">
            <v>1</v>
          </cell>
          <cell r="X79">
            <v>1</v>
          </cell>
          <cell r="Y79">
            <v>1</v>
          </cell>
          <cell r="AA79">
            <v>1</v>
          </cell>
        </row>
        <row r="80">
          <cell r="B80" t="str">
            <v>Minority interest</v>
          </cell>
          <cell r="C80" t="str">
            <v>BAL_MINO_INT</v>
          </cell>
          <cell r="D80" t="str">
            <v>GBP</v>
          </cell>
          <cell r="F80">
            <v>34.430107827002999</v>
          </cell>
          <cell r="G80">
            <v>22.774608082962999</v>
          </cell>
          <cell r="H80">
            <v>40.696599802366002</v>
          </cell>
          <cell r="I80">
            <v>1.783075575931</v>
          </cell>
          <cell r="J80">
            <v>3.017659539107</v>
          </cell>
          <cell r="K80">
            <v>1.0507349226539999</v>
          </cell>
          <cell r="L80">
            <v>2.6067321599729998</v>
          </cell>
          <cell r="M80">
            <v>0</v>
          </cell>
          <cell r="N80">
            <v>0</v>
          </cell>
          <cell r="O80">
            <v>0</v>
          </cell>
          <cell r="P80">
            <v>0</v>
          </cell>
          <cell r="Q80">
            <v>0</v>
          </cell>
          <cell r="R80">
            <v>0</v>
          </cell>
          <cell r="S80">
            <v>0</v>
          </cell>
          <cell r="T80">
            <v>0</v>
          </cell>
          <cell r="U80">
            <v>0</v>
          </cell>
          <cell r="V80">
            <v>0</v>
          </cell>
          <cell r="W80">
            <v>0</v>
          </cell>
          <cell r="X80">
            <v>0</v>
          </cell>
          <cell r="Y80">
            <v>0</v>
          </cell>
          <cell r="AA80">
            <v>0</v>
          </cell>
          <cell r="AD80">
            <v>0</v>
          </cell>
          <cell r="AG80">
            <v>0</v>
          </cell>
          <cell r="AJ80">
            <v>0</v>
          </cell>
          <cell r="AM80">
            <v>0</v>
          </cell>
        </row>
        <row r="81">
          <cell r="A81" t="str">
            <v>Cash Flow Statement</v>
          </cell>
        </row>
        <row r="82">
          <cell r="B82" t="str">
            <v>Minority interest add-back</v>
          </cell>
          <cell r="C82" t="str">
            <v>CF_INC_MINORITY</v>
          </cell>
          <cell r="D82" t="str">
            <v>GBP</v>
          </cell>
          <cell r="O82">
            <v>0</v>
          </cell>
          <cell r="P82">
            <v>0</v>
          </cell>
          <cell r="Q82">
            <v>0</v>
          </cell>
          <cell r="R82">
            <v>0</v>
          </cell>
          <cell r="S82">
            <v>0</v>
          </cell>
          <cell r="T82">
            <v>0</v>
          </cell>
          <cell r="U82">
            <v>0</v>
          </cell>
          <cell r="V82">
            <v>0</v>
          </cell>
          <cell r="W82">
            <v>0</v>
          </cell>
          <cell r="X82">
            <v>0</v>
          </cell>
          <cell r="Y82">
            <v>0</v>
          </cell>
          <cell r="AA82">
            <v>0</v>
          </cell>
        </row>
        <row r="83">
          <cell r="B83" t="str">
            <v>Depreciation &amp; amortization add-back</v>
          </cell>
          <cell r="C83" t="str">
            <v>DEPR_AMORT</v>
          </cell>
          <cell r="D83" t="str">
            <v>GBP</v>
          </cell>
          <cell r="F83">
            <v>8.2070000000000007</v>
          </cell>
          <cell r="G83">
            <v>8.3450000000000006</v>
          </cell>
          <cell r="H83">
            <v>9.782</v>
          </cell>
          <cell r="I83">
            <v>9.2710000000000008</v>
          </cell>
          <cell r="J83">
            <v>9.09</v>
          </cell>
          <cell r="K83">
            <v>8.5660000000000007</v>
          </cell>
          <cell r="L83">
            <v>7.1920000000000002</v>
          </cell>
          <cell r="M83">
            <v>7.0970000000000004</v>
          </cell>
          <cell r="N83">
            <v>9.2720000000000002</v>
          </cell>
          <cell r="O83">
            <v>17.841999999999999</v>
          </cell>
          <cell r="P83">
            <v>26.503</v>
          </cell>
          <cell r="Q83">
            <v>29.334</v>
          </cell>
          <cell r="R83">
            <v>29.757000000000001</v>
          </cell>
          <cell r="S83">
            <v>30.969000000000001</v>
          </cell>
          <cell r="T83">
            <v>40.253</v>
          </cell>
          <cell r="U83">
            <v>29.1</v>
          </cell>
          <cell r="V83">
            <v>0</v>
          </cell>
          <cell r="W83">
            <v>0</v>
          </cell>
          <cell r="X83">
            <v>31.7</v>
          </cell>
          <cell r="Y83">
            <v>0</v>
          </cell>
          <cell r="AA83">
            <v>71.8</v>
          </cell>
          <cell r="AD83">
            <v>108.5</v>
          </cell>
          <cell r="AG83">
            <v>126.4</v>
          </cell>
          <cell r="AJ83">
            <v>125.4</v>
          </cell>
          <cell r="AM83">
            <v>144.1</v>
          </cell>
          <cell r="AN83">
            <v>154.69999999999999</v>
          </cell>
          <cell r="AO83">
            <v>164.00467072355599</v>
          </cell>
          <cell r="AP83">
            <v>168.81925160016399</v>
          </cell>
          <cell r="AQ83">
            <v>184.88932911337599</v>
          </cell>
          <cell r="AR83">
            <v>201.89111353238599</v>
          </cell>
          <cell r="AS83">
            <v>219.10569363451799</v>
          </cell>
          <cell r="AT83">
            <v>237.790097356003</v>
          </cell>
          <cell r="AU83">
            <v>258.41149119251298</v>
          </cell>
          <cell r="AV83">
            <v>280.86512289442697</v>
          </cell>
        </row>
        <row r="84">
          <cell r="B84" t="str">
            <v>(Increase)/decrease in working capital</v>
          </cell>
          <cell r="C84" t="str">
            <v>WORK_CAP</v>
          </cell>
          <cell r="D84" t="str">
            <v>GBP</v>
          </cell>
          <cell r="F84">
            <v>0.45300000000000001</v>
          </cell>
          <cell r="G84">
            <v>12.912000000000001</v>
          </cell>
          <cell r="H84">
            <v>-7.2130000000000001</v>
          </cell>
          <cell r="I84">
            <v>2.6779999999999999</v>
          </cell>
          <cell r="J84">
            <v>-2.9239999999999999</v>
          </cell>
          <cell r="K84">
            <v>-13.736000000000001</v>
          </cell>
          <cell r="L84">
            <v>-2.1669999999999998</v>
          </cell>
          <cell r="M84">
            <v>1.9370000000000001</v>
          </cell>
          <cell r="N84">
            <v>-3.585</v>
          </cell>
          <cell r="O84">
            <v>-16.518999999999998</v>
          </cell>
          <cell r="P84">
            <v>-9.2799999999999994</v>
          </cell>
          <cell r="Q84">
            <v>-8.1379999999999999</v>
          </cell>
          <cell r="R84">
            <v>-8.8260000000000005</v>
          </cell>
          <cell r="S84">
            <v>-12.801</v>
          </cell>
          <cell r="T84">
            <v>-0.14599999999999999</v>
          </cell>
          <cell r="U84">
            <v>-4.0999999999999996</v>
          </cell>
          <cell r="V84">
            <v>0</v>
          </cell>
          <cell r="W84">
            <v>0</v>
          </cell>
          <cell r="X84">
            <v>-16.3</v>
          </cell>
          <cell r="Y84">
            <v>0</v>
          </cell>
          <cell r="AA84">
            <v>-8.9</v>
          </cell>
          <cell r="AD84">
            <v>-24.9</v>
          </cell>
          <cell r="AG84">
            <v>13.5</v>
          </cell>
          <cell r="AJ84">
            <v>-24.3</v>
          </cell>
          <cell r="AM84">
            <v>1.6</v>
          </cell>
          <cell r="AN84">
            <v>-11.3</v>
          </cell>
          <cell r="AO84">
            <v>-20.209239580574</v>
          </cell>
          <cell r="AP84">
            <v>-10.457008238786999</v>
          </cell>
          <cell r="AQ84">
            <v>-34.903335775301997</v>
          </cell>
          <cell r="AR84">
            <v>-36.926952584273998</v>
          </cell>
          <cell r="AS84">
            <v>-37.389133253499999</v>
          </cell>
          <cell r="AT84">
            <v>-40.581510345307002</v>
          </cell>
          <cell r="AU84">
            <v>-44.788547699205999</v>
          </cell>
          <cell r="AV84">
            <v>-48.768068854837999</v>
          </cell>
        </row>
        <row r="85">
          <cell r="B85" t="str">
            <v>Other operating cash flow items</v>
          </cell>
          <cell r="C85" t="str">
            <v>OTH_OP_CF</v>
          </cell>
          <cell r="D85" t="str">
            <v>GBP</v>
          </cell>
          <cell r="F85">
            <v>-8.7210000000000001</v>
          </cell>
          <cell r="G85">
            <v>-3.2240000000000002</v>
          </cell>
          <cell r="H85">
            <v>-1.706</v>
          </cell>
          <cell r="I85">
            <v>5.2290000000000001</v>
          </cell>
          <cell r="J85">
            <v>2.5270000000000001</v>
          </cell>
          <cell r="K85">
            <v>0.66400000000000003</v>
          </cell>
          <cell r="L85">
            <v>3.637</v>
          </cell>
          <cell r="M85">
            <v>1.427</v>
          </cell>
          <cell r="N85">
            <v>1.7170000000000001</v>
          </cell>
          <cell r="O85">
            <v>-3.0409999999999999</v>
          </cell>
          <cell r="P85">
            <v>-7.1653060000000002</v>
          </cell>
          <cell r="Q85">
            <v>-17.806557999999999</v>
          </cell>
          <cell r="R85">
            <v>-13.322749</v>
          </cell>
          <cell r="S85">
            <v>-10.858356000000001</v>
          </cell>
          <cell r="T85">
            <v>-28.395</v>
          </cell>
          <cell r="U85">
            <v>-18.8</v>
          </cell>
          <cell r="V85">
            <v>0</v>
          </cell>
          <cell r="W85">
            <v>0</v>
          </cell>
          <cell r="X85">
            <v>-16.3</v>
          </cell>
          <cell r="Y85">
            <v>0</v>
          </cell>
          <cell r="AA85">
            <v>-35.799999999999997</v>
          </cell>
          <cell r="AD85">
            <v>-56.7</v>
          </cell>
          <cell r="AG85">
            <v>-71.965999999999994</v>
          </cell>
          <cell r="AJ85">
            <v>-41.2</v>
          </cell>
          <cell r="AM85">
            <v>-85.8</v>
          </cell>
          <cell r="AN85">
            <v>-55.1</v>
          </cell>
          <cell r="AO85">
            <v>-49.489385221164</v>
          </cell>
          <cell r="AP85">
            <v>-50.208304537581</v>
          </cell>
          <cell r="AQ85">
            <v>-52.607908872133002</v>
          </cell>
          <cell r="AR85">
            <v>-55.146636862302003</v>
          </cell>
          <cell r="AS85">
            <v>-57.71713977348</v>
          </cell>
          <cell r="AT85">
            <v>-60.507118609720003</v>
          </cell>
          <cell r="AU85">
            <v>-63.586331264039998</v>
          </cell>
          <cell r="AV85">
            <v>-66.939135997809998</v>
          </cell>
        </row>
        <row r="86">
          <cell r="B86" t="str">
            <v>Cash flow from operating activities</v>
          </cell>
          <cell r="C86" t="str">
            <v>CF_OPS</v>
          </cell>
          <cell r="D86" t="str">
            <v>GBP</v>
          </cell>
          <cell r="F86">
            <v>14.266999999999999</v>
          </cell>
          <cell r="G86">
            <v>29.843</v>
          </cell>
          <cell r="H86">
            <v>17.896000000000001</v>
          </cell>
          <cell r="I86">
            <v>32.531999999999996</v>
          </cell>
          <cell r="J86">
            <v>17.837</v>
          </cell>
          <cell r="K86">
            <v>6.7</v>
          </cell>
          <cell r="L86">
            <v>23.856000000000002</v>
          </cell>
          <cell r="M86">
            <v>30.797999999999998</v>
          </cell>
          <cell r="N86">
            <v>31.152999999999999</v>
          </cell>
          <cell r="O86">
            <v>31.695</v>
          </cell>
          <cell r="P86">
            <v>55.112000000000002</v>
          </cell>
          <cell r="Q86">
            <v>52.704000000000001</v>
          </cell>
          <cell r="R86">
            <v>56.774000000000001</v>
          </cell>
          <cell r="S86">
            <v>60.66</v>
          </cell>
          <cell r="T86">
            <v>78.094999999999999</v>
          </cell>
          <cell r="U86">
            <v>92.3</v>
          </cell>
          <cell r="X86">
            <v>96</v>
          </cell>
          <cell r="AA86">
            <v>156.9</v>
          </cell>
          <cell r="AD86">
            <v>202.1</v>
          </cell>
          <cell r="AG86">
            <v>238.9</v>
          </cell>
          <cell r="AJ86">
            <v>252</v>
          </cell>
          <cell r="AM86">
            <v>305.39999999999998</v>
          </cell>
          <cell r="AN86">
            <v>331.6</v>
          </cell>
          <cell r="AO86">
            <v>353.165418251625</v>
          </cell>
          <cell r="AP86">
            <v>386.31819102919701</v>
          </cell>
          <cell r="AQ86">
            <v>394.68167888827202</v>
          </cell>
          <cell r="AR86">
            <v>426.67652652228702</v>
          </cell>
          <cell r="AS86">
            <v>459.628094073059</v>
          </cell>
          <cell r="AT86">
            <v>493.22558728959899</v>
          </cell>
          <cell r="AU86">
            <v>529.66478336257796</v>
          </cell>
          <cell r="AV86">
            <v>569.94258887494004</v>
          </cell>
        </row>
        <row r="87">
          <cell r="B87" t="str">
            <v>Capital expenditures, Capex</v>
          </cell>
          <cell r="C87" t="str">
            <v>CAPEX</v>
          </cell>
          <cell r="D87" t="str">
            <v>GBP</v>
          </cell>
          <cell r="F87">
            <v>-7.3999999999999996E-2</v>
          </cell>
          <cell r="G87">
            <v>-8.4730000000000008</v>
          </cell>
          <cell r="H87">
            <v>-6.4240000000000004</v>
          </cell>
          <cell r="I87">
            <v>-6.8019999999999996</v>
          </cell>
          <cell r="J87">
            <v>-7.8550000000000004</v>
          </cell>
          <cell r="K87">
            <v>-7.5529999999999999</v>
          </cell>
          <cell r="L87">
            <v>-7.7510000000000003</v>
          </cell>
          <cell r="M87">
            <v>-10.734999999999999</v>
          </cell>
          <cell r="N87">
            <v>-7.7</v>
          </cell>
          <cell r="O87">
            <v>-8.3670000000000009</v>
          </cell>
          <cell r="P87">
            <v>-12.82</v>
          </cell>
          <cell r="Q87">
            <v>-15.898</v>
          </cell>
          <cell r="R87">
            <v>-12.417</v>
          </cell>
          <cell r="S87">
            <v>-9.9060000000000006</v>
          </cell>
          <cell r="T87">
            <v>-13.967000000000001</v>
          </cell>
          <cell r="U87">
            <v>-15.7</v>
          </cell>
          <cell r="V87">
            <v>0</v>
          </cell>
          <cell r="W87">
            <v>0</v>
          </cell>
          <cell r="X87">
            <v>-26.9</v>
          </cell>
          <cell r="Y87">
            <v>0</v>
          </cell>
          <cell r="AA87">
            <v>-37.9</v>
          </cell>
          <cell r="AD87">
            <v>-34.700000000000003</v>
          </cell>
          <cell r="AG87">
            <v>-17.8</v>
          </cell>
          <cell r="AJ87">
            <v>-13.8</v>
          </cell>
          <cell r="AM87">
            <v>-19.5</v>
          </cell>
          <cell r="AN87">
            <v>-115.4</v>
          </cell>
          <cell r="AO87">
            <v>-108.493745727293</v>
          </cell>
          <cell r="AP87">
            <v>-111.67872766168399</v>
          </cell>
          <cell r="AQ87">
            <v>-122.309540161379</v>
          </cell>
          <cell r="AR87">
            <v>-133.55670323013899</v>
          </cell>
          <cell r="AS87">
            <v>-144.944636684492</v>
          </cell>
          <cell r="AT87">
            <v>-157.30490019090001</v>
          </cell>
          <cell r="AU87">
            <v>-170.94653764896901</v>
          </cell>
          <cell r="AV87">
            <v>-185.80025247168899</v>
          </cell>
        </row>
        <row r="88">
          <cell r="B88" t="str">
            <v>Acquisitions</v>
          </cell>
          <cell r="C88" t="str">
            <v>ACQ</v>
          </cell>
          <cell r="D88" t="str">
            <v>GBP</v>
          </cell>
          <cell r="F88">
            <v>-11.365</v>
          </cell>
          <cell r="G88">
            <v>-3.2229999999999999</v>
          </cell>
          <cell r="H88">
            <v>-31.25</v>
          </cell>
          <cell r="I88">
            <v>-4.9690000000000003</v>
          </cell>
          <cell r="J88">
            <v>-1.216</v>
          </cell>
          <cell r="K88">
            <v>-4.3609999999999998</v>
          </cell>
          <cell r="L88">
            <v>-14.726000000000001</v>
          </cell>
          <cell r="M88">
            <v>-5.22</v>
          </cell>
          <cell r="N88">
            <v>-60.451000000000001</v>
          </cell>
          <cell r="O88">
            <v>-251.18799999999999</v>
          </cell>
          <cell r="P88">
            <v>-16.556999999999999</v>
          </cell>
          <cell r="Q88">
            <v>-1.7350000000000001</v>
          </cell>
          <cell r="R88">
            <v>-54.399000000000001</v>
          </cell>
          <cell r="S88">
            <v>-60.442999999999998</v>
          </cell>
          <cell r="T88">
            <v>-433.53300000000002</v>
          </cell>
          <cell r="U88">
            <v>1.4</v>
          </cell>
          <cell r="V88">
            <v>0</v>
          </cell>
          <cell r="W88">
            <v>0</v>
          </cell>
          <cell r="X88">
            <v>-81.599999999999994</v>
          </cell>
          <cell r="Y88">
            <v>0</v>
          </cell>
          <cell r="AA88">
            <v>-908.6</v>
          </cell>
          <cell r="AD88">
            <v>-9.1999999999999993</v>
          </cell>
          <cell r="AG88">
            <v>-1</v>
          </cell>
          <cell r="AJ88">
            <v>0</v>
          </cell>
          <cell r="AM88">
            <v>-417.6</v>
          </cell>
          <cell r="AN88">
            <v>-8.4</v>
          </cell>
          <cell r="AP88">
            <v>-50</v>
          </cell>
          <cell r="AQ88">
            <v>-150</v>
          </cell>
          <cell r="AR88">
            <v>-160</v>
          </cell>
          <cell r="AS88">
            <v>-170</v>
          </cell>
          <cell r="AT88">
            <v>-180</v>
          </cell>
          <cell r="AU88">
            <v>-190</v>
          </cell>
          <cell r="AV88">
            <v>-200</v>
          </cell>
        </row>
        <row r="89">
          <cell r="B89" t="str">
            <v>Divestitures</v>
          </cell>
          <cell r="C89" t="str">
            <v>DIVEST</v>
          </cell>
          <cell r="D89" t="str">
            <v>GBP</v>
          </cell>
          <cell r="F89">
            <v>0.74</v>
          </cell>
          <cell r="G89">
            <v>0.221</v>
          </cell>
          <cell r="H89">
            <v>0.624</v>
          </cell>
          <cell r="I89">
            <v>0.254</v>
          </cell>
          <cell r="J89">
            <v>2.2519999999999998</v>
          </cell>
          <cell r="K89">
            <v>29.198</v>
          </cell>
          <cell r="L89">
            <v>-2.2989999999999999</v>
          </cell>
          <cell r="M89">
            <v>0</v>
          </cell>
          <cell r="N89">
            <v>0</v>
          </cell>
          <cell r="O89">
            <v>1.6930000000000001</v>
          </cell>
          <cell r="P89">
            <v>33.210999999999999</v>
          </cell>
          <cell r="Q89">
            <v>18.866</v>
          </cell>
          <cell r="R89">
            <v>17.350999999999999</v>
          </cell>
          <cell r="S89">
            <v>3.4430000000000001</v>
          </cell>
          <cell r="T89">
            <v>2.5000000000000001E-2</v>
          </cell>
          <cell r="U89">
            <v>0</v>
          </cell>
          <cell r="V89">
            <v>0</v>
          </cell>
          <cell r="W89">
            <v>0</v>
          </cell>
          <cell r="X89">
            <v>0.8</v>
          </cell>
          <cell r="Y89">
            <v>0</v>
          </cell>
          <cell r="AA89">
            <v>0</v>
          </cell>
          <cell r="AD89">
            <v>19.899999999999999</v>
          </cell>
          <cell r="AG89">
            <v>0.3</v>
          </cell>
          <cell r="AJ89">
            <v>0</v>
          </cell>
          <cell r="AM89">
            <v>0</v>
          </cell>
          <cell r="AN89">
            <v>15.9</v>
          </cell>
        </row>
        <row r="90">
          <cell r="B90" t="str">
            <v>Other investing cash flow items</v>
          </cell>
          <cell r="C90" t="str">
            <v>OTH_INV_CF</v>
          </cell>
          <cell r="D90" t="str">
            <v>GBP</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-5.01</v>
          </cell>
          <cell r="U90">
            <v>-11.5</v>
          </cell>
          <cell r="V90">
            <v>0</v>
          </cell>
          <cell r="W90">
            <v>0</v>
          </cell>
          <cell r="X90">
            <v>-26.6</v>
          </cell>
          <cell r="Y90">
            <v>0</v>
          </cell>
          <cell r="AA90">
            <v>-45.8</v>
          </cell>
          <cell r="AD90">
            <v>-65.2</v>
          </cell>
          <cell r="AG90">
            <v>-66.099999999999994</v>
          </cell>
          <cell r="AJ90">
            <v>-75.599999999999994</v>
          </cell>
          <cell r="AM90">
            <v>-101.4</v>
          </cell>
          <cell r="AN90">
            <v>-36.1</v>
          </cell>
          <cell r="AO90">
            <v>-36.1</v>
          </cell>
          <cell r="AP90">
            <v>-36.1</v>
          </cell>
          <cell r="AQ90">
            <v>-36.1</v>
          </cell>
          <cell r="AR90">
            <v>-36.1</v>
          </cell>
          <cell r="AS90">
            <v>-36.1</v>
          </cell>
          <cell r="AT90">
            <v>-36.1</v>
          </cell>
          <cell r="AU90">
            <v>-36.1</v>
          </cell>
          <cell r="AV90">
            <v>-36.1</v>
          </cell>
        </row>
        <row r="91">
          <cell r="B91" t="str">
            <v>Cash flow from investing</v>
          </cell>
          <cell r="C91" t="str">
            <v>CF_INV</v>
          </cell>
          <cell r="D91" t="str">
            <v>GBP</v>
          </cell>
          <cell r="F91">
            <v>-10.699</v>
          </cell>
          <cell r="G91">
            <v>-11.475</v>
          </cell>
          <cell r="H91">
            <v>-37.049999999999997</v>
          </cell>
          <cell r="I91">
            <v>-11.516999999999999</v>
          </cell>
          <cell r="J91">
            <v>-6.819</v>
          </cell>
          <cell r="K91">
            <v>17.283999999999999</v>
          </cell>
          <cell r="L91">
            <v>-24.776</v>
          </cell>
          <cell r="M91">
            <v>-15.955</v>
          </cell>
          <cell r="N91">
            <v>-68.150999999999996</v>
          </cell>
          <cell r="O91">
            <v>-257.86200000000002</v>
          </cell>
          <cell r="P91">
            <v>3.8340000000000001</v>
          </cell>
          <cell r="Q91">
            <v>1.2330000000000001</v>
          </cell>
          <cell r="R91">
            <v>-49.465000000000003</v>
          </cell>
          <cell r="S91">
            <v>-66.906000000000006</v>
          </cell>
          <cell r="T91">
            <v>-452.48500000000001</v>
          </cell>
          <cell r="U91">
            <v>-25.8</v>
          </cell>
          <cell r="X91">
            <v>-134.30000000000001</v>
          </cell>
          <cell r="AA91">
            <v>-992.3</v>
          </cell>
          <cell r="AD91">
            <v>-89.2</v>
          </cell>
          <cell r="AG91">
            <v>-84.6</v>
          </cell>
          <cell r="AJ91">
            <v>-89.4</v>
          </cell>
          <cell r="AM91">
            <v>-538.5</v>
          </cell>
          <cell r="AN91">
            <v>-144</v>
          </cell>
          <cell r="AO91">
            <v>-144.593745727293</v>
          </cell>
          <cell r="AP91">
            <v>-197.778727661684</v>
          </cell>
          <cell r="AQ91">
            <v>-308.40954016137903</v>
          </cell>
          <cell r="AR91">
            <v>-329.65670323014001</v>
          </cell>
          <cell r="AS91">
            <v>-351.04463668449199</v>
          </cell>
          <cell r="AT91">
            <v>-373.40490019089998</v>
          </cell>
          <cell r="AU91">
            <v>-397.04653764896898</v>
          </cell>
          <cell r="AV91">
            <v>-421.90025247168899</v>
          </cell>
        </row>
        <row r="92">
          <cell r="B92" t="str">
            <v>Dividends paid</v>
          </cell>
          <cell r="C92" t="str">
            <v>DIV_PAID</v>
          </cell>
          <cell r="D92" t="str">
            <v>GBP</v>
          </cell>
          <cell r="F92">
            <v>-6.0339999999999998</v>
          </cell>
          <cell r="G92">
            <v>-6.3579999999999997</v>
          </cell>
          <cell r="H92">
            <v>-8.5850000000000009</v>
          </cell>
          <cell r="I92">
            <v>-8.2550000000000008</v>
          </cell>
          <cell r="J92">
            <v>-8.5050000000000008</v>
          </cell>
          <cell r="K92">
            <v>-8.5180000000000007</v>
          </cell>
          <cell r="L92">
            <v>-8.6579999999999995</v>
          </cell>
          <cell r="M92">
            <v>-9.5410000000000004</v>
          </cell>
          <cell r="N92">
            <v>-6.7880000000000003</v>
          </cell>
          <cell r="O92">
            <v>-9.3490000000000002</v>
          </cell>
          <cell r="P92">
            <v>-9.4469999999999992</v>
          </cell>
          <cell r="Q92">
            <v>-14.116</v>
          </cell>
          <cell r="R92">
            <v>-18.062000000000001</v>
          </cell>
          <cell r="S92">
            <v>-12.162000000000001</v>
          </cell>
          <cell r="T92">
            <v>-13.529</v>
          </cell>
          <cell r="U92">
            <v>-26</v>
          </cell>
          <cell r="V92">
            <v>0</v>
          </cell>
          <cell r="W92">
            <v>0</v>
          </cell>
          <cell r="X92">
            <v>-32</v>
          </cell>
          <cell r="Y92">
            <v>0</v>
          </cell>
          <cell r="AA92">
            <v>-35.6</v>
          </cell>
          <cell r="AD92">
            <v>-40.299999999999997</v>
          </cell>
          <cell r="AG92">
            <v>-29.6</v>
          </cell>
          <cell r="AJ92">
            <v>-29.7</v>
          </cell>
          <cell r="AM92">
            <v>-48.4</v>
          </cell>
          <cell r="AN92">
            <v>-85</v>
          </cell>
          <cell r="AO92">
            <v>-80.356463173823002</v>
          </cell>
          <cell r="AP92">
            <v>-88.392109491205005</v>
          </cell>
          <cell r="AQ92">
            <v>-97.231320440325007</v>
          </cell>
          <cell r="AR92">
            <v>-106.954452484358</v>
          </cell>
          <cell r="AS92">
            <v>-117.649897732794</v>
          </cell>
          <cell r="AT92">
            <v>-129.414887506073</v>
          </cell>
          <cell r="AU92">
            <v>-142.35637625667999</v>
          </cell>
          <cell r="AV92">
            <v>-156.592013882348</v>
          </cell>
        </row>
        <row r="93">
          <cell r="B93" t="str">
            <v>Common stock issuance/(repurchase)</v>
          </cell>
          <cell r="C93" t="str">
            <v>SH_REPUR</v>
          </cell>
          <cell r="D93" t="str">
            <v>GBP</v>
          </cell>
          <cell r="F93">
            <v>5.8999999999999997E-2</v>
          </cell>
          <cell r="G93">
            <v>39.829000000000001</v>
          </cell>
          <cell r="H93">
            <v>0.218</v>
          </cell>
          <cell r="I93">
            <v>0.316</v>
          </cell>
          <cell r="J93">
            <v>0.55700000000000005</v>
          </cell>
          <cell r="K93">
            <v>0.27900000000000003</v>
          </cell>
          <cell r="L93">
            <v>0.97299999999999998</v>
          </cell>
          <cell r="M93">
            <v>1.5569999999999999</v>
          </cell>
          <cell r="N93">
            <v>-0.66300000000000003</v>
          </cell>
          <cell r="O93">
            <v>78.849000000000004</v>
          </cell>
          <cell r="P93">
            <v>0.97399999999999998</v>
          </cell>
          <cell r="Q93">
            <v>0.97399999999999998</v>
          </cell>
          <cell r="R93">
            <v>2.3170000000000002</v>
          </cell>
          <cell r="S93">
            <v>1.8759999999999999</v>
          </cell>
          <cell r="T93">
            <v>182.917</v>
          </cell>
          <cell r="U93">
            <v>2.8</v>
          </cell>
          <cell r="V93">
            <v>0</v>
          </cell>
          <cell r="W93">
            <v>0</v>
          </cell>
          <cell r="X93">
            <v>3.7</v>
          </cell>
          <cell r="Y93">
            <v>0</v>
          </cell>
          <cell r="AA93">
            <v>430</v>
          </cell>
          <cell r="AD93">
            <v>2.1</v>
          </cell>
          <cell r="AG93">
            <v>1.3</v>
          </cell>
          <cell r="AJ93">
            <v>4.2</v>
          </cell>
          <cell r="AM93">
            <v>249.5</v>
          </cell>
          <cell r="AN93">
            <v>0.9</v>
          </cell>
        </row>
        <row r="94">
          <cell r="B94" t="str">
            <v>Increase/(decrease) in total debt</v>
          </cell>
          <cell r="C94" t="str">
            <v>CHG_LT_DEBT</v>
          </cell>
          <cell r="D94" t="str">
            <v>GBP</v>
          </cell>
          <cell r="F94">
            <v>48.411999999999999</v>
          </cell>
          <cell r="G94">
            <v>-12.349</v>
          </cell>
          <cell r="H94">
            <v>27.808</v>
          </cell>
          <cell r="I94">
            <v>23.972000000000001</v>
          </cell>
          <cell r="J94">
            <v>-35.103000000000002</v>
          </cell>
          <cell r="K94">
            <v>1.0660000000000001</v>
          </cell>
          <cell r="L94">
            <v>-10.034000000000001</v>
          </cell>
          <cell r="M94">
            <v>1.19</v>
          </cell>
          <cell r="N94">
            <v>52.241</v>
          </cell>
          <cell r="O94">
            <v>141.75899999999999</v>
          </cell>
          <cell r="P94">
            <v>-25.553999999999998</v>
          </cell>
          <cell r="Q94">
            <v>-33.174999999999997</v>
          </cell>
          <cell r="R94">
            <v>-13.512</v>
          </cell>
          <cell r="S94">
            <v>-3.53</v>
          </cell>
          <cell r="T94">
            <v>208.965</v>
          </cell>
          <cell r="U94">
            <v>-12.356</v>
          </cell>
          <cell r="V94">
            <v>0</v>
          </cell>
          <cell r="W94">
            <v>0</v>
          </cell>
          <cell r="X94">
            <v>37.5</v>
          </cell>
          <cell r="Y94">
            <v>0</v>
          </cell>
          <cell r="AA94">
            <v>483</v>
          </cell>
          <cell r="AD94">
            <v>234.9</v>
          </cell>
          <cell r="AG94">
            <v>-243.7</v>
          </cell>
          <cell r="AJ94">
            <v>-98.2</v>
          </cell>
          <cell r="AM94">
            <v>109.7</v>
          </cell>
          <cell r="AN94">
            <v>-103.4</v>
          </cell>
        </row>
        <row r="95">
          <cell r="B95" t="str">
            <v>Other financing cash flow items</v>
          </cell>
          <cell r="C95" t="str">
            <v>OTH_FIN_CF</v>
          </cell>
          <cell r="D95" t="str">
            <v>GBP</v>
          </cell>
          <cell r="N95">
            <v>0</v>
          </cell>
          <cell r="O95">
            <v>0</v>
          </cell>
          <cell r="P95">
            <v>0</v>
          </cell>
          <cell r="Q95">
            <v>0</v>
          </cell>
          <cell r="R95">
            <v>0</v>
          </cell>
          <cell r="S95">
            <v>0</v>
          </cell>
          <cell r="T95">
            <v>0</v>
          </cell>
          <cell r="U95">
            <v>0</v>
          </cell>
          <cell r="V95">
            <v>0</v>
          </cell>
          <cell r="W95">
            <v>0</v>
          </cell>
          <cell r="X95">
            <v>0</v>
          </cell>
          <cell r="Y95">
            <v>0</v>
          </cell>
          <cell r="AA95">
            <v>0</v>
          </cell>
          <cell r="AD95">
            <v>13.4</v>
          </cell>
          <cell r="AG95">
            <v>26.8</v>
          </cell>
          <cell r="AJ95">
            <v>27.8</v>
          </cell>
          <cell r="AM95">
            <v>22.3</v>
          </cell>
          <cell r="AN95">
            <v>11.2</v>
          </cell>
        </row>
        <row r="96">
          <cell r="B96" t="str">
            <v>Cash flow from financing</v>
          </cell>
          <cell r="C96" t="str">
            <v>CF_FIN</v>
          </cell>
          <cell r="D96" t="str">
            <v>GBP</v>
          </cell>
          <cell r="F96">
            <v>42.436999999999998</v>
          </cell>
          <cell r="G96">
            <v>21.122</v>
          </cell>
          <cell r="H96">
            <v>19.440999999999999</v>
          </cell>
          <cell r="I96">
            <v>16.033000000000001</v>
          </cell>
          <cell r="J96">
            <v>-43.051000000000002</v>
          </cell>
          <cell r="K96">
            <v>-7.173</v>
          </cell>
          <cell r="L96">
            <v>-17.719000000000001</v>
          </cell>
          <cell r="M96">
            <v>-6.7939999999999996</v>
          </cell>
          <cell r="N96">
            <v>44.79</v>
          </cell>
          <cell r="O96">
            <v>211.25899999999999</v>
          </cell>
          <cell r="P96">
            <v>-34.027000000000001</v>
          </cell>
          <cell r="Q96">
            <v>-46.317</v>
          </cell>
          <cell r="R96">
            <v>-29.257000000000001</v>
          </cell>
          <cell r="S96">
            <v>-13.816000000000001</v>
          </cell>
          <cell r="T96">
            <v>378.35300000000001</v>
          </cell>
          <cell r="U96">
            <v>-35.555999999999997</v>
          </cell>
          <cell r="X96">
            <v>9.1999999999999993</v>
          </cell>
          <cell r="AA96">
            <v>877.4</v>
          </cell>
          <cell r="AD96">
            <v>196.7</v>
          </cell>
          <cell r="AG96">
            <v>-272</v>
          </cell>
          <cell r="AJ96">
            <v>-123.7</v>
          </cell>
          <cell r="AM96">
            <v>310.8</v>
          </cell>
          <cell r="AN96">
            <v>-176.3</v>
          </cell>
          <cell r="AO96">
            <v>-80.356463173823002</v>
          </cell>
          <cell r="AP96">
            <v>-88.392109491205005</v>
          </cell>
          <cell r="AQ96">
            <v>-97.231320440325007</v>
          </cell>
          <cell r="AR96">
            <v>-106.954452484358</v>
          </cell>
          <cell r="AS96">
            <v>-117.649897732794</v>
          </cell>
          <cell r="AT96">
            <v>-129.414887506073</v>
          </cell>
          <cell r="AU96">
            <v>-142.35637625667999</v>
          </cell>
          <cell r="AV96">
            <v>-156.592013882348</v>
          </cell>
        </row>
        <row r="97">
          <cell r="B97" t="str">
            <v>Other items net cash flow</v>
          </cell>
          <cell r="C97" t="str">
            <v>OTH_ITEM_NCF</v>
          </cell>
          <cell r="D97" t="str">
            <v>GBP</v>
          </cell>
          <cell r="F97">
            <v>-4.5289999999999999</v>
          </cell>
          <cell r="G97">
            <v>5.7869999999999999</v>
          </cell>
          <cell r="H97">
            <v>-6.407</v>
          </cell>
          <cell r="I97">
            <v>-18.914999999999999</v>
          </cell>
          <cell r="J97">
            <v>-3.399</v>
          </cell>
          <cell r="K97">
            <v>-0.39</v>
          </cell>
          <cell r="L97">
            <v>1.385</v>
          </cell>
          <cell r="M97">
            <v>-1.6619999999999999</v>
          </cell>
          <cell r="N97">
            <v>-8.6170000000000009</v>
          </cell>
          <cell r="O97">
            <v>1.194</v>
          </cell>
          <cell r="P97">
            <v>-19.835000000000001</v>
          </cell>
          <cell r="Q97">
            <v>-7.702</v>
          </cell>
          <cell r="R97">
            <v>18.2</v>
          </cell>
          <cell r="S97">
            <v>15.682</v>
          </cell>
          <cell r="T97">
            <v>17.318000000000001</v>
          </cell>
          <cell r="U97">
            <v>-29.395</v>
          </cell>
          <cell r="X97">
            <v>27.2</v>
          </cell>
          <cell r="AA97">
            <v>-20.7</v>
          </cell>
          <cell r="AD97">
            <v>-307.2</v>
          </cell>
          <cell r="AG97">
            <v>113.3</v>
          </cell>
          <cell r="AJ97">
            <v>-49.9</v>
          </cell>
          <cell r="AM97">
            <v>-35</v>
          </cell>
          <cell r="AN97">
            <v>-1</v>
          </cell>
          <cell r="AO97">
            <v>0</v>
          </cell>
          <cell r="AP97">
            <v>0</v>
          </cell>
          <cell r="AQ97">
            <v>0</v>
          </cell>
          <cell r="AR97">
            <v>0</v>
          </cell>
          <cell r="AS97">
            <v>0</v>
          </cell>
          <cell r="AT97">
            <v>0</v>
          </cell>
          <cell r="AU97">
            <v>0</v>
          </cell>
          <cell r="AV97">
            <v>0</v>
          </cell>
        </row>
        <row r="98">
          <cell r="B98" t="str">
            <v>Total cash flow</v>
          </cell>
          <cell r="C98" t="str">
            <v>TOT_CF</v>
          </cell>
          <cell r="D98" t="str">
            <v>GBP</v>
          </cell>
          <cell r="F98">
            <v>41.475999999999999</v>
          </cell>
          <cell r="G98">
            <v>45.277000000000001</v>
          </cell>
          <cell r="H98">
            <v>-6.12</v>
          </cell>
          <cell r="I98">
            <v>18.132999999999999</v>
          </cell>
          <cell r="J98">
            <v>-35.432000000000002</v>
          </cell>
          <cell r="K98">
            <v>16.420999999999999</v>
          </cell>
          <cell r="L98">
            <v>-17.254000000000001</v>
          </cell>
          <cell r="M98">
            <v>6.3869999999999996</v>
          </cell>
          <cell r="N98">
            <v>-0.82499999999999996</v>
          </cell>
          <cell r="O98">
            <v>-13.714</v>
          </cell>
          <cell r="P98">
            <v>5.0839999999999996</v>
          </cell>
          <cell r="Q98">
            <v>-8.2000000000000003E-2</v>
          </cell>
          <cell r="R98">
            <v>-3.7480000000000002</v>
          </cell>
          <cell r="S98">
            <v>-4.38</v>
          </cell>
          <cell r="T98">
            <v>21.280999999999999</v>
          </cell>
          <cell r="U98">
            <v>1.5489999999999999</v>
          </cell>
          <cell r="X98">
            <v>-1.9</v>
          </cell>
          <cell r="AA98">
            <v>21.3</v>
          </cell>
          <cell r="AD98">
            <v>2.4</v>
          </cell>
          <cell r="AG98">
            <v>-4.4000000000000004</v>
          </cell>
          <cell r="AJ98">
            <v>-11</v>
          </cell>
          <cell r="AM98">
            <v>42.7</v>
          </cell>
          <cell r="AN98">
            <v>10.3</v>
          </cell>
          <cell r="AO98">
            <v>128.21520935050901</v>
          </cell>
          <cell r="AP98">
            <v>100.147353876309</v>
          </cell>
          <cell r="AQ98">
            <v>-10.959181713432001</v>
          </cell>
          <cell r="AR98">
            <v>-9.9346291922100001</v>
          </cell>
          <cell r="AS98">
            <v>-9.0664403442260006</v>
          </cell>
          <cell r="AT98">
            <v>-9.5942004073750002</v>
          </cell>
          <cell r="AU98">
            <v>-9.7381305430709997</v>
          </cell>
          <cell r="AV98">
            <v>-8.5496774790969994</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cell r="X105">
            <v>-14.5</v>
          </cell>
          <cell r="AA105">
            <v>-22.4</v>
          </cell>
          <cell r="AD105">
            <v>-23.7</v>
          </cell>
          <cell r="AG105">
            <v>-35.1</v>
          </cell>
          <cell r="AJ105">
            <v>-33.5</v>
          </cell>
          <cell r="AM105">
            <v>-41.2</v>
          </cell>
          <cell r="AN105">
            <v>-52.2</v>
          </cell>
          <cell r="AO105">
            <v>-55.339649720552998</v>
          </cell>
          <cell r="AP105">
            <v>-56.964220643365003</v>
          </cell>
          <cell r="AQ105">
            <v>-62.386703165599002</v>
          </cell>
          <cell r="AR105">
            <v>-68.123569013514</v>
          </cell>
          <cell r="AS105">
            <v>-73.932237929682003</v>
          </cell>
          <cell r="AT105">
            <v>-80.236865429757003</v>
          </cell>
          <cell r="AU105">
            <v>-87.195086233026004</v>
          </cell>
          <cell r="AV105">
            <v>-94.771554072973998</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cell r="X111">
            <v>-14.5</v>
          </cell>
          <cell r="AA111">
            <v>-22.4</v>
          </cell>
          <cell r="AD111">
            <v>-23.7</v>
          </cell>
          <cell r="AG111">
            <v>-35.1</v>
          </cell>
          <cell r="AJ111">
            <v>-33.5</v>
          </cell>
          <cell r="AM111">
            <v>-41.2</v>
          </cell>
          <cell r="AN111">
            <v>-52.2</v>
          </cell>
          <cell r="AO111">
            <v>-55.339649720552998</v>
          </cell>
          <cell r="AP111">
            <v>-56.964220643365003</v>
          </cell>
          <cell r="AQ111">
            <v>-62.386703165599002</v>
          </cell>
          <cell r="AR111">
            <v>-68.123569013514</v>
          </cell>
          <cell r="AS111">
            <v>-73.932237929682003</v>
          </cell>
          <cell r="AT111">
            <v>-80.236865429757003</v>
          </cell>
          <cell r="AU111">
            <v>-87.195086233026004</v>
          </cell>
          <cell r="AV111">
            <v>-94.771554072973998</v>
          </cell>
        </row>
        <row r="112">
          <cell r="B112" t="str">
            <v>Dividends paid to minorities</v>
          </cell>
          <cell r="C112" t="str">
            <v>DIVDS_PD_MINORITIES</v>
          </cell>
          <cell r="D112" t="str">
            <v>GBP</v>
          </cell>
        </row>
        <row r="113">
          <cell r="A113" t="str">
            <v>Other Items</v>
          </cell>
        </row>
        <row r="114">
          <cell r="B114" t="str">
            <v>Number of employees</v>
          </cell>
          <cell r="C114" t="str">
            <v>EMPLOYEES</v>
          </cell>
          <cell r="F114">
            <v>6767</v>
          </cell>
          <cell r="G114">
            <v>6768</v>
          </cell>
          <cell r="H114">
            <v>6611</v>
          </cell>
          <cell r="I114">
            <v>6529</v>
          </cell>
          <cell r="J114">
            <v>5751</v>
          </cell>
          <cell r="K114">
            <v>5448</v>
          </cell>
          <cell r="L114">
            <v>3993</v>
          </cell>
          <cell r="M114">
            <v>3767</v>
          </cell>
          <cell r="N114">
            <v>4187</v>
          </cell>
          <cell r="O114">
            <v>4460</v>
          </cell>
          <cell r="P114">
            <v>4256</v>
          </cell>
          <cell r="Q114">
            <v>4328</v>
          </cell>
          <cell r="R114">
            <v>3720</v>
          </cell>
          <cell r="S114">
            <v>3482</v>
          </cell>
          <cell r="T114">
            <v>4424</v>
          </cell>
          <cell r="U114">
            <v>5682</v>
          </cell>
          <cell r="X114">
            <v>6025</v>
          </cell>
          <cell r="AA114">
            <v>7360</v>
          </cell>
          <cell r="AD114">
            <v>8211</v>
          </cell>
          <cell r="AG114">
            <v>7546</v>
          </cell>
          <cell r="AJ114">
            <v>7188</v>
          </cell>
          <cell r="AM114">
            <v>9357</v>
          </cell>
          <cell r="AN114">
            <v>10.98</v>
          </cell>
          <cell r="AO114">
            <v>10.98</v>
          </cell>
        </row>
        <row r="115">
          <cell r="A115" t="str">
            <v>Geographical Breakdown</v>
          </cell>
        </row>
        <row r="116">
          <cell r="B116" t="str">
            <v>Sales - Total % Americas</v>
          </cell>
          <cell r="C116" t="str">
            <v>SALES_TOT_AM</v>
          </cell>
          <cell r="AG116">
            <v>0.53</v>
          </cell>
          <cell r="AJ116">
            <v>0.53</v>
          </cell>
          <cell r="AM116">
            <v>0.55328798185899997</v>
          </cell>
          <cell r="AN116">
            <v>0.54</v>
          </cell>
          <cell r="AO116">
            <v>0.54</v>
          </cell>
        </row>
        <row r="117">
          <cell r="B117" t="str">
            <v>Sales - % United States</v>
          </cell>
          <cell r="C117" t="str">
            <v>SALES_US</v>
          </cell>
          <cell r="AG117">
            <v>0.5</v>
          </cell>
          <cell r="AJ117">
            <v>0.5</v>
          </cell>
          <cell r="AM117">
            <v>0</v>
          </cell>
          <cell r="AN117">
            <v>0.54</v>
          </cell>
          <cell r="AO117">
            <v>0.54</v>
          </cell>
        </row>
        <row r="119">
          <cell r="B119" t="str">
            <v>Sales - % Brazil</v>
          </cell>
          <cell r="C119" t="str">
            <v>SALES_BRAZIL</v>
          </cell>
          <cell r="AG119">
            <v>0.01</v>
          </cell>
          <cell r="AJ119">
            <v>0.01</v>
          </cell>
          <cell r="AM119">
            <v>0</v>
          </cell>
          <cell r="AN119">
            <v>0</v>
          </cell>
          <cell r="AO119">
            <v>0</v>
          </cell>
        </row>
        <row r="120">
          <cell r="B120" t="str">
            <v>Sales - % Other Americas</v>
          </cell>
          <cell r="C120" t="str">
            <v>SALES_OTH_AM</v>
          </cell>
          <cell r="AG120">
            <v>0</v>
          </cell>
          <cell r="AJ120">
            <v>0</v>
          </cell>
          <cell r="AM120">
            <v>0.55328798185899997</v>
          </cell>
          <cell r="AN120">
            <v>0</v>
          </cell>
          <cell r="AO120">
            <v>0</v>
          </cell>
        </row>
        <row r="121">
          <cell r="B121" t="str">
            <v>Sales - Total % EMEA</v>
          </cell>
          <cell r="C121" t="str">
            <v>SALES_TOT_EMEA</v>
          </cell>
          <cell r="AG121">
            <v>0.38</v>
          </cell>
          <cell r="AJ121">
            <v>0.38</v>
          </cell>
          <cell r="AM121">
            <v>0.31519274376400003</v>
          </cell>
          <cell r="AN121">
            <v>0.32</v>
          </cell>
          <cell r="AO121">
            <v>0.32</v>
          </cell>
        </row>
        <row r="122">
          <cell r="B122" t="str">
            <v>Sales - % UK</v>
          </cell>
          <cell r="C122" t="str">
            <v>SALES_UK</v>
          </cell>
          <cell r="AG122">
            <v>0.12</v>
          </cell>
          <cell r="AJ122">
            <v>0.12</v>
          </cell>
          <cell r="AM122">
            <v>9.2077234933999996E-2</v>
          </cell>
          <cell r="AN122">
            <v>0.1</v>
          </cell>
          <cell r="AO122">
            <v>0.1</v>
          </cell>
        </row>
        <row r="123">
          <cell r="B123" t="str">
            <v>Sales - % Western Europe-Ex UK</v>
          </cell>
          <cell r="C123" t="str">
            <v>SALES_EU_EX_UK</v>
          </cell>
          <cell r="AG123">
            <v>0.23</v>
          </cell>
          <cell r="AJ123">
            <v>0.23</v>
          </cell>
          <cell r="AM123">
            <v>0.22311550883</v>
          </cell>
          <cell r="AN123">
            <v>0.22</v>
          </cell>
          <cell r="AO123">
            <v>0.22</v>
          </cell>
        </row>
        <row r="128">
          <cell r="B128" t="str">
            <v>Sales - % France</v>
          </cell>
          <cell r="C128" t="str">
            <v>SALES_FRA</v>
          </cell>
          <cell r="AN128">
            <v>0</v>
          </cell>
          <cell r="AO128">
            <v>0</v>
          </cell>
        </row>
        <row r="129">
          <cell r="B129" t="str">
            <v>Sales - % Germany</v>
          </cell>
          <cell r="C129" t="str">
            <v>SALES_GER</v>
          </cell>
          <cell r="AN129">
            <v>0</v>
          </cell>
          <cell r="AO129">
            <v>0</v>
          </cell>
        </row>
        <row r="133">
          <cell r="B133" t="str">
            <v>Sales - % Italy</v>
          </cell>
          <cell r="C133" t="str">
            <v>SALES_ITA</v>
          </cell>
          <cell r="AN133">
            <v>0</v>
          </cell>
          <cell r="AO133">
            <v>0</v>
          </cell>
        </row>
        <row r="137">
          <cell r="B137" t="str">
            <v>Sales - % Spain</v>
          </cell>
          <cell r="C137" t="str">
            <v>SALES_SPA</v>
          </cell>
          <cell r="AN137">
            <v>0</v>
          </cell>
          <cell r="AO137">
            <v>0</v>
          </cell>
        </row>
        <row r="138">
          <cell r="B138" t="str">
            <v>Sales - % Other Western Europe-Ex UK</v>
          </cell>
          <cell r="C138" t="str">
            <v>SALES_OTH_EU_EX_UK</v>
          </cell>
          <cell r="AN138">
            <v>0.22</v>
          </cell>
          <cell r="AO138">
            <v>0.22</v>
          </cell>
        </row>
        <row r="141">
          <cell r="B141" t="str">
            <v>Sales - % Central &amp; Eastern Europe</v>
          </cell>
          <cell r="C141" t="str">
            <v>SALES_CEE</v>
          </cell>
          <cell r="AG141">
            <v>0</v>
          </cell>
          <cell r="AJ141">
            <v>0</v>
          </cell>
          <cell r="AM141">
            <v>0</v>
          </cell>
          <cell r="AN141">
            <v>0</v>
          </cell>
          <cell r="AO141">
            <v>0</v>
          </cell>
        </row>
        <row r="142">
          <cell r="B142" t="str">
            <v>Sales - % Middle East</v>
          </cell>
          <cell r="C142" t="str">
            <v>SALES_ME</v>
          </cell>
          <cell r="AG142">
            <v>0.02</v>
          </cell>
          <cell r="AJ142">
            <v>0.02</v>
          </cell>
          <cell r="AM142">
            <v>0</v>
          </cell>
          <cell r="AN142">
            <v>0</v>
          </cell>
          <cell r="AO142">
            <v>0</v>
          </cell>
        </row>
        <row r="143">
          <cell r="B143" t="str">
            <v>Sales - % South Africa</v>
          </cell>
          <cell r="C143" t="str">
            <v>SALES_SO_AFRICA</v>
          </cell>
          <cell r="AN143">
            <v>0</v>
          </cell>
          <cell r="AO143">
            <v>0</v>
          </cell>
        </row>
        <row r="144">
          <cell r="B144" t="str">
            <v>Sales - % Nigeria</v>
          </cell>
          <cell r="C144" t="str">
            <v>SALES_NIGERIA</v>
          </cell>
          <cell r="AN144">
            <v>0</v>
          </cell>
          <cell r="AO144">
            <v>0</v>
          </cell>
        </row>
        <row r="145">
          <cell r="B145" t="str">
            <v>Sales - % Other Africa</v>
          </cell>
          <cell r="C145" t="str">
            <v>SALES_OTH_AFRICA</v>
          </cell>
          <cell r="AN145">
            <v>0</v>
          </cell>
          <cell r="AO145">
            <v>0</v>
          </cell>
        </row>
        <row r="146">
          <cell r="B146" t="str">
            <v>Sales - % Total Africa</v>
          </cell>
          <cell r="C146" t="str">
            <v>SALES_TOT_AFRICA</v>
          </cell>
          <cell r="AN146">
            <v>0</v>
          </cell>
          <cell r="AO146">
            <v>0</v>
          </cell>
        </row>
        <row r="147">
          <cell r="B147" t="str">
            <v>Sales - % Russia</v>
          </cell>
          <cell r="C147" t="str">
            <v>SALES_RUSSIA</v>
          </cell>
          <cell r="AG147">
            <v>0.01</v>
          </cell>
          <cell r="AJ147">
            <v>0.01</v>
          </cell>
          <cell r="AM147">
            <v>0</v>
          </cell>
          <cell r="AN147">
            <v>0</v>
          </cell>
          <cell r="AO147">
            <v>0</v>
          </cell>
        </row>
        <row r="148">
          <cell r="B148" t="str">
            <v>Sales - % Other EMEA</v>
          </cell>
          <cell r="C148" t="str">
            <v>SALES_OTH_EMEA</v>
          </cell>
          <cell r="AG148">
            <v>0</v>
          </cell>
          <cell r="AJ148">
            <v>0</v>
          </cell>
          <cell r="AM148">
            <v>0</v>
          </cell>
          <cell r="AN148">
            <v>0</v>
          </cell>
          <cell r="AO148">
            <v>0</v>
          </cell>
        </row>
        <row r="149">
          <cell r="B149" t="str">
            <v>Sales - Total % Asia (incl Australia &amp; New Zealand)</v>
          </cell>
          <cell r="C149" t="str">
            <v>SALES_TOT_ASIA</v>
          </cell>
          <cell r="AG149">
            <v>0.08</v>
          </cell>
          <cell r="AJ149">
            <v>0.08</v>
          </cell>
          <cell r="AM149">
            <v>0</v>
          </cell>
          <cell r="AN149">
            <v>0</v>
          </cell>
          <cell r="AO149">
            <v>0</v>
          </cell>
        </row>
        <row r="150">
          <cell r="B150" t="str">
            <v>Sales - % Japan</v>
          </cell>
          <cell r="C150" t="str">
            <v>SALES_JAPAN</v>
          </cell>
          <cell r="AG150">
            <v>0.04</v>
          </cell>
          <cell r="AJ150">
            <v>0.04</v>
          </cell>
          <cell r="AM150">
            <v>0</v>
          </cell>
          <cell r="AN150">
            <v>0</v>
          </cell>
          <cell r="AO150">
            <v>0</v>
          </cell>
        </row>
        <row r="151">
          <cell r="B151" t="str">
            <v>Sales - % China</v>
          </cell>
          <cell r="C151" t="str">
            <v>SALES_CHINA</v>
          </cell>
          <cell r="AG151">
            <v>0.03</v>
          </cell>
          <cell r="AJ151">
            <v>0.03</v>
          </cell>
          <cell r="AM151">
            <v>0</v>
          </cell>
          <cell r="AN151">
            <v>0</v>
          </cell>
          <cell r="AO151">
            <v>0</v>
          </cell>
        </row>
        <row r="152">
          <cell r="B152" t="str">
            <v>Sales - % India</v>
          </cell>
          <cell r="C152" t="str">
            <v>SALES_INDIA</v>
          </cell>
          <cell r="AG152">
            <v>0.01</v>
          </cell>
          <cell r="AJ152">
            <v>0.01</v>
          </cell>
          <cell r="AM152">
            <v>0</v>
          </cell>
          <cell r="AN152">
            <v>0</v>
          </cell>
          <cell r="AO152">
            <v>0</v>
          </cell>
        </row>
        <row r="156">
          <cell r="B156" t="str">
            <v>Sales - % Other Asia</v>
          </cell>
          <cell r="C156" t="str">
            <v>SALES_OTH_AEJ</v>
          </cell>
          <cell r="AG156">
            <v>0</v>
          </cell>
          <cell r="AJ156">
            <v>0</v>
          </cell>
          <cell r="AM156">
            <v>0</v>
          </cell>
          <cell r="AN156">
            <v>0</v>
          </cell>
          <cell r="AO156">
            <v>0</v>
          </cell>
        </row>
        <row r="157">
          <cell r="B157" t="str">
            <v>Sales - % Others</v>
          </cell>
          <cell r="C157" t="str">
            <v>SALES_OTHER</v>
          </cell>
          <cell r="AG157">
            <v>0.01</v>
          </cell>
          <cell r="AJ157">
            <v>0.01</v>
          </cell>
          <cell r="AM157">
            <v>0.131519274376</v>
          </cell>
          <cell r="AN157">
            <v>0.14000000000000001</v>
          </cell>
          <cell r="AO157">
            <v>0.14000000000000001</v>
          </cell>
        </row>
        <row r="158">
          <cell r="B158" t="str">
            <v>Indirect Sales - Total % Americas</v>
          </cell>
          <cell r="C158" t="str">
            <v>IND_SALES_TOT_AM</v>
          </cell>
          <cell r="AM158">
            <v>0.55328798185899997</v>
          </cell>
          <cell r="AN158">
            <v>0.54</v>
          </cell>
          <cell r="AO158">
            <v>0.54</v>
          </cell>
        </row>
        <row r="159">
          <cell r="B159" t="str">
            <v>Indirect Sales - % United States</v>
          </cell>
          <cell r="C159" t="str">
            <v>IND_SALES_US</v>
          </cell>
          <cell r="AM159">
            <v>0</v>
          </cell>
          <cell r="AN159">
            <v>0.54</v>
          </cell>
          <cell r="AO159">
            <v>0.54</v>
          </cell>
        </row>
        <row r="161">
          <cell r="B161" t="str">
            <v>Indirect Sales - % Brazil</v>
          </cell>
          <cell r="C161" t="str">
            <v>IND_SALES_BRAZIL</v>
          </cell>
          <cell r="AM161">
            <v>0</v>
          </cell>
          <cell r="AN161">
            <v>0</v>
          </cell>
          <cell r="AO161">
            <v>0</v>
          </cell>
        </row>
        <row r="162">
          <cell r="B162" t="str">
            <v>Indirect Sales - % Other Americas</v>
          </cell>
          <cell r="C162" t="str">
            <v>IND_SALES_OTH_AM</v>
          </cell>
          <cell r="AM162">
            <v>0.55328798185899997</v>
          </cell>
          <cell r="AN162">
            <v>0</v>
          </cell>
          <cell r="AO162">
            <v>0</v>
          </cell>
        </row>
        <row r="163">
          <cell r="B163" t="str">
            <v>Indirect Sales - Total % EMEA</v>
          </cell>
          <cell r="C163" t="str">
            <v>IND_SALES_TOT_EMEA</v>
          </cell>
          <cell r="AM163">
            <v>0.31519274376400003</v>
          </cell>
          <cell r="AN163">
            <v>0.32</v>
          </cell>
          <cell r="AO163">
            <v>0.32</v>
          </cell>
        </row>
        <row r="164">
          <cell r="B164" t="str">
            <v>Indirect Sales - % UK</v>
          </cell>
          <cell r="C164" t="str">
            <v>IND_SALES_UK</v>
          </cell>
          <cell r="AM164">
            <v>9.2077234933999996E-2</v>
          </cell>
          <cell r="AN164">
            <v>0.1</v>
          </cell>
          <cell r="AO164">
            <v>0.1</v>
          </cell>
        </row>
        <row r="165">
          <cell r="B165" t="str">
            <v>Indirect Sales - % Western Europe-Ex UK</v>
          </cell>
          <cell r="C165" t="str">
            <v>IND_SALES_EU_EX_UK</v>
          </cell>
          <cell r="AM165">
            <v>0.22311550883</v>
          </cell>
          <cell r="AN165">
            <v>0.22</v>
          </cell>
          <cell r="AO165">
            <v>0.22</v>
          </cell>
        </row>
        <row r="170">
          <cell r="B170" t="str">
            <v>Indirect Sales - % France</v>
          </cell>
          <cell r="C170" t="str">
            <v>IND_SALES_FRA</v>
          </cell>
          <cell r="AM170">
            <v>0</v>
          </cell>
          <cell r="AN170">
            <v>0</v>
          </cell>
          <cell r="AO170">
            <v>0</v>
          </cell>
        </row>
        <row r="171">
          <cell r="B171" t="str">
            <v>Indirect Sales - % Germany</v>
          </cell>
          <cell r="C171" t="str">
            <v>IND_SALES_GER</v>
          </cell>
          <cell r="AM171">
            <v>0</v>
          </cell>
          <cell r="AN171">
            <v>0</v>
          </cell>
          <cell r="AO171">
            <v>0</v>
          </cell>
        </row>
        <row r="175">
          <cell r="B175" t="str">
            <v>Indirect Sales - % Italy</v>
          </cell>
          <cell r="C175" t="str">
            <v>IND_SALES_ITA</v>
          </cell>
          <cell r="AM175">
            <v>0</v>
          </cell>
          <cell r="AN175">
            <v>0</v>
          </cell>
          <cell r="AO175">
            <v>0</v>
          </cell>
        </row>
        <row r="179">
          <cell r="B179" t="str">
            <v>Indirect Sales - % Spain</v>
          </cell>
          <cell r="C179" t="str">
            <v>IND_SALES_SPA</v>
          </cell>
          <cell r="AM179">
            <v>0</v>
          </cell>
          <cell r="AN179">
            <v>0</v>
          </cell>
          <cell r="AO179">
            <v>0</v>
          </cell>
        </row>
        <row r="180">
          <cell r="B180" t="str">
            <v>Indirect Sales - % Other Western Europe-Ex UK</v>
          </cell>
          <cell r="C180" t="str">
            <v>IND_SALES_OTH_EU_EX_UK</v>
          </cell>
          <cell r="AN180">
            <v>0.22</v>
          </cell>
          <cell r="AO180">
            <v>0.22</v>
          </cell>
        </row>
        <row r="183">
          <cell r="B183" t="str">
            <v>Indirect Sales - % Central &amp; Eastern Europe</v>
          </cell>
          <cell r="C183" t="str">
            <v>IND_SALES_CEE</v>
          </cell>
          <cell r="AM183">
            <v>0</v>
          </cell>
          <cell r="AN183">
            <v>0</v>
          </cell>
          <cell r="AO183">
            <v>0</v>
          </cell>
        </row>
        <row r="184">
          <cell r="B184" t="str">
            <v>Indirect Sales - % Middle East</v>
          </cell>
          <cell r="C184" t="str">
            <v>IND_SALES_ME</v>
          </cell>
          <cell r="AM184">
            <v>0</v>
          </cell>
          <cell r="AN184">
            <v>0</v>
          </cell>
          <cell r="AO184">
            <v>0</v>
          </cell>
        </row>
        <row r="185">
          <cell r="B185" t="str">
            <v>Indirect Sales - % Russia</v>
          </cell>
          <cell r="C185" t="str">
            <v>IND_SALES_RUSSIA</v>
          </cell>
          <cell r="AM185">
            <v>0</v>
          </cell>
          <cell r="AN185">
            <v>0</v>
          </cell>
          <cell r="AO185">
            <v>0</v>
          </cell>
        </row>
        <row r="186">
          <cell r="B186" t="str">
            <v>Indirect sales - % South Africa</v>
          </cell>
          <cell r="C186" t="str">
            <v>IND_SALES_SO_AFRICA</v>
          </cell>
          <cell r="AN186">
            <v>0</v>
          </cell>
          <cell r="AO186">
            <v>0</v>
          </cell>
        </row>
        <row r="187">
          <cell r="B187" t="str">
            <v>Indirect sales - % Nigeria</v>
          </cell>
          <cell r="C187" t="str">
            <v>IND_SALES_NIGERIA</v>
          </cell>
          <cell r="AN187">
            <v>0</v>
          </cell>
          <cell r="AO187">
            <v>0</v>
          </cell>
        </row>
        <row r="188">
          <cell r="B188" t="str">
            <v>Indirect sales - % Other Africa</v>
          </cell>
          <cell r="C188" t="str">
            <v>IND_SALES_OTH_AFRICA</v>
          </cell>
          <cell r="AN188">
            <v>0</v>
          </cell>
          <cell r="AO188">
            <v>0</v>
          </cell>
        </row>
        <row r="189">
          <cell r="B189" t="str">
            <v>Indirect Sales - % Other EMEA</v>
          </cell>
          <cell r="C189" t="str">
            <v>IND_SALES_OTH_EMEA</v>
          </cell>
          <cell r="AM189">
            <v>0</v>
          </cell>
          <cell r="AN189">
            <v>0</v>
          </cell>
          <cell r="AO189">
            <v>0</v>
          </cell>
        </row>
        <row r="190">
          <cell r="B190" t="str">
            <v>Indirect sales - % Total Africa</v>
          </cell>
          <cell r="C190" t="str">
            <v>IND_SALES_TOT_AFRICA</v>
          </cell>
          <cell r="AN190">
            <v>0</v>
          </cell>
          <cell r="AO190">
            <v>0</v>
          </cell>
        </row>
        <row r="191">
          <cell r="B191" t="str">
            <v>Indirect Sales - Total % Asia (incl Australia &amp; New Zealand)</v>
          </cell>
          <cell r="C191" t="str">
            <v>IND_SALES_TOT_ASIA</v>
          </cell>
          <cell r="AM191">
            <v>0</v>
          </cell>
          <cell r="AN191">
            <v>0</v>
          </cell>
          <cell r="AO191">
            <v>0</v>
          </cell>
        </row>
        <row r="192">
          <cell r="B192" t="str">
            <v>Indirect Sales - % Japan</v>
          </cell>
          <cell r="C192" t="str">
            <v>IND_SALES_JAPAN</v>
          </cell>
          <cell r="AM192">
            <v>0</v>
          </cell>
          <cell r="AN192">
            <v>0</v>
          </cell>
          <cell r="AO192">
            <v>0</v>
          </cell>
        </row>
        <row r="193">
          <cell r="B193" t="str">
            <v>Indirect Sales - % China</v>
          </cell>
          <cell r="C193" t="str">
            <v>IND_SALES_CHINA</v>
          </cell>
          <cell r="AM193">
            <v>0</v>
          </cell>
          <cell r="AN193">
            <v>0</v>
          </cell>
          <cell r="AO193">
            <v>0</v>
          </cell>
        </row>
        <row r="194">
          <cell r="B194" t="str">
            <v>Indirect Sales - % India</v>
          </cell>
          <cell r="C194" t="str">
            <v>IND_SALES_INDIA</v>
          </cell>
          <cell r="AM194">
            <v>0</v>
          </cell>
          <cell r="AN194">
            <v>0</v>
          </cell>
          <cell r="AO194">
            <v>0</v>
          </cell>
        </row>
        <row r="198">
          <cell r="B198" t="str">
            <v>Indirect Sales - % Other Asia</v>
          </cell>
          <cell r="C198" t="str">
            <v>IND_SALES_OTH_AEJ</v>
          </cell>
          <cell r="AM198">
            <v>0</v>
          </cell>
          <cell r="AN198">
            <v>0</v>
          </cell>
          <cell r="AO198">
            <v>0</v>
          </cell>
        </row>
        <row r="199">
          <cell r="B199" t="str">
            <v>Indirect Sales - % Others</v>
          </cell>
          <cell r="C199" t="str">
            <v>IND_SALES_OTHER</v>
          </cell>
          <cell r="AM199">
            <v>0.131519274376</v>
          </cell>
          <cell r="AN199">
            <v>0.14000000000000001</v>
          </cell>
          <cell r="AO199">
            <v>0.14000000000000001</v>
          </cell>
        </row>
        <row r="237">
          <cell r="B237" t="str">
            <v>Sales -% Consumer (C)</v>
          </cell>
          <cell r="C237" t="str">
            <v>SALES_CONS</v>
          </cell>
          <cell r="AG237">
            <v>0</v>
          </cell>
          <cell r="AJ237">
            <v>0</v>
          </cell>
          <cell r="AM237">
            <v>0</v>
          </cell>
          <cell r="AN237">
            <v>0</v>
          </cell>
          <cell r="AO237">
            <v>0</v>
          </cell>
        </row>
        <row r="238">
          <cell r="B238" t="str">
            <v>Sales -% Industry (I)</v>
          </cell>
          <cell r="C238" t="str">
            <v>SALES_IND</v>
          </cell>
          <cell r="AG238">
            <v>0.61</v>
          </cell>
          <cell r="AJ238">
            <v>0.61</v>
          </cell>
          <cell r="AM238">
            <v>0.61</v>
          </cell>
          <cell r="AN238">
            <v>0.61</v>
          </cell>
          <cell r="AO238">
            <v>0.61</v>
          </cell>
        </row>
        <row r="239">
          <cell r="B239" t="str">
            <v>Sales -% Government (G)</v>
          </cell>
          <cell r="C239" t="str">
            <v>SALES_GOV</v>
          </cell>
          <cell r="AG239">
            <v>0.39</v>
          </cell>
          <cell r="AJ239">
            <v>0.39</v>
          </cell>
          <cell r="AM239">
            <v>0.39</v>
          </cell>
          <cell r="AN239">
            <v>0.39</v>
          </cell>
          <cell r="AO239">
            <v>0.39</v>
          </cell>
        </row>
        <row r="240">
          <cell r="B240" t="str">
            <v>Sales - % Industry Sub-Segment: Financial Services</v>
          </cell>
          <cell r="C240" t="str">
            <v>SALES_FINAN</v>
          </cell>
          <cell r="AN240">
            <v>0</v>
          </cell>
          <cell r="AO240">
            <v>0</v>
          </cell>
        </row>
        <row r="259">
          <cell r="B259" t="str">
            <v>Indirect Sales -% Consumer (C)</v>
          </cell>
          <cell r="C259" t="str">
            <v>IND_SALES_CONS</v>
          </cell>
          <cell r="AN259">
            <v>0</v>
          </cell>
          <cell r="AO259">
            <v>0</v>
          </cell>
        </row>
        <row r="260">
          <cell r="B260" t="str">
            <v>Indirect Sales -% Industry (I)</v>
          </cell>
          <cell r="C260" t="str">
            <v>IND_SALES_IND</v>
          </cell>
          <cell r="AN260">
            <v>0.61</v>
          </cell>
          <cell r="AO260">
            <v>0.61</v>
          </cell>
        </row>
        <row r="261">
          <cell r="B261" t="str">
            <v>Indirect Sales -% Government (G)</v>
          </cell>
          <cell r="C261" t="str">
            <v>IND_SALES_GOV</v>
          </cell>
          <cell r="AN261">
            <v>0.39</v>
          </cell>
          <cell r="AO261">
            <v>0.39</v>
          </cell>
        </row>
        <row r="262">
          <cell r="B262" t="str">
            <v>Indirect Sales -% Industry Sub-Segment: Financial Services</v>
          </cell>
          <cell r="C262" t="str">
            <v>IND_SALES_FINAN</v>
          </cell>
          <cell r="AN262">
            <v>0</v>
          </cell>
          <cell r="AO262">
            <v>0</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cell r="AN321">
            <v>0.1</v>
          </cell>
          <cell r="AO321">
            <v>0.1</v>
          </cell>
        </row>
        <row r="322">
          <cell r="B322" t="str">
            <v>Sales - % FX: Euro</v>
          </cell>
          <cell r="C322" t="str">
            <v>SALES_FX_EUR</v>
          </cell>
          <cell r="AN322">
            <v>0.22</v>
          </cell>
          <cell r="AO322">
            <v>0.22</v>
          </cell>
        </row>
        <row r="323">
          <cell r="B323" t="str">
            <v>Sales - % FX: New Russian Ruble</v>
          </cell>
          <cell r="C323" t="str">
            <v>SALES_FX_RUB</v>
          </cell>
          <cell r="AN323">
            <v>0</v>
          </cell>
          <cell r="AO323">
            <v>0</v>
          </cell>
        </row>
        <row r="324">
          <cell r="B324" t="str">
            <v>Sales - % FX: U.S. Dollar</v>
          </cell>
          <cell r="C324" t="str">
            <v>SALES_FX_USD</v>
          </cell>
          <cell r="AN324">
            <v>0.68</v>
          </cell>
          <cell r="AO324">
            <v>0.68</v>
          </cell>
        </row>
        <row r="325">
          <cell r="B325" t="str">
            <v>Sales - % FX: Brazilian Real</v>
          </cell>
          <cell r="C325" t="str">
            <v>SALES_FX_BRL</v>
          </cell>
          <cell r="AN325">
            <v>0</v>
          </cell>
          <cell r="AO325">
            <v>0</v>
          </cell>
        </row>
        <row r="326">
          <cell r="B326" t="str">
            <v>Sales - % FX: Japanese Yen</v>
          </cell>
          <cell r="C326" t="str">
            <v>SALES_FX_YEN</v>
          </cell>
          <cell r="AN326">
            <v>0</v>
          </cell>
          <cell r="AO326">
            <v>0</v>
          </cell>
        </row>
        <row r="327">
          <cell r="B327" t="str">
            <v>Sales - % FX: Chinese Renminbi</v>
          </cell>
          <cell r="C327" t="str">
            <v>SALES_FX_CNY</v>
          </cell>
          <cell r="AN327">
            <v>0</v>
          </cell>
          <cell r="AO327">
            <v>0</v>
          </cell>
        </row>
        <row r="328">
          <cell r="B328" t="str">
            <v>Sales - % FX: Indian Rupee</v>
          </cell>
          <cell r="C328" t="str">
            <v>SALES_FX_INR</v>
          </cell>
          <cell r="AN328">
            <v>0</v>
          </cell>
          <cell r="AO328">
            <v>0</v>
          </cell>
        </row>
        <row r="329">
          <cell r="B329" t="str">
            <v>Sales - % FX: South African Rand</v>
          </cell>
          <cell r="C329" t="str">
            <v>SALES_FX_ZAR</v>
          </cell>
          <cell r="AN329">
            <v>0</v>
          </cell>
          <cell r="AO329">
            <v>0</v>
          </cell>
        </row>
        <row r="330">
          <cell r="B330" t="str">
            <v>Sales - % FX: Nigerian Naira</v>
          </cell>
          <cell r="C330" t="str">
            <v>SALES_FX_NGN</v>
          </cell>
          <cell r="AN330">
            <v>0</v>
          </cell>
          <cell r="AO330">
            <v>0</v>
          </cell>
        </row>
        <row r="331">
          <cell r="B331" t="str">
            <v>Sales - % FX: Swiss Franc</v>
          </cell>
          <cell r="C331" t="str">
            <v>SALES_FX_CHF</v>
          </cell>
          <cell r="AN331">
            <v>0</v>
          </cell>
          <cell r="AO331">
            <v>0</v>
          </cell>
        </row>
        <row r="332">
          <cell r="B332" t="str">
            <v>Sales - % FX: UAE Dirham</v>
          </cell>
          <cell r="C332" t="str">
            <v>SALES_FX_AED</v>
          </cell>
          <cell r="AN332">
            <v>0</v>
          </cell>
          <cell r="AO332">
            <v>0</v>
          </cell>
        </row>
        <row r="333">
          <cell r="B333" t="str">
            <v>Sales - % FX: New Turkish Lira</v>
          </cell>
          <cell r="C333" t="str">
            <v>SALES_FX_TRY</v>
          </cell>
          <cell r="AN333">
            <v>0</v>
          </cell>
          <cell r="AO333">
            <v>0</v>
          </cell>
        </row>
        <row r="334">
          <cell r="B334" t="str">
            <v>Sales - % FX: Other Currency</v>
          </cell>
          <cell r="C334" t="str">
            <v>SALES_FX_OTH</v>
          </cell>
          <cell r="AN334">
            <v>0</v>
          </cell>
          <cell r="AO334">
            <v>0</v>
          </cell>
        </row>
        <row r="335">
          <cell r="A335" t="str">
            <v>Security: Meggitt</v>
          </cell>
          <cell r="B335" t="str">
            <v>161MO</v>
          </cell>
        </row>
        <row r="336">
          <cell r="A336" t="str">
            <v>Reference Data</v>
          </cell>
        </row>
        <row r="337">
          <cell r="B337" t="str">
            <v>Ticker</v>
          </cell>
          <cell r="C337" t="str">
            <v>Ticker</v>
          </cell>
          <cell r="E337" t="str">
            <v>MGGT.L</v>
          </cell>
        </row>
        <row r="338">
          <cell r="B338" t="str">
            <v>Security Name</v>
          </cell>
          <cell r="C338" t="str">
            <v>Security Name</v>
          </cell>
          <cell r="E338" t="str">
            <v>Meggitt</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row>
        <row r="344">
          <cell r="B344" t="str">
            <v>Pan Europe Investment List</v>
          </cell>
          <cell r="C344" t="str">
            <v>EURO_LIST</v>
          </cell>
          <cell r="E344" t="str">
            <v>Buy</v>
          </cell>
        </row>
        <row r="345">
          <cell r="B345" t="str">
            <v>Pan Europe Conviction List</v>
          </cell>
          <cell r="C345" t="str">
            <v>EURO_CONVICTION</v>
          </cell>
        </row>
        <row r="346">
          <cell r="B346" t="str">
            <v>Legal rating</v>
          </cell>
          <cell r="C346" t="str">
            <v>LEGAL_RATING</v>
          </cell>
          <cell r="E346" t="str">
            <v>Coverage Suspended</v>
          </cell>
        </row>
        <row r="347">
          <cell r="B347" t="str">
            <v>Target price</v>
          </cell>
          <cell r="C347" t="str">
            <v>TARGET_PRICE</v>
          </cell>
          <cell r="D347" t="str">
            <v>GBP</v>
          </cell>
          <cell r="E347">
            <v>568</v>
          </cell>
        </row>
        <row r="348">
          <cell r="B348" t="str">
            <v>Target price period</v>
          </cell>
          <cell r="C348" t="str">
            <v>TP_PERIOD</v>
          </cell>
          <cell r="E348" t="str">
            <v>12 months</v>
          </cell>
        </row>
        <row r="349">
          <cell r="B349" t="str">
            <v>Current shares outstanding (mn)</v>
          </cell>
          <cell r="C349" t="str">
            <v>NUM_SH</v>
          </cell>
          <cell r="E349">
            <v>778.8</v>
          </cell>
        </row>
        <row r="350">
          <cell r="B350" t="str">
            <v>Free float</v>
          </cell>
          <cell r="C350" t="str">
            <v>FREE_FLOAT</v>
          </cell>
          <cell r="E350">
            <v>1</v>
          </cell>
        </row>
        <row r="351">
          <cell r="A351" t="str">
            <v>Publishing Items</v>
          </cell>
        </row>
        <row r="352">
          <cell r="B352" t="str">
            <v>Book value per share, BVPS (Pub)</v>
          </cell>
          <cell r="C352" t="str">
            <v>BVPS_PUB</v>
          </cell>
          <cell r="D352" t="str">
            <v>GBP</v>
          </cell>
          <cell r="F352">
            <v>22.347942399783999</v>
          </cell>
          <cell r="G352">
            <v>32.849531594859997</v>
          </cell>
          <cell r="H352">
            <v>23.280252043965</v>
          </cell>
          <cell r="I352">
            <v>23.769043512018001</v>
          </cell>
          <cell r="J352">
            <v>22.056095777313001</v>
          </cell>
          <cell r="K352">
            <v>21.839261550157001</v>
          </cell>
          <cell r="L352">
            <v>22.105625499782999</v>
          </cell>
          <cell r="M352">
            <v>25.201583537478999</v>
          </cell>
          <cell r="N352">
            <v>30.873278506409999</v>
          </cell>
          <cell r="O352">
            <v>48.352255673389998</v>
          </cell>
          <cell r="P352">
            <v>57.931666926825002</v>
          </cell>
          <cell r="Q352">
            <v>64.926364678582999</v>
          </cell>
          <cell r="R352">
            <v>66.368022440847</v>
          </cell>
          <cell r="S352">
            <v>67.545774292041003</v>
          </cell>
          <cell r="T352">
            <v>92.645846587619005</v>
          </cell>
          <cell r="U352">
            <v>98.1400462406</v>
          </cell>
          <cell r="X352">
            <v>110.214171061683</v>
          </cell>
          <cell r="AA352">
            <v>161.537293027495</v>
          </cell>
          <cell r="AD352">
            <v>195.91836734693899</v>
          </cell>
          <cell r="AG352">
            <v>185.84561505909801</v>
          </cell>
          <cell r="AJ352">
            <v>206.04584527220601</v>
          </cell>
          <cell r="AM352">
            <v>230.26450950179799</v>
          </cell>
          <cell r="AN352">
            <v>243.55914508836801</v>
          </cell>
          <cell r="AO352">
            <v>263.24603614620997</v>
          </cell>
          <cell r="AP352">
            <v>284.28152881901201</v>
          </cell>
          <cell r="AQ352">
            <v>306.32691211090298</v>
          </cell>
          <cell r="AR352">
            <v>329.304598494353</v>
          </cell>
          <cell r="AS352">
            <v>352.985802268839</v>
          </cell>
          <cell r="AT352">
            <v>377.47748211773001</v>
          </cell>
          <cell r="AU352">
            <v>402.87459645538502</v>
          </cell>
          <cell r="AV352">
            <v>429.23910324386998</v>
          </cell>
        </row>
        <row r="353">
          <cell r="B353" t="str">
            <v>DPS, dividend per share (Pub)</v>
          </cell>
          <cell r="C353" t="str">
            <v>DPS_PUB</v>
          </cell>
          <cell r="D353" t="str">
            <v>GBP</v>
          </cell>
          <cell r="F353">
            <v>2.5424141599999999</v>
          </cell>
          <cell r="G353">
            <v>2.6840736000000001</v>
          </cell>
          <cell r="H353">
            <v>2.8182772800000002</v>
          </cell>
          <cell r="I353">
            <v>2.9301136799999998</v>
          </cell>
          <cell r="J353">
            <v>2.9301136799999998</v>
          </cell>
          <cell r="K353">
            <v>2.9281614699729999</v>
          </cell>
          <cell r="L353">
            <v>3.1335029811899999</v>
          </cell>
          <cell r="M353">
            <v>3.51125700465</v>
          </cell>
          <cell r="N353">
            <v>3.8450249150319999</v>
          </cell>
          <cell r="O353">
            <v>4.2199601600000003</v>
          </cell>
          <cell r="P353">
            <v>4.7716864000000001</v>
          </cell>
          <cell r="Q353">
            <v>5.0699167999999997</v>
          </cell>
          <cell r="R353">
            <v>5.2190320000000003</v>
          </cell>
          <cell r="S353">
            <v>5.5918200000000002</v>
          </cell>
          <cell r="T353">
            <v>5.992</v>
          </cell>
          <cell r="U353">
            <v>6.5911999999999997</v>
          </cell>
          <cell r="X353">
            <v>7.3616000000000001</v>
          </cell>
          <cell r="AA353">
            <v>8.1999999999999993</v>
          </cell>
          <cell r="AD353">
            <v>8.4499999999999993</v>
          </cell>
          <cell r="AG353">
            <v>8.4499999999999993</v>
          </cell>
          <cell r="AJ353">
            <v>9.1999999999999993</v>
          </cell>
          <cell r="AM353">
            <v>10.5</v>
          </cell>
          <cell r="AN353">
            <v>11.8</v>
          </cell>
          <cell r="AO353">
            <v>12.98</v>
          </cell>
          <cell r="AP353">
            <v>14.278</v>
          </cell>
          <cell r="AQ353">
            <v>15.7058</v>
          </cell>
          <cell r="AR353">
            <v>17.27638</v>
          </cell>
          <cell r="AS353">
            <v>19.004017999999999</v>
          </cell>
          <cell r="AT353">
            <v>20.904419799999999</v>
          </cell>
          <cell r="AU353">
            <v>22.994861780000001</v>
          </cell>
          <cell r="AV353">
            <v>25.294347957999999</v>
          </cell>
        </row>
        <row r="354">
          <cell r="B354" t="str">
            <v>EBITDA (Pub)</v>
          </cell>
          <cell r="C354" t="str">
            <v>EBITDA_PUB</v>
          </cell>
          <cell r="D354" t="str">
            <v>GBP</v>
          </cell>
          <cell r="F354">
            <v>28.931999999999999</v>
          </cell>
          <cell r="G354">
            <v>31.655999999999999</v>
          </cell>
          <cell r="H354">
            <v>35.012</v>
          </cell>
          <cell r="I354">
            <v>35.890999999999998</v>
          </cell>
          <cell r="J354">
            <v>27.15</v>
          </cell>
          <cell r="K354">
            <v>29.268000000000001</v>
          </cell>
          <cell r="L354">
            <v>32.682000000000002</v>
          </cell>
          <cell r="M354">
            <v>39.613</v>
          </cell>
          <cell r="N354">
            <v>46.134999999999998</v>
          </cell>
          <cell r="O354">
            <v>65.757999999999996</v>
          </cell>
          <cell r="P354">
            <v>90.513999999999996</v>
          </cell>
          <cell r="Q354">
            <v>95.253</v>
          </cell>
          <cell r="R354">
            <v>89.769000000000005</v>
          </cell>
          <cell r="S354">
            <v>93.852999999999994</v>
          </cell>
          <cell r="T354">
            <v>113.605</v>
          </cell>
          <cell r="U354">
            <v>159.69999999999999</v>
          </cell>
          <cell r="X354">
            <v>179.9</v>
          </cell>
          <cell r="AA354">
            <v>249.7</v>
          </cell>
          <cell r="AD354">
            <v>343.1</v>
          </cell>
          <cell r="AG354">
            <v>343.4</v>
          </cell>
          <cell r="AJ354">
            <v>364.4</v>
          </cell>
          <cell r="AM354">
            <v>434.9</v>
          </cell>
          <cell r="AN354">
            <v>478.3</v>
          </cell>
          <cell r="AO354">
            <v>501.10311006309701</v>
          </cell>
          <cell r="AP354">
            <v>527.81744262405698</v>
          </cell>
          <cell r="AQ354">
            <v>566.06302933931102</v>
          </cell>
          <cell r="AR354">
            <v>606.98252171022295</v>
          </cell>
          <cell r="AS354">
            <v>647.05660963715502</v>
          </cell>
          <cell r="AT354">
            <v>690.59092997954394</v>
          </cell>
          <cell r="AU354">
            <v>738.92024240036994</v>
          </cell>
          <cell r="AV354">
            <v>791.71771250583504</v>
          </cell>
        </row>
        <row r="355">
          <cell r="B355" t="str">
            <v>EPS (Pub)</v>
          </cell>
          <cell r="C355" t="str">
            <v>EPS_PUB</v>
          </cell>
          <cell r="D355" t="str">
            <v>GBP</v>
          </cell>
          <cell r="F355">
            <v>6.618701037658</v>
          </cell>
          <cell r="G355">
            <v>5.239465854723</v>
          </cell>
          <cell r="H355">
            <v>6.0564271477120002</v>
          </cell>
          <cell r="I355">
            <v>5.3096422871050004</v>
          </cell>
          <cell r="J355">
            <v>3.153546149676</v>
          </cell>
          <cell r="K355">
            <v>3.8540744558540001</v>
          </cell>
          <cell r="L355">
            <v>5.2060586758399996</v>
          </cell>
          <cell r="M355">
            <v>6.9188728830809998</v>
          </cell>
          <cell r="N355">
            <v>7.9720697603430004</v>
          </cell>
          <cell r="O355">
            <v>9.8777298002009992</v>
          </cell>
          <cell r="P355">
            <v>12.078331199999999</v>
          </cell>
          <cell r="Q355">
            <v>12.9730224</v>
          </cell>
          <cell r="R355">
            <v>12.7493496</v>
          </cell>
          <cell r="S355">
            <v>13.644040800000001</v>
          </cell>
          <cell r="T355">
            <v>14.992664592848</v>
          </cell>
          <cell r="U355">
            <v>17.109110577704001</v>
          </cell>
          <cell r="X355">
            <v>19.094475138120998</v>
          </cell>
          <cell r="AA355">
            <v>22.116203782585998</v>
          </cell>
          <cell r="AD355">
            <v>26.469255174497999</v>
          </cell>
          <cell r="AG355">
            <v>25.257201950066001</v>
          </cell>
          <cell r="AJ355">
            <v>27.780187997108001</v>
          </cell>
          <cell r="AM355">
            <v>31.895543718332</v>
          </cell>
          <cell r="AN355">
            <v>35.700000000000003</v>
          </cell>
          <cell r="AO355">
            <v>37.954448369421002</v>
          </cell>
          <cell r="AP355">
            <v>40.451466404205</v>
          </cell>
          <cell r="AQ355">
            <v>43.435068621977997</v>
          </cell>
          <cell r="AR355">
            <v>46.509718509744999</v>
          </cell>
          <cell r="AS355">
            <v>49.501117123138002</v>
          </cell>
          <cell r="AT355">
            <v>52.809732038937</v>
          </cell>
          <cell r="AU355">
            <v>56.466356014014998</v>
          </cell>
          <cell r="AV355">
            <v>60.447831183498003</v>
          </cell>
        </row>
        <row r="356">
          <cell r="B356" t="str">
            <v>EV adjustment (Pub)</v>
          </cell>
          <cell r="C356" t="str">
            <v>EV_ADJ_PUB</v>
          </cell>
          <cell r="D356" t="str">
            <v>GBP</v>
          </cell>
          <cell r="F356">
            <v>34.703107827003002</v>
          </cell>
          <cell r="G356">
            <v>24.163608082962998</v>
          </cell>
          <cell r="H356">
            <v>43.208599802366003</v>
          </cell>
          <cell r="I356">
            <v>5.3890755759309998</v>
          </cell>
          <cell r="J356">
            <v>4.610659539107</v>
          </cell>
          <cell r="K356">
            <v>-1.3342650773460001</v>
          </cell>
          <cell r="L356">
            <v>-1.8692678400280001</v>
          </cell>
          <cell r="M356">
            <v>-4.2960000000000003</v>
          </cell>
          <cell r="N356">
            <v>-5.0419999999999998</v>
          </cell>
          <cell r="O356">
            <v>-6.5030000000000001</v>
          </cell>
          <cell r="P356">
            <v>-3.2440000000000002</v>
          </cell>
          <cell r="Q356">
            <v>-0.97199999999999998</v>
          </cell>
          <cell r="R356">
            <v>4.5179999999999998</v>
          </cell>
          <cell r="S356">
            <v>7.4610000000000003</v>
          </cell>
          <cell r="T356">
            <v>5.125</v>
          </cell>
          <cell r="U356">
            <v>52.914499999999997</v>
          </cell>
          <cell r="V356">
            <v>0</v>
          </cell>
          <cell r="W356">
            <v>0</v>
          </cell>
          <cell r="X356">
            <v>80.5</v>
          </cell>
          <cell r="Y356">
            <v>0</v>
          </cell>
          <cell r="AA356">
            <v>94.45</v>
          </cell>
          <cell r="AD356">
            <v>123.6</v>
          </cell>
          <cell r="AG356">
            <v>141.85</v>
          </cell>
          <cell r="AJ356">
            <v>131.75</v>
          </cell>
          <cell r="AM356">
            <v>151.19999999999999</v>
          </cell>
        </row>
        <row r="357">
          <cell r="B357" t="str">
            <v>Net debt (Pub)</v>
          </cell>
          <cell r="C357" t="str">
            <v>NET_DEBT_PUB</v>
          </cell>
          <cell r="D357" t="str">
            <v>GBP</v>
          </cell>
          <cell r="F357">
            <v>35.488999999999997</v>
          </cell>
          <cell r="G357">
            <v>-22.137</v>
          </cell>
          <cell r="H357">
            <v>11.791</v>
          </cell>
          <cell r="I357">
            <v>17.63</v>
          </cell>
          <cell r="J357">
            <v>17.959</v>
          </cell>
          <cell r="K357">
            <v>2.6040000000000001</v>
          </cell>
          <cell r="L357">
            <v>9.8239999999999998</v>
          </cell>
          <cell r="M357">
            <v>4.6269999999999998</v>
          </cell>
          <cell r="N357">
            <v>57.692999999999998</v>
          </cell>
          <cell r="O357">
            <v>213.166</v>
          </cell>
          <cell r="P357">
            <v>182.52799999999999</v>
          </cell>
          <cell r="Q357">
            <v>149.435</v>
          </cell>
          <cell r="R357">
            <v>139.67099999999999</v>
          </cell>
          <cell r="S357">
            <v>140.52099999999999</v>
          </cell>
          <cell r="T357">
            <v>328.20499999999998</v>
          </cell>
          <cell r="U357">
            <v>314.3</v>
          </cell>
          <cell r="X357">
            <v>353.7</v>
          </cell>
          <cell r="AA357">
            <v>815.4</v>
          </cell>
          <cell r="AD357">
            <v>1047.9000000000001</v>
          </cell>
          <cell r="AE357">
            <v>895.1</v>
          </cell>
          <cell r="AF357">
            <v>808.6</v>
          </cell>
          <cell r="AG357">
            <v>808.6</v>
          </cell>
          <cell r="AJ357">
            <v>721.4</v>
          </cell>
          <cell r="AM357">
            <v>788.4</v>
          </cell>
          <cell r="AN357">
            <v>642.5</v>
          </cell>
          <cell r="AO357">
            <v>514.28479064949101</v>
          </cell>
          <cell r="AP357">
            <v>414.137436773182</v>
          </cell>
          <cell r="AQ357">
            <v>425.09661848661398</v>
          </cell>
          <cell r="AR357">
            <v>435.031247678824</v>
          </cell>
          <cell r="AS357">
            <v>444.09768802305001</v>
          </cell>
          <cell r="AT357">
            <v>453.69188843042502</v>
          </cell>
          <cell r="AU357">
            <v>463.43001897349598</v>
          </cell>
          <cell r="AV357">
            <v>471.97969645259298</v>
          </cell>
        </row>
        <row r="358">
          <cell r="B358" t="str">
            <v>Net income (Pub)</v>
          </cell>
          <cell r="C358" t="str">
            <v>NI_PUB</v>
          </cell>
          <cell r="D358" t="str">
            <v>GBP</v>
          </cell>
          <cell r="F358">
            <v>14.327999999999999</v>
          </cell>
          <cell r="G358">
            <v>11.81</v>
          </cell>
          <cell r="H358">
            <v>17.033000000000001</v>
          </cell>
          <cell r="I358">
            <v>15.353999999999999</v>
          </cell>
          <cell r="J358">
            <v>9.1440000000000001</v>
          </cell>
          <cell r="K358">
            <v>11.206</v>
          </cell>
          <cell r="L358">
            <v>15.194000000000001</v>
          </cell>
          <cell r="M358">
            <v>20.337</v>
          </cell>
          <cell r="N358">
            <v>23.748999999999999</v>
          </cell>
          <cell r="O358">
            <v>33.412999999999997</v>
          </cell>
          <cell r="P358">
            <v>45.054305999999997</v>
          </cell>
          <cell r="Q358">
            <v>49.314557999999998</v>
          </cell>
          <cell r="R358">
            <v>49.165748999999998</v>
          </cell>
          <cell r="S358">
            <v>53.350355999999998</v>
          </cell>
          <cell r="T358">
            <v>66.382999999999996</v>
          </cell>
          <cell r="U358">
            <v>86.1</v>
          </cell>
          <cell r="X358">
            <v>96.9</v>
          </cell>
          <cell r="AA358">
            <v>129.80000000000001</v>
          </cell>
          <cell r="AD358">
            <v>175.2</v>
          </cell>
          <cell r="AE358">
            <v>80.855999999999995</v>
          </cell>
          <cell r="AF358">
            <v>90.11</v>
          </cell>
          <cell r="AG358">
            <v>170.96600000000001</v>
          </cell>
          <cell r="AH358">
            <v>84.8</v>
          </cell>
          <cell r="AI358">
            <v>107.3</v>
          </cell>
          <cell r="AJ358">
            <v>192.1</v>
          </cell>
          <cell r="AK358">
            <v>109.65</v>
          </cell>
          <cell r="AL358">
            <v>135.85</v>
          </cell>
          <cell r="AM358">
            <v>245.5</v>
          </cell>
          <cell r="AN358">
            <v>283</v>
          </cell>
          <cell r="AO358">
            <v>300.87139743826401</v>
          </cell>
          <cell r="AP358">
            <v>320.66568606134803</v>
          </cell>
          <cell r="AQ358">
            <v>344.31721064481502</v>
          </cell>
          <cell r="AR358">
            <v>368.69048566548202</v>
          </cell>
          <cell r="AS358">
            <v>392.40381360919298</v>
          </cell>
          <cell r="AT358">
            <v>418.63176938429399</v>
          </cell>
          <cell r="AU358">
            <v>447.61845243603199</v>
          </cell>
          <cell r="AV358">
            <v>479.18028641260003</v>
          </cell>
        </row>
        <row r="359">
          <cell r="B359" t="str">
            <v>EBIT, operating profit (Pub)</v>
          </cell>
          <cell r="C359" t="str">
            <v>EBIT_PUB</v>
          </cell>
          <cell r="D359" t="str">
            <v>GBP</v>
          </cell>
          <cell r="F359">
            <v>28.931999999999999</v>
          </cell>
          <cell r="G359">
            <v>23.364000000000001</v>
          </cell>
          <cell r="H359">
            <v>25.285</v>
          </cell>
          <cell r="I359">
            <v>26.669</v>
          </cell>
          <cell r="J359">
            <v>18.145</v>
          </cell>
          <cell r="K359">
            <v>20.812000000000001</v>
          </cell>
          <cell r="L359">
            <v>25.599</v>
          </cell>
          <cell r="M359">
            <v>32.57</v>
          </cell>
          <cell r="N359">
            <v>37.826999999999998</v>
          </cell>
          <cell r="O359">
            <v>56.018999999999998</v>
          </cell>
          <cell r="P359">
            <v>80.593999999999994</v>
          </cell>
          <cell r="Q359">
            <v>84.483000000000004</v>
          </cell>
          <cell r="R359">
            <v>78.412000000000006</v>
          </cell>
          <cell r="S359">
            <v>83.691000000000003</v>
          </cell>
          <cell r="T359">
            <v>100.62</v>
          </cell>
          <cell r="U359">
            <v>130.6</v>
          </cell>
          <cell r="X359">
            <v>149.19999999999999</v>
          </cell>
          <cell r="AA359">
            <v>216.3</v>
          </cell>
          <cell r="AD359">
            <v>296.39999999999998</v>
          </cell>
          <cell r="AE359">
            <v>140.80000000000001</v>
          </cell>
          <cell r="AF359">
            <v>145.4</v>
          </cell>
          <cell r="AG359">
            <v>286.2</v>
          </cell>
          <cell r="AH359">
            <v>141.30000000000001</v>
          </cell>
          <cell r="AI359">
            <v>162.4</v>
          </cell>
          <cell r="AJ359">
            <v>303.7</v>
          </cell>
          <cell r="AK359">
            <v>164</v>
          </cell>
          <cell r="AL359">
            <v>195.5</v>
          </cell>
          <cell r="AM359">
            <v>359.5</v>
          </cell>
          <cell r="AN359">
            <v>323.60000000000002</v>
          </cell>
          <cell r="AO359">
            <v>337.09843933954102</v>
          </cell>
          <cell r="AP359">
            <v>358.99819102389301</v>
          </cell>
          <cell r="AQ359">
            <v>381.173700225934</v>
          </cell>
          <cell r="AR359">
            <v>405.09140817783702</v>
          </cell>
          <cell r="AS359">
            <v>427.95091600263697</v>
          </cell>
          <cell r="AT359">
            <v>452.80083262353997</v>
          </cell>
          <cell r="AU359">
            <v>480.50875120785798</v>
          </cell>
          <cell r="AV359">
            <v>510.85258961140801</v>
          </cell>
        </row>
        <row r="360">
          <cell r="B360" t="str">
            <v>Pre-tax profit (Pub)</v>
          </cell>
          <cell r="C360" t="str">
            <v>PTP_PUB</v>
          </cell>
          <cell r="D360" t="str">
            <v>GBP</v>
          </cell>
          <cell r="F360">
            <v>23.045999999999999</v>
          </cell>
          <cell r="G360">
            <v>20.754999999999999</v>
          </cell>
          <cell r="H360">
            <v>26.213999999999999</v>
          </cell>
          <cell r="I360">
            <v>23.43</v>
          </cell>
          <cell r="J360">
            <v>14.739000000000001</v>
          </cell>
          <cell r="K360">
            <v>18.346</v>
          </cell>
          <cell r="L360">
            <v>23.69</v>
          </cell>
          <cell r="M360">
            <v>31.245999999999999</v>
          </cell>
          <cell r="N360">
            <v>36.203000000000003</v>
          </cell>
          <cell r="O360">
            <v>49.121000000000002</v>
          </cell>
          <cell r="P360">
            <v>66.126000000000005</v>
          </cell>
          <cell r="Q360">
            <v>72.438000000000002</v>
          </cell>
          <cell r="R360">
            <v>70.311999999999998</v>
          </cell>
          <cell r="S360">
            <v>75.516999999999996</v>
          </cell>
          <cell r="T360">
            <v>89.468999999999994</v>
          </cell>
          <cell r="U360">
            <v>116.3</v>
          </cell>
          <cell r="X360">
            <v>132.69999999999999</v>
          </cell>
          <cell r="AA360">
            <v>179</v>
          </cell>
          <cell r="AD360">
            <v>243.3</v>
          </cell>
          <cell r="AE360">
            <v>112.3</v>
          </cell>
          <cell r="AF360">
            <v>121.9</v>
          </cell>
          <cell r="AG360">
            <v>234.2</v>
          </cell>
          <cell r="AH360">
            <v>116.2</v>
          </cell>
          <cell r="AI360">
            <v>139.9</v>
          </cell>
          <cell r="AJ360">
            <v>256.10000000000002</v>
          </cell>
          <cell r="AK360">
            <v>146.19999999999999</v>
          </cell>
          <cell r="AL360">
            <v>176.8</v>
          </cell>
          <cell r="AM360">
            <v>323</v>
          </cell>
          <cell r="AN360">
            <v>362.8</v>
          </cell>
          <cell r="AO360">
            <v>385.73256081828799</v>
          </cell>
          <cell r="AP360">
            <v>411.10985392480501</v>
          </cell>
          <cell r="AQ360">
            <v>441.43232133950602</v>
          </cell>
          <cell r="AR360">
            <v>472.680109827541</v>
          </cell>
          <cell r="AS360">
            <v>503.08181231947799</v>
          </cell>
          <cell r="AT360">
            <v>536.70739664653104</v>
          </cell>
          <cell r="AU360">
            <v>573.86981081542604</v>
          </cell>
          <cell r="AV360">
            <v>614.33370052897396</v>
          </cell>
        </row>
        <row r="361">
          <cell r="B361" t="str">
            <v>Sales, revenue (Pub)</v>
          </cell>
          <cell r="C361" t="str">
            <v>REVS_PUB</v>
          </cell>
          <cell r="D361" t="str">
            <v>GBP</v>
          </cell>
          <cell r="F361">
            <v>304.94299999999998</v>
          </cell>
          <cell r="G361">
            <v>301.91899999999998</v>
          </cell>
          <cell r="H361">
            <v>327.60500000000002</v>
          </cell>
          <cell r="I361">
            <v>359.73500000000001</v>
          </cell>
          <cell r="J361">
            <v>345.48099999999999</v>
          </cell>
          <cell r="K361">
            <v>358.15199999999999</v>
          </cell>
          <cell r="L361">
            <v>256.29899999999998</v>
          </cell>
          <cell r="M361">
            <v>265.12599999999998</v>
          </cell>
          <cell r="N361">
            <v>293.90100000000001</v>
          </cell>
          <cell r="O361">
            <v>346.45499999999998</v>
          </cell>
          <cell r="P361">
            <v>386.02300000000002</v>
          </cell>
          <cell r="Q361">
            <v>435.084</v>
          </cell>
          <cell r="R361">
            <v>403.84</v>
          </cell>
          <cell r="S361">
            <v>402.44099999999997</v>
          </cell>
          <cell r="T361">
            <v>479.18299999999999</v>
          </cell>
          <cell r="U361">
            <v>616.29999999999995</v>
          </cell>
          <cell r="X361">
            <v>670.3</v>
          </cell>
          <cell r="AA361">
            <v>878.2</v>
          </cell>
          <cell r="AD361">
            <v>1162.5999999999999</v>
          </cell>
          <cell r="AE361">
            <v>586.4</v>
          </cell>
          <cell r="AF361">
            <v>564.1</v>
          </cell>
          <cell r="AG361">
            <v>1150.5</v>
          </cell>
          <cell r="AH361">
            <v>549.70000000000005</v>
          </cell>
          <cell r="AI361">
            <v>612.29999999999995</v>
          </cell>
          <cell r="AJ361">
            <v>1162</v>
          </cell>
          <cell r="AK361">
            <v>649.79999999999995</v>
          </cell>
          <cell r="AL361">
            <v>805.5</v>
          </cell>
          <cell r="AM361">
            <v>1455.3</v>
          </cell>
          <cell r="AN361">
            <v>1605.8</v>
          </cell>
          <cell r="AO361">
            <v>1702.3833241621601</v>
          </cell>
          <cell r="AP361">
            <v>1752.35910937003</v>
          </cell>
          <cell r="AQ361">
            <v>1919.1679682628301</v>
          </cell>
          <cell r="AR361">
            <v>2095.6480291551702</v>
          </cell>
          <cell r="AS361">
            <v>2274.3369284958599</v>
          </cell>
          <cell r="AT361">
            <v>2468.2827300211402</v>
          </cell>
          <cell r="AU361">
            <v>2682.33466423359</v>
          </cell>
          <cell r="AV361">
            <v>2915.4053933023401</v>
          </cell>
        </row>
        <row r="362">
          <cell r="B362" t="str">
            <v>Total shareholders' equity (Pub)</v>
          </cell>
          <cell r="C362" t="str">
            <v>EQ_PUB</v>
          </cell>
          <cell r="D362" t="str">
            <v>GBP</v>
          </cell>
          <cell r="F362">
            <v>65.299000000000007</v>
          </cell>
          <cell r="G362">
            <v>110.229</v>
          </cell>
          <cell r="H362">
            <v>88.037000000000006</v>
          </cell>
          <cell r="I362">
            <v>69.590999999999994</v>
          </cell>
          <cell r="J362">
            <v>65.421000000000006</v>
          </cell>
          <cell r="K362">
            <v>64.111000000000004</v>
          </cell>
          <cell r="L362">
            <v>65.825999999999993</v>
          </cell>
          <cell r="M362">
            <v>74.335999999999999</v>
          </cell>
          <cell r="N362">
            <v>92.828000000000003</v>
          </cell>
          <cell r="O362">
            <v>179.684</v>
          </cell>
          <cell r="P362">
            <v>219.72399999999999</v>
          </cell>
          <cell r="Q362">
            <v>249.40799999999999</v>
          </cell>
          <cell r="R362">
            <v>257.488</v>
          </cell>
          <cell r="S362">
            <v>267.46100000000001</v>
          </cell>
          <cell r="T362">
            <v>464.995</v>
          </cell>
          <cell r="U362">
            <v>496.7</v>
          </cell>
          <cell r="X362">
            <v>561.5</v>
          </cell>
          <cell r="AA362">
            <v>1063.4000000000001</v>
          </cell>
          <cell r="AD362">
            <v>1286.4000000000001</v>
          </cell>
          <cell r="AG362">
            <v>1273.5999999999999</v>
          </cell>
          <cell r="AJ362">
            <v>1438.2</v>
          </cell>
          <cell r="AM362">
            <v>1793.3</v>
          </cell>
          <cell r="AN362">
            <v>1905.4</v>
          </cell>
          <cell r="AO362">
            <v>2059.4135239348202</v>
          </cell>
          <cell r="AP362">
            <v>2223.97736211144</v>
          </cell>
          <cell r="AQ362">
            <v>2396.44172722131</v>
          </cell>
          <cell r="AR362">
            <v>2576.1996403111302</v>
          </cell>
          <cell r="AS362">
            <v>2761.46127627037</v>
          </cell>
          <cell r="AT362">
            <v>2953.0633890432</v>
          </cell>
          <cell r="AU362">
            <v>3151.74885265579</v>
          </cell>
          <cell r="AV362">
            <v>3358.0023736087901</v>
          </cell>
        </row>
        <row r="363">
          <cell r="A363" t="str">
            <v>Income Statement</v>
          </cell>
        </row>
        <row r="364">
          <cell r="B364" t="str">
            <v>Provision for income tax</v>
          </cell>
          <cell r="C364" t="str">
            <v>PROV_INC_TAX</v>
          </cell>
          <cell r="D364" t="str">
            <v>GBP</v>
          </cell>
          <cell r="F364">
            <v>-7.2050000000000001</v>
          </cell>
          <cell r="G364">
            <v>-6.9139999999999997</v>
          </cell>
          <cell r="H364">
            <v>-6.9809999999999999</v>
          </cell>
          <cell r="I364">
            <v>-7.657</v>
          </cell>
          <cell r="J364">
            <v>-4.9020000000000001</v>
          </cell>
          <cell r="K364">
            <v>-6.4089999999999998</v>
          </cell>
          <cell r="L364">
            <v>-7.9320000000000004</v>
          </cell>
          <cell r="M364">
            <v>-10.012</v>
          </cell>
          <cell r="N364">
            <v>-11.587</v>
          </cell>
          <cell r="O364">
            <v>-15.708</v>
          </cell>
          <cell r="P364">
            <v>-21.071694000000001</v>
          </cell>
          <cell r="Q364">
            <v>-23.123442000000001</v>
          </cell>
          <cell r="R364">
            <v>-21.146250999999999</v>
          </cell>
          <cell r="S364">
            <v>-22.166644000000002</v>
          </cell>
          <cell r="T364">
            <v>-23.085999999999999</v>
          </cell>
          <cell r="U364">
            <v>-30.2</v>
          </cell>
          <cell r="X364">
            <v>-35.799999999999997</v>
          </cell>
          <cell r="AA364">
            <v>-49.2</v>
          </cell>
          <cell r="AD364">
            <v>-68.099999999999994</v>
          </cell>
          <cell r="AG364">
            <v>-63.234000000000002</v>
          </cell>
          <cell r="AJ364">
            <v>-64</v>
          </cell>
          <cell r="AM364">
            <v>-77.5</v>
          </cell>
          <cell r="AN364">
            <v>-48.8</v>
          </cell>
          <cell r="AO364">
            <v>-51.920827660067999</v>
          </cell>
          <cell r="AP364">
            <v>-55.79291207408</v>
          </cell>
          <cell r="AQ364">
            <v>-59.631793702465004</v>
          </cell>
          <cell r="AR364">
            <v>-63.554127903412002</v>
          </cell>
          <cell r="AS364">
            <v>-67.318862577548003</v>
          </cell>
          <cell r="AT364">
            <v>-71.509975346340994</v>
          </cell>
          <cell r="AU364">
            <v>-76.144080358839005</v>
          </cell>
          <cell r="AV364">
            <v>-81.189855884332999</v>
          </cell>
        </row>
        <row r="365">
          <cell r="B365" t="str">
            <v>Minority interest</v>
          </cell>
          <cell r="C365" t="str">
            <v>INC_MINORITY</v>
          </cell>
          <cell r="D365" t="str">
            <v>GBP</v>
          </cell>
          <cell r="F365">
            <v>-1.5129999999999999</v>
          </cell>
          <cell r="G365">
            <v>-2.0310000000000001</v>
          </cell>
          <cell r="H365">
            <v>-2.2000000000000002</v>
          </cell>
          <cell r="I365">
            <v>-0.41899999999999998</v>
          </cell>
          <cell r="J365">
            <v>-0.69299999999999995</v>
          </cell>
          <cell r="K365">
            <v>-0.73099999999999998</v>
          </cell>
          <cell r="L365">
            <v>-0.56399999999999995</v>
          </cell>
          <cell r="M365">
            <v>-0.89700000000000002</v>
          </cell>
          <cell r="N365">
            <v>-0.86699999999999999</v>
          </cell>
          <cell r="O365">
            <v>0</v>
          </cell>
          <cell r="P365">
            <v>0</v>
          </cell>
          <cell r="Q365">
            <v>0</v>
          </cell>
          <cell r="R365">
            <v>0</v>
          </cell>
          <cell r="S365">
            <v>0</v>
          </cell>
          <cell r="T365">
            <v>0</v>
          </cell>
          <cell r="U365">
            <v>0</v>
          </cell>
          <cell r="V365">
            <v>0</v>
          </cell>
          <cell r="W365">
            <v>0</v>
          </cell>
          <cell r="X365">
            <v>0</v>
          </cell>
          <cell r="Y365">
            <v>0</v>
          </cell>
          <cell r="AA365">
            <v>0</v>
          </cell>
          <cell r="AD365">
            <v>0</v>
          </cell>
          <cell r="AG365">
            <v>0</v>
          </cell>
          <cell r="AJ365">
            <v>0</v>
          </cell>
          <cell r="AM365">
            <v>0</v>
          </cell>
        </row>
        <row r="366">
          <cell r="B366" t="str">
            <v>Net income (pre-preferred dividends)</v>
          </cell>
          <cell r="C366" t="str">
            <v>NI_PRE_PREF</v>
          </cell>
          <cell r="D366" t="str">
            <v>GBP</v>
          </cell>
          <cell r="F366">
            <v>14.327999999999999</v>
          </cell>
          <cell r="G366">
            <v>11.81</v>
          </cell>
          <cell r="H366">
            <v>17.033000000000001</v>
          </cell>
          <cell r="I366">
            <v>15.353999999999999</v>
          </cell>
          <cell r="J366">
            <v>9.1440000000000001</v>
          </cell>
          <cell r="K366">
            <v>11.206</v>
          </cell>
          <cell r="L366">
            <v>15.194000000000001</v>
          </cell>
          <cell r="M366">
            <v>20.337</v>
          </cell>
          <cell r="N366">
            <v>23.748999999999999</v>
          </cell>
          <cell r="O366">
            <v>33.412999999999997</v>
          </cell>
          <cell r="P366">
            <v>45.054305999999997</v>
          </cell>
          <cell r="Q366">
            <v>49.314557999999998</v>
          </cell>
          <cell r="R366">
            <v>49.165748999999998</v>
          </cell>
          <cell r="S366">
            <v>53.350355999999998</v>
          </cell>
          <cell r="T366">
            <v>66.382999999999996</v>
          </cell>
          <cell r="U366">
            <v>86.1</v>
          </cell>
          <cell r="X366">
            <v>96.9</v>
          </cell>
          <cell r="AA366">
            <v>129.80000000000001</v>
          </cell>
          <cell r="AD366">
            <v>175.2</v>
          </cell>
          <cell r="AG366">
            <v>170.96600000000001</v>
          </cell>
          <cell r="AJ366">
            <v>192.1</v>
          </cell>
          <cell r="AM366">
            <v>245.5</v>
          </cell>
          <cell r="AN366">
            <v>243.3</v>
          </cell>
          <cell r="AO366">
            <v>258.859372329807</v>
          </cell>
          <cell r="AP366">
            <v>278.16425220540202</v>
          </cell>
          <cell r="AQ366">
            <v>297.303594422331</v>
          </cell>
          <cell r="AR366">
            <v>316.85900243647802</v>
          </cell>
          <cell r="AS366">
            <v>335.62867346552099</v>
          </cell>
          <cell r="AT366">
            <v>356.52411888862201</v>
          </cell>
          <cell r="AU366">
            <v>379.62817113331198</v>
          </cell>
          <cell r="AV366">
            <v>404.78467083316099</v>
          </cell>
        </row>
        <row r="367">
          <cell r="B367" t="str">
            <v>Preferred dividends</v>
          </cell>
          <cell r="C367" t="str">
            <v>PREF_DIV</v>
          </cell>
          <cell r="D367" t="str">
            <v>GBP</v>
          </cell>
          <cell r="N367">
            <v>0</v>
          </cell>
          <cell r="O367">
            <v>0</v>
          </cell>
          <cell r="P367">
            <v>0</v>
          </cell>
          <cell r="Q367">
            <v>0</v>
          </cell>
          <cell r="R367">
            <v>0</v>
          </cell>
          <cell r="S367">
            <v>0</v>
          </cell>
          <cell r="T367">
            <v>0</v>
          </cell>
          <cell r="U367">
            <v>0</v>
          </cell>
          <cell r="V367">
            <v>0</v>
          </cell>
          <cell r="W367">
            <v>0</v>
          </cell>
          <cell r="X367">
            <v>0</v>
          </cell>
          <cell r="Y367">
            <v>0</v>
          </cell>
          <cell r="AA367">
            <v>0</v>
          </cell>
        </row>
        <row r="368">
          <cell r="B368" t="str">
            <v>Net income (pre-exceptionals)</v>
          </cell>
          <cell r="C368" t="str">
            <v>NET_EARNING</v>
          </cell>
          <cell r="D368" t="str">
            <v>GBP</v>
          </cell>
          <cell r="F368">
            <v>14.327999999999999</v>
          </cell>
          <cell r="G368">
            <v>11.81</v>
          </cell>
          <cell r="H368">
            <v>17.033000000000001</v>
          </cell>
          <cell r="I368">
            <v>15.353999999999999</v>
          </cell>
          <cell r="J368">
            <v>9.1440000000000001</v>
          </cell>
          <cell r="K368">
            <v>11.206</v>
          </cell>
          <cell r="L368">
            <v>15.194000000000001</v>
          </cell>
          <cell r="M368">
            <v>20.337</v>
          </cell>
          <cell r="N368">
            <v>23.748999999999999</v>
          </cell>
          <cell r="O368">
            <v>33.412999999999997</v>
          </cell>
          <cell r="P368">
            <v>45.054305999999997</v>
          </cell>
          <cell r="Q368">
            <v>49.314557999999998</v>
          </cell>
          <cell r="R368">
            <v>49.165748999999998</v>
          </cell>
          <cell r="S368">
            <v>53.350355999999998</v>
          </cell>
          <cell r="T368">
            <v>66.382999999999996</v>
          </cell>
          <cell r="U368">
            <v>86.1</v>
          </cell>
          <cell r="X368">
            <v>96.9</v>
          </cell>
          <cell r="AA368">
            <v>129.80000000000001</v>
          </cell>
          <cell r="AD368">
            <v>175.2</v>
          </cell>
          <cell r="AG368">
            <v>170.96600000000001</v>
          </cell>
          <cell r="AJ368">
            <v>192.1</v>
          </cell>
          <cell r="AM368">
            <v>245.5</v>
          </cell>
          <cell r="AN368">
            <v>243.3</v>
          </cell>
          <cell r="AO368">
            <v>258.859372329807</v>
          </cell>
          <cell r="AP368">
            <v>278.16425220540202</v>
          </cell>
          <cell r="AQ368">
            <v>297.303594422331</v>
          </cell>
          <cell r="AR368">
            <v>316.85900243647802</v>
          </cell>
          <cell r="AS368">
            <v>335.62867346552099</v>
          </cell>
          <cell r="AT368">
            <v>356.52411888862201</v>
          </cell>
          <cell r="AU368">
            <v>379.62817113331198</v>
          </cell>
          <cell r="AV368">
            <v>404.78467083316099</v>
          </cell>
        </row>
        <row r="369">
          <cell r="B369" t="str">
            <v>Post-tax exceptionals</v>
          </cell>
          <cell r="C369" t="str">
            <v>TAX_EXC</v>
          </cell>
          <cell r="D369" t="str">
            <v>GBP</v>
          </cell>
          <cell r="N369">
            <v>0</v>
          </cell>
          <cell r="O369">
            <v>0</v>
          </cell>
          <cell r="P369">
            <v>0</v>
          </cell>
          <cell r="Q369">
            <v>0</v>
          </cell>
          <cell r="R369">
            <v>0</v>
          </cell>
          <cell r="S369">
            <v>0</v>
          </cell>
          <cell r="T369">
            <v>0</v>
          </cell>
          <cell r="U369">
            <v>0</v>
          </cell>
          <cell r="V369">
            <v>0</v>
          </cell>
          <cell r="W369">
            <v>0</v>
          </cell>
          <cell r="X369">
            <v>0</v>
          </cell>
          <cell r="Y369">
            <v>0</v>
          </cell>
          <cell r="AA369">
            <v>0</v>
          </cell>
        </row>
        <row r="370">
          <cell r="B370" t="str">
            <v>Net income (post-exceptionals)</v>
          </cell>
          <cell r="C370" t="str">
            <v>NET_INC</v>
          </cell>
          <cell r="D370" t="str">
            <v>GBP</v>
          </cell>
          <cell r="F370">
            <v>14.327999999999999</v>
          </cell>
          <cell r="G370">
            <v>11.81</v>
          </cell>
          <cell r="H370">
            <v>17.033000000000001</v>
          </cell>
          <cell r="I370">
            <v>15.353999999999999</v>
          </cell>
          <cell r="J370">
            <v>9.1440000000000001</v>
          </cell>
          <cell r="K370">
            <v>11.206</v>
          </cell>
          <cell r="L370">
            <v>15.194000000000001</v>
          </cell>
          <cell r="M370">
            <v>20.337</v>
          </cell>
          <cell r="N370">
            <v>23.748999999999999</v>
          </cell>
          <cell r="O370">
            <v>33.412999999999997</v>
          </cell>
          <cell r="P370">
            <v>45.054305999999997</v>
          </cell>
          <cell r="Q370">
            <v>49.314557999999998</v>
          </cell>
          <cell r="R370">
            <v>49.165748999999998</v>
          </cell>
          <cell r="S370">
            <v>53.350355999999998</v>
          </cell>
          <cell r="T370">
            <v>66.382999999999996</v>
          </cell>
          <cell r="U370">
            <v>86.1</v>
          </cell>
          <cell r="X370">
            <v>96.9</v>
          </cell>
          <cell r="AA370">
            <v>129.80000000000001</v>
          </cell>
          <cell r="AD370">
            <v>175.2</v>
          </cell>
          <cell r="AG370">
            <v>170.96600000000001</v>
          </cell>
          <cell r="AJ370">
            <v>192.1</v>
          </cell>
          <cell r="AM370">
            <v>245.5</v>
          </cell>
          <cell r="AN370">
            <v>243.3</v>
          </cell>
          <cell r="AO370">
            <v>258.859372329807</v>
          </cell>
          <cell r="AP370">
            <v>278.16425220540202</v>
          </cell>
          <cell r="AQ370">
            <v>297.303594422331</v>
          </cell>
          <cell r="AR370">
            <v>316.85900243647802</v>
          </cell>
          <cell r="AS370">
            <v>335.62867346552099</v>
          </cell>
          <cell r="AT370">
            <v>356.52411888862201</v>
          </cell>
          <cell r="AU370">
            <v>379.62817113331198</v>
          </cell>
          <cell r="AV370">
            <v>404.78467083316099</v>
          </cell>
        </row>
        <row r="371">
          <cell r="B371" t="str">
            <v>EPS (pre-exceptionals, basic)</v>
          </cell>
          <cell r="C371" t="str">
            <v>EPS</v>
          </cell>
          <cell r="D371" t="str">
            <v>GBP</v>
          </cell>
          <cell r="F371">
            <v>6.618701037658</v>
          </cell>
          <cell r="G371">
            <v>5.239465854723</v>
          </cell>
          <cell r="H371">
            <v>6.0564271477120002</v>
          </cell>
          <cell r="I371">
            <v>5.3096422871050004</v>
          </cell>
          <cell r="J371">
            <v>3.153546149676</v>
          </cell>
          <cell r="K371">
            <v>3.8540744558540001</v>
          </cell>
          <cell r="L371">
            <v>5.2060586758399996</v>
          </cell>
          <cell r="M371">
            <v>6.9188728830809998</v>
          </cell>
          <cell r="N371">
            <v>7.9720697603430004</v>
          </cell>
          <cell r="O371">
            <v>9.8777298002009992</v>
          </cell>
          <cell r="P371">
            <v>12.078331199999999</v>
          </cell>
          <cell r="Q371">
            <v>12.9730224</v>
          </cell>
          <cell r="R371">
            <v>12.7493496</v>
          </cell>
          <cell r="S371">
            <v>13.644040800000001</v>
          </cell>
          <cell r="T371">
            <v>14.992664592848</v>
          </cell>
          <cell r="U371">
            <v>17.109110577704001</v>
          </cell>
          <cell r="X371">
            <v>19.094475138120998</v>
          </cell>
          <cell r="AA371">
            <v>22.116203782585998</v>
          </cell>
          <cell r="AD371">
            <v>26.469255174497999</v>
          </cell>
          <cell r="AG371">
            <v>25.257201950066001</v>
          </cell>
          <cell r="AJ371">
            <v>27.780187997108001</v>
          </cell>
          <cell r="AM371">
            <v>31.895543718332</v>
          </cell>
          <cell r="AN371">
            <v>31.1</v>
          </cell>
          <cell r="AO371">
            <v>33.088888119429001</v>
          </cell>
          <cell r="AP371">
            <v>35.556548473440003</v>
          </cell>
          <cell r="AQ371">
            <v>38.003048855464002</v>
          </cell>
          <cell r="AR371">
            <v>40.502733151560001</v>
          </cell>
          <cell r="AS371">
            <v>42.901980044298</v>
          </cell>
          <cell r="AT371">
            <v>45.572955599819998</v>
          </cell>
          <cell r="AU371">
            <v>48.526247933604999</v>
          </cell>
          <cell r="AV371">
            <v>51.741895860711999</v>
          </cell>
        </row>
        <row r="372">
          <cell r="B372" t="str">
            <v>EPS (pre-exceptionals, diluted)</v>
          </cell>
          <cell r="C372" t="str">
            <v>EPS_FUL_DIL</v>
          </cell>
          <cell r="D372" t="str">
            <v>GBP</v>
          </cell>
          <cell r="F372">
            <v>6.618701037658</v>
          </cell>
          <cell r="G372">
            <v>5.239465854723</v>
          </cell>
          <cell r="H372">
            <v>6.0564271477120002</v>
          </cell>
          <cell r="I372">
            <v>5.3096422871050004</v>
          </cell>
          <cell r="J372">
            <v>3.153546149676</v>
          </cell>
          <cell r="K372">
            <v>3.8540744558540001</v>
          </cell>
          <cell r="L372">
            <v>5.2060586758399996</v>
          </cell>
          <cell r="M372">
            <v>6.8695029638560001</v>
          </cell>
          <cell r="N372">
            <v>7.886005364022</v>
          </cell>
          <cell r="O372">
            <v>9.7740992274709999</v>
          </cell>
          <cell r="P372">
            <v>11.972175127239</v>
          </cell>
          <cell r="Q372">
            <v>12.858599524867</v>
          </cell>
          <cell r="R372">
            <v>12.678443201923001</v>
          </cell>
          <cell r="S372">
            <v>13.578646880225</v>
          </cell>
          <cell r="T372">
            <v>14.92320871906</v>
          </cell>
          <cell r="U372">
            <v>17.004739074058001</v>
          </cell>
          <cell r="X372">
            <v>18.972186642269001</v>
          </cell>
          <cell r="AA372">
            <v>21.074849813280998</v>
          </cell>
          <cell r="AD372">
            <v>26.425339366515999</v>
          </cell>
          <cell r="AG372">
            <v>25.257201950066001</v>
          </cell>
          <cell r="AJ372">
            <v>27.466399771231998</v>
          </cell>
          <cell r="AM372">
            <v>31.640675344761</v>
          </cell>
          <cell r="AN372">
            <v>30.691908127207999</v>
          </cell>
          <cell r="AO372">
            <v>32.654698205561999</v>
          </cell>
          <cell r="AP372">
            <v>35.089978105062997</v>
          </cell>
          <cell r="AQ372">
            <v>37.504375692145999</v>
          </cell>
          <cell r="AR372">
            <v>39.971259317958001</v>
          </cell>
          <cell r="AS372">
            <v>42.339023472506</v>
          </cell>
          <cell r="AT372">
            <v>44.974950686657003</v>
          </cell>
          <cell r="AU372">
            <v>47.889490139431999</v>
          </cell>
          <cell r="AV372">
            <v>51.062942575066998</v>
          </cell>
        </row>
        <row r="373">
          <cell r="B373" t="str">
            <v>EPS (post-exceptionals, basic)</v>
          </cell>
          <cell r="C373" t="str">
            <v>EPS_POST_BASIC</v>
          </cell>
          <cell r="D373" t="str">
            <v>GBP</v>
          </cell>
          <cell r="F373">
            <v>6.618701037658</v>
          </cell>
          <cell r="G373">
            <v>5.239465854723</v>
          </cell>
          <cell r="H373">
            <v>6.0564271477120002</v>
          </cell>
          <cell r="I373">
            <v>5.3096422871050004</v>
          </cell>
          <cell r="J373">
            <v>3.153546149676</v>
          </cell>
          <cell r="K373">
            <v>3.8540744558540001</v>
          </cell>
          <cell r="L373">
            <v>5.2060586758399996</v>
          </cell>
          <cell r="M373">
            <v>6.9188728830809998</v>
          </cell>
          <cell r="N373">
            <v>7.9720697603430004</v>
          </cell>
          <cell r="O373">
            <v>9.8777298002009992</v>
          </cell>
          <cell r="P373">
            <v>12.078331199999999</v>
          </cell>
          <cell r="Q373">
            <v>12.9730224</v>
          </cell>
          <cell r="R373">
            <v>12.7493496</v>
          </cell>
          <cell r="S373">
            <v>13.644040800000001</v>
          </cell>
          <cell r="T373">
            <v>14.992664592848</v>
          </cell>
          <cell r="U373">
            <v>17.109110577704001</v>
          </cell>
          <cell r="X373">
            <v>19.094475138120998</v>
          </cell>
          <cell r="AA373">
            <v>22.116203782585998</v>
          </cell>
          <cell r="AD373">
            <v>26.469255174497999</v>
          </cell>
          <cell r="AG373">
            <v>25.257201950066001</v>
          </cell>
          <cell r="AJ373">
            <v>27.780187997108001</v>
          </cell>
          <cell r="AM373">
            <v>31.895543718332</v>
          </cell>
          <cell r="AN373">
            <v>31.1</v>
          </cell>
          <cell r="AO373">
            <v>33.088888119429001</v>
          </cell>
          <cell r="AP373">
            <v>35.556548473440003</v>
          </cell>
          <cell r="AQ373">
            <v>38.003048855464002</v>
          </cell>
          <cell r="AR373">
            <v>40.502733151560001</v>
          </cell>
          <cell r="AS373">
            <v>42.901980044298</v>
          </cell>
          <cell r="AT373">
            <v>45.572955599819998</v>
          </cell>
          <cell r="AU373">
            <v>48.526247933604999</v>
          </cell>
          <cell r="AV373">
            <v>51.741895860711999</v>
          </cell>
        </row>
        <row r="374">
          <cell r="B374" t="str">
            <v>EPS (post-exceptionals, diluted)</v>
          </cell>
          <cell r="C374" t="str">
            <v>FULLY_DIL_EPS</v>
          </cell>
          <cell r="D374" t="str">
            <v>GBP</v>
          </cell>
          <cell r="F374">
            <v>6.618701037658</v>
          </cell>
          <cell r="G374">
            <v>5.239465854723</v>
          </cell>
          <cell r="H374">
            <v>6.0564271477120002</v>
          </cell>
          <cell r="I374">
            <v>5.3096422871050004</v>
          </cell>
          <cell r="J374">
            <v>3.153546149676</v>
          </cell>
          <cell r="K374">
            <v>3.8540744558540001</v>
          </cell>
          <cell r="L374">
            <v>5.2060586758399996</v>
          </cell>
          <cell r="M374">
            <v>6.8695029638560001</v>
          </cell>
          <cell r="N374">
            <v>7.886005364022</v>
          </cell>
          <cell r="O374">
            <v>9.7740992274709999</v>
          </cell>
          <cell r="P374">
            <v>11.972175127239</v>
          </cell>
          <cell r="Q374">
            <v>12.858599524867</v>
          </cell>
          <cell r="R374">
            <v>12.678443201923001</v>
          </cell>
          <cell r="S374">
            <v>13.578646880225</v>
          </cell>
          <cell r="T374">
            <v>14.92320871906</v>
          </cell>
          <cell r="U374">
            <v>17.004739074058001</v>
          </cell>
          <cell r="X374">
            <v>18.972186642269001</v>
          </cell>
          <cell r="AA374">
            <v>21.074849813280998</v>
          </cell>
          <cell r="AD374">
            <v>26.425339366515999</v>
          </cell>
          <cell r="AG374">
            <v>25.257201950066001</v>
          </cell>
          <cell r="AJ374">
            <v>27.466399771231998</v>
          </cell>
          <cell r="AM374">
            <v>31.640675344761</v>
          </cell>
          <cell r="AN374">
            <v>30.691908127207999</v>
          </cell>
          <cell r="AO374">
            <v>32.654698205561999</v>
          </cell>
          <cell r="AP374">
            <v>35.089978105062997</v>
          </cell>
          <cell r="AQ374">
            <v>37.504375692145999</v>
          </cell>
          <cell r="AR374">
            <v>39.971259317958001</v>
          </cell>
          <cell r="AS374">
            <v>42.339023472506</v>
          </cell>
          <cell r="AT374">
            <v>44.974950686657003</v>
          </cell>
          <cell r="AU374">
            <v>47.889490139431999</v>
          </cell>
          <cell r="AV374">
            <v>51.062942575066998</v>
          </cell>
        </row>
        <row r="375">
          <cell r="B375" t="str">
            <v>Common dividends paid</v>
          </cell>
          <cell r="C375" t="str">
            <v>COMMON_DIV_PAID</v>
          </cell>
          <cell r="D375" t="str">
            <v>GBP</v>
          </cell>
          <cell r="F375">
            <v>-5.1840000000000002</v>
          </cell>
          <cell r="G375">
            <v>-6.6980000000000004</v>
          </cell>
          <cell r="H375">
            <v>-8.1419999999999995</v>
          </cell>
          <cell r="I375">
            <v>-8.48</v>
          </cell>
          <cell r="J375">
            <v>-8.5289999999999999</v>
          </cell>
          <cell r="K375">
            <v>-8.5239999999999991</v>
          </cell>
          <cell r="L375">
            <v>-9.1750000000000007</v>
          </cell>
          <cell r="M375">
            <v>-10.356999999999999</v>
          </cell>
          <cell r="N375">
            <v>-11.561</v>
          </cell>
          <cell r="O375">
            <v>-15.705</v>
          </cell>
          <cell r="P375">
            <v>-18.068000000000001</v>
          </cell>
          <cell r="Q375">
            <v>-19.472999999999999</v>
          </cell>
          <cell r="R375">
            <v>-20.262</v>
          </cell>
          <cell r="S375">
            <v>-22.113</v>
          </cell>
          <cell r="T375">
            <v>-30.059000000000001</v>
          </cell>
          <cell r="U375">
            <v>-31</v>
          </cell>
          <cell r="X375">
            <v>-34.299999999999997</v>
          </cell>
          <cell r="AA375">
            <v>-42.2</v>
          </cell>
          <cell r="AD375">
            <v>-55.930549999999997</v>
          </cell>
          <cell r="AG375">
            <v>-57.198050000000002</v>
          </cell>
          <cell r="AJ375">
            <v>-63.618000000000002</v>
          </cell>
          <cell r="AM375">
            <v>-80.8185</v>
          </cell>
          <cell r="AN375">
            <v>-92.313183279743001</v>
          </cell>
          <cell r="AO375">
            <v>-101.544501607717</v>
          </cell>
          <cell r="AP375">
            <v>-111.698951768489</v>
          </cell>
          <cell r="AQ375">
            <v>-122.86884694533801</v>
          </cell>
          <cell r="AR375">
            <v>-135.15573163987099</v>
          </cell>
          <cell r="AS375">
            <v>-148.67130480385899</v>
          </cell>
          <cell r="AT375">
            <v>-163.538435284244</v>
          </cell>
          <cell r="AU375">
            <v>-179.89227881266899</v>
          </cell>
          <cell r="AV375">
            <v>-197.88150669393599</v>
          </cell>
        </row>
        <row r="376">
          <cell r="B376" t="str">
            <v>DPS, dividend per share</v>
          </cell>
          <cell r="C376" t="str">
            <v>DPS</v>
          </cell>
          <cell r="D376" t="str">
            <v>GBP</v>
          </cell>
          <cell r="F376">
            <v>2.5424141599999999</v>
          </cell>
          <cell r="G376">
            <v>2.6840736000000001</v>
          </cell>
          <cell r="H376">
            <v>2.8182772800000002</v>
          </cell>
          <cell r="I376">
            <v>2.9301136799999998</v>
          </cell>
          <cell r="J376">
            <v>2.9301136799999998</v>
          </cell>
          <cell r="K376">
            <v>2.9281614699729999</v>
          </cell>
          <cell r="L376">
            <v>3.1335029811899999</v>
          </cell>
          <cell r="M376">
            <v>3.51125700465</v>
          </cell>
          <cell r="N376">
            <v>3.8450249150319999</v>
          </cell>
          <cell r="O376">
            <v>4.2199601600000003</v>
          </cell>
          <cell r="P376">
            <v>4.7716864000000001</v>
          </cell>
          <cell r="Q376">
            <v>5.0699167999999997</v>
          </cell>
          <cell r="R376">
            <v>5.2190320000000003</v>
          </cell>
          <cell r="S376">
            <v>5.5918200000000002</v>
          </cell>
          <cell r="T376">
            <v>5.992</v>
          </cell>
          <cell r="U376">
            <v>6.5911999999999997</v>
          </cell>
          <cell r="V376">
            <v>0</v>
          </cell>
          <cell r="W376">
            <v>0</v>
          </cell>
          <cell r="X376">
            <v>7.3616000000000001</v>
          </cell>
          <cell r="Y376">
            <v>0</v>
          </cell>
          <cell r="AA376">
            <v>8.1999999999999993</v>
          </cell>
          <cell r="AD376">
            <v>8.4499999999999993</v>
          </cell>
          <cell r="AG376">
            <v>8.4499999999999993</v>
          </cell>
          <cell r="AJ376">
            <v>9.1999999999999993</v>
          </cell>
          <cell r="AM376">
            <v>10.5</v>
          </cell>
          <cell r="AN376">
            <v>11.8</v>
          </cell>
          <cell r="AO376">
            <v>12.98</v>
          </cell>
          <cell r="AP376">
            <v>14.278</v>
          </cell>
          <cell r="AQ376">
            <v>15.7058</v>
          </cell>
          <cell r="AR376">
            <v>17.27638</v>
          </cell>
          <cell r="AS376">
            <v>19.004017999999999</v>
          </cell>
          <cell r="AT376">
            <v>20.904419799999999</v>
          </cell>
          <cell r="AU376">
            <v>22.994861780000001</v>
          </cell>
          <cell r="AV376">
            <v>25.294347957999999</v>
          </cell>
        </row>
        <row r="377">
          <cell r="B377" t="str">
            <v>Weighted average shares outstanding, basic</v>
          </cell>
          <cell r="C377" t="str">
            <v>SH</v>
          </cell>
          <cell r="F377">
            <v>216.47752207689101</v>
          </cell>
          <cell r="G377">
            <v>225.40465626576</v>
          </cell>
          <cell r="H377">
            <v>281.238419691621</v>
          </cell>
          <cell r="I377">
            <v>289.17202270459302</v>
          </cell>
          <cell r="J377">
            <v>289.95928919385801</v>
          </cell>
          <cell r="K377">
            <v>290.75722662746699</v>
          </cell>
          <cell r="L377">
            <v>291.852261875382</v>
          </cell>
          <cell r="M377">
            <v>293.935158857045</v>
          </cell>
          <cell r="N377">
            <v>297.90256124124198</v>
          </cell>
          <cell r="O377">
            <v>338.26598495659698</v>
          </cell>
          <cell r="P377">
            <v>373.01764005279102</v>
          </cell>
          <cell r="Q377">
            <v>380.13160294859301</v>
          </cell>
          <cell r="R377">
            <v>385.63338948678597</v>
          </cell>
          <cell r="S377">
            <v>391.01580522978202</v>
          </cell>
          <cell r="T377">
            <v>442.769859813084</v>
          </cell>
          <cell r="U377">
            <v>503.24065420560697</v>
          </cell>
          <cell r="X377">
            <v>507.47663551401899</v>
          </cell>
          <cell r="AA377">
            <v>586.9</v>
          </cell>
          <cell r="AD377">
            <v>661.9</v>
          </cell>
          <cell r="AG377">
            <v>676.9</v>
          </cell>
          <cell r="AJ377">
            <v>691.5</v>
          </cell>
          <cell r="AM377">
            <v>769.7</v>
          </cell>
          <cell r="AN377">
            <v>782.31511254019301</v>
          </cell>
          <cell r="AO377">
            <v>782.31511254019301</v>
          </cell>
          <cell r="AP377">
            <v>782.31511254019301</v>
          </cell>
          <cell r="AQ377">
            <v>782.31511254019301</v>
          </cell>
          <cell r="AR377">
            <v>782.31511254019301</v>
          </cell>
          <cell r="AS377">
            <v>782.31511254019301</v>
          </cell>
          <cell r="AT377">
            <v>782.31511254019301</v>
          </cell>
          <cell r="AU377">
            <v>782.31511254019301</v>
          </cell>
          <cell r="AV377">
            <v>782.31511254019301</v>
          </cell>
        </row>
        <row r="378">
          <cell r="B378" t="str">
            <v>Diluted average shares outstanding (mn)</v>
          </cell>
          <cell r="C378" t="str">
            <v>DILUTE_SHARES</v>
          </cell>
          <cell r="F378">
            <v>216.47752207689101</v>
          </cell>
          <cell r="G378">
            <v>225.40465626576</v>
          </cell>
          <cell r="H378">
            <v>281.238419691621</v>
          </cell>
          <cell r="I378">
            <v>289.17202270459302</v>
          </cell>
          <cell r="J378">
            <v>289.95928919385801</v>
          </cell>
          <cell r="K378">
            <v>290.75722662746699</v>
          </cell>
          <cell r="L378">
            <v>291.852261875382</v>
          </cell>
          <cell r="M378">
            <v>296.04761955856998</v>
          </cell>
          <cell r="N378">
            <v>301.15373885425498</v>
          </cell>
          <cell r="O378">
            <v>341.85247379207499</v>
          </cell>
          <cell r="P378">
            <v>376.32514995117901</v>
          </cell>
          <cell r="Q378">
            <v>383.51422256081202</v>
          </cell>
          <cell r="R378">
            <v>387.790111269676</v>
          </cell>
          <cell r="S378">
            <v>392.89891305514101</v>
          </cell>
          <cell r="T378">
            <v>444.83060747663598</v>
          </cell>
          <cell r="U378">
            <v>506.32943925233599</v>
          </cell>
          <cell r="X378">
            <v>510.74766355140201</v>
          </cell>
          <cell r="AA378">
            <v>615.9</v>
          </cell>
          <cell r="AD378">
            <v>663</v>
          </cell>
          <cell r="AG378">
            <v>676.9</v>
          </cell>
          <cell r="AJ378">
            <v>699.4</v>
          </cell>
          <cell r="AM378">
            <v>775.9</v>
          </cell>
          <cell r="AN378">
            <v>792.717086834734</v>
          </cell>
          <cell r="AO378">
            <v>792.717086834734</v>
          </cell>
          <cell r="AP378">
            <v>792.717086834734</v>
          </cell>
          <cell r="AQ378">
            <v>792.717086834734</v>
          </cell>
          <cell r="AR378">
            <v>792.717086834734</v>
          </cell>
          <cell r="AS378">
            <v>792.717086834734</v>
          </cell>
          <cell r="AT378">
            <v>792.717086834734</v>
          </cell>
          <cell r="AU378">
            <v>792.717086834734</v>
          </cell>
          <cell r="AV378">
            <v>792.717086834734</v>
          </cell>
        </row>
        <row r="379">
          <cell r="B379" t="str">
            <v>Period-end shares outstanding</v>
          </cell>
          <cell r="C379" t="str">
            <v>NON_OP_ADD</v>
          </cell>
          <cell r="F379">
            <v>203.92033944225699</v>
          </cell>
          <cell r="G379">
            <v>272.26872243741798</v>
          </cell>
          <cell r="H379">
            <v>288.89292037297298</v>
          </cell>
          <cell r="I379">
            <v>289.49839721235702</v>
          </cell>
          <cell r="J379">
            <v>290.52285883665797</v>
          </cell>
          <cell r="K379">
            <v>291.10416510188099</v>
          </cell>
          <cell r="L379">
            <v>292.803295706943</v>
          </cell>
          <cell r="M379">
            <v>294.96559170359598</v>
          </cell>
          <cell r="N379">
            <v>300.67425453609002</v>
          </cell>
          <cell r="O379">
            <v>371.61451414745102</v>
          </cell>
          <cell r="P379">
            <v>379.281335504362</v>
          </cell>
          <cell r="Q379">
            <v>384.13978856615603</v>
          </cell>
          <cell r="R379">
            <v>387.96997489189602</v>
          </cell>
          <cell r="S379">
            <v>395.96999635181402</v>
          </cell>
          <cell r="T379">
            <v>501.90593224299101</v>
          </cell>
          <cell r="U379">
            <v>506.11347663551402</v>
          </cell>
          <cell r="X379">
            <v>509.46261682242999</v>
          </cell>
          <cell r="AA379">
            <v>658.3</v>
          </cell>
          <cell r="AD379">
            <v>656.6</v>
          </cell>
          <cell r="AG379">
            <v>685.3</v>
          </cell>
          <cell r="AJ379">
            <v>698</v>
          </cell>
          <cell r="AM379">
            <v>778.8</v>
          </cell>
          <cell r="AN379">
            <v>782.31511254019301</v>
          </cell>
          <cell r="AO379">
            <v>782.31511254019301</v>
          </cell>
          <cell r="AP379">
            <v>782.31511254019301</v>
          </cell>
          <cell r="AQ379">
            <v>782.31511254019301</v>
          </cell>
          <cell r="AR379">
            <v>782.31511254019301</v>
          </cell>
          <cell r="AS379">
            <v>782.31511254019301</v>
          </cell>
          <cell r="AT379">
            <v>782.31511254019301</v>
          </cell>
          <cell r="AU379">
            <v>782.31511254019301</v>
          </cell>
          <cell r="AV379">
            <v>782.31511254019301</v>
          </cell>
        </row>
        <row r="380">
          <cell r="A380" t="str">
            <v>Additional Income Statement Items</v>
          </cell>
        </row>
        <row r="381">
          <cell r="B381" t="str">
            <v>Organic net income (excl. acquisitions)</v>
          </cell>
          <cell r="C381" t="str">
            <v>ORG_NI</v>
          </cell>
          <cell r="D381" t="str">
            <v>GBP</v>
          </cell>
        </row>
        <row r="382">
          <cell r="B382" t="str">
            <v>Organic EPS (excl. acquisitions)</v>
          </cell>
          <cell r="C382" t="str">
            <v>ORG_EPS</v>
          </cell>
          <cell r="D382" t="str">
            <v>GBP</v>
          </cell>
        </row>
        <row r="383">
          <cell r="B383" t="str">
            <v>Marginal tax rate</v>
          </cell>
          <cell r="C383" t="str">
            <v>MARGIN_TAX_RATE</v>
          </cell>
          <cell r="F383">
            <v>0.31263559836799998</v>
          </cell>
          <cell r="G383">
            <v>0.333124548302</v>
          </cell>
          <cell r="H383">
            <v>0.26630807965199998</v>
          </cell>
          <cell r="I383">
            <v>0.32680324370500002</v>
          </cell>
          <cell r="J383">
            <v>0.33258701404399998</v>
          </cell>
          <cell r="K383">
            <v>0.349340455685</v>
          </cell>
          <cell r="L383">
            <v>0.33482482059899998</v>
          </cell>
          <cell r="M383">
            <v>0.320425014402</v>
          </cell>
          <cell r="N383">
            <v>0.32005634892099999</v>
          </cell>
          <cell r="O383">
            <v>0.31978176340100001</v>
          </cell>
          <cell r="P383">
            <v>0.31865974049500001</v>
          </cell>
          <cell r="Q383">
            <v>0.31921701317000001</v>
          </cell>
          <cell r="R383">
            <v>0.300748819547</v>
          </cell>
          <cell r="S383">
            <v>0.29353184051300002</v>
          </cell>
          <cell r="T383">
            <v>0.25803350881300002</v>
          </cell>
          <cell r="U383">
            <v>0.25967325881300002</v>
          </cell>
          <cell r="V383">
            <v>0</v>
          </cell>
          <cell r="W383">
            <v>0</v>
          </cell>
          <cell r="X383">
            <v>0.26978146194399999</v>
          </cell>
          <cell r="Y383">
            <v>0</v>
          </cell>
          <cell r="AA383">
            <v>0.27486033519600001</v>
          </cell>
          <cell r="AD383">
            <v>0.27990135635000002</v>
          </cell>
          <cell r="AG383">
            <v>0.27</v>
          </cell>
          <cell r="AJ383">
            <v>0.24990238188200001</v>
          </cell>
          <cell r="AM383">
            <v>0.23993808049500001</v>
          </cell>
          <cell r="AN383">
            <v>0.21995589856700001</v>
          </cell>
          <cell r="AO383">
            <v>0.22</v>
          </cell>
          <cell r="AP383">
            <v>0.22</v>
          </cell>
          <cell r="AQ383">
            <v>0.22</v>
          </cell>
          <cell r="AR383">
            <v>0.22</v>
          </cell>
          <cell r="AS383">
            <v>0.22</v>
          </cell>
          <cell r="AT383">
            <v>0.22</v>
          </cell>
          <cell r="AU383">
            <v>0.22</v>
          </cell>
          <cell r="AV383">
            <v>0.22</v>
          </cell>
        </row>
        <row r="384">
          <cell r="A384" t="str">
            <v>Balance Sheet</v>
          </cell>
        </row>
        <row r="385">
          <cell r="B385" t="str">
            <v>BVPS, book value per share</v>
          </cell>
          <cell r="C385" t="str">
            <v>BVPS</v>
          </cell>
          <cell r="D385" t="str">
            <v>GBP</v>
          </cell>
          <cell r="F385">
            <v>22.347942399783999</v>
          </cell>
          <cell r="G385">
            <v>32.849531594859997</v>
          </cell>
          <cell r="H385">
            <v>23.280252043965</v>
          </cell>
          <cell r="I385">
            <v>23.769043512018001</v>
          </cell>
          <cell r="J385">
            <v>22.056095777313001</v>
          </cell>
          <cell r="K385">
            <v>21.839261550157001</v>
          </cell>
          <cell r="L385">
            <v>22.105625499782999</v>
          </cell>
          <cell r="M385">
            <v>25.201583537478999</v>
          </cell>
          <cell r="N385">
            <v>30.873278506409999</v>
          </cell>
          <cell r="O385">
            <v>48.352255673389998</v>
          </cell>
          <cell r="P385">
            <v>57.931666926825002</v>
          </cell>
          <cell r="Q385">
            <v>64.926364678582999</v>
          </cell>
          <cell r="R385">
            <v>66.368022440847</v>
          </cell>
          <cell r="S385">
            <v>67.545774292041003</v>
          </cell>
          <cell r="T385">
            <v>92.645846587619005</v>
          </cell>
          <cell r="U385">
            <v>98.1400462406</v>
          </cell>
          <cell r="X385">
            <v>110.214171061683</v>
          </cell>
          <cell r="AA385">
            <v>161.537293027495</v>
          </cell>
          <cell r="AD385">
            <v>195.91836734693899</v>
          </cell>
          <cell r="AG385">
            <v>185.84561505909801</v>
          </cell>
          <cell r="AJ385">
            <v>206.04584527220601</v>
          </cell>
          <cell r="AM385">
            <v>230.26450950179799</v>
          </cell>
          <cell r="AN385">
            <v>243.55914508836801</v>
          </cell>
          <cell r="AO385">
            <v>263.24603614620997</v>
          </cell>
          <cell r="AP385">
            <v>284.28152881901201</v>
          </cell>
          <cell r="AQ385">
            <v>306.32691211090298</v>
          </cell>
          <cell r="AR385">
            <v>329.304598494353</v>
          </cell>
          <cell r="AS385">
            <v>352.985802268839</v>
          </cell>
          <cell r="AT385">
            <v>377.47748211773001</v>
          </cell>
          <cell r="AU385">
            <v>402.87459645538502</v>
          </cell>
          <cell r="AV385">
            <v>429.23910324386998</v>
          </cell>
        </row>
        <row r="386">
          <cell r="A386" t="str">
            <v>Cash Flow Statement</v>
          </cell>
        </row>
        <row r="387">
          <cell r="B387" t="str">
            <v>Net income (pre-preferred dividends)</v>
          </cell>
          <cell r="C387" t="str">
            <v>CF_NI_PRE_PREF</v>
          </cell>
          <cell r="D387" t="str">
            <v>GBP</v>
          </cell>
          <cell r="F387">
            <v>14.327999999999999</v>
          </cell>
          <cell r="G387">
            <v>11.81</v>
          </cell>
          <cell r="H387">
            <v>17.033000000000001</v>
          </cell>
          <cell r="I387">
            <v>15.353999999999999</v>
          </cell>
          <cell r="J387">
            <v>9.1440000000000001</v>
          </cell>
          <cell r="K387">
            <v>11.206</v>
          </cell>
          <cell r="L387">
            <v>15.194000000000001</v>
          </cell>
          <cell r="M387">
            <v>20.337</v>
          </cell>
          <cell r="N387">
            <v>23.748999999999999</v>
          </cell>
          <cell r="O387">
            <v>33.412999999999997</v>
          </cell>
          <cell r="P387">
            <v>45.054305999999997</v>
          </cell>
          <cell r="Q387">
            <v>49.314557999999998</v>
          </cell>
          <cell r="R387">
            <v>49.165748999999998</v>
          </cell>
          <cell r="S387">
            <v>53.350355999999998</v>
          </cell>
          <cell r="T387">
            <v>66.382999999999996</v>
          </cell>
          <cell r="U387">
            <v>86.1</v>
          </cell>
          <cell r="X387">
            <v>96.9</v>
          </cell>
          <cell r="AA387">
            <v>129.80000000000001</v>
          </cell>
          <cell r="AD387">
            <v>175.2</v>
          </cell>
          <cell r="AG387">
            <v>170.96600000000001</v>
          </cell>
          <cell r="AJ387">
            <v>192.1</v>
          </cell>
          <cell r="AM387">
            <v>245.5</v>
          </cell>
          <cell r="AN387">
            <v>243.3</v>
          </cell>
          <cell r="AO387">
            <v>258.859372329807</v>
          </cell>
          <cell r="AP387">
            <v>278.16425220540202</v>
          </cell>
          <cell r="AQ387">
            <v>297.303594422331</v>
          </cell>
          <cell r="AR387">
            <v>316.85900243647802</v>
          </cell>
          <cell r="AS387">
            <v>335.62867346552099</v>
          </cell>
          <cell r="AT387">
            <v>356.52411888862201</v>
          </cell>
          <cell r="AU387">
            <v>379.62817113331198</v>
          </cell>
          <cell r="AV387">
            <v>404.78467083316099</v>
          </cell>
        </row>
        <row r="388">
          <cell r="A388" t="str">
            <v>Other Items</v>
          </cell>
        </row>
        <row r="389">
          <cell r="B389" t="str">
            <v>Beta</v>
          </cell>
          <cell r="C389" t="str">
            <v>BETA_ANALYST</v>
          </cell>
          <cell r="E389">
            <v>1</v>
          </cell>
        </row>
        <row r="390">
          <cell r="B390" t="str">
            <v>Market equity risk premium</v>
          </cell>
          <cell r="C390" t="str">
            <v>MKT_EQ_RISK_PREM</v>
          </cell>
        </row>
        <row r="391">
          <cell r="B391" t="str">
            <v>Risk-free rate</v>
          </cell>
          <cell r="C391" t="str">
            <v>RISK_FR_RATE</v>
          </cell>
        </row>
      </sheetData>
      <sheetData sheetId="1">
        <row r="1">
          <cell r="A1" t="str">
            <v>45956aa6-e2ba-42c5-af83-03e72dd306a6</v>
          </cell>
        </row>
        <row r="2">
          <cell r="A2" t="str">
            <v>N:\Aerospace\Chris\WIP models\Migrated models\[cleanMeggitt model WIP.xlsx]MGGT.L_Validation_Sheet</v>
          </cell>
        </row>
        <row r="3">
          <cell r="A3" t="str">
            <v>Enabled</v>
          </cell>
          <cell r="AN3" t="str">
            <v>ERROR</v>
          </cell>
        </row>
        <row r="9">
          <cell r="A9" t="str">
            <v>Vector|||208007415|||ISSR|||SALES|||False|||</v>
          </cell>
          <cell r="C9" t="str">
            <v>V_KEYWORD_ISSR_208007415_SALES</v>
          </cell>
        </row>
        <row r="10">
          <cell r="A10" t="str">
            <v>Vector|||208007415|||ISSR|||COST_GD_SD|||False|||</v>
          </cell>
          <cell r="C10" t="str">
            <v>V_KEYWORD_ISSR_208007415_COST_GD_SD</v>
          </cell>
        </row>
        <row r="11">
          <cell r="A11" t="str">
            <v>Vector|||208007415|||ISSR|||SEL_GL_AD|||False|||</v>
          </cell>
          <cell r="C11" t="str">
            <v>V_KEYWORD_ISSR_208007415_SEL_GL_AD</v>
          </cell>
        </row>
        <row r="12">
          <cell r="A12" t="str">
            <v>Vector|||208007415|||ISSR|||OP_COST|||False|||</v>
          </cell>
          <cell r="C12" t="str">
            <v>V_KEYWORD_ISSR_208007415_OP_COST</v>
          </cell>
        </row>
        <row r="13">
          <cell r="A13" t="str">
            <v>Vector|||208007415|||ISSR|||RD_EXP|||False|||</v>
          </cell>
          <cell r="C13" t="str">
            <v>V_KEYWORD_ISSR_208007415_RD_EXP</v>
          </cell>
        </row>
        <row r="14">
          <cell r="A14" t="str">
            <v>Vector|||208007415|||ISSR|||OTH_OP_INC_EXP|||False|||</v>
          </cell>
          <cell r="C14" t="str">
            <v>V_KEYWORD_ISSR_208007415_OTH_OP_INC_EXP</v>
          </cell>
        </row>
        <row r="15">
          <cell r="A15" t="str">
            <v>Vector|||208007415|||ISSR|||TOT_OPS_EXP_DDA|||False|||</v>
          </cell>
          <cell r="C15" t="str">
            <v>V_KEYWORD_ISSR_208007415_TOT_OPS_EXP_DDA</v>
          </cell>
        </row>
        <row r="16">
          <cell r="A16" t="str">
            <v>Vector|||208007415|||ISSR|||TOT_OPS_EXP|||False|||</v>
          </cell>
          <cell r="C16" t="str">
            <v>V_KEYWORD_ISSR_208007415_TOT_OPS_EXP</v>
          </cell>
        </row>
        <row r="17">
          <cell r="A17" t="str">
            <v>Vector|||208007415|||ISSR|||EBITDA_CALC|||False|||</v>
          </cell>
          <cell r="C17" t="str">
            <v>V_KEYWORD_ISSR_208007415_EBITDA_CALC</v>
          </cell>
        </row>
        <row r="18">
          <cell r="A18" t="str">
            <v>Vector|||208007415|||ISSR|||DEPREC|||False|||</v>
          </cell>
          <cell r="C18" t="str">
            <v>V_KEYWORD_ISSR_208007415_DEPREC</v>
          </cell>
        </row>
        <row r="19">
          <cell r="A19" t="str">
            <v>Vector|||208007415|||ISSR|||GOODWILL_AMORT|||False|||</v>
          </cell>
          <cell r="C19" t="str">
            <v>V_KEYWORD_ISSR_208007415_GOODWILL_AMORT</v>
          </cell>
        </row>
        <row r="20">
          <cell r="A20" t="str">
            <v>Vector|||208007415|||ISSR|||EBIT|||False|||</v>
          </cell>
          <cell r="C20" t="str">
            <v>V_KEYWORD_ISSR_208007415_EBIT</v>
          </cell>
        </row>
        <row r="21">
          <cell r="A21" t="str">
            <v>Vector|||208007415|||ISSR|||INT_INC_IND|||False|||</v>
          </cell>
          <cell r="C21" t="str">
            <v>V_KEYWORD_ISSR_208007415_INT_INC_IND</v>
          </cell>
        </row>
        <row r="22">
          <cell r="A22" t="str">
            <v>Vector|||208007415|||ISSR|||INT_EXP_IND|||False|||</v>
          </cell>
          <cell r="C22" t="str">
            <v>V_KEYWORD_ISSR_208007415_INT_EXP_IND</v>
          </cell>
        </row>
        <row r="23">
          <cell r="A23" t="str">
            <v>Vector|||208007415|||ISSR|||NET_INT_EXP|||False|||</v>
          </cell>
          <cell r="C23" t="str">
            <v>V_KEYWORD_ISSR_208007415_NET_INT_EXP</v>
          </cell>
        </row>
        <row r="24">
          <cell r="A24" t="str">
            <v>Vector|||208007415|||ISSR|||ASSOCIATE|||False|||</v>
          </cell>
          <cell r="C24" t="str">
            <v>V_KEYWORD_ISSR_208007415_ASSOCIATE</v>
          </cell>
        </row>
        <row r="25">
          <cell r="A25" t="str">
            <v>Vector|||208007415|||ISSR|||PROFIT_ON_DISP|||False|||</v>
          </cell>
          <cell r="C25" t="str">
            <v>V_KEYWORD_ISSR_208007415_PROFIT_ON_DISP</v>
          </cell>
        </row>
        <row r="26">
          <cell r="A26" t="str">
            <v>Vector|||208007415|||ISSR|||OTH_COST_INC|||False|||</v>
          </cell>
          <cell r="C26" t="str">
            <v>V_KEYWORD_ISSR_208007415_OTH_COST_INC</v>
          </cell>
        </row>
        <row r="27">
          <cell r="A27" t="str">
            <v>Vector|||208007415|||ISSR|||PT_PROF|||False|||</v>
          </cell>
          <cell r="C27" t="str">
            <v>V_KEYWORD_ISSR_208007415_PT_PROF</v>
          </cell>
        </row>
        <row r="29">
          <cell r="A29" t="str">
            <v>Vector|||208007415|||ISSR|||ORG_REV|||False|||</v>
          </cell>
          <cell r="C29" t="str">
            <v>V_KEYWORD_ISSR_208007415_ORG_REV</v>
          </cell>
        </row>
        <row r="30">
          <cell r="A30" t="str">
            <v>Vector|||208007415|||ISSR|||ORG_REV_GRTH|||False|||</v>
          </cell>
          <cell r="C30" t="str">
            <v>V_KEYWORD_ISSR_208007415_ORG_REV_GRTH</v>
          </cell>
        </row>
        <row r="31">
          <cell r="A31" t="str">
            <v>Vector|||208007415|||ISSR|||LEASE_PAY|||False|||</v>
          </cell>
          <cell r="C31" t="str">
            <v>V_KEYWORD_ISSR_208007415_LEASE_PAY</v>
          </cell>
        </row>
        <row r="32">
          <cell r="A32" t="str">
            <v>Vector|||208007415|||ISSR|||LEASE_DEEM_INT|||False|||</v>
          </cell>
          <cell r="C32" t="str">
            <v>V_KEYWORD_ISSR_208007415_LEASE_DEEM_INT</v>
          </cell>
        </row>
        <row r="33">
          <cell r="A33" t="str">
            <v>Vector|||208007415|||ISSR|||LEASE_DEEM_DEPR|||False|||</v>
          </cell>
          <cell r="C33" t="str">
            <v>V_KEYWORD_ISSR_208007415_LEASE_DEEM_DEPR</v>
          </cell>
        </row>
        <row r="34">
          <cell r="A34" t="str">
            <v>Vector|||208007415|||ISSR|||NET_INT_CH|||False|||</v>
          </cell>
          <cell r="C34" t="str">
            <v>V_KEYWORD_ISSR_208007415_NET_INT_CH</v>
          </cell>
        </row>
        <row r="35">
          <cell r="A35" t="str">
            <v>Vector|||208007415|||ISSR|||ASSOCIATE_OP|||False|||</v>
          </cell>
          <cell r="C35" t="str">
            <v>V_KEYWORD_ISSR_208007415_ASSOCIATE_OP</v>
          </cell>
        </row>
        <row r="36">
          <cell r="A36" t="str">
            <v>Vector|||208007415|||ISSR|||GW_AMORT|||False|||</v>
          </cell>
          <cell r="C36" t="str">
            <v>V_KEYWORD_ISSR_208007415_GW_AMORT</v>
          </cell>
        </row>
        <row r="37">
          <cell r="A37" t="str">
            <v>Vector|||208007415|||ISSR|||OTH_INT_AMORT|||False|||</v>
          </cell>
          <cell r="C37" t="str">
            <v>V_KEYWORD_ISSR_208007415_OTH_INT_AMORT</v>
          </cell>
        </row>
        <row r="39">
          <cell r="A39" t="str">
            <v>Vector|||208007415|||ISSR|||CASH_EQ|||False|||</v>
          </cell>
          <cell r="C39" t="str">
            <v>V_KEYWORD_ISSR_208007415_CASH_EQ</v>
          </cell>
        </row>
        <row r="40">
          <cell r="A40" t="str">
            <v>Vector|||208007415|||ISSR|||DEBTORS|||False|||</v>
          </cell>
          <cell r="C40" t="str">
            <v>V_KEYWORD_ISSR_208007415_DEBTORS</v>
          </cell>
        </row>
        <row r="41">
          <cell r="A41" t="str">
            <v>Vector|||208007415|||ISSR|||STOCKS|||False|||</v>
          </cell>
          <cell r="C41" t="str">
            <v>V_KEYWORD_ISSR_208007415_STOCKS</v>
          </cell>
        </row>
        <row r="42">
          <cell r="A42" t="str">
            <v>Vector|||208007415|||ISSR|||OTH_CUR_ASS|||False|||</v>
          </cell>
          <cell r="C42" t="str">
            <v>V_KEYWORD_ISSR_208007415_OTH_CUR_ASS</v>
          </cell>
        </row>
        <row r="43">
          <cell r="A43" t="str">
            <v>Vector|||208007415|||ISSR|||CUR_ASS|||False|||</v>
          </cell>
          <cell r="C43" t="str">
            <v>V_KEYWORD_ISSR_208007415_CUR_ASS</v>
          </cell>
        </row>
        <row r="44">
          <cell r="A44" t="str">
            <v>Vector|||208007415|||ISSR|||GR_FIX_ASS|||False|||</v>
          </cell>
          <cell r="C44" t="str">
            <v>V_KEYWORD_ISSR_208007415_GR_FIX_ASS</v>
          </cell>
        </row>
        <row r="45">
          <cell r="A45" t="str">
            <v>Vector|||208007415|||ISSR|||ACC_DDA|||False|||</v>
          </cell>
          <cell r="C45" t="str">
            <v>V_KEYWORD_ISSR_208007415_ACC_DDA</v>
          </cell>
        </row>
        <row r="46">
          <cell r="A46" t="str">
            <v>Vector|||208007415|||ISSR|||NET_FIX_ASS|||False|||</v>
          </cell>
          <cell r="C46" t="str">
            <v>V_KEYWORD_ISSR_208007415_NET_FIX_ASS</v>
          </cell>
        </row>
        <row r="47">
          <cell r="A47" t="str">
            <v>Vector|||208007415|||ISSR|||GR_INTANG|||False|||</v>
          </cell>
          <cell r="C47" t="str">
            <v>V_KEYWORD_ISSR_208007415_GR_INTANG</v>
          </cell>
        </row>
        <row r="48">
          <cell r="A48" t="str">
            <v>Vector|||208007415|||ISSR|||ACC_AMORT|||False|||</v>
          </cell>
          <cell r="C48" t="str">
            <v>V_KEYWORD_ISSR_208007415_ACC_AMORT</v>
          </cell>
        </row>
        <row r="49">
          <cell r="A49" t="str">
            <v>Vector|||208007415|||ISSR|||NET_INTANG|||False|||</v>
          </cell>
          <cell r="C49" t="str">
            <v>V_KEYWORD_ISSR_208007415_NET_INTANG</v>
          </cell>
        </row>
        <row r="50">
          <cell r="A50" t="str">
            <v>Vector|||208007415|||ISSR|||FIX_ASS_INV|||False|||</v>
          </cell>
          <cell r="C50" t="str">
            <v>V_KEYWORD_ISSR_208007415_FIX_ASS_INV</v>
          </cell>
        </row>
        <row r="51">
          <cell r="A51" t="str">
            <v>Vector|||208007415|||ISSR|||INV_SECUR|||False|||</v>
          </cell>
          <cell r="C51" t="str">
            <v>V_KEYWORD_ISSR_208007415_INV_SECUR</v>
          </cell>
        </row>
        <row r="52">
          <cell r="A52" t="str">
            <v>Vector|||208007415|||ISSR|||OTH_LT_ASS|||False|||</v>
          </cell>
          <cell r="C52" t="str">
            <v>V_KEYWORD_ISSR_208007415_OTH_LT_ASS</v>
          </cell>
        </row>
        <row r="53">
          <cell r="A53" t="str">
            <v>Vector|||208007415|||ISSR|||TOT_ASSET|||False|||</v>
          </cell>
          <cell r="C53" t="str">
            <v>V_KEYWORD_ISSR_208007415_TOT_ASSET</v>
          </cell>
        </row>
        <row r="54">
          <cell r="A54" t="str">
            <v>Vector|||208007415|||ISSR|||ACC_PAY_GQ|||False|||</v>
          </cell>
          <cell r="C54" t="str">
            <v>V_KEYWORD_ISSR_208007415_ACC_PAY_GQ</v>
          </cell>
        </row>
        <row r="55">
          <cell r="A55" t="str">
            <v>Vector|||208007415|||ISSR|||SHORT_T_DEBT|||False|||</v>
          </cell>
          <cell r="C55" t="str">
            <v>V_KEYWORD_ISSR_208007415_SHORT_T_DEBT</v>
          </cell>
        </row>
        <row r="56">
          <cell r="A56" t="str">
            <v>Vector|||208007415|||ISSR|||OTH_CUR_LIABS|||False|||</v>
          </cell>
          <cell r="C56" t="str">
            <v>V_KEYWORD_ISSR_208007415_OTH_CUR_LIABS</v>
          </cell>
        </row>
        <row r="57">
          <cell r="A57" t="str">
            <v>Vector|||208007415|||ISSR|||SHORT_TERM_LIABS|||False|||</v>
          </cell>
          <cell r="C57" t="str">
            <v>V_KEYWORD_ISSR_208007415_SHORT_TERM_LIABS</v>
          </cell>
        </row>
        <row r="58">
          <cell r="A58" t="str">
            <v>Vector|||208007415|||ISSR|||LT_DEBT|||False|||</v>
          </cell>
          <cell r="C58" t="str">
            <v>V_KEYWORD_ISSR_208007415_LT_DEBT</v>
          </cell>
        </row>
        <row r="59">
          <cell r="A59" t="str">
            <v>Vector|||208007415|||ISSR|||OTH_LT_CRED_GQ|||False|||</v>
          </cell>
          <cell r="C59" t="str">
            <v>V_KEYWORD_ISSR_208007415_OTH_LT_CRED_GQ</v>
          </cell>
        </row>
        <row r="60">
          <cell r="A60" t="str">
            <v>Vector|||208007415|||ISSR|||TOT_LT_LIAB|||False|||</v>
          </cell>
          <cell r="C60" t="str">
            <v>V_KEYWORD_ISSR_208007415_TOT_LT_LIAB</v>
          </cell>
        </row>
        <row r="61">
          <cell r="A61" t="str">
            <v>Vector|||208007415|||ISSR|||TOT_LIAB|||False|||</v>
          </cell>
          <cell r="C61" t="str">
            <v>V_KEYWORD_ISSR_208007415_TOT_LIAB</v>
          </cell>
        </row>
        <row r="62">
          <cell r="A62" t="str">
            <v>Vector|||208007415|||ISSR|||PREF_SH|||False|||</v>
          </cell>
          <cell r="C62" t="str">
            <v>V_KEYWORD_ISSR_208007415_PREF_SH</v>
          </cell>
        </row>
        <row r="63">
          <cell r="A63" t="str">
            <v>Vector|||208007415|||ISSR|||ORD_SH_FUND|||False|||</v>
          </cell>
          <cell r="C63" t="str">
            <v>V_KEYWORD_ISSR_208007415_ORD_SH_FUND</v>
          </cell>
        </row>
        <row r="64">
          <cell r="A64" t="str">
            <v>Vector|||208007415|||ISSR|||MINORITIES|||False|||</v>
          </cell>
          <cell r="C64" t="str">
            <v>V_KEYWORD_ISSR_208007415_MINORITIES</v>
          </cell>
        </row>
        <row r="65">
          <cell r="A65" t="str">
            <v>Vector|||208007415|||ISSR|||EQ|||False|||</v>
          </cell>
          <cell r="C65" t="str">
            <v>V_KEYWORD_ISSR_208007415_EQ</v>
          </cell>
        </row>
        <row r="66">
          <cell r="A66" t="str">
            <v>Vector|||208007415|||ISSR|||TOT_LIAB_EQ|||False|||</v>
          </cell>
          <cell r="C66" t="str">
            <v>V_KEYWORD_ISSR_208007415_TOT_LIAB_EQ</v>
          </cell>
        </row>
        <row r="68">
          <cell r="A68" t="str">
            <v>Vector|||208007415|||ISSR|||NET_DEBT|||False|||</v>
          </cell>
          <cell r="C68" t="str">
            <v>V_KEYWORD_ISSR_208007415_NET_DEBT</v>
          </cell>
        </row>
        <row r="69">
          <cell r="A69" t="str">
            <v>Vector|||208007415|||ISSR|||CAP_LEASES|||False|||</v>
          </cell>
          <cell r="C69" t="str">
            <v>V_KEYWORD_ISSR_208007415_CAP_LEASES</v>
          </cell>
        </row>
        <row r="70">
          <cell r="A70" t="str">
            <v>Vector|||208007415|||ISSR|||DEF_INC_TAX|||False|||</v>
          </cell>
          <cell r="C70" t="str">
            <v>V_KEYWORD_ISSR_208007415_DEF_INC_TAX</v>
          </cell>
        </row>
        <row r="71">
          <cell r="A71" t="str">
            <v>Vector|||208007415|||ISSR|||MV_ASSOCIATES|||False|||</v>
          </cell>
          <cell r="C71" t="str">
            <v>V_KEYWORD_ISSR_208007415_MV_ASSOCIATES</v>
          </cell>
        </row>
        <row r="72">
          <cell r="A72" t="str">
            <v>Vector|||208007415|||ISSR|||NET_DEBT_ADJ|||False|||</v>
          </cell>
          <cell r="C72" t="str">
            <v>V_KEYWORD_ISSR_208007415_NET_DEBT_ADJ</v>
          </cell>
        </row>
        <row r="73">
          <cell r="A73" t="str">
            <v>Vector|||208007415|||ISSR|||CO_BOR_MARGIN|||False|||</v>
          </cell>
          <cell r="C73" t="str">
            <v>V_KEYWORD_ISSR_208007415_CO_BOR_MARGIN</v>
          </cell>
        </row>
        <row r="74">
          <cell r="A74" t="str">
            <v>Vector|||208007415|||ISSR|||UNF_PENS|||False|||</v>
          </cell>
          <cell r="C74" t="str">
            <v>V_KEYWORD_ISSR_208007415_UNF_PENS</v>
          </cell>
        </row>
        <row r="75">
          <cell r="A75" t="str">
            <v>Vector|||208007415|||ISSR|||UNF_PENS_OFF|||False|||</v>
          </cell>
          <cell r="C75" t="str">
            <v>V_KEYWORD_ISSR_208007415_UNF_PENS_OFF</v>
          </cell>
        </row>
        <row r="76">
          <cell r="A76" t="str">
            <v>Vector|||208007415|||ISSR|||UNF_PENS_LIAB_OTH|||False|||</v>
          </cell>
          <cell r="C76" t="str">
            <v>V_KEYWORD_ISSR_208007415_UNF_PENS_LIAB_OTH</v>
          </cell>
        </row>
        <row r="77">
          <cell r="A77" t="str">
            <v>Vector|||208007415|||ISSR|||ADJ_UNF_PENS_GOOD|||False|||</v>
          </cell>
          <cell r="C77" t="str">
            <v>V_KEYWORD_ISSR_208007415_ADJ_UNF_PENS_GOOD</v>
          </cell>
        </row>
        <row r="78">
          <cell r="A78" t="str">
            <v>Vector|||208007415|||ISSR|||OTH_GCI_ADJ|||False|||</v>
          </cell>
          <cell r="C78" t="str">
            <v>V_KEYWORD_ISSR_208007415_OTH_GCI_ADJ</v>
          </cell>
        </row>
        <row r="79">
          <cell r="A79" t="str">
            <v>Vector|||208007415|||ISSR|||GCI_INFL|||False|||</v>
          </cell>
          <cell r="C79" t="str">
            <v>V_KEYWORD_ISSR_208007415_GCI_INFL</v>
          </cell>
        </row>
        <row r="80">
          <cell r="A80" t="str">
            <v>Vector|||208007415|||ISSR|||BAL_MINO_INT|||False|||</v>
          </cell>
          <cell r="C80" t="str">
            <v>V_KEYWORD_ISSR_208007415_BAL_MINO_INT</v>
          </cell>
        </row>
        <row r="82">
          <cell r="A82" t="str">
            <v>Vector|||208007415|||ISSR|||CF_INC_MINORITY|||False|||</v>
          </cell>
          <cell r="C82" t="str">
            <v>V_KEYWORD_ISSR_208007415_CF_INC_MINORITY</v>
          </cell>
        </row>
        <row r="83">
          <cell r="A83" t="str">
            <v>Vector|||208007415|||ISSR|||DEPR_AMORT|||False|||</v>
          </cell>
          <cell r="C83" t="str">
            <v>V_KEYWORD_ISSR_208007415_DEPR_AMORT</v>
          </cell>
        </row>
        <row r="84">
          <cell r="A84" t="str">
            <v>Vector|||208007415|||ISSR|||WORK_CAP|||False|||</v>
          </cell>
          <cell r="C84" t="str">
            <v>V_KEYWORD_ISSR_208007415_WORK_CAP</v>
          </cell>
        </row>
        <row r="85">
          <cell r="A85" t="str">
            <v>Vector|||208007415|||ISSR|||OTH_OP_CF|||False|||</v>
          </cell>
          <cell r="C85" t="str">
            <v>V_KEYWORD_ISSR_208007415_OTH_OP_CF</v>
          </cell>
        </row>
        <row r="86">
          <cell r="A86" t="str">
            <v>Vector|||208007415|||ISSR|||CF_OPS|||False|||</v>
          </cell>
          <cell r="C86" t="str">
            <v>V_KEYWORD_ISSR_208007415_CF_OPS</v>
          </cell>
        </row>
        <row r="87">
          <cell r="A87" t="str">
            <v>Vector|||208007415|||ISSR|||CAPEX|||False|||</v>
          </cell>
          <cell r="C87" t="str">
            <v>V_KEYWORD_ISSR_208007415_CAPEX</v>
          </cell>
        </row>
        <row r="88">
          <cell r="A88" t="str">
            <v>Vector|||208007415|||ISSR|||ACQ|||False|||</v>
          </cell>
          <cell r="C88" t="str">
            <v>V_KEYWORD_ISSR_208007415_ACQ</v>
          </cell>
        </row>
        <row r="89">
          <cell r="A89" t="str">
            <v>Vector|||208007415|||ISSR|||DIVEST|||False|||</v>
          </cell>
          <cell r="C89" t="str">
            <v>V_KEYWORD_ISSR_208007415_DIVEST</v>
          </cell>
        </row>
        <row r="90">
          <cell r="A90" t="str">
            <v>Vector|||208007415|||ISSR|||OTH_INV_CF|||False|||</v>
          </cell>
          <cell r="C90" t="str">
            <v>V_KEYWORD_ISSR_208007415_OTH_INV_CF</v>
          </cell>
        </row>
        <row r="91">
          <cell r="A91" t="str">
            <v>Vector|||208007415|||ISSR|||CF_INV|||False|||</v>
          </cell>
          <cell r="C91" t="str">
            <v>V_KEYWORD_ISSR_208007415_CF_INV</v>
          </cell>
        </row>
        <row r="92">
          <cell r="A92" t="str">
            <v>Vector|||208007415|||ISSR|||DIV_PAID|||False|||</v>
          </cell>
          <cell r="C92" t="str">
            <v>V_KEYWORD_ISSR_208007415_DIV_PAID</v>
          </cell>
        </row>
        <row r="93">
          <cell r="A93" t="str">
            <v>Vector|||208007415|||ISSR|||SH_REPUR|||False|||</v>
          </cell>
          <cell r="C93" t="str">
            <v>V_KEYWORD_ISSR_208007415_SH_REPUR</v>
          </cell>
        </row>
        <row r="94">
          <cell r="A94" t="str">
            <v>Vector|||208007415|||ISSR|||CHG_LT_DEBT|||False|||</v>
          </cell>
          <cell r="C94" t="str">
            <v>V_KEYWORD_ISSR_208007415_CHG_LT_DEBT</v>
          </cell>
        </row>
        <row r="95">
          <cell r="A95" t="str">
            <v>Vector|||208007415|||ISSR|||OTH_FIN_CF|||False|||</v>
          </cell>
          <cell r="C95" t="str">
            <v>V_KEYWORD_ISSR_208007415_OTH_FIN_CF</v>
          </cell>
        </row>
        <row r="96">
          <cell r="A96" t="str">
            <v>Vector|||208007415|||ISSR|||CF_FIN|||False|||</v>
          </cell>
          <cell r="C96" t="str">
            <v>V_KEYWORD_ISSR_208007415_CF_FIN</v>
          </cell>
        </row>
        <row r="97">
          <cell r="A97" t="str">
            <v>Vector|||208007415|||ISSR|||OTH_ITEM_NCF|||False|||</v>
          </cell>
          <cell r="C97" t="str">
            <v>V_KEYWORD_ISSR_208007415_OTH_ITEM_NCF</v>
          </cell>
        </row>
        <row r="98">
          <cell r="A98" t="str">
            <v>Vector|||208007415|||ISSR|||TOT_CF|||False|||</v>
          </cell>
          <cell r="C98" t="str">
            <v>V_KEYWORD_ISSR_208007415_TOT_CF</v>
          </cell>
        </row>
        <row r="100">
          <cell r="A100" t="str">
            <v>Vector|||208007415|||ISSR|||ASSOC_JV_ADDBK|||False|||</v>
          </cell>
          <cell r="C100" t="str">
            <v>V_KEYWORD_ISSR_208007415_ASSOC_JV_ADDBK</v>
          </cell>
        </row>
        <row r="101">
          <cell r="A101" t="str">
            <v>Vector|||208007415|||ISSR|||CASH_INT_INC_EXP|||False|||</v>
          </cell>
          <cell r="C101" t="str">
            <v>V_KEYWORD_ISSR_208007415_CASH_INT_INC_EXP</v>
          </cell>
        </row>
        <row r="102">
          <cell r="A102" t="str">
            <v>Vector|||208007415|||ISSR|||CASH_TAX_PD|||False|||</v>
          </cell>
          <cell r="C102" t="str">
            <v>V_KEYWORD_ISSR_208007415_CASH_TAX_PD</v>
          </cell>
        </row>
        <row r="103">
          <cell r="A103" t="str">
            <v>Vector|||208007415|||ISSR|||PL_SALE_ASSETS|||False|||</v>
          </cell>
          <cell r="C103" t="str">
            <v>V_KEYWORD_ISSR_208007415_PL_SALE_ASSETS</v>
          </cell>
        </row>
        <row r="104">
          <cell r="A104" t="str">
            <v>Vector|||208007415|||ISSR|||OTH_NONCASH_ADJ|||False|||</v>
          </cell>
          <cell r="C104" t="str">
            <v>V_KEYWORD_ISSR_208007415_OTH_NONCASH_ADJ</v>
          </cell>
        </row>
        <row r="105">
          <cell r="A105" t="str">
            <v>Vector|||208007415|||ISSR|||OTH_DACF_ADJ|||False|||</v>
          </cell>
          <cell r="C105" t="str">
            <v>V_KEYWORD_ISSR_208007415_OTH_DACF_ADJ</v>
          </cell>
        </row>
        <row r="106">
          <cell r="A106" t="str">
            <v>Vector|||208007415|||ISSR|||CASH_INT_EXP|||False|||</v>
          </cell>
          <cell r="C106" t="str">
            <v>V_KEYWORD_ISSR_208007415_CASH_INT_EXP</v>
          </cell>
        </row>
        <row r="107">
          <cell r="A107" t="str">
            <v>Vector|||208007415|||ISSR|||CASH_TAX_EXP|||False|||</v>
          </cell>
          <cell r="C107" t="str">
            <v>V_KEYWORD_ISSR_208007415_CASH_TAX_EXP</v>
          </cell>
        </row>
        <row r="108">
          <cell r="A108" t="str">
            <v>Vector|||208007415|||ISSR|||DIVDS_ASSOC_JV|||False|||</v>
          </cell>
          <cell r="C108" t="str">
            <v>V_KEYWORD_ISSR_208007415_DIVDS_ASSOC_JV</v>
          </cell>
        </row>
        <row r="109">
          <cell r="A109" t="str">
            <v>Vector|||208007415|||ISSR|||CAPEX_MAINTENANCE|||False|||</v>
          </cell>
          <cell r="C109" t="str">
            <v>V_KEYWORD_ISSR_208007415_CAPEX_MAINTENANCE</v>
          </cell>
        </row>
        <row r="110">
          <cell r="A110" t="str">
            <v>Vector|||208007415|||ISSR|||CAPEX_EXPANSION|||False|||</v>
          </cell>
          <cell r="C110" t="str">
            <v>V_KEYWORD_ISSR_208007415_CAPEX_EXPANSION</v>
          </cell>
        </row>
        <row r="111">
          <cell r="A111" t="str">
            <v>Vector|||208007415|||ISSR|||NONPPE_CAPEX|||False|||</v>
          </cell>
          <cell r="C111" t="str">
            <v>V_KEYWORD_ISSR_208007415_NONPPE_CAPEX</v>
          </cell>
        </row>
        <row r="112">
          <cell r="A112" t="str">
            <v>Vector|||208007415|||ISSR|||DIVDS_PD_MINORITIES|||False|||</v>
          </cell>
          <cell r="C112" t="str">
            <v>V_KEYWORD_ISSR_208007415_DIVDS_PD_MINORITIES</v>
          </cell>
        </row>
        <row r="114">
          <cell r="A114" t="str">
            <v>Vector|||208007415|||ISSR|||EMPLOYEES|||False|||</v>
          </cell>
          <cell r="C114" t="str">
            <v>V_KEYWORD_ISSR_208007415_EMPLOYEES</v>
          </cell>
        </row>
        <row r="116">
          <cell r="A116" t="str">
            <v>Vector|||208007415|||ISSR|||SALES_TOT_AM|||False|||</v>
          </cell>
          <cell r="C116" t="str">
            <v>V_KEYWORD_ISSR_208007415_SALES_TOT_AM</v>
          </cell>
        </row>
        <row r="117">
          <cell r="A117" t="str">
            <v>Vector|||208007415|||ISSR|||SALES_US|||False|||</v>
          </cell>
          <cell r="C117" t="str">
            <v>V_KEYWORD_ISSR_208007415_SALES_US</v>
          </cell>
        </row>
        <row r="119">
          <cell r="A119" t="str">
            <v>Vector|||208007415|||ISSR|||SALES_BRAZIL|||False|||</v>
          </cell>
          <cell r="C119" t="str">
            <v>V_KEYWORD_ISSR_208007415_SALES_BRAZIL</v>
          </cell>
        </row>
        <row r="120">
          <cell r="A120" t="str">
            <v>Vector|||208007415|||ISSR|||SALES_OTH_AM|||False|||</v>
          </cell>
          <cell r="C120" t="str">
            <v>V_KEYWORD_ISSR_208007415_SALES_OTH_AM</v>
          </cell>
        </row>
        <row r="121">
          <cell r="A121" t="str">
            <v>Vector|||208007415|||ISSR|||SALES_TOT_EMEA|||False|||</v>
          </cell>
          <cell r="C121" t="str">
            <v>V_KEYWORD_ISSR_208007415_SALES_TOT_EMEA</v>
          </cell>
        </row>
        <row r="122">
          <cell r="A122" t="str">
            <v>Vector|||208007415|||ISSR|||SALES_UK|||False|||</v>
          </cell>
          <cell r="C122" t="str">
            <v>V_KEYWORD_ISSR_208007415_SALES_UK</v>
          </cell>
        </row>
        <row r="123">
          <cell r="A123" t="str">
            <v>Vector|||208007415|||ISSR|||SALES_EU_EX_UK|||False|||</v>
          </cell>
          <cell r="C123" t="str">
            <v>V_KEYWORD_ISSR_208007415_SALES_EU_EX_UK</v>
          </cell>
        </row>
        <row r="128">
          <cell r="A128" t="str">
            <v>Vector|||208007415|||ISSR|||SALES_FRA|||False|||</v>
          </cell>
          <cell r="C128" t="str">
            <v>V_KEYWORD_ISSR_208007415_SALES_FRA</v>
          </cell>
        </row>
        <row r="129">
          <cell r="A129" t="str">
            <v>Vector|||208007415|||ISSR|||SALES_GER|||False|||</v>
          </cell>
          <cell r="C129" t="str">
            <v>V_KEYWORD_ISSR_208007415_SALES_GER</v>
          </cell>
        </row>
        <row r="133">
          <cell r="A133" t="str">
            <v>Vector|||208007415|||ISSR|||SALES_ITA|||False|||</v>
          </cell>
          <cell r="C133" t="str">
            <v>V_KEYWORD_ISSR_208007415_SALES_ITA</v>
          </cell>
        </row>
        <row r="137">
          <cell r="A137" t="str">
            <v>Vector|||208007415|||ISSR|||SALES_SPA|||False|||</v>
          </cell>
          <cell r="C137" t="str">
            <v>V_KEYWORD_ISSR_208007415_SALES_SPA</v>
          </cell>
        </row>
        <row r="138">
          <cell r="A138" t="str">
            <v>Vector|||208007415|||ISSR|||SALES_OTH_EU_EX_UK|||False|||</v>
          </cell>
          <cell r="C138" t="str">
            <v>V_KEYWORD_ISSR_208007415_SALES_OTH_EU_EX_UK</v>
          </cell>
        </row>
        <row r="141">
          <cell r="A141" t="str">
            <v>Vector|||208007415|||ISSR|||SALES_CEE|||False|||</v>
          </cell>
          <cell r="C141" t="str">
            <v>V_KEYWORD_ISSR_208007415_SALES_CEE</v>
          </cell>
        </row>
        <row r="142">
          <cell r="A142" t="str">
            <v>Vector|||208007415|||ISSR|||SALES_ME|||False|||</v>
          </cell>
          <cell r="C142" t="str">
            <v>V_KEYWORD_ISSR_208007415_SALES_ME</v>
          </cell>
        </row>
        <row r="143">
          <cell r="A143" t="str">
            <v>Vector|||208007415|||ISSR|||SALES_SO_AFRICA|||False|||</v>
          </cell>
          <cell r="C143" t="str">
            <v>V_KEYWORD_ISSR_208007415_SALES_SO_AFRICA</v>
          </cell>
        </row>
        <row r="144">
          <cell r="A144" t="str">
            <v>Vector|||208007415|||ISSR|||SALES_NIGERIA|||False|||</v>
          </cell>
          <cell r="C144" t="str">
            <v>V_KEYWORD_ISSR_208007415_SALES_NIGERIA</v>
          </cell>
        </row>
        <row r="145">
          <cell r="A145" t="str">
            <v>Vector|||208007415|||ISSR|||SALES_OTH_AFRICA|||False|||</v>
          </cell>
          <cell r="C145" t="str">
            <v>V_KEYWORD_ISSR_208007415_SALES_OTH_AFRICA</v>
          </cell>
        </row>
        <row r="146">
          <cell r="A146" t="str">
            <v>Vector|||208007415|||ISSR|||SALES_TOT_AFRICA|||False|||</v>
          </cell>
          <cell r="C146" t="str">
            <v>V_KEYWORD_ISSR_208007415_SALES_TOT_AFRICA</v>
          </cell>
        </row>
        <row r="147">
          <cell r="A147" t="str">
            <v>Vector|||208007415|||ISSR|||SALES_RUSSIA|||False|||</v>
          </cell>
          <cell r="C147" t="str">
            <v>V_KEYWORD_ISSR_208007415_SALES_RUSSIA</v>
          </cell>
        </row>
        <row r="148">
          <cell r="A148" t="str">
            <v>Vector|||208007415|||ISSR|||SALES_OTH_EMEA|||False|||</v>
          </cell>
          <cell r="C148" t="str">
            <v>V_KEYWORD_ISSR_208007415_SALES_OTH_EMEA</v>
          </cell>
        </row>
        <row r="149">
          <cell r="A149" t="str">
            <v>Vector|||208007415|||ISSR|||SALES_TOT_ASIA|||False|||</v>
          </cell>
          <cell r="C149" t="str">
            <v>V_KEYWORD_ISSR_208007415_SALES_TOT_ASIA</v>
          </cell>
        </row>
        <row r="150">
          <cell r="A150" t="str">
            <v>Vector|||208007415|||ISSR|||SALES_JAPAN|||False|||</v>
          </cell>
          <cell r="C150" t="str">
            <v>V_KEYWORD_ISSR_208007415_SALES_JAPAN</v>
          </cell>
        </row>
        <row r="151">
          <cell r="A151" t="str">
            <v>Vector|||208007415|||ISSR|||SALES_CHINA|||False|||</v>
          </cell>
          <cell r="C151" t="str">
            <v>V_KEYWORD_ISSR_208007415_SALES_CHINA</v>
          </cell>
        </row>
        <row r="152">
          <cell r="A152" t="str">
            <v>Vector|||208007415|||ISSR|||SALES_INDIA|||False|||</v>
          </cell>
          <cell r="C152" t="str">
            <v>V_KEYWORD_ISSR_208007415_SALES_INDIA</v>
          </cell>
        </row>
        <row r="156">
          <cell r="A156" t="str">
            <v>Vector|||208007415|||ISSR|||SALES_OTH_AEJ|||False|||</v>
          </cell>
          <cell r="C156" t="str">
            <v>V_KEYWORD_ISSR_208007415_SALES_OTH_AEJ</v>
          </cell>
        </row>
        <row r="157">
          <cell r="A157" t="str">
            <v>Vector|||208007415|||ISSR|||SALES_OTHER|||False|||</v>
          </cell>
          <cell r="C157" t="str">
            <v>V_KEYWORD_ISSR_208007415_SALES_OTHER</v>
          </cell>
        </row>
        <row r="158">
          <cell r="A158" t="str">
            <v>Vector|||208007415|||ISSR|||IND_SALES_TOT_AM|||False|||</v>
          </cell>
          <cell r="C158" t="str">
            <v>V_KEYWORD_ISSR_208007415_IND_SALES_TOT_AM</v>
          </cell>
        </row>
        <row r="159">
          <cell r="A159" t="str">
            <v>Vector|||208007415|||ISSR|||IND_SALES_US|||False|||</v>
          </cell>
          <cell r="C159" t="str">
            <v>V_KEYWORD_ISSR_208007415_IND_SALES_US</v>
          </cell>
        </row>
        <row r="161">
          <cell r="A161" t="str">
            <v>Vector|||208007415|||ISSR|||IND_SALES_BRAZIL|||False|||</v>
          </cell>
          <cell r="C161" t="str">
            <v>V_KEYWORD_ISSR_208007415_IND_SALES_BRAZIL</v>
          </cell>
        </row>
        <row r="162">
          <cell r="A162" t="str">
            <v>Vector|||208007415|||ISSR|||IND_SALES_OTH_AM|||False|||</v>
          </cell>
          <cell r="C162" t="str">
            <v>V_KEYWORD_ISSR_208007415_IND_SALES_OTH_AM</v>
          </cell>
        </row>
        <row r="163">
          <cell r="A163" t="str">
            <v>Vector|||208007415|||ISSR|||IND_SALES_TOT_EMEA|||False|||</v>
          </cell>
          <cell r="C163" t="str">
            <v>V_KEYWORD_ISSR_208007415_IND_SALES_TOT_EMEA</v>
          </cell>
        </row>
        <row r="164">
          <cell r="A164" t="str">
            <v>Vector|||208007415|||ISSR|||IND_SALES_UK|||False|||</v>
          </cell>
          <cell r="C164" t="str">
            <v>V_KEYWORD_ISSR_208007415_IND_SALES_UK</v>
          </cell>
        </row>
        <row r="165">
          <cell r="A165" t="str">
            <v>Vector|||208007415|||ISSR|||IND_SALES_EU_EX_UK|||False|||</v>
          </cell>
          <cell r="C165" t="str">
            <v>V_KEYWORD_ISSR_208007415_IND_SALES_EU_EX_UK</v>
          </cell>
        </row>
        <row r="170">
          <cell r="A170" t="str">
            <v>Vector|||208007415|||ISSR|||IND_SALES_FRA|||False|||</v>
          </cell>
          <cell r="C170" t="str">
            <v>V_KEYWORD_ISSR_208007415_IND_SALES_FRA</v>
          </cell>
        </row>
        <row r="171">
          <cell r="A171" t="str">
            <v>Vector|||208007415|||ISSR|||IND_SALES_GER|||False|||</v>
          </cell>
          <cell r="C171" t="str">
            <v>V_KEYWORD_ISSR_208007415_IND_SALES_GER</v>
          </cell>
        </row>
        <row r="175">
          <cell r="A175" t="str">
            <v>Vector|||208007415|||ISSR|||IND_SALES_ITA|||False|||</v>
          </cell>
          <cell r="C175" t="str">
            <v>V_KEYWORD_ISSR_208007415_IND_SALES_ITA</v>
          </cell>
        </row>
        <row r="179">
          <cell r="A179" t="str">
            <v>Vector|||208007415|||ISSR|||IND_SALES_SPA|||False|||</v>
          </cell>
          <cell r="C179" t="str">
            <v>V_KEYWORD_ISSR_208007415_IND_SALES_SPA</v>
          </cell>
        </row>
        <row r="180">
          <cell r="A180" t="str">
            <v>Vector|||208007415|||ISSR|||IND_SALES_OTH_EU_EX_UK|||False|||</v>
          </cell>
          <cell r="C180" t="str">
            <v>V_KEYWORD_ISSR_208007415_IND_SALES_OTH_EU_EX_UK</v>
          </cell>
        </row>
        <row r="183">
          <cell r="A183" t="str">
            <v>Vector|||208007415|||ISSR|||IND_SALES_CEE|||False|||</v>
          </cell>
          <cell r="C183" t="str">
            <v>V_KEYWORD_ISSR_208007415_IND_SALES_CEE</v>
          </cell>
        </row>
        <row r="184">
          <cell r="A184" t="str">
            <v>Vector|||208007415|||ISSR|||IND_SALES_ME|||False|||</v>
          </cell>
          <cell r="C184" t="str">
            <v>V_KEYWORD_ISSR_208007415_IND_SALES_ME</v>
          </cell>
        </row>
        <row r="185">
          <cell r="A185" t="str">
            <v>Vector|||208007415|||ISSR|||IND_SALES_RUSSIA|||False|||</v>
          </cell>
          <cell r="C185" t="str">
            <v>V_KEYWORD_ISSR_208007415_IND_SALES_RUSSIA</v>
          </cell>
        </row>
        <row r="186">
          <cell r="A186" t="str">
            <v>Vector|||208007415|||ISSR|||IND_SALES_SO_AFRICA|||False|||</v>
          </cell>
          <cell r="C186" t="str">
            <v>V_KEYWORD_ISSR_208007415_IND_SALES_SO_AFRICA</v>
          </cell>
        </row>
        <row r="187">
          <cell r="A187" t="str">
            <v>Vector|||208007415|||ISSR|||IND_SALES_NIGERIA|||False|||</v>
          </cell>
          <cell r="C187" t="str">
            <v>V_KEYWORD_ISSR_208007415_IND_SALES_NIGERIA</v>
          </cell>
        </row>
        <row r="188">
          <cell r="A188" t="str">
            <v>Vector|||208007415|||ISSR|||IND_SALES_OTH_AFRICA|||False|||</v>
          </cell>
          <cell r="C188" t="str">
            <v>V_KEYWORD_ISSR_208007415_IND_SALES_OTH_AFRICA</v>
          </cell>
        </row>
        <row r="189">
          <cell r="A189" t="str">
            <v>Vector|||208007415|||ISSR|||IND_SALES_OTH_EMEA|||False|||</v>
          </cell>
          <cell r="C189" t="str">
            <v>V_KEYWORD_ISSR_208007415_IND_SALES_OTH_EMEA</v>
          </cell>
        </row>
        <row r="190">
          <cell r="A190" t="str">
            <v>Vector|||208007415|||ISSR|||IND_SALES_TOT_AFRICA|||False|||</v>
          </cell>
          <cell r="C190" t="str">
            <v>V_KEYWORD_ISSR_208007415_IND_SALES_TOT_AFRICA</v>
          </cell>
        </row>
        <row r="191">
          <cell r="A191" t="str">
            <v>Vector|||208007415|||ISSR|||IND_SALES_TOT_ASIA|||False|||</v>
          </cell>
          <cell r="C191" t="str">
            <v>V_KEYWORD_ISSR_208007415_IND_SALES_TOT_ASIA</v>
          </cell>
        </row>
        <row r="192">
          <cell r="A192" t="str">
            <v>Vector|||208007415|||ISSR|||IND_SALES_JAPAN|||False|||</v>
          </cell>
          <cell r="C192" t="str">
            <v>V_KEYWORD_ISSR_208007415_IND_SALES_JAPAN</v>
          </cell>
        </row>
        <row r="193">
          <cell r="A193" t="str">
            <v>Vector|||208007415|||ISSR|||IND_SALES_CHINA|||False|||</v>
          </cell>
          <cell r="C193" t="str">
            <v>V_KEYWORD_ISSR_208007415_IND_SALES_CHINA</v>
          </cell>
        </row>
        <row r="194">
          <cell r="A194" t="str">
            <v>Vector|||208007415|||ISSR|||IND_SALES_INDIA|||False|||</v>
          </cell>
          <cell r="C194" t="str">
            <v>V_KEYWORD_ISSR_208007415_IND_SALES_INDIA</v>
          </cell>
        </row>
        <row r="198">
          <cell r="A198" t="str">
            <v>Vector|||208007415|||ISSR|||IND_SALES_OTH_AEJ|||False|||</v>
          </cell>
          <cell r="C198" t="str">
            <v>V_KEYWORD_ISSR_208007415_IND_SALES_OTH_AEJ</v>
          </cell>
        </row>
        <row r="199">
          <cell r="A199" t="str">
            <v>Vector|||208007415|||ISSR|||IND_SALES_OTHER|||False|||</v>
          </cell>
          <cell r="C199" t="str">
            <v>V_KEYWORD_ISSR_208007415_IND_SALES_OTHER</v>
          </cell>
        </row>
        <row r="237">
          <cell r="A237" t="str">
            <v>Vector|||208007415|||ISSR|||SALES_CONS|||False|||</v>
          </cell>
          <cell r="C237" t="str">
            <v>V_KEYWORD_ISSR_208007415_SALES_CONS</v>
          </cell>
        </row>
        <row r="238">
          <cell r="A238" t="str">
            <v>Vector|||208007415|||ISSR|||SALES_IND|||False|||</v>
          </cell>
          <cell r="C238" t="str">
            <v>V_KEYWORD_ISSR_208007415_SALES_IND</v>
          </cell>
        </row>
        <row r="239">
          <cell r="A239" t="str">
            <v>Vector|||208007415|||ISSR|||SALES_GOV|||False|||</v>
          </cell>
          <cell r="C239" t="str">
            <v>V_KEYWORD_ISSR_208007415_SALES_GOV</v>
          </cell>
        </row>
        <row r="240">
          <cell r="A240" t="str">
            <v>Vector|||208007415|||ISSR|||SALES_FINAN|||False|||</v>
          </cell>
          <cell r="C240" t="str">
            <v>V_KEYWORD_ISSR_208007415_SALES_FINAN</v>
          </cell>
        </row>
        <row r="259">
          <cell r="A259" t="str">
            <v>Vector|||208007415|||ISSR|||IND_SALES_CONS|||False|||</v>
          </cell>
          <cell r="C259" t="str">
            <v>V_KEYWORD_ISSR_208007415_IND_SALES_CONS</v>
          </cell>
        </row>
        <row r="260">
          <cell r="A260" t="str">
            <v>Vector|||208007415|||ISSR|||IND_SALES_IND|||False|||</v>
          </cell>
          <cell r="C260" t="str">
            <v>V_KEYWORD_ISSR_208007415_IND_SALES_IND</v>
          </cell>
        </row>
        <row r="261">
          <cell r="A261" t="str">
            <v>Vector|||208007415|||ISSR|||IND_SALES_GOV|||False|||</v>
          </cell>
          <cell r="C261" t="str">
            <v>V_KEYWORD_ISSR_208007415_IND_SALES_GOV</v>
          </cell>
        </row>
        <row r="262">
          <cell r="A262" t="str">
            <v>Vector|||208007415|||ISSR|||IND_SALES_FINAN|||False|||</v>
          </cell>
          <cell r="C262" t="str">
            <v>V_KEYWORD_ISSR_208007415_IND_SALES_FINAN</v>
          </cell>
        </row>
        <row r="300">
          <cell r="A300" t="str">
            <v>Vector|||208007415|||ISSR|||SALES_OTH_COMMODITY|||False|||</v>
          </cell>
          <cell r="C300" t="str">
            <v>V_KEYWORD_ISSR_208007415_SALES_OTH_COMMODITY</v>
          </cell>
        </row>
        <row r="301">
          <cell r="A301" t="str">
            <v>Vector|||208007415|||ISSR|||SALES_OTH_SALES_SOURCES|||False|||</v>
          </cell>
          <cell r="C301" t="str">
            <v>V_KEYWORD_ISSR_208007415_SALES_OTH_SALES_SOURCES</v>
          </cell>
        </row>
        <row r="303">
          <cell r="A303" t="str">
            <v>Vector|||208007415|||ISSR|||EXP_OIL_PETRO_FUEL|||False|||</v>
          </cell>
          <cell r="C303" t="str">
            <v>V_KEYWORD_ISSR_208007415_EXP_OIL_PETRO_FUEL</v>
          </cell>
        </row>
        <row r="304">
          <cell r="A304" t="str">
            <v>Vector|||208007415|||ISSR|||EXP_OIL_DERIV_NGLS_PLASTICS|||False|||</v>
          </cell>
          <cell r="C304" t="str">
            <v>V_KEYWORD_ISSR_208007415_EXP_OIL_DERIV_NGLS_PLASTICS</v>
          </cell>
        </row>
        <row r="305">
          <cell r="A305" t="str">
            <v>Vector|||208007415|||ISSR|||EXP_NAT_GAS|||False|||</v>
          </cell>
          <cell r="C305" t="str">
            <v>V_KEYWORD_ISSR_208007415_EXP_NAT_GAS</v>
          </cell>
        </row>
        <row r="306">
          <cell r="A306" t="str">
            <v>Vector|||208007415|||ISSR|||EXP_GOLD|||False|||</v>
          </cell>
          <cell r="C306" t="str">
            <v>V_KEYWORD_ISSR_208007415_EXP_GOLD</v>
          </cell>
        </row>
        <row r="307">
          <cell r="A307" t="str">
            <v>Vector|||208007415|||ISSR|||EXP_COPPER|||False|||</v>
          </cell>
          <cell r="C307" t="str">
            <v>V_KEYWORD_ISSR_208007415_EXP_COPPER</v>
          </cell>
        </row>
        <row r="308">
          <cell r="A308" t="str">
            <v>Vector|||208007415|||ISSR|||EXP_SILVER|||False|||</v>
          </cell>
          <cell r="C308" t="str">
            <v>V_KEYWORD_ISSR_208007415_EXP_SILVER</v>
          </cell>
        </row>
        <row r="309">
          <cell r="A309" t="str">
            <v>Vector|||208007415|||ISSR|||EXP_PLATINUM|||False|||</v>
          </cell>
          <cell r="C309" t="str">
            <v>V_KEYWORD_ISSR_208007415_EXP_PLATINUM</v>
          </cell>
        </row>
        <row r="310">
          <cell r="A310" t="str">
            <v>Vector|||208007415|||ISSR|||EXP_PALLADIUM|||False|||</v>
          </cell>
          <cell r="C310" t="str">
            <v>V_KEYWORD_ISSR_208007415_EXP_PALLADIUM</v>
          </cell>
        </row>
        <row r="311">
          <cell r="A311" t="str">
            <v>Vector|||208007415|||ISSR|||EXP_ALUMINIUM|||False|||</v>
          </cell>
          <cell r="C311" t="str">
            <v>V_KEYWORD_ISSR_208007415_EXP_ALUMINIUM</v>
          </cell>
        </row>
        <row r="312">
          <cell r="A312" t="str">
            <v>Vector|||208007415|||ISSR|||EXP_NICKEL|||False|||</v>
          </cell>
          <cell r="C312" t="str">
            <v>V_KEYWORD_ISSR_208007415_EXP_NICKEL</v>
          </cell>
        </row>
        <row r="313">
          <cell r="A313" t="str">
            <v>Vector|||208007415|||ISSR|||EXP_ZINC|||False|||</v>
          </cell>
          <cell r="C313" t="str">
            <v>V_KEYWORD_ISSR_208007415_EXP_ZINC</v>
          </cell>
        </row>
        <row r="314">
          <cell r="A314" t="str">
            <v>Vector|||208007415|||ISSR|||EXP_STEEL|||False|||</v>
          </cell>
          <cell r="C314" t="str">
            <v>V_KEYWORD_ISSR_208007415_EXP_STEEL</v>
          </cell>
        </row>
        <row r="315">
          <cell r="A315" t="str">
            <v>Vector|||208007415|||ISSR|||EXP_GLASS|||False|||</v>
          </cell>
          <cell r="C315" t="str">
            <v>V_KEYWORD_ISSR_208007415_EXP_GLASS</v>
          </cell>
        </row>
        <row r="316">
          <cell r="A316" t="str">
            <v>Vector|||208007415|||ISSR|||EXP_RUBBER|||False|||</v>
          </cell>
          <cell r="C316" t="str">
            <v>V_KEYWORD_ISSR_208007415_EXP_RUBBER</v>
          </cell>
        </row>
        <row r="317">
          <cell r="A317" t="str">
            <v>Vector|||208007415|||ISSR|||EXP_WATER|||False|||</v>
          </cell>
          <cell r="C317" t="str">
            <v>V_KEYWORD_ISSR_208007415_EXP_WATER</v>
          </cell>
        </row>
        <row r="318">
          <cell r="A318" t="str">
            <v>Vector|||208007415|||ISSR|||EXP_OTH_COMMODITY|||False|||</v>
          </cell>
          <cell r="C318" t="str">
            <v>V_KEYWORD_ISSR_208007415_EXP_OTH_COMMODITY</v>
          </cell>
        </row>
        <row r="319">
          <cell r="A319" t="str">
            <v>Vector|||208007415|||ISSR|||EXP_OTH_COST|||False|||</v>
          </cell>
          <cell r="C319" t="str">
            <v>V_KEYWORD_ISSR_208007415_EXP_OTH_COST</v>
          </cell>
        </row>
        <row r="321">
          <cell r="A321" t="str">
            <v>Vector|||208007415|||ISSR|||SALES_FX_GPB|||False|||</v>
          </cell>
          <cell r="C321" t="str">
            <v>V_KEYWORD_ISSR_208007415_SALES_FX_GPB</v>
          </cell>
        </row>
        <row r="322">
          <cell r="A322" t="str">
            <v>Vector|||208007415|||ISSR|||SALES_FX_EUR|||False|||</v>
          </cell>
          <cell r="C322" t="str">
            <v>V_KEYWORD_ISSR_208007415_SALES_FX_EUR</v>
          </cell>
        </row>
        <row r="323">
          <cell r="A323" t="str">
            <v>Vector|||208007415|||ISSR|||SALES_FX_RUB|||False|||</v>
          </cell>
          <cell r="C323" t="str">
            <v>V_KEYWORD_ISSR_208007415_SALES_FX_RUB</v>
          </cell>
        </row>
        <row r="324">
          <cell r="A324" t="str">
            <v>Vector|||208007415|||ISSR|||SALES_FX_USD|||False|||</v>
          </cell>
          <cell r="C324" t="str">
            <v>V_KEYWORD_ISSR_208007415_SALES_FX_USD</v>
          </cell>
        </row>
        <row r="325">
          <cell r="A325" t="str">
            <v>Vector|||208007415|||ISSR|||SALES_FX_BRL|||False|||</v>
          </cell>
          <cell r="C325" t="str">
            <v>V_KEYWORD_ISSR_208007415_SALES_FX_BRL</v>
          </cell>
        </row>
        <row r="326">
          <cell r="A326" t="str">
            <v>Vector|||208007415|||ISSR|||SALES_FX_YEN|||False|||</v>
          </cell>
          <cell r="C326" t="str">
            <v>V_KEYWORD_ISSR_208007415_SALES_FX_YEN</v>
          </cell>
        </row>
        <row r="327">
          <cell r="A327" t="str">
            <v>Vector|||208007415|||ISSR|||SALES_FX_CNY|||False|||</v>
          </cell>
          <cell r="C327" t="str">
            <v>V_KEYWORD_ISSR_208007415_SALES_FX_CNY</v>
          </cell>
        </row>
        <row r="328">
          <cell r="A328" t="str">
            <v>Vector|||208007415|||ISSR|||SALES_FX_INR|||False|||</v>
          </cell>
          <cell r="C328" t="str">
            <v>V_KEYWORD_ISSR_208007415_SALES_FX_INR</v>
          </cell>
        </row>
        <row r="329">
          <cell r="A329" t="str">
            <v>Vector|||208007415|||ISSR|||SALES_FX_ZAR|||False|||</v>
          </cell>
          <cell r="C329" t="str">
            <v>V_KEYWORD_ISSR_208007415_SALES_FX_ZAR</v>
          </cell>
        </row>
        <row r="330">
          <cell r="A330" t="str">
            <v>Vector|||208007415|||ISSR|||SALES_FX_NGN|||False|||</v>
          </cell>
          <cell r="C330" t="str">
            <v>V_KEYWORD_ISSR_208007415_SALES_FX_NGN</v>
          </cell>
        </row>
        <row r="331">
          <cell r="A331" t="str">
            <v>Vector|||208007415|||ISSR|||SALES_FX_CHF|||False|||</v>
          </cell>
          <cell r="C331" t="str">
            <v>V_KEYWORD_ISSR_208007415_SALES_FX_CHF</v>
          </cell>
        </row>
        <row r="332">
          <cell r="A332" t="str">
            <v>Vector|||208007415|||ISSR|||SALES_FX_AED|||False|||</v>
          </cell>
          <cell r="C332" t="str">
            <v>V_KEYWORD_ISSR_208007415_SALES_FX_AED</v>
          </cell>
        </row>
        <row r="333">
          <cell r="A333" t="str">
            <v>Vector|||208007415|||ISSR|||SALES_FX_TRY|||False|||</v>
          </cell>
          <cell r="C333" t="str">
            <v>V_KEYWORD_ISSR_208007415_SALES_FX_TRY</v>
          </cell>
        </row>
        <row r="334">
          <cell r="A334" t="str">
            <v>Vector|||208007415|||ISSR|||SALES_FX_OTH|||False|||</v>
          </cell>
          <cell r="C334" t="str">
            <v>V_KEYWORD_ISSR_208007415_SALES_FX_OTH</v>
          </cell>
        </row>
        <row r="344">
          <cell r="A344" t="str">
            <v>Scalar|||200009620|||EQTY|||EURO_LIST|||False|||</v>
          </cell>
          <cell r="C344" t="str">
            <v>V_KEYWORD_EQTY_200009620_EURO_LIST</v>
          </cell>
          <cell r="E344" t="str">
            <v>ERROR</v>
          </cell>
        </row>
        <row r="345">
          <cell r="A345" t="str">
            <v>Scalar|||200009620|||EQTY|||EURO_CONVICTION|||False|||</v>
          </cell>
          <cell r="C345" t="str">
            <v>V_KEYWORD_EQTY_200009620_EURO_CONVICTION</v>
          </cell>
        </row>
        <row r="346">
          <cell r="A346" t="str">
            <v>Scalar|||200009620|||EQTY|||LEGAL_RATING|||False|||</v>
          </cell>
          <cell r="C346" t="str">
            <v>V_KEYWORD_EQTY_200009620_LEGAL_RATING</v>
          </cell>
          <cell r="E346" t="str">
            <v>ERROR</v>
          </cell>
        </row>
        <row r="347">
          <cell r="A347" t="str">
            <v>Scalar|||200009620|||EQTY|||TARGET_PRICE|||False|||</v>
          </cell>
          <cell r="C347" t="str">
            <v>V_KEYWORD_EQTY_200009620_TARGET_PRICE</v>
          </cell>
          <cell r="E347" t="str">
            <v>ERROR</v>
          </cell>
        </row>
        <row r="348">
          <cell r="A348" t="str">
            <v>Scalar|||200009620|||EQTY|||TP_PERIOD|||False|||</v>
          </cell>
          <cell r="C348" t="str">
            <v>V_KEYWORD_EQTY_200009620_TP_PERIOD</v>
          </cell>
          <cell r="E348" t="str">
            <v>ERROR</v>
          </cell>
        </row>
        <row r="349">
          <cell r="A349" t="str">
            <v>Scalar|||200009620|||EQTY|||NUM_SH|||False|||</v>
          </cell>
          <cell r="C349" t="str">
            <v>V_KEYWORD_EQTY_200009620_NUM_SH</v>
          </cell>
        </row>
        <row r="350">
          <cell r="A350" t="str">
            <v>Scalar|||200009620|||EQTY|||FREE_FLOAT|||False|||</v>
          </cell>
          <cell r="C350" t="str">
            <v>V_KEYWORD_EQTY_200009620_FREE_FLOAT</v>
          </cell>
        </row>
        <row r="352">
          <cell r="A352" t="str">
            <v>Vector|||200009620|||EQTY|||BVPS_PUB|||False|||</v>
          </cell>
          <cell r="C352" t="str">
            <v>V_KEYWORD_EQTY_200009620_BVPS_PUB</v>
          </cell>
        </row>
        <row r="353">
          <cell r="A353" t="str">
            <v>Vector|||200009620|||EQTY|||DPS_PUB|||False|||</v>
          </cell>
          <cell r="C353" t="str">
            <v>V_KEYWORD_EQTY_200009620_DPS_PUB</v>
          </cell>
        </row>
        <row r="354">
          <cell r="A354" t="str">
            <v>Vector|||200009620|||EQTY|||EBITDA_PUB|||False|||</v>
          </cell>
          <cell r="C354" t="str">
            <v>V_KEYWORD_EQTY_200009620_EBITDA_PUB</v>
          </cell>
        </row>
        <row r="355">
          <cell r="A355" t="str">
            <v>Vector|||200009620|||EQTY|||EPS_PUB|||False|||</v>
          </cell>
          <cell r="C355" t="str">
            <v>V_KEYWORD_EQTY_200009620_EPS_PUB</v>
          </cell>
          <cell r="AN355" t="str">
            <v>ERROR</v>
          </cell>
          <cell r="AO355" t="str">
            <v>ERROR</v>
          </cell>
          <cell r="AP355" t="str">
            <v>ERROR</v>
          </cell>
          <cell r="AQ355" t="str">
            <v>ERROR</v>
          </cell>
          <cell r="AR355" t="str">
            <v>ERROR</v>
          </cell>
          <cell r="AS355" t="str">
            <v>ERROR</v>
          </cell>
          <cell r="AT355" t="str">
            <v>ERROR</v>
          </cell>
          <cell r="AU355" t="str">
            <v>ERROR</v>
          </cell>
          <cell r="AV355" t="str">
            <v>ERROR</v>
          </cell>
        </row>
        <row r="356">
          <cell r="A356" t="str">
            <v>Vector|||200009620|||EQTY|||EV_ADJ_PUB|||False|||</v>
          </cell>
          <cell r="C356" t="str">
            <v>V_KEYWORD_EQTY_200009620_EV_ADJ_PUB</v>
          </cell>
        </row>
        <row r="357">
          <cell r="A357" t="str">
            <v>Vector|||200009620|||EQTY|||NET_DEBT_PUB|||False|||</v>
          </cell>
          <cell r="C357" t="str">
            <v>V_KEYWORD_EQTY_200009620_NET_DEBT_PUB</v>
          </cell>
        </row>
        <row r="358">
          <cell r="A358" t="str">
            <v>Vector|||200009620|||EQTY|||NI_PUB|||False|||</v>
          </cell>
          <cell r="C358" t="str">
            <v>V_KEYWORD_EQTY_200009620_NI_PUB</v>
          </cell>
        </row>
        <row r="359">
          <cell r="A359" t="str">
            <v>Vector|||200009620|||EQTY|||EBIT_PUB|||False|||</v>
          </cell>
          <cell r="C359" t="str">
            <v>V_KEYWORD_EQTY_200009620_EBIT_PUB</v>
          </cell>
        </row>
        <row r="360">
          <cell r="A360" t="str">
            <v>Vector|||200009620|||EQTY|||PTP_PUB|||False|||</v>
          </cell>
          <cell r="C360" t="str">
            <v>V_KEYWORD_EQTY_200009620_PTP_PUB</v>
          </cell>
        </row>
        <row r="361">
          <cell r="A361" t="str">
            <v>Vector|||200009620|||EQTY|||REVS_PUB|||False|||</v>
          </cell>
          <cell r="C361" t="str">
            <v>V_KEYWORD_EQTY_200009620_REVS_PUB</v>
          </cell>
        </row>
        <row r="362">
          <cell r="A362" t="str">
            <v>Vector|||200009620|||EQTY|||EQ_PUB|||False|||</v>
          </cell>
          <cell r="C362" t="str">
            <v>V_KEYWORD_EQTY_200009620_EQ_PUB</v>
          </cell>
        </row>
        <row r="364">
          <cell r="A364" t="str">
            <v>Vector|||200009620|||EQTY|||PROV_INC_TAX|||False|||</v>
          </cell>
          <cell r="C364" t="str">
            <v>V_KEYWORD_EQTY_200009620_PROV_INC_TAX</v>
          </cell>
        </row>
        <row r="365">
          <cell r="A365" t="str">
            <v>Vector|||200009620|||EQTY|||INC_MINORITY|||False|||</v>
          </cell>
          <cell r="C365" t="str">
            <v>V_KEYWORD_EQTY_200009620_INC_MINORITY</v>
          </cell>
        </row>
        <row r="366">
          <cell r="A366" t="str">
            <v>Vector|||200009620|||EQTY|||NI_PRE_PREF|||False|||</v>
          </cell>
          <cell r="C366" t="str">
            <v>V_KEYWORD_EQTY_200009620_NI_PRE_PREF</v>
          </cell>
        </row>
        <row r="367">
          <cell r="A367" t="str">
            <v>Vector|||200009620|||EQTY|||PREF_DIV|||False|||</v>
          </cell>
          <cell r="C367" t="str">
            <v>V_KEYWORD_EQTY_200009620_PREF_DIV</v>
          </cell>
        </row>
        <row r="368">
          <cell r="A368" t="str">
            <v>Vector|||200009620|||EQTY|||NET_EARNING|||False|||</v>
          </cell>
          <cell r="C368" t="str">
            <v>V_KEYWORD_EQTY_200009620_NET_EARNING</v>
          </cell>
        </row>
        <row r="369">
          <cell r="A369" t="str">
            <v>Vector|||200009620|||EQTY|||TAX_EXC|||False|||</v>
          </cell>
          <cell r="C369" t="str">
            <v>V_KEYWORD_EQTY_200009620_TAX_EXC</v>
          </cell>
        </row>
        <row r="370">
          <cell r="A370" t="str">
            <v>Vector|||200009620|||EQTY|||NET_INC|||False|||</v>
          </cell>
          <cell r="C370" t="str">
            <v>V_KEYWORD_EQTY_200009620_NET_INC</v>
          </cell>
        </row>
        <row r="371">
          <cell r="A371" t="str">
            <v>Vector|||200009620|||EQTY|||EPS|||False|||</v>
          </cell>
          <cell r="C371" t="str">
            <v>V_KEYWORD_EQTY_200009620_EPS</v>
          </cell>
        </row>
        <row r="372">
          <cell r="A372" t="str">
            <v>Vector|||200009620|||EQTY|||EPS_FUL_DIL|||False|||</v>
          </cell>
          <cell r="C372" t="str">
            <v>V_KEYWORD_EQTY_200009620_EPS_FUL_DIL</v>
          </cell>
        </row>
        <row r="373">
          <cell r="A373" t="str">
            <v>Vector|||200009620|||EQTY|||EPS_POST_BASIC|||False|||</v>
          </cell>
          <cell r="C373" t="str">
            <v>V_KEYWORD_EQTY_200009620_EPS_POST_BASIC</v>
          </cell>
        </row>
        <row r="374">
          <cell r="A374" t="str">
            <v>Vector|||200009620|||EQTY|||FULLY_DIL_EPS|||False|||</v>
          </cell>
          <cell r="C374" t="str">
            <v>V_KEYWORD_EQTY_200009620_FULLY_DIL_EPS</v>
          </cell>
        </row>
        <row r="375">
          <cell r="A375" t="str">
            <v>Vector|||200009620|||EQTY|||COMMON_DIV_PAID|||False|||</v>
          </cell>
          <cell r="C375" t="str">
            <v>V_KEYWORD_EQTY_200009620_COMMON_DIV_PAID</v>
          </cell>
        </row>
        <row r="376">
          <cell r="A376" t="str">
            <v>Vector|||200009620|||EQTY|||DPS|||False|||</v>
          </cell>
          <cell r="C376" t="str">
            <v>V_KEYWORD_EQTY_200009620_DPS</v>
          </cell>
        </row>
        <row r="377">
          <cell r="A377" t="str">
            <v>Vector|||200009620|||EQTY|||SH|||False|||</v>
          </cell>
          <cell r="C377" t="str">
            <v>V_KEYWORD_EQTY_200009620_SH</v>
          </cell>
        </row>
        <row r="378">
          <cell r="A378" t="str">
            <v>Vector|||200009620|||EQTY|||DILUTE_SHARES|||False|||</v>
          </cell>
          <cell r="C378" t="str">
            <v>V_KEYWORD_EQTY_200009620_DILUTE_SHARES</v>
          </cell>
        </row>
        <row r="379">
          <cell r="A379" t="str">
            <v>Vector|||200009620|||EQTY|||NON_OP_ADD|||False|||</v>
          </cell>
          <cell r="C379" t="str">
            <v>V_KEYWORD_EQTY_200009620_NON_OP_ADD</v>
          </cell>
        </row>
        <row r="381">
          <cell r="A381" t="str">
            <v>Vector|||200009620|||EQTY|||ORG_NI|||False|||</v>
          </cell>
          <cell r="C381" t="str">
            <v>V_KEYWORD_EQTY_200009620_ORG_NI</v>
          </cell>
        </row>
        <row r="382">
          <cell r="A382" t="str">
            <v>Vector|||200009620|||EQTY|||ORG_EPS|||False|||</v>
          </cell>
          <cell r="C382" t="str">
            <v>V_KEYWORD_EQTY_200009620_ORG_EPS</v>
          </cell>
        </row>
        <row r="383">
          <cell r="A383" t="str">
            <v>Vector|||200009620|||EQTY|||MARGIN_TAX_RATE|||False|||</v>
          </cell>
          <cell r="C383" t="str">
            <v>V_KEYWORD_EQTY_200009620_MARGIN_TAX_RATE</v>
          </cell>
        </row>
        <row r="385">
          <cell r="A385" t="str">
            <v>Vector|||200009620|||EQTY|||BVPS|||False|||</v>
          </cell>
          <cell r="C385" t="str">
            <v>V_KEYWORD_EQTY_200009620_BVPS</v>
          </cell>
        </row>
        <row r="387">
          <cell r="A387" t="str">
            <v>Vector|||200009620|||EQTY|||CF_NI_PRE_PREF|||False|||</v>
          </cell>
          <cell r="C387" t="str">
            <v>V_KEYWORD_EQTY_200009620_CF_NI_PRE_PREF</v>
          </cell>
        </row>
        <row r="389">
          <cell r="A389" t="str">
            <v>Scalar|||200009620|||EQTY|||BETA_ANALYST|||False|||</v>
          </cell>
          <cell r="C389" t="str">
            <v>V_KEYWORD_EQTY_200009620_BETA_ANALYST</v>
          </cell>
        </row>
        <row r="390">
          <cell r="A390" t="str">
            <v>Scalar|||200009620|||EQTY|||MKT_EQ_RISK_PREM|||False|||</v>
          </cell>
          <cell r="C390" t="str">
            <v>V_KEYWORD_EQTY_200009620_MKT_EQ_RISK_PREM</v>
          </cell>
        </row>
        <row r="391">
          <cell r="A391" t="str">
            <v>Scalar|||200009620|||EQTY|||RISK_FR_RATE|||False|||</v>
          </cell>
          <cell r="C391" t="str">
            <v>V_KEYWORD_EQTY_200009620_RISK_FR_RATE</v>
          </cell>
        </row>
      </sheetData>
      <sheetData sheetId="2">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Estimate</v>
          </cell>
          <cell r="AO2" t="str">
            <v>Estimate</v>
          </cell>
          <cell r="AP2" t="str">
            <v>Estimate</v>
          </cell>
          <cell r="AQ2" t="str">
            <v>Estimate</v>
          </cell>
          <cell r="AR2" t="str">
            <v>Estimate</v>
          </cell>
        </row>
        <row r="5">
          <cell r="A5" t="str">
            <v>Reference Data</v>
          </cell>
        </row>
        <row r="8">
          <cell r="A8" t="str">
            <v>Income Statement</v>
          </cell>
        </row>
        <row r="9">
          <cell r="B9" t="str">
            <v>Sales, net revenue</v>
          </cell>
          <cell r="C9" t="str">
            <v>SALES</v>
          </cell>
          <cell r="D9" t="str">
            <v>GBP</v>
          </cell>
        </row>
        <row r="10">
          <cell r="B10" t="str">
            <v>Cost of goods sold, COGS</v>
          </cell>
          <cell r="C10" t="str">
            <v>COST_GD_SD</v>
          </cell>
          <cell r="D10" t="str">
            <v>GBP</v>
          </cell>
        </row>
        <row r="11">
          <cell r="B11" t="str">
            <v>SG&amp;A, selling, general and admin. expense</v>
          </cell>
          <cell r="C11" t="str">
            <v>SEL_GL_AD</v>
          </cell>
          <cell r="D11" t="str">
            <v>GBP</v>
          </cell>
        </row>
        <row r="12">
          <cell r="B12" t="str">
            <v>Total operating expense</v>
          </cell>
          <cell r="C12" t="str">
            <v>OP_COST</v>
          </cell>
          <cell r="D12" t="str">
            <v>GBP</v>
          </cell>
        </row>
        <row r="13">
          <cell r="B13" t="str">
            <v>R&amp;D expense</v>
          </cell>
          <cell r="C13" t="str">
            <v>RD_EXP</v>
          </cell>
          <cell r="D13" t="str">
            <v>GBP</v>
          </cell>
        </row>
        <row r="14">
          <cell r="B14" t="str">
            <v>Other operating income/(expense) (incl. leases)</v>
          </cell>
          <cell r="C14" t="str">
            <v>OTH_OP_INC_EXP</v>
          </cell>
          <cell r="D14" t="str">
            <v>GBP</v>
          </cell>
        </row>
        <row r="15">
          <cell r="B15" t="str">
            <v>Total operating expense (incl. D&amp;A)</v>
          </cell>
          <cell r="C15" t="str">
            <v>TOT_OPS_EXP_DDA</v>
          </cell>
          <cell r="D15" t="str">
            <v>GBP</v>
          </cell>
        </row>
        <row r="16">
          <cell r="B16" t="str">
            <v>Total operating expense (excl. D&amp;A)</v>
          </cell>
          <cell r="C16" t="str">
            <v>TOT_OPS_EXP</v>
          </cell>
          <cell r="D16" t="str">
            <v>GBP</v>
          </cell>
        </row>
        <row r="17">
          <cell r="B17" t="str">
            <v>EBITDA</v>
          </cell>
          <cell r="C17" t="str">
            <v>EBITDA_CALC</v>
          </cell>
          <cell r="D17" t="str">
            <v>GBP</v>
          </cell>
        </row>
        <row r="18">
          <cell r="B18" t="str">
            <v>Depreciation</v>
          </cell>
          <cell r="C18" t="str">
            <v>DEPREC</v>
          </cell>
          <cell r="D18" t="str">
            <v>GBP</v>
          </cell>
        </row>
        <row r="19">
          <cell r="B19" t="str">
            <v>Amortization</v>
          </cell>
          <cell r="C19" t="str">
            <v>GOODWILL_AMORT</v>
          </cell>
          <cell r="D19" t="str">
            <v>GBP</v>
          </cell>
        </row>
        <row r="20">
          <cell r="B20" t="str">
            <v>EBIT, operating profit</v>
          </cell>
          <cell r="C20" t="str">
            <v>EBIT</v>
          </cell>
          <cell r="D20" t="str">
            <v>GBP</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row>
        <row r="24">
          <cell r="B24" t="str">
            <v>Income/(loss) from unconsolidated subs &amp; associates</v>
          </cell>
          <cell r="C24" t="str">
            <v>ASSOCIATE</v>
          </cell>
          <cell r="D24" t="str">
            <v>GBP</v>
          </cell>
        </row>
        <row r="25">
          <cell r="B25" t="str">
            <v>Profit/(loss) on disposals of assets, pre-tax</v>
          </cell>
          <cell r="C25" t="str">
            <v>PROFIT_ON_DISP</v>
          </cell>
          <cell r="D25" t="str">
            <v>GBP</v>
          </cell>
        </row>
        <row r="26">
          <cell r="B26" t="str">
            <v>Other non-ops income/(expense)</v>
          </cell>
          <cell r="C26" t="str">
            <v>OTH_COST_INC</v>
          </cell>
          <cell r="D26" t="str">
            <v>GBP</v>
          </cell>
        </row>
        <row r="27">
          <cell r="B27" t="str">
            <v>Pre-tax profit</v>
          </cell>
          <cell r="C27" t="str">
            <v>PT_PROF</v>
          </cell>
          <cell r="D27" t="str">
            <v>GBP</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row>
        <row r="31">
          <cell r="B31" t="str">
            <v>Lease payments</v>
          </cell>
          <cell r="C31" t="str">
            <v>LEASE_PAY</v>
          </cell>
          <cell r="D31" t="str">
            <v>GBP</v>
          </cell>
        </row>
        <row r="32">
          <cell r="B32" t="str">
            <v>Lease payments (deemed interest portion)</v>
          </cell>
          <cell r="C32" t="str">
            <v>LEASE_DEEM_INT</v>
          </cell>
          <cell r="D32" t="str">
            <v>GBP</v>
          </cell>
        </row>
        <row r="33">
          <cell r="B33" t="str">
            <v>Lease payments (deemed depreciation portion)</v>
          </cell>
          <cell r="C33" t="str">
            <v>LEASE_DEEM_DEPR</v>
          </cell>
          <cell r="D33" t="str">
            <v>GBP</v>
          </cell>
        </row>
        <row r="34">
          <cell r="B34" t="str">
            <v>Gross interest charge</v>
          </cell>
          <cell r="C34" t="str">
            <v>NET_INT_CH</v>
          </cell>
          <cell r="D34" t="str">
            <v>GBP</v>
          </cell>
        </row>
        <row r="35">
          <cell r="B35" t="str">
            <v>Income from associates (operating)</v>
          </cell>
          <cell r="C35" t="str">
            <v>ASSOCIATE_OP</v>
          </cell>
          <cell r="D35" t="str">
            <v>GBP</v>
          </cell>
        </row>
        <row r="36">
          <cell r="B36" t="str">
            <v>Goodwill amortization</v>
          </cell>
          <cell r="C36" t="str">
            <v>GW_AMORT</v>
          </cell>
          <cell r="D36" t="str">
            <v>GBP</v>
          </cell>
        </row>
        <row r="37">
          <cell r="B37" t="str">
            <v>Other intangible amortization</v>
          </cell>
          <cell r="C37" t="str">
            <v>OTH_INT_AMORT</v>
          </cell>
          <cell r="D37" t="str">
            <v>GBP</v>
          </cell>
        </row>
        <row r="38">
          <cell r="A38" t="str">
            <v>Balance Sheet</v>
          </cell>
        </row>
        <row r="39">
          <cell r="B39" t="str">
            <v>Cash &amp; cash equivalents</v>
          </cell>
          <cell r="C39" t="str">
            <v>CASH_EQ</v>
          </cell>
          <cell r="D39" t="str">
            <v>GBP</v>
          </cell>
        </row>
        <row r="40">
          <cell r="B40" t="str">
            <v>Accounts receivable</v>
          </cell>
          <cell r="C40" t="str">
            <v>DEBTORS</v>
          </cell>
          <cell r="D40" t="str">
            <v>GBP</v>
          </cell>
        </row>
        <row r="41">
          <cell r="B41" t="str">
            <v>Inventory</v>
          </cell>
          <cell r="C41" t="str">
            <v>STOCKS</v>
          </cell>
          <cell r="D41" t="str">
            <v>GBP</v>
          </cell>
        </row>
        <row r="42">
          <cell r="B42" t="str">
            <v>Other current assets</v>
          </cell>
          <cell r="C42" t="str">
            <v>OTH_CUR_ASS</v>
          </cell>
          <cell r="D42" t="str">
            <v>GBP</v>
          </cell>
        </row>
        <row r="43">
          <cell r="B43" t="str">
            <v>Total current assets</v>
          </cell>
          <cell r="C43" t="str">
            <v>CUR_ASS</v>
          </cell>
          <cell r="D43" t="str">
            <v>GBP</v>
          </cell>
        </row>
        <row r="44">
          <cell r="B44" t="str">
            <v>Gross fixed assets, PP&amp;E</v>
          </cell>
          <cell r="C44" t="str">
            <v>GR_FIX_ASS</v>
          </cell>
          <cell r="D44" t="str">
            <v>GBP</v>
          </cell>
        </row>
        <row r="45">
          <cell r="B45" t="str">
            <v>Accumulated depreciation</v>
          </cell>
          <cell r="C45" t="str">
            <v>ACC_DDA</v>
          </cell>
          <cell r="D45" t="str">
            <v>GBP</v>
          </cell>
        </row>
        <row r="46">
          <cell r="B46" t="str">
            <v>Net PP&amp;E</v>
          </cell>
          <cell r="C46" t="str">
            <v>NET_FIX_ASS</v>
          </cell>
          <cell r="D46" t="str">
            <v>GBP</v>
          </cell>
        </row>
        <row r="47">
          <cell r="B47" t="str">
            <v>Gross intangibles</v>
          </cell>
          <cell r="C47" t="str">
            <v>GR_INTANG</v>
          </cell>
          <cell r="D47" t="str">
            <v>GBP</v>
          </cell>
        </row>
        <row r="48">
          <cell r="B48" t="str">
            <v>Accumulated amortization</v>
          </cell>
          <cell r="C48" t="str">
            <v>ACC_AMORT</v>
          </cell>
          <cell r="D48" t="str">
            <v>GBP</v>
          </cell>
        </row>
        <row r="49">
          <cell r="B49" t="str">
            <v>Net intangible assets</v>
          </cell>
          <cell r="C49" t="str">
            <v>NET_INTANG</v>
          </cell>
          <cell r="D49" t="str">
            <v>GBP</v>
          </cell>
        </row>
        <row r="50">
          <cell r="B50" t="str">
            <v>Equity method investments</v>
          </cell>
          <cell r="C50" t="str">
            <v>FIX_ASS_INV</v>
          </cell>
          <cell r="D50" t="str">
            <v>GBP</v>
          </cell>
        </row>
        <row r="51">
          <cell r="B51" t="str">
            <v>Investments in securities</v>
          </cell>
          <cell r="C51" t="str">
            <v>INV_SECUR</v>
          </cell>
          <cell r="D51" t="str">
            <v>GBP</v>
          </cell>
        </row>
        <row r="52">
          <cell r="B52" t="str">
            <v>Other long-term assets</v>
          </cell>
          <cell r="C52" t="str">
            <v>OTH_LT_ASS</v>
          </cell>
          <cell r="D52" t="str">
            <v>GBP</v>
          </cell>
        </row>
        <row r="53">
          <cell r="B53" t="str">
            <v>Total assets</v>
          </cell>
          <cell r="C53" t="str">
            <v>TOT_ASSET</v>
          </cell>
          <cell r="D53" t="str">
            <v>GBP</v>
          </cell>
        </row>
        <row r="54">
          <cell r="B54" t="str">
            <v>Accounts payable</v>
          </cell>
          <cell r="C54" t="str">
            <v>ACC_PAY_GQ</v>
          </cell>
          <cell r="D54" t="str">
            <v>GBP</v>
          </cell>
        </row>
        <row r="55">
          <cell r="B55" t="str">
            <v>Short-term debt</v>
          </cell>
          <cell r="C55" t="str">
            <v>SHORT_T_DEBT</v>
          </cell>
          <cell r="D55" t="str">
            <v>GBP</v>
          </cell>
        </row>
        <row r="56">
          <cell r="B56" t="str">
            <v>Other current liabilities</v>
          </cell>
          <cell r="C56" t="str">
            <v>OTH_CUR_LIABS</v>
          </cell>
          <cell r="D56" t="str">
            <v>GBP</v>
          </cell>
        </row>
        <row r="57">
          <cell r="B57" t="str">
            <v>Total current liabilities</v>
          </cell>
          <cell r="C57" t="str">
            <v>SHORT_TERM_LIABS</v>
          </cell>
          <cell r="D57" t="str">
            <v>GBP</v>
          </cell>
        </row>
        <row r="58">
          <cell r="B58" t="str">
            <v>Long-term  debt</v>
          </cell>
          <cell r="C58" t="str">
            <v>LT_DEBT</v>
          </cell>
          <cell r="D58" t="str">
            <v>GBP</v>
          </cell>
        </row>
        <row r="59">
          <cell r="B59" t="str">
            <v>Other long-term liabilities</v>
          </cell>
          <cell r="C59" t="str">
            <v>OTH_LT_CRED_GQ</v>
          </cell>
          <cell r="D59" t="str">
            <v>GBP</v>
          </cell>
        </row>
        <row r="60">
          <cell r="B60" t="str">
            <v>Total long-term liabilities</v>
          </cell>
          <cell r="C60" t="str">
            <v>TOT_LT_LIAB</v>
          </cell>
          <cell r="D60" t="str">
            <v>GBP</v>
          </cell>
        </row>
        <row r="61">
          <cell r="B61" t="str">
            <v>Total liabilities</v>
          </cell>
          <cell r="C61" t="str">
            <v>TOT_LIAB</v>
          </cell>
          <cell r="D61" t="str">
            <v>GBP</v>
          </cell>
        </row>
        <row r="62">
          <cell r="B62" t="str">
            <v>Preferred shares</v>
          </cell>
          <cell r="C62" t="str">
            <v>PREF_SH</v>
          </cell>
          <cell r="D62" t="str">
            <v>GBP</v>
          </cell>
        </row>
        <row r="63">
          <cell r="B63" t="str">
            <v>Total common equity</v>
          </cell>
          <cell r="C63" t="str">
            <v>ORD_SH_FUND</v>
          </cell>
          <cell r="D63" t="str">
            <v>GBP</v>
          </cell>
        </row>
        <row r="64">
          <cell r="B64" t="str">
            <v>Minority interest</v>
          </cell>
          <cell r="C64" t="str">
            <v>MINORITIES</v>
          </cell>
          <cell r="D64" t="str">
            <v>GBP</v>
          </cell>
        </row>
        <row r="65">
          <cell r="B65" t="str">
            <v>Total shareholders' equity</v>
          </cell>
          <cell r="C65" t="str">
            <v>EQ</v>
          </cell>
          <cell r="D65" t="str">
            <v>GBP</v>
          </cell>
        </row>
        <row r="66">
          <cell r="B66" t="str">
            <v>Total liabilities and equity</v>
          </cell>
          <cell r="C66" t="str">
            <v>TOT_LIAB_EQ</v>
          </cell>
          <cell r="D66" t="str">
            <v>GBP</v>
          </cell>
        </row>
        <row r="67">
          <cell r="A67" t="str">
            <v>Additional Balance Sheet Items</v>
          </cell>
        </row>
        <row r="68">
          <cell r="B68" t="str">
            <v>Net debt</v>
          </cell>
          <cell r="C68" t="str">
            <v>NET_DEBT</v>
          </cell>
          <cell r="D68" t="str">
            <v>GBP</v>
          </cell>
        </row>
        <row r="69">
          <cell r="B69" t="str">
            <v>Capitalized leases</v>
          </cell>
          <cell r="C69" t="str">
            <v>CAP_LEASES</v>
          </cell>
          <cell r="D69" t="str">
            <v>GBP</v>
          </cell>
        </row>
        <row r="70">
          <cell r="B70" t="str">
            <v>Deferred income taxes</v>
          </cell>
          <cell r="C70" t="str">
            <v>DEF_INC_TAX</v>
          </cell>
          <cell r="D70" t="str">
            <v>GBP</v>
          </cell>
        </row>
        <row r="71">
          <cell r="B71" t="str">
            <v>Associates (mkt value) used in EV calculation</v>
          </cell>
          <cell r="C71" t="str">
            <v>MV_ASSOCIATES</v>
          </cell>
          <cell r="D71" t="str">
            <v>GBP</v>
          </cell>
        </row>
        <row r="72">
          <cell r="B72" t="str">
            <v>Net debt adjustment</v>
          </cell>
          <cell r="C72" t="str">
            <v>NET_DEBT_ADJ</v>
          </cell>
          <cell r="D72" t="str">
            <v>GBP</v>
          </cell>
        </row>
        <row r="73">
          <cell r="B73" t="str">
            <v>Company borrowing margin</v>
          </cell>
          <cell r="C73" t="str">
            <v>CO_BOR_MARGIN</v>
          </cell>
        </row>
        <row r="74">
          <cell r="B74" t="str">
            <v>Unfunded pensions &amp; other provisions</v>
          </cell>
          <cell r="C74" t="str">
            <v>UNF_PENS</v>
          </cell>
          <cell r="D74" t="str">
            <v>GBP</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row>
        <row r="77">
          <cell r="B77" t="str">
            <v>Adjustment for unfunded pensions &amp; goodwill</v>
          </cell>
          <cell r="C77" t="str">
            <v>ADJ_UNF_PENS_GOOD</v>
          </cell>
          <cell r="D77" t="str">
            <v>GBP</v>
          </cell>
        </row>
        <row r="78">
          <cell r="B78" t="str">
            <v>Other GCI adjustments</v>
          </cell>
          <cell r="C78" t="str">
            <v>OTH_GCI_ADJ</v>
          </cell>
          <cell r="D78" t="str">
            <v>GBP</v>
          </cell>
        </row>
        <row r="79">
          <cell r="B79" t="str">
            <v>GCI inflator</v>
          </cell>
          <cell r="C79" t="str">
            <v>GCI_INFL</v>
          </cell>
        </row>
        <row r="80">
          <cell r="B80" t="str">
            <v>Minority interest</v>
          </cell>
          <cell r="C80" t="str">
            <v>BAL_MINO_INT</v>
          </cell>
          <cell r="D80" t="str">
            <v>GBP</v>
          </cell>
        </row>
        <row r="81">
          <cell r="A81" t="str">
            <v>Cash Flow Statement</v>
          </cell>
        </row>
        <row r="82">
          <cell r="B82" t="str">
            <v>Minority interest add-back</v>
          </cell>
          <cell r="C82" t="str">
            <v>CF_INC_MINORITY</v>
          </cell>
          <cell r="D82" t="str">
            <v>GBP</v>
          </cell>
        </row>
        <row r="83">
          <cell r="B83" t="str">
            <v>Depreciation &amp; amortization add-back</v>
          </cell>
          <cell r="C83" t="str">
            <v>DEPR_AMORT</v>
          </cell>
          <cell r="D83" t="str">
            <v>GBP</v>
          </cell>
        </row>
        <row r="84">
          <cell r="B84" t="str">
            <v>(Increase)/decrease in working capital</v>
          </cell>
          <cell r="C84" t="str">
            <v>WORK_CAP</v>
          </cell>
          <cell r="D84" t="str">
            <v>GBP</v>
          </cell>
        </row>
        <row r="85">
          <cell r="B85" t="str">
            <v>Other operating cash flow items</v>
          </cell>
          <cell r="C85" t="str">
            <v>OTH_OP_CF</v>
          </cell>
          <cell r="D85" t="str">
            <v>GBP</v>
          </cell>
        </row>
        <row r="86">
          <cell r="B86" t="str">
            <v>Cash flow from operating activities</v>
          </cell>
          <cell r="C86" t="str">
            <v>CF_OPS</v>
          </cell>
          <cell r="D86" t="str">
            <v>GBP</v>
          </cell>
        </row>
        <row r="87">
          <cell r="B87" t="str">
            <v>Capital expenditures, Capex</v>
          </cell>
          <cell r="C87" t="str">
            <v>CAPEX</v>
          </cell>
          <cell r="D87" t="str">
            <v>GBP</v>
          </cell>
        </row>
        <row r="88">
          <cell r="B88" t="str">
            <v>Acquisitions</v>
          </cell>
          <cell r="C88" t="str">
            <v>ACQ</v>
          </cell>
          <cell r="D88" t="str">
            <v>GBP</v>
          </cell>
        </row>
        <row r="89">
          <cell r="B89" t="str">
            <v>Divestitures</v>
          </cell>
          <cell r="C89" t="str">
            <v>DIVEST</v>
          </cell>
          <cell r="D89" t="str">
            <v>GBP</v>
          </cell>
        </row>
        <row r="90">
          <cell r="B90" t="str">
            <v>Other investing cash flow items</v>
          </cell>
          <cell r="C90" t="str">
            <v>OTH_INV_CF</v>
          </cell>
          <cell r="D90" t="str">
            <v>GBP</v>
          </cell>
        </row>
        <row r="91">
          <cell r="B91" t="str">
            <v>Cash flow from investing</v>
          </cell>
          <cell r="C91" t="str">
            <v>CF_INV</v>
          </cell>
          <cell r="D91" t="str">
            <v>GBP</v>
          </cell>
        </row>
        <row r="92">
          <cell r="B92" t="str">
            <v>Dividends paid</v>
          </cell>
          <cell r="C92" t="str">
            <v>DIV_PAID</v>
          </cell>
          <cell r="D92" t="str">
            <v>GBP</v>
          </cell>
        </row>
        <row r="93">
          <cell r="B93" t="str">
            <v>Common stock issuance/(repurchase)</v>
          </cell>
          <cell r="C93" t="str">
            <v>SH_REPUR</v>
          </cell>
          <cell r="D93" t="str">
            <v>GBP</v>
          </cell>
        </row>
        <row r="94">
          <cell r="B94" t="str">
            <v>Increase/(decrease) in total debt</v>
          </cell>
          <cell r="C94" t="str">
            <v>CHG_LT_DEBT</v>
          </cell>
          <cell r="D94" t="str">
            <v>GBP</v>
          </cell>
        </row>
        <row r="95">
          <cell r="B95" t="str">
            <v>Other financing cash flow items</v>
          </cell>
          <cell r="C95" t="str">
            <v>OTH_FIN_CF</v>
          </cell>
          <cell r="D95" t="str">
            <v>GBP</v>
          </cell>
        </row>
        <row r="96">
          <cell r="B96" t="str">
            <v>Cash flow from financing</v>
          </cell>
          <cell r="C96" t="str">
            <v>CF_FIN</v>
          </cell>
          <cell r="D96" t="str">
            <v>GBP</v>
          </cell>
        </row>
        <row r="97">
          <cell r="B97" t="str">
            <v>Other items net cash flow</v>
          </cell>
          <cell r="C97" t="str">
            <v>OTH_ITEM_NCF</v>
          </cell>
          <cell r="D97" t="str">
            <v>GBP</v>
          </cell>
        </row>
        <row r="98">
          <cell r="B98" t="str">
            <v>Total cash flow</v>
          </cell>
          <cell r="C98" t="str">
            <v>TOT_CF</v>
          </cell>
          <cell r="D98" t="str">
            <v>GBP</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row>
        <row r="112">
          <cell r="B112" t="str">
            <v>Dividends paid to minorities</v>
          </cell>
          <cell r="C112" t="str">
            <v>DIVDS_PD_MINORITIES</v>
          </cell>
          <cell r="D112" t="str">
            <v>GBP</v>
          </cell>
        </row>
        <row r="113">
          <cell r="A113" t="str">
            <v>Other Items</v>
          </cell>
        </row>
        <row r="114">
          <cell r="B114" t="str">
            <v>Number of employees</v>
          </cell>
          <cell r="C114" t="str">
            <v>EMPLOYEES</v>
          </cell>
        </row>
        <row r="115">
          <cell r="A115" t="str">
            <v>Geographical Breakdown</v>
          </cell>
        </row>
        <row r="116">
          <cell r="B116" t="str">
            <v>Sales - Total % Americas</v>
          </cell>
          <cell r="C116" t="str">
            <v>SALES_TOT_AM</v>
          </cell>
        </row>
        <row r="117">
          <cell r="B117" t="str">
            <v>Sales - % United States</v>
          </cell>
          <cell r="C117" t="str">
            <v>SALES_US</v>
          </cell>
        </row>
        <row r="119">
          <cell r="B119" t="str">
            <v>Sales - % Brazil</v>
          </cell>
          <cell r="C119" t="str">
            <v>SALES_BRAZIL</v>
          </cell>
        </row>
        <row r="120">
          <cell r="B120" t="str">
            <v>Sales - % Other Americas</v>
          </cell>
          <cell r="C120" t="str">
            <v>SALES_OTH_AM</v>
          </cell>
        </row>
        <row r="121">
          <cell r="B121" t="str">
            <v>Sales - Total % EMEA</v>
          </cell>
          <cell r="C121" t="str">
            <v>SALES_TOT_EMEA</v>
          </cell>
        </row>
        <row r="122">
          <cell r="B122" t="str">
            <v>Sales - % UK</v>
          </cell>
          <cell r="C122" t="str">
            <v>SALES_UK</v>
          </cell>
        </row>
        <row r="123">
          <cell r="B123" t="str">
            <v>Sales - % Western Europe-Ex UK</v>
          </cell>
          <cell r="C123" t="str">
            <v>SALES_EU_EX_UK</v>
          </cell>
        </row>
        <row r="128">
          <cell r="B128" t="str">
            <v>Sales - % France</v>
          </cell>
          <cell r="C128" t="str">
            <v>SALES_FRA</v>
          </cell>
        </row>
        <row r="129">
          <cell r="B129" t="str">
            <v>Sales - % Germany</v>
          </cell>
          <cell r="C129" t="str">
            <v>SALES_GER</v>
          </cell>
        </row>
        <row r="133">
          <cell r="B133" t="str">
            <v>Sales - % Italy</v>
          </cell>
          <cell r="C133" t="str">
            <v>SALES_ITA</v>
          </cell>
        </row>
        <row r="137">
          <cell r="B137" t="str">
            <v>Sales - % Spain</v>
          </cell>
          <cell r="C137" t="str">
            <v>SALES_SPA</v>
          </cell>
        </row>
        <row r="138">
          <cell r="B138" t="str">
            <v>Sales - % Other Western Europe-Ex UK</v>
          </cell>
          <cell r="C138" t="str">
            <v>SALES_OTH_EU_EX_UK</v>
          </cell>
        </row>
        <row r="141">
          <cell r="B141" t="str">
            <v>Sales - % Central &amp; Eastern Europe</v>
          </cell>
          <cell r="C141" t="str">
            <v>SALES_CEE</v>
          </cell>
        </row>
        <row r="142">
          <cell r="B142" t="str">
            <v>Sales - % Middle East</v>
          </cell>
          <cell r="C142" t="str">
            <v>SALES_ME</v>
          </cell>
        </row>
        <row r="143">
          <cell r="B143" t="str">
            <v>Sales - % South Africa</v>
          </cell>
          <cell r="C143" t="str">
            <v>SALES_SO_AFRICA</v>
          </cell>
        </row>
        <row r="144">
          <cell r="B144" t="str">
            <v>Sales - % Nigeria</v>
          </cell>
          <cell r="C144" t="str">
            <v>SALES_NIGERIA</v>
          </cell>
        </row>
        <row r="145">
          <cell r="B145" t="str">
            <v>Sales - % Other Africa</v>
          </cell>
          <cell r="C145" t="str">
            <v>SALES_OTH_AFRICA</v>
          </cell>
        </row>
        <row r="146">
          <cell r="B146" t="str">
            <v>Sales - % Total Africa</v>
          </cell>
          <cell r="C146" t="str">
            <v>SALES_TOT_AFRICA</v>
          </cell>
        </row>
        <row r="147">
          <cell r="B147" t="str">
            <v>Sales - % Russia</v>
          </cell>
          <cell r="C147" t="str">
            <v>SALES_RUSSIA</v>
          </cell>
        </row>
        <row r="148">
          <cell r="B148" t="str">
            <v>Sales - % Other EMEA</v>
          </cell>
          <cell r="C148" t="str">
            <v>SALES_OTH_EMEA</v>
          </cell>
        </row>
        <row r="149">
          <cell r="B149" t="str">
            <v>Sales - Total % Asia (incl Australia &amp; New Zealand)</v>
          </cell>
          <cell r="C149" t="str">
            <v>SALES_TOT_ASIA</v>
          </cell>
        </row>
        <row r="150">
          <cell r="B150" t="str">
            <v>Sales - % Japan</v>
          </cell>
          <cell r="C150" t="str">
            <v>SALES_JAPAN</v>
          </cell>
        </row>
        <row r="151">
          <cell r="B151" t="str">
            <v>Sales - % China</v>
          </cell>
          <cell r="C151" t="str">
            <v>SALES_CHINA</v>
          </cell>
        </row>
        <row r="152">
          <cell r="B152" t="str">
            <v>Sales - % India</v>
          </cell>
          <cell r="C152" t="str">
            <v>SALES_INDIA</v>
          </cell>
        </row>
        <row r="156">
          <cell r="B156" t="str">
            <v>Sales - % Other Asia</v>
          </cell>
          <cell r="C156" t="str">
            <v>SALES_OTH_AEJ</v>
          </cell>
        </row>
        <row r="157">
          <cell r="B157" t="str">
            <v>Sales - % Others</v>
          </cell>
          <cell r="C157" t="str">
            <v>SALES_OTHER</v>
          </cell>
        </row>
        <row r="158">
          <cell r="B158" t="str">
            <v>Indirect Sales - Total % Americas</v>
          </cell>
          <cell r="C158" t="str">
            <v>IND_SALES_TOT_AM</v>
          </cell>
        </row>
        <row r="159">
          <cell r="B159" t="str">
            <v>Indirect Sales - % United States</v>
          </cell>
          <cell r="C159" t="str">
            <v>IND_SALES_US</v>
          </cell>
        </row>
        <row r="161">
          <cell r="B161" t="str">
            <v>Indirect Sales - % Brazil</v>
          </cell>
          <cell r="C161" t="str">
            <v>IND_SALES_BRAZIL</v>
          </cell>
        </row>
        <row r="162">
          <cell r="B162" t="str">
            <v>Indirect Sales - % Other Americas</v>
          </cell>
          <cell r="C162" t="str">
            <v>IND_SALES_OTH_AM</v>
          </cell>
        </row>
        <row r="163">
          <cell r="B163" t="str">
            <v>Indirect Sales - Total % EMEA</v>
          </cell>
          <cell r="C163" t="str">
            <v>IND_SALES_TOT_EMEA</v>
          </cell>
        </row>
        <row r="164">
          <cell r="B164" t="str">
            <v>Indirect Sales - % UK</v>
          </cell>
          <cell r="C164" t="str">
            <v>IND_SALES_UK</v>
          </cell>
        </row>
        <row r="165">
          <cell r="B165" t="str">
            <v>Indirect Sales - % Western Europe-Ex UK</v>
          </cell>
          <cell r="C165" t="str">
            <v>IND_SALES_EU_EX_UK</v>
          </cell>
        </row>
        <row r="170">
          <cell r="B170" t="str">
            <v>Indirect Sales - % France</v>
          </cell>
          <cell r="C170" t="str">
            <v>IND_SALES_FRA</v>
          </cell>
        </row>
        <row r="171">
          <cell r="B171" t="str">
            <v>Indirect Sales - % Germany</v>
          </cell>
          <cell r="C171" t="str">
            <v>IND_SALES_GER</v>
          </cell>
        </row>
        <row r="175">
          <cell r="B175" t="str">
            <v>Indirect Sales - % Italy</v>
          </cell>
          <cell r="C175" t="str">
            <v>IND_SALES_ITA</v>
          </cell>
        </row>
        <row r="179">
          <cell r="B179" t="str">
            <v>Indirect Sales - % Spain</v>
          </cell>
          <cell r="C179" t="str">
            <v>IND_SALES_SPA</v>
          </cell>
        </row>
        <row r="180">
          <cell r="B180" t="str">
            <v>Indirect Sales - % Other Western Europe-Ex UK</v>
          </cell>
          <cell r="C180" t="str">
            <v>IND_SALES_OTH_EU_EX_UK</v>
          </cell>
        </row>
        <row r="183">
          <cell r="B183" t="str">
            <v>Indirect Sales - % Central &amp; Eastern Europe</v>
          </cell>
          <cell r="C183" t="str">
            <v>IND_SALES_CEE</v>
          </cell>
        </row>
        <row r="184">
          <cell r="B184" t="str">
            <v>Indirect Sales - % Middle East</v>
          </cell>
          <cell r="C184" t="str">
            <v>IND_SALES_ME</v>
          </cell>
        </row>
        <row r="185">
          <cell r="B185" t="str">
            <v>Indirect Sales - % Russia</v>
          </cell>
          <cell r="C185" t="str">
            <v>IND_SALES_RUSSIA</v>
          </cell>
        </row>
        <row r="186">
          <cell r="B186" t="str">
            <v>Indirect sales - % South Africa</v>
          </cell>
          <cell r="C186" t="str">
            <v>IND_SALES_SO_AFRICA</v>
          </cell>
        </row>
        <row r="187">
          <cell r="B187" t="str">
            <v>Indirect sales - % Nigeria</v>
          </cell>
          <cell r="C187" t="str">
            <v>IND_SALES_NIGERIA</v>
          </cell>
        </row>
        <row r="188">
          <cell r="B188" t="str">
            <v>Indirect sales - % Other Africa</v>
          </cell>
          <cell r="C188" t="str">
            <v>IND_SALES_OTH_AFRICA</v>
          </cell>
        </row>
        <row r="189">
          <cell r="B189" t="str">
            <v>Indirect Sales - % Other EMEA</v>
          </cell>
          <cell r="C189" t="str">
            <v>IND_SALES_OTH_EMEA</v>
          </cell>
        </row>
        <row r="190">
          <cell r="B190" t="str">
            <v>Indirect sales - % Total Africa</v>
          </cell>
          <cell r="C190" t="str">
            <v>IND_SALES_TOT_AFRICA</v>
          </cell>
        </row>
        <row r="191">
          <cell r="B191" t="str">
            <v>Indirect Sales - Total % Asia (incl Australia &amp; New Zealand)</v>
          </cell>
          <cell r="C191" t="str">
            <v>IND_SALES_TOT_ASIA</v>
          </cell>
        </row>
        <row r="192">
          <cell r="B192" t="str">
            <v>Indirect Sales - % Japan</v>
          </cell>
          <cell r="C192" t="str">
            <v>IND_SALES_JAPAN</v>
          </cell>
        </row>
        <row r="193">
          <cell r="B193" t="str">
            <v>Indirect Sales - % China</v>
          </cell>
          <cell r="C193" t="str">
            <v>IND_SALES_CHINA</v>
          </cell>
        </row>
        <row r="194">
          <cell r="B194" t="str">
            <v>Indirect Sales - % India</v>
          </cell>
          <cell r="C194" t="str">
            <v>IND_SALES_INDIA</v>
          </cell>
        </row>
        <row r="198">
          <cell r="B198" t="str">
            <v>Indirect Sales - % Other Asia</v>
          </cell>
          <cell r="C198" t="str">
            <v>IND_SALES_OTH_AEJ</v>
          </cell>
        </row>
        <row r="199">
          <cell r="B199" t="str">
            <v>Indirect Sales - % Others</v>
          </cell>
          <cell r="C199" t="str">
            <v>IND_SALES_OTHER</v>
          </cell>
        </row>
        <row r="237">
          <cell r="B237" t="str">
            <v>Sales -% Consumer (C)</v>
          </cell>
          <cell r="C237" t="str">
            <v>SALES_CONS</v>
          </cell>
        </row>
        <row r="238">
          <cell r="B238" t="str">
            <v>Sales -% Industry (I)</v>
          </cell>
          <cell r="C238" t="str">
            <v>SALES_IND</v>
          </cell>
        </row>
        <row r="239">
          <cell r="B239" t="str">
            <v>Sales -% Government (G)</v>
          </cell>
          <cell r="C239" t="str">
            <v>SALES_GOV</v>
          </cell>
        </row>
        <row r="240">
          <cell r="B240" t="str">
            <v>Sales - % Industry Sub-Segment: Financial Services</v>
          </cell>
          <cell r="C240" t="str">
            <v>SALES_FINAN</v>
          </cell>
        </row>
        <row r="259">
          <cell r="B259" t="str">
            <v>Indirect Sales -% Consumer (C)</v>
          </cell>
          <cell r="C259" t="str">
            <v>IND_SALES_CONS</v>
          </cell>
        </row>
        <row r="260">
          <cell r="B260" t="str">
            <v>Indirect Sales -% Industry (I)</v>
          </cell>
          <cell r="C260" t="str">
            <v>IND_SALES_IND</v>
          </cell>
        </row>
        <row r="261">
          <cell r="B261" t="str">
            <v>Indirect Sales -% Government (G)</v>
          </cell>
          <cell r="C261" t="str">
            <v>IND_SALES_GOV</v>
          </cell>
        </row>
        <row r="262">
          <cell r="B262" t="str">
            <v>Indirect Sales -% Industry Sub-Segment: Financial Services</v>
          </cell>
          <cell r="C262" t="str">
            <v>IND_SALES_FINAN</v>
          </cell>
        </row>
        <row r="299">
          <cell r="A299" t="str">
            <v>Commodities Exposure - Sales</v>
          </cell>
        </row>
        <row r="300">
          <cell r="B300" t="str">
            <v>Sales - % Other commodity</v>
          </cell>
          <cell r="C300" t="str">
            <v>SALES_OTH_COMMODITY</v>
          </cell>
        </row>
        <row r="301">
          <cell r="B301" t="str">
            <v>Sales - % Other (Non-Commodity) sales sources</v>
          </cell>
          <cell r="C301" t="str">
            <v>SALES_OTH_SALES_SOURCES</v>
          </cell>
        </row>
        <row r="302">
          <cell r="A302" t="str">
            <v>Commodities Exposure - Expense</v>
          </cell>
        </row>
        <row r="303">
          <cell r="B303" t="str">
            <v>Expense - % Oil/Petrol/Fuel</v>
          </cell>
          <cell r="C303" t="str">
            <v>EXP_OIL_PETRO_FUEL</v>
          </cell>
        </row>
        <row r="304">
          <cell r="B304" t="str">
            <v>Expense - % Oil derivatives/NGLs/plastics</v>
          </cell>
          <cell r="C304" t="str">
            <v>EXP_OIL_DERIV_NGLS_PLASTICS</v>
          </cell>
        </row>
        <row r="305">
          <cell r="B305" t="str">
            <v>Expense - % Nat Gas</v>
          </cell>
          <cell r="C305" t="str">
            <v>EXP_NAT_GAS</v>
          </cell>
        </row>
        <row r="306">
          <cell r="B306" t="str">
            <v>Expense - % Gold</v>
          </cell>
          <cell r="C306" t="str">
            <v>EXP_GOLD</v>
          </cell>
        </row>
        <row r="307">
          <cell r="B307" t="str">
            <v>Expense - % Copper</v>
          </cell>
          <cell r="C307" t="str">
            <v>EXP_COPPER</v>
          </cell>
        </row>
        <row r="308">
          <cell r="B308" t="str">
            <v>Expense - % Silver</v>
          </cell>
          <cell r="C308" t="str">
            <v>EXP_SILVER</v>
          </cell>
        </row>
        <row r="309">
          <cell r="B309" t="str">
            <v>Expense - % Platinum</v>
          </cell>
          <cell r="C309" t="str">
            <v>EXP_PLATINUM</v>
          </cell>
        </row>
        <row r="310">
          <cell r="B310" t="str">
            <v>Expense - % Palladium</v>
          </cell>
          <cell r="C310" t="str">
            <v>EXP_PALLADIUM</v>
          </cell>
        </row>
        <row r="311">
          <cell r="B311" t="str">
            <v>Expense - % Aluminium</v>
          </cell>
          <cell r="C311" t="str">
            <v>EXP_ALUMINIUM</v>
          </cell>
        </row>
        <row r="312">
          <cell r="B312" t="str">
            <v>Expense - % Nickel</v>
          </cell>
          <cell r="C312" t="str">
            <v>EXP_NICKEL</v>
          </cell>
        </row>
        <row r="313">
          <cell r="B313" t="str">
            <v>Expense - % Zinc</v>
          </cell>
          <cell r="C313" t="str">
            <v>EXP_ZINC</v>
          </cell>
        </row>
        <row r="314">
          <cell r="B314" t="str">
            <v>Expense - % Steel</v>
          </cell>
          <cell r="C314" t="str">
            <v>EXP_STEEL</v>
          </cell>
        </row>
        <row r="315">
          <cell r="B315" t="str">
            <v>Expense - % Glass</v>
          </cell>
          <cell r="C315" t="str">
            <v>EXP_GLASS</v>
          </cell>
        </row>
        <row r="316">
          <cell r="B316" t="str">
            <v>Expense - % Rubber</v>
          </cell>
          <cell r="C316" t="str">
            <v>EXP_RUBBER</v>
          </cell>
        </row>
        <row r="317">
          <cell r="B317" t="str">
            <v>Expense - % Water</v>
          </cell>
          <cell r="C317" t="str">
            <v>EXP_WATER</v>
          </cell>
        </row>
        <row r="318">
          <cell r="B318" t="str">
            <v>Expense - % Other commodity</v>
          </cell>
          <cell r="C318" t="str">
            <v>EXP_OTH_COMMODITY</v>
          </cell>
        </row>
        <row r="319">
          <cell r="B319" t="str">
            <v>Expense - % Other (Non-Commodity) cost</v>
          </cell>
          <cell r="C319" t="str">
            <v>EXP_OTH_COST</v>
          </cell>
        </row>
        <row r="320">
          <cell r="A320" t="str">
            <v>FX Exposure - Sales</v>
          </cell>
        </row>
        <row r="321">
          <cell r="B321" t="str">
            <v>Sales - % FX: British Pounds/Pence</v>
          </cell>
          <cell r="C321" t="str">
            <v>SALES_FX_GPB</v>
          </cell>
        </row>
        <row r="322">
          <cell r="B322" t="str">
            <v>Sales - % FX: Euro</v>
          </cell>
          <cell r="C322" t="str">
            <v>SALES_FX_EUR</v>
          </cell>
        </row>
        <row r="323">
          <cell r="B323" t="str">
            <v>Sales - % FX: New Russian Ruble</v>
          </cell>
          <cell r="C323" t="str">
            <v>SALES_FX_RUB</v>
          </cell>
        </row>
        <row r="324">
          <cell r="B324" t="str">
            <v>Sales - % FX: U.S. Dollar</v>
          </cell>
          <cell r="C324" t="str">
            <v>SALES_FX_USD</v>
          </cell>
        </row>
        <row r="325">
          <cell r="B325" t="str">
            <v>Sales - % FX: Brazilian Real</v>
          </cell>
          <cell r="C325" t="str">
            <v>SALES_FX_BRL</v>
          </cell>
        </row>
        <row r="326">
          <cell r="B326" t="str">
            <v>Sales - % FX: Japanese Yen</v>
          </cell>
          <cell r="C326" t="str">
            <v>SALES_FX_YEN</v>
          </cell>
        </row>
        <row r="327">
          <cell r="B327" t="str">
            <v>Sales - % FX: Chinese Renminbi</v>
          </cell>
          <cell r="C327" t="str">
            <v>SALES_FX_CNY</v>
          </cell>
        </row>
        <row r="328">
          <cell r="B328" t="str">
            <v>Sales - % FX: Indian Rupee</v>
          </cell>
          <cell r="C328" t="str">
            <v>SALES_FX_INR</v>
          </cell>
        </row>
        <row r="329">
          <cell r="B329" t="str">
            <v>Sales - % FX: South African Rand</v>
          </cell>
          <cell r="C329" t="str">
            <v>SALES_FX_ZAR</v>
          </cell>
        </row>
        <row r="330">
          <cell r="B330" t="str">
            <v>Sales - % FX: Nigerian Naira</v>
          </cell>
          <cell r="C330" t="str">
            <v>SALES_FX_NGN</v>
          </cell>
        </row>
        <row r="331">
          <cell r="B331" t="str">
            <v>Sales - % FX: Swiss Franc</v>
          </cell>
          <cell r="C331" t="str">
            <v>SALES_FX_CHF</v>
          </cell>
        </row>
        <row r="332">
          <cell r="B332" t="str">
            <v>Sales - % FX: UAE Dirham</v>
          </cell>
          <cell r="C332" t="str">
            <v>SALES_FX_AED</v>
          </cell>
        </row>
        <row r="333">
          <cell r="B333" t="str">
            <v>Sales - % FX: New Turkish Lira</v>
          </cell>
          <cell r="C333" t="str">
            <v>SALES_FX_TRY</v>
          </cell>
        </row>
        <row r="334">
          <cell r="B334" t="str">
            <v>Sales - % FX: Other Currency</v>
          </cell>
          <cell r="C334" t="str">
            <v>SALES_FX_OTH</v>
          </cell>
        </row>
        <row r="336">
          <cell r="A336" t="str">
            <v>Reference Data</v>
          </cell>
        </row>
        <row r="343">
          <cell r="A343" t="str">
            <v>General Information</v>
          </cell>
        </row>
        <row r="344">
          <cell r="B344" t="str">
            <v>Pan Europe Investment List</v>
          </cell>
          <cell r="C344" t="str">
            <v>EURO_LIST</v>
          </cell>
        </row>
        <row r="345">
          <cell r="B345" t="str">
            <v>Pan Europe Conviction List</v>
          </cell>
          <cell r="C345" t="str">
            <v>EURO_CONVICTION</v>
          </cell>
        </row>
        <row r="346">
          <cell r="B346" t="str">
            <v>Legal rating</v>
          </cell>
          <cell r="C346" t="str">
            <v>LEGAL_RATING</v>
          </cell>
        </row>
        <row r="347">
          <cell r="B347" t="str">
            <v>Target price</v>
          </cell>
          <cell r="C347" t="str">
            <v>TARGET_PRICE</v>
          </cell>
          <cell r="D347" t="str">
            <v>GBP</v>
          </cell>
        </row>
        <row r="348">
          <cell r="B348" t="str">
            <v>Target price period</v>
          </cell>
          <cell r="C348" t="str">
            <v>TP_PERIOD</v>
          </cell>
        </row>
        <row r="349">
          <cell r="B349" t="str">
            <v>Current shares outstanding (mn)</v>
          </cell>
          <cell r="C349" t="str">
            <v>NUM_SH</v>
          </cell>
        </row>
        <row r="350">
          <cell r="B350" t="str">
            <v>Free float</v>
          </cell>
          <cell r="C350" t="str">
            <v>FREE_FLOAT</v>
          </cell>
        </row>
        <row r="351">
          <cell r="A351" t="str">
            <v>Publishing Items</v>
          </cell>
        </row>
        <row r="352">
          <cell r="B352" t="str">
            <v>Book value per share, BVPS (Pub)</v>
          </cell>
          <cell r="C352" t="str">
            <v>BVPS_PUB</v>
          </cell>
          <cell r="D352" t="str">
            <v>GBP</v>
          </cell>
        </row>
        <row r="353">
          <cell r="B353" t="str">
            <v>DPS, dividend per share (Pub)</v>
          </cell>
          <cell r="C353" t="str">
            <v>DPS_PUB</v>
          </cell>
          <cell r="D353" t="str">
            <v>GBP</v>
          </cell>
        </row>
        <row r="354">
          <cell r="B354" t="str">
            <v>EBITDA (Pub)</v>
          </cell>
          <cell r="C354" t="str">
            <v>EBITDA_PUB</v>
          </cell>
          <cell r="D354" t="str">
            <v>GBP</v>
          </cell>
        </row>
        <row r="355">
          <cell r="B355" t="str">
            <v>EPS (Pub)</v>
          </cell>
          <cell r="C355" t="str">
            <v>EPS_PUB</v>
          </cell>
          <cell r="D355" t="str">
            <v>GBP</v>
          </cell>
        </row>
        <row r="356">
          <cell r="B356" t="str">
            <v>EV adjustment (Pub)</v>
          </cell>
          <cell r="C356" t="str">
            <v>EV_ADJ_PUB</v>
          </cell>
          <cell r="D356" t="str">
            <v>GBP</v>
          </cell>
        </row>
        <row r="357">
          <cell r="B357" t="str">
            <v>Net debt (Pub)</v>
          </cell>
          <cell r="C357" t="str">
            <v>NET_DEBT_PUB</v>
          </cell>
          <cell r="D357" t="str">
            <v>GBP</v>
          </cell>
        </row>
        <row r="358">
          <cell r="B358" t="str">
            <v>Net income (Pub)</v>
          </cell>
          <cell r="C358" t="str">
            <v>NI_PUB</v>
          </cell>
          <cell r="D358" t="str">
            <v>GBP</v>
          </cell>
        </row>
        <row r="359">
          <cell r="B359" t="str">
            <v>EBIT, operating profit (Pub)</v>
          </cell>
          <cell r="C359" t="str">
            <v>EBIT_PUB</v>
          </cell>
          <cell r="D359" t="str">
            <v>GBP</v>
          </cell>
        </row>
        <row r="360">
          <cell r="B360" t="str">
            <v>Pre-tax profit (Pub)</v>
          </cell>
          <cell r="C360" t="str">
            <v>PTP_PUB</v>
          </cell>
          <cell r="D360" t="str">
            <v>GBP</v>
          </cell>
        </row>
        <row r="361">
          <cell r="B361" t="str">
            <v>Sales, revenue (Pub)</v>
          </cell>
          <cell r="C361" t="str">
            <v>REVS_PUB</v>
          </cell>
          <cell r="D361" t="str">
            <v>GBP</v>
          </cell>
        </row>
        <row r="362">
          <cell r="B362" t="str">
            <v>Total shareholders' equity (Pub)</v>
          </cell>
          <cell r="C362" t="str">
            <v>EQ_PUB</v>
          </cell>
          <cell r="D362" t="str">
            <v>GBP</v>
          </cell>
        </row>
        <row r="363">
          <cell r="A363" t="str">
            <v>Income Statement</v>
          </cell>
        </row>
        <row r="364">
          <cell r="B364" t="str">
            <v>Provision for income tax</v>
          </cell>
          <cell r="C364" t="str">
            <v>PROV_INC_TAX</v>
          </cell>
          <cell r="D364" t="str">
            <v>GBP</v>
          </cell>
        </row>
        <row r="365">
          <cell r="B365" t="str">
            <v>Minority interest</v>
          </cell>
          <cell r="C365" t="str">
            <v>INC_MINORITY</v>
          </cell>
          <cell r="D365" t="str">
            <v>GBP</v>
          </cell>
        </row>
        <row r="366">
          <cell r="B366" t="str">
            <v>Net income (pre-preferred dividends)</v>
          </cell>
          <cell r="C366" t="str">
            <v>NI_PRE_PREF</v>
          </cell>
          <cell r="D366" t="str">
            <v>GBP</v>
          </cell>
        </row>
        <row r="367">
          <cell r="B367" t="str">
            <v>Preferred dividends</v>
          </cell>
          <cell r="C367" t="str">
            <v>PREF_DIV</v>
          </cell>
          <cell r="D367" t="str">
            <v>GBP</v>
          </cell>
        </row>
        <row r="368">
          <cell r="B368" t="str">
            <v>Net income (pre-exceptionals)</v>
          </cell>
          <cell r="C368" t="str">
            <v>NET_EARNING</v>
          </cell>
          <cell r="D368" t="str">
            <v>GBP</v>
          </cell>
        </row>
        <row r="369">
          <cell r="B369" t="str">
            <v>Post-tax exceptionals</v>
          </cell>
          <cell r="C369" t="str">
            <v>TAX_EXC</v>
          </cell>
          <cell r="D369" t="str">
            <v>GBP</v>
          </cell>
        </row>
        <row r="370">
          <cell r="B370" t="str">
            <v>Net income (post-exceptionals)</v>
          </cell>
          <cell r="C370" t="str">
            <v>NET_INC</v>
          </cell>
          <cell r="D370" t="str">
            <v>GBP</v>
          </cell>
        </row>
        <row r="371">
          <cell r="B371" t="str">
            <v>EPS (pre-exceptionals, basic)</v>
          </cell>
          <cell r="C371" t="str">
            <v>EPS</v>
          </cell>
          <cell r="D371" t="str">
            <v>GBP</v>
          </cell>
        </row>
        <row r="372">
          <cell r="B372" t="str">
            <v>EPS (pre-exceptionals, diluted)</v>
          </cell>
          <cell r="C372" t="str">
            <v>EPS_FUL_DIL</v>
          </cell>
          <cell r="D372" t="str">
            <v>GBP</v>
          </cell>
        </row>
        <row r="373">
          <cell r="B373" t="str">
            <v>EPS (post-exceptionals, basic)</v>
          </cell>
          <cell r="C373" t="str">
            <v>EPS_POST_BASIC</v>
          </cell>
          <cell r="D373" t="str">
            <v>GBP</v>
          </cell>
        </row>
        <row r="374">
          <cell r="B374" t="str">
            <v>EPS (post-exceptionals, diluted)</v>
          </cell>
          <cell r="C374" t="str">
            <v>FULLY_DIL_EPS</v>
          </cell>
          <cell r="D374" t="str">
            <v>GBP</v>
          </cell>
        </row>
        <row r="375">
          <cell r="B375" t="str">
            <v>Common dividends paid</v>
          </cell>
          <cell r="C375" t="str">
            <v>COMMON_DIV_PAID</v>
          </cell>
          <cell r="D375" t="str">
            <v>GBP</v>
          </cell>
        </row>
        <row r="376">
          <cell r="B376" t="str">
            <v>DPS, dividend per share</v>
          </cell>
          <cell r="C376" t="str">
            <v>DPS</v>
          </cell>
          <cell r="D376" t="str">
            <v>GBP</v>
          </cell>
        </row>
        <row r="377">
          <cell r="B377" t="str">
            <v>Weighted average shares outstanding, basic</v>
          </cell>
          <cell r="C377" t="str">
            <v>SH</v>
          </cell>
        </row>
        <row r="378">
          <cell r="B378" t="str">
            <v>Diluted average shares outstanding (mn)</v>
          </cell>
          <cell r="C378" t="str">
            <v>DILUTE_SHARES</v>
          </cell>
        </row>
        <row r="379">
          <cell r="B379" t="str">
            <v>Period-end shares outstanding</v>
          </cell>
          <cell r="C379" t="str">
            <v>NON_OP_ADD</v>
          </cell>
        </row>
        <row r="380">
          <cell r="A380" t="str">
            <v>Additional Income Statement Items</v>
          </cell>
        </row>
        <row r="381">
          <cell r="B381" t="str">
            <v>Organic net income (excl. acquisitions)</v>
          </cell>
          <cell r="C381" t="str">
            <v>ORG_NI</v>
          </cell>
          <cell r="D381" t="str">
            <v>GBP</v>
          </cell>
        </row>
        <row r="382">
          <cell r="B382" t="str">
            <v>Organic EPS (excl. acquisitions)</v>
          </cell>
          <cell r="C382" t="str">
            <v>ORG_EPS</v>
          </cell>
          <cell r="D382" t="str">
            <v>GBP</v>
          </cell>
        </row>
        <row r="383">
          <cell r="B383" t="str">
            <v>Marginal tax rate</v>
          </cell>
          <cell r="C383" t="str">
            <v>MARGIN_TAX_RATE</v>
          </cell>
        </row>
        <row r="384">
          <cell r="A384" t="str">
            <v>Balance Sheet</v>
          </cell>
        </row>
        <row r="385">
          <cell r="B385" t="str">
            <v>BVPS, book value per share</v>
          </cell>
          <cell r="C385" t="str">
            <v>BVPS</v>
          </cell>
          <cell r="D385" t="str">
            <v>GBP</v>
          </cell>
        </row>
        <row r="386">
          <cell r="A386" t="str">
            <v>Cash Flow Statement</v>
          </cell>
        </row>
        <row r="387">
          <cell r="B387" t="str">
            <v>Net income (pre-preferred dividends)</v>
          </cell>
          <cell r="C387" t="str">
            <v>CF_NI_PRE_PREF</v>
          </cell>
          <cell r="D387" t="str">
            <v>GBP</v>
          </cell>
        </row>
        <row r="388">
          <cell r="A388" t="str">
            <v>Other Items</v>
          </cell>
        </row>
        <row r="389">
          <cell r="B389" t="str">
            <v>Beta</v>
          </cell>
          <cell r="C389" t="str">
            <v>BETA_ANALYST</v>
          </cell>
        </row>
        <row r="390">
          <cell r="B390" t="str">
            <v>Market equity risk premium</v>
          </cell>
          <cell r="C390" t="str">
            <v>MKT_EQ_RISK_PREM</v>
          </cell>
        </row>
        <row r="391">
          <cell r="B391" t="str">
            <v>Risk-free rate</v>
          </cell>
          <cell r="C391" t="str">
            <v>RISK_FR_RATE</v>
          </cell>
        </row>
      </sheetData>
      <sheetData sheetId="3">
        <row r="1">
          <cell r="A1" t="str">
            <v>Issuer: Meggitt</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t="str">
            <v>2006 H1</v>
          </cell>
          <cell r="W1" t="str">
            <v>2006 H2</v>
          </cell>
          <cell r="X1">
            <v>2006</v>
          </cell>
          <cell r="Y1" t="str">
            <v>2007 H1</v>
          </cell>
          <cell r="Z1" t="str">
            <v>2007 H2</v>
          </cell>
          <cell r="AA1">
            <v>2007</v>
          </cell>
          <cell r="AB1" t="str">
            <v>2008 H1</v>
          </cell>
          <cell r="AC1" t="str">
            <v>2008 H2</v>
          </cell>
          <cell r="AD1">
            <v>2008</v>
          </cell>
          <cell r="AE1" t="str">
            <v>2009 H1</v>
          </cell>
          <cell r="AF1" t="str">
            <v>2009 H2</v>
          </cell>
          <cell r="AG1">
            <v>2009</v>
          </cell>
          <cell r="AH1" t="str">
            <v>2010 H1</v>
          </cell>
          <cell r="AI1" t="str">
            <v>2010 H2</v>
          </cell>
          <cell r="AJ1">
            <v>2010</v>
          </cell>
          <cell r="AK1" t="str">
            <v>2011 H1</v>
          </cell>
          <cell r="AL1" t="str">
            <v>2011 H2</v>
          </cell>
          <cell r="AM1">
            <v>2011</v>
          </cell>
          <cell r="AN1">
            <v>2012</v>
          </cell>
          <cell r="AO1">
            <v>2013</v>
          </cell>
          <cell r="AP1">
            <v>2014</v>
          </cell>
          <cell r="AQ1">
            <v>2015</v>
          </cell>
          <cell r="AR1">
            <v>2016</v>
          </cell>
        </row>
        <row r="2">
          <cell r="A2">
            <v>0</v>
          </cell>
          <cell r="B2">
            <v>0</v>
          </cell>
          <cell r="C2">
            <v>0</v>
          </cell>
          <cell r="D2">
            <v>0</v>
          </cell>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Estimate</v>
          </cell>
          <cell r="AP2" t="str">
            <v>Estimate</v>
          </cell>
          <cell r="AQ2" t="str">
            <v>Estimate</v>
          </cell>
          <cell r="AR2" t="str">
            <v>Estimate</v>
          </cell>
          <cell r="AS2" t="str">
            <v>Estimate</v>
          </cell>
          <cell r="AT2" t="str">
            <v>Estimate</v>
          </cell>
          <cell r="AU2" t="str">
            <v>Estimate</v>
          </cell>
          <cell r="AV2" t="str">
            <v>Estimate</v>
          </cell>
        </row>
        <row r="3">
          <cell r="A3">
            <v>0</v>
          </cell>
          <cell r="B3">
            <v>0</v>
          </cell>
          <cell r="C3">
            <v>0</v>
          </cell>
          <cell r="D3">
            <v>0</v>
          </cell>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38717</v>
          </cell>
          <cell r="V3">
            <v>38898</v>
          </cell>
          <cell r="W3">
            <v>39082</v>
          </cell>
          <cell r="X3">
            <v>39082</v>
          </cell>
          <cell r="Y3">
            <v>39263</v>
          </cell>
          <cell r="Z3">
            <v>39447</v>
          </cell>
          <cell r="AA3">
            <v>39447</v>
          </cell>
          <cell r="AB3">
            <v>39629</v>
          </cell>
          <cell r="AC3">
            <v>39813</v>
          </cell>
          <cell r="AD3">
            <v>39813</v>
          </cell>
          <cell r="AE3">
            <v>39994</v>
          </cell>
          <cell r="AF3">
            <v>40178</v>
          </cell>
          <cell r="AG3">
            <v>40178</v>
          </cell>
          <cell r="AH3">
            <v>40359</v>
          </cell>
          <cell r="AI3">
            <v>40543</v>
          </cell>
          <cell r="AJ3">
            <v>40543</v>
          </cell>
          <cell r="AK3">
            <v>40724</v>
          </cell>
          <cell r="AL3">
            <v>40908</v>
          </cell>
          <cell r="AM3">
            <v>40908</v>
          </cell>
          <cell r="AN3">
            <v>41274</v>
          </cell>
          <cell r="AO3">
            <v>41639</v>
          </cell>
          <cell r="AP3">
            <v>42004</v>
          </cell>
          <cell r="AQ3">
            <v>42369</v>
          </cell>
          <cell r="AR3">
            <v>42735</v>
          </cell>
          <cell r="AS3">
            <v>43100</v>
          </cell>
          <cell r="AT3">
            <v>43465</v>
          </cell>
          <cell r="AU3">
            <v>43830</v>
          </cell>
          <cell r="AV3">
            <v>44196</v>
          </cell>
        </row>
        <row r="4">
          <cell r="A4" t="str">
            <v>Issuer: Meggitt</v>
          </cell>
          <cell r="B4">
            <v>0</v>
          </cell>
          <cell r="C4">
            <v>0</v>
          </cell>
          <cell r="D4">
            <v>0</v>
          </cell>
        </row>
        <row r="5">
          <cell r="A5" t="str">
            <v>Reference Data</v>
          </cell>
          <cell r="B5">
            <v>0</v>
          </cell>
          <cell r="C5">
            <v>0</v>
          </cell>
          <cell r="D5">
            <v>0</v>
          </cell>
        </row>
        <row r="6">
          <cell r="B6" t="str">
            <v>Issuer Name</v>
          </cell>
          <cell r="C6" t="str">
            <v>Issuer Name</v>
          </cell>
          <cell r="E6" t="str">
            <v>Meggitt</v>
          </cell>
        </row>
        <row r="7">
          <cell r="B7" t="str">
            <v>Reporting Currency</v>
          </cell>
          <cell r="C7" t="str">
            <v>CURRENCY_ISO</v>
          </cell>
          <cell r="E7" t="str">
            <v>GBP</v>
          </cell>
        </row>
        <row r="8">
          <cell r="A8" t="str">
            <v>Income Statement</v>
          </cell>
          <cell r="B8">
            <v>0</v>
          </cell>
          <cell r="C8">
            <v>0</v>
          </cell>
          <cell r="D8">
            <v>0</v>
          </cell>
        </row>
        <row r="9">
          <cell r="B9" t="str">
            <v>Sales, net revenue</v>
          </cell>
          <cell r="C9" t="str">
            <v>SALES</v>
          </cell>
          <cell r="D9" t="str">
            <v>GBP</v>
          </cell>
          <cell r="F9">
            <v>304.94299999999998</v>
          </cell>
          <cell r="G9">
            <v>301.91899999999998</v>
          </cell>
          <cell r="H9">
            <v>327.60500000000002</v>
          </cell>
          <cell r="I9">
            <v>359.73500000000001</v>
          </cell>
          <cell r="J9">
            <v>345.48099999999999</v>
          </cell>
          <cell r="K9">
            <v>358.15199999999999</v>
          </cell>
          <cell r="L9">
            <v>256.29899999999998</v>
          </cell>
          <cell r="M9">
            <v>265.12599999999998</v>
          </cell>
          <cell r="N9">
            <v>293.90100000000001</v>
          </cell>
          <cell r="O9">
            <v>346.45499999999998</v>
          </cell>
          <cell r="P9">
            <v>386.02300000000002</v>
          </cell>
          <cell r="Q9">
            <v>435.084</v>
          </cell>
          <cell r="R9">
            <v>403.84</v>
          </cell>
          <cell r="S9">
            <v>402.44099999999997</v>
          </cell>
          <cell r="T9">
            <v>479.18299999999999</v>
          </cell>
          <cell r="U9">
            <v>616.29999999999995</v>
          </cell>
          <cell r="V9">
            <v>0</v>
          </cell>
          <cell r="W9">
            <v>0</v>
          </cell>
          <cell r="X9">
            <v>670.3</v>
          </cell>
          <cell r="Y9">
            <v>0</v>
          </cell>
          <cell r="Z9">
            <v>0</v>
          </cell>
          <cell r="AA9">
            <v>878.2</v>
          </cell>
          <cell r="AB9">
            <v>0</v>
          </cell>
          <cell r="AC9">
            <v>0</v>
          </cell>
          <cell r="AD9">
            <v>1162.5999999999999</v>
          </cell>
          <cell r="AE9">
            <v>0</v>
          </cell>
          <cell r="AF9">
            <v>0</v>
          </cell>
          <cell r="AG9">
            <v>1150.5</v>
          </cell>
          <cell r="AH9">
            <v>0</v>
          </cell>
          <cell r="AI9">
            <v>0</v>
          </cell>
          <cell r="AJ9">
            <v>1162</v>
          </cell>
          <cell r="AK9">
            <v>0</v>
          </cell>
          <cell r="AL9">
            <v>0</v>
          </cell>
          <cell r="AM9">
            <v>1455.3</v>
          </cell>
          <cell r="AN9">
            <v>1605.8</v>
          </cell>
          <cell r="AO9">
            <v>1702.3833241621592</v>
          </cell>
          <cell r="AP9">
            <v>1752.3591093700306</v>
          </cell>
          <cell r="AQ9">
            <v>1919.1679682628292</v>
          </cell>
          <cell r="AR9">
            <v>2095.6480291551729</v>
          </cell>
          <cell r="AS9">
            <v>2274.3369284958585</v>
          </cell>
          <cell r="AT9">
            <v>2468.2827300211393</v>
          </cell>
          <cell r="AU9">
            <v>2682.3346642335919</v>
          </cell>
          <cell r="AV9">
            <v>2915.405393302337</v>
          </cell>
        </row>
        <row r="10">
          <cell r="B10" t="str">
            <v>Cost of goods sold, COGS</v>
          </cell>
          <cell r="C10" t="str">
            <v>COST_GD_SD</v>
          </cell>
          <cell r="D10" t="str">
            <v>GBP</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row>
        <row r="11">
          <cell r="B11" t="str">
            <v>SG&amp;A, selling, general and admin. expense</v>
          </cell>
          <cell r="C11" t="str">
            <v>SEL_GL_AD</v>
          </cell>
          <cell r="D11" t="str">
            <v>GBP</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row>
        <row r="12">
          <cell r="B12" t="str">
            <v>Total operating expense</v>
          </cell>
          <cell r="C12" t="str">
            <v>OP_COST</v>
          </cell>
          <cell r="D12" t="str">
            <v>GBP</v>
          </cell>
          <cell r="F12">
            <v>-276.01099999999997</v>
          </cell>
          <cell r="G12">
            <v>-270.26300000000003</v>
          </cell>
          <cell r="H12">
            <v>-284.24899999999997</v>
          </cell>
          <cell r="I12">
            <v>-312.81</v>
          </cell>
          <cell r="J12">
            <v>-308.18700000000001</v>
          </cell>
          <cell r="K12">
            <v>-318.74</v>
          </cell>
          <cell r="L12">
            <v>-212.18800000000002</v>
          </cell>
          <cell r="M12">
            <v>-212.84</v>
          </cell>
          <cell r="N12">
            <v>-230.13200000000001</v>
          </cell>
          <cell r="O12">
            <v>-258.178</v>
          </cell>
          <cell r="P12">
            <v>-272.55899999999997</v>
          </cell>
          <cell r="Q12">
            <v>-314.20400000000001</v>
          </cell>
          <cell r="R12">
            <v>-291.08199999999999</v>
          </cell>
          <cell r="S12">
            <v>-288.59999999999997</v>
          </cell>
          <cell r="T12">
            <v>-341.88400000000001</v>
          </cell>
          <cell r="U12">
            <v>-432.79999999999995</v>
          </cell>
          <cell r="V12">
            <v>0</v>
          </cell>
          <cell r="W12">
            <v>0</v>
          </cell>
          <cell r="X12">
            <v>-464.09999999999997</v>
          </cell>
          <cell r="Y12">
            <v>0</v>
          </cell>
          <cell r="Z12">
            <v>0</v>
          </cell>
          <cell r="AA12">
            <v>-633.20000000000005</v>
          </cell>
          <cell r="AB12">
            <v>0</v>
          </cell>
          <cell r="AC12">
            <v>0</v>
          </cell>
          <cell r="AD12">
            <v>-845.69999999999993</v>
          </cell>
          <cell r="AE12">
            <v>0</v>
          </cell>
          <cell r="AF12">
            <v>0</v>
          </cell>
          <cell r="AG12">
            <v>-760.40000000000009</v>
          </cell>
          <cell r="AH12">
            <v>0</v>
          </cell>
          <cell r="AI12">
            <v>0</v>
          </cell>
          <cell r="AJ12">
            <v>-782.5</v>
          </cell>
          <cell r="AK12">
            <v>0</v>
          </cell>
          <cell r="AL12">
            <v>0</v>
          </cell>
          <cell r="AM12">
            <v>-1007</v>
          </cell>
          <cell r="AN12">
            <v>-1082.5999999999999</v>
          </cell>
          <cell r="AO12">
            <v>-1153.6796341670156</v>
          </cell>
          <cell r="AP12">
            <v>-1175.5437068439223</v>
          </cell>
          <cell r="AQ12">
            <v>-1299.4428130205413</v>
          </cell>
          <cell r="AR12">
            <v>-1430.0687976996103</v>
          </cell>
          <cell r="AS12">
            <v>-1563.6872636279993</v>
          </cell>
          <cell r="AT12">
            <v>-1708.675798934391</v>
          </cell>
          <cell r="AU12">
            <v>-1868.4132844412125</v>
          </cell>
          <cell r="AV12">
            <v>-2042.1696199176406</v>
          </cell>
        </row>
        <row r="13">
          <cell r="B13" t="str">
            <v>R&amp;D expense</v>
          </cell>
          <cell r="C13" t="str">
            <v>RD_EXP</v>
          </cell>
          <cell r="D13" t="str">
            <v>GBP</v>
          </cell>
          <cell r="F13">
            <v>0</v>
          </cell>
          <cell r="G13">
            <v>0</v>
          </cell>
          <cell r="H13">
            <v>-8.3439999999999994</v>
          </cell>
          <cell r="I13">
            <v>-11.034000000000001</v>
          </cell>
          <cell r="J13">
            <v>-10.144</v>
          </cell>
          <cell r="K13">
            <v>-10.144</v>
          </cell>
          <cell r="L13">
            <v>-11.429</v>
          </cell>
          <cell r="M13">
            <v>-12.673</v>
          </cell>
          <cell r="N13">
            <v>-17.634</v>
          </cell>
          <cell r="O13">
            <v>-22.518999999999998</v>
          </cell>
          <cell r="P13">
            <v>-22.95</v>
          </cell>
          <cell r="Q13">
            <v>-25.626999999999999</v>
          </cell>
          <cell r="R13">
            <v>-22.989000000000001</v>
          </cell>
          <cell r="S13">
            <v>-19.988</v>
          </cell>
          <cell r="T13">
            <v>-23.693999999999999</v>
          </cell>
          <cell r="U13">
            <v>-23.8</v>
          </cell>
          <cell r="V13">
            <v>0</v>
          </cell>
          <cell r="W13">
            <v>0</v>
          </cell>
          <cell r="X13">
            <v>-26</v>
          </cell>
          <cell r="Y13">
            <v>0</v>
          </cell>
          <cell r="Z13">
            <v>0</v>
          </cell>
          <cell r="AA13">
            <v>-30.5</v>
          </cell>
          <cell r="AB13">
            <v>0</v>
          </cell>
          <cell r="AC13">
            <v>0</v>
          </cell>
          <cell r="AD13">
            <v>-35.700000000000003</v>
          </cell>
          <cell r="AE13">
            <v>0</v>
          </cell>
          <cell r="AF13">
            <v>0</v>
          </cell>
          <cell r="AG13">
            <v>-30.9</v>
          </cell>
          <cell r="AH13">
            <v>0</v>
          </cell>
          <cell r="AI13">
            <v>0</v>
          </cell>
          <cell r="AJ13">
            <v>-34</v>
          </cell>
          <cell r="AK13">
            <v>0</v>
          </cell>
          <cell r="AL13">
            <v>0</v>
          </cell>
          <cell r="AM13">
            <v>-41.7</v>
          </cell>
          <cell r="AN13">
            <v>-44.9</v>
          </cell>
          <cell r="AO13">
            <v>-47.600579932046919</v>
          </cell>
          <cell r="AP13">
            <v>-48.997959902051548</v>
          </cell>
          <cell r="AQ13">
            <v>-53.662125902977351</v>
          </cell>
          <cell r="AR13">
            <v>-58.596709745340185</v>
          </cell>
          <cell r="AS13">
            <v>-63.593055230703726</v>
          </cell>
          <cell r="AT13">
            <v>-69.016001107204602</v>
          </cell>
          <cell r="AU13">
            <v>-75.001137392009142</v>
          </cell>
          <cell r="AV13">
            <v>-81.518060878860965</v>
          </cell>
        </row>
        <row r="14">
          <cell r="B14" t="str">
            <v>Other operating income/(expense) (incl. leases)</v>
          </cell>
          <cell r="C14" t="str">
            <v>OTH_OP_INC_EXP</v>
          </cell>
          <cell r="D14" t="str">
            <v>GBP</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row>
        <row r="15">
          <cell r="B15" t="str">
            <v>Total operating expense (incl. D&amp;A)</v>
          </cell>
          <cell r="C15" t="str">
            <v>TOT_OPS_EXP_DDA</v>
          </cell>
          <cell r="D15" t="str">
            <v>GBP</v>
          </cell>
          <cell r="F15">
            <v>-276.01099999999997</v>
          </cell>
          <cell r="G15">
            <v>-278.55500000000001</v>
          </cell>
          <cell r="H15">
            <v>-302.31999999999994</v>
          </cell>
          <cell r="I15">
            <v>-333.06599999999997</v>
          </cell>
          <cell r="J15">
            <v>-327.33600000000001</v>
          </cell>
          <cell r="K15">
            <v>-337.34000000000003</v>
          </cell>
          <cell r="L15">
            <v>-230.70000000000002</v>
          </cell>
          <cell r="M15">
            <v>-232.55600000000001</v>
          </cell>
          <cell r="N15">
            <v>-256.07400000000001</v>
          </cell>
          <cell r="O15">
            <v>-290.43599999999998</v>
          </cell>
          <cell r="P15">
            <v>-305.42899999999997</v>
          </cell>
          <cell r="Q15">
            <v>-350.601</v>
          </cell>
          <cell r="R15">
            <v>-325.428</v>
          </cell>
          <cell r="S15">
            <v>-318.74999999999994</v>
          </cell>
          <cell r="T15">
            <v>-378.56300000000005</v>
          </cell>
          <cell r="U15">
            <v>-485.69999999999993</v>
          </cell>
          <cell r="V15">
            <v>0</v>
          </cell>
          <cell r="W15">
            <v>0</v>
          </cell>
          <cell r="X15">
            <v>-527.09999999999991</v>
          </cell>
          <cell r="Y15">
            <v>0</v>
          </cell>
          <cell r="Z15">
            <v>0</v>
          </cell>
          <cell r="AA15">
            <v>-735.5</v>
          </cell>
          <cell r="AB15">
            <v>0</v>
          </cell>
          <cell r="AC15">
            <v>0</v>
          </cell>
          <cell r="AD15">
            <v>-990.2</v>
          </cell>
          <cell r="AE15">
            <v>0</v>
          </cell>
          <cell r="AF15">
            <v>0</v>
          </cell>
          <cell r="AG15">
            <v>-917.7</v>
          </cell>
          <cell r="AH15">
            <v>0</v>
          </cell>
          <cell r="AI15">
            <v>0</v>
          </cell>
          <cell r="AJ15">
            <v>-941.9</v>
          </cell>
          <cell r="AK15">
            <v>0</v>
          </cell>
          <cell r="AL15">
            <v>0</v>
          </cell>
          <cell r="AM15">
            <v>-1192.8000000000002</v>
          </cell>
          <cell r="AN15">
            <v>-1282.2</v>
          </cell>
          <cell r="AO15">
            <v>-1365.2848848226186</v>
          </cell>
          <cell r="AP15">
            <v>-1393.3609183461381</v>
          </cell>
          <cell r="AQ15">
            <v>-1537.9942680368949</v>
          </cell>
          <cell r="AR15">
            <v>-1690.5566209773365</v>
          </cell>
          <cell r="AS15">
            <v>-1846.3860124932212</v>
          </cell>
          <cell r="AT15">
            <v>-2015.4818973975989</v>
          </cell>
          <cell r="AU15">
            <v>-2201.8259130257343</v>
          </cell>
          <cell r="AV15">
            <v>-2404.5528036909286</v>
          </cell>
        </row>
        <row r="16">
          <cell r="B16" t="str">
            <v>Total operating expense (excl. D&amp;A)</v>
          </cell>
          <cell r="C16" t="str">
            <v>TOT_OPS_EXP</v>
          </cell>
          <cell r="D16" t="str">
            <v>GBP</v>
          </cell>
          <cell r="F16">
            <v>-276.01099999999997</v>
          </cell>
          <cell r="G16">
            <v>-270.26300000000003</v>
          </cell>
          <cell r="H16">
            <v>-292.59299999999996</v>
          </cell>
          <cell r="I16">
            <v>-323.84399999999999</v>
          </cell>
          <cell r="J16">
            <v>-318.33100000000002</v>
          </cell>
          <cell r="K16">
            <v>-328.88400000000001</v>
          </cell>
          <cell r="L16">
            <v>-223.61700000000002</v>
          </cell>
          <cell r="M16">
            <v>-225.51300000000001</v>
          </cell>
          <cell r="N16">
            <v>-247.76600000000002</v>
          </cell>
          <cell r="O16">
            <v>-280.697</v>
          </cell>
          <cell r="P16">
            <v>-295.50899999999996</v>
          </cell>
          <cell r="Q16">
            <v>-339.83100000000002</v>
          </cell>
          <cell r="R16">
            <v>-314.07099999999997</v>
          </cell>
          <cell r="S16">
            <v>-308.58799999999997</v>
          </cell>
          <cell r="T16">
            <v>-365.57800000000003</v>
          </cell>
          <cell r="U16">
            <v>-456.59999999999997</v>
          </cell>
          <cell r="V16">
            <v>0</v>
          </cell>
          <cell r="W16">
            <v>0</v>
          </cell>
          <cell r="X16">
            <v>-490.09999999999997</v>
          </cell>
          <cell r="Y16">
            <v>0</v>
          </cell>
          <cell r="Z16">
            <v>0</v>
          </cell>
          <cell r="AA16">
            <v>-663.7</v>
          </cell>
          <cell r="AB16">
            <v>0</v>
          </cell>
          <cell r="AC16">
            <v>0</v>
          </cell>
          <cell r="AD16">
            <v>-881.4</v>
          </cell>
          <cell r="AE16">
            <v>0</v>
          </cell>
          <cell r="AF16">
            <v>0</v>
          </cell>
          <cell r="AG16">
            <v>-791.30000000000007</v>
          </cell>
          <cell r="AH16">
            <v>0</v>
          </cell>
          <cell r="AI16">
            <v>0</v>
          </cell>
          <cell r="AJ16">
            <v>-816.5</v>
          </cell>
          <cell r="AK16">
            <v>0</v>
          </cell>
          <cell r="AL16">
            <v>0</v>
          </cell>
          <cell r="AM16">
            <v>-1048.7</v>
          </cell>
          <cell r="AN16">
            <v>-1127.5</v>
          </cell>
          <cell r="AO16">
            <v>-1201.2802140990625</v>
          </cell>
          <cell r="AP16">
            <v>-1224.541666745974</v>
          </cell>
          <cell r="AQ16">
            <v>-1353.1049389235186</v>
          </cell>
          <cell r="AR16">
            <v>-1488.6655074449504</v>
          </cell>
          <cell r="AS16">
            <v>-1627.2803188587031</v>
          </cell>
          <cell r="AT16">
            <v>-1777.6918000415956</v>
          </cell>
          <cell r="AU16">
            <v>-1943.4144218332217</v>
          </cell>
          <cell r="AV16">
            <v>-2123.6876807965014</v>
          </cell>
        </row>
        <row r="17">
          <cell r="B17" t="str">
            <v>EBITDA</v>
          </cell>
          <cell r="C17" t="str">
            <v>EBITDA_CALC</v>
          </cell>
          <cell r="D17" t="str">
            <v>GBP</v>
          </cell>
          <cell r="F17">
            <v>28.931999999999992</v>
          </cell>
          <cell r="G17">
            <v>31.655999999999977</v>
          </cell>
          <cell r="H17">
            <v>35.012000000000029</v>
          </cell>
          <cell r="I17">
            <v>35.891000000000012</v>
          </cell>
          <cell r="J17">
            <v>27.15</v>
          </cell>
          <cell r="K17">
            <v>29.267999999999997</v>
          </cell>
          <cell r="L17">
            <v>32.68199999999996</v>
          </cell>
          <cell r="M17">
            <v>39.612999999999964</v>
          </cell>
          <cell r="N17">
            <v>46.135000000000019</v>
          </cell>
          <cell r="O17">
            <v>65.757999999999996</v>
          </cell>
          <cell r="P17">
            <v>90.514000000000024</v>
          </cell>
          <cell r="Q17">
            <v>95.253</v>
          </cell>
          <cell r="R17">
            <v>89.768999999999977</v>
          </cell>
          <cell r="S17">
            <v>93.852999999999994</v>
          </cell>
          <cell r="T17">
            <v>113.60499999999999</v>
          </cell>
          <cell r="U17">
            <v>159.69999999999996</v>
          </cell>
          <cell r="V17">
            <v>0</v>
          </cell>
          <cell r="W17">
            <v>0</v>
          </cell>
          <cell r="X17">
            <v>180.2</v>
          </cell>
          <cell r="Y17">
            <v>0</v>
          </cell>
          <cell r="Z17">
            <v>0</v>
          </cell>
          <cell r="AA17">
            <v>214.50000000000003</v>
          </cell>
          <cell r="AB17">
            <v>0</v>
          </cell>
          <cell r="AC17">
            <v>0</v>
          </cell>
          <cell r="AD17">
            <v>281.2</v>
          </cell>
          <cell r="AE17">
            <v>0</v>
          </cell>
          <cell r="AF17">
            <v>0</v>
          </cell>
          <cell r="AG17">
            <v>359.2</v>
          </cell>
          <cell r="AH17">
            <v>0</v>
          </cell>
          <cell r="AI17">
            <v>0</v>
          </cell>
          <cell r="AJ17">
            <v>345.5</v>
          </cell>
          <cell r="AK17">
            <v>0</v>
          </cell>
          <cell r="AL17">
            <v>0</v>
          </cell>
          <cell r="AM17">
            <v>406.6</v>
          </cell>
          <cell r="AN17">
            <v>478.29999999999995</v>
          </cell>
          <cell r="AO17">
            <v>501.10311006309666</v>
          </cell>
          <cell r="AP17">
            <v>527.81744262405687</v>
          </cell>
          <cell r="AQ17">
            <v>566.06302933931056</v>
          </cell>
          <cell r="AR17">
            <v>606.9825217102225</v>
          </cell>
          <cell r="AS17">
            <v>647.05660963715547</v>
          </cell>
          <cell r="AT17">
            <v>690.59092997954372</v>
          </cell>
          <cell r="AU17">
            <v>738.9202424003704</v>
          </cell>
          <cell r="AV17">
            <v>791.71771250583538</v>
          </cell>
        </row>
        <row r="18">
          <cell r="B18" t="str">
            <v>Depreciation</v>
          </cell>
          <cell r="C18" t="str">
            <v>DEPREC</v>
          </cell>
          <cell r="D18" t="str">
            <v>GBP</v>
          </cell>
          <cell r="F18">
            <v>0</v>
          </cell>
          <cell r="G18">
            <v>-8.2919999999999998</v>
          </cell>
          <cell r="H18">
            <v>-9.7270000000000003</v>
          </cell>
          <cell r="I18">
            <v>-9.2219999999999995</v>
          </cell>
          <cell r="J18">
            <v>-9.0050000000000008</v>
          </cell>
          <cell r="K18">
            <v>-8.4559999999999995</v>
          </cell>
          <cell r="L18">
            <v>-7.0830000000000002</v>
          </cell>
          <cell r="M18">
            <v>-7.0430000000000001</v>
          </cell>
          <cell r="N18">
            <v>-8.3079999999999998</v>
          </cell>
          <cell r="O18">
            <v>-9.7390000000000008</v>
          </cell>
          <cell r="P18">
            <v>-9.92</v>
          </cell>
          <cell r="Q18">
            <v>-10.77</v>
          </cell>
          <cell r="R18">
            <v>-11.356999999999999</v>
          </cell>
          <cell r="S18">
            <v>-10.162000000000001</v>
          </cell>
          <cell r="T18">
            <v>-12.984999999999999</v>
          </cell>
          <cell r="U18">
            <v>-15.5</v>
          </cell>
          <cell r="V18">
            <v>0</v>
          </cell>
          <cell r="W18">
            <v>0</v>
          </cell>
          <cell r="X18">
            <v>-14.7</v>
          </cell>
          <cell r="Y18">
            <v>0</v>
          </cell>
          <cell r="Z18">
            <v>0</v>
          </cell>
          <cell r="AA18">
            <v>-18.8</v>
          </cell>
          <cell r="AB18">
            <v>0</v>
          </cell>
          <cell r="AC18">
            <v>0</v>
          </cell>
          <cell r="AD18">
            <v>-26.6</v>
          </cell>
          <cell r="AE18">
            <v>0</v>
          </cell>
          <cell r="AF18">
            <v>0</v>
          </cell>
          <cell r="AG18">
            <v>-29.5</v>
          </cell>
          <cell r="AH18">
            <v>0</v>
          </cell>
          <cell r="AI18">
            <v>0</v>
          </cell>
          <cell r="AJ18">
            <v>-28.8</v>
          </cell>
          <cell r="AK18">
            <v>0</v>
          </cell>
          <cell r="AL18">
            <v>0</v>
          </cell>
          <cell r="AM18">
            <v>-32.200000000000003</v>
          </cell>
          <cell r="AN18">
            <v>-31.9</v>
          </cell>
          <cell r="AO18">
            <v>-33.818674829227099</v>
          </cell>
          <cell r="AP18">
            <v>-34.811468170945311</v>
          </cell>
          <cell r="AQ18">
            <v>-38.125207490088584</v>
          </cell>
          <cell r="AR18">
            <v>-41.631069952702717</v>
          </cell>
          <cell r="AS18">
            <v>-45.180812068139176</v>
          </cell>
          <cell r="AT18">
            <v>-49.033639984851384</v>
          </cell>
          <cell r="AU18">
            <v>-53.285886031293799</v>
          </cell>
          <cell r="AV18">
            <v>-57.915949711262023</v>
          </cell>
        </row>
        <row r="19">
          <cell r="B19" t="str">
            <v>Amortization</v>
          </cell>
          <cell r="C19" t="str">
            <v>GOODWILL_AMORT</v>
          </cell>
          <cell r="D19" t="str">
            <v>GBP</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-13.599999999999994</v>
          </cell>
          <cell r="V19">
            <v>0</v>
          </cell>
          <cell r="W19">
            <v>0</v>
          </cell>
          <cell r="X19">
            <v>-22.3</v>
          </cell>
          <cell r="Y19">
            <v>0</v>
          </cell>
          <cell r="Z19">
            <v>0</v>
          </cell>
          <cell r="AA19">
            <v>-53.000000000000043</v>
          </cell>
          <cell r="AB19">
            <v>0</v>
          </cell>
          <cell r="AC19">
            <v>0</v>
          </cell>
          <cell r="AD19">
            <v>-82.199999999999989</v>
          </cell>
          <cell r="AE19">
            <v>0</v>
          </cell>
          <cell r="AF19">
            <v>0</v>
          </cell>
          <cell r="AG19">
            <v>-96.899999999999977</v>
          </cell>
          <cell r="AH19">
            <v>0</v>
          </cell>
          <cell r="AI19">
            <v>0</v>
          </cell>
          <cell r="AJ19">
            <v>-96.600000000000009</v>
          </cell>
          <cell r="AK19">
            <v>0</v>
          </cell>
          <cell r="AL19">
            <v>0</v>
          </cell>
          <cell r="AM19">
            <v>-111.90000000000002</v>
          </cell>
          <cell r="AN19">
            <v>-122.79999999999993</v>
          </cell>
          <cell r="AO19">
            <v>-130.18599589432884</v>
          </cell>
          <cell r="AP19">
            <v>-134.00778342921882</v>
          </cell>
          <cell r="AQ19">
            <v>-146.76412162328768</v>
          </cell>
          <cell r="AR19">
            <v>-160.26004357968321</v>
          </cell>
          <cell r="AS19">
            <v>-173.92488156637899</v>
          </cell>
          <cell r="AT19">
            <v>-188.75645737115201</v>
          </cell>
          <cell r="AU19">
            <v>-205.12560516121869</v>
          </cell>
          <cell r="AV19">
            <v>-222.94917318316536</v>
          </cell>
          <cell r="AW19" t="str">
            <v>CH: Not all the amortisation as the company deined udnerlying EBIT excludes PPA</v>
          </cell>
        </row>
        <row r="20">
          <cell r="B20" t="str">
            <v>EBIT, operating profit</v>
          </cell>
          <cell r="C20" t="str">
            <v>EBIT</v>
          </cell>
          <cell r="D20" t="str">
            <v>GBP</v>
          </cell>
          <cell r="F20">
            <v>28.931999999999992</v>
          </cell>
          <cell r="G20">
            <v>23.363999999999976</v>
          </cell>
          <cell r="H20">
            <v>25.285000000000025</v>
          </cell>
          <cell r="I20">
            <v>26.669000000000011</v>
          </cell>
          <cell r="J20">
            <v>18.144999999999996</v>
          </cell>
          <cell r="K20">
            <v>20.811999999999998</v>
          </cell>
          <cell r="L20">
            <v>25.598999999999961</v>
          </cell>
          <cell r="M20">
            <v>32.569999999999965</v>
          </cell>
          <cell r="N20">
            <v>37.827000000000019</v>
          </cell>
          <cell r="O20">
            <v>56.018999999999991</v>
          </cell>
          <cell r="P20">
            <v>80.594000000000023</v>
          </cell>
          <cell r="Q20">
            <v>84.483000000000004</v>
          </cell>
          <cell r="R20">
            <v>78.411999999999978</v>
          </cell>
          <cell r="S20">
            <v>83.690999999999988</v>
          </cell>
          <cell r="T20">
            <v>100.61999999999999</v>
          </cell>
          <cell r="U20">
            <v>130.59999999999997</v>
          </cell>
          <cell r="V20">
            <v>0</v>
          </cell>
          <cell r="W20">
            <v>0</v>
          </cell>
          <cell r="X20">
            <v>143.19999999999999</v>
          </cell>
          <cell r="Y20">
            <v>0</v>
          </cell>
          <cell r="Z20">
            <v>0</v>
          </cell>
          <cell r="AA20">
            <v>142.69999999999999</v>
          </cell>
          <cell r="AB20">
            <v>0</v>
          </cell>
          <cell r="AC20">
            <v>0</v>
          </cell>
          <cell r="AD20">
            <v>172.4</v>
          </cell>
          <cell r="AE20">
            <v>0</v>
          </cell>
          <cell r="AF20">
            <v>0</v>
          </cell>
          <cell r="AG20">
            <v>232.8</v>
          </cell>
          <cell r="AH20">
            <v>0</v>
          </cell>
          <cell r="AI20">
            <v>0</v>
          </cell>
          <cell r="AJ20">
            <v>220.1</v>
          </cell>
          <cell r="AK20">
            <v>0</v>
          </cell>
          <cell r="AL20">
            <v>0</v>
          </cell>
          <cell r="AM20">
            <v>262.5</v>
          </cell>
          <cell r="AN20">
            <v>323.60000000000002</v>
          </cell>
          <cell r="AO20">
            <v>337.09843933954073</v>
          </cell>
          <cell r="AP20">
            <v>358.99819102389273</v>
          </cell>
          <cell r="AQ20">
            <v>381.17370022593428</v>
          </cell>
          <cell r="AR20">
            <v>405.09140817783657</v>
          </cell>
          <cell r="AS20">
            <v>427.95091600263731</v>
          </cell>
          <cell r="AT20">
            <v>452.80083262354032</v>
          </cell>
          <cell r="AU20">
            <v>480.50875120785793</v>
          </cell>
          <cell r="AV20">
            <v>510.85258961140801</v>
          </cell>
          <cell r="AW20" t="str">
            <v>CH: this is really EBIT + PPA</v>
          </cell>
        </row>
        <row r="21">
          <cell r="B21" t="str">
            <v>Interest income</v>
          </cell>
          <cell r="C21" t="str">
            <v>INT_INC_IND</v>
          </cell>
          <cell r="D21" t="str">
            <v>GBP</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row>
        <row r="22">
          <cell r="B22" t="str">
            <v>Interest expense</v>
          </cell>
          <cell r="C22" t="str">
            <v>INT_EXP_IND</v>
          </cell>
          <cell r="D22" t="str">
            <v>GBP</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row>
        <row r="23">
          <cell r="B23" t="str">
            <v>Net interest income/(expense)</v>
          </cell>
          <cell r="C23" t="str">
            <v>NET_INT_EXP</v>
          </cell>
          <cell r="D23" t="str">
            <v>GBP</v>
          </cell>
          <cell r="F23">
            <v>-5.8859999999999992</v>
          </cell>
          <cell r="G23">
            <v>-2.6090000000000004</v>
          </cell>
          <cell r="H23">
            <v>0.92900000000000027</v>
          </cell>
          <cell r="I23">
            <v>-3.2389999999999994</v>
          </cell>
          <cell r="J23">
            <v>-3.4060000000000006</v>
          </cell>
          <cell r="K23">
            <v>-2.4660000000000002</v>
          </cell>
          <cell r="L23">
            <v>-1.909</v>
          </cell>
          <cell r="M23">
            <v>-1.3240000000000003</v>
          </cell>
          <cell r="N23">
            <v>-1.6240000000000001</v>
          </cell>
          <cell r="O23">
            <v>-6.8980000000000006</v>
          </cell>
          <cell r="P23">
            <v>-14.467999999999998</v>
          </cell>
          <cell r="Q23">
            <v>-12.045</v>
          </cell>
          <cell r="R23">
            <v>-8.1</v>
          </cell>
          <cell r="S23">
            <v>-8.1739999999999995</v>
          </cell>
          <cell r="T23">
            <v>-11.151</v>
          </cell>
          <cell r="U23">
            <v>-14.299999999999999</v>
          </cell>
          <cell r="V23">
            <v>0</v>
          </cell>
          <cell r="W23">
            <v>0</v>
          </cell>
          <cell r="X23">
            <v>-16.5</v>
          </cell>
          <cell r="Y23">
            <v>0</v>
          </cell>
          <cell r="Z23">
            <v>0</v>
          </cell>
          <cell r="AA23">
            <v>-37.299999999999997</v>
          </cell>
          <cell r="AB23">
            <v>0</v>
          </cell>
          <cell r="AC23">
            <v>0</v>
          </cell>
          <cell r="AD23">
            <v>-53.1</v>
          </cell>
          <cell r="AE23">
            <v>0</v>
          </cell>
          <cell r="AF23">
            <v>0</v>
          </cell>
          <cell r="AG23">
            <v>-51.999999999999993</v>
          </cell>
          <cell r="AH23">
            <v>0</v>
          </cell>
          <cell r="AI23">
            <v>0</v>
          </cell>
          <cell r="AJ23">
            <v>-47.6</v>
          </cell>
          <cell r="AK23">
            <v>0</v>
          </cell>
          <cell r="AL23">
            <v>0</v>
          </cell>
          <cell r="AM23">
            <v>-36.500000000000007</v>
          </cell>
          <cell r="AN23">
            <v>-31.500000000000007</v>
          </cell>
          <cell r="AO23">
            <v>-26.318239349665603</v>
          </cell>
          <cell r="AP23">
            <v>-25.041026744411376</v>
          </cell>
          <cell r="AQ23">
            <v>-24.238312101138611</v>
          </cell>
          <cell r="AR23">
            <v>-24.678277837947086</v>
          </cell>
          <cell r="AS23">
            <v>-25.003379959567923</v>
          </cell>
          <cell r="AT23">
            <v>-24.766738388576911</v>
          </cell>
          <cell r="AU23">
            <v>-24.736499715707112</v>
          </cell>
          <cell r="AV23">
            <v>-24.878062893914205</v>
          </cell>
        </row>
        <row r="24">
          <cell r="B24" t="str">
            <v>Income/(loss) from unconsolidated subs &amp; associates</v>
          </cell>
          <cell r="C24" t="str">
            <v>ASSOCIATE</v>
          </cell>
          <cell r="D24" t="str">
            <v>GBP</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row>
        <row r="25">
          <cell r="B25" t="str">
            <v>Profit/(loss) on disposals of assets, pre-tax</v>
          </cell>
          <cell r="C25" t="str">
            <v>PROFIT_ON_DISP</v>
          </cell>
          <cell r="D25" t="str">
            <v>GBP</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row>
        <row r="26">
          <cell r="B26" t="str">
            <v>Other non-ops income/(expense)</v>
          </cell>
          <cell r="C26" t="str">
            <v>OTH_COST_INC</v>
          </cell>
          <cell r="D26" t="str">
            <v>GBP</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row>
        <row r="27">
          <cell r="B27" t="str">
            <v>Pre-tax profit</v>
          </cell>
          <cell r="C27" t="str">
            <v>PT_PROF</v>
          </cell>
          <cell r="D27" t="str">
            <v>GBP</v>
          </cell>
          <cell r="F27">
            <v>23.045999999999992</v>
          </cell>
          <cell r="G27">
            <v>20.754999999999974</v>
          </cell>
          <cell r="H27">
            <v>26.214000000000027</v>
          </cell>
          <cell r="I27">
            <v>23.43000000000001</v>
          </cell>
          <cell r="J27">
            <v>14.738999999999995</v>
          </cell>
          <cell r="K27">
            <v>18.345999999999997</v>
          </cell>
          <cell r="L27">
            <v>23.689999999999962</v>
          </cell>
          <cell r="M27">
            <v>31.245999999999963</v>
          </cell>
          <cell r="N27">
            <v>36.203000000000017</v>
          </cell>
          <cell r="O27">
            <v>49.120999999999988</v>
          </cell>
          <cell r="P27">
            <v>66.126000000000019</v>
          </cell>
          <cell r="Q27">
            <v>72.438000000000002</v>
          </cell>
          <cell r="R27">
            <v>70.311999999999983</v>
          </cell>
          <cell r="S27">
            <v>75.516999999999996</v>
          </cell>
          <cell r="T27">
            <v>89.468999999999994</v>
          </cell>
          <cell r="U27">
            <v>116.29999999999997</v>
          </cell>
          <cell r="V27">
            <v>0</v>
          </cell>
          <cell r="W27">
            <v>0</v>
          </cell>
          <cell r="X27">
            <v>126.69999999999999</v>
          </cell>
          <cell r="Y27">
            <v>0</v>
          </cell>
          <cell r="Z27">
            <v>0</v>
          </cell>
          <cell r="AA27">
            <v>105.39999999999999</v>
          </cell>
          <cell r="AB27">
            <v>0</v>
          </cell>
          <cell r="AC27">
            <v>0</v>
          </cell>
          <cell r="AD27">
            <v>119.30000000000001</v>
          </cell>
          <cell r="AE27">
            <v>0</v>
          </cell>
          <cell r="AF27">
            <v>0</v>
          </cell>
          <cell r="AG27">
            <v>180.8</v>
          </cell>
          <cell r="AH27">
            <v>0</v>
          </cell>
          <cell r="AI27">
            <v>0</v>
          </cell>
          <cell r="AJ27">
            <v>172.5</v>
          </cell>
          <cell r="AK27">
            <v>0</v>
          </cell>
          <cell r="AL27">
            <v>0</v>
          </cell>
          <cell r="AM27">
            <v>226</v>
          </cell>
          <cell r="AN27">
            <v>292.10000000000002</v>
          </cell>
          <cell r="AO27">
            <v>310.78019998987514</v>
          </cell>
          <cell r="AP27">
            <v>333.95716427948133</v>
          </cell>
          <cell r="AQ27">
            <v>356.93538812479568</v>
          </cell>
          <cell r="AR27">
            <v>380.41313033988951</v>
          </cell>
          <cell r="AS27">
            <v>402.94753604306936</v>
          </cell>
          <cell r="AT27">
            <v>428.03409423496339</v>
          </cell>
          <cell r="AU27">
            <v>455.77225149215082</v>
          </cell>
          <cell r="AV27">
            <v>485.9745267174938</v>
          </cell>
        </row>
        <row r="28">
          <cell r="A28" t="str">
            <v>Additional Income Statement Items</v>
          </cell>
          <cell r="B28">
            <v>0</v>
          </cell>
          <cell r="C28">
            <v>0</v>
          </cell>
          <cell r="D28">
            <v>0</v>
          </cell>
        </row>
        <row r="29">
          <cell r="B29" t="str">
            <v>Organic revenues (excl. acquisitions)</v>
          </cell>
          <cell r="C29" t="str">
            <v>ORG_REV</v>
          </cell>
          <cell r="D29" t="str">
            <v>GBP</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row>
        <row r="30">
          <cell r="B30" t="str">
            <v>Organic sales growth (excl. acquisitions)</v>
          </cell>
          <cell r="C30" t="str">
            <v>ORG_REV_GRTH</v>
          </cell>
          <cell r="F30">
            <v>0</v>
          </cell>
          <cell r="G30">
            <v>0</v>
          </cell>
          <cell r="H30">
            <v>0</v>
          </cell>
          <cell r="I30">
            <v>0</v>
          </cell>
          <cell r="J30">
            <v>0</v>
          </cell>
          <cell r="K30">
            <v>0</v>
          </cell>
          <cell r="L30">
            <v>0</v>
          </cell>
          <cell r="M30">
            <v>0</v>
          </cell>
          <cell r="N30">
            <v>0</v>
          </cell>
          <cell r="O30">
            <v>0</v>
          </cell>
          <cell r="P30">
            <v>0</v>
          </cell>
          <cell r="Q30">
            <v>0</v>
          </cell>
          <cell r="R30">
            <v>0</v>
          </cell>
          <cell r="S30">
            <v>0.12</v>
          </cell>
          <cell r="T30">
            <v>0.29897165788813673</v>
          </cell>
          <cell r="U30">
            <v>4.8294510836540461E-2</v>
          </cell>
          <cell r="V30">
            <v>0</v>
          </cell>
          <cell r="W30">
            <v>0</v>
          </cell>
          <cell r="X30">
            <v>0.10418627291903304</v>
          </cell>
          <cell r="Y30">
            <v>0</v>
          </cell>
          <cell r="Z30">
            <v>0</v>
          </cell>
          <cell r="AA30">
            <v>0.11</v>
          </cell>
          <cell r="AB30">
            <v>0</v>
          </cell>
          <cell r="AC30">
            <v>0</v>
          </cell>
          <cell r="AD30">
            <v>0.1</v>
          </cell>
          <cell r="AE30">
            <v>0</v>
          </cell>
          <cell r="AF30">
            <v>0</v>
          </cell>
          <cell r="AG30">
            <v>-0.13</v>
          </cell>
          <cell r="AH30">
            <v>0</v>
          </cell>
          <cell r="AI30">
            <v>0</v>
          </cell>
          <cell r="AJ30">
            <v>0.01</v>
          </cell>
          <cell r="AK30">
            <v>0</v>
          </cell>
          <cell r="AL30">
            <v>0</v>
          </cell>
          <cell r="AM30">
            <v>0.12</v>
          </cell>
          <cell r="AN30">
            <v>0.06</v>
          </cell>
          <cell r="AO30">
            <v>3.9347071615394205E-2</v>
          </cell>
          <cell r="AP30">
            <v>4.0686448499700142E-2</v>
          </cell>
          <cell r="AQ30">
            <v>5.712808631744052E-2</v>
          </cell>
          <cell r="AR30">
            <v>5.7841237934992275E-2</v>
          </cell>
          <cell r="AS30">
            <v>5.2243509665596828E-2</v>
          </cell>
          <cell r="AT30">
            <v>5.3087867462734507E-2</v>
          </cell>
          <cell r="AU30">
            <v>5.5410984934457834E-2</v>
          </cell>
          <cell r="AV30">
            <v>5.6584716034909111E-2</v>
          </cell>
          <cell r="AW30" t="str">
            <v>MA: Organic revenue growth (pre FX and M&amp;A). For 2006 it is revenue growth</v>
          </cell>
        </row>
        <row r="31">
          <cell r="B31" t="str">
            <v>Lease payments</v>
          </cell>
          <cell r="C31" t="str">
            <v>LEASE_PAY</v>
          </cell>
          <cell r="D31" t="str">
            <v>GBP</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row>
        <row r="32">
          <cell r="B32" t="str">
            <v>Lease payments (deemed interest portion)</v>
          </cell>
          <cell r="C32" t="str">
            <v>LEASE_DEEM_INT</v>
          </cell>
          <cell r="D32" t="str">
            <v>GBP</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row>
        <row r="33">
          <cell r="B33" t="str">
            <v>Lease payments (deemed depreciation portion)</v>
          </cell>
          <cell r="C33" t="str">
            <v>LEASE_DEEM_DEPR</v>
          </cell>
          <cell r="D33" t="str">
            <v>GBP</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row>
        <row r="34">
          <cell r="B34" t="str">
            <v>Gross interest charge</v>
          </cell>
          <cell r="C34" t="str">
            <v>NET_INT_CH</v>
          </cell>
          <cell r="D34" t="str">
            <v>GBP</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row>
        <row r="35">
          <cell r="B35" t="str">
            <v>Income from associates (operating)</v>
          </cell>
          <cell r="C35" t="str">
            <v>ASSOCIATE_OP</v>
          </cell>
          <cell r="D35" t="str">
            <v>GBP</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row>
        <row r="36">
          <cell r="B36" t="str">
            <v>Goodwill amortization</v>
          </cell>
          <cell r="C36" t="str">
            <v>GW_AMORT</v>
          </cell>
          <cell r="D36" t="str">
            <v>GBP</v>
          </cell>
          <cell r="F36">
            <v>0</v>
          </cell>
          <cell r="G36">
            <v>0</v>
          </cell>
          <cell r="H36">
            <v>0</v>
          </cell>
          <cell r="I36">
            <v>0</v>
          </cell>
          <cell r="J36">
            <v>0</v>
          </cell>
          <cell r="K36">
            <v>0</v>
          </cell>
          <cell r="L36">
            <v>0</v>
          </cell>
          <cell r="M36">
            <v>0</v>
          </cell>
          <cell r="N36">
            <v>-0.84699999999999998</v>
          </cell>
          <cell r="O36">
            <v>-7.8029999999999999</v>
          </cell>
          <cell r="P36">
            <v>-16.292999999999999</v>
          </cell>
          <cell r="Q36">
            <v>-18.260999999999999</v>
          </cell>
          <cell r="R36">
            <v>-18.111000000000001</v>
          </cell>
          <cell r="S36">
            <v>-20.184999999999999</v>
          </cell>
          <cell r="T36">
            <v>-24.981000000000002</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row>
        <row r="37">
          <cell r="B37" t="str">
            <v>Other intangible amortization</v>
          </cell>
          <cell r="C37" t="str">
            <v>OTH_INT_AMORT</v>
          </cell>
          <cell r="D37" t="str">
            <v>GBP</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row>
        <row r="38">
          <cell r="A38" t="str">
            <v>Balance Sheet</v>
          </cell>
          <cell r="B38">
            <v>0</v>
          </cell>
          <cell r="C38">
            <v>0</v>
          </cell>
          <cell r="D38">
            <v>0</v>
          </cell>
        </row>
        <row r="39">
          <cell r="B39" t="str">
            <v>Cash &amp; cash equivalents</v>
          </cell>
          <cell r="C39" t="str">
            <v>CASH_EQ</v>
          </cell>
          <cell r="D39" t="str">
            <v>GBP</v>
          </cell>
          <cell r="F39">
            <v>12.923</v>
          </cell>
          <cell r="G39">
            <v>58.2</v>
          </cell>
          <cell r="H39">
            <v>52.08</v>
          </cell>
          <cell r="I39">
            <v>70.212999999999994</v>
          </cell>
          <cell r="J39">
            <v>34.780999999999999</v>
          </cell>
          <cell r="K39">
            <v>51.201999999999998</v>
          </cell>
          <cell r="L39">
            <v>33.948</v>
          </cell>
          <cell r="M39">
            <v>40.335000000000001</v>
          </cell>
          <cell r="N39">
            <v>39.51</v>
          </cell>
          <cell r="O39">
            <v>25.795999999999999</v>
          </cell>
          <cell r="P39">
            <v>30.88</v>
          </cell>
          <cell r="Q39">
            <v>30.797999999999998</v>
          </cell>
          <cell r="R39">
            <v>27.05</v>
          </cell>
          <cell r="S39">
            <v>22.67</v>
          </cell>
          <cell r="T39">
            <v>43.951000000000001</v>
          </cell>
          <cell r="U39">
            <v>45.5</v>
          </cell>
          <cell r="V39">
            <v>0</v>
          </cell>
          <cell r="W39">
            <v>0</v>
          </cell>
          <cell r="X39">
            <v>43.6</v>
          </cell>
          <cell r="Y39">
            <v>0</v>
          </cell>
          <cell r="Z39">
            <v>0</v>
          </cell>
          <cell r="AA39">
            <v>64.900000000000006</v>
          </cell>
          <cell r="AB39">
            <v>0</v>
          </cell>
          <cell r="AC39">
            <v>0</v>
          </cell>
          <cell r="AD39">
            <v>67.3</v>
          </cell>
          <cell r="AE39">
            <v>0</v>
          </cell>
          <cell r="AF39">
            <v>0</v>
          </cell>
          <cell r="AG39">
            <v>62.9</v>
          </cell>
          <cell r="AH39">
            <v>0</v>
          </cell>
          <cell r="AI39">
            <v>0</v>
          </cell>
          <cell r="AJ39">
            <v>51.9</v>
          </cell>
          <cell r="AK39">
            <v>0</v>
          </cell>
          <cell r="AL39">
            <v>0</v>
          </cell>
          <cell r="AM39">
            <v>94.6</v>
          </cell>
          <cell r="AN39">
            <v>104.9</v>
          </cell>
          <cell r="AO39">
            <v>233.11520935050922</v>
          </cell>
          <cell r="AP39">
            <v>333.26256322681809</v>
          </cell>
          <cell r="AQ39">
            <v>322.30338151338577</v>
          </cell>
          <cell r="AR39">
            <v>312.36875232117586</v>
          </cell>
          <cell r="AS39">
            <v>303.30231197694951</v>
          </cell>
          <cell r="AT39">
            <v>293.70811156957461</v>
          </cell>
          <cell r="AU39">
            <v>283.96998102650377</v>
          </cell>
          <cell r="AV39">
            <v>275.42030354740677</v>
          </cell>
        </row>
        <row r="40">
          <cell r="B40" t="str">
            <v>Accounts receivable</v>
          </cell>
          <cell r="C40" t="str">
            <v>DEBTORS</v>
          </cell>
          <cell r="D40" t="str">
            <v>GBP</v>
          </cell>
          <cell r="F40">
            <v>71.183000000000007</v>
          </cell>
          <cell r="G40">
            <v>69.549000000000007</v>
          </cell>
          <cell r="H40">
            <v>89.986000000000004</v>
          </cell>
          <cell r="I40">
            <v>88.61</v>
          </cell>
          <cell r="J40">
            <v>84.805000000000007</v>
          </cell>
          <cell r="K40">
            <v>77.649000000000001</v>
          </cell>
          <cell r="L40">
            <v>58.183</v>
          </cell>
          <cell r="M40">
            <v>68.655000000000001</v>
          </cell>
          <cell r="N40">
            <v>71.417000000000002</v>
          </cell>
          <cell r="O40">
            <v>94.012</v>
          </cell>
          <cell r="P40">
            <v>102.077</v>
          </cell>
          <cell r="Q40">
            <v>108.642</v>
          </cell>
          <cell r="R40">
            <v>117.91500000000001</v>
          </cell>
          <cell r="S40">
            <v>122.29900000000001</v>
          </cell>
          <cell r="T40">
            <v>176.27099999999999</v>
          </cell>
          <cell r="U40">
            <v>206.7</v>
          </cell>
          <cell r="V40">
            <v>0</v>
          </cell>
          <cell r="W40">
            <v>0</v>
          </cell>
          <cell r="X40">
            <v>192.60000000000002</v>
          </cell>
          <cell r="Y40">
            <v>0</v>
          </cell>
          <cell r="Z40">
            <v>0</v>
          </cell>
          <cell r="AA40">
            <v>229</v>
          </cell>
          <cell r="AB40">
            <v>0</v>
          </cell>
          <cell r="AC40">
            <v>0</v>
          </cell>
          <cell r="AD40">
            <v>306.2</v>
          </cell>
          <cell r="AE40">
            <v>0</v>
          </cell>
          <cell r="AF40">
            <v>0</v>
          </cell>
          <cell r="AG40">
            <v>247.5</v>
          </cell>
          <cell r="AH40">
            <v>0</v>
          </cell>
          <cell r="AI40">
            <v>0</v>
          </cell>
          <cell r="AJ40">
            <v>327</v>
          </cell>
          <cell r="AK40">
            <v>0</v>
          </cell>
          <cell r="AL40">
            <v>0</v>
          </cell>
          <cell r="AM40">
            <v>432.09999999999997</v>
          </cell>
          <cell r="AN40">
            <v>403</v>
          </cell>
          <cell r="AO40">
            <v>427.23905818741446</v>
          </cell>
          <cell r="AP40">
            <v>439.78124366429341</v>
          </cell>
          <cell r="AQ40">
            <v>481.6444707995517</v>
          </cell>
          <cell r="AR40">
            <v>525.93483357176149</v>
          </cell>
          <cell r="AS40">
            <v>570.77953803950118</v>
          </cell>
          <cell r="AT40">
            <v>619.45319479295006</v>
          </cell>
          <cell r="AU40">
            <v>673.17279218217561</v>
          </cell>
          <cell r="AV40">
            <v>731.66544619556714</v>
          </cell>
        </row>
        <row r="41">
          <cell r="B41" t="str">
            <v>Inventory</v>
          </cell>
          <cell r="C41" t="str">
            <v>STOCKS</v>
          </cell>
          <cell r="D41" t="str">
            <v>GBP</v>
          </cell>
          <cell r="F41">
            <v>58.612000000000002</v>
          </cell>
          <cell r="G41">
            <v>48.761000000000003</v>
          </cell>
          <cell r="H41">
            <v>57.527999999999999</v>
          </cell>
          <cell r="I41">
            <v>51.326999999999998</v>
          </cell>
          <cell r="J41">
            <v>54.652999999999999</v>
          </cell>
          <cell r="K41">
            <v>50.530999999999999</v>
          </cell>
          <cell r="L41">
            <v>40.545000000000002</v>
          </cell>
          <cell r="M41">
            <v>38.375</v>
          </cell>
          <cell r="N41">
            <v>54.680999999999997</v>
          </cell>
          <cell r="O41">
            <v>75.153999999999996</v>
          </cell>
          <cell r="P41">
            <v>79.164000000000001</v>
          </cell>
          <cell r="Q41">
            <v>82.301000000000002</v>
          </cell>
          <cell r="R41">
            <v>75.430999999999997</v>
          </cell>
          <cell r="S41">
            <v>73.539000000000001</v>
          </cell>
          <cell r="T41">
            <v>106.351</v>
          </cell>
          <cell r="U41">
            <v>134.5</v>
          </cell>
          <cell r="V41">
            <v>0</v>
          </cell>
          <cell r="W41">
            <v>0</v>
          </cell>
          <cell r="X41">
            <v>154.6</v>
          </cell>
          <cell r="Y41">
            <v>0</v>
          </cell>
          <cell r="Z41">
            <v>0</v>
          </cell>
          <cell r="AA41">
            <v>204.6</v>
          </cell>
          <cell r="AB41">
            <v>0</v>
          </cell>
          <cell r="AC41">
            <v>0</v>
          </cell>
          <cell r="AD41">
            <v>273.10000000000002</v>
          </cell>
          <cell r="AE41">
            <v>0</v>
          </cell>
          <cell r="AF41">
            <v>0</v>
          </cell>
          <cell r="AG41">
            <v>236.5</v>
          </cell>
          <cell r="AH41">
            <v>0</v>
          </cell>
          <cell r="AI41">
            <v>0</v>
          </cell>
          <cell r="AJ41">
            <v>239.1</v>
          </cell>
          <cell r="AK41">
            <v>0</v>
          </cell>
          <cell r="AL41">
            <v>0</v>
          </cell>
          <cell r="AM41">
            <v>277.5</v>
          </cell>
          <cell r="AN41">
            <v>291.2</v>
          </cell>
          <cell r="AO41">
            <v>308.71467430316397</v>
          </cell>
          <cell r="AP41">
            <v>317.77741477677972</v>
          </cell>
          <cell r="AQ41">
            <v>348.02697244870836</v>
          </cell>
          <cell r="AR41">
            <v>380.03033135507934</v>
          </cell>
          <cell r="AS41">
            <v>412.434246841446</v>
          </cell>
          <cell r="AT41">
            <v>447.60488914071226</v>
          </cell>
          <cell r="AU41">
            <v>486.42163048002362</v>
          </cell>
          <cell r="AV41">
            <v>528.68729015421627</v>
          </cell>
        </row>
        <row r="42">
          <cell r="B42" t="str">
            <v>Other current assets</v>
          </cell>
          <cell r="C42" t="str">
            <v>OTH_CUR_ASS</v>
          </cell>
          <cell r="D42" t="str">
            <v>GBP</v>
          </cell>
          <cell r="F42">
            <v>0</v>
          </cell>
          <cell r="G42">
            <v>0</v>
          </cell>
          <cell r="H42">
            <v>0</v>
          </cell>
          <cell r="I42">
            <v>0</v>
          </cell>
          <cell r="J42">
            <v>0</v>
          </cell>
          <cell r="K42">
            <v>3.9699999999999998</v>
          </cell>
          <cell r="L42">
            <v>1.1920000000000002</v>
          </cell>
          <cell r="M42">
            <v>0</v>
          </cell>
          <cell r="N42">
            <v>0</v>
          </cell>
          <cell r="O42">
            <v>0</v>
          </cell>
          <cell r="P42">
            <v>0</v>
          </cell>
          <cell r="Q42">
            <v>0</v>
          </cell>
          <cell r="R42">
            <v>0</v>
          </cell>
          <cell r="S42">
            <v>0</v>
          </cell>
          <cell r="T42">
            <v>0</v>
          </cell>
          <cell r="U42">
            <v>1.5999999999999996</v>
          </cell>
          <cell r="V42">
            <v>0</v>
          </cell>
          <cell r="W42">
            <v>0</v>
          </cell>
          <cell r="X42">
            <v>8.5999999999999943</v>
          </cell>
          <cell r="Y42">
            <v>0</v>
          </cell>
          <cell r="Z42">
            <v>0</v>
          </cell>
          <cell r="AA42">
            <v>11.400000000000006</v>
          </cell>
          <cell r="AB42">
            <v>0</v>
          </cell>
          <cell r="AC42">
            <v>0</v>
          </cell>
          <cell r="AD42">
            <v>1.6999999999999886</v>
          </cell>
          <cell r="AE42">
            <v>0</v>
          </cell>
          <cell r="AF42">
            <v>0</v>
          </cell>
          <cell r="AG42">
            <v>4.7000000000000455</v>
          </cell>
          <cell r="AH42">
            <v>0</v>
          </cell>
          <cell r="AI42">
            <v>0</v>
          </cell>
          <cell r="AJ42">
            <v>7.0000000000000284</v>
          </cell>
          <cell r="AK42">
            <v>0</v>
          </cell>
          <cell r="AL42">
            <v>0</v>
          </cell>
          <cell r="AM42">
            <v>6.7000000000001023</v>
          </cell>
          <cell r="AN42">
            <v>5.1999999999999886</v>
          </cell>
          <cell r="AO42">
            <v>5.2000000000000455</v>
          </cell>
          <cell r="AP42">
            <v>5.2000000000000455</v>
          </cell>
          <cell r="AQ42">
            <v>5.2000000000001592</v>
          </cell>
          <cell r="AR42">
            <v>5.1999999999999886</v>
          </cell>
          <cell r="AS42">
            <v>5.2000000000001592</v>
          </cell>
          <cell r="AT42">
            <v>5.2000000000001023</v>
          </cell>
          <cell r="AU42">
            <v>5.1999999999999318</v>
          </cell>
          <cell r="AV42">
            <v>5.1999999999999318</v>
          </cell>
        </row>
        <row r="43">
          <cell r="B43" t="str">
            <v>Total current assets</v>
          </cell>
          <cell r="C43" t="str">
            <v>CUR_ASS</v>
          </cell>
          <cell r="D43" t="str">
            <v>GBP</v>
          </cell>
          <cell r="F43">
            <v>142.71800000000002</v>
          </cell>
          <cell r="G43">
            <v>176.51000000000002</v>
          </cell>
          <cell r="H43">
            <v>199.59399999999999</v>
          </cell>
          <cell r="I43">
            <v>210.14999999999998</v>
          </cell>
          <cell r="J43">
            <v>174.239</v>
          </cell>
          <cell r="K43">
            <v>183.352</v>
          </cell>
          <cell r="L43">
            <v>133.86799999999999</v>
          </cell>
          <cell r="M43">
            <v>147.36500000000001</v>
          </cell>
          <cell r="N43">
            <v>165.608</v>
          </cell>
          <cell r="O43">
            <v>194.96199999999999</v>
          </cell>
          <cell r="P43">
            <v>212.12099999999998</v>
          </cell>
          <cell r="Q43">
            <v>221.74099999999999</v>
          </cell>
          <cell r="R43">
            <v>220.39600000000002</v>
          </cell>
          <cell r="S43">
            <v>218.50799999999998</v>
          </cell>
          <cell r="T43">
            <v>326.57299999999998</v>
          </cell>
          <cell r="U43">
            <v>388.3</v>
          </cell>
          <cell r="V43">
            <v>0</v>
          </cell>
          <cell r="W43">
            <v>0</v>
          </cell>
          <cell r="X43">
            <v>399.40000000000003</v>
          </cell>
          <cell r="Y43">
            <v>0</v>
          </cell>
          <cell r="Z43">
            <v>0</v>
          </cell>
          <cell r="AA43">
            <v>509.9</v>
          </cell>
          <cell r="AB43">
            <v>0</v>
          </cell>
          <cell r="AC43">
            <v>0</v>
          </cell>
          <cell r="AD43">
            <v>648.29999999999995</v>
          </cell>
          <cell r="AE43">
            <v>0</v>
          </cell>
          <cell r="AF43">
            <v>0</v>
          </cell>
          <cell r="AG43">
            <v>551.6</v>
          </cell>
          <cell r="AH43">
            <v>0</v>
          </cell>
          <cell r="AI43">
            <v>0</v>
          </cell>
          <cell r="AJ43">
            <v>625</v>
          </cell>
          <cell r="AK43">
            <v>0</v>
          </cell>
          <cell r="AL43">
            <v>0</v>
          </cell>
          <cell r="AM43">
            <v>810.90000000000009</v>
          </cell>
          <cell r="AN43">
            <v>804.3</v>
          </cell>
          <cell r="AO43">
            <v>974.26894184108767</v>
          </cell>
          <cell r="AP43">
            <v>1096.0212216678913</v>
          </cell>
          <cell r="AQ43">
            <v>1157.1748247616461</v>
          </cell>
          <cell r="AR43">
            <v>1223.5339172480167</v>
          </cell>
          <cell r="AS43">
            <v>1291.7160968578969</v>
          </cell>
          <cell r="AT43">
            <v>1365.966195503237</v>
          </cell>
          <cell r="AU43">
            <v>1448.7644036887029</v>
          </cell>
          <cell r="AV43">
            <v>1540.9730398971901</v>
          </cell>
          <cell r="AW43" t="str">
            <v>CH: This includes long term receivables</v>
          </cell>
        </row>
        <row r="44">
          <cell r="B44" t="str">
            <v>Gross fixed assets, PP&amp;E</v>
          </cell>
          <cell r="C44" t="str">
            <v>GR_FIX_ASS</v>
          </cell>
          <cell r="D44" t="str">
            <v>GBP</v>
          </cell>
          <cell r="F44">
            <v>49.808999999999997</v>
          </cell>
          <cell r="G44">
            <v>46.167999999999999</v>
          </cell>
          <cell r="H44">
            <v>52.481000000000002</v>
          </cell>
          <cell r="I44">
            <v>49.122</v>
          </cell>
          <cell r="J44">
            <v>44.774999999999999</v>
          </cell>
          <cell r="K44">
            <v>37.308999999999997</v>
          </cell>
          <cell r="L44">
            <v>34.954000000000001</v>
          </cell>
          <cell r="M44">
            <v>37.905999999999999</v>
          </cell>
          <cell r="N44">
            <v>131.83000000000001</v>
          </cell>
          <cell r="O44">
            <v>147.55799999999999</v>
          </cell>
          <cell r="P44">
            <v>149.74700000000001</v>
          </cell>
          <cell r="Q44">
            <v>150.31399999999999</v>
          </cell>
          <cell r="R44">
            <v>148.63800000000001</v>
          </cell>
          <cell r="S44">
            <v>150.911</v>
          </cell>
          <cell r="T44">
            <v>306.80799999999999</v>
          </cell>
          <cell r="U44">
            <v>327.5</v>
          </cell>
          <cell r="V44">
            <v>0</v>
          </cell>
          <cell r="W44">
            <v>0</v>
          </cell>
          <cell r="X44">
            <v>327.7</v>
          </cell>
          <cell r="Y44">
            <v>0</v>
          </cell>
          <cell r="Z44">
            <v>0</v>
          </cell>
          <cell r="AA44">
            <v>411.6</v>
          </cell>
          <cell r="AB44">
            <v>0</v>
          </cell>
          <cell r="AC44">
            <v>0</v>
          </cell>
          <cell r="AD44">
            <v>503.9</v>
          </cell>
          <cell r="AE44">
            <v>0</v>
          </cell>
          <cell r="AF44">
            <v>0</v>
          </cell>
          <cell r="AG44">
            <v>473.7</v>
          </cell>
          <cell r="AH44">
            <v>0</v>
          </cell>
          <cell r="AI44">
            <v>0</v>
          </cell>
          <cell r="AJ44">
            <v>487.3</v>
          </cell>
          <cell r="AK44">
            <v>0</v>
          </cell>
          <cell r="AL44">
            <v>0</v>
          </cell>
          <cell r="AM44">
            <v>537</v>
          </cell>
          <cell r="AN44">
            <v>549.9</v>
          </cell>
          <cell r="AO44">
            <v>586.1556205508524</v>
          </cell>
          <cell r="AP44">
            <v>623.47557431004327</v>
          </cell>
          <cell r="AQ44">
            <v>664.34805270143738</v>
          </cell>
          <cell r="AR44">
            <v>708.97902310323286</v>
          </cell>
          <cell r="AS44">
            <v>757.415527099722</v>
          </cell>
          <cell r="AT44">
            <v>809.98249060420255</v>
          </cell>
          <cell r="AU44">
            <v>867.10811348629545</v>
          </cell>
          <cell r="AV44">
            <v>929.19743860553615</v>
          </cell>
        </row>
        <row r="45">
          <cell r="B45" t="str">
            <v>Accumulated depreciation</v>
          </cell>
          <cell r="C45" t="str">
            <v>ACC_DDA</v>
          </cell>
          <cell r="D45" t="str">
            <v>GBP</v>
          </cell>
          <cell r="F45">
            <v>0</v>
          </cell>
          <cell r="G45">
            <v>0</v>
          </cell>
          <cell r="H45">
            <v>0</v>
          </cell>
          <cell r="I45">
            <v>0</v>
          </cell>
          <cell r="J45">
            <v>0</v>
          </cell>
          <cell r="K45">
            <v>0</v>
          </cell>
          <cell r="L45">
            <v>0</v>
          </cell>
          <cell r="M45">
            <v>0</v>
          </cell>
          <cell r="N45">
            <v>-78.230000000000018</v>
          </cell>
          <cell r="O45">
            <v>-93.292000000000002</v>
          </cell>
          <cell r="P45">
            <v>-93.50800000000001</v>
          </cell>
          <cell r="Q45">
            <v>-90.893999999999991</v>
          </cell>
          <cell r="R45">
            <v>-92.424000000000007</v>
          </cell>
          <cell r="S45">
            <v>-97.599000000000004</v>
          </cell>
          <cell r="T45">
            <v>-193.75299999999999</v>
          </cell>
          <cell r="U45">
            <v>-210.6</v>
          </cell>
          <cell r="V45">
            <v>0</v>
          </cell>
          <cell r="W45">
            <v>0</v>
          </cell>
          <cell r="X45">
            <v>-200.1</v>
          </cell>
          <cell r="Y45">
            <v>0</v>
          </cell>
          <cell r="Z45">
            <v>0</v>
          </cell>
          <cell r="AA45">
            <v>-220.40000000000003</v>
          </cell>
          <cell r="AB45">
            <v>0</v>
          </cell>
          <cell r="AC45">
            <v>0</v>
          </cell>
          <cell r="AD45">
            <v>-258.7</v>
          </cell>
          <cell r="AE45">
            <v>0</v>
          </cell>
          <cell r="AF45">
            <v>0</v>
          </cell>
          <cell r="AG45">
            <v>-257.79999999999995</v>
          </cell>
          <cell r="AH45">
            <v>0</v>
          </cell>
          <cell r="AI45">
            <v>0</v>
          </cell>
          <cell r="AJ45">
            <v>-280.20000000000005</v>
          </cell>
          <cell r="AK45">
            <v>0</v>
          </cell>
          <cell r="AL45">
            <v>0</v>
          </cell>
          <cell r="AM45">
            <v>-307.10000000000002</v>
          </cell>
          <cell r="AN45">
            <v>-317.7</v>
          </cell>
          <cell r="AO45">
            <v>-351.51867482922717</v>
          </cell>
          <cell r="AP45">
            <v>-365.05354725549159</v>
          </cell>
          <cell r="AQ45">
            <v>-339.34896751153769</v>
          </cell>
          <cell r="AR45">
            <v>-312.89493108126169</v>
          </cell>
          <cell r="AS45">
            <v>-285.73531761748598</v>
          </cell>
          <cell r="AT45">
            <v>-258.17321292148631</v>
          </cell>
          <cell r="AU45">
            <v>-230.60803512299287</v>
          </cell>
          <cell r="AV45">
            <v>-203.41760185553142</v>
          </cell>
        </row>
        <row r="46">
          <cell r="B46" t="str">
            <v>Net PP&amp;E</v>
          </cell>
          <cell r="C46" t="str">
            <v>NET_FIX_ASS</v>
          </cell>
          <cell r="D46" t="str">
            <v>GBP</v>
          </cell>
          <cell r="F46">
            <v>49.808999999999997</v>
          </cell>
          <cell r="G46">
            <v>46.167999999999999</v>
          </cell>
          <cell r="H46">
            <v>52.481000000000002</v>
          </cell>
          <cell r="I46">
            <v>49.122</v>
          </cell>
          <cell r="J46">
            <v>44.774999999999999</v>
          </cell>
          <cell r="K46">
            <v>37.308999999999997</v>
          </cell>
          <cell r="L46">
            <v>34.954000000000001</v>
          </cell>
          <cell r="M46">
            <v>37.905999999999999</v>
          </cell>
          <cell r="N46">
            <v>53.6</v>
          </cell>
          <cell r="O46">
            <v>54.265999999999998</v>
          </cell>
          <cell r="P46">
            <v>56.238999999999997</v>
          </cell>
          <cell r="Q46">
            <v>59.42</v>
          </cell>
          <cell r="R46">
            <v>56.213999999999999</v>
          </cell>
          <cell r="S46">
            <v>53.311999999999998</v>
          </cell>
          <cell r="T46">
            <v>113.05500000000001</v>
          </cell>
          <cell r="U46">
            <v>116.9</v>
          </cell>
          <cell r="V46">
            <v>0</v>
          </cell>
          <cell r="W46">
            <v>0</v>
          </cell>
          <cell r="X46">
            <v>127.6</v>
          </cell>
          <cell r="Y46">
            <v>0</v>
          </cell>
          <cell r="Z46">
            <v>0</v>
          </cell>
          <cell r="AA46">
            <v>191.2</v>
          </cell>
          <cell r="AB46">
            <v>0</v>
          </cell>
          <cell r="AC46">
            <v>0</v>
          </cell>
          <cell r="AD46">
            <v>245.2</v>
          </cell>
          <cell r="AE46">
            <v>0</v>
          </cell>
          <cell r="AF46">
            <v>0</v>
          </cell>
          <cell r="AG46">
            <v>215.9</v>
          </cell>
          <cell r="AH46">
            <v>0</v>
          </cell>
          <cell r="AI46">
            <v>0</v>
          </cell>
          <cell r="AJ46">
            <v>207.1</v>
          </cell>
          <cell r="AK46">
            <v>0</v>
          </cell>
          <cell r="AL46">
            <v>0</v>
          </cell>
          <cell r="AM46">
            <v>229.9</v>
          </cell>
          <cell r="AN46">
            <v>232.2</v>
          </cell>
          <cell r="AO46">
            <v>234.63694572162527</v>
          </cell>
          <cell r="AP46">
            <v>258.42202705455168</v>
          </cell>
          <cell r="AQ46">
            <v>324.99908518989969</v>
          </cell>
          <cell r="AR46">
            <v>396.08409202197117</v>
          </cell>
          <cell r="AS46">
            <v>471.68020948223602</v>
          </cell>
          <cell r="AT46">
            <v>551.80927768271624</v>
          </cell>
          <cell r="AU46">
            <v>636.50007836330258</v>
          </cell>
          <cell r="AV46">
            <v>725.77983675000473</v>
          </cell>
        </row>
        <row r="47">
          <cell r="B47" t="str">
            <v>Gross intangibles</v>
          </cell>
          <cell r="C47" t="str">
            <v>GR_INTANG</v>
          </cell>
          <cell r="D47" t="str">
            <v>GBP</v>
          </cell>
          <cell r="F47">
            <v>0.26600000000000001</v>
          </cell>
          <cell r="G47">
            <v>0.26600000000000001</v>
          </cell>
          <cell r="H47">
            <v>0.39800000000000002</v>
          </cell>
          <cell r="I47">
            <v>0.38400000000000001</v>
          </cell>
          <cell r="J47">
            <v>0.36699999999999999</v>
          </cell>
          <cell r="K47">
            <v>0.46700000000000003</v>
          </cell>
          <cell r="L47">
            <v>0.307</v>
          </cell>
          <cell r="M47">
            <v>7.1999999999999995E-2</v>
          </cell>
          <cell r="N47">
            <v>49.665999999999997</v>
          </cell>
          <cell r="O47">
            <v>287.33799999999997</v>
          </cell>
          <cell r="P47">
            <v>337.411</v>
          </cell>
          <cell r="Q47">
            <v>345.161</v>
          </cell>
          <cell r="R47">
            <v>366.76600000000002</v>
          </cell>
          <cell r="S47">
            <v>392.68299999999999</v>
          </cell>
          <cell r="T47">
            <v>732.86699999999996</v>
          </cell>
          <cell r="U47">
            <v>780.39999999999986</v>
          </cell>
          <cell r="V47">
            <v>0</v>
          </cell>
          <cell r="W47">
            <v>0</v>
          </cell>
          <cell r="X47">
            <v>916</v>
          </cell>
          <cell r="Y47">
            <v>0</v>
          </cell>
          <cell r="Z47">
            <v>0</v>
          </cell>
          <cell r="AA47">
            <v>2109.1</v>
          </cell>
          <cell r="AB47">
            <v>0</v>
          </cell>
          <cell r="AC47">
            <v>0</v>
          </cell>
          <cell r="AD47">
            <v>2851.2</v>
          </cell>
          <cell r="AE47">
            <v>0</v>
          </cell>
          <cell r="AF47">
            <v>0</v>
          </cell>
          <cell r="AG47">
            <v>2627</v>
          </cell>
          <cell r="AH47">
            <v>0</v>
          </cell>
          <cell r="AI47">
            <v>0</v>
          </cell>
          <cell r="AJ47">
            <v>2767.4</v>
          </cell>
          <cell r="AK47">
            <v>0</v>
          </cell>
          <cell r="AL47">
            <v>0</v>
          </cell>
          <cell r="AM47">
            <v>3301.7</v>
          </cell>
          <cell r="AN47">
            <v>3309.2</v>
          </cell>
          <cell r="AO47">
            <v>3417.5381251764402</v>
          </cell>
          <cell r="AP47">
            <v>3527.9968990789334</v>
          </cell>
          <cell r="AQ47">
            <v>3645.5339608489176</v>
          </cell>
          <cell r="AR47">
            <v>3770.5596936772613</v>
          </cell>
          <cell r="AS47">
            <v>3903.1678263652648</v>
          </cell>
          <cell r="AT47">
            <v>4044.0057630516849</v>
          </cell>
          <cell r="AU47">
            <v>4193.9266778185602</v>
          </cell>
          <cell r="AV47">
            <v>4353.737605171008</v>
          </cell>
        </row>
        <row r="48">
          <cell r="B48" t="str">
            <v>Accumulated amortization</v>
          </cell>
          <cell r="C48" t="str">
            <v>ACC_AMORT</v>
          </cell>
          <cell r="D48" t="str">
            <v>GBP</v>
          </cell>
          <cell r="F48">
            <v>0</v>
          </cell>
          <cell r="G48">
            <v>0</v>
          </cell>
          <cell r="H48">
            <v>0</v>
          </cell>
          <cell r="I48">
            <v>0</v>
          </cell>
          <cell r="J48">
            <v>0</v>
          </cell>
          <cell r="K48">
            <v>0</v>
          </cell>
          <cell r="L48">
            <v>0</v>
          </cell>
          <cell r="M48">
            <v>0</v>
          </cell>
          <cell r="N48">
            <v>-1.4069999999999965</v>
          </cell>
          <cell r="O48">
            <v>-9.4409999999999741</v>
          </cell>
          <cell r="P48">
            <v>-26.756000000000029</v>
          </cell>
          <cell r="Q48">
            <v>-49.805000000000007</v>
          </cell>
          <cell r="R48">
            <v>-59.757000000000005</v>
          </cell>
          <cell r="S48">
            <v>-73.168999999999983</v>
          </cell>
          <cell r="T48">
            <v>-104.03399999999999</v>
          </cell>
          <cell r="U48">
            <v>-29.599999999999909</v>
          </cell>
          <cell r="V48">
            <v>0</v>
          </cell>
          <cell r="W48">
            <v>0</v>
          </cell>
          <cell r="X48">
            <v>-67.799999999999955</v>
          </cell>
          <cell r="Y48">
            <v>0</v>
          </cell>
          <cell r="Z48">
            <v>0</v>
          </cell>
          <cell r="AA48">
            <v>-120.09999999999991</v>
          </cell>
          <cell r="AB48">
            <v>0</v>
          </cell>
          <cell r="AC48">
            <v>0</v>
          </cell>
          <cell r="AD48">
            <v>-288.69999999999982</v>
          </cell>
          <cell r="AE48">
            <v>0</v>
          </cell>
          <cell r="AF48">
            <v>0</v>
          </cell>
          <cell r="AG48">
            <v>-316.69999999999982</v>
          </cell>
          <cell r="AH48">
            <v>0</v>
          </cell>
          <cell r="AI48">
            <v>0</v>
          </cell>
          <cell r="AJ48">
            <v>-414.70000000000027</v>
          </cell>
          <cell r="AK48">
            <v>0</v>
          </cell>
          <cell r="AL48">
            <v>0</v>
          </cell>
          <cell r="AM48">
            <v>-508.59999999999991</v>
          </cell>
          <cell r="AN48">
            <v>-611</v>
          </cell>
          <cell r="AO48">
            <v>-741.1859958943287</v>
          </cell>
          <cell r="AP48">
            <v>-846.4703750682288</v>
          </cell>
          <cell r="AQ48">
            <v>-907.06428392555836</v>
          </cell>
          <cell r="AR48">
            <v>-975.40943388822006</v>
          </cell>
          <cell r="AS48">
            <v>-1051.6747409865147</v>
          </cell>
          <cell r="AT48">
            <v>-1137.0269430385179</v>
          </cell>
          <cell r="AU48">
            <v>-1233.0036120295235</v>
          </cell>
          <cell r="AV48">
            <v>-1341.059168191412</v>
          </cell>
        </row>
        <row r="49">
          <cell r="B49" t="str">
            <v>Net intangible assets</v>
          </cell>
          <cell r="C49" t="str">
            <v>NET_INTANG</v>
          </cell>
          <cell r="D49" t="str">
            <v>GBP</v>
          </cell>
          <cell r="F49">
            <v>0.26600000000000001</v>
          </cell>
          <cell r="G49">
            <v>0.26600000000000001</v>
          </cell>
          <cell r="H49">
            <v>0.39800000000000002</v>
          </cell>
          <cell r="I49">
            <v>0.38400000000000001</v>
          </cell>
          <cell r="J49">
            <v>0.36699999999999999</v>
          </cell>
          <cell r="K49">
            <v>0.46700000000000003</v>
          </cell>
          <cell r="L49">
            <v>0.307</v>
          </cell>
          <cell r="M49">
            <v>7.1999999999999995E-2</v>
          </cell>
          <cell r="N49">
            <v>48.259</v>
          </cell>
          <cell r="O49">
            <v>277.89699999999999</v>
          </cell>
          <cell r="P49">
            <v>310.65499999999997</v>
          </cell>
          <cell r="Q49">
            <v>295.35599999999999</v>
          </cell>
          <cell r="R49">
            <v>307.00900000000001</v>
          </cell>
          <cell r="S49">
            <v>319.51400000000001</v>
          </cell>
          <cell r="T49">
            <v>628.83299999999997</v>
          </cell>
          <cell r="U49">
            <v>750.8</v>
          </cell>
          <cell r="V49">
            <v>0</v>
          </cell>
          <cell r="W49">
            <v>0</v>
          </cell>
          <cell r="X49">
            <v>848.2</v>
          </cell>
          <cell r="Y49">
            <v>0</v>
          </cell>
          <cell r="Z49">
            <v>0</v>
          </cell>
          <cell r="AA49">
            <v>1989</v>
          </cell>
          <cell r="AB49">
            <v>0</v>
          </cell>
          <cell r="AC49">
            <v>0</v>
          </cell>
          <cell r="AD49">
            <v>2562.5</v>
          </cell>
          <cell r="AE49">
            <v>0</v>
          </cell>
          <cell r="AF49">
            <v>0</v>
          </cell>
          <cell r="AG49">
            <v>2310.3000000000002</v>
          </cell>
          <cell r="AH49">
            <v>0</v>
          </cell>
          <cell r="AI49">
            <v>0</v>
          </cell>
          <cell r="AJ49">
            <v>2352.6999999999998</v>
          </cell>
          <cell r="AK49">
            <v>0</v>
          </cell>
          <cell r="AL49">
            <v>0</v>
          </cell>
          <cell r="AM49">
            <v>2793.1</v>
          </cell>
          <cell r="AN49">
            <v>2698.2</v>
          </cell>
          <cell r="AO49">
            <v>2676.3521292821115</v>
          </cell>
          <cell r="AP49">
            <v>2681.5265240107046</v>
          </cell>
          <cell r="AQ49">
            <v>2738.4696769233592</v>
          </cell>
          <cell r="AR49">
            <v>2795.1502597890412</v>
          </cell>
          <cell r="AS49">
            <v>2851.49308537875</v>
          </cell>
          <cell r="AT49">
            <v>2906.978820013167</v>
          </cell>
          <cell r="AU49">
            <v>2960.9230657890366</v>
          </cell>
          <cell r="AV49">
            <v>3012.678436979596</v>
          </cell>
        </row>
        <row r="50">
          <cell r="B50" t="str">
            <v>Equity method investments</v>
          </cell>
          <cell r="C50" t="str">
            <v>FIX_ASS_INV</v>
          </cell>
          <cell r="D50" t="str">
            <v>GBP</v>
          </cell>
          <cell r="F50">
            <v>0.374</v>
          </cell>
          <cell r="G50">
            <v>0.153</v>
          </cell>
          <cell r="H50">
            <v>0</v>
          </cell>
          <cell r="I50">
            <v>0</v>
          </cell>
          <cell r="J50">
            <v>0</v>
          </cell>
          <cell r="K50">
            <v>3.4</v>
          </cell>
          <cell r="L50">
            <v>6.5759999999999996</v>
          </cell>
          <cell r="M50">
            <v>5.9980000000000002</v>
          </cell>
          <cell r="N50">
            <v>7.0209999999999999</v>
          </cell>
          <cell r="O50">
            <v>6.9390000000000001</v>
          </cell>
          <cell r="P50">
            <v>4.0650000000000004</v>
          </cell>
          <cell r="Q50">
            <v>1.7869999999999999</v>
          </cell>
          <cell r="R50">
            <v>1.401</v>
          </cell>
          <cell r="S50">
            <v>1.139</v>
          </cell>
          <cell r="T50">
            <v>1.075</v>
          </cell>
          <cell r="U50">
            <v>1.1000000000000001</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row>
        <row r="51">
          <cell r="B51" t="str">
            <v>Investments in securities</v>
          </cell>
          <cell r="C51" t="str">
            <v>INV_SECUR</v>
          </cell>
          <cell r="D51" t="str">
            <v>GBP</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1.6</v>
          </cell>
          <cell r="AE51">
            <v>0</v>
          </cell>
          <cell r="AF51">
            <v>0</v>
          </cell>
          <cell r="AG51">
            <v>1.9</v>
          </cell>
          <cell r="AH51">
            <v>0</v>
          </cell>
          <cell r="AI51">
            <v>0</v>
          </cell>
          <cell r="AJ51">
            <v>12</v>
          </cell>
          <cell r="AK51">
            <v>0</v>
          </cell>
          <cell r="AL51">
            <v>0</v>
          </cell>
          <cell r="AM51">
            <v>39.700000000000003</v>
          </cell>
          <cell r="AN51">
            <v>49.8</v>
          </cell>
          <cell r="AO51">
            <v>49.8</v>
          </cell>
          <cell r="AP51">
            <v>49.8</v>
          </cell>
          <cell r="AQ51">
            <v>49.8</v>
          </cell>
          <cell r="AR51">
            <v>49.8</v>
          </cell>
          <cell r="AS51">
            <v>49.8</v>
          </cell>
          <cell r="AT51">
            <v>49.8</v>
          </cell>
          <cell r="AU51">
            <v>49.8</v>
          </cell>
          <cell r="AV51">
            <v>49.8</v>
          </cell>
        </row>
        <row r="52">
          <cell r="B52" t="str">
            <v>Other long-term assets</v>
          </cell>
          <cell r="C52" t="str">
            <v>OTH_LT_ASS</v>
          </cell>
          <cell r="D52" t="str">
            <v>GBP</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32</v>
          </cell>
          <cell r="V52">
            <v>0</v>
          </cell>
          <cell r="W52">
            <v>0</v>
          </cell>
          <cell r="X52">
            <v>32.900000000000006</v>
          </cell>
          <cell r="Y52">
            <v>0</v>
          </cell>
          <cell r="Z52">
            <v>0</v>
          </cell>
          <cell r="AA52">
            <v>55.89999999999992</v>
          </cell>
          <cell r="AB52">
            <v>0</v>
          </cell>
          <cell r="AC52">
            <v>0</v>
          </cell>
          <cell r="AD52">
            <v>112.39999999999992</v>
          </cell>
          <cell r="AE52">
            <v>0</v>
          </cell>
          <cell r="AF52">
            <v>0</v>
          </cell>
          <cell r="AG52">
            <v>170.6</v>
          </cell>
          <cell r="AH52">
            <v>0</v>
          </cell>
          <cell r="AI52">
            <v>0</v>
          </cell>
          <cell r="AJ52">
            <v>105.00000000000037</v>
          </cell>
          <cell r="AK52">
            <v>0</v>
          </cell>
          <cell r="AL52">
            <v>0</v>
          </cell>
          <cell r="AM52">
            <v>112.50000000000054</v>
          </cell>
          <cell r="AN52">
            <v>100.19999999999965</v>
          </cell>
          <cell r="AO52">
            <v>100.19999999999968</v>
          </cell>
          <cell r="AP52">
            <v>100.1999999999997</v>
          </cell>
          <cell r="AQ52">
            <v>100.20000000000027</v>
          </cell>
          <cell r="AR52">
            <v>100.19999999999936</v>
          </cell>
          <cell r="AS52">
            <v>100.20000000000027</v>
          </cell>
          <cell r="AT52">
            <v>100.1999999999997</v>
          </cell>
          <cell r="AU52">
            <v>100.19999999999993</v>
          </cell>
          <cell r="AV52">
            <v>100.19999999999959</v>
          </cell>
        </row>
        <row r="53">
          <cell r="B53" t="str">
            <v>Total assets</v>
          </cell>
          <cell r="C53" t="str">
            <v>TOT_ASSET</v>
          </cell>
          <cell r="D53" t="str">
            <v>GBP</v>
          </cell>
          <cell r="F53">
            <v>193.167</v>
          </cell>
          <cell r="G53">
            <v>223.09700000000001</v>
          </cell>
          <cell r="H53">
            <v>252.47299999999998</v>
          </cell>
          <cell r="I53">
            <v>259.65600000000001</v>
          </cell>
          <cell r="J53">
            <v>219.381</v>
          </cell>
          <cell r="K53">
            <v>224.52800000000002</v>
          </cell>
          <cell r="L53">
            <v>175.70499999999998</v>
          </cell>
          <cell r="M53">
            <v>191.34100000000001</v>
          </cell>
          <cell r="N53">
            <v>274.488</v>
          </cell>
          <cell r="O53">
            <v>534.06399999999996</v>
          </cell>
          <cell r="P53">
            <v>583.07999999999993</v>
          </cell>
          <cell r="Q53">
            <v>578.30400000000009</v>
          </cell>
          <cell r="R53">
            <v>585.02</v>
          </cell>
          <cell r="S53">
            <v>592.47300000000007</v>
          </cell>
          <cell r="T53">
            <v>1069.5360000000001</v>
          </cell>
          <cell r="U53">
            <v>1289.0999999999999</v>
          </cell>
          <cell r="V53">
            <v>0</v>
          </cell>
          <cell r="W53">
            <v>0</v>
          </cell>
          <cell r="X53">
            <v>1408.1000000000001</v>
          </cell>
          <cell r="Y53">
            <v>0</v>
          </cell>
          <cell r="Z53">
            <v>0</v>
          </cell>
          <cell r="AA53">
            <v>2746</v>
          </cell>
          <cell r="AB53">
            <v>0</v>
          </cell>
          <cell r="AC53">
            <v>0</v>
          </cell>
          <cell r="AD53">
            <v>3570</v>
          </cell>
          <cell r="AE53">
            <v>0</v>
          </cell>
          <cell r="AF53">
            <v>0</v>
          </cell>
          <cell r="AG53">
            <v>3250.3</v>
          </cell>
          <cell r="AH53">
            <v>0</v>
          </cell>
          <cell r="AI53">
            <v>0</v>
          </cell>
          <cell r="AJ53">
            <v>3301.8</v>
          </cell>
          <cell r="AK53">
            <v>0</v>
          </cell>
          <cell r="AL53">
            <v>0</v>
          </cell>
          <cell r="AM53">
            <v>3986.1000000000004</v>
          </cell>
          <cell r="AN53">
            <v>3884.7</v>
          </cell>
          <cell r="AO53">
            <v>4035.2580168448244</v>
          </cell>
          <cell r="AP53">
            <v>4185.9697727331477</v>
          </cell>
          <cell r="AQ53">
            <v>4370.6435868749049</v>
          </cell>
          <cell r="AR53">
            <v>4564.7682690590282</v>
          </cell>
          <cell r="AS53">
            <v>4764.8893917188834</v>
          </cell>
          <cell r="AT53">
            <v>4974.7542931991202</v>
          </cell>
          <cell r="AU53">
            <v>5196.187547841042</v>
          </cell>
          <cell r="AV53">
            <v>5429.4313136267911</v>
          </cell>
        </row>
        <row r="54">
          <cell r="B54" t="str">
            <v>Accounts payable</v>
          </cell>
          <cell r="C54" t="str">
            <v>ACC_PAY_GQ</v>
          </cell>
          <cell r="D54" t="str">
            <v>GBP</v>
          </cell>
          <cell r="F54">
            <v>57.356999999999999</v>
          </cell>
          <cell r="G54">
            <v>58.707000000000008</v>
          </cell>
          <cell r="H54">
            <v>78.798000000000002</v>
          </cell>
          <cell r="I54">
            <v>82.972000000000008</v>
          </cell>
          <cell r="J54">
            <v>84.878</v>
          </cell>
          <cell r="K54">
            <v>93.566999999999993</v>
          </cell>
          <cell r="L54">
            <v>54.295000000000009</v>
          </cell>
          <cell r="M54">
            <v>59.281999999999996</v>
          </cell>
          <cell r="N54">
            <v>71.149000000000001</v>
          </cell>
          <cell r="O54">
            <v>76.915000000000006</v>
          </cell>
          <cell r="P54">
            <v>89.078999999999994</v>
          </cell>
          <cell r="Q54">
            <v>89.125</v>
          </cell>
          <cell r="R54">
            <v>87.321999999999989</v>
          </cell>
          <cell r="S54">
            <v>90.408999999999992</v>
          </cell>
          <cell r="T54">
            <v>135.51299999999998</v>
          </cell>
          <cell r="U54">
            <v>168.2</v>
          </cell>
          <cell r="V54">
            <v>0</v>
          </cell>
          <cell r="W54">
            <v>0</v>
          </cell>
          <cell r="X54">
            <v>199.6</v>
          </cell>
          <cell r="Y54">
            <v>0</v>
          </cell>
          <cell r="Z54">
            <v>0</v>
          </cell>
          <cell r="AA54">
            <v>227.1</v>
          </cell>
          <cell r="AB54">
            <v>0</v>
          </cell>
          <cell r="AC54">
            <v>0</v>
          </cell>
          <cell r="AD54">
            <v>314.60000000000002</v>
          </cell>
          <cell r="AE54">
            <v>0</v>
          </cell>
          <cell r="AF54">
            <v>0</v>
          </cell>
          <cell r="AG54">
            <v>239.2</v>
          </cell>
          <cell r="AH54">
            <v>0</v>
          </cell>
          <cell r="AI54">
            <v>0</v>
          </cell>
          <cell r="AJ54">
            <v>249.9</v>
          </cell>
          <cell r="AK54">
            <v>0</v>
          </cell>
          <cell r="AL54">
            <v>0</v>
          </cell>
          <cell r="AM54">
            <v>349.4</v>
          </cell>
          <cell r="AN54">
            <v>351.9</v>
          </cell>
          <cell r="AO54">
            <v>373.44449291000461</v>
          </cell>
          <cell r="AP54">
            <v>384.59241062171191</v>
          </cell>
          <cell r="AQ54">
            <v>421.80185965359658</v>
          </cell>
          <cell r="AR54">
            <v>461.1686287479032</v>
          </cell>
          <cell r="AS54">
            <v>501.02811544850948</v>
          </cell>
          <cell r="AT54">
            <v>544.29090415591747</v>
          </cell>
          <cell r="AU54">
            <v>592.03869518524891</v>
          </cell>
          <cell r="AV54">
            <v>644.02894001799552</v>
          </cell>
        </row>
        <row r="55">
          <cell r="B55" t="str">
            <v>Short-term debt</v>
          </cell>
          <cell r="C55" t="str">
            <v>SHORT_T_DEBT</v>
          </cell>
          <cell r="D55" t="str">
            <v>GBP</v>
          </cell>
          <cell r="F55">
            <v>18.64</v>
          </cell>
          <cell r="G55">
            <v>7.7869999999999999</v>
          </cell>
          <cell r="H55">
            <v>15.63</v>
          </cell>
          <cell r="I55">
            <v>46.793999999999997</v>
          </cell>
          <cell r="J55">
            <v>13.907999999999999</v>
          </cell>
          <cell r="K55">
            <v>14.558</v>
          </cell>
          <cell r="L55">
            <v>8.3849999999999998</v>
          </cell>
          <cell r="M55">
            <v>8.3539999999999992</v>
          </cell>
          <cell r="N55">
            <v>57.400999999999996</v>
          </cell>
          <cell r="O55">
            <v>55.673000000000009</v>
          </cell>
          <cell r="P55">
            <v>43.094999999999999</v>
          </cell>
          <cell r="Q55">
            <v>24.167000000000002</v>
          </cell>
          <cell r="R55">
            <v>18.625</v>
          </cell>
          <cell r="S55">
            <v>7.7889999999999997</v>
          </cell>
          <cell r="T55">
            <v>5.9139999999999997</v>
          </cell>
          <cell r="U55">
            <v>13</v>
          </cell>
          <cell r="V55">
            <v>0</v>
          </cell>
          <cell r="W55">
            <v>0</v>
          </cell>
          <cell r="X55">
            <v>17.3</v>
          </cell>
          <cell r="Y55">
            <v>0</v>
          </cell>
          <cell r="Z55">
            <v>0</v>
          </cell>
          <cell r="AA55">
            <v>16.7</v>
          </cell>
          <cell r="AB55">
            <v>0</v>
          </cell>
          <cell r="AC55">
            <v>0</v>
          </cell>
          <cell r="AD55">
            <v>13.5</v>
          </cell>
          <cell r="AE55">
            <v>0</v>
          </cell>
          <cell r="AF55">
            <v>0</v>
          </cell>
          <cell r="AG55">
            <v>9.6999999999999993</v>
          </cell>
          <cell r="AH55">
            <v>0</v>
          </cell>
          <cell r="AI55">
            <v>0</v>
          </cell>
          <cell r="AJ55">
            <v>12.7</v>
          </cell>
          <cell r="AK55">
            <v>0</v>
          </cell>
          <cell r="AL55">
            <v>0</v>
          </cell>
          <cell r="AM55">
            <v>7</v>
          </cell>
          <cell r="AN55">
            <v>127</v>
          </cell>
          <cell r="AO55">
            <v>127</v>
          </cell>
          <cell r="AP55">
            <v>127</v>
          </cell>
          <cell r="AQ55">
            <v>127</v>
          </cell>
          <cell r="AR55">
            <v>127</v>
          </cell>
          <cell r="AS55">
            <v>127</v>
          </cell>
          <cell r="AT55">
            <v>127</v>
          </cell>
          <cell r="AU55">
            <v>127</v>
          </cell>
          <cell r="AV55">
            <v>127</v>
          </cell>
        </row>
        <row r="56">
          <cell r="B56" t="str">
            <v>Other current liabilities</v>
          </cell>
          <cell r="C56" t="str">
            <v>OTH_CUR_LIABS</v>
          </cell>
          <cell r="D56" t="str">
            <v>GBP</v>
          </cell>
          <cell r="F56">
            <v>11.042</v>
          </cell>
          <cell r="G56">
            <v>11.501999999999999</v>
          </cell>
          <cell r="H56">
            <v>14.988</v>
          </cell>
          <cell r="I56">
            <v>12.975000000000001</v>
          </cell>
          <cell r="J56">
            <v>10.601000000000001</v>
          </cell>
          <cell r="K56">
            <v>9.3530000000000015</v>
          </cell>
          <cell r="L56">
            <v>10.247999999999999</v>
          </cell>
          <cell r="M56">
            <v>10.518000000000001</v>
          </cell>
          <cell r="N56">
            <v>9.6559999999999988</v>
          </cell>
          <cell r="O56">
            <v>9.734</v>
          </cell>
          <cell r="P56">
            <v>6.8900000000000006</v>
          </cell>
          <cell r="Q56">
            <v>8.9659999999999993</v>
          </cell>
          <cell r="R56">
            <v>15.271000000000003</v>
          </cell>
          <cell r="S56">
            <v>18.951000000000001</v>
          </cell>
          <cell r="T56">
            <v>19.689</v>
          </cell>
          <cell r="U56">
            <v>38.799999999999997</v>
          </cell>
          <cell r="V56">
            <v>0</v>
          </cell>
          <cell r="W56">
            <v>0</v>
          </cell>
          <cell r="X56">
            <v>25</v>
          </cell>
          <cell r="Y56">
            <v>0</v>
          </cell>
          <cell r="Z56">
            <v>0</v>
          </cell>
          <cell r="AA56">
            <v>63.599999999999994</v>
          </cell>
          <cell r="AB56">
            <v>0</v>
          </cell>
          <cell r="AC56">
            <v>0</v>
          </cell>
          <cell r="AD56">
            <v>109.79999999999995</v>
          </cell>
          <cell r="AE56">
            <v>0</v>
          </cell>
          <cell r="AF56">
            <v>0</v>
          </cell>
          <cell r="AG56">
            <v>88.400000000000034</v>
          </cell>
          <cell r="AH56">
            <v>0</v>
          </cell>
          <cell r="AI56">
            <v>0</v>
          </cell>
          <cell r="AJ56">
            <v>106.29999999999998</v>
          </cell>
          <cell r="AK56">
            <v>0</v>
          </cell>
          <cell r="AL56">
            <v>0</v>
          </cell>
          <cell r="AM56">
            <v>113.5</v>
          </cell>
          <cell r="AN56">
            <v>108.89999999999998</v>
          </cell>
          <cell r="AO56">
            <v>108.90000000000003</v>
          </cell>
          <cell r="AP56">
            <v>108.89999999999998</v>
          </cell>
          <cell r="AQ56">
            <v>108.89999999999998</v>
          </cell>
          <cell r="AR56">
            <v>108.89999999999998</v>
          </cell>
          <cell r="AS56">
            <v>108.89999999999992</v>
          </cell>
          <cell r="AT56">
            <v>108.89999999999998</v>
          </cell>
          <cell r="AU56">
            <v>108.89999999999998</v>
          </cell>
          <cell r="AV56">
            <v>108.89999999999998</v>
          </cell>
        </row>
        <row r="57">
          <cell r="B57" t="str">
            <v>Total current liabilities</v>
          </cell>
          <cell r="C57" t="str">
            <v>SHORT_TERM_LIABS</v>
          </cell>
          <cell r="D57" t="str">
            <v>GBP</v>
          </cell>
          <cell r="F57">
            <v>87.039000000000001</v>
          </cell>
          <cell r="G57">
            <v>77.996000000000009</v>
          </cell>
          <cell r="H57">
            <v>109.416</v>
          </cell>
          <cell r="I57">
            <v>142.74100000000001</v>
          </cell>
          <cell r="J57">
            <v>109.387</v>
          </cell>
          <cell r="K57">
            <v>117.47800000000001</v>
          </cell>
          <cell r="L57">
            <v>72.928000000000011</v>
          </cell>
          <cell r="M57">
            <v>78.153999999999996</v>
          </cell>
          <cell r="N57">
            <v>138.20600000000002</v>
          </cell>
          <cell r="O57">
            <v>142.32200000000003</v>
          </cell>
          <cell r="P57">
            <v>139.06399999999996</v>
          </cell>
          <cell r="Q57">
            <v>122.258</v>
          </cell>
          <cell r="R57">
            <v>121.21799999999999</v>
          </cell>
          <cell r="S57">
            <v>117.149</v>
          </cell>
          <cell r="T57">
            <v>161.11599999999996</v>
          </cell>
          <cell r="U57">
            <v>220</v>
          </cell>
          <cell r="V57">
            <v>0</v>
          </cell>
          <cell r="W57">
            <v>0</v>
          </cell>
          <cell r="X57">
            <v>241.9</v>
          </cell>
          <cell r="Y57">
            <v>0</v>
          </cell>
          <cell r="Z57">
            <v>0</v>
          </cell>
          <cell r="AA57">
            <v>307.39999999999998</v>
          </cell>
          <cell r="AB57">
            <v>0</v>
          </cell>
          <cell r="AC57">
            <v>0</v>
          </cell>
          <cell r="AD57">
            <v>437.9</v>
          </cell>
          <cell r="AE57">
            <v>0</v>
          </cell>
          <cell r="AF57">
            <v>0</v>
          </cell>
          <cell r="AG57">
            <v>337.3</v>
          </cell>
          <cell r="AH57">
            <v>0</v>
          </cell>
          <cell r="AI57">
            <v>0</v>
          </cell>
          <cell r="AJ57">
            <v>368.9</v>
          </cell>
          <cell r="AK57">
            <v>0</v>
          </cell>
          <cell r="AL57">
            <v>0</v>
          </cell>
          <cell r="AM57">
            <v>469.9</v>
          </cell>
          <cell r="AN57">
            <v>587.79999999999995</v>
          </cell>
          <cell r="AO57">
            <v>609.34449291000465</v>
          </cell>
          <cell r="AP57">
            <v>620.49241062171188</v>
          </cell>
          <cell r="AQ57">
            <v>657.70185965359656</v>
          </cell>
          <cell r="AR57">
            <v>697.06862874790318</v>
          </cell>
          <cell r="AS57">
            <v>736.92811544850929</v>
          </cell>
          <cell r="AT57">
            <v>780.19090415591745</v>
          </cell>
          <cell r="AU57">
            <v>827.93869518524889</v>
          </cell>
          <cell r="AV57">
            <v>879.9289400179955</v>
          </cell>
        </row>
        <row r="58">
          <cell r="B58" t="str">
            <v>Long-term  debt</v>
          </cell>
          <cell r="C58" t="str">
            <v>LT_DEBT</v>
          </cell>
          <cell r="D58" t="str">
            <v>GBP</v>
          </cell>
          <cell r="F58">
            <v>29.771999999999998</v>
          </cell>
          <cell r="G58">
            <v>28.276</v>
          </cell>
          <cell r="H58">
            <v>48.241</v>
          </cell>
          <cell r="I58">
            <v>41.048999999999999</v>
          </cell>
          <cell r="J58">
            <v>38.832000000000001</v>
          </cell>
          <cell r="K58">
            <v>39.247999999999998</v>
          </cell>
          <cell r="L58">
            <v>35.387</v>
          </cell>
          <cell r="M58">
            <v>36.607999999999997</v>
          </cell>
          <cell r="N58">
            <v>39.802</v>
          </cell>
          <cell r="O58">
            <v>183.28900000000002</v>
          </cell>
          <cell r="P58">
            <v>170.31300000000002</v>
          </cell>
          <cell r="Q58">
            <v>156.066</v>
          </cell>
          <cell r="R58">
            <v>148.096</v>
          </cell>
          <cell r="S58">
            <v>155.40200000000002</v>
          </cell>
          <cell r="T58">
            <v>366.24200000000002</v>
          </cell>
          <cell r="U58">
            <v>346.8</v>
          </cell>
          <cell r="V58">
            <v>0</v>
          </cell>
          <cell r="W58">
            <v>0</v>
          </cell>
          <cell r="X58">
            <v>380</v>
          </cell>
          <cell r="Y58">
            <v>0</v>
          </cell>
          <cell r="Z58">
            <v>0</v>
          </cell>
          <cell r="AA58">
            <v>863.1</v>
          </cell>
          <cell r="AB58">
            <v>0</v>
          </cell>
          <cell r="AC58">
            <v>0</v>
          </cell>
          <cell r="AD58">
            <v>1100.7</v>
          </cell>
          <cell r="AE58">
            <v>0</v>
          </cell>
          <cell r="AF58">
            <v>0</v>
          </cell>
          <cell r="AG58">
            <v>861</v>
          </cell>
          <cell r="AH58">
            <v>0</v>
          </cell>
          <cell r="AI58">
            <v>0</v>
          </cell>
          <cell r="AJ58">
            <v>759.8</v>
          </cell>
          <cell r="AK58">
            <v>0</v>
          </cell>
          <cell r="AL58">
            <v>0</v>
          </cell>
          <cell r="AM58">
            <v>875.30000000000007</v>
          </cell>
          <cell r="AN58">
            <v>617.29999999999995</v>
          </cell>
          <cell r="AO58">
            <v>617.29999999999995</v>
          </cell>
          <cell r="AP58">
            <v>617.29999999999995</v>
          </cell>
          <cell r="AQ58">
            <v>617.29999999999995</v>
          </cell>
          <cell r="AR58">
            <v>617.29999999999995</v>
          </cell>
          <cell r="AS58">
            <v>617.29999999999995</v>
          </cell>
          <cell r="AT58">
            <v>617.29999999999995</v>
          </cell>
          <cell r="AU58">
            <v>617.29999999999995</v>
          </cell>
          <cell r="AV58">
            <v>617.29999999999995</v>
          </cell>
          <cell r="AW58" t="str">
            <v>NK: Have included the financial lease obligations in it as this is treated as debt in company ul</v>
          </cell>
        </row>
        <row r="59">
          <cell r="B59" t="str">
            <v>Other long-term liabilities</v>
          </cell>
          <cell r="C59" t="str">
            <v>OTH_LT_CRED_GQ</v>
          </cell>
          <cell r="D59" t="str">
            <v>GBP</v>
          </cell>
          <cell r="F59">
            <v>11.057</v>
          </cell>
          <cell r="G59">
            <v>6.6059999999999999</v>
          </cell>
          <cell r="H59">
            <v>6.7790000000000008</v>
          </cell>
          <cell r="I59">
            <v>6.2749999999999995</v>
          </cell>
          <cell r="J59">
            <v>5.7409999999999997</v>
          </cell>
          <cell r="K59">
            <v>3.6909999999999998</v>
          </cell>
          <cell r="L59">
            <v>1.5640000000000001</v>
          </cell>
          <cell r="M59">
            <v>2.2150000000000003</v>
          </cell>
          <cell r="N59">
            <v>3.6520000000000001</v>
          </cell>
          <cell r="O59">
            <v>28.756999999999998</v>
          </cell>
          <cell r="P59">
            <v>53.976999999999997</v>
          </cell>
          <cell r="Q59">
            <v>50.572000000000003</v>
          </cell>
          <cell r="R59">
            <v>58.218000000000004</v>
          </cell>
          <cell r="S59">
            <v>52.455999999999996</v>
          </cell>
          <cell r="T59">
            <v>77.183000000000007</v>
          </cell>
          <cell r="U59">
            <v>225.60000000000002</v>
          </cell>
          <cell r="V59">
            <v>0</v>
          </cell>
          <cell r="W59">
            <v>0</v>
          </cell>
          <cell r="X59">
            <v>226.79999999999995</v>
          </cell>
          <cell r="Y59">
            <v>0</v>
          </cell>
          <cell r="Z59">
            <v>0</v>
          </cell>
          <cell r="AA59">
            <v>512.1</v>
          </cell>
          <cell r="AB59">
            <v>0</v>
          </cell>
          <cell r="AC59">
            <v>0</v>
          </cell>
          <cell r="AD59">
            <v>745</v>
          </cell>
          <cell r="AE59">
            <v>0</v>
          </cell>
          <cell r="AF59">
            <v>0</v>
          </cell>
          <cell r="AG59">
            <v>778.40000000000009</v>
          </cell>
          <cell r="AH59">
            <v>0</v>
          </cell>
          <cell r="AI59">
            <v>0</v>
          </cell>
          <cell r="AJ59">
            <v>734.90000000000009</v>
          </cell>
          <cell r="AK59">
            <v>0</v>
          </cell>
          <cell r="AL59">
            <v>0</v>
          </cell>
          <cell r="AM59">
            <v>847.6</v>
          </cell>
          <cell r="AN59">
            <v>774.2</v>
          </cell>
          <cell r="AO59">
            <v>749.2</v>
          </cell>
          <cell r="AP59">
            <v>724.2</v>
          </cell>
          <cell r="AQ59">
            <v>699.2</v>
          </cell>
          <cell r="AR59">
            <v>674.2</v>
          </cell>
          <cell r="AS59">
            <v>649.20000000000005</v>
          </cell>
          <cell r="AT59">
            <v>624.20000000000005</v>
          </cell>
          <cell r="AU59">
            <v>599.20000000000005</v>
          </cell>
          <cell r="AV59">
            <v>574.20000000000005</v>
          </cell>
        </row>
        <row r="60">
          <cell r="B60" t="str">
            <v>Total long-term liabilities</v>
          </cell>
          <cell r="C60" t="str">
            <v>TOT_LT_LIAB</v>
          </cell>
          <cell r="D60" t="str">
            <v>GBP</v>
          </cell>
          <cell r="F60">
            <v>40.829000000000001</v>
          </cell>
          <cell r="G60">
            <v>34.881999999999998</v>
          </cell>
          <cell r="H60">
            <v>55.02</v>
          </cell>
          <cell r="I60">
            <v>47.323999999999998</v>
          </cell>
          <cell r="J60">
            <v>44.573</v>
          </cell>
          <cell r="K60">
            <v>42.939</v>
          </cell>
          <cell r="L60">
            <v>36.951000000000001</v>
          </cell>
          <cell r="M60">
            <v>38.823</v>
          </cell>
          <cell r="N60">
            <v>43.454000000000001</v>
          </cell>
          <cell r="O60">
            <v>212.04600000000002</v>
          </cell>
          <cell r="P60">
            <v>224.29000000000002</v>
          </cell>
          <cell r="Q60">
            <v>206.63800000000001</v>
          </cell>
          <cell r="R60">
            <v>206.31400000000002</v>
          </cell>
          <cell r="S60">
            <v>207.858</v>
          </cell>
          <cell r="T60">
            <v>443.42500000000001</v>
          </cell>
          <cell r="U60">
            <v>572.40000000000009</v>
          </cell>
          <cell r="V60">
            <v>0</v>
          </cell>
          <cell r="W60">
            <v>0</v>
          </cell>
          <cell r="X60">
            <v>606.79999999999995</v>
          </cell>
          <cell r="Y60">
            <v>0</v>
          </cell>
          <cell r="Z60">
            <v>0</v>
          </cell>
          <cell r="AA60">
            <v>1375.2</v>
          </cell>
          <cell r="AB60">
            <v>0</v>
          </cell>
          <cell r="AC60">
            <v>0</v>
          </cell>
          <cell r="AD60">
            <v>1845.7</v>
          </cell>
          <cell r="AE60">
            <v>0</v>
          </cell>
          <cell r="AF60">
            <v>0</v>
          </cell>
          <cell r="AG60">
            <v>1639.4</v>
          </cell>
          <cell r="AH60">
            <v>0</v>
          </cell>
          <cell r="AI60">
            <v>0</v>
          </cell>
          <cell r="AJ60">
            <v>1494.7</v>
          </cell>
          <cell r="AK60">
            <v>0</v>
          </cell>
          <cell r="AL60">
            <v>0</v>
          </cell>
          <cell r="AM60">
            <v>1722.9</v>
          </cell>
          <cell r="AN60">
            <v>1391.5</v>
          </cell>
          <cell r="AO60">
            <v>1366.5</v>
          </cell>
          <cell r="AP60">
            <v>1341.5</v>
          </cell>
          <cell r="AQ60">
            <v>1316.5</v>
          </cell>
          <cell r="AR60">
            <v>1291.5</v>
          </cell>
          <cell r="AS60">
            <v>1266.5</v>
          </cell>
          <cell r="AT60">
            <v>1241.5</v>
          </cell>
          <cell r="AU60">
            <v>1216.5</v>
          </cell>
          <cell r="AV60">
            <v>1191.5</v>
          </cell>
        </row>
        <row r="61">
          <cell r="B61" t="str">
            <v>Total liabilities</v>
          </cell>
          <cell r="C61" t="str">
            <v>TOT_LIAB</v>
          </cell>
          <cell r="D61" t="str">
            <v>GBP</v>
          </cell>
          <cell r="F61">
            <v>127.86799999999999</v>
          </cell>
          <cell r="G61">
            <v>112.87800000000001</v>
          </cell>
          <cell r="H61">
            <v>164.43600000000001</v>
          </cell>
          <cell r="I61">
            <v>190.065</v>
          </cell>
          <cell r="J61">
            <v>153.96</v>
          </cell>
          <cell r="K61">
            <v>160.417</v>
          </cell>
          <cell r="L61">
            <v>109.87900000000002</v>
          </cell>
          <cell r="M61">
            <v>116.977</v>
          </cell>
          <cell r="N61">
            <v>181.66000000000003</v>
          </cell>
          <cell r="O61">
            <v>354.36800000000005</v>
          </cell>
          <cell r="P61">
            <v>363.35399999999998</v>
          </cell>
          <cell r="Q61">
            <v>328.89600000000002</v>
          </cell>
          <cell r="R61">
            <v>327.53200000000004</v>
          </cell>
          <cell r="S61">
            <v>325.00700000000001</v>
          </cell>
          <cell r="T61">
            <v>604.54099999999994</v>
          </cell>
          <cell r="U61">
            <v>792.40000000000009</v>
          </cell>
          <cell r="V61">
            <v>0</v>
          </cell>
          <cell r="W61">
            <v>0</v>
          </cell>
          <cell r="X61">
            <v>848.69999999999993</v>
          </cell>
          <cell r="Y61">
            <v>0</v>
          </cell>
          <cell r="Z61">
            <v>0</v>
          </cell>
          <cell r="AA61">
            <v>1682.6</v>
          </cell>
          <cell r="AB61">
            <v>0</v>
          </cell>
          <cell r="AC61">
            <v>0</v>
          </cell>
          <cell r="AD61">
            <v>2283.6</v>
          </cell>
          <cell r="AE61">
            <v>0</v>
          </cell>
          <cell r="AF61">
            <v>0</v>
          </cell>
          <cell r="AG61">
            <v>1976.7</v>
          </cell>
          <cell r="AH61">
            <v>0</v>
          </cell>
          <cell r="AI61">
            <v>0</v>
          </cell>
          <cell r="AJ61">
            <v>1863.6</v>
          </cell>
          <cell r="AK61">
            <v>0</v>
          </cell>
          <cell r="AL61">
            <v>0</v>
          </cell>
          <cell r="AM61">
            <v>2192.8000000000002</v>
          </cell>
          <cell r="AN61">
            <v>1979.3</v>
          </cell>
          <cell r="AO61">
            <v>1975.8444929100046</v>
          </cell>
          <cell r="AP61">
            <v>1961.9924106217118</v>
          </cell>
          <cell r="AQ61">
            <v>1974.2018596535966</v>
          </cell>
          <cell r="AR61">
            <v>1988.5686287479032</v>
          </cell>
          <cell r="AS61">
            <v>2003.4281154485093</v>
          </cell>
          <cell r="AT61">
            <v>2021.6909041559175</v>
          </cell>
          <cell r="AU61">
            <v>2044.4386951852489</v>
          </cell>
          <cell r="AV61">
            <v>2071.4289400179955</v>
          </cell>
        </row>
        <row r="62">
          <cell r="B62" t="str">
            <v>Preferred shares</v>
          </cell>
          <cell r="C62" t="str">
            <v>PREF_SH</v>
          </cell>
          <cell r="D62" t="str">
            <v>GBP</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row>
        <row r="63">
          <cell r="B63" t="str">
            <v>Total common equity</v>
          </cell>
          <cell r="C63" t="str">
            <v>ORD_SH_FUND</v>
          </cell>
          <cell r="D63" t="str">
            <v>GBP</v>
          </cell>
          <cell r="F63">
            <v>45.571999999999989</v>
          </cell>
          <cell r="G63">
            <v>89.438999999999993</v>
          </cell>
          <cell r="H63">
            <v>67.254999999999995</v>
          </cell>
          <cell r="I63">
            <v>68.811000000000007</v>
          </cell>
          <cell r="J63">
            <v>64.077999999999989</v>
          </cell>
          <cell r="K63">
            <v>63.574999999999996</v>
          </cell>
          <cell r="L63">
            <v>64.725999999999999</v>
          </cell>
          <cell r="M63">
            <v>74.335999999999984</v>
          </cell>
          <cell r="N63">
            <v>92.827999999999989</v>
          </cell>
          <cell r="O63">
            <v>179.68400000000003</v>
          </cell>
          <cell r="P63">
            <v>219.72400000000002</v>
          </cell>
          <cell r="Q63">
            <v>249.40800000000002</v>
          </cell>
          <cell r="R63">
            <v>257.488</v>
          </cell>
          <cell r="S63">
            <v>267.46100000000001</v>
          </cell>
          <cell r="T63">
            <v>464.995</v>
          </cell>
          <cell r="U63">
            <v>496.7</v>
          </cell>
          <cell r="V63">
            <v>0</v>
          </cell>
          <cell r="W63">
            <v>0</v>
          </cell>
          <cell r="X63">
            <v>559.40000000000009</v>
          </cell>
          <cell r="Y63">
            <v>0</v>
          </cell>
          <cell r="Z63">
            <v>0</v>
          </cell>
          <cell r="AA63">
            <v>1063.4000000000001</v>
          </cell>
          <cell r="AB63">
            <v>0</v>
          </cell>
          <cell r="AC63">
            <v>0</v>
          </cell>
          <cell r="AD63">
            <v>1286.3999999999999</v>
          </cell>
          <cell r="AE63">
            <v>0</v>
          </cell>
          <cell r="AF63">
            <v>0</v>
          </cell>
          <cell r="AG63">
            <v>1273.5999999999999</v>
          </cell>
          <cell r="AH63">
            <v>0</v>
          </cell>
          <cell r="AI63">
            <v>0</v>
          </cell>
          <cell r="AJ63">
            <v>1438.2</v>
          </cell>
          <cell r="AK63">
            <v>0</v>
          </cell>
          <cell r="AL63">
            <v>0</v>
          </cell>
          <cell r="AM63">
            <v>1793.2999999999997</v>
          </cell>
          <cell r="AN63">
            <v>1905.4</v>
          </cell>
          <cell r="AO63">
            <v>2059.4135239348198</v>
          </cell>
          <cell r="AP63">
            <v>2223.9773621114355</v>
          </cell>
          <cell r="AQ63">
            <v>2396.4417272213077</v>
          </cell>
          <cell r="AR63">
            <v>2576.1996403111257</v>
          </cell>
          <cell r="AS63">
            <v>2761.4612762703737</v>
          </cell>
          <cell r="AT63">
            <v>2953.0633890432027</v>
          </cell>
          <cell r="AU63">
            <v>3151.7488526557927</v>
          </cell>
          <cell r="AV63">
            <v>3358.0023736087942</v>
          </cell>
        </row>
        <row r="64">
          <cell r="B64" t="str">
            <v>Minority interest</v>
          </cell>
          <cell r="C64" t="str">
            <v>MINORITIES</v>
          </cell>
          <cell r="D64" t="str">
            <v>GBP</v>
          </cell>
          <cell r="F64">
            <v>19.727</v>
          </cell>
          <cell r="G64">
            <v>20.79</v>
          </cell>
          <cell r="H64">
            <v>20.782</v>
          </cell>
          <cell r="I64">
            <v>0.78</v>
          </cell>
          <cell r="J64">
            <v>1.343</v>
          </cell>
          <cell r="K64">
            <v>0.53600000000000003</v>
          </cell>
          <cell r="L64">
            <v>1.1000000000000001</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row>
        <row r="65">
          <cell r="B65" t="str">
            <v>Total shareholders' equity</v>
          </cell>
          <cell r="C65" t="str">
            <v>EQ</v>
          </cell>
          <cell r="D65" t="str">
            <v>GBP</v>
          </cell>
          <cell r="F65">
            <v>65.298999999999992</v>
          </cell>
          <cell r="G65">
            <v>110.22899999999998</v>
          </cell>
          <cell r="H65">
            <v>88.036999999999992</v>
          </cell>
          <cell r="I65">
            <v>69.591000000000008</v>
          </cell>
          <cell r="J65">
            <v>65.420999999999992</v>
          </cell>
          <cell r="K65">
            <v>64.11099999999999</v>
          </cell>
          <cell r="L65">
            <v>65.825999999999993</v>
          </cell>
          <cell r="M65">
            <v>74.335999999999984</v>
          </cell>
          <cell r="N65">
            <v>92.827999999999989</v>
          </cell>
          <cell r="O65">
            <v>179.68400000000003</v>
          </cell>
          <cell r="P65">
            <v>219.72400000000002</v>
          </cell>
          <cell r="Q65">
            <v>249.40800000000002</v>
          </cell>
          <cell r="R65">
            <v>257.488</v>
          </cell>
          <cell r="S65">
            <v>267.46100000000001</v>
          </cell>
          <cell r="T65">
            <v>464.995</v>
          </cell>
          <cell r="U65">
            <v>496.7</v>
          </cell>
          <cell r="V65">
            <v>0</v>
          </cell>
          <cell r="W65">
            <v>0</v>
          </cell>
          <cell r="X65">
            <v>559.40000000000009</v>
          </cell>
          <cell r="Y65">
            <v>0</v>
          </cell>
          <cell r="Z65">
            <v>0</v>
          </cell>
          <cell r="AA65">
            <v>1063.4000000000001</v>
          </cell>
          <cell r="AB65">
            <v>0</v>
          </cell>
          <cell r="AC65">
            <v>0</v>
          </cell>
          <cell r="AD65">
            <v>1286.3999999999999</v>
          </cell>
          <cell r="AE65">
            <v>0</v>
          </cell>
          <cell r="AF65">
            <v>0</v>
          </cell>
          <cell r="AG65">
            <v>1273.5999999999999</v>
          </cell>
          <cell r="AH65">
            <v>0</v>
          </cell>
          <cell r="AI65">
            <v>0</v>
          </cell>
          <cell r="AJ65">
            <v>1438.2</v>
          </cell>
          <cell r="AK65">
            <v>0</v>
          </cell>
          <cell r="AL65">
            <v>0</v>
          </cell>
          <cell r="AM65">
            <v>1793.2999999999997</v>
          </cell>
          <cell r="AN65">
            <v>1905.4</v>
          </cell>
          <cell r="AO65">
            <v>2059.4135239348198</v>
          </cell>
          <cell r="AP65">
            <v>2223.9773621114355</v>
          </cell>
          <cell r="AQ65">
            <v>2396.4417272213077</v>
          </cell>
          <cell r="AR65">
            <v>2576.1996403111257</v>
          </cell>
          <cell r="AS65">
            <v>2761.4612762703737</v>
          </cell>
          <cell r="AT65">
            <v>2953.0633890432027</v>
          </cell>
          <cell r="AU65">
            <v>3151.7488526557927</v>
          </cell>
          <cell r="AV65">
            <v>3358.0023736087942</v>
          </cell>
        </row>
        <row r="66">
          <cell r="B66" t="str">
            <v>Total liabilities and equity</v>
          </cell>
          <cell r="C66" t="str">
            <v>TOT_LIAB_EQ</v>
          </cell>
          <cell r="D66" t="str">
            <v>GBP</v>
          </cell>
          <cell r="F66">
            <v>193.16699999999997</v>
          </cell>
          <cell r="G66">
            <v>223.107</v>
          </cell>
          <cell r="H66">
            <v>252.47300000000001</v>
          </cell>
          <cell r="I66">
            <v>259.65600000000001</v>
          </cell>
          <cell r="J66">
            <v>219.381</v>
          </cell>
          <cell r="K66">
            <v>224.52799999999999</v>
          </cell>
          <cell r="L66">
            <v>175.70500000000001</v>
          </cell>
          <cell r="M66">
            <v>191.31299999999999</v>
          </cell>
          <cell r="N66">
            <v>274.488</v>
          </cell>
          <cell r="O66">
            <v>534.05200000000013</v>
          </cell>
          <cell r="P66">
            <v>583.07799999999997</v>
          </cell>
          <cell r="Q66">
            <v>578.30400000000009</v>
          </cell>
          <cell r="R66">
            <v>585.02</v>
          </cell>
          <cell r="S66">
            <v>592.46800000000007</v>
          </cell>
          <cell r="T66">
            <v>1069.5360000000001</v>
          </cell>
          <cell r="U66">
            <v>1289.1000000000001</v>
          </cell>
          <cell r="V66">
            <v>0</v>
          </cell>
          <cell r="W66">
            <v>0</v>
          </cell>
          <cell r="X66">
            <v>1408.1</v>
          </cell>
          <cell r="Y66">
            <v>0</v>
          </cell>
          <cell r="Z66">
            <v>0</v>
          </cell>
          <cell r="AA66">
            <v>2746</v>
          </cell>
          <cell r="AB66">
            <v>0</v>
          </cell>
          <cell r="AC66">
            <v>0</v>
          </cell>
          <cell r="AD66">
            <v>3570</v>
          </cell>
          <cell r="AE66">
            <v>0</v>
          </cell>
          <cell r="AF66">
            <v>0</v>
          </cell>
          <cell r="AG66">
            <v>3250.3</v>
          </cell>
          <cell r="AH66">
            <v>0</v>
          </cell>
          <cell r="AI66">
            <v>0</v>
          </cell>
          <cell r="AJ66">
            <v>3301.8</v>
          </cell>
          <cell r="AK66">
            <v>0</v>
          </cell>
          <cell r="AL66">
            <v>0</v>
          </cell>
          <cell r="AM66">
            <v>3986.1</v>
          </cell>
          <cell r="AN66">
            <v>3884.7</v>
          </cell>
          <cell r="AO66">
            <v>4035.2580168448244</v>
          </cell>
          <cell r="AP66">
            <v>4185.9697727331477</v>
          </cell>
          <cell r="AQ66">
            <v>4370.643586874904</v>
          </cell>
          <cell r="AR66">
            <v>4564.7682690590291</v>
          </cell>
          <cell r="AS66">
            <v>4764.8893917188834</v>
          </cell>
          <cell r="AT66">
            <v>4974.7542931991202</v>
          </cell>
          <cell r="AU66">
            <v>5196.187547841042</v>
          </cell>
          <cell r="AV66">
            <v>5429.4313136267901</v>
          </cell>
        </row>
        <row r="67">
          <cell r="A67" t="str">
            <v>Additional Balance Sheet Items</v>
          </cell>
          <cell r="B67">
            <v>0</v>
          </cell>
          <cell r="C67">
            <v>0</v>
          </cell>
          <cell r="D67">
            <v>0</v>
          </cell>
        </row>
        <row r="68">
          <cell r="B68" t="str">
            <v>Net debt</v>
          </cell>
          <cell r="C68" t="str">
            <v>NET_DEBT</v>
          </cell>
          <cell r="D68" t="str">
            <v>GBP</v>
          </cell>
          <cell r="F68">
            <v>35.488999999999997</v>
          </cell>
          <cell r="G68">
            <v>-22.137</v>
          </cell>
          <cell r="H68">
            <v>11.791000000000004</v>
          </cell>
          <cell r="I68">
            <v>17.629999999999995</v>
          </cell>
          <cell r="J68">
            <v>17.959000000000003</v>
          </cell>
          <cell r="K68">
            <v>2.6039999999999992</v>
          </cell>
          <cell r="L68">
            <v>9.8239999999999981</v>
          </cell>
          <cell r="M68">
            <v>4.6269999999999953</v>
          </cell>
          <cell r="N68">
            <v>57.693000000000005</v>
          </cell>
          <cell r="O68">
            <v>213.16600000000003</v>
          </cell>
          <cell r="P68">
            <v>182.52800000000002</v>
          </cell>
          <cell r="Q68">
            <v>149.435</v>
          </cell>
          <cell r="R68">
            <v>139.67099999999999</v>
          </cell>
          <cell r="S68">
            <v>140.52100000000002</v>
          </cell>
          <cell r="T68">
            <v>328.20499999999998</v>
          </cell>
          <cell r="U68">
            <v>314.3</v>
          </cell>
          <cell r="V68">
            <v>0</v>
          </cell>
          <cell r="W68">
            <v>0</v>
          </cell>
          <cell r="X68">
            <v>353.7</v>
          </cell>
          <cell r="Y68">
            <v>0</v>
          </cell>
          <cell r="Z68">
            <v>0</v>
          </cell>
          <cell r="AA68">
            <v>815.40000000000009</v>
          </cell>
          <cell r="AB68">
            <v>0</v>
          </cell>
          <cell r="AC68">
            <v>0</v>
          </cell>
          <cell r="AD68">
            <v>1047.9000000000001</v>
          </cell>
          <cell r="AE68">
            <v>0</v>
          </cell>
          <cell r="AF68">
            <v>0</v>
          </cell>
          <cell r="AG68">
            <v>808.6</v>
          </cell>
          <cell r="AH68">
            <v>0</v>
          </cell>
          <cell r="AI68">
            <v>0</v>
          </cell>
          <cell r="AJ68">
            <v>721.4</v>
          </cell>
          <cell r="AK68">
            <v>0</v>
          </cell>
          <cell r="AL68">
            <v>0</v>
          </cell>
          <cell r="AM68">
            <v>788.40000000000009</v>
          </cell>
          <cell r="AN68">
            <v>642.5</v>
          </cell>
          <cell r="AO68">
            <v>514.28479064949079</v>
          </cell>
          <cell r="AP68">
            <v>414.13743677318189</v>
          </cell>
          <cell r="AQ68">
            <v>425.0966184866142</v>
          </cell>
          <cell r="AR68">
            <v>435.03124767882412</v>
          </cell>
          <cell r="AS68">
            <v>444.09768802305047</v>
          </cell>
          <cell r="AT68">
            <v>453.69188843042537</v>
          </cell>
          <cell r="AU68">
            <v>463.4300189734962</v>
          </cell>
          <cell r="AV68">
            <v>471.9796964525932</v>
          </cell>
        </row>
        <row r="69">
          <cell r="B69" t="str">
            <v>Capitalized leases</v>
          </cell>
          <cell r="C69" t="str">
            <v>CAP_LEASES</v>
          </cell>
          <cell r="D69" t="str">
            <v>GBP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row>
        <row r="70">
          <cell r="B70" t="str">
            <v>Deferred income taxes</v>
          </cell>
          <cell r="C70" t="str">
            <v>DEF_INC_TAX</v>
          </cell>
          <cell r="D70" t="str">
            <v>GBP</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row>
        <row r="71">
          <cell r="B71" t="str">
            <v>Associates (mkt value) used in EV calculation</v>
          </cell>
          <cell r="C71" t="str">
            <v>MV_ASSOCIATES</v>
          </cell>
          <cell r="D71" t="str">
            <v>GBP</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row>
        <row r="72">
          <cell r="B72" t="str">
            <v>Net debt adjustment</v>
          </cell>
          <cell r="C72" t="str">
            <v>NET_DEBT_ADJ</v>
          </cell>
          <cell r="D72" t="str">
            <v>GBP</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0.50000000000002842</v>
          </cell>
          <cell r="AB72">
            <v>0</v>
          </cell>
          <cell r="AC72">
            <v>0</v>
          </cell>
          <cell r="AD72">
            <v>1.0000000000000426</v>
          </cell>
          <cell r="AE72">
            <v>0</v>
          </cell>
          <cell r="AF72">
            <v>0</v>
          </cell>
          <cell r="AG72">
            <v>0.79999999999997584</v>
          </cell>
          <cell r="AH72">
            <v>0</v>
          </cell>
          <cell r="AI72">
            <v>0</v>
          </cell>
          <cell r="AJ72">
            <v>0.79999999999997584</v>
          </cell>
          <cell r="AK72">
            <v>0</v>
          </cell>
          <cell r="AL72">
            <v>0</v>
          </cell>
          <cell r="AM72">
            <v>0.70000000000001705</v>
          </cell>
          <cell r="AN72">
            <v>3.1000000000000512</v>
          </cell>
          <cell r="AO72">
            <v>3.1000000000000512</v>
          </cell>
          <cell r="AP72">
            <v>3.1000000000000227</v>
          </cell>
          <cell r="AQ72">
            <v>3.1000000000000227</v>
          </cell>
          <cell r="AR72">
            <v>3.1000000000000227</v>
          </cell>
          <cell r="AS72">
            <v>3.1000000000000227</v>
          </cell>
          <cell r="AT72">
            <v>3.1000000000000227</v>
          </cell>
          <cell r="AU72">
            <v>3.1000000000000227</v>
          </cell>
          <cell r="AV72">
            <v>3.1000000000000227</v>
          </cell>
          <cell r="AW72" t="str">
            <v>Balancing item</v>
          </cell>
        </row>
        <row r="73">
          <cell r="B73" t="str">
            <v>Company borrowing margin</v>
          </cell>
          <cell r="C73" t="str">
            <v>CO_BOR_MARGIN</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B74" t="str">
            <v>Unfunded pensions &amp; other provisions</v>
          </cell>
          <cell r="C74" t="str">
            <v>UNF_PENS</v>
          </cell>
          <cell r="D74" t="str">
            <v>GBP</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-33.414500000000004</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row>
        <row r="75">
          <cell r="B75" t="str">
            <v>Unfunded pension liabilities (off balance sheet)</v>
          </cell>
          <cell r="C75" t="str">
            <v>UNF_PENS_OFF</v>
          </cell>
          <cell r="D75" t="str">
            <v>GBP</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row>
        <row r="76">
          <cell r="B76" t="str">
            <v>Unfunded pension liabilities &amp; other, used in EV</v>
          </cell>
          <cell r="C76" t="str">
            <v>UNF_PENS_LIAB_OTH</v>
          </cell>
          <cell r="D76" t="str">
            <v>GBP</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33.414500000000004</v>
          </cell>
          <cell r="V76">
            <v>0</v>
          </cell>
          <cell r="W76">
            <v>0</v>
          </cell>
          <cell r="X76">
            <v>66.400000000000006</v>
          </cell>
          <cell r="Y76">
            <v>0</v>
          </cell>
          <cell r="Z76">
            <v>0</v>
          </cell>
          <cell r="AA76">
            <v>100.50000000000001</v>
          </cell>
          <cell r="AB76">
            <v>0</v>
          </cell>
          <cell r="AC76">
            <v>0</v>
          </cell>
          <cell r="AD76">
            <v>158.79999999999998</v>
          </cell>
          <cell r="AE76">
            <v>0</v>
          </cell>
          <cell r="AF76">
            <v>0</v>
          </cell>
          <cell r="AG76">
            <v>186.9</v>
          </cell>
          <cell r="AH76">
            <v>0</v>
          </cell>
          <cell r="AI76">
            <v>0</v>
          </cell>
          <cell r="AJ76">
            <v>176.10000000000002</v>
          </cell>
          <cell r="AK76">
            <v>0</v>
          </cell>
          <cell r="AL76">
            <v>0</v>
          </cell>
          <cell r="AM76">
            <v>218.2</v>
          </cell>
          <cell r="AN76">
            <v>200.79399999999998</v>
          </cell>
          <cell r="AO76">
            <v>184.0444170837504</v>
          </cell>
          <cell r="AP76">
            <v>167.29483416750082</v>
          </cell>
          <cell r="AQ76">
            <v>150.54525125125122</v>
          </cell>
          <cell r="AR76">
            <v>133.79566833500166</v>
          </cell>
          <cell r="AS76">
            <v>117.04608541875207</v>
          </cell>
          <cell r="AT76">
            <v>100.29650250250249</v>
          </cell>
          <cell r="AU76">
            <v>83.546919586252898</v>
          </cell>
          <cell r="AV76">
            <v>66.797336670003318</v>
          </cell>
        </row>
        <row r="77">
          <cell r="B77" t="str">
            <v>Adjustment for unfunded pensions &amp; goodwill</v>
          </cell>
          <cell r="C77" t="str">
            <v>ADJ_UNF_PENS_GOOD</v>
          </cell>
          <cell r="D77" t="str">
            <v>GBP</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B78" t="str">
            <v>Other GCI adjustments</v>
          </cell>
          <cell r="C78" t="str">
            <v>OTH_GCI_ADJ</v>
          </cell>
          <cell r="D78" t="str">
            <v>GBP</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-45.8</v>
          </cell>
          <cell r="Y78">
            <v>0</v>
          </cell>
          <cell r="Z78">
            <v>0</v>
          </cell>
          <cell r="AA78">
            <v>-68.199999999999989</v>
          </cell>
          <cell r="AB78">
            <v>0</v>
          </cell>
          <cell r="AC78">
            <v>0</v>
          </cell>
          <cell r="AD78">
            <v>-91.899999999999991</v>
          </cell>
          <cell r="AE78">
            <v>0</v>
          </cell>
          <cell r="AF78">
            <v>0</v>
          </cell>
          <cell r="AG78">
            <v>-127</v>
          </cell>
          <cell r="AH78">
            <v>0</v>
          </cell>
          <cell r="AI78">
            <v>0</v>
          </cell>
          <cell r="AJ78">
            <v>-160.5</v>
          </cell>
          <cell r="AK78">
            <v>0</v>
          </cell>
          <cell r="AL78">
            <v>0</v>
          </cell>
          <cell r="AM78">
            <v>-201.7</v>
          </cell>
          <cell r="AN78">
            <v>-253.89999999999998</v>
          </cell>
          <cell r="AO78">
            <v>-309.23964972055342</v>
          </cell>
          <cell r="AP78">
            <v>-366.20387036391844</v>
          </cell>
          <cell r="AQ78">
            <v>-428.59057352951794</v>
          </cell>
          <cell r="AR78">
            <v>-496.71414254303147</v>
          </cell>
          <cell r="AS78">
            <v>-570.64638047271376</v>
          </cell>
          <cell r="AT78">
            <v>-650.88324590247055</v>
          </cell>
          <cell r="AU78">
            <v>-738.07833213549679</v>
          </cell>
          <cell r="AV78">
            <v>-832.84988620847105</v>
          </cell>
        </row>
        <row r="79">
          <cell r="B79" t="str">
            <v>GCI inflator</v>
          </cell>
          <cell r="C79" t="str">
            <v>GCI_INFL</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B80" t="str">
            <v>Minority interest</v>
          </cell>
          <cell r="C80" t="str">
            <v>BAL_MINO_INT</v>
          </cell>
          <cell r="D80" t="str">
            <v>GBP</v>
          </cell>
          <cell r="F80">
            <v>34.430107827003255</v>
          </cell>
          <cell r="G80">
            <v>22.774608082963137</v>
          </cell>
          <cell r="H80">
            <v>40.696599802365739</v>
          </cell>
          <cell r="I80">
            <v>1.7830755759305921</v>
          </cell>
          <cell r="J80">
            <v>3.0176595391071199</v>
          </cell>
          <cell r="K80">
            <v>1.050734922653622</v>
          </cell>
          <cell r="L80">
            <v>2.6067321599724993</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A81" t="str">
            <v>Cash Flow Statement</v>
          </cell>
          <cell r="B81">
            <v>0</v>
          </cell>
          <cell r="C81">
            <v>0</v>
          </cell>
          <cell r="D81">
            <v>0</v>
          </cell>
        </row>
        <row r="82">
          <cell r="B82" t="str">
            <v>Minority interest add-back</v>
          </cell>
          <cell r="C82" t="str">
            <v>CF_INC_MINORITY</v>
          </cell>
          <cell r="D82" t="str">
            <v>GBP</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B83" t="str">
            <v>Depreciation &amp; amortization add-back</v>
          </cell>
          <cell r="C83" t="str">
            <v>DEPR_AMORT</v>
          </cell>
          <cell r="D83" t="str">
            <v>GBP</v>
          </cell>
          <cell r="F83">
            <v>8.2070000000000007</v>
          </cell>
          <cell r="G83">
            <v>8.3450000000000006</v>
          </cell>
          <cell r="H83">
            <v>9.782</v>
          </cell>
          <cell r="I83">
            <v>9.270999999999999</v>
          </cell>
          <cell r="J83">
            <v>9.0900000000000016</v>
          </cell>
          <cell r="K83">
            <v>8.5659999999999989</v>
          </cell>
          <cell r="L83">
            <v>7.1920000000000002</v>
          </cell>
          <cell r="M83">
            <v>7.0970000000000004</v>
          </cell>
          <cell r="N83">
            <v>9.2720000000000002</v>
          </cell>
          <cell r="O83">
            <v>17.841999999999999</v>
          </cell>
          <cell r="P83">
            <v>26.503</v>
          </cell>
          <cell r="Q83">
            <v>29.334</v>
          </cell>
          <cell r="R83">
            <v>29.756999999999998</v>
          </cell>
          <cell r="S83">
            <v>30.969000000000001</v>
          </cell>
          <cell r="T83">
            <v>40.253</v>
          </cell>
          <cell r="U83">
            <v>29.1</v>
          </cell>
          <cell r="V83">
            <v>0</v>
          </cell>
          <cell r="W83">
            <v>0</v>
          </cell>
          <cell r="X83">
            <v>37</v>
          </cell>
          <cell r="Y83">
            <v>0</v>
          </cell>
          <cell r="Z83">
            <v>0</v>
          </cell>
          <cell r="AA83">
            <v>71.8</v>
          </cell>
          <cell r="AB83">
            <v>0</v>
          </cell>
          <cell r="AC83">
            <v>0</v>
          </cell>
          <cell r="AD83">
            <v>108.80000000000001</v>
          </cell>
          <cell r="AE83">
            <v>0</v>
          </cell>
          <cell r="AF83">
            <v>0</v>
          </cell>
          <cell r="AG83">
            <v>126.4</v>
          </cell>
          <cell r="AH83">
            <v>0</v>
          </cell>
          <cell r="AI83">
            <v>0</v>
          </cell>
          <cell r="AJ83">
            <v>125.39999999999999</v>
          </cell>
          <cell r="AK83">
            <v>0</v>
          </cell>
          <cell r="AL83">
            <v>0</v>
          </cell>
          <cell r="AM83">
            <v>144.10000000000002</v>
          </cell>
          <cell r="AN83">
            <v>154.69999999999999</v>
          </cell>
          <cell r="AO83">
            <v>164.00467072355585</v>
          </cell>
          <cell r="AP83">
            <v>168.81925160016425</v>
          </cell>
          <cell r="AQ83">
            <v>184.88932911337628</v>
          </cell>
          <cell r="AR83">
            <v>201.89111353238587</v>
          </cell>
          <cell r="AS83">
            <v>219.10569363451819</v>
          </cell>
          <cell r="AT83">
            <v>237.7900973560034</v>
          </cell>
          <cell r="AU83">
            <v>258.41149119251253</v>
          </cell>
          <cell r="AV83">
            <v>280.86512289442743</v>
          </cell>
        </row>
        <row r="84">
          <cell r="B84" t="str">
            <v>(Increase)/decrease in working capital</v>
          </cell>
          <cell r="C84" t="str">
            <v>WORK_CAP</v>
          </cell>
          <cell r="D84" t="str">
            <v>GBP</v>
          </cell>
          <cell r="F84">
            <v>0.4529999999999994</v>
          </cell>
          <cell r="G84">
            <v>12.911999999999999</v>
          </cell>
          <cell r="H84">
            <v>-7.2130000000000001</v>
          </cell>
          <cell r="I84">
            <v>2.6779999999999999</v>
          </cell>
          <cell r="J84">
            <v>-2.9239999999999999</v>
          </cell>
          <cell r="K84">
            <v>-13.736000000000001</v>
          </cell>
          <cell r="L84">
            <v>-2.1669999999999998</v>
          </cell>
          <cell r="M84">
            <v>1.9370000000000003</v>
          </cell>
          <cell r="N84">
            <v>-3.5849999999999995</v>
          </cell>
          <cell r="O84">
            <v>-16.519000000000002</v>
          </cell>
          <cell r="P84">
            <v>-9.2799999999999994</v>
          </cell>
          <cell r="Q84">
            <v>-8.1379999999999999</v>
          </cell>
          <cell r="R84">
            <v>-8.8260000000000023</v>
          </cell>
          <cell r="S84">
            <v>-12.801</v>
          </cell>
          <cell r="T84">
            <v>-0.14599999999999902</v>
          </cell>
          <cell r="U84">
            <v>-4.0999999999999979</v>
          </cell>
          <cell r="V84">
            <v>0</v>
          </cell>
          <cell r="W84">
            <v>0</v>
          </cell>
          <cell r="X84">
            <v>-11.8</v>
          </cell>
          <cell r="Y84">
            <v>0</v>
          </cell>
          <cell r="Z84">
            <v>0</v>
          </cell>
          <cell r="AA84">
            <v>-6.5</v>
          </cell>
          <cell r="AB84">
            <v>0</v>
          </cell>
          <cell r="AC84">
            <v>0</v>
          </cell>
          <cell r="AD84">
            <v>-12.2</v>
          </cell>
          <cell r="AE84">
            <v>0</v>
          </cell>
          <cell r="AF84">
            <v>0</v>
          </cell>
          <cell r="AG84">
            <v>8.1000000000000014</v>
          </cell>
          <cell r="AH84">
            <v>0</v>
          </cell>
          <cell r="AI84">
            <v>0</v>
          </cell>
          <cell r="AJ84">
            <v>-69.599999999999994</v>
          </cell>
          <cell r="AK84">
            <v>0</v>
          </cell>
          <cell r="AL84">
            <v>0</v>
          </cell>
          <cell r="AM84">
            <v>-16.700000000000003</v>
          </cell>
          <cell r="AN84">
            <v>-11.3</v>
          </cell>
          <cell r="AO84">
            <v>-20.209239580573808</v>
          </cell>
          <cell r="AP84">
            <v>-10.457008238787409</v>
          </cell>
          <cell r="AQ84">
            <v>-34.903335775302253</v>
          </cell>
          <cell r="AR84">
            <v>-36.926952584274147</v>
          </cell>
          <cell r="AS84">
            <v>-37.389133253500063</v>
          </cell>
          <cell r="AT84">
            <v>-40.581510345307208</v>
          </cell>
          <cell r="AU84">
            <v>-44.788547699205481</v>
          </cell>
          <cell r="AV84">
            <v>-48.768068854837566</v>
          </cell>
        </row>
        <row r="85">
          <cell r="B85" t="str">
            <v>Other operating cash flow items</v>
          </cell>
          <cell r="C85" t="str">
            <v>OTH_OP_CF</v>
          </cell>
          <cell r="D85" t="str">
            <v>GBP</v>
          </cell>
          <cell r="F85">
            <v>-8.7209999999999859</v>
          </cell>
          <cell r="G85">
            <v>-3.2239999999999771</v>
          </cell>
          <cell r="H85">
            <v>-1.7060000000000244</v>
          </cell>
          <cell r="I85">
            <v>5.2289999999999814</v>
          </cell>
          <cell r="J85">
            <v>2.5270000000000046</v>
          </cell>
          <cell r="K85">
            <v>0.66400000000000503</v>
          </cell>
          <cell r="L85">
            <v>3.6370000000000413</v>
          </cell>
          <cell r="M85">
            <v>1.4270000000000316</v>
          </cell>
          <cell r="N85">
            <v>1.7169999999999987</v>
          </cell>
          <cell r="O85">
            <v>-3.0409999999999897</v>
          </cell>
          <cell r="P85">
            <v>-7.1653059999999726</v>
          </cell>
          <cell r="Q85">
            <v>-17.806557999999985</v>
          </cell>
          <cell r="R85">
            <v>-13.322749000000037</v>
          </cell>
          <cell r="S85">
            <v>-10.858355999999993</v>
          </cell>
          <cell r="T85">
            <v>-28.395000000000024</v>
          </cell>
          <cell r="U85">
            <v>-18.799999999999983</v>
          </cell>
          <cell r="V85">
            <v>0</v>
          </cell>
          <cell r="W85">
            <v>0</v>
          </cell>
          <cell r="X85">
            <v>-16.999999999999986</v>
          </cell>
          <cell r="Y85">
            <v>0</v>
          </cell>
          <cell r="Z85">
            <v>0</v>
          </cell>
          <cell r="AA85">
            <v>2.3000000000000256</v>
          </cell>
          <cell r="AB85">
            <v>0</v>
          </cell>
          <cell r="AC85">
            <v>0</v>
          </cell>
          <cell r="AD85">
            <v>6.6999999999999744</v>
          </cell>
          <cell r="AE85">
            <v>0</v>
          </cell>
          <cell r="AF85">
            <v>0</v>
          </cell>
          <cell r="AG85">
            <v>-34.400000000000006</v>
          </cell>
          <cell r="AH85">
            <v>0</v>
          </cell>
          <cell r="AI85">
            <v>0</v>
          </cell>
          <cell r="AJ85">
            <v>57.400000000000034</v>
          </cell>
          <cell r="AK85">
            <v>0</v>
          </cell>
          <cell r="AL85">
            <v>0</v>
          </cell>
          <cell r="AM85">
            <v>-6.9000000000000625</v>
          </cell>
          <cell r="AN85">
            <v>-55.099999999999966</v>
          </cell>
          <cell r="AO85">
            <v>-49.489385221164383</v>
          </cell>
          <cell r="AP85">
            <v>-50.208304537581057</v>
          </cell>
          <cell r="AQ85">
            <v>-52.60790887213318</v>
          </cell>
          <cell r="AR85">
            <v>-55.146636862301875</v>
          </cell>
          <cell r="AS85">
            <v>-57.717139773480142</v>
          </cell>
          <cell r="AT85">
            <v>-60.507118609719953</v>
          </cell>
          <cell r="AU85">
            <v>-63.586331264040325</v>
          </cell>
          <cell r="AV85">
            <v>-66.939135997810297</v>
          </cell>
        </row>
        <row r="86">
          <cell r="B86" t="str">
            <v>Cash flow from operating activities</v>
          </cell>
          <cell r="C86" t="str">
            <v>CF_OPS</v>
          </cell>
          <cell r="D86" t="str">
            <v>GBP</v>
          </cell>
          <cell r="F86">
            <v>14.267000000000007</v>
          </cell>
          <cell r="G86">
            <v>29.842999999999996</v>
          </cell>
          <cell r="H86">
            <v>17.896000000000001</v>
          </cell>
          <cell r="I86">
            <v>32.531999999999989</v>
          </cell>
          <cell r="J86">
            <v>17.837000000000003</v>
          </cell>
          <cell r="K86">
            <v>6.7000000000000011</v>
          </cell>
          <cell r="L86">
            <v>23.856000000000002</v>
          </cell>
          <cell r="M86">
            <v>30.797999999999998</v>
          </cell>
          <cell r="N86">
            <v>31.153000000000016</v>
          </cell>
          <cell r="O86">
            <v>31.694999999999993</v>
          </cell>
          <cell r="P86">
            <v>55.112000000000023</v>
          </cell>
          <cell r="Q86">
            <v>52.704000000000008</v>
          </cell>
          <cell r="R86">
            <v>56.773999999999958</v>
          </cell>
          <cell r="S86">
            <v>60.66</v>
          </cell>
          <cell r="T86">
            <v>78.09499999999997</v>
          </cell>
          <cell r="U86">
            <v>92.299999999999983</v>
          </cell>
          <cell r="V86">
            <v>0</v>
          </cell>
          <cell r="W86">
            <v>0</v>
          </cell>
          <cell r="X86">
            <v>102.5</v>
          </cell>
          <cell r="Y86">
            <v>0</v>
          </cell>
          <cell r="Z86">
            <v>0</v>
          </cell>
          <cell r="AA86">
            <v>156.9</v>
          </cell>
          <cell r="AB86">
            <v>0</v>
          </cell>
          <cell r="AC86">
            <v>0</v>
          </cell>
          <cell r="AD86">
            <v>202.4</v>
          </cell>
          <cell r="AE86">
            <v>0</v>
          </cell>
          <cell r="AF86">
            <v>0</v>
          </cell>
          <cell r="AG86">
            <v>238.9</v>
          </cell>
          <cell r="AH86">
            <v>0</v>
          </cell>
          <cell r="AI86">
            <v>0</v>
          </cell>
          <cell r="AJ86">
            <v>252</v>
          </cell>
          <cell r="AK86">
            <v>0</v>
          </cell>
          <cell r="AL86">
            <v>0</v>
          </cell>
          <cell r="AM86">
            <v>305.39999999999998</v>
          </cell>
          <cell r="AN86">
            <v>331.6</v>
          </cell>
          <cell r="AO86">
            <v>353.16541825162466</v>
          </cell>
          <cell r="AP86">
            <v>386.31819102919741</v>
          </cell>
          <cell r="AQ86">
            <v>394.68167888827151</v>
          </cell>
          <cell r="AR86">
            <v>426.67652652228747</v>
          </cell>
          <cell r="AS86">
            <v>459.62809407305934</v>
          </cell>
          <cell r="AT86">
            <v>493.22558728959859</v>
          </cell>
          <cell r="AU86">
            <v>529.66478336257819</v>
          </cell>
          <cell r="AV86">
            <v>569.94258887494027</v>
          </cell>
        </row>
        <row r="87">
          <cell r="B87" t="str">
            <v>Capital expenditures, Capex</v>
          </cell>
          <cell r="C87" t="str">
            <v>CAPEX</v>
          </cell>
          <cell r="D87" t="str">
            <v>GBP</v>
          </cell>
          <cell r="F87">
            <v>-7.3999999999999844E-2</v>
          </cell>
          <cell r="G87">
            <v>-8.4730000000000008</v>
          </cell>
          <cell r="H87">
            <v>-6.4239999999999995</v>
          </cell>
          <cell r="I87">
            <v>-6.8019999999999996</v>
          </cell>
          <cell r="J87">
            <v>-7.8549999999999995</v>
          </cell>
          <cell r="K87">
            <v>-7.5530000000000008</v>
          </cell>
          <cell r="L87">
            <v>-7.7509999999999994</v>
          </cell>
          <cell r="M87">
            <v>-10.734999999999999</v>
          </cell>
          <cell r="N87">
            <v>-7.7000000000000011</v>
          </cell>
          <cell r="O87">
            <v>-8.3670000000000009</v>
          </cell>
          <cell r="P87">
            <v>-12.82</v>
          </cell>
          <cell r="Q87">
            <v>-15.898000000000001</v>
          </cell>
          <cell r="R87">
            <v>-12.417000000000002</v>
          </cell>
          <cell r="S87">
            <v>-9.9060000000000006</v>
          </cell>
          <cell r="T87">
            <v>-13.967000000000001</v>
          </cell>
          <cell r="U87">
            <v>-15.7</v>
          </cell>
          <cell r="V87">
            <v>0</v>
          </cell>
          <cell r="W87">
            <v>0</v>
          </cell>
          <cell r="X87">
            <v>-45</v>
          </cell>
          <cell r="Y87">
            <v>0</v>
          </cell>
          <cell r="Z87">
            <v>0</v>
          </cell>
          <cell r="AA87">
            <v>-63.6</v>
          </cell>
          <cell r="AB87">
            <v>0</v>
          </cell>
          <cell r="AC87">
            <v>0</v>
          </cell>
          <cell r="AD87">
            <v>-64.199999999999989</v>
          </cell>
          <cell r="AE87">
            <v>0</v>
          </cell>
          <cell r="AF87">
            <v>0</v>
          </cell>
          <cell r="AG87">
            <v>-60</v>
          </cell>
          <cell r="AH87">
            <v>0</v>
          </cell>
          <cell r="AI87">
            <v>0</v>
          </cell>
          <cell r="AJ87">
            <v>-61</v>
          </cell>
          <cell r="AK87">
            <v>0</v>
          </cell>
          <cell r="AL87">
            <v>0</v>
          </cell>
          <cell r="AM87">
            <v>-85.800000000000011</v>
          </cell>
          <cell r="AN87">
            <v>-115.4</v>
          </cell>
          <cell r="AO87">
            <v>-108.49374572729286</v>
          </cell>
          <cell r="AP87">
            <v>-111.67872766168367</v>
          </cell>
          <cell r="AQ87">
            <v>-122.30954016137852</v>
          </cell>
          <cell r="AR87">
            <v>-133.55670323013945</v>
          </cell>
          <cell r="AS87">
            <v>-144.94463668449202</v>
          </cell>
          <cell r="AT87">
            <v>-157.30490019090044</v>
          </cell>
          <cell r="AU87">
            <v>-170.94653764896859</v>
          </cell>
          <cell r="AV87">
            <v>-185.80025247168882</v>
          </cell>
          <cell r="AW87" t="str">
            <v>CH: Net Capex (of disposals) including intangible expenses</v>
          </cell>
        </row>
        <row r="88">
          <cell r="B88" t="str">
            <v>Acquisitions</v>
          </cell>
          <cell r="C88" t="str">
            <v>ACQ</v>
          </cell>
          <cell r="D88" t="str">
            <v>GBP</v>
          </cell>
          <cell r="F88">
            <v>-11.365</v>
          </cell>
          <cell r="G88">
            <v>-3.2229999999999999</v>
          </cell>
          <cell r="H88">
            <v>-31.25</v>
          </cell>
          <cell r="I88">
            <v>-4.9690000000000003</v>
          </cell>
          <cell r="J88">
            <v>-1.216</v>
          </cell>
          <cell r="K88">
            <v>-4.3609999999999998</v>
          </cell>
          <cell r="L88">
            <v>-14.725999999999999</v>
          </cell>
          <cell r="M88">
            <v>-5.22</v>
          </cell>
          <cell r="N88">
            <v>-60.451000000000001</v>
          </cell>
          <cell r="O88">
            <v>-251.18799999999999</v>
          </cell>
          <cell r="P88">
            <v>-16.557000000000002</v>
          </cell>
          <cell r="Q88">
            <v>-1.7350000000000003</v>
          </cell>
          <cell r="R88">
            <v>-54.399000000000001</v>
          </cell>
          <cell r="S88">
            <v>-60.442999999999998</v>
          </cell>
          <cell r="T88">
            <v>-433.53300000000002</v>
          </cell>
          <cell r="U88">
            <v>1.4</v>
          </cell>
          <cell r="V88">
            <v>0</v>
          </cell>
          <cell r="W88">
            <v>0</v>
          </cell>
          <cell r="X88">
            <v>-81.599999999999994</v>
          </cell>
          <cell r="Y88">
            <v>0</v>
          </cell>
          <cell r="Z88">
            <v>0</v>
          </cell>
          <cell r="AA88">
            <v>-552.1</v>
          </cell>
          <cell r="AB88">
            <v>0</v>
          </cell>
          <cell r="AC88">
            <v>0</v>
          </cell>
          <cell r="AD88">
            <v>-9.1999999999999993</v>
          </cell>
          <cell r="AE88">
            <v>0</v>
          </cell>
          <cell r="AF88">
            <v>0</v>
          </cell>
          <cell r="AG88">
            <v>-0.7</v>
          </cell>
          <cell r="AH88">
            <v>0</v>
          </cell>
          <cell r="AI88">
            <v>0</v>
          </cell>
          <cell r="AJ88">
            <v>0</v>
          </cell>
          <cell r="AK88">
            <v>0</v>
          </cell>
          <cell r="AL88">
            <v>0</v>
          </cell>
          <cell r="AM88">
            <v>-417.6</v>
          </cell>
          <cell r="AN88">
            <v>-8.4</v>
          </cell>
          <cell r="AO88">
            <v>0</v>
          </cell>
          <cell r="AP88">
            <v>-50</v>
          </cell>
          <cell r="AQ88">
            <v>-150</v>
          </cell>
          <cell r="AR88">
            <v>-160</v>
          </cell>
          <cell r="AS88">
            <v>-170</v>
          </cell>
          <cell r="AT88">
            <v>-180</v>
          </cell>
          <cell r="AU88">
            <v>-190</v>
          </cell>
          <cell r="AV88">
            <v>-200</v>
          </cell>
        </row>
        <row r="89">
          <cell r="B89" t="str">
            <v>Divestitures</v>
          </cell>
          <cell r="C89" t="str">
            <v>DIVEST</v>
          </cell>
          <cell r="D89" t="str">
            <v>GBP</v>
          </cell>
          <cell r="F89">
            <v>0.74</v>
          </cell>
          <cell r="G89">
            <v>0.221</v>
          </cell>
          <cell r="H89">
            <v>0.624</v>
          </cell>
          <cell r="I89">
            <v>0.254</v>
          </cell>
          <cell r="J89">
            <v>2.2519999999999998</v>
          </cell>
          <cell r="K89">
            <v>29.198</v>
          </cell>
          <cell r="L89">
            <v>-2.2989999999999999</v>
          </cell>
          <cell r="M89">
            <v>0</v>
          </cell>
          <cell r="N89">
            <v>0</v>
          </cell>
          <cell r="O89">
            <v>1.6930000000000001</v>
          </cell>
          <cell r="P89">
            <v>33.210999999999999</v>
          </cell>
          <cell r="Q89">
            <v>18.866</v>
          </cell>
          <cell r="R89">
            <v>17.350999999999999</v>
          </cell>
          <cell r="S89">
            <v>3.4430000000000001</v>
          </cell>
          <cell r="T89">
            <v>2.5000000000000001E-2</v>
          </cell>
          <cell r="U89">
            <v>0</v>
          </cell>
          <cell r="V89">
            <v>0</v>
          </cell>
          <cell r="W89">
            <v>0</v>
          </cell>
          <cell r="X89">
            <v>0</v>
          </cell>
          <cell r="Y89">
            <v>0</v>
          </cell>
          <cell r="Z89">
            <v>0</v>
          </cell>
          <cell r="AA89">
            <v>0</v>
          </cell>
          <cell r="AB89">
            <v>0</v>
          </cell>
          <cell r="AC89">
            <v>0</v>
          </cell>
          <cell r="AD89">
            <v>19.899999999999999</v>
          </cell>
          <cell r="AE89">
            <v>0</v>
          </cell>
          <cell r="AF89">
            <v>0</v>
          </cell>
          <cell r="AG89">
            <v>0</v>
          </cell>
          <cell r="AH89">
            <v>0</v>
          </cell>
          <cell r="AI89">
            <v>0</v>
          </cell>
          <cell r="AJ89">
            <v>0</v>
          </cell>
          <cell r="AK89">
            <v>0</v>
          </cell>
          <cell r="AL89">
            <v>0</v>
          </cell>
          <cell r="AM89">
            <v>0</v>
          </cell>
          <cell r="AN89">
            <v>15.9</v>
          </cell>
          <cell r="AO89">
            <v>0</v>
          </cell>
          <cell r="AP89">
            <v>0</v>
          </cell>
          <cell r="AQ89">
            <v>0</v>
          </cell>
          <cell r="AR89">
            <v>0</v>
          </cell>
          <cell r="AS89">
            <v>0</v>
          </cell>
          <cell r="AT89">
            <v>0</v>
          </cell>
          <cell r="AU89">
            <v>0</v>
          </cell>
          <cell r="AV89">
            <v>0</v>
          </cell>
        </row>
        <row r="90">
          <cell r="B90" t="str">
            <v>Other investing cash flow items</v>
          </cell>
          <cell r="C90" t="str">
            <v>OTH_INV_CF</v>
          </cell>
          <cell r="D90" t="str">
            <v>GBP</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-5.01</v>
          </cell>
          <cell r="U90">
            <v>-11.5</v>
          </cell>
          <cell r="V90">
            <v>0</v>
          </cell>
          <cell r="W90">
            <v>0</v>
          </cell>
          <cell r="X90">
            <v>-6.7000000000000171</v>
          </cell>
          <cell r="Y90">
            <v>0</v>
          </cell>
          <cell r="Z90">
            <v>0</v>
          </cell>
          <cell r="AA90">
            <v>-20.099999999999909</v>
          </cell>
          <cell r="AB90">
            <v>0</v>
          </cell>
          <cell r="AC90">
            <v>0</v>
          </cell>
          <cell r="AD90">
            <v>-35.700000000000017</v>
          </cell>
          <cell r="AE90">
            <v>0</v>
          </cell>
          <cell r="AF90">
            <v>0</v>
          </cell>
          <cell r="AG90">
            <v>-23.899999999999995</v>
          </cell>
          <cell r="AH90">
            <v>0</v>
          </cell>
          <cell r="AI90">
            <v>0</v>
          </cell>
          <cell r="AJ90">
            <v>-28.400000000000006</v>
          </cell>
          <cell r="AK90">
            <v>0</v>
          </cell>
          <cell r="AL90">
            <v>0</v>
          </cell>
          <cell r="AM90">
            <v>-33.199999999999989</v>
          </cell>
          <cell r="AN90">
            <v>-36.099999999999994</v>
          </cell>
          <cell r="AO90">
            <v>-36.099999999999994</v>
          </cell>
          <cell r="AP90">
            <v>-36.099999999999994</v>
          </cell>
          <cell r="AQ90">
            <v>-36.099999999999994</v>
          </cell>
          <cell r="AR90">
            <v>-36.100000000000051</v>
          </cell>
          <cell r="AS90">
            <v>-36.099999999999966</v>
          </cell>
          <cell r="AT90">
            <v>-36.099999999999994</v>
          </cell>
          <cell r="AU90">
            <v>-36.099999999999994</v>
          </cell>
          <cell r="AV90">
            <v>-36.099999999999994</v>
          </cell>
        </row>
        <row r="91">
          <cell r="B91" t="str">
            <v>Cash flow from investing</v>
          </cell>
          <cell r="C91" t="str">
            <v>CF_INV</v>
          </cell>
          <cell r="D91" t="str">
            <v>GBP</v>
          </cell>
          <cell r="F91">
            <v>-10.699</v>
          </cell>
          <cell r="G91">
            <v>-11.475000000000001</v>
          </cell>
          <cell r="H91">
            <v>-37.049999999999997</v>
          </cell>
          <cell r="I91">
            <v>-11.517000000000001</v>
          </cell>
          <cell r="J91">
            <v>-6.819</v>
          </cell>
          <cell r="K91">
            <v>17.283999999999999</v>
          </cell>
          <cell r="L91">
            <v>-24.775999999999996</v>
          </cell>
          <cell r="M91">
            <v>-15.954999999999998</v>
          </cell>
          <cell r="N91">
            <v>-68.150999999999996</v>
          </cell>
          <cell r="O91">
            <v>-257.86200000000002</v>
          </cell>
          <cell r="P91">
            <v>3.8339999999999961</v>
          </cell>
          <cell r="Q91">
            <v>1.232999999999997</v>
          </cell>
          <cell r="R91">
            <v>-49.465000000000003</v>
          </cell>
          <cell r="S91">
            <v>-66.906000000000006</v>
          </cell>
          <cell r="T91">
            <v>-452.48500000000001</v>
          </cell>
          <cell r="U91">
            <v>-25.799999999999997</v>
          </cell>
          <cell r="V91">
            <v>0</v>
          </cell>
          <cell r="W91">
            <v>0</v>
          </cell>
          <cell r="X91">
            <v>-133.30000000000001</v>
          </cell>
          <cell r="Y91">
            <v>0</v>
          </cell>
          <cell r="Z91">
            <v>0</v>
          </cell>
          <cell r="AA91">
            <v>-635.79999999999995</v>
          </cell>
          <cell r="AB91">
            <v>0</v>
          </cell>
          <cell r="AC91">
            <v>0</v>
          </cell>
          <cell r="AD91">
            <v>-89.2</v>
          </cell>
          <cell r="AE91">
            <v>0</v>
          </cell>
          <cell r="AF91">
            <v>0</v>
          </cell>
          <cell r="AG91">
            <v>-84.6</v>
          </cell>
          <cell r="AH91">
            <v>0</v>
          </cell>
          <cell r="AI91">
            <v>0</v>
          </cell>
          <cell r="AJ91">
            <v>-89.4</v>
          </cell>
          <cell r="AK91">
            <v>0</v>
          </cell>
          <cell r="AL91">
            <v>0</v>
          </cell>
          <cell r="AM91">
            <v>-536.6</v>
          </cell>
          <cell r="AN91">
            <v>-144</v>
          </cell>
          <cell r="AO91">
            <v>-144.59374572729286</v>
          </cell>
          <cell r="AP91">
            <v>-197.77872766168366</v>
          </cell>
          <cell r="AQ91">
            <v>-308.40954016137852</v>
          </cell>
          <cell r="AR91">
            <v>-329.6567032301395</v>
          </cell>
          <cell r="AS91">
            <v>-351.04463668449199</v>
          </cell>
          <cell r="AT91">
            <v>-373.40490019090043</v>
          </cell>
          <cell r="AU91">
            <v>-397.04653764896858</v>
          </cell>
          <cell r="AV91">
            <v>-421.90025247168882</v>
          </cell>
        </row>
        <row r="92">
          <cell r="B92" t="str">
            <v>Dividends paid</v>
          </cell>
          <cell r="C92" t="str">
            <v>DIV_PAID</v>
          </cell>
          <cell r="D92" t="str">
            <v>GBP</v>
          </cell>
          <cell r="F92">
            <v>-6.0340000000000007</v>
          </cell>
          <cell r="G92">
            <v>-6.3580000000000005</v>
          </cell>
          <cell r="H92">
            <v>-8.5850000000000009</v>
          </cell>
          <cell r="I92">
            <v>-8.2550000000000008</v>
          </cell>
          <cell r="J92">
            <v>-8.5050000000000008</v>
          </cell>
          <cell r="K92">
            <v>-8.5180000000000007</v>
          </cell>
          <cell r="L92">
            <v>-8.6579999999999995</v>
          </cell>
          <cell r="M92">
            <v>-9.5410000000000004</v>
          </cell>
          <cell r="N92">
            <v>-6.7880000000000003</v>
          </cell>
          <cell r="O92">
            <v>-9.3490000000000002</v>
          </cell>
          <cell r="P92">
            <v>-9.4469999999999992</v>
          </cell>
          <cell r="Q92">
            <v>-14.116</v>
          </cell>
          <cell r="R92">
            <v>-18.062000000000001</v>
          </cell>
          <cell r="S92">
            <v>-12.162000000000001</v>
          </cell>
          <cell r="T92">
            <v>-13.529</v>
          </cell>
          <cell r="U92">
            <v>-26</v>
          </cell>
          <cell r="V92">
            <v>0</v>
          </cell>
          <cell r="W92">
            <v>0</v>
          </cell>
          <cell r="X92">
            <v>-34.299999999999997</v>
          </cell>
          <cell r="Y92">
            <v>0</v>
          </cell>
          <cell r="Z92">
            <v>0</v>
          </cell>
          <cell r="AA92">
            <v>-42.2</v>
          </cell>
          <cell r="AB92">
            <v>0</v>
          </cell>
          <cell r="AC92">
            <v>0</v>
          </cell>
          <cell r="AD92">
            <v>-55.8</v>
          </cell>
          <cell r="AE92">
            <v>0</v>
          </cell>
          <cell r="AF92">
            <v>0</v>
          </cell>
          <cell r="AG92">
            <v>-56.4</v>
          </cell>
          <cell r="AH92">
            <v>0</v>
          </cell>
          <cell r="AI92">
            <v>0</v>
          </cell>
          <cell r="AJ92">
            <v>-59.2</v>
          </cell>
          <cell r="AK92">
            <v>0</v>
          </cell>
          <cell r="AL92">
            <v>0</v>
          </cell>
          <cell r="AM92">
            <v>-73.599999999999994</v>
          </cell>
          <cell r="AN92">
            <v>-85</v>
          </cell>
          <cell r="AO92">
            <v>-80.35646317382259</v>
          </cell>
          <cell r="AP92">
            <v>-88.392109491204849</v>
          </cell>
          <cell r="AQ92">
            <v>-97.231320440325334</v>
          </cell>
          <cell r="AR92">
            <v>-106.95445248435787</v>
          </cell>
          <cell r="AS92">
            <v>-117.64989773279368</v>
          </cell>
          <cell r="AT92">
            <v>-129.41488750607306</v>
          </cell>
          <cell r="AU92">
            <v>-142.35637625668039</v>
          </cell>
          <cell r="AV92">
            <v>-156.59201388234843</v>
          </cell>
          <cell r="AW92" t="str">
            <v>NK: Excluded the scrip dividend as it is non cash</v>
          </cell>
        </row>
        <row r="93">
          <cell r="B93" t="str">
            <v>Common stock issuance/(repurchase)</v>
          </cell>
          <cell r="C93" t="str">
            <v>SH_REPUR</v>
          </cell>
          <cell r="D93" t="str">
            <v>GBP</v>
          </cell>
          <cell r="F93">
            <v>5.8999999999999997E-2</v>
          </cell>
          <cell r="G93">
            <v>39.829000000000001</v>
          </cell>
          <cell r="H93">
            <v>0.218</v>
          </cell>
          <cell r="I93">
            <v>0.316</v>
          </cell>
          <cell r="J93">
            <v>0.55700000000000005</v>
          </cell>
          <cell r="K93">
            <v>0.27900000000000003</v>
          </cell>
          <cell r="L93">
            <v>0.97299999999999998</v>
          </cell>
          <cell r="M93">
            <v>1.5569999999999999</v>
          </cell>
          <cell r="N93">
            <v>-0.66299999999999992</v>
          </cell>
          <cell r="O93">
            <v>78.849000000000004</v>
          </cell>
          <cell r="P93">
            <v>0.97399999999999998</v>
          </cell>
          <cell r="Q93">
            <v>0.97399999999999998</v>
          </cell>
          <cell r="R93">
            <v>2.3170000000000002</v>
          </cell>
          <cell r="S93">
            <v>1.8759999999999999</v>
          </cell>
          <cell r="T93">
            <v>182.917</v>
          </cell>
          <cell r="U93">
            <v>2.8</v>
          </cell>
          <cell r="V93">
            <v>0</v>
          </cell>
          <cell r="W93">
            <v>0</v>
          </cell>
          <cell r="X93">
            <v>3.7</v>
          </cell>
          <cell r="Y93">
            <v>0</v>
          </cell>
          <cell r="Z93">
            <v>0</v>
          </cell>
          <cell r="AA93">
            <v>430</v>
          </cell>
          <cell r="AB93">
            <v>0</v>
          </cell>
          <cell r="AC93">
            <v>0</v>
          </cell>
          <cell r="AD93">
            <v>2.1</v>
          </cell>
          <cell r="AE93">
            <v>0</v>
          </cell>
          <cell r="AF93">
            <v>0</v>
          </cell>
          <cell r="AG93">
            <v>1.3</v>
          </cell>
          <cell r="AH93">
            <v>0</v>
          </cell>
          <cell r="AI93">
            <v>0</v>
          </cell>
          <cell r="AJ93">
            <v>4.2</v>
          </cell>
          <cell r="AK93">
            <v>0</v>
          </cell>
          <cell r="AL93">
            <v>0</v>
          </cell>
          <cell r="AM93">
            <v>249.5</v>
          </cell>
          <cell r="AN93">
            <v>0.9</v>
          </cell>
          <cell r="AO93">
            <v>0</v>
          </cell>
          <cell r="AP93">
            <v>0</v>
          </cell>
          <cell r="AQ93">
            <v>0</v>
          </cell>
          <cell r="AR93">
            <v>0</v>
          </cell>
          <cell r="AS93">
            <v>0</v>
          </cell>
          <cell r="AT93">
            <v>0</v>
          </cell>
          <cell r="AU93">
            <v>0</v>
          </cell>
          <cell r="AV93">
            <v>0</v>
          </cell>
        </row>
        <row r="94">
          <cell r="B94" t="str">
            <v>Increase/(decrease) in total debt</v>
          </cell>
          <cell r="C94" t="str">
            <v>CHG_LT_DEBT</v>
          </cell>
          <cell r="D94" t="str">
            <v>GBP</v>
          </cell>
          <cell r="F94">
            <v>48.411999999999999</v>
          </cell>
          <cell r="G94">
            <v>-12.349</v>
          </cell>
          <cell r="H94">
            <v>27.808</v>
          </cell>
          <cell r="I94">
            <v>23.971999999999994</v>
          </cell>
          <cell r="J94">
            <v>-35.102999999999994</v>
          </cell>
          <cell r="K94">
            <v>1.0659999999999972</v>
          </cell>
          <cell r="L94">
            <v>-10.033999999999997</v>
          </cell>
          <cell r="M94">
            <v>1.1899999999999959</v>
          </cell>
          <cell r="N94">
            <v>52.241</v>
          </cell>
          <cell r="O94">
            <v>141.75900000000001</v>
          </cell>
          <cell r="P94">
            <v>-25.554000000000009</v>
          </cell>
          <cell r="Q94">
            <v>-33.175000000000011</v>
          </cell>
          <cell r="R94">
            <v>-13.512</v>
          </cell>
          <cell r="S94">
            <v>-3.5299999999999887</v>
          </cell>
          <cell r="T94">
            <v>208.965</v>
          </cell>
          <cell r="U94">
            <v>-12.356000000000007</v>
          </cell>
          <cell r="V94">
            <v>0</v>
          </cell>
          <cell r="W94">
            <v>0</v>
          </cell>
          <cell r="X94">
            <v>60.5</v>
          </cell>
          <cell r="Y94">
            <v>0</v>
          </cell>
          <cell r="Z94">
            <v>0</v>
          </cell>
          <cell r="AA94">
            <v>114.70000000000005</v>
          </cell>
          <cell r="AB94">
            <v>0</v>
          </cell>
          <cell r="AC94">
            <v>0</v>
          </cell>
          <cell r="AD94">
            <v>-71.899999999999991</v>
          </cell>
          <cell r="AE94">
            <v>0</v>
          </cell>
          <cell r="AF94">
            <v>0</v>
          </cell>
          <cell r="AG94">
            <v>-126.19999999999999</v>
          </cell>
          <cell r="AH94">
            <v>0</v>
          </cell>
          <cell r="AI94">
            <v>0</v>
          </cell>
          <cell r="AJ94">
            <v>-146.89999999999998</v>
          </cell>
          <cell r="AK94">
            <v>0</v>
          </cell>
          <cell r="AL94">
            <v>0</v>
          </cell>
          <cell r="AM94">
            <v>76.900000000000006</v>
          </cell>
          <cell r="AN94">
            <v>-103.39999999999998</v>
          </cell>
          <cell r="AO94">
            <v>0</v>
          </cell>
          <cell r="AP94">
            <v>0</v>
          </cell>
          <cell r="AQ94">
            <v>0</v>
          </cell>
          <cell r="AR94">
            <v>0</v>
          </cell>
          <cell r="AS94">
            <v>0</v>
          </cell>
          <cell r="AT94">
            <v>0</v>
          </cell>
          <cell r="AU94">
            <v>0</v>
          </cell>
          <cell r="AV94">
            <v>0</v>
          </cell>
        </row>
        <row r="95">
          <cell r="B95" t="str">
            <v>Other financing cash flow items</v>
          </cell>
          <cell r="C95" t="str">
            <v>OTH_FIN_CF</v>
          </cell>
          <cell r="D95" t="str">
            <v>GBP</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2.3000000000000007</v>
          </cell>
          <cell r="Y95">
            <v>0</v>
          </cell>
          <cell r="Z95">
            <v>0</v>
          </cell>
          <cell r="AA95">
            <v>2.9999999999999574</v>
          </cell>
          <cell r="AB95">
            <v>0</v>
          </cell>
          <cell r="AC95">
            <v>0</v>
          </cell>
          <cell r="AD95">
            <v>13.399999999999984</v>
          </cell>
          <cell r="AE95">
            <v>0</v>
          </cell>
          <cell r="AF95">
            <v>0</v>
          </cell>
          <cell r="AG95">
            <v>26.799999999999986</v>
          </cell>
          <cell r="AH95">
            <v>0</v>
          </cell>
          <cell r="AI95">
            <v>0</v>
          </cell>
          <cell r="AJ95">
            <v>27.799999999999986</v>
          </cell>
          <cell r="AK95">
            <v>0</v>
          </cell>
          <cell r="AL95">
            <v>0</v>
          </cell>
          <cell r="AM95">
            <v>22.300000000000011</v>
          </cell>
          <cell r="AN95">
            <v>11.19999999999996</v>
          </cell>
          <cell r="AO95">
            <v>0</v>
          </cell>
          <cell r="AP95">
            <v>0</v>
          </cell>
          <cell r="AQ95">
            <v>0</v>
          </cell>
          <cell r="AR95">
            <v>0</v>
          </cell>
          <cell r="AS95">
            <v>0</v>
          </cell>
          <cell r="AT95">
            <v>0</v>
          </cell>
          <cell r="AU95">
            <v>0</v>
          </cell>
          <cell r="AV95">
            <v>0</v>
          </cell>
          <cell r="AW95" t="str">
            <v>CH: Scrip div adjustments and debt issuance costs</v>
          </cell>
        </row>
        <row r="96">
          <cell r="B96" t="str">
            <v>Cash flow from financing</v>
          </cell>
          <cell r="C96" t="str">
            <v>CF_FIN</v>
          </cell>
          <cell r="D96" t="str">
            <v>GBP</v>
          </cell>
          <cell r="F96">
            <v>42.436999999999998</v>
          </cell>
          <cell r="G96">
            <v>21.122000000000003</v>
          </cell>
          <cell r="H96">
            <v>19.440999999999999</v>
          </cell>
          <cell r="I96">
            <v>16.032999999999994</v>
          </cell>
          <cell r="J96">
            <v>-43.050999999999995</v>
          </cell>
          <cell r="K96">
            <v>-7.1730000000000036</v>
          </cell>
          <cell r="L96">
            <v>-17.718999999999998</v>
          </cell>
          <cell r="M96">
            <v>-6.794000000000004</v>
          </cell>
          <cell r="N96">
            <v>44.79</v>
          </cell>
          <cell r="O96">
            <v>211.25900000000001</v>
          </cell>
          <cell r="P96">
            <v>-34.027000000000008</v>
          </cell>
          <cell r="Q96">
            <v>-46.317000000000007</v>
          </cell>
          <cell r="R96">
            <v>-29.257000000000001</v>
          </cell>
          <cell r="S96">
            <v>-13.81599999999999</v>
          </cell>
          <cell r="T96">
            <v>378.35300000000001</v>
          </cell>
          <cell r="U96">
            <v>-35.556000000000004</v>
          </cell>
          <cell r="V96">
            <v>0</v>
          </cell>
          <cell r="W96">
            <v>0</v>
          </cell>
          <cell r="X96">
            <v>32.200000000000003</v>
          </cell>
          <cell r="Y96">
            <v>0</v>
          </cell>
          <cell r="Z96">
            <v>0</v>
          </cell>
          <cell r="AA96">
            <v>505.5</v>
          </cell>
          <cell r="AB96">
            <v>0</v>
          </cell>
          <cell r="AC96">
            <v>0</v>
          </cell>
          <cell r="AD96">
            <v>-112.2</v>
          </cell>
          <cell r="AE96">
            <v>0</v>
          </cell>
          <cell r="AF96">
            <v>0</v>
          </cell>
          <cell r="AG96">
            <v>-154.5</v>
          </cell>
          <cell r="AH96">
            <v>0</v>
          </cell>
          <cell r="AI96">
            <v>0</v>
          </cell>
          <cell r="AJ96">
            <v>-174.1</v>
          </cell>
          <cell r="AK96">
            <v>0</v>
          </cell>
          <cell r="AL96">
            <v>0</v>
          </cell>
          <cell r="AM96">
            <v>275.10000000000002</v>
          </cell>
          <cell r="AN96">
            <v>-176.3</v>
          </cell>
          <cell r="AO96">
            <v>-80.35646317382259</v>
          </cell>
          <cell r="AP96">
            <v>-88.392109491204849</v>
          </cell>
          <cell r="AQ96">
            <v>-97.231320440325334</v>
          </cell>
          <cell r="AR96">
            <v>-106.95445248435787</v>
          </cell>
          <cell r="AS96">
            <v>-117.64989773279368</v>
          </cell>
          <cell r="AT96">
            <v>-129.41488750607306</v>
          </cell>
          <cell r="AU96">
            <v>-142.35637625668039</v>
          </cell>
          <cell r="AV96">
            <v>-156.59201388234843</v>
          </cell>
        </row>
        <row r="97">
          <cell r="B97" t="str">
            <v>Other items net cash flow</v>
          </cell>
          <cell r="C97" t="str">
            <v>OTH_ITEM_NCF</v>
          </cell>
          <cell r="D97" t="str">
            <v>GBP</v>
          </cell>
          <cell r="F97">
            <v>-4.5289999999999999</v>
          </cell>
          <cell r="G97">
            <v>5.7870000000000026</v>
          </cell>
          <cell r="H97">
            <v>-6.4070000000000071</v>
          </cell>
          <cell r="I97">
            <v>-18.914999999999985</v>
          </cell>
          <cell r="J97">
            <v>-3.3990000000000009</v>
          </cell>
          <cell r="K97">
            <v>-0.38999999999999702</v>
          </cell>
          <cell r="L97">
            <v>1.3849999999999945</v>
          </cell>
          <cell r="M97">
            <v>-1.6619999999999955</v>
          </cell>
          <cell r="N97">
            <v>-8.6170000000000258</v>
          </cell>
          <cell r="O97">
            <v>1.1940000000000168</v>
          </cell>
          <cell r="P97">
            <v>-19.835000000000008</v>
          </cell>
          <cell r="Q97">
            <v>-7.7019999999999982</v>
          </cell>
          <cell r="R97">
            <v>18.200000000000049</v>
          </cell>
          <cell r="S97">
            <v>15.682000000000004</v>
          </cell>
          <cell r="T97">
            <v>17.31800000000004</v>
          </cell>
          <cell r="U97">
            <v>-29.394999999999975</v>
          </cell>
          <cell r="V97">
            <v>0</v>
          </cell>
          <cell r="W97">
            <v>0</v>
          </cell>
          <cell r="X97">
            <v>-3.2999999999999972</v>
          </cell>
          <cell r="Y97">
            <v>0</v>
          </cell>
          <cell r="Z97">
            <v>0</v>
          </cell>
          <cell r="AA97">
            <v>-5.3000000000000682</v>
          </cell>
          <cell r="AB97">
            <v>0</v>
          </cell>
          <cell r="AC97">
            <v>0</v>
          </cell>
          <cell r="AD97">
            <v>1.4000000000000057</v>
          </cell>
          <cell r="AE97">
            <v>0</v>
          </cell>
          <cell r="AF97">
            <v>0</v>
          </cell>
          <cell r="AG97">
            <v>-4.2000000000000171</v>
          </cell>
          <cell r="AH97">
            <v>0</v>
          </cell>
          <cell r="AI97">
            <v>0</v>
          </cell>
          <cell r="AJ97">
            <v>0.5</v>
          </cell>
          <cell r="AK97">
            <v>0</v>
          </cell>
          <cell r="AL97">
            <v>0</v>
          </cell>
          <cell r="AM97">
            <v>-1.1999999999999886</v>
          </cell>
          <cell r="AN97">
            <v>-1</v>
          </cell>
          <cell r="AO97">
            <v>0</v>
          </cell>
          <cell r="AP97">
            <v>0</v>
          </cell>
          <cell r="AQ97">
            <v>0</v>
          </cell>
          <cell r="AR97">
            <v>0</v>
          </cell>
          <cell r="AS97">
            <v>0</v>
          </cell>
          <cell r="AT97">
            <v>0</v>
          </cell>
          <cell r="AU97">
            <v>0</v>
          </cell>
          <cell r="AV97">
            <v>0</v>
          </cell>
        </row>
        <row r="98">
          <cell r="B98" t="str">
            <v>Total cash flow</v>
          </cell>
          <cell r="C98" t="str">
            <v>TOT_CF</v>
          </cell>
          <cell r="D98" t="str">
            <v>GBP</v>
          </cell>
          <cell r="F98">
            <v>41.475999999999999</v>
          </cell>
          <cell r="G98">
            <v>45.277000000000001</v>
          </cell>
          <cell r="H98">
            <v>-6.1200000000000045</v>
          </cell>
          <cell r="I98">
            <v>18.132999999999996</v>
          </cell>
          <cell r="J98">
            <v>-35.431999999999995</v>
          </cell>
          <cell r="K98">
            <v>16.420999999999999</v>
          </cell>
          <cell r="L98">
            <v>-17.253999999999998</v>
          </cell>
          <cell r="M98">
            <v>6.3870000000000005</v>
          </cell>
          <cell r="N98">
            <v>-0.82500000000000284</v>
          </cell>
          <cell r="O98">
            <v>-13.713999999999999</v>
          </cell>
          <cell r="P98">
            <v>5.0839999999999996</v>
          </cell>
          <cell r="Q98">
            <v>-8.2000000000000739E-2</v>
          </cell>
          <cell r="R98">
            <v>-3.7479999999999976</v>
          </cell>
          <cell r="S98">
            <v>-4.379999999999999</v>
          </cell>
          <cell r="T98">
            <v>21.280999999999999</v>
          </cell>
          <cell r="U98">
            <v>1.5489999999999995</v>
          </cell>
          <cell r="V98">
            <v>0</v>
          </cell>
          <cell r="W98">
            <v>0</v>
          </cell>
          <cell r="X98">
            <v>-1.8999999999999986</v>
          </cell>
          <cell r="Y98">
            <v>0</v>
          </cell>
          <cell r="Z98">
            <v>0</v>
          </cell>
          <cell r="AA98">
            <v>21.300000000000004</v>
          </cell>
          <cell r="AB98">
            <v>0</v>
          </cell>
          <cell r="AC98">
            <v>0</v>
          </cell>
          <cell r="AD98">
            <v>2.3999999999999915</v>
          </cell>
          <cell r="AE98">
            <v>0</v>
          </cell>
          <cell r="AF98">
            <v>0</v>
          </cell>
          <cell r="AG98">
            <v>-4.3999999999999986</v>
          </cell>
          <cell r="AH98">
            <v>0</v>
          </cell>
          <cell r="AI98">
            <v>0</v>
          </cell>
          <cell r="AJ98">
            <v>-11</v>
          </cell>
          <cell r="AK98">
            <v>0</v>
          </cell>
          <cell r="AL98">
            <v>0</v>
          </cell>
          <cell r="AM98">
            <v>42.699999999999996</v>
          </cell>
          <cell r="AN98">
            <v>10.300000000000011</v>
          </cell>
          <cell r="AO98">
            <v>128.21520935050921</v>
          </cell>
          <cell r="AP98">
            <v>100.14735387630887</v>
          </cell>
          <cell r="AQ98">
            <v>-10.959181713432315</v>
          </cell>
          <cell r="AR98">
            <v>-9.9346291922099113</v>
          </cell>
          <cell r="AS98">
            <v>-9.0664403442263506</v>
          </cell>
          <cell r="AT98">
            <v>-9.594200407374899</v>
          </cell>
          <cell r="AU98">
            <v>-9.738130543070838</v>
          </cell>
          <cell r="AV98">
            <v>-8.5496774790969994</v>
          </cell>
        </row>
        <row r="99">
          <cell r="A99" t="str">
            <v>Additional Cash Flow Items</v>
          </cell>
          <cell r="B99">
            <v>0</v>
          </cell>
          <cell r="C99">
            <v>0</v>
          </cell>
          <cell r="D99">
            <v>0</v>
          </cell>
        </row>
        <row r="100">
          <cell r="B100" t="str">
            <v>Associate and JV add-back</v>
          </cell>
          <cell r="C100" t="str">
            <v>ASSOC_JV_ADDBK</v>
          </cell>
          <cell r="D100" t="str">
            <v>GBP</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row>
        <row r="101">
          <cell r="B101" t="str">
            <v>Cash interest income/(expense)</v>
          </cell>
          <cell r="C101" t="str">
            <v>CASH_INT_INC_EXP</v>
          </cell>
          <cell r="D101" t="str">
            <v>GBP</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row>
        <row r="102">
          <cell r="B102" t="str">
            <v>Cash taxes paid</v>
          </cell>
          <cell r="C102" t="str">
            <v>CASH_TAX_PD</v>
          </cell>
          <cell r="D102" t="str">
            <v>GBP</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row>
        <row r="103">
          <cell r="B103" t="str">
            <v>Profit/(loss) on sale of assets</v>
          </cell>
          <cell r="C103" t="str">
            <v>PL_SALE_ASSETS</v>
          </cell>
          <cell r="D103" t="str">
            <v>GBP</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row>
        <row r="104">
          <cell r="B104" t="str">
            <v>Other non-cash adjustments</v>
          </cell>
          <cell r="C104" t="str">
            <v>OTH_NONCASH_ADJ</v>
          </cell>
          <cell r="D104" t="str">
            <v>GBP</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row>
        <row r="105">
          <cell r="B105" t="str">
            <v>Other DACF adjustments</v>
          </cell>
          <cell r="C105" t="str">
            <v>OTH_DACF_ADJ</v>
          </cell>
          <cell r="D105" t="str">
            <v>GBP</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-14.5</v>
          </cell>
          <cell r="Y105">
            <v>0</v>
          </cell>
          <cell r="Z105">
            <v>0</v>
          </cell>
          <cell r="AA105">
            <v>-22.4</v>
          </cell>
          <cell r="AB105">
            <v>0</v>
          </cell>
          <cell r="AC105">
            <v>0</v>
          </cell>
          <cell r="AD105">
            <v>-23.7</v>
          </cell>
          <cell r="AE105">
            <v>0</v>
          </cell>
          <cell r="AF105">
            <v>0</v>
          </cell>
          <cell r="AG105">
            <v>-35.1</v>
          </cell>
          <cell r="AH105">
            <v>0</v>
          </cell>
          <cell r="AI105">
            <v>0</v>
          </cell>
          <cell r="AJ105">
            <v>-33.5</v>
          </cell>
          <cell r="AK105">
            <v>0</v>
          </cell>
          <cell r="AL105">
            <v>0</v>
          </cell>
          <cell r="AM105">
            <v>-41.2</v>
          </cell>
          <cell r="AN105">
            <v>-52.2</v>
          </cell>
          <cell r="AO105">
            <v>-55.339649720553439</v>
          </cell>
          <cell r="AP105">
            <v>-56.964220643365053</v>
          </cell>
          <cell r="AQ105">
            <v>-62.386703165599506</v>
          </cell>
          <cell r="AR105">
            <v>-68.123569013513531</v>
          </cell>
          <cell r="AS105">
            <v>-73.932237929682287</v>
          </cell>
          <cell r="AT105">
            <v>-80.236865429756804</v>
          </cell>
          <cell r="AU105">
            <v>-87.195086233026217</v>
          </cell>
          <cell r="AV105">
            <v>-94.771554072974212</v>
          </cell>
        </row>
        <row r="106">
          <cell r="B106" t="str">
            <v>Cash interest expense</v>
          </cell>
          <cell r="C106" t="str">
            <v>CASH_INT_EXP</v>
          </cell>
          <cell r="D106" t="str">
            <v>GBP</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row>
        <row r="107">
          <cell r="B107" t="str">
            <v>Cash tax expense</v>
          </cell>
          <cell r="C107" t="str">
            <v>CASH_TAX_EXP</v>
          </cell>
          <cell r="D107" t="str">
            <v>GBP</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row>
        <row r="108">
          <cell r="B108" t="str">
            <v>Dividends received from associates/JVs</v>
          </cell>
          <cell r="C108" t="str">
            <v>DIVDS_ASSOC_JV</v>
          </cell>
          <cell r="D108" t="str">
            <v>GBP</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row>
        <row r="109">
          <cell r="B109" t="str">
            <v>Capex maintenance</v>
          </cell>
          <cell r="C109" t="str">
            <v>CAPEX_MAINTENANCE</v>
          </cell>
          <cell r="D109" t="str">
            <v>GBP</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row>
        <row r="110">
          <cell r="B110" t="str">
            <v>Capex expansion</v>
          </cell>
          <cell r="C110" t="str">
            <v>CAPEX_EXPANSION</v>
          </cell>
          <cell r="D110" t="str">
            <v>GBP</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row>
        <row r="111">
          <cell r="B111" t="str">
            <v>Non-PP&amp;E capex</v>
          </cell>
          <cell r="C111" t="str">
            <v>NONPPE_CAPEX</v>
          </cell>
          <cell r="D111" t="str">
            <v>GBP</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-14.5</v>
          </cell>
          <cell r="Y111">
            <v>0</v>
          </cell>
          <cell r="Z111">
            <v>0</v>
          </cell>
          <cell r="AA111">
            <v>-22.4</v>
          </cell>
          <cell r="AB111">
            <v>0</v>
          </cell>
          <cell r="AC111">
            <v>0</v>
          </cell>
          <cell r="AD111">
            <v>-23.7</v>
          </cell>
          <cell r="AE111">
            <v>0</v>
          </cell>
          <cell r="AF111">
            <v>0</v>
          </cell>
          <cell r="AG111">
            <v>-35.1</v>
          </cell>
          <cell r="AH111">
            <v>0</v>
          </cell>
          <cell r="AI111">
            <v>0</v>
          </cell>
          <cell r="AJ111">
            <v>-33.5</v>
          </cell>
          <cell r="AK111">
            <v>0</v>
          </cell>
          <cell r="AL111">
            <v>0</v>
          </cell>
          <cell r="AM111">
            <v>-41.2</v>
          </cell>
          <cell r="AN111">
            <v>-52.2</v>
          </cell>
          <cell r="AO111">
            <v>-55.339649720553439</v>
          </cell>
          <cell r="AP111">
            <v>-56.964220643365053</v>
          </cell>
          <cell r="AQ111">
            <v>-62.386703165599506</v>
          </cell>
          <cell r="AR111">
            <v>-68.123569013513531</v>
          </cell>
          <cell r="AS111">
            <v>-73.932237929682287</v>
          </cell>
          <cell r="AT111">
            <v>-80.236865429756804</v>
          </cell>
          <cell r="AU111">
            <v>-87.195086233026217</v>
          </cell>
          <cell r="AV111">
            <v>-94.771554072974212</v>
          </cell>
          <cell r="AW111" t="str">
            <v>MA:linking to capitalized R&amp;D</v>
          </cell>
        </row>
        <row r="112">
          <cell r="B112" t="str">
            <v>Dividends paid to minorities</v>
          </cell>
          <cell r="C112" t="str">
            <v>DIVDS_PD_MINORITIES</v>
          </cell>
          <cell r="D112" t="str">
            <v>GBP</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row>
        <row r="113">
          <cell r="A113" t="str">
            <v>Other Items</v>
          </cell>
          <cell r="B113">
            <v>0</v>
          </cell>
          <cell r="C113">
            <v>0</v>
          </cell>
          <cell r="D113">
            <v>0</v>
          </cell>
        </row>
        <row r="114">
          <cell r="B114" t="str">
            <v>Number of employees</v>
          </cell>
          <cell r="C114" t="str">
            <v>EMPLOYEES</v>
          </cell>
          <cell r="F114">
            <v>6.7670000000000003</v>
          </cell>
          <cell r="G114">
            <v>6.7679999999999998</v>
          </cell>
          <cell r="H114">
            <v>6.6109999999999998</v>
          </cell>
          <cell r="I114">
            <v>6.5289999999999999</v>
          </cell>
          <cell r="J114">
            <v>5.7510000000000003</v>
          </cell>
          <cell r="K114">
            <v>5.4480000000000004</v>
          </cell>
          <cell r="L114">
            <v>3.9929999999999999</v>
          </cell>
          <cell r="M114">
            <v>3.7669999999999999</v>
          </cell>
          <cell r="N114">
            <v>4.1870000000000003</v>
          </cell>
          <cell r="O114">
            <v>4.46</v>
          </cell>
          <cell r="P114">
            <v>4.2560000000000002</v>
          </cell>
          <cell r="Q114">
            <v>4.3280000000000003</v>
          </cell>
          <cell r="R114">
            <v>3.72</v>
          </cell>
          <cell r="S114">
            <v>3.4820000000000002</v>
          </cell>
          <cell r="T114">
            <v>4.4240000000000004</v>
          </cell>
          <cell r="U114">
            <v>5.6820000000000004</v>
          </cell>
          <cell r="V114">
            <v>0</v>
          </cell>
          <cell r="W114">
            <v>0</v>
          </cell>
          <cell r="X114">
            <v>0</v>
          </cell>
          <cell r="Y114">
            <v>0</v>
          </cell>
          <cell r="Z114">
            <v>0</v>
          </cell>
          <cell r="AA114">
            <v>7.36</v>
          </cell>
          <cell r="AD114">
            <v>8.2110000000000003</v>
          </cell>
          <cell r="AG114">
            <v>7.5460000000000003</v>
          </cell>
          <cell r="AJ114">
            <v>7.1879999999999997</v>
          </cell>
          <cell r="AM114">
            <v>9.3569999999999993</v>
          </cell>
          <cell r="AN114">
            <v>10.98</v>
          </cell>
          <cell r="AO114">
            <v>10.98</v>
          </cell>
          <cell r="AP114">
            <v>0</v>
          </cell>
          <cell r="AQ114">
            <v>0</v>
          </cell>
          <cell r="AR114">
            <v>0</v>
          </cell>
          <cell r="AS114">
            <v>0</v>
          </cell>
          <cell r="AT114">
            <v>0</v>
          </cell>
          <cell r="AU114">
            <v>0</v>
          </cell>
          <cell r="AV114">
            <v>0</v>
          </cell>
        </row>
        <row r="115">
          <cell r="A115" t="str">
            <v>Geographical Breakdown</v>
          </cell>
          <cell r="B115">
            <v>0</v>
          </cell>
          <cell r="C115">
            <v>0</v>
          </cell>
          <cell r="D115">
            <v>0</v>
          </cell>
        </row>
        <row r="116">
          <cell r="B116" t="str">
            <v>Sales - Total % Americas</v>
          </cell>
          <cell r="C116" t="str">
            <v>SALES_TOT_AM</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0.54</v>
          </cell>
          <cell r="AO116">
            <v>0.54</v>
          </cell>
          <cell r="AP116">
            <v>0</v>
          </cell>
          <cell r="AQ116">
            <v>0</v>
          </cell>
          <cell r="AR116">
            <v>0</v>
          </cell>
          <cell r="AS116">
            <v>0</v>
          </cell>
          <cell r="AT116">
            <v>0</v>
          </cell>
          <cell r="AU116">
            <v>0</v>
          </cell>
          <cell r="AV116">
            <v>0</v>
          </cell>
        </row>
        <row r="117">
          <cell r="B117" t="str">
            <v>Sales - % United States</v>
          </cell>
          <cell r="C117" t="str">
            <v>SALES_US</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0.54</v>
          </cell>
          <cell r="AO117">
            <v>0.54</v>
          </cell>
          <cell r="AP117">
            <v>0</v>
          </cell>
          <cell r="AQ117">
            <v>0</v>
          </cell>
          <cell r="AR117">
            <v>0</v>
          </cell>
          <cell r="AS117">
            <v>0</v>
          </cell>
          <cell r="AT117">
            <v>0</v>
          </cell>
          <cell r="AU117">
            <v>0</v>
          </cell>
          <cell r="AV117">
            <v>0</v>
          </cell>
        </row>
        <row r="118">
          <cell r="A118">
            <v>0</v>
          </cell>
          <cell r="B118" t="str">
            <v>Sales - % Canada</v>
          </cell>
          <cell r="C118" t="str">
            <v>SALES_CANADA</v>
          </cell>
          <cell r="D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Sales - % Brazil</v>
          </cell>
          <cell r="C119" t="str">
            <v>SALES_BRAZIL</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row>
        <row r="120">
          <cell r="B120" t="str">
            <v>Sales - % Other Americas</v>
          </cell>
          <cell r="C120" t="str">
            <v>SALES_OTH_AM</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row>
        <row r="121">
          <cell r="B121" t="str">
            <v>Sales - Total % EMEA</v>
          </cell>
          <cell r="C121" t="str">
            <v>SALES_TOT_EMEA</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0.32</v>
          </cell>
          <cell r="AO121">
            <v>0.32</v>
          </cell>
          <cell r="AP121">
            <v>0</v>
          </cell>
          <cell r="AQ121">
            <v>0</v>
          </cell>
          <cell r="AR121">
            <v>0</v>
          </cell>
          <cell r="AS121">
            <v>0</v>
          </cell>
          <cell r="AT121">
            <v>0</v>
          </cell>
          <cell r="AU121">
            <v>0</v>
          </cell>
          <cell r="AV121">
            <v>0</v>
          </cell>
        </row>
        <row r="122">
          <cell r="B122" t="str">
            <v>Sales - % UK</v>
          </cell>
          <cell r="C122" t="str">
            <v>SALES_UK</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0.1</v>
          </cell>
          <cell r="AO122">
            <v>0.1</v>
          </cell>
          <cell r="AP122">
            <v>0</v>
          </cell>
          <cell r="AQ122">
            <v>0</v>
          </cell>
          <cell r="AR122">
            <v>0</v>
          </cell>
          <cell r="AS122">
            <v>0</v>
          </cell>
          <cell r="AT122">
            <v>0</v>
          </cell>
          <cell r="AU122">
            <v>0</v>
          </cell>
          <cell r="AV122">
            <v>0</v>
          </cell>
        </row>
        <row r="123">
          <cell r="B123" t="str">
            <v>Sales - % Western Europe-Ex UK</v>
          </cell>
          <cell r="C123" t="str">
            <v>SALES_EU_EX_UK</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0.22</v>
          </cell>
          <cell r="AO123">
            <v>0.22</v>
          </cell>
          <cell r="AP123">
            <v>0</v>
          </cell>
          <cell r="AQ123">
            <v>0</v>
          </cell>
          <cell r="AR123">
            <v>0</v>
          </cell>
          <cell r="AS123">
            <v>0</v>
          </cell>
          <cell r="AT123">
            <v>0</v>
          </cell>
          <cell r="AU123">
            <v>0</v>
          </cell>
          <cell r="AV123">
            <v>0</v>
          </cell>
        </row>
        <row r="124">
          <cell r="A124">
            <v>0</v>
          </cell>
          <cell r="B124" t="str">
            <v>Sales - % Austria</v>
          </cell>
          <cell r="C124" t="str">
            <v>SALES_AUSTRIA</v>
          </cell>
          <cell r="D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125">
            <v>0</v>
          </cell>
          <cell r="B125" t="str">
            <v>Sales - % Belgium</v>
          </cell>
          <cell r="C125" t="str">
            <v>SALES_BEL</v>
          </cell>
          <cell r="D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126">
            <v>0</v>
          </cell>
          <cell r="B126" t="str">
            <v>Sales - % Denmark</v>
          </cell>
          <cell r="C126" t="str">
            <v>SALES_DEN</v>
          </cell>
          <cell r="D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127">
            <v>0</v>
          </cell>
          <cell r="B127" t="str">
            <v>Sales - % Finland</v>
          </cell>
          <cell r="C127" t="str">
            <v>SALES_FIN</v>
          </cell>
          <cell r="D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B128" t="str">
            <v>Sales - % France</v>
          </cell>
          <cell r="C128" t="str">
            <v>SALES_FRA</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row>
        <row r="129">
          <cell r="B129" t="str">
            <v>Sales - % Germany</v>
          </cell>
          <cell r="C129" t="str">
            <v>SALES_GER</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row>
        <row r="130">
          <cell r="A130">
            <v>0</v>
          </cell>
          <cell r="B130" t="str">
            <v>Sales - % Greece</v>
          </cell>
          <cell r="C130" t="str">
            <v>SALES_GRE</v>
          </cell>
          <cell r="D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131">
            <v>0</v>
          </cell>
          <cell r="B131" t="str">
            <v>Sales - % Iceland</v>
          </cell>
          <cell r="C131" t="str">
            <v>SALES_ICE</v>
          </cell>
          <cell r="D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132">
            <v>0</v>
          </cell>
          <cell r="B132" t="str">
            <v>Sales - % Ireland</v>
          </cell>
          <cell r="C132" t="str">
            <v>SALES_IRE</v>
          </cell>
          <cell r="D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B133" t="str">
            <v>Sales - % Italy</v>
          </cell>
          <cell r="C133" t="str">
            <v>SALES_ITA</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BB133" t="e">
            <v>#DIV/0!</v>
          </cell>
        </row>
        <row r="134">
          <cell r="A134">
            <v>0</v>
          </cell>
          <cell r="B134" t="str">
            <v>Sales - % Netherlands</v>
          </cell>
          <cell r="C134" t="str">
            <v>SALES_NETH</v>
          </cell>
          <cell r="D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135">
            <v>0</v>
          </cell>
          <cell r="B135" t="str">
            <v>Sales - % Norway</v>
          </cell>
          <cell r="C135" t="str">
            <v>SALES_NOR</v>
          </cell>
          <cell r="D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136">
            <v>0</v>
          </cell>
          <cell r="B136" t="str">
            <v>Sales - % Portugal</v>
          </cell>
          <cell r="C136" t="str">
            <v>SALES_POR</v>
          </cell>
          <cell r="D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B137" t="str">
            <v>Sales - % Spain</v>
          </cell>
          <cell r="C137" t="str">
            <v>SALES_SPA</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row>
        <row r="138">
          <cell r="B138" t="str">
            <v>Sales - % Other Western Europe-Ex UK</v>
          </cell>
          <cell r="C138" t="str">
            <v>SALES_OTH_EU_EX_UK</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0.22</v>
          </cell>
          <cell r="AO138">
            <v>0.22</v>
          </cell>
          <cell r="AP138">
            <v>0</v>
          </cell>
          <cell r="AQ138">
            <v>0</v>
          </cell>
          <cell r="AR138">
            <v>0</v>
          </cell>
          <cell r="AS138">
            <v>0</v>
          </cell>
          <cell r="AT138">
            <v>0</v>
          </cell>
          <cell r="AU138">
            <v>0</v>
          </cell>
          <cell r="AV138">
            <v>0</v>
          </cell>
        </row>
        <row r="139">
          <cell r="A139">
            <v>0</v>
          </cell>
          <cell r="B139" t="str">
            <v>Sales - % Sweden</v>
          </cell>
          <cell r="C139" t="str">
            <v>SALES_SWE</v>
          </cell>
          <cell r="D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140">
            <v>0</v>
          </cell>
          <cell r="B140" t="str">
            <v>Sales - % Switzerland</v>
          </cell>
          <cell r="C140" t="str">
            <v>SALES_SWIT</v>
          </cell>
          <cell r="D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B141" t="str">
            <v>Sales - % Central &amp; Eastern Europe</v>
          </cell>
          <cell r="C141" t="str">
            <v>SALES_CEE</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row>
        <row r="142">
          <cell r="B142" t="str">
            <v>Sales - % Middle East</v>
          </cell>
          <cell r="C142" t="str">
            <v>SALES_ME</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row>
        <row r="143">
          <cell r="B143" t="str">
            <v>Sales - % South Africa</v>
          </cell>
          <cell r="C143" t="str">
            <v>SALES_SO_AFRICA</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row>
        <row r="144">
          <cell r="B144" t="str">
            <v>Sales - % Nigeria</v>
          </cell>
          <cell r="C144" t="str">
            <v>SALES_NIGERIA</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row>
        <row r="145">
          <cell r="B145" t="str">
            <v>Sales - % Other Africa</v>
          </cell>
          <cell r="C145" t="str">
            <v>SALES_OTH_AFRICA</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row>
        <row r="146">
          <cell r="B146" t="str">
            <v>Sales - % Total Africa</v>
          </cell>
          <cell r="C146" t="str">
            <v>SALES_TOT_AFRICA</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row>
        <row r="147">
          <cell r="B147" t="str">
            <v>Sales - % Russia</v>
          </cell>
          <cell r="C147" t="str">
            <v>SALES_RUSSIA</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row>
        <row r="148">
          <cell r="B148" t="str">
            <v>Sales - % Other EMEA</v>
          </cell>
          <cell r="C148" t="str">
            <v>SALES_OTH_EMEA</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row>
        <row r="149">
          <cell r="B149" t="str">
            <v>Sales - Total % Asia (incl Australia &amp; New Zealand)</v>
          </cell>
          <cell r="C149" t="str">
            <v>SALES_TOT_ASIA</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row>
        <row r="150">
          <cell r="B150" t="str">
            <v>Sales - % Japan</v>
          </cell>
          <cell r="C150" t="str">
            <v>SALES_JAPAN</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row>
        <row r="151">
          <cell r="B151" t="str">
            <v>Sales - % China</v>
          </cell>
          <cell r="C151" t="str">
            <v>SALES_CHINA</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row>
        <row r="152">
          <cell r="B152" t="str">
            <v>Sales - % India</v>
          </cell>
          <cell r="C152" t="str">
            <v>SALES_INDIA</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row>
        <row r="153">
          <cell r="A153">
            <v>0</v>
          </cell>
          <cell r="B153" t="str">
            <v>Sales - % South Korea</v>
          </cell>
          <cell r="C153" t="str">
            <v>SALES_SK</v>
          </cell>
          <cell r="D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154">
            <v>0</v>
          </cell>
          <cell r="B154" t="str">
            <v>Sales - % Australia</v>
          </cell>
          <cell r="C154" t="str">
            <v>SALES_AUSTRA</v>
          </cell>
          <cell r="D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155">
            <v>0</v>
          </cell>
          <cell r="B155" t="str">
            <v>Sales - % New Zealand</v>
          </cell>
          <cell r="C155" t="str">
            <v>SALES_NZ</v>
          </cell>
          <cell r="D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B156" t="str">
            <v>Sales - % Other Asia</v>
          </cell>
          <cell r="C156" t="str">
            <v>SALES_OTH_AEJ</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row>
        <row r="157">
          <cell r="B157" t="str">
            <v>Sales - % Others</v>
          </cell>
          <cell r="C157" t="str">
            <v>SALES_OTHER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0.14000000000000001</v>
          </cell>
          <cell r="AO157">
            <v>0.14000000000000001</v>
          </cell>
          <cell r="AP157">
            <v>0</v>
          </cell>
          <cell r="AQ157">
            <v>0</v>
          </cell>
          <cell r="AR157">
            <v>0</v>
          </cell>
          <cell r="AS157">
            <v>0</v>
          </cell>
          <cell r="AT157">
            <v>0</v>
          </cell>
          <cell r="AU157">
            <v>0</v>
          </cell>
          <cell r="AV157">
            <v>0</v>
          </cell>
        </row>
        <row r="158">
          <cell r="B158" t="str">
            <v>Indirect Sales - Total % Americas</v>
          </cell>
          <cell r="C158" t="str">
            <v>IND_SALES_TOT_AM</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0.54</v>
          </cell>
          <cell r="AO158">
            <v>0.54</v>
          </cell>
          <cell r="AP158">
            <v>0</v>
          </cell>
          <cell r="AQ158">
            <v>0</v>
          </cell>
          <cell r="AR158">
            <v>0</v>
          </cell>
          <cell r="AS158">
            <v>0</v>
          </cell>
          <cell r="AT158">
            <v>0</v>
          </cell>
          <cell r="AU158">
            <v>0</v>
          </cell>
          <cell r="AV158">
            <v>0</v>
          </cell>
        </row>
        <row r="159">
          <cell r="B159" t="str">
            <v>Indirect Sales - % United States</v>
          </cell>
          <cell r="C159" t="str">
            <v>IND_SALES_US</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0.54</v>
          </cell>
          <cell r="AO159">
            <v>0.54</v>
          </cell>
          <cell r="AP159">
            <v>0</v>
          </cell>
          <cell r="AQ159">
            <v>0</v>
          </cell>
          <cell r="AR159">
            <v>0</v>
          </cell>
          <cell r="AS159">
            <v>0</v>
          </cell>
          <cell r="AT159">
            <v>0</v>
          </cell>
          <cell r="AU159">
            <v>0</v>
          </cell>
          <cell r="AV159">
            <v>0</v>
          </cell>
        </row>
        <row r="160">
          <cell r="A160">
            <v>0</v>
          </cell>
          <cell r="B160" t="str">
            <v>Indirect Sales - % Canada</v>
          </cell>
          <cell r="C160" t="str">
            <v>IND_SALES_CANADA</v>
          </cell>
          <cell r="D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B161" t="str">
            <v>Indirect Sales - % Brazil</v>
          </cell>
          <cell r="C161" t="str">
            <v>IND_SALES_BRAZIL</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row>
        <row r="162">
          <cell r="B162" t="str">
            <v>Indirect Sales - % Other Americas</v>
          </cell>
          <cell r="C162" t="str">
            <v>IND_SALES_OTH_AM</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row>
        <row r="163">
          <cell r="B163" t="str">
            <v>Indirect Sales - Total % EMEA</v>
          </cell>
          <cell r="C163" t="str">
            <v>IND_SALES_TOT_EMEA</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0.32</v>
          </cell>
          <cell r="AO163">
            <v>0.32</v>
          </cell>
          <cell r="AP163">
            <v>0</v>
          </cell>
          <cell r="AQ163">
            <v>0</v>
          </cell>
          <cell r="AR163">
            <v>0</v>
          </cell>
          <cell r="AS163">
            <v>0</v>
          </cell>
          <cell r="AT163">
            <v>0</v>
          </cell>
          <cell r="AU163">
            <v>0</v>
          </cell>
          <cell r="AV163">
            <v>0</v>
          </cell>
        </row>
        <row r="164">
          <cell r="B164" t="str">
            <v>Indirect Sales - % UK</v>
          </cell>
          <cell r="C164" t="str">
            <v>IND_SALES_UK</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0.1</v>
          </cell>
          <cell r="AO164">
            <v>0.1</v>
          </cell>
          <cell r="AP164">
            <v>0</v>
          </cell>
          <cell r="AQ164">
            <v>0</v>
          </cell>
          <cell r="AR164">
            <v>0</v>
          </cell>
          <cell r="AS164">
            <v>0</v>
          </cell>
          <cell r="AT164">
            <v>0</v>
          </cell>
          <cell r="AU164">
            <v>0</v>
          </cell>
          <cell r="AV164">
            <v>0</v>
          </cell>
        </row>
        <row r="165">
          <cell r="B165" t="str">
            <v>Indirect Sales - % Western Europe-Ex UK</v>
          </cell>
          <cell r="C165" t="str">
            <v>IND_SALES_EU_EX_UK</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0.22</v>
          </cell>
          <cell r="AO165">
            <v>0.22</v>
          </cell>
          <cell r="AP165">
            <v>0</v>
          </cell>
          <cell r="AQ165">
            <v>0</v>
          </cell>
          <cell r="AR165">
            <v>0</v>
          </cell>
          <cell r="AS165">
            <v>0</v>
          </cell>
          <cell r="AT165">
            <v>0</v>
          </cell>
          <cell r="AU165">
            <v>0</v>
          </cell>
          <cell r="AV165">
            <v>0</v>
          </cell>
        </row>
        <row r="166">
          <cell r="A166">
            <v>0</v>
          </cell>
          <cell r="B166" t="str">
            <v>Indirect Sales - % Austria</v>
          </cell>
          <cell r="C166" t="str">
            <v>IND_SALES_AUSTRIA</v>
          </cell>
          <cell r="D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167">
            <v>0</v>
          </cell>
          <cell r="B167" t="str">
            <v>Indirect Sales - % Belgium</v>
          </cell>
          <cell r="C167" t="str">
            <v>IND_SALES_BEL</v>
          </cell>
          <cell r="D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168">
            <v>0</v>
          </cell>
          <cell r="B168" t="str">
            <v>Indirect Sales - % Denmark</v>
          </cell>
          <cell r="C168" t="str">
            <v>IND_SALES_DEN</v>
          </cell>
          <cell r="D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169">
            <v>0</v>
          </cell>
          <cell r="B169" t="str">
            <v>Indirect Sales - % Finland</v>
          </cell>
          <cell r="C169" t="str">
            <v>IND_SALES_FIN</v>
          </cell>
          <cell r="D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B170" t="str">
            <v>Indirect Sales - % France</v>
          </cell>
          <cell r="C170" t="str">
            <v>IND_SALES_FRA</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row>
        <row r="171">
          <cell r="B171" t="str">
            <v>Indirect Sales - % Germany</v>
          </cell>
          <cell r="C171" t="str">
            <v>IND_SALES_GER</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row>
        <row r="172">
          <cell r="A172">
            <v>0</v>
          </cell>
          <cell r="B172" t="str">
            <v>Indirect Sales - % Greece</v>
          </cell>
          <cell r="C172" t="str">
            <v>IND_SALES_GRE</v>
          </cell>
          <cell r="D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173">
            <v>0</v>
          </cell>
          <cell r="B173" t="str">
            <v>Indirect Sales - % Iceland</v>
          </cell>
          <cell r="C173" t="str">
            <v>IND_SALES_ICE</v>
          </cell>
          <cell r="D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174">
            <v>0</v>
          </cell>
          <cell r="B174" t="str">
            <v>Indirect Sales - % Ireland</v>
          </cell>
          <cell r="C174" t="str">
            <v>IND_SALES_IRE</v>
          </cell>
          <cell r="D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B175" t="str">
            <v>Indirect Sales - % Italy</v>
          </cell>
          <cell r="C175" t="str">
            <v>IND_SALES_ITA</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row>
        <row r="176">
          <cell r="A176">
            <v>0</v>
          </cell>
          <cell r="B176" t="str">
            <v>Indirect Sales - % Netherlands</v>
          </cell>
          <cell r="C176" t="str">
            <v>IND_SALES_NETH</v>
          </cell>
          <cell r="D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177">
            <v>0</v>
          </cell>
          <cell r="B177" t="str">
            <v>Indirect Sales - % Norway</v>
          </cell>
          <cell r="C177" t="str">
            <v>IND_SALES_NOR</v>
          </cell>
          <cell r="D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178">
            <v>0</v>
          </cell>
          <cell r="B178" t="str">
            <v>Indirect Sales - % Portugal</v>
          </cell>
          <cell r="C178" t="str">
            <v>IND_SALES_POR</v>
          </cell>
          <cell r="D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Indirect Sales - % Spain</v>
          </cell>
          <cell r="C179" t="str">
            <v>IND_SALES_SPA</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row>
        <row r="180">
          <cell r="B180" t="str">
            <v>Indirect Sales - % Other Western Europe-Ex UK</v>
          </cell>
          <cell r="C180" t="str">
            <v>IND_SALES_OTH_EU_EX_UK</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0.22</v>
          </cell>
          <cell r="AO180">
            <v>0.22</v>
          </cell>
          <cell r="AP180">
            <v>0</v>
          </cell>
          <cell r="AQ180">
            <v>0</v>
          </cell>
          <cell r="AR180">
            <v>0</v>
          </cell>
          <cell r="AS180">
            <v>0</v>
          </cell>
          <cell r="AT180">
            <v>0</v>
          </cell>
          <cell r="AU180">
            <v>0</v>
          </cell>
          <cell r="AV180">
            <v>0</v>
          </cell>
        </row>
        <row r="181">
          <cell r="A181">
            <v>0</v>
          </cell>
          <cell r="B181" t="str">
            <v>Indirect Sales - % Sweden</v>
          </cell>
          <cell r="C181" t="str">
            <v>IND_SALES_SWE</v>
          </cell>
          <cell r="D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182">
            <v>0</v>
          </cell>
          <cell r="B182" t="str">
            <v>Indirect Sales - % Switzerland</v>
          </cell>
          <cell r="C182" t="str">
            <v>IND_SALES_SWIT</v>
          </cell>
          <cell r="D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B183" t="str">
            <v>Indirect Sales - % Central &amp; Eastern Europe</v>
          </cell>
          <cell r="C183" t="str">
            <v>IND_SALES_CEE</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row>
        <row r="184">
          <cell r="B184" t="str">
            <v>Indirect Sales - % Middle East</v>
          </cell>
          <cell r="C184" t="str">
            <v>IND_SALES_ME</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row>
        <row r="185">
          <cell r="B185" t="str">
            <v>Indirect Sales - % Russia</v>
          </cell>
          <cell r="C185" t="str">
            <v>IND_SALES_RUSSIA</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row>
        <row r="186">
          <cell r="B186" t="str">
            <v>Indirect sales - % South Africa</v>
          </cell>
          <cell r="C186" t="str">
            <v>IND_SALES_SO_AFRICA</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row>
        <row r="187">
          <cell r="B187" t="str">
            <v>Indirect sales - % Nigeria</v>
          </cell>
          <cell r="C187" t="str">
            <v>IND_SALES_NIGERIA</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row>
        <row r="188">
          <cell r="B188" t="str">
            <v>Indirect sales - % Other Africa</v>
          </cell>
          <cell r="C188" t="str">
            <v>IND_SALES_OTH_AFRICA</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row>
        <row r="189">
          <cell r="B189" t="str">
            <v>Indirect Sales - % Other EMEA</v>
          </cell>
          <cell r="C189" t="str">
            <v>IND_SALES_OTH_EMEA</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row>
        <row r="190">
          <cell r="B190" t="str">
            <v>Indirect sales - % Total Africa</v>
          </cell>
          <cell r="C190" t="str">
            <v>IND_SALES_TOT_AFRICA</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row>
        <row r="191">
          <cell r="B191" t="str">
            <v>Indirect Sales - Total % Asia (incl Australia &amp; New Zealand)</v>
          </cell>
          <cell r="C191" t="str">
            <v>IND_SALES_TOT_ASIA</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row>
        <row r="192">
          <cell r="B192" t="str">
            <v>Indirect Sales - % Japan</v>
          </cell>
          <cell r="C192" t="str">
            <v>IND_SALES_JAPAN</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row>
        <row r="193">
          <cell r="B193" t="str">
            <v>Indirect Sales - % China</v>
          </cell>
          <cell r="C193" t="str">
            <v>IND_SALES_CHINA</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row>
        <row r="194">
          <cell r="B194" t="str">
            <v>Indirect Sales - % India</v>
          </cell>
          <cell r="C194" t="str">
            <v>IND_SALES_INDIA</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row>
        <row r="195">
          <cell r="A195">
            <v>0</v>
          </cell>
          <cell r="B195" t="str">
            <v>Indirect Sales - % South Korea</v>
          </cell>
          <cell r="C195" t="str">
            <v>IND_SALES_SK</v>
          </cell>
          <cell r="D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196">
            <v>0</v>
          </cell>
          <cell r="B196" t="str">
            <v>Indirect Sales - % Australia</v>
          </cell>
          <cell r="C196" t="str">
            <v>IND_SALES_AUSTRA</v>
          </cell>
          <cell r="D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197">
            <v>0</v>
          </cell>
          <cell r="B197" t="str">
            <v>Indirect Sales - % New Zealand</v>
          </cell>
          <cell r="C197" t="str">
            <v>IND_SALES_NZ</v>
          </cell>
          <cell r="D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B198" t="str">
            <v>Indirect Sales - % Other Asia</v>
          </cell>
          <cell r="C198" t="str">
            <v>IND_SALES_OTH_AEJ</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row>
        <row r="199">
          <cell r="B199" t="str">
            <v>Indirect Sales - % Others</v>
          </cell>
          <cell r="C199" t="str">
            <v>IND_SALES_OTHER</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0.14000000000000001</v>
          </cell>
          <cell r="AO199">
            <v>0.14000000000000001</v>
          </cell>
          <cell r="AP199">
            <v>0</v>
          </cell>
          <cell r="AQ199">
            <v>0</v>
          </cell>
          <cell r="AR199">
            <v>0</v>
          </cell>
          <cell r="AS199">
            <v>0</v>
          </cell>
          <cell r="AT199">
            <v>0</v>
          </cell>
          <cell r="AU199">
            <v>0</v>
          </cell>
          <cell r="AV199">
            <v>0</v>
          </cell>
        </row>
        <row r="200">
          <cell r="A200">
            <v>0</v>
          </cell>
          <cell r="B200" t="str">
            <v>Operating Profit - % Total Americas</v>
          </cell>
          <cell r="C200" t="str">
            <v>OP_TOT_AM</v>
          </cell>
          <cell r="D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201">
            <v>0</v>
          </cell>
          <cell r="B201" t="str">
            <v>Operating Profit - % United States</v>
          </cell>
          <cell r="C201" t="str">
            <v>OP_US</v>
          </cell>
          <cell r="D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202">
            <v>0</v>
          </cell>
          <cell r="B202" t="str">
            <v>Operating Profit - % Canada</v>
          </cell>
          <cell r="C202" t="str">
            <v>OP_CANADA</v>
          </cell>
          <cell r="D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203">
            <v>0</v>
          </cell>
          <cell r="B203" t="str">
            <v>Operating Profit - % Brazil</v>
          </cell>
          <cell r="C203" t="str">
            <v>OP_BRAZIL</v>
          </cell>
          <cell r="D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204">
            <v>0</v>
          </cell>
          <cell r="B204" t="str">
            <v>Operating Profit - % Other Americas</v>
          </cell>
          <cell r="C204" t="str">
            <v>OP_OTH_AM</v>
          </cell>
          <cell r="D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205">
            <v>0</v>
          </cell>
          <cell r="B205" t="str">
            <v>Operating Profit - Total % EMEA</v>
          </cell>
          <cell r="C205" t="str">
            <v>OP_TOT_EMEA</v>
          </cell>
          <cell r="D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206">
            <v>0</v>
          </cell>
          <cell r="B206" t="str">
            <v>Operating Profit - % UK</v>
          </cell>
          <cell r="C206" t="str">
            <v>OP_UK</v>
          </cell>
          <cell r="D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207">
            <v>0</v>
          </cell>
          <cell r="B207" t="str">
            <v>Operating Profit - % Europe-Ex UK</v>
          </cell>
          <cell r="C207" t="str">
            <v>OP_EU_EX_UK</v>
          </cell>
          <cell r="D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208">
            <v>0</v>
          </cell>
          <cell r="B208" t="str">
            <v>Operating Profit - % Austria</v>
          </cell>
          <cell r="C208" t="str">
            <v>OP_AUSTRIA</v>
          </cell>
          <cell r="D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209">
            <v>0</v>
          </cell>
          <cell r="B209" t="str">
            <v>Operating Profit - % Belgium</v>
          </cell>
          <cell r="C209" t="str">
            <v>OP_BEL</v>
          </cell>
          <cell r="D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210">
            <v>0</v>
          </cell>
          <cell r="B210" t="str">
            <v>Operating Profit - % Denmark</v>
          </cell>
          <cell r="C210" t="str">
            <v>OP_DEN</v>
          </cell>
          <cell r="D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211">
            <v>0</v>
          </cell>
          <cell r="B211" t="str">
            <v>Operating Profit - % Finland</v>
          </cell>
          <cell r="C211" t="str">
            <v>OP_FIN</v>
          </cell>
          <cell r="D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212">
            <v>0</v>
          </cell>
          <cell r="B212" t="str">
            <v>Operating Profit - % France</v>
          </cell>
          <cell r="C212" t="str">
            <v>OP_FRA</v>
          </cell>
          <cell r="D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213">
            <v>0</v>
          </cell>
          <cell r="B213" t="str">
            <v>Operating Profit - % Germany</v>
          </cell>
          <cell r="C213" t="str">
            <v>OP_GER</v>
          </cell>
          <cell r="D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214">
            <v>0</v>
          </cell>
          <cell r="B214" t="str">
            <v>Operating Profit - % Greece</v>
          </cell>
          <cell r="C214" t="str">
            <v>OP_GRE</v>
          </cell>
          <cell r="D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215">
            <v>0</v>
          </cell>
          <cell r="B215" t="str">
            <v>Operating Profit - % Iceland</v>
          </cell>
          <cell r="C215" t="str">
            <v>OP_ICE</v>
          </cell>
          <cell r="D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216">
            <v>0</v>
          </cell>
          <cell r="B216" t="str">
            <v>Operating Profit - % Ireland</v>
          </cell>
          <cell r="C216" t="str">
            <v>OP_IRE</v>
          </cell>
          <cell r="D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217">
            <v>0</v>
          </cell>
          <cell r="B217" t="str">
            <v>Operating Profit - % Italy</v>
          </cell>
          <cell r="C217" t="str">
            <v>OP_ITA</v>
          </cell>
          <cell r="D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218">
            <v>0</v>
          </cell>
          <cell r="B218" t="str">
            <v>Operating Profit - % Netherlands</v>
          </cell>
          <cell r="C218" t="str">
            <v>OP_NETH</v>
          </cell>
          <cell r="D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219">
            <v>0</v>
          </cell>
          <cell r="B219" t="str">
            <v>Operating Profit - % Norway</v>
          </cell>
          <cell r="C219" t="str">
            <v>OP_NOR</v>
          </cell>
          <cell r="D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220">
            <v>0</v>
          </cell>
          <cell r="B220" t="str">
            <v>Operating Profit - % Portugal</v>
          </cell>
          <cell r="C220" t="str">
            <v>OP_POR</v>
          </cell>
          <cell r="D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221">
            <v>0</v>
          </cell>
          <cell r="B221" t="str">
            <v>Operating Profit - % Spain</v>
          </cell>
          <cell r="C221" t="str">
            <v>OP_SPA</v>
          </cell>
          <cell r="D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222">
            <v>0</v>
          </cell>
          <cell r="B222" t="str">
            <v>Operating Profit - % Sweden</v>
          </cell>
          <cell r="C222" t="str">
            <v>OP_SWE</v>
          </cell>
          <cell r="D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223">
            <v>0</v>
          </cell>
          <cell r="B223" t="str">
            <v>Operating Profit - % Switzerland</v>
          </cell>
          <cell r="C223" t="str">
            <v>OP_SWIT</v>
          </cell>
          <cell r="D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224">
            <v>0</v>
          </cell>
          <cell r="B224" t="str">
            <v>Operating Profit - % Central &amp; Eastern Europe</v>
          </cell>
          <cell r="C224" t="str">
            <v>OP_CEE</v>
          </cell>
          <cell r="D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225">
            <v>0</v>
          </cell>
          <cell r="B225" t="str">
            <v>Operating Profit - % Middle East</v>
          </cell>
          <cell r="C225" t="str">
            <v>OP_ME</v>
          </cell>
          <cell r="D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226">
            <v>0</v>
          </cell>
          <cell r="B226" t="str">
            <v>Operating Profit - % Russia</v>
          </cell>
          <cell r="C226" t="str">
            <v>OP_RUSSIA</v>
          </cell>
          <cell r="D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227">
            <v>0</v>
          </cell>
          <cell r="B227" t="str">
            <v>Operating Profit - % Other EMEA</v>
          </cell>
          <cell r="C227" t="str">
            <v>OP_OTH_EMEA</v>
          </cell>
          <cell r="D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228">
            <v>0</v>
          </cell>
          <cell r="B228" t="str">
            <v>Operating Profit - Total % Asia (incl Australia &amp; New Zealand)</v>
          </cell>
          <cell r="C228" t="str">
            <v>OP_TOT_ASIA</v>
          </cell>
          <cell r="D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229">
            <v>0</v>
          </cell>
          <cell r="B229" t="str">
            <v>Operating Profit - % Japan</v>
          </cell>
          <cell r="C229" t="str">
            <v>OP_JAPAN</v>
          </cell>
          <cell r="D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230">
            <v>0</v>
          </cell>
          <cell r="B230" t="str">
            <v>Operating Profit - % Greater China (incl HK)</v>
          </cell>
          <cell r="C230" t="str">
            <v>OP_CHINA</v>
          </cell>
          <cell r="D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231">
            <v>0</v>
          </cell>
          <cell r="B231" t="str">
            <v>Operating Profit - % India</v>
          </cell>
          <cell r="C231" t="str">
            <v>OP_INDIA</v>
          </cell>
          <cell r="D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232">
            <v>0</v>
          </cell>
          <cell r="B232" t="str">
            <v>Operating Profit - % South Korea</v>
          </cell>
          <cell r="C232" t="str">
            <v>OP_SK</v>
          </cell>
          <cell r="D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233">
            <v>0</v>
          </cell>
          <cell r="B233" t="str">
            <v>Operating Profit - % Australia</v>
          </cell>
          <cell r="C233" t="str">
            <v>OP_AUSTRA</v>
          </cell>
          <cell r="D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234">
            <v>0</v>
          </cell>
          <cell r="B234" t="str">
            <v>Operating Profit - % New Zealand</v>
          </cell>
          <cell r="C234" t="str">
            <v>OP_NZ</v>
          </cell>
          <cell r="D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235">
            <v>0</v>
          </cell>
          <cell r="B235" t="str">
            <v>Operating Profit - % Other AEJ (incl Taiwan)</v>
          </cell>
          <cell r="C235" t="str">
            <v>OP_OTH_AEJ</v>
          </cell>
          <cell r="D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236">
            <v>0</v>
          </cell>
          <cell r="B236" t="str">
            <v>Operating Profit - % Others</v>
          </cell>
          <cell r="C236" t="str">
            <v>OP_OTHER</v>
          </cell>
          <cell r="D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Sales -% Consumer (C)</v>
          </cell>
          <cell r="C237" t="str">
            <v>SALES_CONS</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row>
        <row r="238">
          <cell r="B238" t="str">
            <v>Sales -% Industry (I)</v>
          </cell>
          <cell r="C238" t="str">
            <v>SALES_IND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0.61</v>
          </cell>
          <cell r="AO238">
            <v>0.61</v>
          </cell>
          <cell r="AP238">
            <v>0</v>
          </cell>
          <cell r="AQ238">
            <v>0</v>
          </cell>
          <cell r="AR238">
            <v>0</v>
          </cell>
          <cell r="AS238">
            <v>0</v>
          </cell>
          <cell r="AT238">
            <v>0</v>
          </cell>
          <cell r="AU238">
            <v>0</v>
          </cell>
          <cell r="AV238">
            <v>0</v>
          </cell>
        </row>
        <row r="239">
          <cell r="B239" t="str">
            <v>Sales -% Government (G)</v>
          </cell>
          <cell r="C239" t="str">
            <v>SALES_GOV</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0.39</v>
          </cell>
          <cell r="AO239">
            <v>0.39</v>
          </cell>
          <cell r="AP239">
            <v>0</v>
          </cell>
          <cell r="AQ239">
            <v>0</v>
          </cell>
          <cell r="AR239">
            <v>0</v>
          </cell>
          <cell r="AS239">
            <v>0</v>
          </cell>
          <cell r="AT239">
            <v>0</v>
          </cell>
          <cell r="AU239">
            <v>0</v>
          </cell>
          <cell r="AV239">
            <v>0</v>
          </cell>
        </row>
        <row r="240">
          <cell r="B240" t="str">
            <v>Sales - % Industry Sub-Segment: Financial Services</v>
          </cell>
          <cell r="C240" t="str">
            <v>SALES_FINAN</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row>
        <row r="241">
          <cell r="A241">
            <v>0</v>
          </cell>
          <cell r="B241" t="str">
            <v>Operating Profit - % Consumer (C)</v>
          </cell>
          <cell r="C241" t="str">
            <v>OP_CONS</v>
          </cell>
          <cell r="D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242">
            <v>0</v>
          </cell>
          <cell r="B242" t="str">
            <v>Operating Profit - % Industry (I)</v>
          </cell>
          <cell r="C242" t="str">
            <v>OP_IND</v>
          </cell>
          <cell r="D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243">
            <v>0</v>
          </cell>
          <cell r="B243" t="str">
            <v>Operating Profit - % Government (G)</v>
          </cell>
          <cell r="C243" t="str">
            <v>OP_GOV</v>
          </cell>
          <cell r="D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244">
            <v>0</v>
          </cell>
          <cell r="B244" t="str">
            <v>Net Income - % Consumer (C)</v>
          </cell>
          <cell r="C244" t="str">
            <v>NI_CON</v>
          </cell>
          <cell r="D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245">
            <v>0</v>
          </cell>
          <cell r="B245" t="str">
            <v>Net Income - % Industry (I)</v>
          </cell>
          <cell r="C245" t="str">
            <v>NI_IND</v>
          </cell>
          <cell r="D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246">
            <v>0</v>
          </cell>
          <cell r="B246" t="str">
            <v>Net Income - % Government (G)</v>
          </cell>
          <cell r="C246" t="str">
            <v>NI_GOV</v>
          </cell>
          <cell r="D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247">
            <v>0</v>
          </cell>
          <cell r="B247" t="str">
            <v>Sales US - % Consumer (C)</v>
          </cell>
          <cell r="C247" t="str">
            <v>SALES_US_CONS</v>
          </cell>
          <cell r="D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248">
            <v>0</v>
          </cell>
          <cell r="B248" t="str">
            <v>Sales US - % Industry (I)</v>
          </cell>
          <cell r="C248" t="str">
            <v>SALES_US_IND</v>
          </cell>
          <cell r="D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249">
            <v>0</v>
          </cell>
          <cell r="B249" t="str">
            <v>Sales US - % Government (G)</v>
          </cell>
          <cell r="C249" t="str">
            <v>SALES_US_GOV</v>
          </cell>
          <cell r="D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250">
            <v>0</v>
          </cell>
          <cell r="B250" t="str">
            <v>Sales UK - % Consumer (C)</v>
          </cell>
          <cell r="C250" t="str">
            <v>SALES_UK_CONS</v>
          </cell>
          <cell r="D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251">
            <v>0</v>
          </cell>
          <cell r="B251" t="str">
            <v>Sales UK - % Industry (I)</v>
          </cell>
          <cell r="C251" t="str">
            <v>SALES_UK_IND</v>
          </cell>
          <cell r="D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252">
            <v>0</v>
          </cell>
          <cell r="B252" t="str">
            <v>Sales UK - % Government (G)</v>
          </cell>
          <cell r="C252" t="str">
            <v>SALES_UK_GOV</v>
          </cell>
          <cell r="D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253">
            <v>0</v>
          </cell>
          <cell r="B253" t="str">
            <v>Sales Dev. EU ex UK - % Consumer (C)</v>
          </cell>
          <cell r="C253" t="str">
            <v>SALES_EU_EX_UK_CONS</v>
          </cell>
          <cell r="D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254">
            <v>0</v>
          </cell>
          <cell r="B254" t="str">
            <v>Sales Dev. EU ex UK - % Industry (I)</v>
          </cell>
          <cell r="C254" t="str">
            <v>SALES_EU_EX_UK_IND</v>
          </cell>
          <cell r="D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255">
            <v>0</v>
          </cell>
          <cell r="B255" t="str">
            <v>Sales Dev. EU ex UK - % Government (G)</v>
          </cell>
          <cell r="C255" t="str">
            <v>SALES_EU_EX_UK_GOV</v>
          </cell>
          <cell r="D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6">
          <cell r="A256">
            <v>0</v>
          </cell>
          <cell r="B256" t="str">
            <v>Sales BRICs/other - % Consumer (C)</v>
          </cell>
          <cell r="C256" t="str">
            <v>SALES_BRICS_CONS</v>
          </cell>
          <cell r="D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row>
        <row r="257">
          <cell r="A257">
            <v>0</v>
          </cell>
          <cell r="B257" t="str">
            <v>Sales BRICs/other - % Industry (I)</v>
          </cell>
          <cell r="C257" t="str">
            <v>SALES_BRICS_IND</v>
          </cell>
          <cell r="D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258">
            <v>0</v>
          </cell>
          <cell r="B258" t="str">
            <v>Sales BRICs/other - % Government (G)</v>
          </cell>
          <cell r="C258" t="str">
            <v>SALES_BRICS_GOV</v>
          </cell>
          <cell r="D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B259" t="str">
            <v>Indirect Sales -% Consumer (C)</v>
          </cell>
          <cell r="C259" t="str">
            <v>IND_SALES_CONS</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row>
        <row r="260">
          <cell r="B260" t="str">
            <v>Indirect Sales -% Industry (I)</v>
          </cell>
          <cell r="C260" t="str">
            <v>IND_SALES_IND</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0.61</v>
          </cell>
          <cell r="AO260">
            <v>0.61</v>
          </cell>
          <cell r="AP260">
            <v>0</v>
          </cell>
          <cell r="AQ260">
            <v>0</v>
          </cell>
          <cell r="AR260">
            <v>0</v>
          </cell>
          <cell r="AS260">
            <v>0</v>
          </cell>
          <cell r="AT260">
            <v>0</v>
          </cell>
          <cell r="AU260">
            <v>0</v>
          </cell>
          <cell r="AV260">
            <v>0</v>
          </cell>
        </row>
        <row r="261">
          <cell r="B261" t="str">
            <v>Indirect Sales -% Government (G)</v>
          </cell>
          <cell r="C261" t="str">
            <v>IND_SALES_GOV</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0.39</v>
          </cell>
          <cell r="AO261">
            <v>0.39</v>
          </cell>
          <cell r="AP261">
            <v>0</v>
          </cell>
          <cell r="AQ261">
            <v>0</v>
          </cell>
          <cell r="AR261">
            <v>0</v>
          </cell>
          <cell r="AS261">
            <v>0</v>
          </cell>
          <cell r="AT261">
            <v>0</v>
          </cell>
          <cell r="AU261">
            <v>0</v>
          </cell>
          <cell r="AV261">
            <v>0</v>
          </cell>
        </row>
        <row r="262">
          <cell r="B262" t="str">
            <v>Indirect Sales -% Industry Sub-Segment: Financial Services</v>
          </cell>
          <cell r="C262" t="str">
            <v>IND_SALES_FINAN</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row>
        <row r="263">
          <cell r="A263">
            <v>0</v>
          </cell>
          <cell r="B263" t="str">
            <v>Indirect Sales US - % Consumer (C)</v>
          </cell>
          <cell r="C263" t="str">
            <v>IND_SALES_US_CONS</v>
          </cell>
          <cell r="D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264">
            <v>0</v>
          </cell>
          <cell r="B264" t="str">
            <v>Indirect Sales US - % Industry (I)</v>
          </cell>
          <cell r="C264" t="str">
            <v>IND_SALES_US_IND</v>
          </cell>
          <cell r="D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265">
            <v>0</v>
          </cell>
          <cell r="B265" t="str">
            <v>Indirect Sales US - % Government (G)</v>
          </cell>
          <cell r="C265" t="str">
            <v>IND_SALES_US_GOV</v>
          </cell>
          <cell r="D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266">
            <v>0</v>
          </cell>
          <cell r="B266" t="str">
            <v>Indirect Sales UK - % Consumer (C)</v>
          </cell>
          <cell r="C266" t="str">
            <v>IND_SALES_UK_CONS</v>
          </cell>
          <cell r="D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267">
            <v>0</v>
          </cell>
          <cell r="B267" t="str">
            <v>Indirect Sales UK - % Industry (I)</v>
          </cell>
          <cell r="C267" t="str">
            <v>IND_SALES_UK_IND</v>
          </cell>
          <cell r="D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268">
            <v>0</v>
          </cell>
          <cell r="B268" t="str">
            <v>Indirect Sales UK - % Government (G)</v>
          </cell>
          <cell r="C268" t="str">
            <v>IND_SALES_UK_GOV</v>
          </cell>
          <cell r="D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269">
            <v>0</v>
          </cell>
          <cell r="B269" t="str">
            <v>Indirect Sales Dev. EU ex UK - % Consumer (C)</v>
          </cell>
          <cell r="C269" t="str">
            <v>IND_SALES_EU_EX_UK_CONS</v>
          </cell>
          <cell r="D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270">
            <v>0</v>
          </cell>
          <cell r="B270" t="str">
            <v>Indirect Sales Dev. EU ex UK - % Industry (I)</v>
          </cell>
          <cell r="C270" t="str">
            <v>IND_SALES_EU_EX_UK_IND</v>
          </cell>
          <cell r="D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271">
            <v>0</v>
          </cell>
          <cell r="B271" t="str">
            <v>Indirect Sales Dev. EU ex UK - % Government (G)</v>
          </cell>
          <cell r="C271" t="str">
            <v>IND_SALES_EU_EX_UK_GOV</v>
          </cell>
          <cell r="D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272">
            <v>0</v>
          </cell>
          <cell r="B272" t="str">
            <v>Indirect Sales BRICs/other - % Consumer (C)</v>
          </cell>
          <cell r="C272" t="str">
            <v>IND_SALES_BRICS_CONS</v>
          </cell>
          <cell r="D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273">
            <v>0</v>
          </cell>
          <cell r="B273" t="str">
            <v>Indirect Sales BRICs/other - % Industry (I)</v>
          </cell>
          <cell r="C273" t="str">
            <v>IND_SALES_BRICS_IND</v>
          </cell>
          <cell r="D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274">
            <v>0</v>
          </cell>
          <cell r="B274" t="str">
            <v>Indirect Sales BRICs/other - % Government (G)</v>
          </cell>
          <cell r="C274" t="str">
            <v>IND_SALES_BRICS_GOV</v>
          </cell>
          <cell r="D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275">
            <v>0</v>
          </cell>
          <cell r="B275" t="str">
            <v>Operating Profit US - % Consumer (C)</v>
          </cell>
          <cell r="C275" t="str">
            <v>OP_US_CONS</v>
          </cell>
          <cell r="D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276">
            <v>0</v>
          </cell>
          <cell r="B276" t="str">
            <v>Operating Profit US - % Industry (I)</v>
          </cell>
          <cell r="C276" t="str">
            <v>OP_US_IND</v>
          </cell>
          <cell r="D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277">
            <v>0</v>
          </cell>
          <cell r="B277" t="str">
            <v>Operating Profit US - % Government (G)</v>
          </cell>
          <cell r="C277" t="str">
            <v>OP_US_GOV</v>
          </cell>
          <cell r="D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278">
            <v>0</v>
          </cell>
          <cell r="B278" t="str">
            <v>Operating Profit UK - % Consumer (C)</v>
          </cell>
          <cell r="C278" t="str">
            <v>OP_UK_CONS</v>
          </cell>
          <cell r="D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279">
            <v>0</v>
          </cell>
          <cell r="B279" t="str">
            <v>Operating Profit UK - % Industry (I)</v>
          </cell>
          <cell r="C279" t="str">
            <v>OP_UK_IND</v>
          </cell>
          <cell r="D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280">
            <v>0</v>
          </cell>
          <cell r="B280" t="str">
            <v>Operating Profit UK - % Government (G)</v>
          </cell>
          <cell r="C280" t="str">
            <v>OP_UK_GOV</v>
          </cell>
          <cell r="D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281">
            <v>0</v>
          </cell>
          <cell r="B281" t="str">
            <v>Operating Profit Dev, EU ex-UK% Consumer (C)</v>
          </cell>
          <cell r="C281" t="str">
            <v>OP_EU_EX_UK_CONS</v>
          </cell>
          <cell r="D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282">
            <v>0</v>
          </cell>
          <cell r="B282" t="str">
            <v>Operating Profit Dev, EU ex-UK% Industry (I)</v>
          </cell>
          <cell r="C282" t="str">
            <v>OP_EU_EX_UK_IND</v>
          </cell>
          <cell r="D282">
            <v>0</v>
          </cell>
          <cell r="F282" t="str">
            <v/>
          </cell>
          <cell r="G282" t="str">
            <v/>
          </cell>
          <cell r="H282" t="str">
            <v/>
          </cell>
          <cell r="I282" t="str">
            <v/>
          </cell>
          <cell r="J282" t="str">
            <v/>
          </cell>
          <cell r="K282" t="str">
            <v/>
          </cell>
          <cell r="L282" t="str">
            <v/>
          </cell>
          <cell r="M282" t="str">
            <v/>
          </cell>
          <cell r="N282" t="str">
            <v/>
          </cell>
          <cell r="O282" t="str">
            <v/>
          </cell>
          <cell r="P282" t="str">
            <v/>
          </cell>
          <cell r="Q282" t="str">
            <v/>
          </cell>
          <cell r="R282" t="str">
            <v/>
          </cell>
          <cell r="S282" t="str">
            <v/>
          </cell>
          <cell r="T282" t="str">
            <v/>
          </cell>
          <cell r="U282" t="str">
            <v/>
          </cell>
          <cell r="V282" t="str">
            <v/>
          </cell>
          <cell r="W282" t="str">
            <v/>
          </cell>
          <cell r="X282" t="str">
            <v/>
          </cell>
          <cell r="Y282" t="str">
            <v/>
          </cell>
          <cell r="Z282" t="str">
            <v/>
          </cell>
          <cell r="AA282" t="str">
            <v/>
          </cell>
          <cell r="AB282" t="str">
            <v/>
          </cell>
          <cell r="AC282" t="str">
            <v/>
          </cell>
          <cell r="AD282" t="str">
            <v/>
          </cell>
          <cell r="AE282" t="str">
            <v/>
          </cell>
          <cell r="AF282" t="str">
            <v/>
          </cell>
          <cell r="AG282" t="str">
            <v/>
          </cell>
          <cell r="AH282" t="str">
            <v/>
          </cell>
          <cell r="AI282" t="str">
            <v/>
          </cell>
          <cell r="AJ282" t="str">
            <v/>
          </cell>
          <cell r="AK282" t="str">
            <v/>
          </cell>
          <cell r="AL282" t="str">
            <v/>
          </cell>
          <cell r="AM282" t="str">
            <v/>
          </cell>
          <cell r="AN282">
            <v>0</v>
          </cell>
          <cell r="AO282">
            <v>0</v>
          </cell>
          <cell r="AP282" t="str">
            <v/>
          </cell>
          <cell r="AQ282" t="str">
            <v/>
          </cell>
          <cell r="AR282" t="str">
            <v/>
          </cell>
        </row>
        <row r="283">
          <cell r="A283">
            <v>0</v>
          </cell>
          <cell r="B283" t="str">
            <v>Operating Profit Dev, EU ex-UK% Government (G)</v>
          </cell>
          <cell r="C283" t="str">
            <v>OP_EU_EX_UK_GOV</v>
          </cell>
          <cell r="D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284">
            <v>0</v>
          </cell>
          <cell r="B284" t="str">
            <v>Operating Profit BRICs/other - % Consumer (C)</v>
          </cell>
          <cell r="C284" t="str">
            <v>OP_BRICS_CONS</v>
          </cell>
          <cell r="D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285">
            <v>0</v>
          </cell>
          <cell r="B285" t="str">
            <v>Operating Profit BRICs/other - % Industry (I)</v>
          </cell>
          <cell r="C285" t="str">
            <v>OP_BRICS_IND</v>
          </cell>
          <cell r="D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286">
            <v>0</v>
          </cell>
          <cell r="B286" t="str">
            <v>Operating Profit BRICs/other - % Government (G)</v>
          </cell>
          <cell r="C286" t="str">
            <v>OP_BRICS_GOV</v>
          </cell>
          <cell r="D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287">
            <v>0</v>
          </cell>
          <cell r="B287" t="str">
            <v>Net Income  US - % Consumer (C)</v>
          </cell>
          <cell r="C287" t="str">
            <v>NI_US_CONS</v>
          </cell>
          <cell r="D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288">
            <v>0</v>
          </cell>
          <cell r="B288" t="str">
            <v>Net Income  US - % Industry (I)</v>
          </cell>
          <cell r="C288" t="str">
            <v>NI_US_IND</v>
          </cell>
          <cell r="D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289">
            <v>0</v>
          </cell>
          <cell r="B289" t="str">
            <v>Net Income  US - % Government (G)</v>
          </cell>
          <cell r="C289" t="str">
            <v>NI_US_GOV</v>
          </cell>
          <cell r="D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290">
            <v>0</v>
          </cell>
          <cell r="B290" t="str">
            <v>Net Income  UK - % Consumer (C)</v>
          </cell>
          <cell r="C290" t="str">
            <v>NI_UK_CONS</v>
          </cell>
          <cell r="D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291">
            <v>0</v>
          </cell>
          <cell r="B291" t="str">
            <v>Net Income  UK - % Industry (I)</v>
          </cell>
          <cell r="C291" t="str">
            <v>NI_UK_IND</v>
          </cell>
          <cell r="D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292">
            <v>0</v>
          </cell>
          <cell r="B292" t="str">
            <v>Net Income  UK - % Government (G)</v>
          </cell>
          <cell r="C292" t="str">
            <v>NI_UK_GOV</v>
          </cell>
          <cell r="D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293">
            <v>0</v>
          </cell>
          <cell r="B293" t="str">
            <v>Net Income  Dev, EU ex-UK% Consumer (C)</v>
          </cell>
          <cell r="C293" t="str">
            <v>NI_EU_EX_UK_CONS</v>
          </cell>
          <cell r="D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294">
            <v>0</v>
          </cell>
          <cell r="B294" t="str">
            <v>Net Income  Dev, EU ex-UK% Industry (I)</v>
          </cell>
          <cell r="C294" t="str">
            <v>NI_EU_EX_UK_IND</v>
          </cell>
          <cell r="D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295">
            <v>0</v>
          </cell>
          <cell r="B295" t="str">
            <v>Net Income  Dev, EU ex-UK% Government (G)</v>
          </cell>
          <cell r="C295" t="str">
            <v>NI_EU_EX_UK_GOV</v>
          </cell>
          <cell r="D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296">
            <v>0</v>
          </cell>
          <cell r="B296" t="str">
            <v>Net Income  BRICs/other - % Consumer (C)</v>
          </cell>
          <cell r="C296" t="str">
            <v>NI_BRICS_CONS</v>
          </cell>
          <cell r="D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297">
            <v>0</v>
          </cell>
          <cell r="B297" t="str">
            <v>Net Income  BRICs/other - % Industry (I)</v>
          </cell>
          <cell r="C297" t="str">
            <v>NI_BRICS_IND</v>
          </cell>
          <cell r="D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298">
            <v>0</v>
          </cell>
          <cell r="B298" t="str">
            <v>Net Income  BRICs/other - % Government (G)</v>
          </cell>
          <cell r="C298" t="str">
            <v>NI_BRICS_GOV</v>
          </cell>
          <cell r="D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299" t="str">
            <v>Commodities Exposure - Sales</v>
          </cell>
          <cell r="B299">
            <v>0</v>
          </cell>
          <cell r="C299">
            <v>0</v>
          </cell>
          <cell r="D299">
            <v>0</v>
          </cell>
        </row>
        <row r="300">
          <cell r="B300" t="str">
            <v>Sales - % Other commodity</v>
          </cell>
          <cell r="C300" t="str">
            <v>SALES_OTH_COMMODITY</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row>
        <row r="301">
          <cell r="B301" t="str">
            <v>Sales - % Other (Non-Commodity) sales sources</v>
          </cell>
          <cell r="C301" t="str">
            <v>SALES_OTH_SALES_SOURCES</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row>
        <row r="302">
          <cell r="A302" t="str">
            <v>Commodities Exposure - Expense</v>
          </cell>
          <cell r="B302">
            <v>0</v>
          </cell>
          <cell r="C302">
            <v>0</v>
          </cell>
          <cell r="D302">
            <v>0</v>
          </cell>
        </row>
        <row r="303">
          <cell r="B303" t="str">
            <v>Expense - % Oil/Petrol/Fuel</v>
          </cell>
          <cell r="C303" t="str">
            <v>EXP_OIL_PETRO_FUEL</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row>
        <row r="304">
          <cell r="B304" t="str">
            <v>Expense - % Oil derivatives/NGLs/plastics</v>
          </cell>
          <cell r="C304" t="str">
            <v>EXP_OIL_DERIV_NGLS_PLASTICS</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row>
        <row r="305">
          <cell r="B305" t="str">
            <v>Expense - % Nat Gas</v>
          </cell>
          <cell r="C305" t="str">
            <v>EXP_NAT_GAS</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row>
        <row r="306">
          <cell r="B306" t="str">
            <v>Expense - % Gold</v>
          </cell>
          <cell r="C306" t="str">
            <v>EXP_GOLD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row>
        <row r="307">
          <cell r="B307" t="str">
            <v>Expense - % Copper</v>
          </cell>
          <cell r="C307" t="str">
            <v>EXP_COPPER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row>
        <row r="308">
          <cell r="B308" t="str">
            <v>Expense - % Silver</v>
          </cell>
          <cell r="C308" t="str">
            <v>EXP_SILVER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row>
        <row r="309">
          <cell r="B309" t="str">
            <v>Expense - % Platinum</v>
          </cell>
          <cell r="C309" t="str">
            <v>EXP_PLATINUM</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row>
        <row r="310">
          <cell r="B310" t="str">
            <v>Expense - % Palladium</v>
          </cell>
          <cell r="C310" t="str">
            <v>EXP_PALLADIUM</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row>
        <row r="311">
          <cell r="B311" t="str">
            <v>Expense - % Aluminium</v>
          </cell>
          <cell r="C311" t="str">
            <v>EXP_ALUMINIUM</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row>
        <row r="312">
          <cell r="B312" t="str">
            <v>Expense - % Nickel</v>
          </cell>
          <cell r="C312" t="str">
            <v>EXP_NICKEL</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row>
        <row r="313">
          <cell r="B313" t="str">
            <v>Expense - % Zinc</v>
          </cell>
          <cell r="C313" t="str">
            <v>EXP_ZINC</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row>
        <row r="314">
          <cell r="B314" t="str">
            <v>Expense - % Steel</v>
          </cell>
          <cell r="C314" t="str">
            <v>EXP_STEEL</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row>
        <row r="315">
          <cell r="B315" t="str">
            <v>Expense - % Glass</v>
          </cell>
          <cell r="C315" t="str">
            <v>EXP_GLASS</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row>
        <row r="316">
          <cell r="B316" t="str">
            <v>Expense - % Rubber</v>
          </cell>
          <cell r="C316" t="str">
            <v>EXP_RUBBER</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row>
        <row r="317">
          <cell r="B317" t="str">
            <v>Expense - % Water</v>
          </cell>
          <cell r="C317" t="str">
            <v>EXP_WATER</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row>
        <row r="318">
          <cell r="B318" t="str">
            <v>Expense - % Other commodity</v>
          </cell>
          <cell r="C318" t="str">
            <v>EXP_OTH_COMMODITY</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row>
        <row r="319">
          <cell r="B319" t="str">
            <v>Expense - % Other (Non-Commodity) cost</v>
          </cell>
          <cell r="C319" t="str">
            <v>EXP_OTH_COST</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row>
        <row r="320">
          <cell r="A320" t="str">
            <v>FX Exposure - Sales</v>
          </cell>
          <cell r="B320">
            <v>0</v>
          </cell>
          <cell r="C320">
            <v>0</v>
          </cell>
          <cell r="D320">
            <v>0</v>
          </cell>
        </row>
        <row r="321">
          <cell r="B321" t="str">
            <v>Sales - % FX: British Pounds/Pence</v>
          </cell>
          <cell r="C321" t="str">
            <v>SALES_FX_GPB</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0.1</v>
          </cell>
          <cell r="AO321">
            <v>0.1</v>
          </cell>
          <cell r="AP321">
            <v>0</v>
          </cell>
          <cell r="AQ321">
            <v>0</v>
          </cell>
          <cell r="AR321">
            <v>0</v>
          </cell>
          <cell r="AS321">
            <v>0</v>
          </cell>
          <cell r="AT321">
            <v>0</v>
          </cell>
          <cell r="AU321">
            <v>0</v>
          </cell>
          <cell r="AV321">
            <v>0</v>
          </cell>
        </row>
        <row r="322">
          <cell r="B322" t="str">
            <v>Sales - % FX: Euro</v>
          </cell>
          <cell r="C322" t="str">
            <v>SALES_FX_EUR</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0.22</v>
          </cell>
          <cell r="AO322">
            <v>0.22</v>
          </cell>
          <cell r="AP322">
            <v>0</v>
          </cell>
          <cell r="AQ322">
            <v>0</v>
          </cell>
          <cell r="AR322">
            <v>0</v>
          </cell>
          <cell r="AS322">
            <v>0</v>
          </cell>
          <cell r="AT322">
            <v>0</v>
          </cell>
          <cell r="AU322">
            <v>0</v>
          </cell>
          <cell r="AV322">
            <v>0</v>
          </cell>
        </row>
        <row r="323">
          <cell r="B323" t="str">
            <v>Sales - % FX: New Russian Ruble</v>
          </cell>
          <cell r="C323" t="str">
            <v>SALES_FX_RUB</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row>
        <row r="324">
          <cell r="B324" t="str">
            <v>Sales - % FX: U.S. Dollar</v>
          </cell>
          <cell r="C324" t="str">
            <v>SALES_FX_USD</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0.67999999999999994</v>
          </cell>
          <cell r="AO324">
            <v>0.67999999999999994</v>
          </cell>
          <cell r="AP324">
            <v>0</v>
          </cell>
          <cell r="AQ324">
            <v>0</v>
          </cell>
          <cell r="AR324">
            <v>0</v>
          </cell>
          <cell r="AS324">
            <v>0</v>
          </cell>
          <cell r="AT324">
            <v>0</v>
          </cell>
          <cell r="AU324">
            <v>0</v>
          </cell>
          <cell r="AV324">
            <v>0</v>
          </cell>
        </row>
        <row r="325">
          <cell r="B325" t="str">
            <v>Sales - % FX: Brazilian Real</v>
          </cell>
          <cell r="C325" t="str">
            <v>SALES_FX_BRL</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row>
        <row r="326">
          <cell r="B326" t="str">
            <v>Sales - % FX: Japanese Yen</v>
          </cell>
          <cell r="C326" t="str">
            <v>SALES_FX_YEN</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row>
        <row r="327">
          <cell r="B327" t="str">
            <v>Sales - % FX: Chinese Renminbi</v>
          </cell>
          <cell r="C327" t="str">
            <v>SALES_FX_CNY</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row>
        <row r="328">
          <cell r="B328" t="str">
            <v>Sales - % FX: Indian Rupee</v>
          </cell>
          <cell r="C328" t="str">
            <v>SALES_FX_INR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row>
        <row r="329">
          <cell r="B329" t="str">
            <v>Sales - % FX: South African Rand</v>
          </cell>
          <cell r="C329" t="str">
            <v>SALES_FX_ZAR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row>
        <row r="330">
          <cell r="B330" t="str">
            <v>Sales - % FX: Nigerian Naira</v>
          </cell>
          <cell r="C330" t="str">
            <v>SALES_FX_NGN</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row>
        <row r="331">
          <cell r="B331" t="str">
            <v>Sales - % FX: Swiss Franc</v>
          </cell>
          <cell r="C331" t="str">
            <v>SALES_FX_CHF</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row>
        <row r="332">
          <cell r="B332" t="str">
            <v>Sales - % FX: UAE Dirham</v>
          </cell>
          <cell r="C332" t="str">
            <v>SALES_FX_AED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row>
        <row r="333">
          <cell r="B333" t="str">
            <v>Sales - % FX: New Turkish Lira</v>
          </cell>
          <cell r="C333" t="str">
            <v>SALES_FX_TRY</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row>
        <row r="334">
          <cell r="B334" t="str">
            <v>Sales - % FX: Other Currency</v>
          </cell>
          <cell r="C334" t="str">
            <v>SALES_FX_OTH</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row>
        <row r="335">
          <cell r="A335" t="str">
            <v>Security: Meggitt</v>
          </cell>
          <cell r="B335">
            <v>0</v>
          </cell>
          <cell r="C335">
            <v>0</v>
          </cell>
          <cell r="D335">
            <v>0</v>
          </cell>
        </row>
        <row r="336">
          <cell r="A336" t="str">
            <v>Reference Data</v>
          </cell>
          <cell r="B336">
            <v>0</v>
          </cell>
          <cell r="C336">
            <v>0</v>
          </cell>
          <cell r="D336">
            <v>0</v>
          </cell>
        </row>
        <row r="337">
          <cell r="B337" t="str">
            <v>Ticker</v>
          </cell>
          <cell r="C337" t="str">
            <v>Ticker</v>
          </cell>
          <cell r="E337" t="str">
            <v>MGGT.L</v>
          </cell>
        </row>
        <row r="338">
          <cell r="B338" t="str">
            <v>Security Name</v>
          </cell>
          <cell r="C338" t="str">
            <v>Security Name</v>
          </cell>
          <cell r="E338" t="str">
            <v>Meggitt</v>
          </cell>
        </row>
        <row r="339">
          <cell r="B339" t="str">
            <v>Interim Type</v>
          </cell>
          <cell r="C339" t="str">
            <v>Interim Type</v>
          </cell>
          <cell r="E339" t="str">
            <v>H</v>
          </cell>
        </row>
        <row r="340">
          <cell r="B340" t="str">
            <v>Publishing Currency</v>
          </cell>
          <cell r="C340" t="str">
            <v>PUB_CURRENCY_ISO</v>
          </cell>
          <cell r="E340" t="str">
            <v>GBP</v>
          </cell>
        </row>
        <row r="341">
          <cell r="B341" t="str">
            <v>Pricing Currency</v>
          </cell>
          <cell r="C341" t="str">
            <v>PRICE_CURRENCY_ISO</v>
          </cell>
          <cell r="E341" t="str">
            <v>GBP</v>
          </cell>
        </row>
        <row r="342">
          <cell r="B342" t="str">
            <v>Reporting Currency</v>
          </cell>
          <cell r="C342" t="str">
            <v>CURRENCY_ISO</v>
          </cell>
          <cell r="E342" t="str">
            <v>GBP</v>
          </cell>
        </row>
        <row r="343">
          <cell r="A343" t="str">
            <v>General Information</v>
          </cell>
          <cell r="B343">
            <v>0</v>
          </cell>
          <cell r="C343">
            <v>0</v>
          </cell>
          <cell r="D343">
            <v>0</v>
          </cell>
        </row>
        <row r="344">
          <cell r="B344" t="str">
            <v>Pan Europe Investment List</v>
          </cell>
          <cell r="C344" t="str">
            <v>EURO_LIST</v>
          </cell>
          <cell r="E344" t="str">
            <v>Buy</v>
          </cell>
        </row>
        <row r="345">
          <cell r="B345" t="str">
            <v>Pan Europe Conviction List</v>
          </cell>
          <cell r="C345" t="str">
            <v>EURO_CONVICTION</v>
          </cell>
          <cell r="E345">
            <v>0</v>
          </cell>
        </row>
        <row r="346">
          <cell r="B346" t="str">
            <v>Legal rating</v>
          </cell>
          <cell r="C346" t="str">
            <v>LEGAL_RATING</v>
          </cell>
          <cell r="E346">
            <v>0</v>
          </cell>
        </row>
        <row r="347">
          <cell r="B347" t="str">
            <v>Target price</v>
          </cell>
          <cell r="C347" t="str">
            <v>TARGET_PRICE</v>
          </cell>
          <cell r="D347" t="str">
            <v>GBP</v>
          </cell>
          <cell r="E347">
            <v>568</v>
          </cell>
        </row>
        <row r="348">
          <cell r="B348" t="str">
            <v>Target price period</v>
          </cell>
          <cell r="C348" t="str">
            <v>TP_PERIOD</v>
          </cell>
          <cell r="E348" t="str">
            <v>12 months</v>
          </cell>
        </row>
        <row r="349">
          <cell r="B349" t="str">
            <v>Current shares outstanding (mn)</v>
          </cell>
          <cell r="C349" t="str">
            <v>NUM_SH</v>
          </cell>
          <cell r="E349">
            <v>770.41666666666674</v>
          </cell>
        </row>
        <row r="350">
          <cell r="B350" t="str">
            <v>Free float</v>
          </cell>
          <cell r="C350" t="str">
            <v>FREE_FLOAT</v>
          </cell>
          <cell r="E350">
            <v>1</v>
          </cell>
        </row>
        <row r="351">
          <cell r="A351" t="str">
            <v>Publishing Items</v>
          </cell>
          <cell r="B351">
            <v>0</v>
          </cell>
          <cell r="C351">
            <v>0</v>
          </cell>
          <cell r="D351">
            <v>0</v>
          </cell>
        </row>
        <row r="352">
          <cell r="B352" t="str">
            <v>Book value per share, BVPS (Pub)</v>
          </cell>
          <cell r="C352" t="str">
            <v>BVPS_PUB</v>
          </cell>
          <cell r="D352" t="str">
            <v>GBP</v>
          </cell>
          <cell r="F352">
            <v>22.34794239978422</v>
          </cell>
          <cell r="G352">
            <v>32.849531594859577</v>
          </cell>
          <cell r="H352">
            <v>23.280252043965234</v>
          </cell>
          <cell r="I352">
            <v>23.76904351201809</v>
          </cell>
          <cell r="J352">
            <v>22.056095777312617</v>
          </cell>
          <cell r="K352">
            <v>21.839261550156778</v>
          </cell>
          <cell r="L352">
            <v>22.105625499783311</v>
          </cell>
          <cell r="M352">
            <v>25.201583537478694</v>
          </cell>
          <cell r="N352">
            <v>30.873278506410244</v>
          </cell>
          <cell r="O352">
            <v>48.352255673389571</v>
          </cell>
          <cell r="P352">
            <v>57.931666926824875</v>
          </cell>
          <cell r="Q352">
            <v>64.926364678583042</v>
          </cell>
          <cell r="R352">
            <v>66.368022440846545</v>
          </cell>
          <cell r="S352">
            <v>67.545774292041202</v>
          </cell>
          <cell r="T352">
            <v>92.64584658761899</v>
          </cell>
          <cell r="U352">
            <v>98.140046240599659</v>
          </cell>
          <cell r="V352">
            <v>0</v>
          </cell>
          <cell r="W352">
            <v>0</v>
          </cell>
          <cell r="X352">
            <v>110.33764581124078</v>
          </cell>
          <cell r="Y352">
            <v>0</v>
          </cell>
          <cell r="Z352">
            <v>0</v>
          </cell>
          <cell r="AA352">
            <v>173.85935050391942</v>
          </cell>
          <cell r="AB352">
            <v>0</v>
          </cell>
          <cell r="AC352">
            <v>0</v>
          </cell>
          <cell r="AD352">
            <v>194.7124117053481</v>
          </cell>
          <cell r="AE352">
            <v>0</v>
          </cell>
          <cell r="AF352">
            <v>0</v>
          </cell>
          <cell r="AG352">
            <v>188.10374639769449</v>
          </cell>
          <cell r="AH352">
            <v>0</v>
          </cell>
          <cell r="AI352">
            <v>0</v>
          </cell>
          <cell r="AJ352">
            <v>208.26959654178671</v>
          </cell>
          <cell r="AK352">
            <v>0</v>
          </cell>
          <cell r="AL352">
            <v>0</v>
          </cell>
          <cell r="AM352">
            <v>232.77014602487824</v>
          </cell>
          <cell r="AN352">
            <v>243.5591450883683</v>
          </cell>
          <cell r="AO352">
            <v>263.24603614621003</v>
          </cell>
          <cell r="AP352">
            <v>284.28152881901212</v>
          </cell>
          <cell r="AQ352">
            <v>306.32691211090292</v>
          </cell>
          <cell r="AR352">
            <v>329.30459849435272</v>
          </cell>
          <cell r="AS352">
            <v>352.98580226883939</v>
          </cell>
          <cell r="AT352">
            <v>377.47748211772955</v>
          </cell>
          <cell r="AU352">
            <v>402.8745964553849</v>
          </cell>
          <cell r="AV352">
            <v>429.23910324386975</v>
          </cell>
        </row>
        <row r="353">
          <cell r="B353" t="str">
            <v>DPS, dividend per share (Pub)</v>
          </cell>
          <cell r="C353" t="str">
            <v>DPS_PUB</v>
          </cell>
          <cell r="D353" t="str">
            <v>GBP</v>
          </cell>
          <cell r="F353">
            <v>2.5424141599999999</v>
          </cell>
          <cell r="G353">
            <v>2.6840735999999996</v>
          </cell>
          <cell r="H353">
            <v>2.8182772799999998</v>
          </cell>
          <cell r="I353">
            <v>2.9301136799999998</v>
          </cell>
          <cell r="J353">
            <v>2.9301136799999998</v>
          </cell>
          <cell r="K353">
            <v>2.9281614699730456</v>
          </cell>
          <cell r="L353">
            <v>3.133502981190122</v>
          </cell>
          <cell r="M353">
            <v>3.5112570046500609</v>
          </cell>
          <cell r="N353">
            <v>3.8450249150321985</v>
          </cell>
          <cell r="O353">
            <v>4.2199601599999994</v>
          </cell>
          <cell r="P353">
            <v>4.7716864000000001</v>
          </cell>
          <cell r="Q353">
            <v>5.0699167999999997</v>
          </cell>
          <cell r="R353">
            <v>5.2190319999999994</v>
          </cell>
          <cell r="S353">
            <v>5.5918199999999993</v>
          </cell>
          <cell r="T353">
            <v>5.992</v>
          </cell>
          <cell r="U353">
            <v>6.5911999999999988</v>
          </cell>
          <cell r="V353">
            <v>0</v>
          </cell>
          <cell r="W353">
            <v>0</v>
          </cell>
          <cell r="X353">
            <v>7.3599999999999994</v>
          </cell>
          <cell r="Y353">
            <v>0</v>
          </cell>
          <cell r="Z353">
            <v>0</v>
          </cell>
          <cell r="AA353">
            <v>8.1999999999999993</v>
          </cell>
          <cell r="AB353">
            <v>0</v>
          </cell>
          <cell r="AC353">
            <v>0</v>
          </cell>
          <cell r="AD353">
            <v>8.4499999999999993</v>
          </cell>
          <cell r="AE353">
            <v>0</v>
          </cell>
          <cell r="AF353">
            <v>0</v>
          </cell>
          <cell r="AG353">
            <v>8.4499999999999993</v>
          </cell>
          <cell r="AH353">
            <v>0</v>
          </cell>
          <cell r="AI353">
            <v>0</v>
          </cell>
          <cell r="AJ353">
            <v>9.1999999999999993</v>
          </cell>
          <cell r="AK353">
            <v>0</v>
          </cell>
          <cell r="AL353">
            <v>0</v>
          </cell>
          <cell r="AM353">
            <v>10.5</v>
          </cell>
          <cell r="AN353">
            <v>11.799999999999999</v>
          </cell>
          <cell r="AO353">
            <v>12.98</v>
          </cell>
          <cell r="AP353">
            <v>14.278000000000002</v>
          </cell>
          <cell r="AQ353">
            <v>15.705800000000004</v>
          </cell>
          <cell r="AR353">
            <v>17.276380000000007</v>
          </cell>
          <cell r="AS353">
            <v>19.004018000000009</v>
          </cell>
          <cell r="AT353">
            <v>20.90441980000001</v>
          </cell>
          <cell r="AU353">
            <v>22.994861780000011</v>
          </cell>
          <cell r="AV353">
            <v>25.294347958000014</v>
          </cell>
        </row>
        <row r="354">
          <cell r="B354" t="str">
            <v>EBITDA (Pub)</v>
          </cell>
          <cell r="C354" t="str">
            <v>EBITDA_PUB</v>
          </cell>
          <cell r="D354" t="str">
            <v>GBP</v>
          </cell>
          <cell r="F354">
            <v>28.931999999999992</v>
          </cell>
          <cell r="G354">
            <v>31.655999999999977</v>
          </cell>
          <cell r="H354">
            <v>35.012000000000029</v>
          </cell>
          <cell r="I354">
            <v>35.891000000000012</v>
          </cell>
          <cell r="J354">
            <v>27.15</v>
          </cell>
          <cell r="K354">
            <v>29.267999999999997</v>
          </cell>
          <cell r="L354">
            <v>32.68199999999996</v>
          </cell>
          <cell r="M354">
            <v>39.612999999999964</v>
          </cell>
          <cell r="N354">
            <v>46.135000000000019</v>
          </cell>
          <cell r="O354">
            <v>65.757999999999996</v>
          </cell>
          <cell r="P354">
            <v>90.514000000000024</v>
          </cell>
          <cell r="Q354">
            <v>95.253</v>
          </cell>
          <cell r="R354">
            <v>89.768999999999977</v>
          </cell>
          <cell r="S354">
            <v>93.852999999999994</v>
          </cell>
          <cell r="T354">
            <v>113.60499999999999</v>
          </cell>
          <cell r="U354">
            <v>159.69999999999996</v>
          </cell>
          <cell r="V354">
            <v>0</v>
          </cell>
          <cell r="W354">
            <v>0</v>
          </cell>
          <cell r="X354">
            <v>180.2</v>
          </cell>
          <cell r="Y354">
            <v>0</v>
          </cell>
          <cell r="Z354">
            <v>0</v>
          </cell>
          <cell r="AA354">
            <v>214.50000000000003</v>
          </cell>
          <cell r="AB354">
            <v>0</v>
          </cell>
          <cell r="AC354">
            <v>0</v>
          </cell>
          <cell r="AD354">
            <v>281.2</v>
          </cell>
          <cell r="AE354">
            <v>0</v>
          </cell>
          <cell r="AF354">
            <v>0</v>
          </cell>
          <cell r="AG354">
            <v>359.2</v>
          </cell>
          <cell r="AH354">
            <v>0</v>
          </cell>
          <cell r="AI354">
            <v>0</v>
          </cell>
          <cell r="AJ354">
            <v>345.5</v>
          </cell>
          <cell r="AK354">
            <v>0</v>
          </cell>
          <cell r="AL354">
            <v>0</v>
          </cell>
          <cell r="AM354">
            <v>406.6</v>
          </cell>
          <cell r="AN354">
            <v>478.29999999999995</v>
          </cell>
          <cell r="AO354">
            <v>501.10311006309666</v>
          </cell>
          <cell r="AP354">
            <v>527.81744262405687</v>
          </cell>
          <cell r="AQ354">
            <v>566.06302933931056</v>
          </cell>
          <cell r="AR354">
            <v>606.9825217102225</v>
          </cell>
          <cell r="AS354">
            <v>647.05660963715547</v>
          </cell>
          <cell r="AT354">
            <v>690.59092997954372</v>
          </cell>
          <cell r="AU354">
            <v>738.9202424003704</v>
          </cell>
          <cell r="AV354">
            <v>791.71771250583538</v>
          </cell>
          <cell r="AW354" t="str">
            <v>CH: GS A&amp;D standard EBITDA (company defined underlying EBIT exclusing any additional depreciation, amortisation or impairments)</v>
          </cell>
        </row>
        <row r="355">
          <cell r="B355" t="str">
            <v>EPS (Pub)</v>
          </cell>
          <cell r="C355" t="str">
            <v>EPS_PUB</v>
          </cell>
          <cell r="D355" t="str">
            <v>GBP</v>
          </cell>
          <cell r="F355">
            <v>6.6187010376582256</v>
          </cell>
          <cell r="G355">
            <v>5.2394658547228898</v>
          </cell>
          <cell r="H355">
            <v>6.0564271477121716</v>
          </cell>
          <cell r="I355">
            <v>5.3096422871050146</v>
          </cell>
          <cell r="J355">
            <v>3.1535461496757184</v>
          </cell>
          <cell r="K355">
            <v>3.8540744558544415</v>
          </cell>
          <cell r="L355">
            <v>5.2060586758404606</v>
          </cell>
          <cell r="M355">
            <v>6.9188728830806028</v>
          </cell>
          <cell r="N355">
            <v>7.9720697603428992</v>
          </cell>
          <cell r="O355">
            <v>9.877729800200628</v>
          </cell>
          <cell r="P355">
            <v>12.078331199999999</v>
          </cell>
          <cell r="Q355">
            <v>12.973022399999998</v>
          </cell>
          <cell r="R355">
            <v>12.7493496</v>
          </cell>
          <cell r="S355">
            <v>13.644040799999999</v>
          </cell>
          <cell r="T355">
            <v>14.992664592848225</v>
          </cell>
          <cell r="U355">
            <v>17.10911057770431</v>
          </cell>
          <cell r="V355">
            <v>0</v>
          </cell>
          <cell r="W355">
            <v>0</v>
          </cell>
          <cell r="X355">
            <v>19.010074231177096</v>
          </cell>
          <cell r="Y355">
            <v>0</v>
          </cell>
          <cell r="Z355">
            <v>0</v>
          </cell>
          <cell r="AA355">
            <v>21.07614781634939</v>
          </cell>
          <cell r="AB355">
            <v>0</v>
          </cell>
          <cell r="AC355">
            <v>0</v>
          </cell>
          <cell r="AD355">
            <v>26.518668012108979</v>
          </cell>
          <cell r="AE355">
            <v>0</v>
          </cell>
          <cell r="AF355">
            <v>0</v>
          </cell>
          <cell r="AG355">
            <v>25.255763688760805</v>
          </cell>
          <cell r="AH355">
            <v>0</v>
          </cell>
          <cell r="AI355">
            <v>0</v>
          </cell>
          <cell r="AJ355">
            <v>27.541714697406334</v>
          </cell>
          <cell r="AK355">
            <v>0</v>
          </cell>
          <cell r="AL355">
            <v>0</v>
          </cell>
          <cell r="AM355">
            <v>31.6</v>
          </cell>
          <cell r="AN355">
            <v>35.700000000000003</v>
          </cell>
          <cell r="AO355">
            <v>37.954448369420618</v>
          </cell>
          <cell r="AP355">
            <v>40.451466404205398</v>
          </cell>
          <cell r="AQ355">
            <v>43.435068621978409</v>
          </cell>
          <cell r="AR355">
            <v>46.509718509744559</v>
          </cell>
          <cell r="AS355">
            <v>49.501117123138478</v>
          </cell>
          <cell r="AT355">
            <v>52.809732038937433</v>
          </cell>
          <cell r="AU355">
            <v>56.466356014015368</v>
          </cell>
          <cell r="AV355">
            <v>60.447831183497598</v>
          </cell>
        </row>
        <row r="356">
          <cell r="B356" t="str">
            <v>EV adjustment (Pub)</v>
          </cell>
          <cell r="C356" t="str">
            <v>EV_ADJ_PUB</v>
          </cell>
          <cell r="D356" t="str">
            <v>GBP</v>
          </cell>
          <cell r="F356">
            <v>0.27300000000000002</v>
          </cell>
          <cell r="G356">
            <v>1.389</v>
          </cell>
          <cell r="H356">
            <v>2.512</v>
          </cell>
          <cell r="I356">
            <v>3.6059999999999999</v>
          </cell>
          <cell r="J356">
            <v>1.593</v>
          </cell>
          <cell r="K356">
            <v>-2.3849999999999998</v>
          </cell>
          <cell r="L356">
            <v>-4.4759999999999991</v>
          </cell>
          <cell r="M356">
            <v>-4.2960000000000003</v>
          </cell>
          <cell r="N356">
            <v>-5.0419999999999998</v>
          </cell>
          <cell r="O356">
            <v>-6.5030000000000001</v>
          </cell>
          <cell r="P356">
            <v>-3.2440000000000007</v>
          </cell>
          <cell r="Q356">
            <v>-0.97199999999999998</v>
          </cell>
          <cell r="R356">
            <v>4.5179999999999998</v>
          </cell>
          <cell r="S356">
            <v>7.4609999999999994</v>
          </cell>
          <cell r="T356">
            <v>5.125</v>
          </cell>
          <cell r="U356">
            <v>19.5</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row>
        <row r="357">
          <cell r="B357" t="str">
            <v>Net debt (Pub)</v>
          </cell>
          <cell r="C357" t="str">
            <v>NET_DEBT_PUB</v>
          </cell>
          <cell r="D357" t="str">
            <v>GBP</v>
          </cell>
          <cell r="F357">
            <v>35.488999999999997</v>
          </cell>
          <cell r="G357">
            <v>-22.137</v>
          </cell>
          <cell r="H357">
            <v>11.791000000000004</v>
          </cell>
          <cell r="I357">
            <v>17.629999999999995</v>
          </cell>
          <cell r="J357">
            <v>17.959000000000003</v>
          </cell>
          <cell r="K357">
            <v>2.6039999999999992</v>
          </cell>
          <cell r="L357">
            <v>9.8239999999999981</v>
          </cell>
          <cell r="M357">
            <v>4.6269999999999953</v>
          </cell>
          <cell r="N357">
            <v>57.693000000000005</v>
          </cell>
          <cell r="O357">
            <v>213.16600000000003</v>
          </cell>
          <cell r="P357">
            <v>182.52800000000002</v>
          </cell>
          <cell r="Q357">
            <v>149.435</v>
          </cell>
          <cell r="R357">
            <v>139.67099999999999</v>
          </cell>
          <cell r="S357">
            <v>140.52100000000002</v>
          </cell>
          <cell r="T357">
            <v>328.20499999999998</v>
          </cell>
          <cell r="U357">
            <v>314.3</v>
          </cell>
          <cell r="V357">
            <v>0</v>
          </cell>
          <cell r="W357">
            <v>0</v>
          </cell>
          <cell r="X357">
            <v>353.7</v>
          </cell>
          <cell r="Y357">
            <v>0</v>
          </cell>
          <cell r="Z357">
            <v>0</v>
          </cell>
          <cell r="AA357">
            <v>815.40000000000009</v>
          </cell>
          <cell r="AB357">
            <v>0</v>
          </cell>
          <cell r="AC357">
            <v>0</v>
          </cell>
          <cell r="AD357">
            <v>1047.9000000000001</v>
          </cell>
          <cell r="AE357">
            <v>0</v>
          </cell>
          <cell r="AF357">
            <v>0</v>
          </cell>
          <cell r="AG357">
            <v>808.6</v>
          </cell>
          <cell r="AH357">
            <v>0</v>
          </cell>
          <cell r="AI357">
            <v>0</v>
          </cell>
          <cell r="AJ357">
            <v>721.4</v>
          </cell>
          <cell r="AK357">
            <v>0</v>
          </cell>
          <cell r="AL357">
            <v>0</v>
          </cell>
          <cell r="AM357">
            <v>788.40000000000009</v>
          </cell>
          <cell r="AN357">
            <v>642.5</v>
          </cell>
          <cell r="AO357">
            <v>514.28479064949079</v>
          </cell>
          <cell r="AP357">
            <v>414.13743677318189</v>
          </cell>
          <cell r="AQ357">
            <v>425.0966184866142</v>
          </cell>
          <cell r="AR357">
            <v>435.03124767882412</v>
          </cell>
          <cell r="AS357">
            <v>444.09768802305047</v>
          </cell>
          <cell r="AT357">
            <v>453.69188843042537</v>
          </cell>
          <cell r="AU357">
            <v>463.4300189734962</v>
          </cell>
          <cell r="AV357">
            <v>471.9796964525932</v>
          </cell>
          <cell r="AW357" t="str">
            <v>CH: Company defined (includes obligation under financial leases)</v>
          </cell>
        </row>
        <row r="358">
          <cell r="B358" t="str">
            <v>Net income (Pub)</v>
          </cell>
          <cell r="C358" t="str">
            <v>NI_PUB</v>
          </cell>
          <cell r="D358" t="str">
            <v>GBP</v>
          </cell>
          <cell r="F358">
            <v>14.327999999999992</v>
          </cell>
          <cell r="G358">
            <v>11.809999999999974</v>
          </cell>
          <cell r="H358">
            <v>17.033000000000026</v>
          </cell>
          <cell r="I358">
            <v>15.35400000000001</v>
          </cell>
          <cell r="J358">
            <v>9.1439999999999966</v>
          </cell>
          <cell r="K358">
            <v>11.205999999999996</v>
          </cell>
          <cell r="L358">
            <v>15.193999999999962</v>
          </cell>
          <cell r="M358">
            <v>20.336999999999964</v>
          </cell>
          <cell r="N358">
            <v>23.749000000000017</v>
          </cell>
          <cell r="O358">
            <v>33.41299999999999</v>
          </cell>
          <cell r="P358">
            <v>45.054305999999997</v>
          </cell>
          <cell r="Q358">
            <v>49.314557999999991</v>
          </cell>
          <cell r="R358">
            <v>49.165749000000005</v>
          </cell>
          <cell r="S358">
            <v>53.350355999999991</v>
          </cell>
          <cell r="T358">
            <v>66.382999999999996</v>
          </cell>
          <cell r="U358">
            <v>86.099999999999966</v>
          </cell>
          <cell r="V358">
            <v>0</v>
          </cell>
          <cell r="W358">
            <v>0</v>
          </cell>
          <cell r="X358">
            <v>96.9</v>
          </cell>
          <cell r="Y358">
            <v>0</v>
          </cell>
          <cell r="Z358">
            <v>0</v>
          </cell>
          <cell r="AA358">
            <v>129.80000000000001</v>
          </cell>
          <cell r="AB358">
            <v>0</v>
          </cell>
          <cell r="AC358">
            <v>0</v>
          </cell>
          <cell r="AD358">
            <v>175.2</v>
          </cell>
          <cell r="AE358">
            <v>0</v>
          </cell>
          <cell r="AF358">
            <v>0</v>
          </cell>
          <cell r="AG358">
            <v>171</v>
          </cell>
          <cell r="AH358">
            <v>0</v>
          </cell>
          <cell r="AI358">
            <v>0</v>
          </cell>
          <cell r="AJ358">
            <v>192.1</v>
          </cell>
          <cell r="AK358">
            <v>0</v>
          </cell>
          <cell r="AL358">
            <v>0</v>
          </cell>
          <cell r="AM358">
            <v>245.5</v>
          </cell>
          <cell r="AN358">
            <v>283</v>
          </cell>
          <cell r="AO358">
            <v>300.8713974382643</v>
          </cell>
          <cell r="AP358">
            <v>320.66568606134808</v>
          </cell>
          <cell r="AQ358">
            <v>344.31721064481479</v>
          </cell>
          <cell r="AR358">
            <v>368.69048566548202</v>
          </cell>
          <cell r="AS358">
            <v>392.40381360919292</v>
          </cell>
          <cell r="AT358">
            <v>418.63176938429388</v>
          </cell>
          <cell r="AU358">
            <v>447.61845243603216</v>
          </cell>
          <cell r="AV358">
            <v>479.18028641259997</v>
          </cell>
        </row>
        <row r="359">
          <cell r="B359" t="str">
            <v>EBIT, operating profit (Pub)</v>
          </cell>
          <cell r="C359" t="str">
            <v>EBIT_PUB</v>
          </cell>
          <cell r="D359" t="str">
            <v>GBP</v>
          </cell>
          <cell r="F359">
            <v>28.931999999999992</v>
          </cell>
          <cell r="G359">
            <v>23.363999999999976</v>
          </cell>
          <cell r="H359">
            <v>25.285000000000025</v>
          </cell>
          <cell r="I359">
            <v>26.669000000000011</v>
          </cell>
          <cell r="J359">
            <v>18.144999999999996</v>
          </cell>
          <cell r="K359">
            <v>20.811999999999998</v>
          </cell>
          <cell r="L359">
            <v>25.598999999999961</v>
          </cell>
          <cell r="M359">
            <v>32.569999999999965</v>
          </cell>
          <cell r="N359">
            <v>37.827000000000019</v>
          </cell>
          <cell r="O359">
            <v>56.018999999999991</v>
          </cell>
          <cell r="P359">
            <v>80.594000000000023</v>
          </cell>
          <cell r="Q359">
            <v>84.483000000000004</v>
          </cell>
          <cell r="R359">
            <v>78.411999999999978</v>
          </cell>
          <cell r="S359">
            <v>83.690999999999988</v>
          </cell>
          <cell r="T359">
            <v>100.61999999999999</v>
          </cell>
          <cell r="U359">
            <v>130.59999999999997</v>
          </cell>
          <cell r="V359">
            <v>0</v>
          </cell>
          <cell r="W359">
            <v>0</v>
          </cell>
          <cell r="X359">
            <v>143.19999999999999</v>
          </cell>
          <cell r="Y359">
            <v>0</v>
          </cell>
          <cell r="Z359">
            <v>0</v>
          </cell>
          <cell r="AA359">
            <v>142.69999999999999</v>
          </cell>
          <cell r="AB359">
            <v>0</v>
          </cell>
          <cell r="AC359">
            <v>0</v>
          </cell>
          <cell r="AD359">
            <v>172.4</v>
          </cell>
          <cell r="AE359">
            <v>0</v>
          </cell>
          <cell r="AF359">
            <v>0</v>
          </cell>
          <cell r="AG359">
            <v>232.8</v>
          </cell>
          <cell r="AH359">
            <v>0</v>
          </cell>
          <cell r="AI359">
            <v>0</v>
          </cell>
          <cell r="AJ359">
            <v>220.1</v>
          </cell>
          <cell r="AK359">
            <v>0</v>
          </cell>
          <cell r="AL359">
            <v>0</v>
          </cell>
          <cell r="AM359">
            <v>262.5</v>
          </cell>
          <cell r="AN359">
            <v>323.60000000000002</v>
          </cell>
          <cell r="AO359">
            <v>337.09843933954073</v>
          </cell>
          <cell r="AP359">
            <v>358.99819102389273</v>
          </cell>
          <cell r="AQ359">
            <v>381.17370022593428</v>
          </cell>
          <cell r="AR359">
            <v>405.09140817783657</v>
          </cell>
          <cell r="AS359">
            <v>427.95091600263731</v>
          </cell>
          <cell r="AT359">
            <v>452.80083262354032</v>
          </cell>
          <cell r="AU359">
            <v>480.50875120785793</v>
          </cell>
          <cell r="AV359">
            <v>510.85258961140801</v>
          </cell>
        </row>
        <row r="360">
          <cell r="B360" t="str">
            <v>Pre-tax profit (Pub)</v>
          </cell>
          <cell r="C360" t="str">
            <v>PTP_PUB</v>
          </cell>
          <cell r="D360" t="str">
            <v>GBP</v>
          </cell>
          <cell r="F360">
            <v>23.045999999999992</v>
          </cell>
          <cell r="G360">
            <v>20.754999999999974</v>
          </cell>
          <cell r="H360">
            <v>26.214000000000027</v>
          </cell>
          <cell r="I360">
            <v>23.43000000000001</v>
          </cell>
          <cell r="J360">
            <v>14.738999999999995</v>
          </cell>
          <cell r="K360">
            <v>18.345999999999997</v>
          </cell>
          <cell r="L360">
            <v>23.689999999999962</v>
          </cell>
          <cell r="M360">
            <v>31.245999999999963</v>
          </cell>
          <cell r="N360">
            <v>36.203000000000017</v>
          </cell>
          <cell r="O360">
            <v>49.120999999999988</v>
          </cell>
          <cell r="P360">
            <v>66.126000000000019</v>
          </cell>
          <cell r="Q360">
            <v>72.438000000000002</v>
          </cell>
          <cell r="R360">
            <v>70.311999999999983</v>
          </cell>
          <cell r="S360">
            <v>75.516999999999996</v>
          </cell>
          <cell r="T360">
            <v>89.468999999999994</v>
          </cell>
          <cell r="U360">
            <v>116.29999999999997</v>
          </cell>
          <cell r="V360">
            <v>0</v>
          </cell>
          <cell r="W360">
            <v>0</v>
          </cell>
          <cell r="X360">
            <v>132.69999999999999</v>
          </cell>
          <cell r="Y360">
            <v>0</v>
          </cell>
          <cell r="Z360">
            <v>0</v>
          </cell>
          <cell r="AA360">
            <v>179</v>
          </cell>
          <cell r="AB360">
            <v>0</v>
          </cell>
          <cell r="AC360">
            <v>0</v>
          </cell>
          <cell r="AD360">
            <v>243.29999999999998</v>
          </cell>
          <cell r="AE360">
            <v>0</v>
          </cell>
          <cell r="AF360">
            <v>0</v>
          </cell>
          <cell r="AG360">
            <v>234.2</v>
          </cell>
          <cell r="AH360">
            <v>0</v>
          </cell>
          <cell r="AI360">
            <v>0</v>
          </cell>
          <cell r="AJ360">
            <v>256.09999999999997</v>
          </cell>
          <cell r="AK360">
            <v>0</v>
          </cell>
          <cell r="AL360">
            <v>0</v>
          </cell>
          <cell r="AM360">
            <v>323</v>
          </cell>
          <cell r="AN360">
            <v>362.8</v>
          </cell>
          <cell r="AO360">
            <v>385.73256081828754</v>
          </cell>
          <cell r="AP360">
            <v>411.10985392480524</v>
          </cell>
          <cell r="AQ360">
            <v>441.43232133950613</v>
          </cell>
          <cell r="AR360">
            <v>472.680109827541</v>
          </cell>
          <cell r="AS360">
            <v>503.0818123194781</v>
          </cell>
          <cell r="AT360">
            <v>536.70739664653058</v>
          </cell>
          <cell r="AU360">
            <v>573.86981081542581</v>
          </cell>
          <cell r="AV360">
            <v>614.3337005289743</v>
          </cell>
        </row>
        <row r="361">
          <cell r="B361" t="str">
            <v>Sales, revenue (Pub)</v>
          </cell>
          <cell r="C361" t="str">
            <v>REVS_PUB</v>
          </cell>
          <cell r="D361" t="str">
            <v>GBP</v>
          </cell>
          <cell r="F361">
            <v>304.94299999999998</v>
          </cell>
          <cell r="G361">
            <v>301.91899999999998</v>
          </cell>
          <cell r="H361">
            <v>327.60500000000002</v>
          </cell>
          <cell r="I361">
            <v>359.73500000000001</v>
          </cell>
          <cell r="J361">
            <v>345.48099999999999</v>
          </cell>
          <cell r="K361">
            <v>358.15199999999999</v>
          </cell>
          <cell r="L361">
            <v>256.29899999999998</v>
          </cell>
          <cell r="M361">
            <v>265.12599999999998</v>
          </cell>
          <cell r="N361">
            <v>293.90100000000001</v>
          </cell>
          <cell r="O361">
            <v>346.45499999999998</v>
          </cell>
          <cell r="P361">
            <v>386.02300000000002</v>
          </cell>
          <cell r="Q361">
            <v>435.084</v>
          </cell>
          <cell r="R361">
            <v>403.84</v>
          </cell>
          <cell r="S361">
            <v>402.44099999999997</v>
          </cell>
          <cell r="T361">
            <v>479.18299999999999</v>
          </cell>
          <cell r="U361">
            <v>616.29999999999995</v>
          </cell>
          <cell r="V361">
            <v>0</v>
          </cell>
          <cell r="W361">
            <v>0</v>
          </cell>
          <cell r="X361">
            <v>670.3</v>
          </cell>
          <cell r="Y361">
            <v>0</v>
          </cell>
          <cell r="Z361">
            <v>0</v>
          </cell>
          <cell r="AA361">
            <v>878.2</v>
          </cell>
          <cell r="AB361">
            <v>0</v>
          </cell>
          <cell r="AC361">
            <v>0</v>
          </cell>
          <cell r="AD361">
            <v>1162.5999999999999</v>
          </cell>
          <cell r="AE361">
            <v>0</v>
          </cell>
          <cell r="AF361">
            <v>0</v>
          </cell>
          <cell r="AG361">
            <v>1150.5</v>
          </cell>
          <cell r="AH361">
            <v>0</v>
          </cell>
          <cell r="AI361">
            <v>0</v>
          </cell>
          <cell r="AJ361">
            <v>1162</v>
          </cell>
          <cell r="AK361">
            <v>0</v>
          </cell>
          <cell r="AL361">
            <v>0</v>
          </cell>
          <cell r="AM361">
            <v>1455.3</v>
          </cell>
          <cell r="AN361">
            <v>1605.8</v>
          </cell>
          <cell r="AO361">
            <v>1702.3833241621592</v>
          </cell>
          <cell r="AP361">
            <v>1752.3591093700306</v>
          </cell>
          <cell r="AQ361">
            <v>1919.1679682628292</v>
          </cell>
          <cell r="AR361">
            <v>2095.6480291551729</v>
          </cell>
          <cell r="AS361">
            <v>2274.3369284958585</v>
          </cell>
          <cell r="AT361">
            <v>2468.2827300211393</v>
          </cell>
          <cell r="AU361">
            <v>2682.3346642335919</v>
          </cell>
          <cell r="AV361">
            <v>2915.405393302337</v>
          </cell>
        </row>
        <row r="362">
          <cell r="B362" t="str">
            <v>Total shareholders' equity (Pub)</v>
          </cell>
          <cell r="C362" t="str">
            <v>EQ_PUB</v>
          </cell>
          <cell r="D362" t="str">
            <v>GBP</v>
          </cell>
          <cell r="F362">
            <v>65.298999999999992</v>
          </cell>
          <cell r="G362">
            <v>110.22899999999998</v>
          </cell>
          <cell r="H362">
            <v>88.036999999999992</v>
          </cell>
          <cell r="I362">
            <v>69.591000000000008</v>
          </cell>
          <cell r="J362">
            <v>65.420999999999992</v>
          </cell>
          <cell r="K362">
            <v>64.11099999999999</v>
          </cell>
          <cell r="L362">
            <v>65.825999999999993</v>
          </cell>
          <cell r="M362">
            <v>74.335999999999984</v>
          </cell>
          <cell r="N362">
            <v>92.827999999999989</v>
          </cell>
          <cell r="O362">
            <v>179.68400000000003</v>
          </cell>
          <cell r="P362">
            <v>219.72400000000002</v>
          </cell>
          <cell r="Q362">
            <v>249.40800000000002</v>
          </cell>
          <cell r="R362">
            <v>257.488</v>
          </cell>
          <cell r="S362">
            <v>267.46100000000001</v>
          </cell>
          <cell r="T362">
            <v>464.995</v>
          </cell>
          <cell r="U362">
            <v>496.7</v>
          </cell>
          <cell r="V362">
            <v>0</v>
          </cell>
          <cell r="W362">
            <v>0</v>
          </cell>
          <cell r="X362">
            <v>559.40000000000009</v>
          </cell>
          <cell r="Y362">
            <v>0</v>
          </cell>
          <cell r="Z362">
            <v>0</v>
          </cell>
          <cell r="AA362">
            <v>1063.4000000000001</v>
          </cell>
          <cell r="AB362">
            <v>0</v>
          </cell>
          <cell r="AC362">
            <v>0</v>
          </cell>
          <cell r="AD362">
            <v>1286.3999999999999</v>
          </cell>
          <cell r="AE362">
            <v>0</v>
          </cell>
          <cell r="AF362">
            <v>0</v>
          </cell>
          <cell r="AG362">
            <v>1273.5999999999999</v>
          </cell>
          <cell r="AH362">
            <v>0</v>
          </cell>
          <cell r="AI362">
            <v>0</v>
          </cell>
          <cell r="AJ362">
            <v>1438.2</v>
          </cell>
          <cell r="AK362">
            <v>0</v>
          </cell>
          <cell r="AL362">
            <v>0</v>
          </cell>
          <cell r="AM362">
            <v>1793.2999999999997</v>
          </cell>
          <cell r="AN362">
            <v>1905.4</v>
          </cell>
          <cell r="AO362">
            <v>2059.4135239348198</v>
          </cell>
          <cell r="AP362">
            <v>2223.9773621114355</v>
          </cell>
          <cell r="AQ362">
            <v>2396.4417272213077</v>
          </cell>
          <cell r="AR362">
            <v>2576.1996403111257</v>
          </cell>
          <cell r="AS362">
            <v>2761.4612762703737</v>
          </cell>
          <cell r="AT362">
            <v>2953.0633890432027</v>
          </cell>
          <cell r="AU362">
            <v>3151.7488526557927</v>
          </cell>
          <cell r="AV362">
            <v>3358.0023736087942</v>
          </cell>
        </row>
        <row r="363">
          <cell r="A363" t="str">
            <v>Income Statement</v>
          </cell>
          <cell r="B363">
            <v>0</v>
          </cell>
          <cell r="C363">
            <v>0</v>
          </cell>
          <cell r="D363">
            <v>0</v>
          </cell>
        </row>
        <row r="364">
          <cell r="B364" t="str">
            <v>Provision for income tax</v>
          </cell>
          <cell r="C364" t="str">
            <v>PROV_INC_TAX</v>
          </cell>
          <cell r="D364" t="str">
            <v>GBP</v>
          </cell>
          <cell r="F364">
            <v>-7.2050000000000001</v>
          </cell>
          <cell r="G364">
            <v>-6.9139999999999997</v>
          </cell>
          <cell r="H364">
            <v>-6.9809999999999999</v>
          </cell>
          <cell r="I364">
            <v>-7.657</v>
          </cell>
          <cell r="J364">
            <v>-4.9020000000000001</v>
          </cell>
          <cell r="K364">
            <v>-6.4090000000000007</v>
          </cell>
          <cell r="L364">
            <v>-7.9320000000000004</v>
          </cell>
          <cell r="M364">
            <v>-10.012</v>
          </cell>
          <cell r="N364">
            <v>-11.587</v>
          </cell>
          <cell r="O364">
            <v>-15.708</v>
          </cell>
          <cell r="P364">
            <v>-21.071694000000022</v>
          </cell>
          <cell r="Q364">
            <v>-23.123442000000011</v>
          </cell>
          <cell r="R364">
            <v>-21.146250999999978</v>
          </cell>
          <cell r="S364">
            <v>-22.166644000000002</v>
          </cell>
          <cell r="T364">
            <v>-23.085999999999999</v>
          </cell>
          <cell r="U364">
            <v>-30.200000000000003</v>
          </cell>
          <cell r="V364">
            <v>0</v>
          </cell>
          <cell r="W364">
            <v>0</v>
          </cell>
          <cell r="X364">
            <v>-32.4</v>
          </cell>
          <cell r="Y364">
            <v>0</v>
          </cell>
          <cell r="Z364">
            <v>0</v>
          </cell>
          <cell r="AA364">
            <v>-16.100000000000001</v>
          </cell>
          <cell r="AB364">
            <v>0</v>
          </cell>
          <cell r="AC364">
            <v>0</v>
          </cell>
          <cell r="AD364">
            <v>-20.2</v>
          </cell>
          <cell r="AE364">
            <v>0</v>
          </cell>
          <cell r="AF364">
            <v>0</v>
          </cell>
          <cell r="AG364">
            <v>-42</v>
          </cell>
          <cell r="AH364">
            <v>0</v>
          </cell>
          <cell r="AI364">
            <v>0</v>
          </cell>
          <cell r="AJ364">
            <v>-33.700000000000003</v>
          </cell>
          <cell r="AK364">
            <v>0</v>
          </cell>
          <cell r="AL364">
            <v>0</v>
          </cell>
          <cell r="AM364">
            <v>-41.1</v>
          </cell>
          <cell r="AN364">
            <v>-48.8</v>
          </cell>
          <cell r="AO364">
            <v>-51.920827660068142</v>
          </cell>
          <cell r="AP364">
            <v>-55.792912074079716</v>
          </cell>
          <cell r="AQ364">
            <v>-59.631793702464996</v>
          </cell>
          <cell r="AR364">
            <v>-63.55412790341186</v>
          </cell>
          <cell r="AS364">
            <v>-67.318862577548032</v>
          </cell>
          <cell r="AT364">
            <v>-71.509975346341008</v>
          </cell>
          <cell r="AU364">
            <v>-76.14408035883929</v>
          </cell>
          <cell r="AV364">
            <v>-81.189855884333085</v>
          </cell>
        </row>
        <row r="365">
          <cell r="B365" t="str">
            <v>Minority interest</v>
          </cell>
          <cell r="C365" t="str">
            <v>INC_MINORITY</v>
          </cell>
          <cell r="D365" t="str">
            <v>GBP</v>
          </cell>
          <cell r="F365">
            <v>-1.5129999999999999</v>
          </cell>
          <cell r="G365">
            <v>-2.0310000000000001</v>
          </cell>
          <cell r="H365">
            <v>-2.2000000000000002</v>
          </cell>
          <cell r="I365">
            <v>-0.41899999999999998</v>
          </cell>
          <cell r="J365">
            <v>-0.69299999999999995</v>
          </cell>
          <cell r="K365">
            <v>-0.73099999999999998</v>
          </cell>
          <cell r="L365">
            <v>-0.56399999999999995</v>
          </cell>
          <cell r="M365">
            <v>-0.89700000000000002</v>
          </cell>
          <cell r="N365">
            <v>-0.86699999999999999</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row>
        <row r="366">
          <cell r="B366" t="str">
            <v>Net income (pre-preferred dividends)</v>
          </cell>
          <cell r="C366" t="str">
            <v>NI_PRE_PREF</v>
          </cell>
          <cell r="D366" t="str">
            <v>GBP</v>
          </cell>
          <cell r="F366">
            <v>14.327999999999992</v>
          </cell>
          <cell r="G366">
            <v>11.809999999999974</v>
          </cell>
          <cell r="H366">
            <v>17.033000000000026</v>
          </cell>
          <cell r="I366">
            <v>15.35400000000001</v>
          </cell>
          <cell r="J366">
            <v>9.1439999999999966</v>
          </cell>
          <cell r="K366">
            <v>11.205999999999996</v>
          </cell>
          <cell r="L366">
            <v>15.193999999999962</v>
          </cell>
          <cell r="M366">
            <v>20.336999999999964</v>
          </cell>
          <cell r="N366">
            <v>23.749000000000017</v>
          </cell>
          <cell r="O366">
            <v>33.41299999999999</v>
          </cell>
          <cell r="P366">
            <v>45.054305999999997</v>
          </cell>
          <cell r="Q366">
            <v>49.314557999999991</v>
          </cell>
          <cell r="R366">
            <v>49.165749000000005</v>
          </cell>
          <cell r="S366">
            <v>53.350355999999991</v>
          </cell>
          <cell r="T366">
            <v>66.382999999999996</v>
          </cell>
          <cell r="U366">
            <v>86.099999999999966</v>
          </cell>
          <cell r="V366">
            <v>0</v>
          </cell>
          <cell r="W366">
            <v>0</v>
          </cell>
          <cell r="X366">
            <v>94.299999999999983</v>
          </cell>
          <cell r="Y366">
            <v>0</v>
          </cell>
          <cell r="Z366">
            <v>0</v>
          </cell>
          <cell r="AA366">
            <v>89.299999999999983</v>
          </cell>
          <cell r="AB366">
            <v>0</v>
          </cell>
          <cell r="AC366">
            <v>0</v>
          </cell>
          <cell r="AD366">
            <v>99.100000000000009</v>
          </cell>
          <cell r="AE366">
            <v>0</v>
          </cell>
          <cell r="AF366">
            <v>0</v>
          </cell>
          <cell r="AG366">
            <v>138.80000000000001</v>
          </cell>
          <cell r="AH366">
            <v>0</v>
          </cell>
          <cell r="AI366">
            <v>0</v>
          </cell>
          <cell r="AJ366">
            <v>138.80000000000001</v>
          </cell>
          <cell r="AK366">
            <v>0</v>
          </cell>
          <cell r="AL366">
            <v>0</v>
          </cell>
          <cell r="AM366">
            <v>184.9</v>
          </cell>
          <cell r="AN366">
            <v>243.3</v>
          </cell>
          <cell r="AO366">
            <v>258.859372329807</v>
          </cell>
          <cell r="AP366">
            <v>278.16425220540162</v>
          </cell>
          <cell r="AQ366">
            <v>297.30359442233066</v>
          </cell>
          <cell r="AR366">
            <v>316.85900243647762</v>
          </cell>
          <cell r="AS366">
            <v>335.62867346552133</v>
          </cell>
          <cell r="AT366">
            <v>356.52411888862241</v>
          </cell>
          <cell r="AU366">
            <v>379.62817113331153</v>
          </cell>
          <cell r="AV366">
            <v>404.7846708331607</v>
          </cell>
        </row>
        <row r="367">
          <cell r="B367" t="str">
            <v>Preferred dividends</v>
          </cell>
          <cell r="C367" t="str">
            <v>PREF_DIV</v>
          </cell>
          <cell r="D367" t="str">
            <v>GBP</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row>
        <row r="368">
          <cell r="B368" t="str">
            <v>Net income (pre-exceptionals)</v>
          </cell>
          <cell r="C368" t="str">
            <v>NET_EARNING</v>
          </cell>
          <cell r="D368" t="str">
            <v>GBP</v>
          </cell>
          <cell r="F368">
            <v>14.327999999999992</v>
          </cell>
          <cell r="G368">
            <v>11.809999999999974</v>
          </cell>
          <cell r="H368">
            <v>17.033000000000026</v>
          </cell>
          <cell r="I368">
            <v>15.35400000000001</v>
          </cell>
          <cell r="J368">
            <v>9.1439999999999966</v>
          </cell>
          <cell r="K368">
            <v>11.205999999999996</v>
          </cell>
          <cell r="L368">
            <v>15.193999999999962</v>
          </cell>
          <cell r="M368">
            <v>20.336999999999964</v>
          </cell>
          <cell r="N368">
            <v>23.749000000000017</v>
          </cell>
          <cell r="O368">
            <v>33.41299999999999</v>
          </cell>
          <cell r="P368">
            <v>45.054305999999997</v>
          </cell>
          <cell r="Q368">
            <v>49.314557999999991</v>
          </cell>
          <cell r="R368">
            <v>49.165749000000005</v>
          </cell>
          <cell r="S368">
            <v>53.350355999999991</v>
          </cell>
          <cell r="T368">
            <v>66.382999999999996</v>
          </cell>
          <cell r="U368">
            <v>86.099999999999966</v>
          </cell>
          <cell r="V368">
            <v>0</v>
          </cell>
          <cell r="W368">
            <v>0</v>
          </cell>
          <cell r="X368">
            <v>94.299999999999983</v>
          </cell>
          <cell r="Y368">
            <v>0</v>
          </cell>
          <cell r="Z368">
            <v>0</v>
          </cell>
          <cell r="AA368">
            <v>89.299999999999983</v>
          </cell>
          <cell r="AB368">
            <v>0</v>
          </cell>
          <cell r="AC368">
            <v>0</v>
          </cell>
          <cell r="AD368">
            <v>99.100000000000009</v>
          </cell>
          <cell r="AE368">
            <v>0</v>
          </cell>
          <cell r="AF368">
            <v>0</v>
          </cell>
          <cell r="AG368">
            <v>138.80000000000001</v>
          </cell>
          <cell r="AH368">
            <v>0</v>
          </cell>
          <cell r="AI368">
            <v>0</v>
          </cell>
          <cell r="AJ368">
            <v>138.80000000000001</v>
          </cell>
          <cell r="AK368">
            <v>0</v>
          </cell>
          <cell r="AL368">
            <v>0</v>
          </cell>
          <cell r="AM368">
            <v>184.9</v>
          </cell>
          <cell r="AN368">
            <v>243.3</v>
          </cell>
          <cell r="AO368">
            <v>258.859372329807</v>
          </cell>
          <cell r="AP368">
            <v>278.16425220540162</v>
          </cell>
          <cell r="AQ368">
            <v>297.30359442233066</v>
          </cell>
          <cell r="AR368">
            <v>316.85900243647762</v>
          </cell>
          <cell r="AS368">
            <v>335.62867346552133</v>
          </cell>
          <cell r="AT368">
            <v>356.52411888862241</v>
          </cell>
          <cell r="AU368">
            <v>379.62817113331153</v>
          </cell>
          <cell r="AV368">
            <v>404.7846708331607</v>
          </cell>
        </row>
        <row r="369">
          <cell r="B369" t="str">
            <v>Post-tax exceptionals</v>
          </cell>
          <cell r="C369" t="str">
            <v>TAX_EXC</v>
          </cell>
          <cell r="D369" t="str">
            <v>GBP</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row>
        <row r="370">
          <cell r="B370" t="str">
            <v>Net income (post-exceptionals)</v>
          </cell>
          <cell r="C370" t="str">
            <v>NET_INC</v>
          </cell>
          <cell r="D370" t="str">
            <v>GBP</v>
          </cell>
          <cell r="F370">
            <v>14.327999999999992</v>
          </cell>
          <cell r="G370">
            <v>11.809999999999974</v>
          </cell>
          <cell r="H370">
            <v>17.033000000000026</v>
          </cell>
          <cell r="I370">
            <v>15.35400000000001</v>
          </cell>
          <cell r="J370">
            <v>9.1439999999999966</v>
          </cell>
          <cell r="K370">
            <v>11.205999999999996</v>
          </cell>
          <cell r="L370">
            <v>15.193999999999962</v>
          </cell>
          <cell r="M370">
            <v>20.336999999999964</v>
          </cell>
          <cell r="N370">
            <v>23.749000000000017</v>
          </cell>
          <cell r="O370">
            <v>33.41299999999999</v>
          </cell>
          <cell r="P370">
            <v>45.054305999999997</v>
          </cell>
          <cell r="Q370">
            <v>49.314557999999991</v>
          </cell>
          <cell r="R370">
            <v>49.165749000000005</v>
          </cell>
          <cell r="S370">
            <v>53.350355999999991</v>
          </cell>
          <cell r="T370">
            <v>66.382999999999996</v>
          </cell>
          <cell r="U370">
            <v>86.099999999999966</v>
          </cell>
          <cell r="V370">
            <v>0</v>
          </cell>
          <cell r="W370">
            <v>0</v>
          </cell>
          <cell r="X370">
            <v>94.299999999999983</v>
          </cell>
          <cell r="Y370">
            <v>0</v>
          </cell>
          <cell r="Z370">
            <v>0</v>
          </cell>
          <cell r="AA370">
            <v>89.299999999999983</v>
          </cell>
          <cell r="AB370">
            <v>0</v>
          </cell>
          <cell r="AC370">
            <v>0</v>
          </cell>
          <cell r="AD370">
            <v>99.100000000000009</v>
          </cell>
          <cell r="AE370">
            <v>0</v>
          </cell>
          <cell r="AF370">
            <v>0</v>
          </cell>
          <cell r="AG370">
            <v>138.80000000000001</v>
          </cell>
          <cell r="AH370">
            <v>0</v>
          </cell>
          <cell r="AI370">
            <v>0</v>
          </cell>
          <cell r="AJ370">
            <v>138.80000000000001</v>
          </cell>
          <cell r="AK370">
            <v>0</v>
          </cell>
          <cell r="AL370">
            <v>0</v>
          </cell>
          <cell r="AM370">
            <v>184.9</v>
          </cell>
          <cell r="AN370">
            <v>243.3</v>
          </cell>
          <cell r="AO370">
            <v>258.859372329807</v>
          </cell>
          <cell r="AP370">
            <v>278.16425220540162</v>
          </cell>
          <cell r="AQ370">
            <v>297.30359442233066</v>
          </cell>
          <cell r="AR370">
            <v>316.85900243647762</v>
          </cell>
          <cell r="AS370">
            <v>335.62867346552133</v>
          </cell>
          <cell r="AT370">
            <v>356.52411888862241</v>
          </cell>
          <cell r="AU370">
            <v>379.62817113331153</v>
          </cell>
          <cell r="AV370">
            <v>404.7846708331607</v>
          </cell>
          <cell r="AW370" t="str">
            <v>NK: Have made this statutory to match the CF net inc as required for validation</v>
          </cell>
        </row>
        <row r="371">
          <cell r="B371" t="str">
            <v>EPS (pre-exceptionals, basic)</v>
          </cell>
          <cell r="C371" t="str">
            <v>EPS</v>
          </cell>
          <cell r="D371" t="str">
            <v>GBP</v>
          </cell>
          <cell r="F371">
            <v>6.6187010376582256</v>
          </cell>
          <cell r="G371">
            <v>5.2394658547228898</v>
          </cell>
          <cell r="H371">
            <v>6.0564271477121716</v>
          </cell>
          <cell r="I371">
            <v>5.3096422871050146</v>
          </cell>
          <cell r="J371">
            <v>3.1535461496757184</v>
          </cell>
          <cell r="K371">
            <v>3.8540744558544415</v>
          </cell>
          <cell r="L371">
            <v>5.2060586758404606</v>
          </cell>
          <cell r="M371">
            <v>6.9188728830806028</v>
          </cell>
          <cell r="N371">
            <v>7.9720697603428992</v>
          </cell>
          <cell r="O371">
            <v>9.877729800200628</v>
          </cell>
          <cell r="P371">
            <v>12.078331199999999</v>
          </cell>
          <cell r="Q371">
            <v>12.973022399999998</v>
          </cell>
          <cell r="R371">
            <v>12.7493496</v>
          </cell>
          <cell r="S371">
            <v>13.644040799999999</v>
          </cell>
          <cell r="T371">
            <v>14.992664592848225</v>
          </cell>
          <cell r="U371">
            <v>17.10911057770431</v>
          </cell>
          <cell r="V371">
            <v>0</v>
          </cell>
          <cell r="W371">
            <v>0</v>
          </cell>
          <cell r="X371">
            <v>18.600000000000001</v>
          </cell>
          <cell r="Y371">
            <v>0</v>
          </cell>
          <cell r="Z371">
            <v>0</v>
          </cell>
          <cell r="AA371">
            <v>14.6</v>
          </cell>
          <cell r="AB371">
            <v>0</v>
          </cell>
          <cell r="AC371">
            <v>0</v>
          </cell>
          <cell r="AD371">
            <v>15</v>
          </cell>
          <cell r="AE371">
            <v>0</v>
          </cell>
          <cell r="AF371">
            <v>0</v>
          </cell>
          <cell r="AG371">
            <v>20.5</v>
          </cell>
          <cell r="AH371">
            <v>0</v>
          </cell>
          <cell r="AI371">
            <v>0</v>
          </cell>
          <cell r="AJ371">
            <v>20.100000000000001</v>
          </cell>
          <cell r="AK371">
            <v>0</v>
          </cell>
          <cell r="AL371">
            <v>0</v>
          </cell>
          <cell r="AM371">
            <v>24</v>
          </cell>
          <cell r="AN371">
            <v>31.1</v>
          </cell>
          <cell r="AO371">
            <v>33.088888119428681</v>
          </cell>
          <cell r="AP371">
            <v>35.556548473440159</v>
          </cell>
          <cell r="AQ371">
            <v>38.003048855464385</v>
          </cell>
          <cell r="AR371">
            <v>40.502733151559617</v>
          </cell>
          <cell r="AS371">
            <v>42.901980044298043</v>
          </cell>
          <cell r="AT371">
            <v>45.572955599819799</v>
          </cell>
          <cell r="AU371">
            <v>48.526247933604552</v>
          </cell>
          <cell r="AV371">
            <v>51.741895860712283</v>
          </cell>
        </row>
        <row r="372">
          <cell r="B372" t="str">
            <v>EPS (pre-exceptionals, diluted)</v>
          </cell>
          <cell r="C372" t="str">
            <v>EPS_FUL_DIL</v>
          </cell>
          <cell r="D372" t="str">
            <v>GBP</v>
          </cell>
          <cell r="F372">
            <v>6.6187010376582256</v>
          </cell>
          <cell r="G372">
            <v>5.2394658547228898</v>
          </cell>
          <cell r="H372">
            <v>6.0564271477121716</v>
          </cell>
          <cell r="I372">
            <v>5.3096422871050146</v>
          </cell>
          <cell r="J372">
            <v>3.1535461496757184</v>
          </cell>
          <cell r="K372">
            <v>3.8540744558544415</v>
          </cell>
          <cell r="L372">
            <v>5.2060586758404606</v>
          </cell>
          <cell r="M372">
            <v>6.8695029638556271</v>
          </cell>
          <cell r="N372">
            <v>7.8860053640222194</v>
          </cell>
          <cell r="O372">
            <v>9.7740992274705025</v>
          </cell>
          <cell r="P372">
            <v>11.97217512723903</v>
          </cell>
          <cell r="Q372">
            <v>12.85859952486649</v>
          </cell>
          <cell r="R372">
            <v>12.678443201923031</v>
          </cell>
          <cell r="S372">
            <v>13.578646880225028</v>
          </cell>
          <cell r="T372">
            <v>14.923208719059812</v>
          </cell>
          <cell r="U372">
            <v>17.004739074057831</v>
          </cell>
          <cell r="V372">
            <v>0</v>
          </cell>
          <cell r="W372">
            <v>0</v>
          </cell>
          <cell r="X372">
            <v>18.499999999999996</v>
          </cell>
          <cell r="Y372">
            <v>0</v>
          </cell>
          <cell r="Z372">
            <v>0</v>
          </cell>
          <cell r="AA372">
            <v>14.500000000000002</v>
          </cell>
          <cell r="AB372">
            <v>0</v>
          </cell>
          <cell r="AC372">
            <v>0</v>
          </cell>
          <cell r="AD372">
            <v>15</v>
          </cell>
          <cell r="AE372">
            <v>0</v>
          </cell>
          <cell r="AF372">
            <v>0</v>
          </cell>
          <cell r="AG372">
            <v>20.5</v>
          </cell>
          <cell r="AH372">
            <v>0</v>
          </cell>
          <cell r="AI372">
            <v>0</v>
          </cell>
          <cell r="AJ372">
            <v>19.899999999999995</v>
          </cell>
          <cell r="AK372">
            <v>0</v>
          </cell>
          <cell r="AL372">
            <v>0</v>
          </cell>
          <cell r="AM372">
            <v>23.799755600814663</v>
          </cell>
          <cell r="AN372">
            <v>30.691908127208489</v>
          </cell>
          <cell r="AO372">
            <v>32.654698205562234</v>
          </cell>
          <cell r="AP372">
            <v>35.089978105063032</v>
          </cell>
          <cell r="AQ372">
            <v>37.504375692145601</v>
          </cell>
          <cell r="AR372">
            <v>39.971259317958491</v>
          </cell>
          <cell r="AS372">
            <v>42.339023472505701</v>
          </cell>
          <cell r="AT372">
            <v>44.974950686656619</v>
          </cell>
          <cell r="AU372">
            <v>47.889490139431885</v>
          </cell>
          <cell r="AV372">
            <v>51.062942575066572</v>
          </cell>
        </row>
        <row r="373">
          <cell r="B373" t="str">
            <v>EPS (post-exceptionals, basic)</v>
          </cell>
          <cell r="C373" t="str">
            <v>EPS_POST_BASIC</v>
          </cell>
          <cell r="D373" t="str">
            <v>GBP</v>
          </cell>
          <cell r="F373">
            <v>6.6187010376582256</v>
          </cell>
          <cell r="G373">
            <v>5.2394658547228898</v>
          </cell>
          <cell r="H373">
            <v>6.0564271477121716</v>
          </cell>
          <cell r="I373">
            <v>5.3096422871050146</v>
          </cell>
          <cell r="J373">
            <v>3.1535461496757184</v>
          </cell>
          <cell r="K373">
            <v>3.8540744558544415</v>
          </cell>
          <cell r="L373">
            <v>5.2060586758404606</v>
          </cell>
          <cell r="M373">
            <v>6.9188728830806028</v>
          </cell>
          <cell r="N373">
            <v>7.9720697603428992</v>
          </cell>
          <cell r="O373">
            <v>9.877729800200628</v>
          </cell>
          <cell r="P373">
            <v>12.078331199999999</v>
          </cell>
          <cell r="Q373">
            <v>12.973022399999998</v>
          </cell>
          <cell r="R373">
            <v>12.7493496</v>
          </cell>
          <cell r="S373">
            <v>13.644040799999999</v>
          </cell>
          <cell r="T373">
            <v>14.992664592848225</v>
          </cell>
          <cell r="U373">
            <v>17.10911057770431</v>
          </cell>
          <cell r="V373">
            <v>0</v>
          </cell>
          <cell r="W373">
            <v>0</v>
          </cell>
          <cell r="X373">
            <v>18.600000000000001</v>
          </cell>
          <cell r="Y373">
            <v>0</v>
          </cell>
          <cell r="Z373">
            <v>0</v>
          </cell>
          <cell r="AA373">
            <v>14.6</v>
          </cell>
          <cell r="AB373">
            <v>0</v>
          </cell>
          <cell r="AC373">
            <v>0</v>
          </cell>
          <cell r="AD373">
            <v>15</v>
          </cell>
          <cell r="AE373">
            <v>0</v>
          </cell>
          <cell r="AF373">
            <v>0</v>
          </cell>
          <cell r="AG373">
            <v>20.5</v>
          </cell>
          <cell r="AH373">
            <v>0</v>
          </cell>
          <cell r="AI373">
            <v>0</v>
          </cell>
          <cell r="AJ373">
            <v>20.100000000000001</v>
          </cell>
          <cell r="AK373">
            <v>0</v>
          </cell>
          <cell r="AL373">
            <v>0</v>
          </cell>
          <cell r="AM373">
            <v>24</v>
          </cell>
          <cell r="AN373">
            <v>31.1</v>
          </cell>
          <cell r="AO373">
            <v>33.088888119428681</v>
          </cell>
          <cell r="AP373">
            <v>35.556548473440159</v>
          </cell>
          <cell r="AQ373">
            <v>38.003048855464385</v>
          </cell>
          <cell r="AR373">
            <v>40.502733151559617</v>
          </cell>
          <cell r="AS373">
            <v>42.901980044298043</v>
          </cell>
          <cell r="AT373">
            <v>45.572955599819799</v>
          </cell>
          <cell r="AU373">
            <v>48.526247933604552</v>
          </cell>
          <cell r="AV373">
            <v>51.741895860712283</v>
          </cell>
        </row>
        <row r="374">
          <cell r="B374" t="str">
            <v>EPS (post-exceptionals, diluted)</v>
          </cell>
          <cell r="C374" t="str">
            <v>FULLY_DIL_EPS</v>
          </cell>
          <cell r="D374" t="str">
            <v>GBP</v>
          </cell>
          <cell r="F374">
            <v>6.6187010376582256</v>
          </cell>
          <cell r="G374">
            <v>5.2394658547228898</v>
          </cell>
          <cell r="H374">
            <v>6.0564271477121716</v>
          </cell>
          <cell r="I374">
            <v>5.3096422871050146</v>
          </cell>
          <cell r="J374">
            <v>3.1535461496757184</v>
          </cell>
          <cell r="K374">
            <v>3.8540744558544415</v>
          </cell>
          <cell r="L374">
            <v>5.2060586758404606</v>
          </cell>
          <cell r="M374">
            <v>6.8695029638556271</v>
          </cell>
          <cell r="N374">
            <v>7.8860053640222194</v>
          </cell>
          <cell r="O374">
            <v>9.7740992274705025</v>
          </cell>
          <cell r="P374">
            <v>11.97217512723903</v>
          </cell>
          <cell r="Q374">
            <v>12.85859952486649</v>
          </cell>
          <cell r="R374">
            <v>12.678443201923031</v>
          </cell>
          <cell r="S374">
            <v>13.578646880225028</v>
          </cell>
          <cell r="T374">
            <v>14.923208719059812</v>
          </cell>
          <cell r="U374">
            <v>17.004739074057831</v>
          </cell>
          <cell r="V374">
            <v>0</v>
          </cell>
          <cell r="W374">
            <v>0</v>
          </cell>
          <cell r="X374">
            <v>18.499999999999996</v>
          </cell>
          <cell r="Y374">
            <v>0</v>
          </cell>
          <cell r="Z374">
            <v>0</v>
          </cell>
          <cell r="AA374">
            <v>14.500000000000002</v>
          </cell>
          <cell r="AB374">
            <v>0</v>
          </cell>
          <cell r="AC374">
            <v>0</v>
          </cell>
          <cell r="AD374">
            <v>15</v>
          </cell>
          <cell r="AE374">
            <v>0</v>
          </cell>
          <cell r="AF374">
            <v>0</v>
          </cell>
          <cell r="AG374">
            <v>20.5</v>
          </cell>
          <cell r="AH374">
            <v>0</v>
          </cell>
          <cell r="AI374">
            <v>0</v>
          </cell>
          <cell r="AJ374">
            <v>19.899999999999995</v>
          </cell>
          <cell r="AK374">
            <v>0</v>
          </cell>
          <cell r="AL374">
            <v>0</v>
          </cell>
          <cell r="AM374">
            <v>23.799755600814663</v>
          </cell>
          <cell r="AN374">
            <v>30.691908127208489</v>
          </cell>
          <cell r="AO374">
            <v>32.654698205562234</v>
          </cell>
          <cell r="AP374">
            <v>35.089978105063032</v>
          </cell>
          <cell r="AQ374">
            <v>37.504375692145601</v>
          </cell>
          <cell r="AR374">
            <v>39.971259317958491</v>
          </cell>
          <cell r="AS374">
            <v>42.339023472505701</v>
          </cell>
          <cell r="AT374">
            <v>44.974950686656619</v>
          </cell>
          <cell r="AU374">
            <v>47.889490139431885</v>
          </cell>
          <cell r="AV374">
            <v>51.062942575066572</v>
          </cell>
        </row>
        <row r="375">
          <cell r="B375" t="str">
            <v>Common dividends paid</v>
          </cell>
          <cell r="C375" t="str">
            <v>COMMON_DIV_PAID</v>
          </cell>
          <cell r="D375" t="str">
            <v>GBP</v>
          </cell>
          <cell r="F375">
            <v>-5.1840000000000002</v>
          </cell>
          <cell r="G375">
            <v>-6.6980000000000004</v>
          </cell>
          <cell r="H375">
            <v>-8.1419999999999995</v>
          </cell>
          <cell r="I375">
            <v>-8.48</v>
          </cell>
          <cell r="J375">
            <v>-8.5289999999999999</v>
          </cell>
          <cell r="K375">
            <v>-8.5239999999999991</v>
          </cell>
          <cell r="L375">
            <v>-9.1750000000000007</v>
          </cell>
          <cell r="M375">
            <v>-10.356999999999999</v>
          </cell>
          <cell r="N375">
            <v>-11.561</v>
          </cell>
          <cell r="O375">
            <v>-15.705</v>
          </cell>
          <cell r="P375">
            <v>-18.068000000000001</v>
          </cell>
          <cell r="Q375">
            <v>-19.472999999999999</v>
          </cell>
          <cell r="R375">
            <v>-20.262</v>
          </cell>
          <cell r="S375">
            <v>-22.113</v>
          </cell>
          <cell r="T375">
            <v>-30.059000000000001</v>
          </cell>
          <cell r="U375">
            <v>-31</v>
          </cell>
          <cell r="V375">
            <v>0</v>
          </cell>
          <cell r="W375">
            <v>0</v>
          </cell>
          <cell r="X375">
            <v>-37.314408602150522</v>
          </cell>
          <cell r="Y375">
            <v>0</v>
          </cell>
          <cell r="Z375">
            <v>0</v>
          </cell>
          <cell r="AA375">
            <v>-50.154794520547938</v>
          </cell>
          <cell r="AB375">
            <v>0</v>
          </cell>
          <cell r="AC375">
            <v>0</v>
          </cell>
          <cell r="AD375">
            <v>-55.826333333333331</v>
          </cell>
          <cell r="AE375">
            <v>0</v>
          </cell>
          <cell r="AF375">
            <v>0</v>
          </cell>
          <cell r="AG375">
            <v>-57.212682926829267</v>
          </cell>
          <cell r="AH375">
            <v>0</v>
          </cell>
          <cell r="AI375">
            <v>0</v>
          </cell>
          <cell r="AJ375">
            <v>-63.530348258706461</v>
          </cell>
          <cell r="AK375">
            <v>0</v>
          </cell>
          <cell r="AL375">
            <v>0</v>
          </cell>
          <cell r="AM375">
            <v>-80.893750000000011</v>
          </cell>
          <cell r="AN375">
            <v>-92.313183279742759</v>
          </cell>
          <cell r="AO375">
            <v>-101.54450160771705</v>
          </cell>
          <cell r="AP375">
            <v>-111.69895176848877</v>
          </cell>
          <cell r="AQ375">
            <v>-122.86884694533765</v>
          </cell>
          <cell r="AR375">
            <v>-135.15573163987142</v>
          </cell>
          <cell r="AS375">
            <v>-148.67130480385859</v>
          </cell>
          <cell r="AT375">
            <v>-163.53843528424443</v>
          </cell>
          <cell r="AU375">
            <v>-179.89227881266888</v>
          </cell>
          <cell r="AV375">
            <v>-197.88150669393582</v>
          </cell>
        </row>
        <row r="376">
          <cell r="B376" t="str">
            <v>DPS, dividend per share</v>
          </cell>
          <cell r="C376" t="str">
            <v>DPS</v>
          </cell>
          <cell r="D376" t="str">
            <v>GBP</v>
          </cell>
          <cell r="F376">
            <v>2.5424141599999999</v>
          </cell>
          <cell r="G376">
            <v>2.6840735999999996</v>
          </cell>
          <cell r="H376">
            <v>2.8182772799999998</v>
          </cell>
          <cell r="I376">
            <v>2.9301136799999998</v>
          </cell>
          <cell r="J376">
            <v>2.9301136799999998</v>
          </cell>
          <cell r="K376">
            <v>2.9281614699730456</v>
          </cell>
          <cell r="L376">
            <v>3.133502981190122</v>
          </cell>
          <cell r="M376">
            <v>3.5112570046500609</v>
          </cell>
          <cell r="N376">
            <v>3.8450249150321985</v>
          </cell>
          <cell r="O376">
            <v>4.2199601599999994</v>
          </cell>
          <cell r="P376">
            <v>4.7716864000000001</v>
          </cell>
          <cell r="Q376">
            <v>5.0699167999999997</v>
          </cell>
          <cell r="R376">
            <v>5.2190319999999994</v>
          </cell>
          <cell r="S376">
            <v>5.5918199999999993</v>
          </cell>
          <cell r="T376">
            <v>5.992</v>
          </cell>
          <cell r="U376">
            <v>6.5911999999999988</v>
          </cell>
          <cell r="V376">
            <v>0</v>
          </cell>
          <cell r="W376">
            <v>0</v>
          </cell>
          <cell r="X376">
            <v>7.3599999999999994</v>
          </cell>
          <cell r="Y376">
            <v>0</v>
          </cell>
          <cell r="Z376">
            <v>0</v>
          </cell>
          <cell r="AA376">
            <v>8.1999999999999993</v>
          </cell>
          <cell r="AB376">
            <v>0</v>
          </cell>
          <cell r="AC376">
            <v>0</v>
          </cell>
          <cell r="AD376">
            <v>8.4499999999999993</v>
          </cell>
          <cell r="AE376">
            <v>0</v>
          </cell>
          <cell r="AF376">
            <v>0</v>
          </cell>
          <cell r="AG376">
            <v>8.4499999999999993</v>
          </cell>
          <cell r="AH376">
            <v>0</v>
          </cell>
          <cell r="AI376">
            <v>0</v>
          </cell>
          <cell r="AJ376">
            <v>9.1999999999999993</v>
          </cell>
          <cell r="AK376">
            <v>0</v>
          </cell>
          <cell r="AL376">
            <v>0</v>
          </cell>
          <cell r="AM376">
            <v>10.5</v>
          </cell>
          <cell r="AN376">
            <v>11.799999999999999</v>
          </cell>
          <cell r="AO376">
            <v>12.98</v>
          </cell>
          <cell r="AP376">
            <v>14.278000000000002</v>
          </cell>
          <cell r="AQ376">
            <v>15.705800000000004</v>
          </cell>
          <cell r="AR376">
            <v>17.276380000000007</v>
          </cell>
          <cell r="AS376">
            <v>19.004018000000009</v>
          </cell>
          <cell r="AT376">
            <v>20.90441980000001</v>
          </cell>
          <cell r="AU376">
            <v>22.994861780000011</v>
          </cell>
          <cell r="AV376">
            <v>25.294347958000014</v>
          </cell>
        </row>
        <row r="377">
          <cell r="B377" t="str">
            <v>Weighted average shares outstanding, basic</v>
          </cell>
          <cell r="C377" t="str">
            <v>SH</v>
          </cell>
          <cell r="F377">
            <v>216.47752207689089</v>
          </cell>
          <cell r="G377">
            <v>225.40465626575963</v>
          </cell>
          <cell r="H377">
            <v>281.23841969162095</v>
          </cell>
          <cell r="I377">
            <v>289.17202270459347</v>
          </cell>
          <cell r="J377">
            <v>289.95928919385818</v>
          </cell>
          <cell r="K377">
            <v>290.75722662746654</v>
          </cell>
          <cell r="L377">
            <v>291.85226187538228</v>
          </cell>
          <cell r="M377">
            <v>293.93515885704477</v>
          </cell>
          <cell r="N377">
            <v>297.9025612412417</v>
          </cell>
          <cell r="O377">
            <v>338.26598495659732</v>
          </cell>
          <cell r="P377">
            <v>373.01764005279142</v>
          </cell>
          <cell r="Q377">
            <v>380.13160294859273</v>
          </cell>
          <cell r="R377">
            <v>385.63338948678609</v>
          </cell>
          <cell r="S377">
            <v>391.01580522978207</v>
          </cell>
          <cell r="T377">
            <v>442.76985981308417</v>
          </cell>
          <cell r="U377">
            <v>503.24065420560748</v>
          </cell>
          <cell r="V377">
            <v>0</v>
          </cell>
          <cell r="W377">
            <v>0</v>
          </cell>
          <cell r="X377">
            <v>506.9892473118278</v>
          </cell>
          <cell r="Y377">
            <v>0</v>
          </cell>
          <cell r="Z377">
            <v>0</v>
          </cell>
          <cell r="AA377">
            <v>611.64383561643831</v>
          </cell>
          <cell r="AB377">
            <v>0</v>
          </cell>
          <cell r="AC377">
            <v>0</v>
          </cell>
          <cell r="AD377">
            <v>660.66666666666674</v>
          </cell>
          <cell r="AE377">
            <v>0</v>
          </cell>
          <cell r="AF377">
            <v>0</v>
          </cell>
          <cell r="AG377">
            <v>677.07317073170736</v>
          </cell>
          <cell r="AH377">
            <v>0</v>
          </cell>
          <cell r="AI377">
            <v>0</v>
          </cell>
          <cell r="AJ377">
            <v>690.54726368159209</v>
          </cell>
          <cell r="AK377">
            <v>0</v>
          </cell>
          <cell r="AL377">
            <v>0</v>
          </cell>
          <cell r="AM377">
            <v>770.41666666666674</v>
          </cell>
          <cell r="AN377">
            <v>782.3151125401929</v>
          </cell>
          <cell r="AO377">
            <v>782.3151125401929</v>
          </cell>
          <cell r="AP377">
            <v>782.3151125401929</v>
          </cell>
          <cell r="AQ377">
            <v>782.3151125401929</v>
          </cell>
          <cell r="AR377">
            <v>782.3151125401929</v>
          </cell>
          <cell r="AS377">
            <v>782.3151125401929</v>
          </cell>
          <cell r="AT377">
            <v>782.3151125401929</v>
          </cell>
          <cell r="AU377">
            <v>782.3151125401929</v>
          </cell>
          <cell r="AV377">
            <v>782.3151125401929</v>
          </cell>
        </row>
        <row r="378">
          <cell r="B378" t="str">
            <v>Diluted average shares outstanding (mn)</v>
          </cell>
          <cell r="C378" t="str">
            <v>DILUTE_SHARES</v>
          </cell>
          <cell r="F378">
            <v>216.47752207689089</v>
          </cell>
          <cell r="G378">
            <v>225.40465626575963</v>
          </cell>
          <cell r="H378">
            <v>281.23841969162095</v>
          </cell>
          <cell r="I378">
            <v>289.17202270459347</v>
          </cell>
          <cell r="J378">
            <v>289.95928919385818</v>
          </cell>
          <cell r="K378">
            <v>290.75722662746654</v>
          </cell>
          <cell r="L378">
            <v>291.85226187538228</v>
          </cell>
          <cell r="M378">
            <v>296.04761955856952</v>
          </cell>
          <cell r="N378">
            <v>301.15373885425498</v>
          </cell>
          <cell r="O378">
            <v>341.85247379207487</v>
          </cell>
          <cell r="P378">
            <v>376.32514995117867</v>
          </cell>
          <cell r="Q378">
            <v>383.51422256081207</v>
          </cell>
          <cell r="R378">
            <v>387.79011126967606</v>
          </cell>
          <cell r="S378">
            <v>392.89891305514129</v>
          </cell>
          <cell r="T378">
            <v>444.83060747663552</v>
          </cell>
          <cell r="U378">
            <v>506.32943925233644</v>
          </cell>
          <cell r="V378">
            <v>0</v>
          </cell>
          <cell r="W378">
            <v>0</v>
          </cell>
          <cell r="X378">
            <v>509.72972972972968</v>
          </cell>
          <cell r="Y378">
            <v>0</v>
          </cell>
          <cell r="Z378">
            <v>0</v>
          </cell>
          <cell r="AA378">
            <v>615.8620689655171</v>
          </cell>
          <cell r="AB378">
            <v>0</v>
          </cell>
          <cell r="AC378">
            <v>0</v>
          </cell>
          <cell r="AD378">
            <v>660.66666666666674</v>
          </cell>
          <cell r="AE378">
            <v>0</v>
          </cell>
          <cell r="AF378">
            <v>0</v>
          </cell>
          <cell r="AG378">
            <v>677.07317073170736</v>
          </cell>
          <cell r="AH378">
            <v>0</v>
          </cell>
          <cell r="AI378">
            <v>0</v>
          </cell>
          <cell r="AJ378">
            <v>697.48743718592982</v>
          </cell>
          <cell r="AK378">
            <v>0</v>
          </cell>
          <cell r="AL378">
            <v>0</v>
          </cell>
          <cell r="AM378">
            <v>776.89873417721515</v>
          </cell>
          <cell r="AN378">
            <v>792.71708683473378</v>
          </cell>
          <cell r="AO378">
            <v>792.71708683473378</v>
          </cell>
          <cell r="AP378">
            <v>792.71708683473378</v>
          </cell>
          <cell r="AQ378">
            <v>792.71708683473378</v>
          </cell>
          <cell r="AR378">
            <v>792.71708683473378</v>
          </cell>
          <cell r="AS378">
            <v>792.71708683473378</v>
          </cell>
          <cell r="AT378">
            <v>792.71708683473378</v>
          </cell>
          <cell r="AU378">
            <v>792.71708683473378</v>
          </cell>
          <cell r="AV378">
            <v>792.71708683473378</v>
          </cell>
        </row>
        <row r="379">
          <cell r="B379" t="str">
            <v>Period-end shares outstanding</v>
          </cell>
          <cell r="C379" t="str">
            <v>NON_OP_ADD</v>
          </cell>
          <cell r="F379">
            <v>203.9203394422567</v>
          </cell>
          <cell r="G379">
            <v>272.26872243741752</v>
          </cell>
          <cell r="H379">
            <v>288.89292037297338</v>
          </cell>
          <cell r="I379">
            <v>289.49839721235662</v>
          </cell>
          <cell r="J379">
            <v>290.52285883665786</v>
          </cell>
          <cell r="K379">
            <v>291.10416510188099</v>
          </cell>
          <cell r="L379">
            <v>292.80329570694335</v>
          </cell>
          <cell r="M379">
            <v>294.96559170359563</v>
          </cell>
          <cell r="N379">
            <v>300.67425453609025</v>
          </cell>
          <cell r="O379">
            <v>371.61451414745113</v>
          </cell>
          <cell r="P379">
            <v>379.28133550436172</v>
          </cell>
          <cell r="Q379">
            <v>384.13978856615563</v>
          </cell>
          <cell r="R379">
            <v>387.96997489189567</v>
          </cell>
          <cell r="S379">
            <v>395.9699963518139</v>
          </cell>
          <cell r="T379">
            <v>501.90593224299067</v>
          </cell>
          <cell r="U379">
            <v>506.11347663551402</v>
          </cell>
          <cell r="V379">
            <v>0</v>
          </cell>
          <cell r="W379">
            <v>0</v>
          </cell>
          <cell r="X379">
            <v>506.9892473118278</v>
          </cell>
          <cell r="Y379">
            <v>0</v>
          </cell>
          <cell r="Z379">
            <v>0</v>
          </cell>
          <cell r="AA379">
            <v>611.64383561643831</v>
          </cell>
          <cell r="AB379">
            <v>0</v>
          </cell>
          <cell r="AC379">
            <v>0</v>
          </cell>
          <cell r="AD379">
            <v>660.66666666666674</v>
          </cell>
          <cell r="AE379">
            <v>0</v>
          </cell>
          <cell r="AF379">
            <v>0</v>
          </cell>
          <cell r="AG379">
            <v>677.07317073170736</v>
          </cell>
          <cell r="AH379">
            <v>0</v>
          </cell>
          <cell r="AI379">
            <v>0</v>
          </cell>
          <cell r="AJ379">
            <v>690.54726368159209</v>
          </cell>
          <cell r="AK379">
            <v>0</v>
          </cell>
          <cell r="AL379">
            <v>0</v>
          </cell>
          <cell r="AM379">
            <v>770.41666666666674</v>
          </cell>
          <cell r="AN379">
            <v>782.3151125401929</v>
          </cell>
          <cell r="AO379">
            <v>782.3151125401929</v>
          </cell>
          <cell r="AP379">
            <v>782.3151125401929</v>
          </cell>
          <cell r="AQ379">
            <v>782.3151125401929</v>
          </cell>
          <cell r="AR379">
            <v>782.3151125401929</v>
          </cell>
          <cell r="AS379">
            <v>782.3151125401929</v>
          </cell>
          <cell r="AT379">
            <v>782.3151125401929</v>
          </cell>
          <cell r="AU379">
            <v>782.3151125401929</v>
          </cell>
          <cell r="AV379">
            <v>782.3151125401929</v>
          </cell>
        </row>
        <row r="380">
          <cell r="A380" t="str">
            <v>Additional Income Statement Items</v>
          </cell>
          <cell r="B380">
            <v>0</v>
          </cell>
          <cell r="C380">
            <v>0</v>
          </cell>
          <cell r="D380">
            <v>0</v>
          </cell>
        </row>
        <row r="381">
          <cell r="B381" t="str">
            <v>Organic net income (excl. acquisitions)</v>
          </cell>
          <cell r="C381" t="str">
            <v>ORG_NI</v>
          </cell>
          <cell r="D381" t="str">
            <v>GBP</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row>
        <row r="382">
          <cell r="B382" t="str">
            <v>Organic EPS (excl. acquisitions)</v>
          </cell>
          <cell r="C382" t="str">
            <v>ORG_EPS</v>
          </cell>
          <cell r="D382" t="str">
            <v>GBP</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row>
        <row r="383">
          <cell r="B383" t="str">
            <v>Marginal tax rate</v>
          </cell>
          <cell r="C383" t="str">
            <v>MARGIN_TAX_RATE</v>
          </cell>
          <cell r="F383">
            <v>0.31263559836848054</v>
          </cell>
          <cell r="G383">
            <v>0.33312454830161448</v>
          </cell>
          <cell r="H383">
            <v>0.26630807965209402</v>
          </cell>
          <cell r="I383">
            <v>0.32680324370465202</v>
          </cell>
          <cell r="J383">
            <v>0.33258701404437219</v>
          </cell>
          <cell r="K383">
            <v>0.34934045568516309</v>
          </cell>
          <cell r="L383">
            <v>0.3348248205994096</v>
          </cell>
          <cell r="M383">
            <v>0.32042501440184384</v>
          </cell>
          <cell r="N383">
            <v>0.32005634892135992</v>
          </cell>
          <cell r="O383">
            <v>0.31978176340058234</v>
          </cell>
          <cell r="P383">
            <v>0.31865974049541806</v>
          </cell>
          <cell r="Q383">
            <v>0.31921701316988338</v>
          </cell>
          <cell r="R383">
            <v>0.30074881954716098</v>
          </cell>
          <cell r="S383">
            <v>0.29353184051273229</v>
          </cell>
          <cell r="T383">
            <v>0.25803350881310844</v>
          </cell>
          <cell r="U383">
            <v>0.25967325881341369</v>
          </cell>
          <cell r="V383">
            <v>0</v>
          </cell>
          <cell r="W383">
            <v>0</v>
          </cell>
          <cell r="X383">
            <v>0.26978146194423502</v>
          </cell>
          <cell r="Y383">
            <v>0</v>
          </cell>
          <cell r="Z383">
            <v>0</v>
          </cell>
          <cell r="AA383">
            <v>0.27486033519553066</v>
          </cell>
          <cell r="AB383">
            <v>0</v>
          </cell>
          <cell r="AC383">
            <v>0</v>
          </cell>
          <cell r="AD383">
            <v>0.27990135635018493</v>
          </cell>
          <cell r="AE383">
            <v>0</v>
          </cell>
          <cell r="AF383">
            <v>0</v>
          </cell>
          <cell r="AG383">
            <v>0.26985482493595214</v>
          </cell>
          <cell r="AH383">
            <v>0</v>
          </cell>
          <cell r="AI383">
            <v>0</v>
          </cell>
          <cell r="AJ383">
            <v>0.24990238188207722</v>
          </cell>
          <cell r="AK383">
            <v>0</v>
          </cell>
          <cell r="AL383">
            <v>0</v>
          </cell>
          <cell r="AM383">
            <v>0.23993808049535603</v>
          </cell>
          <cell r="AN383">
            <v>0.21995589856670344</v>
          </cell>
          <cell r="AO383">
            <v>0.22</v>
          </cell>
          <cell r="AP383">
            <v>0.22</v>
          </cell>
          <cell r="AQ383">
            <v>0.22</v>
          </cell>
          <cell r="AR383">
            <v>0.22</v>
          </cell>
          <cell r="AS383">
            <v>0.22</v>
          </cell>
          <cell r="AT383">
            <v>0.22</v>
          </cell>
          <cell r="AU383">
            <v>0.22</v>
          </cell>
          <cell r="AV383">
            <v>0.22</v>
          </cell>
        </row>
        <row r="384">
          <cell r="A384" t="str">
            <v>Balance Sheet</v>
          </cell>
          <cell r="B384">
            <v>0</v>
          </cell>
          <cell r="C384">
            <v>0</v>
          </cell>
          <cell r="D384">
            <v>0</v>
          </cell>
        </row>
        <row r="385">
          <cell r="B385" t="str">
            <v>BVPS, book value per share</v>
          </cell>
          <cell r="C385" t="str">
            <v>BVPS</v>
          </cell>
          <cell r="D385" t="str">
            <v>GBP</v>
          </cell>
          <cell r="F385">
            <v>22.34794239978422</v>
          </cell>
          <cell r="G385">
            <v>32.849531594859577</v>
          </cell>
          <cell r="H385">
            <v>23.280252043965234</v>
          </cell>
          <cell r="I385">
            <v>23.76904351201809</v>
          </cell>
          <cell r="J385">
            <v>22.056095777312617</v>
          </cell>
          <cell r="K385">
            <v>21.839261550156778</v>
          </cell>
          <cell r="L385">
            <v>22.105625499783311</v>
          </cell>
          <cell r="M385">
            <v>25.201583537478694</v>
          </cell>
          <cell r="N385">
            <v>30.873278506410244</v>
          </cell>
          <cell r="O385">
            <v>48.352255673389571</v>
          </cell>
          <cell r="P385">
            <v>57.931666926824875</v>
          </cell>
          <cell r="Q385">
            <v>64.926364678583042</v>
          </cell>
          <cell r="R385">
            <v>66.368022440846545</v>
          </cell>
          <cell r="S385">
            <v>67.545774292041202</v>
          </cell>
          <cell r="T385">
            <v>92.64584658761899</v>
          </cell>
          <cell r="U385">
            <v>98.140046240599659</v>
          </cell>
          <cell r="V385">
            <v>0</v>
          </cell>
          <cell r="W385">
            <v>0</v>
          </cell>
          <cell r="X385">
            <v>110.33764581124078</v>
          </cell>
          <cell r="Y385">
            <v>0</v>
          </cell>
          <cell r="Z385">
            <v>0</v>
          </cell>
          <cell r="AA385">
            <v>173.85935050391942</v>
          </cell>
          <cell r="AB385">
            <v>0</v>
          </cell>
          <cell r="AC385">
            <v>0</v>
          </cell>
          <cell r="AD385">
            <v>194.7124117053481</v>
          </cell>
          <cell r="AE385">
            <v>0</v>
          </cell>
          <cell r="AF385">
            <v>0</v>
          </cell>
          <cell r="AG385">
            <v>188.10374639769449</v>
          </cell>
          <cell r="AH385">
            <v>0</v>
          </cell>
          <cell r="AI385">
            <v>0</v>
          </cell>
          <cell r="AJ385">
            <v>208.26959654178671</v>
          </cell>
          <cell r="AK385">
            <v>0</v>
          </cell>
          <cell r="AL385">
            <v>0</v>
          </cell>
          <cell r="AM385">
            <v>232.77014602487824</v>
          </cell>
          <cell r="AN385">
            <v>243.5591450883683</v>
          </cell>
          <cell r="AO385">
            <v>263.24603614621003</v>
          </cell>
          <cell r="AP385">
            <v>284.28152881901212</v>
          </cell>
          <cell r="AQ385">
            <v>306.32691211090292</v>
          </cell>
          <cell r="AR385">
            <v>329.30459849435272</v>
          </cell>
          <cell r="AS385">
            <v>352.98580226883939</v>
          </cell>
          <cell r="AT385">
            <v>377.47748211772955</v>
          </cell>
          <cell r="AU385">
            <v>402.8745964553849</v>
          </cell>
          <cell r="AV385">
            <v>429.23910324386975</v>
          </cell>
        </row>
        <row r="386">
          <cell r="A386" t="str">
            <v>Cash Flow Statement</v>
          </cell>
          <cell r="B386">
            <v>0</v>
          </cell>
          <cell r="C386">
            <v>0</v>
          </cell>
          <cell r="D386">
            <v>0</v>
          </cell>
        </row>
        <row r="387">
          <cell r="B387" t="str">
            <v>Net income (pre-preferred dividends)</v>
          </cell>
          <cell r="C387" t="str">
            <v>CF_NI_PRE_PREF</v>
          </cell>
          <cell r="D387" t="str">
            <v>GBP</v>
          </cell>
          <cell r="F387">
            <v>14.327999999999992</v>
          </cell>
          <cell r="G387">
            <v>11.809999999999974</v>
          </cell>
          <cell r="H387">
            <v>17.033000000000026</v>
          </cell>
          <cell r="I387">
            <v>15.35400000000001</v>
          </cell>
          <cell r="J387">
            <v>9.1439999999999966</v>
          </cell>
          <cell r="K387">
            <v>11.205999999999996</v>
          </cell>
          <cell r="L387">
            <v>15.193999999999962</v>
          </cell>
          <cell r="M387">
            <v>20.336999999999964</v>
          </cell>
          <cell r="N387">
            <v>23.749000000000017</v>
          </cell>
          <cell r="O387">
            <v>33.41299999999999</v>
          </cell>
          <cell r="P387">
            <v>45.054305999999997</v>
          </cell>
          <cell r="Q387">
            <v>49.314557999999991</v>
          </cell>
          <cell r="R387">
            <v>49.165749000000005</v>
          </cell>
          <cell r="S387">
            <v>53.350355999999991</v>
          </cell>
          <cell r="T387">
            <v>66.382999999999996</v>
          </cell>
          <cell r="U387">
            <v>86.099999999999966</v>
          </cell>
          <cell r="V387">
            <v>0</v>
          </cell>
          <cell r="W387">
            <v>0</v>
          </cell>
          <cell r="X387">
            <v>94.299999999999983</v>
          </cell>
          <cell r="Y387">
            <v>0</v>
          </cell>
          <cell r="Z387">
            <v>0</v>
          </cell>
          <cell r="AA387">
            <v>89.299999999999983</v>
          </cell>
          <cell r="AB387">
            <v>0</v>
          </cell>
          <cell r="AC387">
            <v>0</v>
          </cell>
          <cell r="AD387">
            <v>99.100000000000009</v>
          </cell>
          <cell r="AE387">
            <v>0</v>
          </cell>
          <cell r="AF387">
            <v>0</v>
          </cell>
          <cell r="AG387">
            <v>138.80000000000001</v>
          </cell>
          <cell r="AH387">
            <v>0</v>
          </cell>
          <cell r="AI387">
            <v>0</v>
          </cell>
          <cell r="AJ387">
            <v>138.80000000000001</v>
          </cell>
          <cell r="AK387">
            <v>0</v>
          </cell>
          <cell r="AL387">
            <v>0</v>
          </cell>
          <cell r="AM387">
            <v>184.9</v>
          </cell>
          <cell r="AN387">
            <v>243.3</v>
          </cell>
          <cell r="AO387">
            <v>258.859372329807</v>
          </cell>
          <cell r="AP387">
            <v>278.16425220540162</v>
          </cell>
          <cell r="AQ387">
            <v>297.30359442233066</v>
          </cell>
          <cell r="AR387">
            <v>316.85900243647762</v>
          </cell>
          <cell r="AS387">
            <v>335.62867346552133</v>
          </cell>
          <cell r="AT387">
            <v>356.52411888862241</v>
          </cell>
          <cell r="AU387">
            <v>379.62817113331153</v>
          </cell>
          <cell r="AV387">
            <v>404.7846708331607</v>
          </cell>
        </row>
        <row r="388">
          <cell r="A388" t="str">
            <v>Other Items</v>
          </cell>
          <cell r="B388">
            <v>0</v>
          </cell>
          <cell r="C388">
            <v>0</v>
          </cell>
          <cell r="D388">
            <v>0</v>
          </cell>
        </row>
        <row r="389">
          <cell r="B389" t="str">
            <v>Beta</v>
          </cell>
          <cell r="C389" t="str">
            <v>BETA_ANALYST</v>
          </cell>
          <cell r="E389">
            <v>1</v>
          </cell>
        </row>
        <row r="390">
          <cell r="B390" t="str">
            <v>Market equity risk premium</v>
          </cell>
          <cell r="C390" t="str">
            <v>MKT_EQ_RISK_PREM</v>
          </cell>
          <cell r="E390">
            <v>0</v>
          </cell>
        </row>
        <row r="391">
          <cell r="B391" t="str">
            <v>Risk-free rate</v>
          </cell>
          <cell r="C391" t="str">
            <v>RISK_FR_RATE</v>
          </cell>
          <cell r="E391">
            <v>0</v>
          </cell>
        </row>
      </sheetData>
      <sheetData sheetId="4" refreshError="1"/>
      <sheetData sheetId="5" refreshError="1"/>
      <sheetData sheetId="6" refreshError="1"/>
      <sheetData sheetId="7" refreshError="1"/>
      <sheetData sheetId="8" refreshError="1"/>
      <sheetData sheetId="9" refreshError="1"/>
      <sheetData sheetId="10" refreshError="1"/>
      <sheetData sheetId="11">
        <row r="139">
          <cell r="B139">
            <v>120.49999999999994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QP_EAD.PA"/>
      <sheetName val="AIR.PA_Live_Sheet"/>
      <sheetName val="AIR.PA_Validation_Sheet"/>
      <sheetName val="AIR.PA_Annotation_Sheet"/>
      <sheetName val="AIR.PA_Exchange_Sheet"/>
      <sheetName val="Sheet5"/>
      <sheetName val="Sheet4"/>
      <sheetName val="MigrationOutput_QP_EAD.PA"/>
      <sheetName val="QP_EAD.PA_migrated"/>
      <sheetName val="Financials"/>
      <sheetName val="Interims"/>
      <sheetName val="Use of cash"/>
      <sheetName val="Capital Allocation"/>
      <sheetName val="Airbus Commercial"/>
      <sheetName val="Airbus Helicopters"/>
      <sheetName val="Airbus Defence &amp; Space"/>
      <sheetName val="Valuation"/>
      <sheetName val="Old vs New"/>
      <sheetName val="A350"/>
      <sheetName val="FCF bridge"/>
      <sheetName val="Exhibit"/>
      <sheetName val="Exhibit 2"/>
      <sheetName val="Airbus Division"/>
      <sheetName val="Airbus Military"/>
      <sheetName val="Astrium"/>
      <sheetName val="Cassidian"/>
      <sheetName val="Other"/>
      <sheetName val="Aircraft Deliveries"/>
      <sheetName val="Cost Savings"/>
      <sheetName val="Buyback"/>
      <sheetName val="Regional Breakdown"/>
      <sheetName val="Airbus model val tab"/>
    </sheetNames>
    <sheetDataSet>
      <sheetData sheetId="0"/>
      <sheetData sheetId="1">
        <row r="1">
          <cell r="A1" t="str">
            <v>Issuer: Airbus</v>
          </cell>
          <cell r="C1">
            <v>4189160046</v>
          </cell>
          <cell r="F1">
            <v>2000</v>
          </cell>
          <cell r="G1">
            <v>2001</v>
          </cell>
          <cell r="H1">
            <v>2002</v>
          </cell>
          <cell r="I1">
            <v>2003</v>
          </cell>
          <cell r="J1">
            <v>2004</v>
          </cell>
          <cell r="K1" t="str">
            <v>2005 Q1</v>
          </cell>
          <cell r="L1" t="str">
            <v>2005 Q2</v>
          </cell>
          <cell r="M1" t="str">
            <v>2005 Q3</v>
          </cell>
          <cell r="N1" t="str">
            <v>2005 Q4</v>
          </cell>
          <cell r="O1">
            <v>2005</v>
          </cell>
          <cell r="P1" t="str">
            <v>2006 Q1</v>
          </cell>
          <cell r="Q1" t="str">
            <v>2006 Q2</v>
          </cell>
          <cell r="R1" t="str">
            <v>2006 Q3</v>
          </cell>
          <cell r="S1" t="str">
            <v>2006 Q4</v>
          </cell>
          <cell r="T1">
            <v>2006</v>
          </cell>
          <cell r="U1" t="str">
            <v>2007 Q1</v>
          </cell>
          <cell r="V1" t="str">
            <v>2007 Q2</v>
          </cell>
          <cell r="W1" t="str">
            <v>2007 Q3</v>
          </cell>
          <cell r="X1" t="str">
            <v>2007 Q4</v>
          </cell>
          <cell r="Y1">
            <v>2007</v>
          </cell>
          <cell r="Z1" t="str">
            <v>2008 Q1</v>
          </cell>
          <cell r="AA1" t="str">
            <v>2008 Q2</v>
          </cell>
          <cell r="AB1" t="str">
            <v>2008 Q3</v>
          </cell>
          <cell r="AC1" t="str">
            <v>2008 Q4</v>
          </cell>
          <cell r="AD1">
            <v>2008</v>
          </cell>
          <cell r="AE1" t="str">
            <v>2009 Q1</v>
          </cell>
          <cell r="AF1" t="str">
            <v>2009 Q2</v>
          </cell>
          <cell r="AG1" t="str">
            <v>2009 Q3</v>
          </cell>
          <cell r="AH1" t="str">
            <v>2009 Q4</v>
          </cell>
          <cell r="AI1">
            <v>2009</v>
          </cell>
          <cell r="AJ1" t="str">
            <v>2010 Q1</v>
          </cell>
          <cell r="AK1" t="str">
            <v>2010 Q2</v>
          </cell>
          <cell r="AL1" t="str">
            <v>2010 Q3</v>
          </cell>
          <cell r="AM1" t="str">
            <v>2010 Q4</v>
          </cell>
          <cell r="AN1">
            <v>2010</v>
          </cell>
          <cell r="AO1" t="str">
            <v>2011 Q1</v>
          </cell>
          <cell r="AP1" t="str">
            <v>2011 Q2</v>
          </cell>
          <cell r="AQ1" t="str">
            <v>2011 Q3</v>
          </cell>
          <cell r="AR1" t="str">
            <v>2011 Q4</v>
          </cell>
          <cell r="AS1">
            <v>2011</v>
          </cell>
          <cell r="AT1" t="str">
            <v>2012 Q1</v>
          </cell>
          <cell r="AU1" t="str">
            <v>2012 Q2</v>
          </cell>
          <cell r="AV1" t="str">
            <v>2012 Q3</v>
          </cell>
          <cell r="AW1" t="str">
            <v>2012 Q4</v>
          </cell>
          <cell r="AX1">
            <v>2012</v>
          </cell>
          <cell r="AY1" t="str">
            <v>2013 Q1</v>
          </cell>
          <cell r="AZ1" t="str">
            <v>2013 Q2</v>
          </cell>
          <cell r="BA1" t="str">
            <v>2013 Q3</v>
          </cell>
          <cell r="BB1" t="str">
            <v>2013 Q4</v>
          </cell>
          <cell r="BC1">
            <v>2013</v>
          </cell>
          <cell r="BD1" t="str">
            <v>2014 Q1</v>
          </cell>
          <cell r="BE1" t="str">
            <v>2014 Q2</v>
          </cell>
          <cell r="BF1" t="str">
            <v>2014 Q3</v>
          </cell>
          <cell r="BG1" t="str">
            <v>2014 Q4</v>
          </cell>
          <cell r="BH1">
            <v>2014</v>
          </cell>
          <cell r="BI1" t="str">
            <v>2015 Q1</v>
          </cell>
          <cell r="BJ1" t="str">
            <v>2015 Q2</v>
          </cell>
          <cell r="BK1" t="str">
            <v>2015 Q3</v>
          </cell>
          <cell r="BL1" t="str">
            <v>2015 Q4</v>
          </cell>
          <cell r="BM1">
            <v>2015</v>
          </cell>
          <cell r="BN1" t="str">
            <v>2016 Q1</v>
          </cell>
          <cell r="BO1" t="str">
            <v>2016 Q2</v>
          </cell>
          <cell r="BP1" t="str">
            <v>2016 Q3</v>
          </cell>
          <cell r="BQ1" t="str">
            <v>2016 Q4</v>
          </cell>
          <cell r="BR1">
            <v>2016</v>
          </cell>
          <cell r="BS1" t="str">
            <v>2017 Q1</v>
          </cell>
          <cell r="BT1" t="str">
            <v>2017 Q2</v>
          </cell>
          <cell r="BU1" t="str">
            <v>2017 Q3</v>
          </cell>
          <cell r="BV1" t="str">
            <v>2017 Q4</v>
          </cell>
          <cell r="BW1">
            <v>2017</v>
          </cell>
          <cell r="BX1" t="str">
            <v>2018 Q1</v>
          </cell>
          <cell r="BY1" t="str">
            <v>2018 Q2</v>
          </cell>
          <cell r="BZ1" t="str">
            <v>2018 Q3</v>
          </cell>
          <cell r="CA1" t="str">
            <v>2018 Q4</v>
          </cell>
          <cell r="CB1">
            <v>2018</v>
          </cell>
          <cell r="CC1" t="str">
            <v>2019 Q1</v>
          </cell>
          <cell r="CD1" t="str">
            <v>2019 Q2</v>
          </cell>
          <cell r="CE1" t="str">
            <v>2019 Q3</v>
          </cell>
          <cell r="CF1" t="str">
            <v>2019 Q4</v>
          </cell>
          <cell r="CG1">
            <v>2019</v>
          </cell>
          <cell r="CH1" t="str">
            <v>2020 Q1</v>
          </cell>
          <cell r="CI1" t="str">
            <v>2020 Q2</v>
          </cell>
          <cell r="CJ1" t="str">
            <v>2020 Q3</v>
          </cell>
          <cell r="CK1" t="str">
            <v>2020 Q4</v>
          </cell>
          <cell r="CL1">
            <v>2020</v>
          </cell>
          <cell r="CM1" t="str">
            <v>2021 Q1</v>
          </cell>
          <cell r="CN1" t="str">
            <v>2021 Q2</v>
          </cell>
          <cell r="CO1" t="str">
            <v>2021 Q3</v>
          </cell>
          <cell r="CP1" t="str">
            <v>2021 Q4</v>
          </cell>
          <cell r="CQ1">
            <v>2021</v>
          </cell>
          <cell r="CR1" t="str">
            <v>2022 Q1</v>
          </cell>
          <cell r="CS1" t="str">
            <v>2022 Q2</v>
          </cell>
          <cell r="CT1" t="str">
            <v>2022 Q3</v>
          </cell>
          <cell r="CU1" t="str">
            <v>2022 Q4</v>
          </cell>
          <cell r="CV1">
            <v>2022</v>
          </cell>
          <cell r="CW1">
            <v>2023</v>
          </cell>
          <cell r="CX1">
            <v>2024</v>
          </cell>
          <cell r="CY1">
            <v>2025</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Actual</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Estimate</v>
          </cell>
          <cell r="CI2" t="str">
            <v>Estimate</v>
          </cell>
          <cell r="CJ2" t="str">
            <v>Estimate</v>
          </cell>
          <cell r="CK2" t="str">
            <v>Estimate</v>
          </cell>
          <cell r="CL2" t="str">
            <v>Estimate</v>
          </cell>
          <cell r="CM2" t="str">
            <v>Estimate</v>
          </cell>
          <cell r="CN2" t="str">
            <v>Estimate</v>
          </cell>
          <cell r="CO2" t="str">
            <v>Estimate</v>
          </cell>
          <cell r="CP2" t="str">
            <v>Estimate</v>
          </cell>
          <cell r="CQ2" t="str">
            <v>Estimate</v>
          </cell>
          <cell r="CR2" t="str">
            <v>Estimate</v>
          </cell>
          <cell r="CS2" t="str">
            <v>Estimate</v>
          </cell>
          <cell r="CT2" t="str">
            <v>Estimate</v>
          </cell>
          <cell r="CU2" t="str">
            <v>Estimate</v>
          </cell>
          <cell r="CV2" t="str">
            <v>Estimate</v>
          </cell>
          <cell r="CW2" t="str">
            <v>Estimate</v>
          </cell>
          <cell r="CX2" t="str">
            <v>Estimate</v>
          </cell>
          <cell r="CY2" t="str">
            <v>Estimate</v>
          </cell>
        </row>
        <row r="3">
          <cell r="F3">
            <v>36891</v>
          </cell>
          <cell r="G3">
            <v>37256</v>
          </cell>
          <cell r="H3">
            <v>37621</v>
          </cell>
          <cell r="I3">
            <v>37986</v>
          </cell>
          <cell r="J3">
            <v>38352</v>
          </cell>
          <cell r="K3">
            <v>38442</v>
          </cell>
          <cell r="L3">
            <v>38533</v>
          </cell>
          <cell r="M3">
            <v>38625</v>
          </cell>
          <cell r="N3">
            <v>38717</v>
          </cell>
          <cell r="O3">
            <v>38717</v>
          </cell>
          <cell r="P3">
            <v>38807</v>
          </cell>
          <cell r="Q3">
            <v>38898</v>
          </cell>
          <cell r="R3">
            <v>38990</v>
          </cell>
          <cell r="S3">
            <v>39082</v>
          </cell>
          <cell r="T3">
            <v>39082</v>
          </cell>
          <cell r="U3">
            <v>39172</v>
          </cell>
          <cell r="V3">
            <v>39263</v>
          </cell>
          <cell r="W3">
            <v>39355</v>
          </cell>
          <cell r="X3">
            <v>39447</v>
          </cell>
          <cell r="Y3">
            <v>39447</v>
          </cell>
          <cell r="Z3">
            <v>39538</v>
          </cell>
          <cell r="AA3">
            <v>39629</v>
          </cell>
          <cell r="AB3">
            <v>39721</v>
          </cell>
          <cell r="AC3">
            <v>39813</v>
          </cell>
          <cell r="AD3">
            <v>39813</v>
          </cell>
          <cell r="AE3">
            <v>39903</v>
          </cell>
          <cell r="AF3">
            <v>39994</v>
          </cell>
          <cell r="AG3">
            <v>40086</v>
          </cell>
          <cell r="AH3">
            <v>40178</v>
          </cell>
          <cell r="AI3">
            <v>40178</v>
          </cell>
          <cell r="AJ3">
            <v>40268</v>
          </cell>
          <cell r="AK3">
            <v>40359</v>
          </cell>
          <cell r="AL3">
            <v>40451</v>
          </cell>
          <cell r="AM3">
            <v>40543</v>
          </cell>
          <cell r="AN3">
            <v>40543</v>
          </cell>
          <cell r="AO3">
            <v>40633</v>
          </cell>
          <cell r="AP3">
            <v>40724</v>
          </cell>
          <cell r="AQ3">
            <v>40816</v>
          </cell>
          <cell r="AR3">
            <v>40908</v>
          </cell>
          <cell r="AS3">
            <v>40908</v>
          </cell>
          <cell r="AT3">
            <v>40999</v>
          </cell>
          <cell r="AU3">
            <v>41090</v>
          </cell>
          <cell r="AV3">
            <v>41182</v>
          </cell>
          <cell r="AW3">
            <v>41274</v>
          </cell>
          <cell r="AX3">
            <v>41274</v>
          </cell>
          <cell r="AY3">
            <v>41364</v>
          </cell>
          <cell r="AZ3">
            <v>41455</v>
          </cell>
          <cell r="BA3">
            <v>41547</v>
          </cell>
          <cell r="BB3">
            <v>41639</v>
          </cell>
          <cell r="BC3">
            <v>41639</v>
          </cell>
          <cell r="BD3">
            <v>41729</v>
          </cell>
          <cell r="BE3">
            <v>41820</v>
          </cell>
          <cell r="BF3">
            <v>41912</v>
          </cell>
          <cell r="BG3">
            <v>42004</v>
          </cell>
          <cell r="BH3">
            <v>42004</v>
          </cell>
          <cell r="BI3">
            <v>42094</v>
          </cell>
          <cell r="BJ3">
            <v>42185</v>
          </cell>
          <cell r="BK3">
            <v>42277</v>
          </cell>
          <cell r="BL3">
            <v>42369</v>
          </cell>
          <cell r="BM3">
            <v>42369</v>
          </cell>
          <cell r="BN3">
            <v>42460</v>
          </cell>
          <cell r="BO3">
            <v>42551</v>
          </cell>
          <cell r="BP3">
            <v>42643</v>
          </cell>
          <cell r="BQ3">
            <v>42735</v>
          </cell>
          <cell r="BR3">
            <v>42735</v>
          </cell>
          <cell r="BS3">
            <v>42825</v>
          </cell>
          <cell r="BT3">
            <v>42916</v>
          </cell>
          <cell r="BU3">
            <v>43008</v>
          </cell>
          <cell r="BV3">
            <v>43100</v>
          </cell>
          <cell r="BW3">
            <v>43100</v>
          </cell>
          <cell r="BX3">
            <v>43190</v>
          </cell>
          <cell r="BY3">
            <v>43281</v>
          </cell>
          <cell r="BZ3">
            <v>43373</v>
          </cell>
          <cell r="CA3">
            <v>43465</v>
          </cell>
          <cell r="CB3">
            <v>43465</v>
          </cell>
          <cell r="CC3">
            <v>43555</v>
          </cell>
          <cell r="CD3">
            <v>43646</v>
          </cell>
          <cell r="CE3">
            <v>43738</v>
          </cell>
          <cell r="CF3">
            <v>43830</v>
          </cell>
          <cell r="CG3">
            <v>43830</v>
          </cell>
          <cell r="CH3">
            <v>43921</v>
          </cell>
          <cell r="CI3">
            <v>44012</v>
          </cell>
          <cell r="CJ3">
            <v>44104</v>
          </cell>
          <cell r="CK3">
            <v>44196</v>
          </cell>
          <cell r="CL3">
            <v>44196</v>
          </cell>
          <cell r="CM3">
            <v>44286</v>
          </cell>
          <cell r="CN3">
            <v>44377</v>
          </cell>
          <cell r="CO3">
            <v>44469</v>
          </cell>
          <cell r="CP3">
            <v>44561</v>
          </cell>
          <cell r="CQ3">
            <v>44561</v>
          </cell>
          <cell r="CR3">
            <v>44651</v>
          </cell>
          <cell r="CS3">
            <v>44742</v>
          </cell>
          <cell r="CT3">
            <v>44834</v>
          </cell>
          <cell r="CU3">
            <v>44926</v>
          </cell>
          <cell r="CV3">
            <v>44926</v>
          </cell>
          <cell r="CW3">
            <v>45291</v>
          </cell>
          <cell r="CX3">
            <v>45657</v>
          </cell>
          <cell r="CY3">
            <v>46022</v>
          </cell>
        </row>
        <row r="4">
          <cell r="A4" t="str">
            <v>Issuer: Airbus</v>
          </cell>
          <cell r="B4" t="str">
            <v>15XS9C</v>
          </cell>
        </row>
        <row r="5">
          <cell r="A5" t="str">
            <v>Reference Data</v>
          </cell>
        </row>
        <row r="6">
          <cell r="B6" t="str">
            <v>Issuer Name</v>
          </cell>
          <cell r="C6" t="str">
            <v>Issuer Name</v>
          </cell>
          <cell r="E6" t="str">
            <v>Airbus</v>
          </cell>
        </row>
        <row r="7">
          <cell r="B7" t="str">
            <v>Reporting Currency</v>
          </cell>
          <cell r="C7" t="str">
            <v>CURRENCY_ISO</v>
          </cell>
          <cell r="E7" t="str">
            <v>EUR</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D11" t="str">
            <v>EUR</v>
          </cell>
          <cell r="F11">
            <v>24208</v>
          </cell>
          <cell r="G11">
            <v>30798</v>
          </cell>
          <cell r="H11">
            <v>29901</v>
          </cell>
          <cell r="I11">
            <v>30133</v>
          </cell>
          <cell r="J11">
            <v>31761</v>
          </cell>
          <cell r="O11">
            <v>34206</v>
          </cell>
          <cell r="T11">
            <v>39434</v>
          </cell>
          <cell r="Y11">
            <v>39123</v>
          </cell>
          <cell r="AD11">
            <v>43265</v>
          </cell>
          <cell r="AI11">
            <v>42822</v>
          </cell>
          <cell r="AN11">
            <v>45752</v>
          </cell>
          <cell r="AS11">
            <v>49128</v>
          </cell>
          <cell r="AX11">
            <v>56480</v>
          </cell>
          <cell r="BC11">
            <v>59256</v>
          </cell>
          <cell r="BH11">
            <v>60713</v>
          </cell>
          <cell r="BM11">
            <v>64450</v>
          </cell>
          <cell r="BR11">
            <v>66581</v>
          </cell>
          <cell r="BW11">
            <v>66652</v>
          </cell>
          <cell r="CB11">
            <v>63707</v>
          </cell>
          <cell r="CG11">
            <v>70478</v>
          </cell>
          <cell r="CL11">
            <v>46264.913358339902</v>
          </cell>
          <cell r="CQ11">
            <v>56076.508665965601</v>
          </cell>
          <cell r="CV11">
            <v>61350.573318210001</v>
          </cell>
          <cell r="CW11">
            <v>67035.072594766301</v>
          </cell>
          <cell r="CX11">
            <v>70275.215656418804</v>
          </cell>
          <cell r="CY11">
            <v>72608.670191223398</v>
          </cell>
        </row>
        <row r="12">
          <cell r="B12" t="str">
            <v>Cost of goods sold, COGS</v>
          </cell>
          <cell r="C12" t="str">
            <v>COST_GD_SD</v>
          </cell>
          <cell r="D12" t="str">
            <v>EUR</v>
          </cell>
        </row>
        <row r="13">
          <cell r="B13" t="str">
            <v>SG&amp;A, selling, general and admin. expense</v>
          </cell>
          <cell r="C13" t="str">
            <v>SEL_GL_AD</v>
          </cell>
          <cell r="D13" t="str">
            <v>EUR</v>
          </cell>
          <cell r="F13">
            <v>0</v>
          </cell>
          <cell r="G13">
            <v>0</v>
          </cell>
          <cell r="H13">
            <v>0</v>
          </cell>
          <cell r="I13">
            <v>0</v>
          </cell>
          <cell r="J13">
            <v>0</v>
          </cell>
          <cell r="K13">
            <v>0</v>
          </cell>
          <cell r="L13">
            <v>0</v>
          </cell>
          <cell r="M13">
            <v>0</v>
          </cell>
          <cell r="N13">
            <v>0</v>
          </cell>
          <cell r="O13">
            <v>0</v>
          </cell>
          <cell r="P13">
            <v>0</v>
          </cell>
          <cell r="Q13">
            <v>0</v>
          </cell>
          <cell r="R13">
            <v>0</v>
          </cell>
          <cell r="T13">
            <v>0</v>
          </cell>
          <cell r="Y13">
            <v>0</v>
          </cell>
        </row>
        <row r="14">
          <cell r="B14" t="str">
            <v>Total operating expense</v>
          </cell>
          <cell r="C14" t="str">
            <v>OP_COST</v>
          </cell>
          <cell r="D14" t="str">
            <v>EUR</v>
          </cell>
          <cell r="F14">
            <v>-20535</v>
          </cell>
          <cell r="G14">
            <v>-25539</v>
          </cell>
          <cell r="H14">
            <v>-24774</v>
          </cell>
          <cell r="I14">
            <v>-24807</v>
          </cell>
          <cell r="J14">
            <v>-25782</v>
          </cell>
          <cell r="K14">
            <v>0</v>
          </cell>
          <cell r="L14">
            <v>0</v>
          </cell>
          <cell r="M14">
            <v>0</v>
          </cell>
          <cell r="N14">
            <v>0</v>
          </cell>
          <cell r="O14">
            <v>-27762</v>
          </cell>
          <cell r="P14">
            <v>0</v>
          </cell>
          <cell r="Q14">
            <v>0</v>
          </cell>
          <cell r="R14">
            <v>0</v>
          </cell>
          <cell r="T14">
            <v>-31850</v>
          </cell>
          <cell r="Y14">
            <v>-31190</v>
          </cell>
          <cell r="AD14">
            <v>-35651</v>
          </cell>
          <cell r="AI14">
            <v>-36079</v>
          </cell>
          <cell r="AN14">
            <v>-39934</v>
          </cell>
          <cell r="AS14">
            <v>-42380</v>
          </cell>
          <cell r="AX14">
            <v>-48376</v>
          </cell>
          <cell r="BC14">
            <v>-50608</v>
          </cell>
          <cell r="BH14">
            <v>-51155</v>
          </cell>
          <cell r="BM14">
            <v>-54416</v>
          </cell>
          <cell r="BR14">
            <v>-57362</v>
          </cell>
          <cell r="BW14">
            <v>-57294</v>
          </cell>
          <cell r="CB14">
            <v>-52212</v>
          </cell>
          <cell r="CG14">
            <v>-57247</v>
          </cell>
          <cell r="CL14">
            <v>-39583.517414713802</v>
          </cell>
          <cell r="CQ14">
            <v>-46485.250826883101</v>
          </cell>
          <cell r="CV14">
            <v>-50151.280597753001</v>
          </cell>
          <cell r="CW14">
            <v>-54507.404749160603</v>
          </cell>
          <cell r="CX14">
            <v>-57055.305166750899</v>
          </cell>
          <cell r="CY14">
            <v>-57122.284048257003</v>
          </cell>
        </row>
        <row r="15">
          <cell r="B15" t="str">
            <v>R&amp;D expense</v>
          </cell>
          <cell r="C15" t="str">
            <v>RD_EXP</v>
          </cell>
          <cell r="D15" t="str">
            <v>EUR</v>
          </cell>
          <cell r="F15">
            <v>-1339</v>
          </cell>
          <cell r="G15">
            <v>-2046</v>
          </cell>
          <cell r="H15">
            <v>-2096</v>
          </cell>
          <cell r="I15">
            <v>-2189</v>
          </cell>
          <cell r="J15">
            <v>-2126</v>
          </cell>
          <cell r="O15">
            <v>-2075</v>
          </cell>
          <cell r="T15">
            <v>-2458</v>
          </cell>
          <cell r="Y15">
            <v>-2608</v>
          </cell>
          <cell r="AD15">
            <v>-2669</v>
          </cell>
          <cell r="AI15">
            <v>-2825</v>
          </cell>
          <cell r="AN15">
            <v>-2939</v>
          </cell>
          <cell r="AS15">
            <v>-3152</v>
          </cell>
          <cell r="AX15">
            <v>-3142</v>
          </cell>
          <cell r="BC15">
            <v>-3160</v>
          </cell>
          <cell r="BH15">
            <v>-3391</v>
          </cell>
          <cell r="BM15">
            <v>-3460</v>
          </cell>
          <cell r="BR15">
            <v>-2970</v>
          </cell>
          <cell r="BW15">
            <v>-2807</v>
          </cell>
          <cell r="CB15">
            <v>-3217</v>
          </cell>
          <cell r="CG15">
            <v>-3358</v>
          </cell>
          <cell r="CL15">
            <v>-2500</v>
          </cell>
          <cell r="CQ15">
            <v>-2543.7644012600999</v>
          </cell>
          <cell r="CV15">
            <v>-2562.1042409028501</v>
          </cell>
          <cell r="CW15">
            <v>-2881.8102026319498</v>
          </cell>
          <cell r="CX15">
            <v>-3002.82728711257</v>
          </cell>
          <cell r="CY15">
            <v>-3123.9326369114601</v>
          </cell>
        </row>
        <row r="16">
          <cell r="B16" t="str">
            <v>Other operating income/(expense) (incl. leases)</v>
          </cell>
          <cell r="C16" t="str">
            <v>OTH_OP_INC_EXP</v>
          </cell>
          <cell r="D16" t="str">
            <v>EUR</v>
          </cell>
          <cell r="K16">
            <v>0</v>
          </cell>
          <cell r="L16">
            <v>0</v>
          </cell>
          <cell r="M16">
            <v>0</v>
          </cell>
          <cell r="N16">
            <v>0</v>
          </cell>
          <cell r="P16">
            <v>0</v>
          </cell>
          <cell r="Q16">
            <v>0</v>
          </cell>
          <cell r="R16">
            <v>0</v>
          </cell>
        </row>
        <row r="17">
          <cell r="B17" t="str">
            <v>Total operating expense (incl. D&amp;A)</v>
          </cell>
          <cell r="C17" t="str">
            <v>TOT_OPS_EXP_DDA</v>
          </cell>
          <cell r="D17" t="str">
            <v>EUR</v>
          </cell>
          <cell r="F17">
            <v>-22809</v>
          </cell>
          <cell r="G17">
            <v>-29104</v>
          </cell>
          <cell r="H17">
            <v>-28475</v>
          </cell>
          <cell r="I17">
            <v>-28590</v>
          </cell>
          <cell r="J17">
            <v>-29317</v>
          </cell>
          <cell r="O17">
            <v>-31354</v>
          </cell>
          <cell r="T17">
            <v>-35878</v>
          </cell>
          <cell r="Y17">
            <v>-35509</v>
          </cell>
          <cell r="AD17">
            <v>-39935</v>
          </cell>
          <cell r="AI17">
            <v>-40674</v>
          </cell>
          <cell r="AN17">
            <v>-44411</v>
          </cell>
          <cell r="AS17">
            <v>-47334</v>
          </cell>
          <cell r="AX17">
            <v>-53516</v>
          </cell>
          <cell r="BC17">
            <v>-55682</v>
          </cell>
          <cell r="BH17">
            <v>-56647</v>
          </cell>
          <cell r="BM17">
            <v>-60318</v>
          </cell>
          <cell r="BR17">
            <v>-62626</v>
          </cell>
          <cell r="BW17">
            <v>-62399</v>
          </cell>
          <cell r="CB17">
            <v>-57873</v>
          </cell>
          <cell r="CG17">
            <v>-63532</v>
          </cell>
          <cell r="CL17">
            <v>-44208.394731430701</v>
          </cell>
          <cell r="CQ17">
            <v>-51224.823087422599</v>
          </cell>
          <cell r="CV17">
            <v>-54942.629954024</v>
          </cell>
          <cell r="CW17">
            <v>-59696.570361332102</v>
          </cell>
          <cell r="CX17">
            <v>-62439.751685074203</v>
          </cell>
          <cell r="CY17">
            <v>-62709.692595722299</v>
          </cell>
        </row>
        <row r="18">
          <cell r="B18" t="str">
            <v>Total operating expense (excl. D&amp;A)</v>
          </cell>
          <cell r="C18" t="str">
            <v>TOT_OPS_EXP</v>
          </cell>
          <cell r="D18" t="str">
            <v>EUR</v>
          </cell>
          <cell r="F18">
            <v>-21874</v>
          </cell>
          <cell r="G18">
            <v>-27585</v>
          </cell>
          <cell r="H18">
            <v>-26870</v>
          </cell>
          <cell r="I18">
            <v>-26996</v>
          </cell>
          <cell r="J18">
            <v>-27908</v>
          </cell>
          <cell r="O18">
            <v>-29837</v>
          </cell>
          <cell r="T18">
            <v>-34308</v>
          </cell>
          <cell r="Y18">
            <v>-33798</v>
          </cell>
          <cell r="AD18">
            <v>-38320</v>
          </cell>
          <cell r="AI18">
            <v>-38904</v>
          </cell>
          <cell r="AN18">
            <v>-42873</v>
          </cell>
          <cell r="AS18">
            <v>-45532</v>
          </cell>
          <cell r="AX18">
            <v>-51518</v>
          </cell>
          <cell r="BC18">
            <v>-53768</v>
          </cell>
          <cell r="BH18">
            <v>-54546</v>
          </cell>
          <cell r="BM18">
            <v>-57876</v>
          </cell>
          <cell r="BR18">
            <v>-60332</v>
          </cell>
          <cell r="BW18">
            <v>-60101</v>
          </cell>
          <cell r="CB18">
            <v>-55429</v>
          </cell>
          <cell r="CG18">
            <v>-60605</v>
          </cell>
          <cell r="CL18">
            <v>-42083.517414713802</v>
          </cell>
          <cell r="CQ18">
            <v>-49029.015228143202</v>
          </cell>
          <cell r="CV18">
            <v>-52713.384838655802</v>
          </cell>
          <cell r="CW18">
            <v>-57389.214951792601</v>
          </cell>
          <cell r="CX18">
            <v>-60058.1324538634</v>
          </cell>
          <cell r="CY18">
            <v>-60246.216685168503</v>
          </cell>
        </row>
        <row r="19">
          <cell r="B19" t="str">
            <v>EBITDA</v>
          </cell>
          <cell r="C19" t="str">
            <v>EBITDA_CALC</v>
          </cell>
          <cell r="D19" t="str">
            <v>EUR</v>
          </cell>
          <cell r="F19">
            <v>2334</v>
          </cell>
          <cell r="G19">
            <v>3213</v>
          </cell>
          <cell r="H19">
            <v>3031</v>
          </cell>
          <cell r="I19">
            <v>3137</v>
          </cell>
          <cell r="J19">
            <v>3853</v>
          </cell>
          <cell r="O19">
            <v>4369</v>
          </cell>
          <cell r="T19">
            <v>5126</v>
          </cell>
          <cell r="Y19">
            <v>5325</v>
          </cell>
          <cell r="AD19">
            <v>4945</v>
          </cell>
          <cell r="AI19">
            <v>3918</v>
          </cell>
          <cell r="AN19">
            <v>2879</v>
          </cell>
          <cell r="AS19">
            <v>3596</v>
          </cell>
          <cell r="AX19">
            <v>4962</v>
          </cell>
          <cell r="BC19">
            <v>5488</v>
          </cell>
          <cell r="BH19">
            <v>6167</v>
          </cell>
          <cell r="BM19">
            <v>6574</v>
          </cell>
          <cell r="BR19">
            <v>6249</v>
          </cell>
          <cell r="BW19">
            <v>6551</v>
          </cell>
          <cell r="CB19">
            <v>8278</v>
          </cell>
          <cell r="CG19">
            <v>9873</v>
          </cell>
          <cell r="CL19">
            <v>4181.3959436260202</v>
          </cell>
          <cell r="CQ19">
            <v>7047.4934378223397</v>
          </cell>
          <cell r="CV19">
            <v>8637.1884795542101</v>
          </cell>
          <cell r="CW19">
            <v>9645.8576429737004</v>
          </cell>
          <cell r="CX19">
            <v>10217.083202555399</v>
          </cell>
          <cell r="CY19">
            <v>12362.453506054901</v>
          </cell>
        </row>
        <row r="20">
          <cell r="B20" t="str">
            <v>Depreciation</v>
          </cell>
          <cell r="C20" t="str">
            <v>DEPREC</v>
          </cell>
          <cell r="D20" t="str">
            <v>EUR</v>
          </cell>
          <cell r="F20">
            <v>-935</v>
          </cell>
          <cell r="G20">
            <v>-1519</v>
          </cell>
          <cell r="H20">
            <v>-1605</v>
          </cell>
          <cell r="I20">
            <v>-1594</v>
          </cell>
          <cell r="J20">
            <v>-1409</v>
          </cell>
          <cell r="K20">
            <v>0</v>
          </cell>
          <cell r="L20">
            <v>0</v>
          </cell>
          <cell r="M20">
            <v>0</v>
          </cell>
          <cell r="N20">
            <v>0</v>
          </cell>
          <cell r="O20">
            <v>-1517</v>
          </cell>
          <cell r="P20">
            <v>0</v>
          </cell>
          <cell r="Q20">
            <v>0</v>
          </cell>
          <cell r="R20">
            <v>0</v>
          </cell>
          <cell r="T20">
            <v>-1554</v>
          </cell>
          <cell r="Y20">
            <v>-1574</v>
          </cell>
          <cell r="AD20">
            <v>-1543</v>
          </cell>
          <cell r="AI20">
            <v>-1483</v>
          </cell>
          <cell r="AN20">
            <v>-1403</v>
          </cell>
          <cell r="AS20">
            <v>-1493</v>
          </cell>
          <cell r="AX20">
            <v>-1618</v>
          </cell>
          <cell r="BC20">
            <v>-1511.6196883852699</v>
          </cell>
          <cell r="BH20">
            <v>-1682.3981055240799</v>
          </cell>
          <cell r="BM20">
            <v>-1969.6163243626099</v>
          </cell>
          <cell r="BR20">
            <v>-1781.20370042493</v>
          </cell>
          <cell r="BW20">
            <v>-1784.6568696883901</v>
          </cell>
          <cell r="CB20">
            <v>-1899.4259029745001</v>
          </cell>
          <cell r="CG20">
            <v>-2324.5466870177102</v>
          </cell>
          <cell r="CL20">
            <v>-1729.4</v>
          </cell>
          <cell r="CQ20">
            <v>-1716.46</v>
          </cell>
          <cell r="CV20">
            <v>-1704.8140000000001</v>
          </cell>
          <cell r="CW20">
            <v>-1734.3326</v>
          </cell>
          <cell r="CX20">
            <v>-1780.8993399999999</v>
          </cell>
          <cell r="CY20">
            <v>-1842.8094060000001</v>
          </cell>
        </row>
        <row r="21">
          <cell r="B21" t="str">
            <v>Amortization</v>
          </cell>
          <cell r="C21" t="str">
            <v>GOODWILL_AMORT</v>
          </cell>
          <cell r="D21" t="str">
            <v>EUR</v>
          </cell>
          <cell r="K21">
            <v>0</v>
          </cell>
          <cell r="L21">
            <v>0</v>
          </cell>
          <cell r="M21">
            <v>0</v>
          </cell>
          <cell r="N21">
            <v>0</v>
          </cell>
          <cell r="P21">
            <v>0</v>
          </cell>
          <cell r="Q21">
            <v>0</v>
          </cell>
          <cell r="R21">
            <v>0</v>
          </cell>
          <cell r="T21">
            <v>-16</v>
          </cell>
          <cell r="Y21">
            <v>-137</v>
          </cell>
          <cell r="AD21">
            <v>-72</v>
          </cell>
          <cell r="AI21">
            <v>-287</v>
          </cell>
          <cell r="AN21">
            <v>-135</v>
          </cell>
          <cell r="AS21">
            <v>-309</v>
          </cell>
          <cell r="AX21">
            <v>-380</v>
          </cell>
          <cell r="BC21">
            <v>-402.380311614731</v>
          </cell>
          <cell r="BH21">
            <v>-418.60189447592097</v>
          </cell>
          <cell r="BM21">
            <v>-472.38367563739399</v>
          </cell>
          <cell r="BR21">
            <v>-512.79629957507098</v>
          </cell>
          <cell r="BW21">
            <v>-513.34313031161503</v>
          </cell>
          <cell r="CB21">
            <v>-544.57409702549603</v>
          </cell>
          <cell r="CG21">
            <v>-602.453312982292</v>
          </cell>
          <cell r="CL21">
            <v>-395.47731671685602</v>
          </cell>
          <cell r="CQ21">
            <v>-479.34785927936599</v>
          </cell>
          <cell r="CV21">
            <v>-524.43111536818105</v>
          </cell>
          <cell r="CW21">
            <v>-573.02280953950697</v>
          </cell>
          <cell r="CX21">
            <v>-600.71989121079696</v>
          </cell>
          <cell r="CY21">
            <v>-620.66650455377805</v>
          </cell>
        </row>
        <row r="22">
          <cell r="B22" t="str">
            <v>EBIT, operating profit</v>
          </cell>
          <cell r="C22" t="str">
            <v>EBIT</v>
          </cell>
          <cell r="D22" t="str">
            <v>EUR</v>
          </cell>
          <cell r="F22">
            <v>1399</v>
          </cell>
          <cell r="G22">
            <v>1694</v>
          </cell>
          <cell r="H22">
            <v>1426</v>
          </cell>
          <cell r="I22">
            <v>1543</v>
          </cell>
          <cell r="J22">
            <v>2444</v>
          </cell>
          <cell r="O22">
            <v>2852</v>
          </cell>
          <cell r="T22">
            <v>3556</v>
          </cell>
          <cell r="Y22">
            <v>3614</v>
          </cell>
          <cell r="AD22">
            <v>3330</v>
          </cell>
          <cell r="AI22">
            <v>2148</v>
          </cell>
          <cell r="AN22">
            <v>1341</v>
          </cell>
          <cell r="AS22">
            <v>1794</v>
          </cell>
          <cell r="AX22">
            <v>2964</v>
          </cell>
          <cell r="BC22">
            <v>3574</v>
          </cell>
          <cell r="BH22">
            <v>4066</v>
          </cell>
          <cell r="BM22">
            <v>4132</v>
          </cell>
          <cell r="BR22">
            <v>3955</v>
          </cell>
          <cell r="BW22">
            <v>4253</v>
          </cell>
          <cell r="CB22">
            <v>5834</v>
          </cell>
          <cell r="CG22">
            <v>6946</v>
          </cell>
          <cell r="CL22">
            <v>2056.51862690916</v>
          </cell>
          <cell r="CQ22">
            <v>4851.6855785429698</v>
          </cell>
          <cell r="CV22">
            <v>6407.9433641860296</v>
          </cell>
          <cell r="CW22">
            <v>7338.5022334341902</v>
          </cell>
          <cell r="CX22">
            <v>7835.4639713445704</v>
          </cell>
          <cell r="CY22">
            <v>9898.9775955011592</v>
          </cell>
        </row>
        <row r="23">
          <cell r="B23" t="str">
            <v>Interest income</v>
          </cell>
          <cell r="C23" t="str">
            <v>INT_INC_IND</v>
          </cell>
          <cell r="D23" t="str">
            <v>EUR</v>
          </cell>
          <cell r="T23">
            <v>454</v>
          </cell>
          <cell r="Y23">
            <v>502</v>
          </cell>
          <cell r="AD23">
            <v>617</v>
          </cell>
          <cell r="AI23">
            <v>356</v>
          </cell>
          <cell r="AN23">
            <v>316</v>
          </cell>
          <cell r="AS23">
            <v>377</v>
          </cell>
          <cell r="AX23">
            <v>237</v>
          </cell>
          <cell r="BC23">
            <v>168</v>
          </cell>
          <cell r="BH23">
            <v>142</v>
          </cell>
          <cell r="BM23">
            <v>183</v>
          </cell>
          <cell r="BR23">
            <v>247</v>
          </cell>
          <cell r="BW23">
            <v>189</v>
          </cell>
          <cell r="CB23">
            <v>208</v>
          </cell>
          <cell r="CG23">
            <v>228</v>
          </cell>
          <cell r="CH23">
            <v>135.023623972498</v>
          </cell>
          <cell r="CI23">
            <v>88.515447982550995</v>
          </cell>
          <cell r="CJ23">
            <v>147.625689119481</v>
          </cell>
          <cell r="CK23">
            <v>156.63131285644701</v>
          </cell>
          <cell r="CL23">
            <v>135.023623972498</v>
          </cell>
          <cell r="CQ23">
            <v>88.515447982550995</v>
          </cell>
          <cell r="CV23">
            <v>147.625689119481</v>
          </cell>
          <cell r="CW23">
            <v>156.63131285644701</v>
          </cell>
          <cell r="CX23">
            <v>151.94337479708901</v>
          </cell>
          <cell r="CY23">
            <v>186.518722638746</v>
          </cell>
        </row>
        <row r="24">
          <cell r="B24" t="str">
            <v>Interest expense</v>
          </cell>
          <cell r="C24" t="str">
            <v>INT_EXP_IND</v>
          </cell>
          <cell r="D24" t="str">
            <v>EUR</v>
          </cell>
          <cell r="T24">
            <v>-698</v>
          </cell>
          <cell r="Y24">
            <v>-1239</v>
          </cell>
          <cell r="AD24">
            <v>-1089</v>
          </cell>
          <cell r="AI24">
            <v>-948</v>
          </cell>
          <cell r="AN24">
            <v>-687</v>
          </cell>
          <cell r="AS24">
            <v>-597</v>
          </cell>
          <cell r="AX24">
            <v>-690</v>
          </cell>
          <cell r="BC24">
            <v>-798</v>
          </cell>
          <cell r="BH24">
            <v>-920</v>
          </cell>
          <cell r="BM24">
            <v>-870</v>
          </cell>
          <cell r="BR24">
            <v>-1214</v>
          </cell>
          <cell r="BW24">
            <v>-517</v>
          </cell>
          <cell r="CB24">
            <v>-971</v>
          </cell>
          <cell r="CG24">
            <v>-503</v>
          </cell>
          <cell r="CH24">
            <v>-298.95999999999998</v>
          </cell>
          <cell r="CI24">
            <v>-291.45999999999998</v>
          </cell>
          <cell r="CJ24">
            <v>-273.95999999999998</v>
          </cell>
          <cell r="CK24">
            <v>-253.96</v>
          </cell>
          <cell r="CL24">
            <v>-298.95999999999998</v>
          </cell>
          <cell r="CQ24">
            <v>-291.45999999999998</v>
          </cell>
          <cell r="CV24">
            <v>-273.95999999999998</v>
          </cell>
          <cell r="CW24">
            <v>-253.96</v>
          </cell>
          <cell r="CX24">
            <v>-236.46</v>
          </cell>
          <cell r="CY24">
            <v>-236.46</v>
          </cell>
        </row>
        <row r="25">
          <cell r="B25" t="str">
            <v>Net interest income/(expense)</v>
          </cell>
          <cell r="C25" t="str">
            <v>NET_INT_EXP</v>
          </cell>
          <cell r="D25" t="str">
            <v>EUR</v>
          </cell>
          <cell r="F25">
            <v>-1426</v>
          </cell>
          <cell r="G25">
            <v>-171</v>
          </cell>
          <cell r="H25">
            <v>-60</v>
          </cell>
          <cell r="I25">
            <v>-55</v>
          </cell>
          <cell r="J25">
            <v>-330</v>
          </cell>
          <cell r="O25">
            <v>-177</v>
          </cell>
          <cell r="T25">
            <v>-244</v>
          </cell>
          <cell r="Y25">
            <v>-737</v>
          </cell>
          <cell r="AD25">
            <v>-472</v>
          </cell>
          <cell r="AI25">
            <v>-592</v>
          </cell>
          <cell r="AN25">
            <v>-371</v>
          </cell>
          <cell r="AS25">
            <v>-220</v>
          </cell>
          <cell r="AX25">
            <v>-453</v>
          </cell>
          <cell r="BC25">
            <v>-630</v>
          </cell>
          <cell r="BH25">
            <v>-778</v>
          </cell>
          <cell r="BM25">
            <v>-687</v>
          </cell>
          <cell r="BR25">
            <v>-967</v>
          </cell>
          <cell r="BW25">
            <v>1149</v>
          </cell>
          <cell r="CB25">
            <v>-763</v>
          </cell>
          <cell r="CG25">
            <v>-275</v>
          </cell>
          <cell r="CL25">
            <v>-163.93637602750201</v>
          </cell>
          <cell r="CQ25">
            <v>-202.94455201744901</v>
          </cell>
          <cell r="CV25">
            <v>-126.334310880519</v>
          </cell>
          <cell r="CW25">
            <v>-97.328687143552997</v>
          </cell>
          <cell r="CX25">
            <v>-84.516625202911001</v>
          </cell>
          <cell r="CY25">
            <v>-49.941277361254002</v>
          </cell>
        </row>
        <row r="26">
          <cell r="B26" t="str">
            <v>Income/(loss) from unconsolidated subs &amp; associates</v>
          </cell>
          <cell r="C26" t="str">
            <v>ASSOCIATE</v>
          </cell>
          <cell r="D26" t="str">
            <v>EUR</v>
          </cell>
          <cell r="J26">
            <v>0</v>
          </cell>
          <cell r="K26">
            <v>0</v>
          </cell>
          <cell r="L26">
            <v>0</v>
          </cell>
          <cell r="M26">
            <v>0</v>
          </cell>
          <cell r="N26">
            <v>0</v>
          </cell>
          <cell r="O26">
            <v>0</v>
          </cell>
          <cell r="P26">
            <v>0</v>
          </cell>
          <cell r="Q26">
            <v>0</v>
          </cell>
          <cell r="R26">
            <v>0</v>
          </cell>
          <cell r="T26">
            <v>0</v>
          </cell>
          <cell r="Y26">
            <v>0</v>
          </cell>
        </row>
        <row r="27">
          <cell r="B27" t="str">
            <v>Profit/(loss) on disposals of assets, pre-tax</v>
          </cell>
          <cell r="C27" t="str">
            <v>PROFIT_ON_DISP</v>
          </cell>
          <cell r="D27" t="str">
            <v>EUR</v>
          </cell>
          <cell r="F27">
            <v>0</v>
          </cell>
          <cell r="G27">
            <v>0</v>
          </cell>
          <cell r="H27">
            <v>0</v>
          </cell>
          <cell r="I27">
            <v>0</v>
          </cell>
          <cell r="J27">
            <v>0</v>
          </cell>
          <cell r="K27">
            <v>0</v>
          </cell>
          <cell r="L27">
            <v>0</v>
          </cell>
          <cell r="M27">
            <v>0</v>
          </cell>
          <cell r="N27">
            <v>0</v>
          </cell>
          <cell r="O27">
            <v>0</v>
          </cell>
          <cell r="P27">
            <v>0</v>
          </cell>
          <cell r="Q27">
            <v>0</v>
          </cell>
          <cell r="R27">
            <v>0</v>
          </cell>
          <cell r="T27">
            <v>0</v>
          </cell>
          <cell r="Y27">
            <v>0</v>
          </cell>
        </row>
        <row r="28">
          <cell r="B28" t="str">
            <v>Other non-ops income/(expense)</v>
          </cell>
          <cell r="C28" t="str">
            <v>OTH_COST_INC</v>
          </cell>
          <cell r="D28" t="str">
            <v>EUR</v>
          </cell>
          <cell r="F28">
            <v>0</v>
          </cell>
          <cell r="G28">
            <v>0</v>
          </cell>
          <cell r="H28">
            <v>0</v>
          </cell>
          <cell r="I28">
            <v>0</v>
          </cell>
          <cell r="K28">
            <v>0</v>
          </cell>
          <cell r="L28">
            <v>0</v>
          </cell>
          <cell r="M28">
            <v>0</v>
          </cell>
          <cell r="N28">
            <v>0</v>
          </cell>
          <cell r="P28">
            <v>0</v>
          </cell>
          <cell r="Q28">
            <v>0</v>
          </cell>
          <cell r="R28">
            <v>0</v>
          </cell>
        </row>
        <row r="29">
          <cell r="B29" t="str">
            <v>Pre-tax profit</v>
          </cell>
          <cell r="C29" t="str">
            <v>PT_PROF</v>
          </cell>
          <cell r="D29" t="str">
            <v>EUR</v>
          </cell>
          <cell r="F29">
            <v>-27</v>
          </cell>
          <cell r="G29">
            <v>1523</v>
          </cell>
          <cell r="H29">
            <v>1366</v>
          </cell>
          <cell r="I29">
            <v>1488</v>
          </cell>
          <cell r="J29">
            <v>2114</v>
          </cell>
          <cell r="O29">
            <v>2675</v>
          </cell>
          <cell r="T29">
            <v>3312</v>
          </cell>
          <cell r="Y29">
            <v>2877</v>
          </cell>
          <cell r="AD29">
            <v>2858</v>
          </cell>
          <cell r="AI29">
            <v>1556</v>
          </cell>
          <cell r="AN29">
            <v>970</v>
          </cell>
          <cell r="AS29">
            <v>1574</v>
          </cell>
          <cell r="AX29">
            <v>2511</v>
          </cell>
          <cell r="BC29">
            <v>2944</v>
          </cell>
          <cell r="BH29">
            <v>3288</v>
          </cell>
          <cell r="BM29">
            <v>3445</v>
          </cell>
          <cell r="BR29">
            <v>2988</v>
          </cell>
          <cell r="BW29">
            <v>5402</v>
          </cell>
          <cell r="CB29">
            <v>5071</v>
          </cell>
          <cell r="CG29">
            <v>6671</v>
          </cell>
          <cell r="CL29">
            <v>1892.58225088166</v>
          </cell>
          <cell r="CQ29">
            <v>4648.7410265255203</v>
          </cell>
          <cell r="CV29">
            <v>6281.6090533055103</v>
          </cell>
          <cell r="CW29">
            <v>7241.1735462906399</v>
          </cell>
          <cell r="CX29">
            <v>7750.9473461416601</v>
          </cell>
          <cell r="CY29">
            <v>9849.0363181399098</v>
          </cell>
        </row>
        <row r="30">
          <cell r="A30" t="str">
            <v>Additional Income Statement Items</v>
          </cell>
        </row>
        <row r="31">
          <cell r="B31" t="str">
            <v>Organic revenues (excl. acquisitions)</v>
          </cell>
          <cell r="C31" t="str">
            <v>ORG_REV</v>
          </cell>
          <cell r="D31" t="str">
            <v>EUR</v>
          </cell>
        </row>
        <row r="32">
          <cell r="B32" t="str">
            <v>Organic sales growth (excl. acquisitions)</v>
          </cell>
          <cell r="C32" t="str">
            <v>ORG_REV_GRTH</v>
          </cell>
          <cell r="F32">
            <v>7.3382698531999996E-2</v>
          </cell>
          <cell r="G32">
            <v>0.1</v>
          </cell>
          <cell r="H32">
            <v>-2.9125267874999999E-2</v>
          </cell>
          <cell r="I32">
            <v>7.7589378279999998E-3</v>
          </cell>
          <cell r="J32">
            <v>5.4027146317999999E-2</v>
          </cell>
          <cell r="O32">
            <v>7.6981203363000003E-2</v>
          </cell>
          <cell r="T32">
            <v>0.15283868327200001</v>
          </cell>
          <cell r="Y32">
            <v>-7.8865953240000002E-3</v>
          </cell>
          <cell r="AD32">
            <v>0.105871226644</v>
          </cell>
          <cell r="AI32">
            <v>-1.0239223391E-2</v>
          </cell>
          <cell r="AN32">
            <v>6.8422773340999998E-2</v>
          </cell>
          <cell r="AS32">
            <v>6.3844203532000002E-2</v>
          </cell>
          <cell r="AX32">
            <v>0.14832681973600001</v>
          </cell>
          <cell r="BC32">
            <v>5.5409375959000001E-2</v>
          </cell>
          <cell r="BH32">
            <v>-1.1938752029999999E-3</v>
          </cell>
          <cell r="BM32">
            <v>-4.2112934239999997E-3</v>
          </cell>
          <cell r="BR32">
            <v>-1.0771699955E-2</v>
          </cell>
          <cell r="BW32">
            <v>-4.0067767662000001E-2</v>
          </cell>
          <cell r="CB32">
            <v>2.3440823582E-2</v>
          </cell>
          <cell r="CG32">
            <v>1.5760045059999998E-2</v>
          </cell>
          <cell r="CL32">
            <v>-0.37918576992399999</v>
          </cell>
          <cell r="CQ32">
            <v>0.27441940737699999</v>
          </cell>
          <cell r="CR32"/>
          <cell r="CS32"/>
          <cell r="CT32"/>
          <cell r="CU32"/>
          <cell r="CV32">
            <v>9.6749037408000005E-2</v>
          </cell>
          <cell r="CW32">
            <v>0.108570878888</v>
          </cell>
          <cell r="CX32">
            <v>4.1972738315999999E-2</v>
          </cell>
          <cell r="CY32">
            <v>3.8956043992999997E-2</v>
          </cell>
        </row>
        <row r="33">
          <cell r="B33" t="str">
            <v>Operating lease cost</v>
          </cell>
          <cell r="C33" t="str">
            <v>LEASE_PAY</v>
          </cell>
          <cell r="D33" t="str">
            <v>EUR</v>
          </cell>
          <cell r="F33">
            <v>0</v>
          </cell>
          <cell r="G33">
            <v>0</v>
          </cell>
          <cell r="H33">
            <v>0</v>
          </cell>
          <cell r="I33">
            <v>0</v>
          </cell>
          <cell r="J33">
            <v>0</v>
          </cell>
          <cell r="K33">
            <v>0</v>
          </cell>
          <cell r="L33">
            <v>0</v>
          </cell>
          <cell r="M33">
            <v>0</v>
          </cell>
          <cell r="N33">
            <v>0</v>
          </cell>
          <cell r="O33">
            <v>0</v>
          </cell>
          <cell r="P33">
            <v>0</v>
          </cell>
          <cell r="Q33">
            <v>0</v>
          </cell>
          <cell r="R33">
            <v>0</v>
          </cell>
          <cell r="T33">
            <v>0</v>
          </cell>
          <cell r="Y33">
            <v>0</v>
          </cell>
        </row>
        <row r="34">
          <cell r="B34" t="str">
            <v>Lease payments (deemed interest portion)</v>
          </cell>
          <cell r="C34" t="str">
            <v>LEASE_DEEM_INT</v>
          </cell>
          <cell r="D34" t="str">
            <v>EUR</v>
          </cell>
        </row>
        <row r="35">
          <cell r="B35" t="str">
            <v>Lease payments (deemed depreciation portion)</v>
          </cell>
          <cell r="C35" t="str">
            <v>LEASE_DEEM_DEPR</v>
          </cell>
          <cell r="D35" t="str">
            <v>EUR</v>
          </cell>
        </row>
        <row r="36">
          <cell r="B36" t="str">
            <v>Gross interest charge</v>
          </cell>
          <cell r="C36" t="str">
            <v>NET_INT_CH</v>
          </cell>
          <cell r="D36" t="str">
            <v>EUR</v>
          </cell>
          <cell r="K36">
            <v>0</v>
          </cell>
          <cell r="L36">
            <v>0</v>
          </cell>
          <cell r="M36">
            <v>0</v>
          </cell>
          <cell r="N36">
            <v>0</v>
          </cell>
          <cell r="P36">
            <v>0</v>
          </cell>
          <cell r="Q36">
            <v>0</v>
          </cell>
          <cell r="R36">
            <v>0</v>
          </cell>
        </row>
        <row r="37">
          <cell r="B37" t="str">
            <v>Income from associates (operating)</v>
          </cell>
          <cell r="C37" t="str">
            <v>ASSOCIATE_OP</v>
          </cell>
          <cell r="D37" t="str">
            <v>EUR</v>
          </cell>
          <cell r="F37">
            <v>0</v>
          </cell>
          <cell r="G37">
            <v>0</v>
          </cell>
          <cell r="H37">
            <v>0</v>
          </cell>
          <cell r="I37">
            <v>0</v>
          </cell>
          <cell r="J37">
            <v>0</v>
          </cell>
          <cell r="K37">
            <v>0</v>
          </cell>
          <cell r="L37">
            <v>0</v>
          </cell>
          <cell r="M37">
            <v>0</v>
          </cell>
          <cell r="N37">
            <v>0</v>
          </cell>
          <cell r="O37">
            <v>0</v>
          </cell>
          <cell r="P37">
            <v>0</v>
          </cell>
          <cell r="Q37">
            <v>0</v>
          </cell>
          <cell r="R37">
            <v>0</v>
          </cell>
          <cell r="T37">
            <v>0</v>
          </cell>
          <cell r="Y37">
            <v>0</v>
          </cell>
        </row>
        <row r="38">
          <cell r="B38" t="str">
            <v>Goodwill amortization</v>
          </cell>
          <cell r="C38" t="str">
            <v>GW_AMORT</v>
          </cell>
          <cell r="D38" t="str">
            <v>EUR</v>
          </cell>
        </row>
        <row r="39">
          <cell r="B39" t="str">
            <v>Other intangible amortization</v>
          </cell>
          <cell r="C39" t="str">
            <v>OTH_INT_AMORT</v>
          </cell>
          <cell r="D39" t="str">
            <v>EUR</v>
          </cell>
          <cell r="F39">
            <v>0</v>
          </cell>
          <cell r="G39">
            <v>0</v>
          </cell>
          <cell r="H39">
            <v>0</v>
          </cell>
          <cell r="I39">
            <v>0</v>
          </cell>
          <cell r="J39">
            <v>0</v>
          </cell>
          <cell r="K39">
            <v>0</v>
          </cell>
          <cell r="L39">
            <v>0</v>
          </cell>
          <cell r="M39">
            <v>0</v>
          </cell>
          <cell r="N39">
            <v>0</v>
          </cell>
          <cell r="O39">
            <v>0</v>
          </cell>
          <cell r="P39">
            <v>0</v>
          </cell>
          <cell r="Q39">
            <v>0</v>
          </cell>
          <cell r="R39">
            <v>0</v>
          </cell>
          <cell r="T39">
            <v>0</v>
          </cell>
          <cell r="Y39">
            <v>0</v>
          </cell>
        </row>
        <row r="40">
          <cell r="B40" t="str">
            <v>Depreciation ROU assets   (applicable to IFRS cos.)</v>
          </cell>
          <cell r="C40" t="str">
            <v>DEPR_ROU_ASSETS</v>
          </cell>
          <cell r="D40" t="str">
            <v>EUR</v>
          </cell>
        </row>
        <row r="41">
          <cell r="B41" t="str">
            <v>Lease interest charge  (applicable to IFRS cos.)</v>
          </cell>
          <cell r="C41" t="str">
            <v>LEASE_INT_CHG</v>
          </cell>
          <cell r="D41" t="str">
            <v>EUR</v>
          </cell>
        </row>
        <row r="42">
          <cell r="B42" t="str">
            <v>Lease standard adopted (US GAAP ASC 842/ IFRS 16)</v>
          </cell>
          <cell r="C42" t="str">
            <v>LEASE_ADOPT</v>
          </cell>
        </row>
        <row r="43">
          <cell r="A43" t="str">
            <v>Balance Sheet</v>
          </cell>
        </row>
        <row r="44">
          <cell r="B44" t="str">
            <v>Cash &amp; cash equivalents</v>
          </cell>
          <cell r="C44" t="str">
            <v>CASH_EQ</v>
          </cell>
          <cell r="D44" t="str">
            <v>EUR</v>
          </cell>
          <cell r="F44">
            <v>7922</v>
          </cell>
          <cell r="G44">
            <v>8033</v>
          </cell>
          <cell r="H44">
            <v>6200</v>
          </cell>
          <cell r="I44">
            <v>7872</v>
          </cell>
          <cell r="J44">
            <v>9184</v>
          </cell>
          <cell r="K44">
            <v>0</v>
          </cell>
          <cell r="L44">
            <v>0</v>
          </cell>
          <cell r="M44">
            <v>0</v>
          </cell>
          <cell r="N44">
            <v>0</v>
          </cell>
          <cell r="O44">
            <v>10586</v>
          </cell>
          <cell r="P44">
            <v>0</v>
          </cell>
          <cell r="Q44">
            <v>0</v>
          </cell>
          <cell r="R44">
            <v>0</v>
          </cell>
          <cell r="T44">
            <v>8143</v>
          </cell>
          <cell r="Y44">
            <v>7549</v>
          </cell>
          <cell r="AD44">
            <v>6745</v>
          </cell>
          <cell r="AI44">
            <v>7038</v>
          </cell>
          <cell r="AN44">
            <v>5030</v>
          </cell>
          <cell r="AS44">
            <v>5284</v>
          </cell>
          <cell r="AX44">
            <v>8756</v>
          </cell>
          <cell r="BC44">
            <v>7765</v>
          </cell>
          <cell r="BH44">
            <v>7271</v>
          </cell>
          <cell r="BM44">
            <v>7489</v>
          </cell>
          <cell r="BR44">
            <v>10143</v>
          </cell>
          <cell r="BW44">
            <v>12016</v>
          </cell>
          <cell r="CB44">
            <v>9413</v>
          </cell>
          <cell r="CG44">
            <v>9314</v>
          </cell>
          <cell r="CL44">
            <v>91.212041119028001</v>
          </cell>
          <cell r="CQ44">
            <v>2627.4501995386499</v>
          </cell>
          <cell r="CV44">
            <v>8983.0544071775203</v>
          </cell>
          <cell r="CW44">
            <v>10460.6398959781</v>
          </cell>
          <cell r="CX44">
            <v>9431.0718361744803</v>
          </cell>
          <cell r="CY44">
            <v>11635.929546715601</v>
          </cell>
        </row>
        <row r="45">
          <cell r="B45" t="str">
            <v>Accounts receivable</v>
          </cell>
          <cell r="C45" t="str">
            <v>DEBTORS</v>
          </cell>
          <cell r="D45" t="str">
            <v>EUR</v>
          </cell>
          <cell r="F45">
            <v>4118</v>
          </cell>
          <cell r="G45">
            <v>5183</v>
          </cell>
          <cell r="H45">
            <v>4114</v>
          </cell>
          <cell r="I45">
            <v>4001</v>
          </cell>
          <cell r="J45">
            <v>4406</v>
          </cell>
          <cell r="O45">
            <v>4802</v>
          </cell>
          <cell r="T45">
            <v>4852</v>
          </cell>
          <cell r="Y45">
            <v>4639</v>
          </cell>
          <cell r="AD45">
            <v>5267</v>
          </cell>
          <cell r="AI45">
            <v>5587</v>
          </cell>
          <cell r="AN45">
            <v>6632</v>
          </cell>
          <cell r="AS45">
            <v>6394</v>
          </cell>
          <cell r="AX45">
            <v>6788</v>
          </cell>
          <cell r="BC45">
            <v>7239</v>
          </cell>
          <cell r="BH45">
            <v>6798</v>
          </cell>
          <cell r="BM45">
            <v>7877</v>
          </cell>
          <cell r="BR45">
            <v>8101</v>
          </cell>
          <cell r="BW45">
            <v>8358</v>
          </cell>
          <cell r="CB45">
            <v>6078</v>
          </cell>
          <cell r="CG45">
            <v>5674</v>
          </cell>
          <cell r="CL45">
            <v>6939.73700375098</v>
          </cell>
          <cell r="CQ45">
            <v>8411.4762998948299</v>
          </cell>
          <cell r="CV45">
            <v>6748.5630650030998</v>
          </cell>
          <cell r="CW45">
            <v>7373.8579854242898</v>
          </cell>
          <cell r="CX45">
            <v>7730.2737222060696</v>
          </cell>
          <cell r="CY45">
            <v>7986.9537210345798</v>
          </cell>
        </row>
        <row r="46">
          <cell r="B46" t="str">
            <v>Inventory</v>
          </cell>
          <cell r="C46" t="str">
            <v>STOCKS</v>
          </cell>
          <cell r="D46" t="str">
            <v>EUR</v>
          </cell>
          <cell r="F46">
            <v>2081</v>
          </cell>
          <cell r="G46">
            <v>2469</v>
          </cell>
          <cell r="H46">
            <v>2700</v>
          </cell>
          <cell r="I46">
            <v>3279</v>
          </cell>
          <cell r="J46">
            <v>3075</v>
          </cell>
          <cell r="K46">
            <v>0</v>
          </cell>
          <cell r="L46">
            <v>0</v>
          </cell>
          <cell r="M46">
            <v>0</v>
          </cell>
          <cell r="N46">
            <v>0</v>
          </cell>
          <cell r="O46">
            <v>15425</v>
          </cell>
          <cell r="P46">
            <v>0</v>
          </cell>
          <cell r="Q46">
            <v>0</v>
          </cell>
          <cell r="R46">
            <v>0</v>
          </cell>
          <cell r="T46">
            <v>16892</v>
          </cell>
          <cell r="Y46">
            <v>18906</v>
          </cell>
          <cell r="AD46">
            <v>19452</v>
          </cell>
          <cell r="AI46">
            <v>21577</v>
          </cell>
          <cell r="AN46">
            <v>20862</v>
          </cell>
          <cell r="AS46">
            <v>22563</v>
          </cell>
          <cell r="AX46">
            <v>23216</v>
          </cell>
          <cell r="BC46">
            <v>25060</v>
          </cell>
          <cell r="BH46">
            <v>25355</v>
          </cell>
          <cell r="BM46">
            <v>29051</v>
          </cell>
          <cell r="BR46">
            <v>29688</v>
          </cell>
          <cell r="BW46">
            <v>31464</v>
          </cell>
          <cell r="CB46">
            <v>31891</v>
          </cell>
          <cell r="CG46">
            <v>31550</v>
          </cell>
          <cell r="CL46">
            <v>24175.811405345499</v>
          </cell>
          <cell r="CQ46">
            <v>27275.5025999483</v>
          </cell>
          <cell r="CV46">
            <v>28699.456765074901</v>
          </cell>
          <cell r="CW46">
            <v>31358.6338908117</v>
          </cell>
          <cell r="CX46">
            <v>32874.354782745999</v>
          </cell>
          <cell r="CY46">
            <v>33965.931827797198</v>
          </cell>
        </row>
        <row r="47">
          <cell r="B47" t="str">
            <v>Other current assets</v>
          </cell>
          <cell r="C47" t="str">
            <v>OTH_CUR_ASS</v>
          </cell>
          <cell r="D47" t="str">
            <v>EUR</v>
          </cell>
          <cell r="F47">
            <v>3278</v>
          </cell>
          <cell r="G47">
            <v>3378</v>
          </cell>
          <cell r="H47">
            <v>6221</v>
          </cell>
          <cell r="I47">
            <v>11231</v>
          </cell>
          <cell r="J47">
            <v>12056</v>
          </cell>
          <cell r="K47">
            <v>0</v>
          </cell>
          <cell r="L47">
            <v>0</v>
          </cell>
          <cell r="M47">
            <v>0</v>
          </cell>
          <cell r="N47">
            <v>0</v>
          </cell>
          <cell r="O47">
            <v>3675</v>
          </cell>
          <cell r="P47">
            <v>0</v>
          </cell>
          <cell r="Q47">
            <v>0</v>
          </cell>
          <cell r="R47">
            <v>0</v>
          </cell>
          <cell r="T47">
            <v>5170</v>
          </cell>
          <cell r="Y47">
            <v>7311</v>
          </cell>
          <cell r="AD47">
            <v>8765</v>
          </cell>
          <cell r="AI47">
            <v>8310</v>
          </cell>
          <cell r="AN47">
            <v>9466</v>
          </cell>
          <cell r="AS47">
            <v>8775</v>
          </cell>
          <cell r="AX47">
            <v>6567</v>
          </cell>
          <cell r="BC47">
            <v>7034</v>
          </cell>
          <cell r="BH47">
            <v>7508</v>
          </cell>
          <cell r="BM47">
            <v>7047</v>
          </cell>
          <cell r="BR47">
            <v>7016</v>
          </cell>
          <cell r="BW47">
            <v>7956</v>
          </cell>
          <cell r="CB47">
            <v>11252</v>
          </cell>
          <cell r="CG47">
            <v>10185</v>
          </cell>
          <cell r="CL47">
            <v>10185</v>
          </cell>
          <cell r="CQ47">
            <v>10185</v>
          </cell>
          <cell r="CV47">
            <v>10185</v>
          </cell>
          <cell r="CW47">
            <v>10185</v>
          </cell>
          <cell r="CX47">
            <v>10185</v>
          </cell>
          <cell r="CY47">
            <v>10185</v>
          </cell>
        </row>
        <row r="48">
          <cell r="B48" t="str">
            <v>Total current assets</v>
          </cell>
          <cell r="C48" t="str">
            <v>CUR_ASS</v>
          </cell>
          <cell r="D48" t="str">
            <v>EUR</v>
          </cell>
          <cell r="F48">
            <v>17399</v>
          </cell>
          <cell r="G48">
            <v>19063</v>
          </cell>
          <cell r="H48">
            <v>19235</v>
          </cell>
          <cell r="I48">
            <v>26383</v>
          </cell>
          <cell r="J48">
            <v>28721</v>
          </cell>
          <cell r="K48">
            <v>0</v>
          </cell>
          <cell r="L48">
            <v>0</v>
          </cell>
          <cell r="M48">
            <v>0</v>
          </cell>
          <cell r="N48">
            <v>0</v>
          </cell>
          <cell r="O48">
            <v>34488</v>
          </cell>
          <cell r="P48">
            <v>0</v>
          </cell>
          <cell r="Q48">
            <v>0</v>
          </cell>
          <cell r="R48">
            <v>0</v>
          </cell>
          <cell r="T48">
            <v>35057</v>
          </cell>
          <cell r="Y48">
            <v>38405</v>
          </cell>
          <cell r="AD48">
            <v>40229</v>
          </cell>
          <cell r="AI48">
            <v>42512</v>
          </cell>
          <cell r="AN48">
            <v>41990</v>
          </cell>
          <cell r="AS48">
            <v>43016</v>
          </cell>
          <cell r="AX48">
            <v>45327</v>
          </cell>
          <cell r="BC48">
            <v>47098</v>
          </cell>
          <cell r="BH48">
            <v>46932</v>
          </cell>
          <cell r="BM48">
            <v>51464</v>
          </cell>
          <cell r="BR48">
            <v>54948</v>
          </cell>
          <cell r="BW48">
            <v>59794</v>
          </cell>
          <cell r="CB48">
            <v>58634</v>
          </cell>
          <cell r="CG48">
            <v>56723</v>
          </cell>
          <cell r="CL48">
            <v>41391.760450215501</v>
          </cell>
          <cell r="CQ48">
            <v>48499.429099381799</v>
          </cell>
          <cell r="CV48">
            <v>54616.074237255503</v>
          </cell>
          <cell r="CW48">
            <v>59378.131772214103</v>
          </cell>
          <cell r="CX48">
            <v>60220.700341126503</v>
          </cell>
          <cell r="CY48">
            <v>63773.815095547398</v>
          </cell>
        </row>
        <row r="49">
          <cell r="B49" t="str">
            <v>Gross fixed assets, PP&amp;E</v>
          </cell>
          <cell r="C49" t="str">
            <v>GR_FIX_ASS</v>
          </cell>
          <cell r="D49" t="str">
            <v>EUR</v>
          </cell>
          <cell r="F49">
            <v>12540</v>
          </cell>
          <cell r="G49">
            <v>16419</v>
          </cell>
          <cell r="H49">
            <v>16419</v>
          </cell>
          <cell r="I49">
            <v>19537</v>
          </cell>
          <cell r="J49">
            <v>21735</v>
          </cell>
          <cell r="O49">
            <v>23629</v>
          </cell>
          <cell r="T49">
            <v>24890</v>
          </cell>
          <cell r="Y49">
            <v>23936</v>
          </cell>
          <cell r="AD49">
            <v>22487</v>
          </cell>
          <cell r="AI49">
            <v>24104</v>
          </cell>
          <cell r="AN49">
            <v>26110</v>
          </cell>
          <cell r="AS49">
            <v>28313</v>
          </cell>
          <cell r="AX49">
            <v>31222</v>
          </cell>
          <cell r="BC49">
            <v>32535</v>
          </cell>
          <cell r="BH49">
            <v>34024</v>
          </cell>
          <cell r="BM49">
            <v>36712</v>
          </cell>
          <cell r="BR49">
            <v>36180</v>
          </cell>
          <cell r="BW49">
            <v>36753</v>
          </cell>
          <cell r="CB49">
            <v>38524.3525156428</v>
          </cell>
          <cell r="CG49">
            <v>40429.069409876502</v>
          </cell>
          <cell r="CL49">
            <v>42138.869135400397</v>
          </cell>
          <cell r="CQ49">
            <v>43848.668860924401</v>
          </cell>
          <cell r="CV49">
            <v>45985.918517829297</v>
          </cell>
          <cell r="CW49">
            <v>48336.893140424698</v>
          </cell>
          <cell r="CX49">
            <v>50901.592728710697</v>
          </cell>
          <cell r="CY49">
            <v>53680.017282687098</v>
          </cell>
        </row>
        <row r="50">
          <cell r="B50" t="str">
            <v>Accumulated depreciation</v>
          </cell>
          <cell r="C50" t="str">
            <v>ACC_DDA</v>
          </cell>
          <cell r="D50" t="str">
            <v>EUR</v>
          </cell>
          <cell r="F50">
            <v>-4420</v>
          </cell>
          <cell r="G50">
            <v>-6369</v>
          </cell>
          <cell r="H50">
            <v>-5910</v>
          </cell>
          <cell r="I50">
            <v>-8089</v>
          </cell>
          <cell r="J50">
            <v>-8830</v>
          </cell>
          <cell r="O50">
            <v>-9678</v>
          </cell>
          <cell r="T50">
            <v>-10575</v>
          </cell>
          <cell r="Y50">
            <v>-10447</v>
          </cell>
          <cell r="AD50">
            <v>-10244</v>
          </cell>
          <cell r="AI50">
            <v>-11518</v>
          </cell>
          <cell r="AN50">
            <v>-12606</v>
          </cell>
          <cell r="AS50">
            <v>-14093</v>
          </cell>
          <cell r="AX50">
            <v>-15954</v>
          </cell>
          <cell r="BC50">
            <v>-16610</v>
          </cell>
          <cell r="BH50">
            <v>-17636</v>
          </cell>
          <cell r="BM50">
            <v>-19519</v>
          </cell>
          <cell r="BR50">
            <v>-19262</v>
          </cell>
          <cell r="BW50">
            <v>-20140</v>
          </cell>
          <cell r="CB50">
            <v>-21748.3525156428</v>
          </cell>
          <cell r="CG50">
            <v>-23133.069409876502</v>
          </cell>
          <cell r="CL50">
            <v>-24972.269135400398</v>
          </cell>
          <cell r="CQ50">
            <v>-26798.528860924402</v>
          </cell>
          <cell r="CV50">
            <v>-28640.5925178293</v>
          </cell>
          <cell r="CW50">
            <v>-30525.899740424698</v>
          </cell>
          <cell r="CX50">
            <v>-32471.498668710701</v>
          </cell>
          <cell r="CY50">
            <v>-34492.732628687103</v>
          </cell>
        </row>
        <row r="51">
          <cell r="B51" t="str">
            <v>Net PP&amp;E</v>
          </cell>
          <cell r="C51" t="str">
            <v>NET_FIX_ASS</v>
          </cell>
          <cell r="D51" t="str">
            <v>EUR</v>
          </cell>
          <cell r="F51">
            <v>8120</v>
          </cell>
          <cell r="G51">
            <v>10050</v>
          </cell>
          <cell r="H51">
            <v>10509</v>
          </cell>
          <cell r="I51">
            <v>11448</v>
          </cell>
          <cell r="J51">
            <v>12905</v>
          </cell>
          <cell r="K51">
            <v>0</v>
          </cell>
          <cell r="L51">
            <v>0</v>
          </cell>
          <cell r="M51">
            <v>0</v>
          </cell>
          <cell r="N51">
            <v>0</v>
          </cell>
          <cell r="O51">
            <v>13951</v>
          </cell>
          <cell r="P51">
            <v>0</v>
          </cell>
          <cell r="Q51">
            <v>0</v>
          </cell>
          <cell r="R51">
            <v>0</v>
          </cell>
          <cell r="T51">
            <v>14315</v>
          </cell>
          <cell r="Y51">
            <v>13489</v>
          </cell>
          <cell r="AD51">
            <v>12243</v>
          </cell>
          <cell r="AI51">
            <v>12586</v>
          </cell>
          <cell r="AN51">
            <v>13504</v>
          </cell>
          <cell r="AS51">
            <v>14220</v>
          </cell>
          <cell r="AX51">
            <v>15268</v>
          </cell>
          <cell r="BC51">
            <v>15925</v>
          </cell>
          <cell r="BH51">
            <v>16388</v>
          </cell>
          <cell r="BM51">
            <v>17193</v>
          </cell>
          <cell r="BR51">
            <v>16918</v>
          </cell>
          <cell r="BW51">
            <v>16613</v>
          </cell>
          <cell r="CB51">
            <v>16776</v>
          </cell>
          <cell r="CG51">
            <v>17296</v>
          </cell>
          <cell r="CL51">
            <v>17166.599999999999</v>
          </cell>
          <cell r="CQ51">
            <v>17050.14</v>
          </cell>
          <cell r="CV51">
            <v>17345.326000000001</v>
          </cell>
          <cell r="CW51">
            <v>17810.993399999999</v>
          </cell>
          <cell r="CX51">
            <v>18430.094059999999</v>
          </cell>
          <cell r="CY51">
            <v>19187.284653999999</v>
          </cell>
        </row>
        <row r="52">
          <cell r="B52" t="str">
            <v>Gross intangibles</v>
          </cell>
          <cell r="C52" t="str">
            <v>GR_INTANG</v>
          </cell>
          <cell r="D52" t="str">
            <v>EUR</v>
          </cell>
          <cell r="F52">
            <v>8747</v>
          </cell>
          <cell r="G52">
            <v>12641</v>
          </cell>
          <cell r="H52">
            <v>12641</v>
          </cell>
          <cell r="I52">
            <v>13360</v>
          </cell>
          <cell r="J52">
            <v>11616</v>
          </cell>
          <cell r="K52">
            <v>0</v>
          </cell>
          <cell r="L52">
            <v>0</v>
          </cell>
          <cell r="M52">
            <v>0</v>
          </cell>
          <cell r="N52">
            <v>0</v>
          </cell>
          <cell r="O52">
            <v>12795</v>
          </cell>
          <cell r="P52">
            <v>0</v>
          </cell>
          <cell r="Q52">
            <v>0</v>
          </cell>
          <cell r="R52">
            <v>0</v>
          </cell>
          <cell r="T52">
            <v>12735</v>
          </cell>
          <cell r="Y52">
            <v>12910</v>
          </cell>
          <cell r="AD52">
            <v>13373</v>
          </cell>
          <cell r="AI52">
            <v>13605</v>
          </cell>
          <cell r="AN52">
            <v>14023</v>
          </cell>
          <cell r="AS52">
            <v>15871</v>
          </cell>
          <cell r="AX52">
            <v>16868</v>
          </cell>
          <cell r="BC52">
            <v>17439</v>
          </cell>
          <cell r="BH52">
            <v>16849</v>
          </cell>
          <cell r="BM52">
            <v>17056</v>
          </cell>
          <cell r="BR52">
            <v>16768</v>
          </cell>
          <cell r="BW52">
            <v>16418</v>
          </cell>
          <cell r="CB52">
            <v>21719</v>
          </cell>
          <cell r="CG52">
            <v>22056</v>
          </cell>
          <cell r="CL52">
            <v>21214.1308645996</v>
          </cell>
          <cell r="CQ52">
            <v>21504.331139075599</v>
          </cell>
          <cell r="CV52">
            <v>21867.081482170699</v>
          </cell>
          <cell r="CW52">
            <v>22266.106859575299</v>
          </cell>
          <cell r="CX52">
            <v>22701.407271289299</v>
          </cell>
          <cell r="CY52">
            <v>23172.982717312902</v>
          </cell>
        </row>
        <row r="53">
          <cell r="B53" t="str">
            <v>Accumulated amortization</v>
          </cell>
          <cell r="C53" t="str">
            <v>ACC_AMORT</v>
          </cell>
          <cell r="D53" t="str">
            <v>EUR</v>
          </cell>
          <cell r="F53">
            <v>-582</v>
          </cell>
          <cell r="G53">
            <v>-2053</v>
          </cell>
          <cell r="H53">
            <v>-2852</v>
          </cell>
          <cell r="I53">
            <v>-3666</v>
          </cell>
          <cell r="J53">
            <v>-1608</v>
          </cell>
          <cell r="O53">
            <v>-1743</v>
          </cell>
          <cell r="T53">
            <v>-1880</v>
          </cell>
          <cell r="Y53">
            <v>-2078</v>
          </cell>
          <cell r="AD53">
            <v>-2202</v>
          </cell>
          <cell r="AI53">
            <v>-2545</v>
          </cell>
          <cell r="AN53">
            <v>-2724</v>
          </cell>
          <cell r="AS53">
            <v>-3085</v>
          </cell>
          <cell r="AX53">
            <v>-3439</v>
          </cell>
          <cell r="BC53">
            <v>-3786</v>
          </cell>
          <cell r="BH53">
            <v>-4091</v>
          </cell>
          <cell r="BM53">
            <v>-4501</v>
          </cell>
          <cell r="BR53">
            <v>-4700</v>
          </cell>
          <cell r="BW53">
            <v>-4789</v>
          </cell>
          <cell r="CB53">
            <v>-5333.5740970255001</v>
          </cell>
          <cell r="CC53">
            <v>-5936.0274100077904</v>
          </cell>
          <cell r="CD53">
            <v>-6331.50472672464</v>
          </cell>
          <cell r="CE53">
            <v>-6810.8525860040099</v>
          </cell>
          <cell r="CF53">
            <v>-7335.2837013721901</v>
          </cell>
          <cell r="CG53">
            <v>-5936.0274100077904</v>
          </cell>
          <cell r="CH53">
            <v>-8509.0264021224993</v>
          </cell>
          <cell r="CI53">
            <v>-9129.6929066762696</v>
          </cell>
          <cell r="CL53">
            <v>-6331.50472672464</v>
          </cell>
          <cell r="CQ53">
            <v>-6810.8525860040099</v>
          </cell>
          <cell r="CV53">
            <v>-7335.2837013721901</v>
          </cell>
          <cell r="CW53">
            <v>-7908.3065109116997</v>
          </cell>
          <cell r="CX53">
            <v>-8509.0264021224993</v>
          </cell>
          <cell r="CY53">
            <v>-9129.6929066762696</v>
          </cell>
        </row>
        <row r="54">
          <cell r="B54" t="str">
            <v>Net intangible assets</v>
          </cell>
          <cell r="C54" t="str">
            <v>NET_INTANG</v>
          </cell>
          <cell r="D54" t="str">
            <v>EUR</v>
          </cell>
          <cell r="F54">
            <v>8165</v>
          </cell>
          <cell r="G54">
            <v>10588</v>
          </cell>
          <cell r="H54">
            <v>9789</v>
          </cell>
          <cell r="I54">
            <v>9694</v>
          </cell>
          <cell r="J54">
            <v>10008</v>
          </cell>
          <cell r="K54">
            <v>0</v>
          </cell>
          <cell r="L54">
            <v>0</v>
          </cell>
          <cell r="M54">
            <v>0</v>
          </cell>
          <cell r="N54">
            <v>0</v>
          </cell>
          <cell r="O54">
            <v>11052</v>
          </cell>
          <cell r="P54">
            <v>0</v>
          </cell>
          <cell r="Q54">
            <v>0</v>
          </cell>
          <cell r="R54">
            <v>0</v>
          </cell>
          <cell r="T54">
            <v>10855</v>
          </cell>
          <cell r="Y54">
            <v>10832</v>
          </cell>
          <cell r="AD54">
            <v>11171</v>
          </cell>
          <cell r="AI54">
            <v>11060</v>
          </cell>
          <cell r="AN54">
            <v>11299</v>
          </cell>
          <cell r="AS54">
            <v>12786</v>
          </cell>
          <cell r="AX54">
            <v>13429</v>
          </cell>
          <cell r="BC54">
            <v>13653</v>
          </cell>
          <cell r="BH54">
            <v>12758</v>
          </cell>
          <cell r="BM54">
            <v>12555</v>
          </cell>
          <cell r="BR54">
            <v>12068</v>
          </cell>
          <cell r="BW54">
            <v>11629</v>
          </cell>
          <cell r="CB54">
            <v>16726</v>
          </cell>
          <cell r="CG54">
            <v>16591</v>
          </cell>
          <cell r="CL54">
            <v>16595.522683283099</v>
          </cell>
          <cell r="CQ54">
            <v>16516.1748240038</v>
          </cell>
          <cell r="CV54">
            <v>16491.7437086356</v>
          </cell>
          <cell r="CW54">
            <v>16468.720899096101</v>
          </cell>
          <cell r="CX54">
            <v>16468.001007885301</v>
          </cell>
          <cell r="CY54">
            <v>16497.334503331502</v>
          </cell>
        </row>
        <row r="55">
          <cell r="B55" t="str">
            <v>Equity method investments</v>
          </cell>
          <cell r="C55" t="str">
            <v>FIX_ASS_INV</v>
          </cell>
          <cell r="D55" t="str">
            <v>EUR</v>
          </cell>
          <cell r="F55">
            <v>1318</v>
          </cell>
          <cell r="G55">
            <v>1252</v>
          </cell>
          <cell r="H55">
            <v>1333</v>
          </cell>
          <cell r="I55">
            <v>1640</v>
          </cell>
          <cell r="J55">
            <v>1738</v>
          </cell>
          <cell r="K55">
            <v>0</v>
          </cell>
          <cell r="L55">
            <v>0</v>
          </cell>
          <cell r="M55">
            <v>0</v>
          </cell>
          <cell r="N55">
            <v>0</v>
          </cell>
          <cell r="O55">
            <v>1908</v>
          </cell>
          <cell r="P55">
            <v>0</v>
          </cell>
          <cell r="Q55">
            <v>0</v>
          </cell>
          <cell r="R55">
            <v>0</v>
          </cell>
          <cell r="T55">
            <v>2095</v>
          </cell>
          <cell r="Y55">
            <v>2238</v>
          </cell>
          <cell r="AD55">
            <v>2356</v>
          </cell>
          <cell r="AI55">
            <v>2514</v>
          </cell>
          <cell r="AN55">
            <v>2451</v>
          </cell>
          <cell r="AS55">
            <v>2677</v>
          </cell>
          <cell r="AX55">
            <v>2662</v>
          </cell>
          <cell r="BC55">
            <v>2902</v>
          </cell>
          <cell r="BH55">
            <v>3391</v>
          </cell>
          <cell r="BM55">
            <v>1326</v>
          </cell>
          <cell r="BR55">
            <v>1608</v>
          </cell>
          <cell r="BW55">
            <v>1678</v>
          </cell>
          <cell r="CB55">
            <v>1693</v>
          </cell>
          <cell r="CG55">
            <v>1626</v>
          </cell>
          <cell r="CL55">
            <v>1935.54784073785</v>
          </cell>
          <cell r="CQ55">
            <v>2250.4558350975799</v>
          </cell>
          <cell r="CV55">
            <v>2571.6343613967401</v>
          </cell>
          <cell r="CW55">
            <v>2832.73176368757</v>
          </cell>
          <cell r="CX55">
            <v>3106.8840360929398</v>
          </cell>
          <cell r="CY55">
            <v>3394.74392211858</v>
          </cell>
        </row>
        <row r="56">
          <cell r="B56" t="str">
            <v>Investments in securities</v>
          </cell>
          <cell r="C56" t="str">
            <v>INV_SECUR</v>
          </cell>
          <cell r="D56" t="str">
            <v>EUR</v>
          </cell>
          <cell r="F56">
            <v>3291</v>
          </cell>
          <cell r="G56">
            <v>3474</v>
          </cell>
          <cell r="H56">
            <v>3542</v>
          </cell>
          <cell r="I56">
            <v>2489</v>
          </cell>
          <cell r="J56">
            <v>2352</v>
          </cell>
          <cell r="K56">
            <v>0</v>
          </cell>
          <cell r="L56">
            <v>0</v>
          </cell>
          <cell r="M56">
            <v>0</v>
          </cell>
          <cell r="N56">
            <v>0</v>
          </cell>
          <cell r="O56">
            <v>1938</v>
          </cell>
          <cell r="P56">
            <v>0</v>
          </cell>
          <cell r="Q56">
            <v>0</v>
          </cell>
          <cell r="R56">
            <v>0</v>
          </cell>
          <cell r="T56">
            <v>1803</v>
          </cell>
          <cell r="Y56">
            <v>1649</v>
          </cell>
          <cell r="AD56">
            <v>1799</v>
          </cell>
          <cell r="AI56">
            <v>2288</v>
          </cell>
          <cell r="AN56">
            <v>2463</v>
          </cell>
          <cell r="AS56">
            <v>2426</v>
          </cell>
          <cell r="AX56">
            <v>2115</v>
          </cell>
          <cell r="BC56">
            <v>1933</v>
          </cell>
          <cell r="BH56">
            <v>1836</v>
          </cell>
          <cell r="BM56">
            <v>2558</v>
          </cell>
          <cell r="BR56">
            <v>3660</v>
          </cell>
          <cell r="BW56">
            <v>4207</v>
          </cell>
          <cell r="CB56">
            <v>3814</v>
          </cell>
          <cell r="CG56">
            <v>4455</v>
          </cell>
          <cell r="CL56">
            <v>4455</v>
          </cell>
          <cell r="CQ56">
            <v>4455</v>
          </cell>
          <cell r="CV56">
            <v>4455</v>
          </cell>
          <cell r="CW56">
            <v>4455</v>
          </cell>
          <cell r="CX56">
            <v>4455</v>
          </cell>
          <cell r="CY56">
            <v>4455</v>
          </cell>
        </row>
        <row r="57">
          <cell r="B57" t="str">
            <v>Other long-term assets</v>
          </cell>
          <cell r="C57" t="str">
            <v>OTH_LT_ASS</v>
          </cell>
          <cell r="D57" t="str">
            <v>EUR</v>
          </cell>
          <cell r="F57">
            <v>3151</v>
          </cell>
          <cell r="G57">
            <v>4288</v>
          </cell>
          <cell r="H57">
            <v>2992</v>
          </cell>
          <cell r="I57">
            <v>2724</v>
          </cell>
          <cell r="J57">
            <v>2543</v>
          </cell>
          <cell r="K57">
            <v>0</v>
          </cell>
          <cell r="L57">
            <v>0</v>
          </cell>
          <cell r="M57">
            <v>0</v>
          </cell>
          <cell r="N57">
            <v>0</v>
          </cell>
          <cell r="O57">
            <v>7048</v>
          </cell>
          <cell r="P57">
            <v>0</v>
          </cell>
          <cell r="Q57">
            <v>0</v>
          </cell>
          <cell r="R57">
            <v>0</v>
          </cell>
          <cell r="T57">
            <v>8012</v>
          </cell>
          <cell r="Y57">
            <v>8843</v>
          </cell>
          <cell r="AD57">
            <v>8355</v>
          </cell>
          <cell r="AI57">
            <v>9344</v>
          </cell>
          <cell r="AN57">
            <v>11480</v>
          </cell>
          <cell r="AS57">
            <v>13357</v>
          </cell>
          <cell r="AX57">
            <v>13320</v>
          </cell>
          <cell r="BC57">
            <v>11800</v>
          </cell>
          <cell r="BH57">
            <v>14797</v>
          </cell>
          <cell r="BM57">
            <v>21585</v>
          </cell>
          <cell r="BR57">
            <v>21931</v>
          </cell>
          <cell r="BW57">
            <v>20016</v>
          </cell>
          <cell r="CB57">
            <v>17555</v>
          </cell>
          <cell r="CG57">
            <v>17718</v>
          </cell>
          <cell r="CL57">
            <v>11718</v>
          </cell>
          <cell r="CQ57">
            <v>11718</v>
          </cell>
          <cell r="CV57">
            <v>11718</v>
          </cell>
          <cell r="CW57">
            <v>11718</v>
          </cell>
          <cell r="CX57">
            <v>11718</v>
          </cell>
          <cell r="CY57">
            <v>11718</v>
          </cell>
        </row>
        <row r="58">
          <cell r="B58" t="str">
            <v>Total assets</v>
          </cell>
          <cell r="C58" t="str">
            <v>TOT_ASSET</v>
          </cell>
          <cell r="D58" t="str">
            <v>EUR</v>
          </cell>
          <cell r="F58">
            <v>40126</v>
          </cell>
          <cell r="G58">
            <v>47463</v>
          </cell>
          <cell r="H58">
            <v>46067</v>
          </cell>
          <cell r="I58">
            <v>52738</v>
          </cell>
          <cell r="J58">
            <v>56529</v>
          </cell>
          <cell r="O58">
            <v>68477</v>
          </cell>
          <cell r="T58">
            <v>72137</v>
          </cell>
          <cell r="Y58">
            <v>75456</v>
          </cell>
          <cell r="AD58">
            <v>76153</v>
          </cell>
          <cell r="AI58">
            <v>80304</v>
          </cell>
          <cell r="AN58">
            <v>83187</v>
          </cell>
          <cell r="AS58">
            <v>88482</v>
          </cell>
          <cell r="AX58">
            <v>92121</v>
          </cell>
          <cell r="BC58">
            <v>93311</v>
          </cell>
          <cell r="BH58">
            <v>96102</v>
          </cell>
          <cell r="BM58">
            <v>106681</v>
          </cell>
          <cell r="BR58">
            <v>111133</v>
          </cell>
          <cell r="BW58">
            <v>113937</v>
          </cell>
          <cell r="CB58">
            <v>115198</v>
          </cell>
          <cell r="CG58">
            <v>114409</v>
          </cell>
          <cell r="CL58">
            <v>93262.4309742365</v>
          </cell>
          <cell r="CQ58">
            <v>100489.199758483</v>
          </cell>
          <cell r="CV58">
            <v>107197.778307288</v>
          </cell>
          <cell r="CW58">
            <v>112663.577834998</v>
          </cell>
          <cell r="CX58">
            <v>114398.67944510499</v>
          </cell>
          <cell r="CY58">
            <v>119026.178174998</v>
          </cell>
        </row>
        <row r="59">
          <cell r="B59" t="str">
            <v>Accounts payable</v>
          </cell>
          <cell r="C59" t="str">
            <v>ACC_PAY_GQ</v>
          </cell>
          <cell r="D59" t="str">
            <v>EUR</v>
          </cell>
          <cell r="F59">
            <v>4268</v>
          </cell>
          <cell r="G59">
            <v>5466</v>
          </cell>
          <cell r="H59">
            <v>5070</v>
          </cell>
          <cell r="I59">
            <v>5117</v>
          </cell>
          <cell r="J59">
            <v>5860</v>
          </cell>
          <cell r="K59">
            <v>0</v>
          </cell>
          <cell r="L59">
            <v>0</v>
          </cell>
          <cell r="M59">
            <v>0</v>
          </cell>
          <cell r="N59">
            <v>0</v>
          </cell>
          <cell r="O59">
            <v>6634</v>
          </cell>
          <cell r="P59">
            <v>0</v>
          </cell>
          <cell r="Q59">
            <v>0</v>
          </cell>
          <cell r="R59">
            <v>0</v>
          </cell>
          <cell r="T59">
            <v>7461</v>
          </cell>
          <cell r="Y59">
            <v>7398</v>
          </cell>
          <cell r="AD59">
            <v>7824</v>
          </cell>
          <cell r="AI59">
            <v>8217</v>
          </cell>
          <cell r="AN59">
            <v>8546</v>
          </cell>
          <cell r="AS59">
            <v>9630</v>
          </cell>
          <cell r="AX59">
            <v>9921</v>
          </cell>
          <cell r="BC59">
            <v>10372</v>
          </cell>
          <cell r="BH59">
            <v>10183</v>
          </cell>
          <cell r="BM59">
            <v>11763</v>
          </cell>
          <cell r="BR59">
            <v>12532</v>
          </cell>
          <cell r="BW59">
            <v>13444</v>
          </cell>
          <cell r="CB59">
            <v>16237</v>
          </cell>
          <cell r="CG59">
            <v>14808</v>
          </cell>
          <cell r="CL59">
            <v>6245.7633033758802</v>
          </cell>
          <cell r="CQ59">
            <v>8691.8588432246597</v>
          </cell>
          <cell r="CV59">
            <v>11043.1031972778</v>
          </cell>
          <cell r="CW59">
            <v>12334.453357437</v>
          </cell>
          <cell r="CX59">
            <v>13071.1901120939</v>
          </cell>
          <cell r="CY59">
            <v>13614.125660854401</v>
          </cell>
        </row>
        <row r="60">
          <cell r="B60" t="str">
            <v>Short-term debt</v>
          </cell>
          <cell r="C60" t="str">
            <v>SHORT_T_DEBT</v>
          </cell>
          <cell r="D60" t="str">
            <v>EUR</v>
          </cell>
          <cell r="F60">
            <v>1003</v>
          </cell>
          <cell r="G60">
            <v>1462</v>
          </cell>
          <cell r="H60">
            <v>1185</v>
          </cell>
          <cell r="I60">
            <v>978</v>
          </cell>
          <cell r="J60">
            <v>720</v>
          </cell>
          <cell r="K60">
            <v>0</v>
          </cell>
          <cell r="L60">
            <v>0</v>
          </cell>
          <cell r="M60">
            <v>0</v>
          </cell>
          <cell r="N60">
            <v>0</v>
          </cell>
          <cell r="O60">
            <v>908</v>
          </cell>
          <cell r="P60">
            <v>0</v>
          </cell>
          <cell r="Q60">
            <v>0</v>
          </cell>
          <cell r="R60">
            <v>0</v>
          </cell>
          <cell r="T60">
            <v>2196</v>
          </cell>
          <cell r="Y60">
            <v>1724</v>
          </cell>
          <cell r="AD60">
            <v>1458</v>
          </cell>
          <cell r="AI60">
            <v>2429</v>
          </cell>
          <cell r="AN60">
            <v>1408</v>
          </cell>
          <cell r="AS60">
            <v>1476</v>
          </cell>
          <cell r="AX60">
            <v>1273</v>
          </cell>
          <cell r="BC60">
            <v>1645</v>
          </cell>
          <cell r="BH60">
            <v>1073</v>
          </cell>
          <cell r="BM60">
            <v>2790</v>
          </cell>
          <cell r="BR60">
            <v>1687</v>
          </cell>
          <cell r="BW60">
            <v>2212</v>
          </cell>
          <cell r="CB60">
            <v>1463</v>
          </cell>
          <cell r="CG60">
            <v>1959</v>
          </cell>
          <cell r="CL60">
            <v>1959</v>
          </cell>
          <cell r="CQ60">
            <v>1959</v>
          </cell>
          <cell r="CV60">
            <v>1959</v>
          </cell>
          <cell r="CW60">
            <v>1959</v>
          </cell>
          <cell r="CX60">
            <v>1959</v>
          </cell>
          <cell r="CY60">
            <v>1959</v>
          </cell>
        </row>
        <row r="61">
          <cell r="B61" t="str">
            <v>Current lease liabilities (op lease: US GAAP)</v>
          </cell>
          <cell r="C61" t="str">
            <v>ST_LEASE_LIAB</v>
          </cell>
          <cell r="D61" t="str">
            <v>EUR</v>
          </cell>
        </row>
        <row r="62">
          <cell r="B62" t="str">
            <v>Other current liabilities</v>
          </cell>
          <cell r="C62" t="str">
            <v>OTH_CUR_LIABS</v>
          </cell>
          <cell r="D62" t="str">
            <v>EUR</v>
          </cell>
          <cell r="F62">
            <v>8200</v>
          </cell>
          <cell r="G62">
            <v>10631</v>
          </cell>
          <cell r="H62">
            <v>10246</v>
          </cell>
          <cell r="I62">
            <v>11318</v>
          </cell>
          <cell r="J62">
            <v>13240</v>
          </cell>
          <cell r="K62">
            <v>0</v>
          </cell>
          <cell r="L62">
            <v>0</v>
          </cell>
          <cell r="M62">
            <v>0</v>
          </cell>
          <cell r="N62">
            <v>0</v>
          </cell>
          <cell r="O62">
            <v>17913</v>
          </cell>
          <cell r="P62">
            <v>0</v>
          </cell>
          <cell r="Q62">
            <v>0</v>
          </cell>
          <cell r="R62">
            <v>0</v>
          </cell>
          <cell r="T62">
            <v>21559</v>
          </cell>
          <cell r="Y62">
            <v>24946</v>
          </cell>
          <cell r="AD62">
            <v>27443</v>
          </cell>
          <cell r="AI62">
            <v>31730</v>
          </cell>
          <cell r="AN62">
            <v>33816</v>
          </cell>
          <cell r="AS62">
            <v>36396</v>
          </cell>
          <cell r="AX62">
            <v>37455</v>
          </cell>
          <cell r="BC62">
            <v>36564</v>
          </cell>
          <cell r="BH62">
            <v>36241</v>
          </cell>
          <cell r="BM62">
            <v>39224</v>
          </cell>
          <cell r="BR62">
            <v>41482</v>
          </cell>
          <cell r="BW62">
            <v>40369</v>
          </cell>
          <cell r="CB62">
            <v>42654</v>
          </cell>
          <cell r="CG62">
            <v>45607</v>
          </cell>
          <cell r="CL62">
            <v>36528.209063927599</v>
          </cell>
          <cell r="CQ62">
            <v>40207.1048555124</v>
          </cell>
          <cell r="CV62">
            <v>42184.635893569903</v>
          </cell>
          <cell r="CW62">
            <v>44316.060989092999</v>
          </cell>
          <cell r="CX62">
            <v>45530.965222289597</v>
          </cell>
          <cell r="CY62">
            <v>46405.903068663603</v>
          </cell>
        </row>
        <row r="63">
          <cell r="B63" t="str">
            <v>Total current liabilities</v>
          </cell>
          <cell r="C63" t="str">
            <v>SHORT_TERM_LIABS</v>
          </cell>
          <cell r="D63" t="str">
            <v>EUR</v>
          </cell>
          <cell r="F63">
            <v>13471</v>
          </cell>
          <cell r="G63">
            <v>17559</v>
          </cell>
          <cell r="H63">
            <v>16501</v>
          </cell>
          <cell r="I63">
            <v>17413</v>
          </cell>
          <cell r="J63">
            <v>19820</v>
          </cell>
          <cell r="O63">
            <v>25455</v>
          </cell>
          <cell r="T63">
            <v>31216</v>
          </cell>
          <cell r="Y63">
            <v>34068</v>
          </cell>
          <cell r="AD63">
            <v>36725</v>
          </cell>
          <cell r="AI63">
            <v>42376</v>
          </cell>
          <cell r="AN63">
            <v>43770</v>
          </cell>
          <cell r="AS63">
            <v>47502</v>
          </cell>
          <cell r="AX63">
            <v>48649</v>
          </cell>
          <cell r="BC63">
            <v>48581</v>
          </cell>
          <cell r="BH63">
            <v>47497</v>
          </cell>
          <cell r="BM63">
            <v>53777</v>
          </cell>
          <cell r="BR63">
            <v>55701</v>
          </cell>
          <cell r="BW63">
            <v>56025</v>
          </cell>
          <cell r="CB63">
            <v>60354</v>
          </cell>
          <cell r="CG63">
            <v>62374</v>
          </cell>
          <cell r="CL63">
            <v>44732.972367303497</v>
          </cell>
          <cell r="CQ63">
            <v>50857.963698737098</v>
          </cell>
          <cell r="CV63">
            <v>55186.739090847703</v>
          </cell>
          <cell r="CW63">
            <v>58609.514346529897</v>
          </cell>
          <cell r="CX63">
            <v>60561.155334383402</v>
          </cell>
          <cell r="CY63">
            <v>61979.028729518002</v>
          </cell>
        </row>
        <row r="64">
          <cell r="B64" t="str">
            <v>Long-term  debt</v>
          </cell>
          <cell r="C64" t="str">
            <v>LT_DEBT</v>
          </cell>
          <cell r="D64" t="str">
            <v>EUR</v>
          </cell>
          <cell r="F64">
            <v>4776</v>
          </cell>
          <cell r="G64">
            <v>5038</v>
          </cell>
          <cell r="H64">
            <v>3791</v>
          </cell>
          <cell r="I64">
            <v>3789</v>
          </cell>
          <cell r="J64">
            <v>4406</v>
          </cell>
          <cell r="K64">
            <v>0</v>
          </cell>
          <cell r="L64">
            <v>0</v>
          </cell>
          <cell r="M64">
            <v>0</v>
          </cell>
          <cell r="N64">
            <v>0</v>
          </cell>
          <cell r="O64">
            <v>4189</v>
          </cell>
          <cell r="P64">
            <v>0</v>
          </cell>
          <cell r="Q64">
            <v>0</v>
          </cell>
          <cell r="R64">
            <v>0</v>
          </cell>
          <cell r="T64">
            <v>3561</v>
          </cell>
          <cell r="Y64">
            <v>3090</v>
          </cell>
          <cell r="AD64">
            <v>3046</v>
          </cell>
          <cell r="AI64">
            <v>2867</v>
          </cell>
          <cell r="AN64">
            <v>2870</v>
          </cell>
          <cell r="AS64">
            <v>3628</v>
          </cell>
          <cell r="AX64">
            <v>3506</v>
          </cell>
          <cell r="BC64">
            <v>3956</v>
          </cell>
          <cell r="BH64">
            <v>6278</v>
          </cell>
          <cell r="BM64">
            <v>6335</v>
          </cell>
          <cell r="BR64">
            <v>8791</v>
          </cell>
          <cell r="BW64">
            <v>8984</v>
          </cell>
          <cell r="CB64">
            <v>7463</v>
          </cell>
          <cell r="CG64">
            <v>8189</v>
          </cell>
          <cell r="CL64">
            <v>8189</v>
          </cell>
          <cell r="CQ64">
            <v>7439</v>
          </cell>
          <cell r="CV64">
            <v>6439</v>
          </cell>
          <cell r="CW64">
            <v>5439</v>
          </cell>
          <cell r="CX64">
            <v>4689</v>
          </cell>
          <cell r="CY64">
            <v>5439</v>
          </cell>
        </row>
        <row r="65">
          <cell r="B65" t="str">
            <v>Non-current lease liabilities (op lease: US GAAP)</v>
          </cell>
          <cell r="C65" t="str">
            <v>LT_LEASE_LIAB</v>
          </cell>
          <cell r="D65" t="str">
            <v>EUR</v>
          </cell>
        </row>
        <row r="66">
          <cell r="B66" t="str">
            <v>Other long-term liabilities</v>
          </cell>
          <cell r="C66" t="str">
            <v>OTH_LT_CRED_GQ</v>
          </cell>
          <cell r="D66" t="str">
            <v>EUR</v>
          </cell>
          <cell r="F66">
            <v>12726</v>
          </cell>
          <cell r="G66">
            <v>15682</v>
          </cell>
          <cell r="H66">
            <v>12982</v>
          </cell>
          <cell r="I66">
            <v>14848</v>
          </cell>
          <cell r="J66">
            <v>14698</v>
          </cell>
          <cell r="K66">
            <v>0</v>
          </cell>
          <cell r="L66">
            <v>0</v>
          </cell>
          <cell r="M66">
            <v>0</v>
          </cell>
          <cell r="N66">
            <v>0</v>
          </cell>
          <cell r="O66">
            <v>26839</v>
          </cell>
          <cell r="P66">
            <v>0</v>
          </cell>
          <cell r="Q66">
            <v>0</v>
          </cell>
          <cell r="R66">
            <v>0</v>
          </cell>
          <cell r="T66">
            <v>24208</v>
          </cell>
          <cell r="Y66">
            <v>25123</v>
          </cell>
          <cell r="AD66">
            <v>25256</v>
          </cell>
          <cell r="AI66">
            <v>24420</v>
          </cell>
          <cell r="AN66">
            <v>27611</v>
          </cell>
          <cell r="AS66">
            <v>28487</v>
          </cell>
          <cell r="AX66">
            <v>29546</v>
          </cell>
          <cell r="BC66">
            <v>29720</v>
          </cell>
          <cell r="BH66">
            <v>35248</v>
          </cell>
          <cell r="BM66">
            <v>40596</v>
          </cell>
          <cell r="BR66">
            <v>42989</v>
          </cell>
          <cell r="BW66">
            <v>35577</v>
          </cell>
          <cell r="CB66">
            <v>37662</v>
          </cell>
          <cell r="CG66">
            <v>37856</v>
          </cell>
          <cell r="CL66">
            <v>32987.799386298197</v>
          </cell>
          <cell r="CQ66">
            <v>32674.5990657129</v>
          </cell>
          <cell r="CV66">
            <v>32382.771765756501</v>
          </cell>
          <cell r="CW66">
            <v>32311.030343644899</v>
          </cell>
          <cell r="CX66">
            <v>32484.064697007801</v>
          </cell>
          <cell r="CY66">
            <v>33231.383747731503</v>
          </cell>
        </row>
        <row r="67">
          <cell r="B67" t="str">
            <v>Total long-term liabilities</v>
          </cell>
          <cell r="C67" t="str">
            <v>TOT_LT_LIAB</v>
          </cell>
          <cell r="D67" t="str">
            <v>EUR</v>
          </cell>
          <cell r="F67">
            <v>17502</v>
          </cell>
          <cell r="G67">
            <v>20720</v>
          </cell>
          <cell r="H67">
            <v>16773</v>
          </cell>
          <cell r="I67">
            <v>18637</v>
          </cell>
          <cell r="J67">
            <v>19104</v>
          </cell>
          <cell r="O67">
            <v>31028</v>
          </cell>
          <cell r="T67">
            <v>27769</v>
          </cell>
          <cell r="Y67">
            <v>28213</v>
          </cell>
          <cell r="AD67">
            <v>28302</v>
          </cell>
          <cell r="AI67">
            <v>27287</v>
          </cell>
          <cell r="AN67">
            <v>30481</v>
          </cell>
          <cell r="AS67">
            <v>32115</v>
          </cell>
          <cell r="AX67">
            <v>33052</v>
          </cell>
          <cell r="BC67">
            <v>33676</v>
          </cell>
          <cell r="BH67">
            <v>41526</v>
          </cell>
          <cell r="BM67">
            <v>46931</v>
          </cell>
          <cell r="BR67">
            <v>51780</v>
          </cell>
          <cell r="BW67">
            <v>44561</v>
          </cell>
          <cell r="CB67">
            <v>45125</v>
          </cell>
          <cell r="CG67">
            <v>46045</v>
          </cell>
          <cell r="CL67">
            <v>41176.799386298197</v>
          </cell>
          <cell r="CQ67">
            <v>40113.5990657129</v>
          </cell>
          <cell r="CV67">
            <v>38821.771765756501</v>
          </cell>
          <cell r="CW67">
            <v>37750.030343644903</v>
          </cell>
          <cell r="CX67">
            <v>37173.064697007801</v>
          </cell>
          <cell r="CY67">
            <v>38670.383747731503</v>
          </cell>
        </row>
        <row r="68">
          <cell r="B68" t="str">
            <v>Total liabilities</v>
          </cell>
          <cell r="C68" t="str">
            <v>TOT_LIAB</v>
          </cell>
          <cell r="D68" t="str">
            <v>EUR</v>
          </cell>
          <cell r="F68">
            <v>30973</v>
          </cell>
          <cell r="G68">
            <v>38279</v>
          </cell>
          <cell r="H68">
            <v>33274</v>
          </cell>
          <cell r="I68">
            <v>36050</v>
          </cell>
          <cell r="J68">
            <v>38924</v>
          </cell>
          <cell r="K68">
            <v>0</v>
          </cell>
          <cell r="L68">
            <v>0</v>
          </cell>
          <cell r="M68">
            <v>0</v>
          </cell>
          <cell r="N68">
            <v>0</v>
          </cell>
          <cell r="O68">
            <v>56483</v>
          </cell>
          <cell r="P68">
            <v>0</v>
          </cell>
          <cell r="Q68">
            <v>0</v>
          </cell>
          <cell r="R68">
            <v>0</v>
          </cell>
          <cell r="T68">
            <v>58985</v>
          </cell>
          <cell r="Y68">
            <v>62281</v>
          </cell>
          <cell r="AD68">
            <v>65027</v>
          </cell>
          <cell r="AI68">
            <v>69663</v>
          </cell>
          <cell r="AN68">
            <v>74251</v>
          </cell>
          <cell r="AS68">
            <v>79617</v>
          </cell>
          <cell r="AX68">
            <v>81701</v>
          </cell>
          <cell r="BC68">
            <v>82257</v>
          </cell>
          <cell r="BH68">
            <v>89023</v>
          </cell>
          <cell r="BM68">
            <v>100708</v>
          </cell>
          <cell r="BR68">
            <v>107481</v>
          </cell>
          <cell r="BW68">
            <v>100586</v>
          </cell>
          <cell r="CB68">
            <v>105479</v>
          </cell>
          <cell r="CG68">
            <v>108419</v>
          </cell>
          <cell r="CL68">
            <v>85909.771753601701</v>
          </cell>
          <cell r="CQ68">
            <v>90971.562764450005</v>
          </cell>
          <cell r="CV68">
            <v>94008.510856604204</v>
          </cell>
          <cell r="CW68">
            <v>96359.544690174895</v>
          </cell>
          <cell r="CX68">
            <v>97734.220031391204</v>
          </cell>
          <cell r="CY68">
            <v>100649.412477249</v>
          </cell>
        </row>
        <row r="69">
          <cell r="B69" t="str">
            <v>Preferred shares</v>
          </cell>
          <cell r="C69" t="str">
            <v>PREF_SH</v>
          </cell>
          <cell r="D69" t="str">
            <v>EUR</v>
          </cell>
          <cell r="F69">
            <v>0</v>
          </cell>
          <cell r="G69">
            <v>0</v>
          </cell>
          <cell r="H69">
            <v>0</v>
          </cell>
          <cell r="I69">
            <v>0</v>
          </cell>
          <cell r="J69">
            <v>0</v>
          </cell>
          <cell r="K69">
            <v>0</v>
          </cell>
          <cell r="L69">
            <v>0</v>
          </cell>
          <cell r="M69">
            <v>0</v>
          </cell>
          <cell r="N69">
            <v>0</v>
          </cell>
          <cell r="O69">
            <v>0</v>
          </cell>
          <cell r="P69">
            <v>0</v>
          </cell>
          <cell r="Q69">
            <v>0</v>
          </cell>
          <cell r="R69">
            <v>0</v>
          </cell>
          <cell r="T69">
            <v>0</v>
          </cell>
          <cell r="Y69">
            <v>0</v>
          </cell>
        </row>
        <row r="70">
          <cell r="B70" t="str">
            <v>Total common equity</v>
          </cell>
          <cell r="C70" t="str">
            <v>ORD_SH_FUND</v>
          </cell>
          <cell r="D70" t="str">
            <v>EUR</v>
          </cell>
          <cell r="F70">
            <v>10250</v>
          </cell>
          <cell r="G70">
            <v>9877</v>
          </cell>
          <cell r="H70">
            <v>12765</v>
          </cell>
          <cell r="I70">
            <v>16149</v>
          </cell>
          <cell r="J70">
            <v>16973</v>
          </cell>
          <cell r="K70">
            <v>0</v>
          </cell>
          <cell r="L70">
            <v>0</v>
          </cell>
          <cell r="M70">
            <v>0</v>
          </cell>
          <cell r="N70">
            <v>0</v>
          </cell>
          <cell r="O70">
            <v>13726</v>
          </cell>
          <cell r="P70">
            <v>0</v>
          </cell>
          <cell r="Q70">
            <v>0</v>
          </cell>
          <cell r="R70">
            <v>0</v>
          </cell>
          <cell r="T70">
            <v>13012</v>
          </cell>
          <cell r="Y70">
            <v>13090</v>
          </cell>
          <cell r="AD70">
            <v>11022</v>
          </cell>
          <cell r="AI70">
            <v>10535</v>
          </cell>
          <cell r="AN70">
            <v>8841</v>
          </cell>
          <cell r="AS70">
            <v>8850</v>
          </cell>
          <cell r="AX70">
            <v>10403</v>
          </cell>
          <cell r="BC70">
            <v>11011</v>
          </cell>
          <cell r="BH70">
            <v>7061</v>
          </cell>
          <cell r="BM70">
            <v>5966</v>
          </cell>
          <cell r="BR70">
            <v>3657</v>
          </cell>
          <cell r="BW70">
            <v>13348</v>
          </cell>
          <cell r="CB70">
            <v>9724</v>
          </cell>
          <cell r="CG70">
            <v>5975</v>
          </cell>
          <cell r="CL70">
            <v>7327.6592206347996</v>
          </cell>
          <cell r="CQ70">
            <v>9482.6369940331697</v>
          </cell>
          <cell r="CV70">
            <v>13144.267450683599</v>
          </cell>
          <cell r="CW70">
            <v>16249.033144822901</v>
          </cell>
          <cell r="CX70">
            <v>16599.459413713499</v>
          </cell>
          <cell r="CY70">
            <v>18301.765697748</v>
          </cell>
        </row>
        <row r="71">
          <cell r="B71" t="str">
            <v>Minority interest</v>
          </cell>
          <cell r="C71" t="str">
            <v>MINORITIES</v>
          </cell>
          <cell r="D71" t="str">
            <v>EUR</v>
          </cell>
          <cell r="F71">
            <v>221</v>
          </cell>
          <cell r="G71">
            <v>559</v>
          </cell>
          <cell r="H71">
            <v>1361</v>
          </cell>
          <cell r="I71">
            <v>2179</v>
          </cell>
          <cell r="J71">
            <v>2370</v>
          </cell>
          <cell r="K71">
            <v>0</v>
          </cell>
          <cell r="L71">
            <v>0</v>
          </cell>
          <cell r="M71">
            <v>0</v>
          </cell>
          <cell r="N71">
            <v>0</v>
          </cell>
          <cell r="O71">
            <v>176</v>
          </cell>
          <cell r="P71">
            <v>0</v>
          </cell>
          <cell r="Q71">
            <v>0</v>
          </cell>
          <cell r="R71">
            <v>0</v>
          </cell>
          <cell r="T71">
            <v>140</v>
          </cell>
          <cell r="Y71">
            <v>85</v>
          </cell>
          <cell r="AD71">
            <v>104</v>
          </cell>
          <cell r="AI71">
            <v>106</v>
          </cell>
          <cell r="AN71">
            <v>95</v>
          </cell>
          <cell r="AS71">
            <v>15</v>
          </cell>
          <cell r="AX71">
            <v>17</v>
          </cell>
          <cell r="BC71">
            <v>43</v>
          </cell>
          <cell r="BH71">
            <v>18</v>
          </cell>
          <cell r="BM71">
            <v>7</v>
          </cell>
          <cell r="BR71">
            <v>-5</v>
          </cell>
          <cell r="BW71">
            <v>3</v>
          </cell>
          <cell r="CB71">
            <v>-5</v>
          </cell>
          <cell r="CG71">
            <v>15</v>
          </cell>
          <cell r="CL71">
            <v>25</v>
          </cell>
          <cell r="CQ71">
            <v>35</v>
          </cell>
          <cell r="CV71">
            <v>45</v>
          </cell>
          <cell r="CW71">
            <v>55</v>
          </cell>
          <cell r="CX71">
            <v>65</v>
          </cell>
          <cell r="CY71">
            <v>75</v>
          </cell>
        </row>
        <row r="72">
          <cell r="B72" t="str">
            <v>Total shareholders' equity</v>
          </cell>
          <cell r="C72" t="str">
            <v>EQ</v>
          </cell>
          <cell r="D72" t="str">
            <v>EUR</v>
          </cell>
          <cell r="F72">
            <v>10471</v>
          </cell>
          <cell r="G72">
            <v>10436</v>
          </cell>
          <cell r="H72">
            <v>14126</v>
          </cell>
          <cell r="I72">
            <v>18328</v>
          </cell>
          <cell r="J72">
            <v>19343</v>
          </cell>
          <cell r="O72">
            <v>13902</v>
          </cell>
          <cell r="T72">
            <v>13152</v>
          </cell>
          <cell r="Y72">
            <v>13175</v>
          </cell>
          <cell r="AD72">
            <v>11126</v>
          </cell>
          <cell r="AI72">
            <v>10641</v>
          </cell>
          <cell r="AN72">
            <v>8936</v>
          </cell>
          <cell r="AS72">
            <v>8865</v>
          </cell>
          <cell r="AX72">
            <v>10420</v>
          </cell>
          <cell r="BC72">
            <v>11054</v>
          </cell>
          <cell r="BH72">
            <v>7079</v>
          </cell>
          <cell r="BM72">
            <v>5973</v>
          </cell>
          <cell r="BR72">
            <v>3652</v>
          </cell>
          <cell r="BW72">
            <v>13351</v>
          </cell>
          <cell r="CB72">
            <v>9719</v>
          </cell>
          <cell r="CG72">
            <v>5990</v>
          </cell>
          <cell r="CL72">
            <v>7352.6592206347996</v>
          </cell>
          <cell r="CQ72">
            <v>9517.6369940331697</v>
          </cell>
          <cell r="CV72">
            <v>13189.267450683599</v>
          </cell>
          <cell r="CW72">
            <v>16304.033144822901</v>
          </cell>
          <cell r="CX72">
            <v>16664.459413713499</v>
          </cell>
          <cell r="CY72">
            <v>18376.765697748</v>
          </cell>
        </row>
        <row r="73">
          <cell r="B73" t="str">
            <v>Total liabilities and equity</v>
          </cell>
          <cell r="C73" t="str">
            <v>TOT_LIAB_EQ</v>
          </cell>
          <cell r="D73" t="str">
            <v>EUR</v>
          </cell>
          <cell r="F73">
            <v>41444</v>
          </cell>
          <cell r="G73">
            <v>48715</v>
          </cell>
          <cell r="H73">
            <v>47400</v>
          </cell>
          <cell r="I73">
            <v>54378</v>
          </cell>
          <cell r="J73">
            <v>58267</v>
          </cell>
          <cell r="O73">
            <v>70385</v>
          </cell>
          <cell r="T73">
            <v>72137</v>
          </cell>
          <cell r="Y73">
            <v>75456</v>
          </cell>
          <cell r="AD73">
            <v>76153</v>
          </cell>
          <cell r="AI73">
            <v>80304</v>
          </cell>
          <cell r="AN73">
            <v>83187</v>
          </cell>
          <cell r="AS73">
            <v>88482</v>
          </cell>
          <cell r="AX73">
            <v>92121</v>
          </cell>
          <cell r="BC73">
            <v>93311</v>
          </cell>
          <cell r="BH73">
            <v>96102</v>
          </cell>
          <cell r="BM73">
            <v>106681</v>
          </cell>
          <cell r="BR73">
            <v>111133</v>
          </cell>
          <cell r="BW73">
            <v>113937</v>
          </cell>
          <cell r="CB73">
            <v>115198</v>
          </cell>
          <cell r="CG73">
            <v>114409</v>
          </cell>
          <cell r="CL73">
            <v>93262.4309742365</v>
          </cell>
          <cell r="CQ73">
            <v>100489.199758483</v>
          </cell>
          <cell r="CV73">
            <v>107197.778307288</v>
          </cell>
          <cell r="CW73">
            <v>112663.577834998</v>
          </cell>
          <cell r="CX73">
            <v>114398.67944510499</v>
          </cell>
          <cell r="CY73">
            <v>119026.178174998</v>
          </cell>
        </row>
        <row r="74">
          <cell r="A74" t="str">
            <v>Additional Balance Sheet Items</v>
          </cell>
        </row>
        <row r="75">
          <cell r="B75" t="str">
            <v>Total US$ debt (in US$)</v>
          </cell>
          <cell r="C75" t="str">
            <v>TOT_USD_DEBT</v>
          </cell>
          <cell r="BM75">
            <v>3373.84</v>
          </cell>
          <cell r="BR75">
            <v>3373.84</v>
          </cell>
          <cell r="BW75">
            <v>3373.84</v>
          </cell>
          <cell r="CB75">
            <v>3373.84</v>
          </cell>
          <cell r="CG75">
            <v>3373.84</v>
          </cell>
          <cell r="CL75">
            <v>3373.84</v>
          </cell>
          <cell r="CQ75">
            <v>3373.84</v>
          </cell>
          <cell r="CV75">
            <v>3373.84</v>
          </cell>
          <cell r="CW75">
            <v>3373.84</v>
          </cell>
          <cell r="CX75">
            <v>3373.84</v>
          </cell>
          <cell r="CY75">
            <v>3373.84</v>
          </cell>
        </row>
        <row r="76">
          <cell r="B76" t="str">
            <v>% US$ debt hedged (principal)</v>
          </cell>
          <cell r="C76" t="str">
            <v>TOT_PCT_USD_DEBT_HEDGED</v>
          </cell>
          <cell r="BM76">
            <v>0.30254843146100002</v>
          </cell>
          <cell r="BR76">
            <v>0.30254843146100002</v>
          </cell>
          <cell r="BW76">
            <v>0.30254843146100002</v>
          </cell>
          <cell r="CB76">
            <v>0.30254843146100002</v>
          </cell>
          <cell r="CG76">
            <v>0.30254843146100002</v>
          </cell>
          <cell r="CL76">
            <v>0.30254843146100002</v>
          </cell>
          <cell r="CQ76">
            <v>0.30254843146100002</v>
          </cell>
          <cell r="CV76">
            <v>0.30254843146100002</v>
          </cell>
          <cell r="CW76">
            <v>0.30254843146100002</v>
          </cell>
          <cell r="CX76">
            <v>0.30254843146100002</v>
          </cell>
          <cell r="CY76">
            <v>0.30254843146100002</v>
          </cell>
        </row>
        <row r="77">
          <cell r="B77" t="str">
            <v>% Floating debt (local currency debt)</v>
          </cell>
          <cell r="C77" t="str">
            <v>FLOATING_PCT_LOCAL_DEBT</v>
          </cell>
          <cell r="BM77">
            <v>1</v>
          </cell>
          <cell r="BR77">
            <v>1</v>
          </cell>
          <cell r="BW77">
            <v>1</v>
          </cell>
          <cell r="CB77">
            <v>0</v>
          </cell>
          <cell r="CG77">
            <v>0</v>
          </cell>
          <cell r="CL77">
            <v>0</v>
          </cell>
          <cell r="CQ77">
            <v>0</v>
          </cell>
          <cell r="CV77">
            <v>1</v>
          </cell>
          <cell r="CW77">
            <v>0</v>
          </cell>
          <cell r="CX77">
            <v>0</v>
          </cell>
          <cell r="CY77">
            <v>0</v>
          </cell>
        </row>
        <row r="78">
          <cell r="B78" t="str">
            <v>% floating debt hedged (rates)</v>
          </cell>
          <cell r="C78" t="str">
            <v>FLOATING_PCT_LOCAL_DEBT_HEDGED</v>
          </cell>
          <cell r="BM78">
            <v>0</v>
          </cell>
          <cell r="BR78">
            <v>0</v>
          </cell>
          <cell r="BW78">
            <v>0</v>
          </cell>
          <cell r="CB78">
            <v>0</v>
          </cell>
          <cell r="CG78">
            <v>0</v>
          </cell>
          <cell r="CL78">
            <v>0</v>
          </cell>
          <cell r="CQ78">
            <v>0</v>
          </cell>
          <cell r="CV78">
            <v>0</v>
          </cell>
          <cell r="CW78">
            <v>0</v>
          </cell>
          <cell r="CX78">
            <v>0</v>
          </cell>
          <cell r="CY78">
            <v>0</v>
          </cell>
        </row>
        <row r="79">
          <cell r="B79" t="str">
            <v>Net debt</v>
          </cell>
          <cell r="C79" t="str">
            <v>NET_DEBT</v>
          </cell>
          <cell r="D79" t="str">
            <v>EUR</v>
          </cell>
          <cell r="F79">
            <v>-2143</v>
          </cell>
          <cell r="G79">
            <v>-1533</v>
          </cell>
          <cell r="H79">
            <v>-1224</v>
          </cell>
          <cell r="I79">
            <v>-3105</v>
          </cell>
          <cell r="J79">
            <v>-4058</v>
          </cell>
          <cell r="K79">
            <v>0</v>
          </cell>
          <cell r="L79">
            <v>0</v>
          </cell>
          <cell r="M79">
            <v>0</v>
          </cell>
          <cell r="N79">
            <v>0</v>
          </cell>
          <cell r="O79">
            <v>-5489</v>
          </cell>
          <cell r="P79">
            <v>0</v>
          </cell>
          <cell r="Q79">
            <v>0</v>
          </cell>
          <cell r="R79">
            <v>0</v>
          </cell>
          <cell r="T79">
            <v>-4229</v>
          </cell>
          <cell r="Y79">
            <v>-7024</v>
          </cell>
          <cell r="AD79">
            <v>-9193</v>
          </cell>
          <cell r="AI79">
            <v>-9797</v>
          </cell>
          <cell r="AN79">
            <v>-11918</v>
          </cell>
          <cell r="AS79">
            <v>-11681</v>
          </cell>
          <cell r="AX79">
            <v>-12292</v>
          </cell>
          <cell r="BC79">
            <v>-9054</v>
          </cell>
          <cell r="BH79">
            <v>-9092</v>
          </cell>
          <cell r="BM79">
            <v>-10003</v>
          </cell>
          <cell r="BR79">
            <v>-11113</v>
          </cell>
          <cell r="BW79">
            <v>-13391</v>
          </cell>
          <cell r="CB79">
            <v>-13281</v>
          </cell>
          <cell r="CG79">
            <v>-12534</v>
          </cell>
          <cell r="CL79">
            <v>2688.7879588809701</v>
          </cell>
          <cell r="CQ79">
            <v>-597.45019953864505</v>
          </cell>
          <cell r="CV79">
            <v>-7953.0544071775203</v>
          </cell>
          <cell r="CW79">
            <v>-10430.6398959781</v>
          </cell>
          <cell r="CX79">
            <v>-10151.0718361745</v>
          </cell>
          <cell r="CY79">
            <v>-11605.929546715601</v>
          </cell>
        </row>
        <row r="80">
          <cell r="B80" t="str">
            <v>Capitalized operating leases (off-balance sheet)</v>
          </cell>
          <cell r="C80" t="str">
            <v>CAP_LEASES</v>
          </cell>
          <cell r="D80" t="str">
            <v>EUR</v>
          </cell>
          <cell r="F80">
            <v>0</v>
          </cell>
          <cell r="G80">
            <v>0</v>
          </cell>
          <cell r="H80">
            <v>0</v>
          </cell>
          <cell r="I80">
            <v>0</v>
          </cell>
          <cell r="J80">
            <v>0</v>
          </cell>
          <cell r="K80">
            <v>0</v>
          </cell>
          <cell r="L80">
            <v>0</v>
          </cell>
          <cell r="M80">
            <v>0</v>
          </cell>
          <cell r="N80">
            <v>0</v>
          </cell>
          <cell r="O80">
            <v>0</v>
          </cell>
          <cell r="P80">
            <v>0</v>
          </cell>
          <cell r="Q80">
            <v>0</v>
          </cell>
          <cell r="R80">
            <v>0</v>
          </cell>
          <cell r="T80">
            <v>0</v>
          </cell>
          <cell r="Y80">
            <v>0</v>
          </cell>
        </row>
        <row r="81">
          <cell r="B81" t="str">
            <v>Deferred income taxes</v>
          </cell>
          <cell r="C81" t="str">
            <v>DEF_INC_TAX</v>
          </cell>
          <cell r="D81" t="str">
            <v>EUR</v>
          </cell>
          <cell r="K81">
            <v>0</v>
          </cell>
          <cell r="L81">
            <v>0</v>
          </cell>
          <cell r="M81">
            <v>0</v>
          </cell>
          <cell r="N81">
            <v>0</v>
          </cell>
          <cell r="P81">
            <v>0</v>
          </cell>
          <cell r="Q81">
            <v>0</v>
          </cell>
          <cell r="R81">
            <v>0</v>
          </cell>
        </row>
        <row r="82">
          <cell r="B82" t="str">
            <v>Associates (mkt value) used in EV calculation</v>
          </cell>
          <cell r="C82" t="str">
            <v>MV_ASSOCIATES</v>
          </cell>
          <cell r="D82" t="str">
            <v>EUR</v>
          </cell>
          <cell r="F82">
            <v>900.85910000000001</v>
          </cell>
          <cell r="G82">
            <v>1268.6199999999999</v>
          </cell>
          <cell r="H82">
            <v>1541.79</v>
          </cell>
          <cell r="I82">
            <v>1250.0999999999999</v>
          </cell>
          <cell r="J82">
            <v>2058.0349999999999</v>
          </cell>
          <cell r="K82">
            <v>0</v>
          </cell>
          <cell r="L82">
            <v>0</v>
          </cell>
          <cell r="M82">
            <v>0</v>
          </cell>
          <cell r="N82">
            <v>0</v>
          </cell>
          <cell r="O82">
            <v>2470.9847</v>
          </cell>
          <cell r="P82">
            <v>0</v>
          </cell>
          <cell r="Q82">
            <v>0</v>
          </cell>
          <cell r="R82">
            <v>0</v>
          </cell>
          <cell r="T82">
            <v>2813.0028000000002</v>
          </cell>
          <cell r="Y82">
            <v>3881.8475600000002</v>
          </cell>
          <cell r="AD82">
            <v>2672.35266</v>
          </cell>
          <cell r="AI82">
            <v>1819.0760700000001</v>
          </cell>
          <cell r="AN82">
            <v>2821.5497799999998</v>
          </cell>
          <cell r="AS82">
            <v>3235.01341</v>
          </cell>
          <cell r="AX82">
            <v>3201.5848099999998</v>
          </cell>
          <cell r="BC82">
            <v>4256.2617700000001</v>
          </cell>
          <cell r="BH82">
            <v>4078.4295454105199</v>
          </cell>
          <cell r="BM82">
            <v>2717.7238794</v>
          </cell>
          <cell r="BR82">
            <v>0</v>
          </cell>
          <cell r="BW82">
            <v>0</v>
          </cell>
          <cell r="CB82">
            <v>0</v>
          </cell>
          <cell r="CG82">
            <v>0</v>
          </cell>
          <cell r="CL82">
            <v>0</v>
          </cell>
        </row>
        <row r="83">
          <cell r="B83" t="str">
            <v>Net debt adjustment</v>
          </cell>
          <cell r="C83" t="str">
            <v>NET_DEBT_ADJ</v>
          </cell>
          <cell r="D83" t="str">
            <v>EUR</v>
          </cell>
          <cell r="F83">
            <v>0</v>
          </cell>
          <cell r="G83">
            <v>0</v>
          </cell>
          <cell r="H83">
            <v>0</v>
          </cell>
          <cell r="I83">
            <v>0</v>
          </cell>
          <cell r="J83">
            <v>0</v>
          </cell>
          <cell r="K83">
            <v>0</v>
          </cell>
          <cell r="L83">
            <v>0</v>
          </cell>
          <cell r="M83">
            <v>0</v>
          </cell>
          <cell r="N83">
            <v>0</v>
          </cell>
          <cell r="O83">
            <v>0</v>
          </cell>
          <cell r="P83">
            <v>0</v>
          </cell>
          <cell r="Q83">
            <v>0</v>
          </cell>
          <cell r="R83">
            <v>0</v>
          </cell>
          <cell r="T83">
            <v>-1843</v>
          </cell>
          <cell r="Y83">
            <v>-4289</v>
          </cell>
          <cell r="AD83">
            <v>-6952</v>
          </cell>
          <cell r="AI83">
            <v>-8055</v>
          </cell>
          <cell r="AN83">
            <v>-11166</v>
          </cell>
          <cell r="AS83">
            <v>-11501</v>
          </cell>
          <cell r="AX83">
            <v>-8315</v>
          </cell>
          <cell r="BC83">
            <v>-6890</v>
          </cell>
          <cell r="BH83">
            <v>-9172</v>
          </cell>
          <cell r="BM83">
            <v>-11639</v>
          </cell>
          <cell r="BR83">
            <v>-11448</v>
          </cell>
          <cell r="BW83">
            <v>-12571</v>
          </cell>
          <cell r="CB83">
            <v>-12794</v>
          </cell>
          <cell r="CG83">
            <v>-13368</v>
          </cell>
          <cell r="CL83">
            <v>-7368</v>
          </cell>
          <cell r="CQ83">
            <v>-7368</v>
          </cell>
          <cell r="CV83">
            <v>-7368</v>
          </cell>
          <cell r="CW83">
            <v>-7368</v>
          </cell>
          <cell r="CX83">
            <v>-7368</v>
          </cell>
          <cell r="CY83">
            <v>-7368</v>
          </cell>
        </row>
        <row r="84">
          <cell r="B84" t="str">
            <v>Company borrowing margin</v>
          </cell>
          <cell r="C84" t="str">
            <v>CO_BOR_MARGIN</v>
          </cell>
        </row>
        <row r="85">
          <cell r="B85" t="str">
            <v>Unfunded pensions &amp; other provisions</v>
          </cell>
          <cell r="C85" t="str">
            <v>UNF_PENS</v>
          </cell>
          <cell r="D85" t="str">
            <v>EUR</v>
          </cell>
          <cell r="F85">
            <v>-2513</v>
          </cell>
          <cell r="G85">
            <v>-2678</v>
          </cell>
          <cell r="H85">
            <v>-2772</v>
          </cell>
          <cell r="I85">
            <v>-3044</v>
          </cell>
          <cell r="J85">
            <v>-3247</v>
          </cell>
          <cell r="K85">
            <v>0</v>
          </cell>
          <cell r="L85">
            <v>0</v>
          </cell>
          <cell r="M85">
            <v>0</v>
          </cell>
          <cell r="N85">
            <v>0</v>
          </cell>
          <cell r="O85">
            <v>-3442</v>
          </cell>
          <cell r="P85">
            <v>0</v>
          </cell>
          <cell r="Q85">
            <v>0</v>
          </cell>
          <cell r="R85">
            <v>0</v>
          </cell>
        </row>
        <row r="86">
          <cell r="B86" t="str">
            <v>Unfunded pension liabilities (off balance sheet)</v>
          </cell>
          <cell r="C86" t="str">
            <v>UNF_PENS_OFF</v>
          </cell>
          <cell r="D86" t="str">
            <v>EUR</v>
          </cell>
        </row>
        <row r="87">
          <cell r="B87" t="str">
            <v>Unfunded pension liabilities &amp; other, used in EV</v>
          </cell>
          <cell r="C87" t="str">
            <v>UNF_PENS_LIAB_OTH</v>
          </cell>
          <cell r="D87" t="str">
            <v>EUR</v>
          </cell>
          <cell r="F87">
            <v>2513</v>
          </cell>
          <cell r="G87">
            <v>2836</v>
          </cell>
          <cell r="H87">
            <v>3170</v>
          </cell>
          <cell r="I87">
            <v>3428</v>
          </cell>
          <cell r="J87">
            <v>3906</v>
          </cell>
          <cell r="K87">
            <v>0</v>
          </cell>
          <cell r="L87">
            <v>0</v>
          </cell>
          <cell r="M87">
            <v>0</v>
          </cell>
          <cell r="N87">
            <v>0</v>
          </cell>
          <cell r="O87">
            <v>4560</v>
          </cell>
          <cell r="P87">
            <v>0</v>
          </cell>
          <cell r="Q87">
            <v>0</v>
          </cell>
          <cell r="R87">
            <v>0</v>
          </cell>
          <cell r="T87">
            <v>4840</v>
          </cell>
          <cell r="Y87">
            <v>4026</v>
          </cell>
          <cell r="AD87">
            <v>4093</v>
          </cell>
          <cell r="AI87">
            <v>4653</v>
          </cell>
          <cell r="AN87">
            <v>4344</v>
          </cell>
          <cell r="AS87">
            <v>4938</v>
          </cell>
          <cell r="AX87">
            <v>5300</v>
          </cell>
          <cell r="BC87">
            <v>5292</v>
          </cell>
          <cell r="BH87">
            <v>6353</v>
          </cell>
          <cell r="BM87">
            <v>6096</v>
          </cell>
          <cell r="BR87">
            <v>7236</v>
          </cell>
          <cell r="BW87">
            <v>6881</v>
          </cell>
          <cell r="CB87">
            <v>6377</v>
          </cell>
          <cell r="CG87">
            <v>7392</v>
          </cell>
          <cell r="CL87">
            <v>6682.4</v>
          </cell>
          <cell r="CQ87">
            <v>6082.4</v>
          </cell>
          <cell r="CV87">
            <v>5282.4</v>
          </cell>
          <cell r="CW87">
            <v>4482.3999999999996</v>
          </cell>
          <cell r="CX87">
            <v>3882.4</v>
          </cell>
          <cell r="CY87">
            <v>4482.3999999999996</v>
          </cell>
        </row>
        <row r="88">
          <cell r="B88" t="str">
            <v>Adjustment for unfunded pensions &amp; goodwill</v>
          </cell>
          <cell r="C88" t="str">
            <v>ADJ_UNF_PENS_GOOD</v>
          </cell>
          <cell r="D88" t="str">
            <v>EUR</v>
          </cell>
        </row>
        <row r="89">
          <cell r="B89" t="str">
            <v>Other GCI adjustments</v>
          </cell>
          <cell r="C89" t="str">
            <v>OTH_GCI_ADJ</v>
          </cell>
          <cell r="D89" t="str">
            <v>EUR</v>
          </cell>
          <cell r="T89">
            <v>-877</v>
          </cell>
          <cell r="Y89">
            <v>-970</v>
          </cell>
          <cell r="AD89">
            <v>-1057</v>
          </cell>
          <cell r="AI89">
            <v>-1110</v>
          </cell>
          <cell r="AN89">
            <v>-1255</v>
          </cell>
          <cell r="AS89">
            <v>-1352</v>
          </cell>
          <cell r="AX89">
            <v>-1840</v>
          </cell>
          <cell r="BC89">
            <v>-2261</v>
          </cell>
          <cell r="BH89">
            <v>-2486</v>
          </cell>
          <cell r="BM89">
            <v>-2640</v>
          </cell>
          <cell r="BR89">
            <v>-2951</v>
          </cell>
          <cell r="BW89">
            <v>-2712</v>
          </cell>
          <cell r="CB89">
            <v>-284</v>
          </cell>
          <cell r="CG89">
            <v>1335</v>
          </cell>
          <cell r="CL89">
            <v>1247.6928477445599</v>
          </cell>
          <cell r="CQ89">
            <v>1891.87009947455</v>
          </cell>
          <cell r="CV89">
            <v>2776.0945914958602</v>
          </cell>
          <cell r="CW89">
            <v>3649.5917870022099</v>
          </cell>
          <cell r="CX89">
            <v>4266.974464117</v>
          </cell>
          <cell r="CY89">
            <v>3379.9536471892702</v>
          </cell>
        </row>
        <row r="90">
          <cell r="B90" t="str">
            <v>GCI inflator</v>
          </cell>
          <cell r="C90" t="str">
            <v>GCI_INFL</v>
          </cell>
        </row>
        <row r="91">
          <cell r="B91" t="str">
            <v>Minority interest</v>
          </cell>
          <cell r="C91" t="str">
            <v>BAL_MINO_INT</v>
          </cell>
          <cell r="D91" t="str">
            <v>EUR</v>
          </cell>
          <cell r="F91">
            <v>221</v>
          </cell>
          <cell r="G91">
            <v>559</v>
          </cell>
          <cell r="H91">
            <v>1361</v>
          </cell>
          <cell r="I91">
            <v>2179</v>
          </cell>
          <cell r="J91">
            <v>2370</v>
          </cell>
          <cell r="K91">
            <v>0</v>
          </cell>
          <cell r="L91">
            <v>0</v>
          </cell>
          <cell r="M91">
            <v>0</v>
          </cell>
          <cell r="N91">
            <v>0</v>
          </cell>
          <cell r="O91">
            <v>176</v>
          </cell>
          <cell r="P91">
            <v>0</v>
          </cell>
          <cell r="Q91">
            <v>0</v>
          </cell>
          <cell r="R91">
            <v>0</v>
          </cell>
          <cell r="T91">
            <v>2890</v>
          </cell>
          <cell r="Y91">
            <v>85</v>
          </cell>
          <cell r="AD91">
            <v>104</v>
          </cell>
          <cell r="AI91">
            <v>106</v>
          </cell>
          <cell r="AN91">
            <v>95</v>
          </cell>
          <cell r="AS91">
            <v>15</v>
          </cell>
          <cell r="AX91">
            <v>17</v>
          </cell>
          <cell r="BC91">
            <v>43</v>
          </cell>
          <cell r="BH91">
            <v>18</v>
          </cell>
          <cell r="BM91">
            <v>7</v>
          </cell>
          <cell r="BR91">
            <v>-5</v>
          </cell>
          <cell r="BW91">
            <v>3</v>
          </cell>
          <cell r="CB91">
            <v>-5</v>
          </cell>
          <cell r="CG91">
            <v>15</v>
          </cell>
          <cell r="CL91">
            <v>25</v>
          </cell>
          <cell r="CQ91">
            <v>35</v>
          </cell>
          <cell r="CV91">
            <v>45</v>
          </cell>
          <cell r="CW91">
            <v>55</v>
          </cell>
          <cell r="CX91">
            <v>65</v>
          </cell>
          <cell r="CY91">
            <v>75</v>
          </cell>
        </row>
        <row r="92">
          <cell r="B92" t="str">
            <v>Right-of-use assets (op lease assets under US GAAP)</v>
          </cell>
          <cell r="C92" t="str">
            <v>ROU_ASSET</v>
          </cell>
          <cell r="D92" t="str">
            <v>EUR</v>
          </cell>
        </row>
        <row r="93">
          <cell r="A93" t="str">
            <v>Cash Flow Statement</v>
          </cell>
        </row>
        <row r="94">
          <cell r="B94" t="str">
            <v>Minority interest add-back</v>
          </cell>
          <cell r="C94" t="str">
            <v>CF_INC_MINORITY</v>
          </cell>
          <cell r="D94" t="str">
            <v>EUR</v>
          </cell>
          <cell r="F94">
            <v>14</v>
          </cell>
          <cell r="G94">
            <v>-114</v>
          </cell>
          <cell r="H94">
            <v>129</v>
          </cell>
          <cell r="I94">
            <v>162</v>
          </cell>
          <cell r="J94">
            <v>220</v>
          </cell>
          <cell r="K94">
            <v>0</v>
          </cell>
          <cell r="L94">
            <v>0</v>
          </cell>
          <cell r="M94">
            <v>0</v>
          </cell>
          <cell r="N94">
            <v>0</v>
          </cell>
          <cell r="O94">
            <v>34</v>
          </cell>
          <cell r="P94">
            <v>0</v>
          </cell>
          <cell r="Q94">
            <v>0</v>
          </cell>
          <cell r="R94">
            <v>0</v>
          </cell>
          <cell r="T94">
            <v>16</v>
          </cell>
          <cell r="Y94">
            <v>9</v>
          </cell>
          <cell r="AD94">
            <v>25</v>
          </cell>
          <cell r="AI94">
            <v>11</v>
          </cell>
          <cell r="AN94">
            <v>19</v>
          </cell>
          <cell r="AS94">
            <v>4</v>
          </cell>
          <cell r="AX94">
            <v>1</v>
          </cell>
          <cell r="BC94">
            <v>10</v>
          </cell>
          <cell r="BH94">
            <v>7</v>
          </cell>
          <cell r="BM94">
            <v>2</v>
          </cell>
          <cell r="BR94">
            <v>5</v>
          </cell>
          <cell r="BW94">
            <v>4</v>
          </cell>
          <cell r="CB94">
            <v>-43</v>
          </cell>
          <cell r="CG94">
            <v>37</v>
          </cell>
          <cell r="CL94">
            <v>10</v>
          </cell>
          <cell r="CQ94">
            <v>10</v>
          </cell>
          <cell r="CV94">
            <v>10</v>
          </cell>
          <cell r="CW94">
            <v>10</v>
          </cell>
          <cell r="CX94">
            <v>10</v>
          </cell>
          <cell r="CY94">
            <v>10</v>
          </cell>
        </row>
        <row r="95">
          <cell r="B95" t="str">
            <v>Depreciation &amp; amortization add-back</v>
          </cell>
          <cell r="C95" t="str">
            <v>DEPR_AMORT</v>
          </cell>
          <cell r="D95" t="str">
            <v>EUR</v>
          </cell>
          <cell r="F95">
            <v>1540</v>
          </cell>
          <cell r="G95">
            <v>3560</v>
          </cell>
          <cell r="H95">
            <v>2768</v>
          </cell>
          <cell r="I95">
            <v>2375</v>
          </cell>
          <cell r="J95">
            <v>1621</v>
          </cell>
          <cell r="K95">
            <v>0</v>
          </cell>
          <cell r="L95">
            <v>0</v>
          </cell>
          <cell r="M95">
            <v>0</v>
          </cell>
          <cell r="N95">
            <v>0</v>
          </cell>
          <cell r="O95">
            <v>1653</v>
          </cell>
          <cell r="P95">
            <v>0</v>
          </cell>
          <cell r="Q95">
            <v>0</v>
          </cell>
          <cell r="R95">
            <v>0</v>
          </cell>
          <cell r="T95">
            <v>1691</v>
          </cell>
          <cell r="Y95">
            <v>1772</v>
          </cell>
          <cell r="AD95">
            <v>1667</v>
          </cell>
          <cell r="AI95">
            <v>1826</v>
          </cell>
          <cell r="AN95">
            <v>1582</v>
          </cell>
          <cell r="AS95">
            <v>1884</v>
          </cell>
          <cell r="AX95">
            <v>2053</v>
          </cell>
          <cell r="BC95">
            <v>1968</v>
          </cell>
          <cell r="BH95">
            <v>2150</v>
          </cell>
          <cell r="BM95">
            <v>2466</v>
          </cell>
          <cell r="BR95">
            <v>2294</v>
          </cell>
          <cell r="BW95">
            <v>2298</v>
          </cell>
          <cell r="CB95">
            <v>2444</v>
          </cell>
          <cell r="CG95">
            <v>2927</v>
          </cell>
          <cell r="CL95">
            <v>2124.8773167168602</v>
          </cell>
          <cell r="CQ95">
            <v>2195.8078592793699</v>
          </cell>
          <cell r="CV95">
            <v>2229.24511536818</v>
          </cell>
          <cell r="CW95">
            <v>2307.3554095395102</v>
          </cell>
          <cell r="CX95">
            <v>2381.6192312108001</v>
          </cell>
          <cell r="CY95">
            <v>2463.4759105537801</v>
          </cell>
        </row>
        <row r="96">
          <cell r="B96" t="str">
            <v>(Increase)/decrease in working capital</v>
          </cell>
          <cell r="C96" t="str">
            <v>WORK_CAP</v>
          </cell>
          <cell r="D96" t="str">
            <v>EUR</v>
          </cell>
          <cell r="F96">
            <v>1460</v>
          </cell>
          <cell r="G96">
            <v>2</v>
          </cell>
          <cell r="H96">
            <v>804</v>
          </cell>
          <cell r="I96">
            <v>2019</v>
          </cell>
          <cell r="J96">
            <v>2155</v>
          </cell>
          <cell r="K96">
            <v>0</v>
          </cell>
          <cell r="L96">
            <v>0</v>
          </cell>
          <cell r="M96">
            <v>0</v>
          </cell>
          <cell r="N96">
            <v>0</v>
          </cell>
          <cell r="O96">
            <v>1239</v>
          </cell>
          <cell r="P96">
            <v>0</v>
          </cell>
          <cell r="Q96">
            <v>0</v>
          </cell>
          <cell r="R96">
            <v>0</v>
          </cell>
          <cell r="T96">
            <v>-143</v>
          </cell>
          <cell r="Y96">
            <v>1175</v>
          </cell>
          <cell r="AD96">
            <v>155</v>
          </cell>
          <cell r="AI96">
            <v>421</v>
          </cell>
          <cell r="AN96">
            <v>2756</v>
          </cell>
          <cell r="AS96">
            <v>1251</v>
          </cell>
          <cell r="AX96">
            <v>70</v>
          </cell>
          <cell r="BC96">
            <v>-1845</v>
          </cell>
          <cell r="BH96">
            <v>-2494</v>
          </cell>
          <cell r="BM96">
            <v>-573</v>
          </cell>
          <cell r="BR96">
            <v>1497</v>
          </cell>
          <cell r="BW96">
            <v>266</v>
          </cell>
          <cell r="CB96">
            <v>-633</v>
          </cell>
          <cell r="CG96">
            <v>2216</v>
          </cell>
          <cell r="CL96">
            <v>-11532.576041793</v>
          </cell>
          <cell r="CQ96">
            <v>1553.5608406869701</v>
          </cell>
          <cell r="CV96">
            <v>4567.7344618757297</v>
          </cell>
          <cell r="CW96">
            <v>138.30320952423301</v>
          </cell>
          <cell r="CX96">
            <v>79.504359137484997</v>
          </cell>
          <cell r="CY96">
            <v>69.616351254715994</v>
          </cell>
        </row>
        <row r="97">
          <cell r="B97" t="str">
            <v>Other operating cash flow items</v>
          </cell>
          <cell r="C97" t="str">
            <v>OTH_OP_CF</v>
          </cell>
          <cell r="D97" t="str">
            <v>EUR</v>
          </cell>
          <cell r="F97">
            <v>-34</v>
          </cell>
          <cell r="G97">
            <v>-1601</v>
          </cell>
          <cell r="H97">
            <v>-1731</v>
          </cell>
          <cell r="I97">
            <v>-616</v>
          </cell>
          <cell r="J97">
            <v>-135</v>
          </cell>
          <cell r="K97">
            <v>0</v>
          </cell>
          <cell r="L97">
            <v>0</v>
          </cell>
          <cell r="M97">
            <v>0</v>
          </cell>
          <cell r="N97">
            <v>0</v>
          </cell>
          <cell r="O97">
            <v>412</v>
          </cell>
          <cell r="P97">
            <v>0</v>
          </cell>
          <cell r="Q97">
            <v>0</v>
          </cell>
          <cell r="R97">
            <v>0</v>
          </cell>
          <cell r="T97">
            <v>-362</v>
          </cell>
          <cell r="Y97">
            <v>-987</v>
          </cell>
          <cell r="AD97">
            <v>439</v>
          </cell>
          <cell r="AI97">
            <v>-1568</v>
          </cell>
          <cell r="AN97">
            <v>-588</v>
          </cell>
          <cell r="AS97">
            <v>-36</v>
          </cell>
          <cell r="AX97">
            <v>-103</v>
          </cell>
          <cell r="BC97">
            <v>-308</v>
          </cell>
          <cell r="BH97">
            <v>604</v>
          </cell>
          <cell r="BM97">
            <v>-756</v>
          </cell>
          <cell r="BR97">
            <v>-1362</v>
          </cell>
          <cell r="BW97">
            <v>-2498</v>
          </cell>
          <cell r="CB97">
            <v>-3290</v>
          </cell>
          <cell r="CG97">
            <v>-5672</v>
          </cell>
          <cell r="CL97">
            <v>-5177.7484544396302</v>
          </cell>
          <cell r="CQ97">
            <v>-1378.1083149450899</v>
          </cell>
          <cell r="CV97">
            <v>-1613.0058262555001</v>
          </cell>
          <cell r="CW97">
            <v>-1332.83882440241</v>
          </cell>
          <cell r="CX97">
            <v>-851.117919042518</v>
          </cell>
          <cell r="CY97">
            <v>1209.45916469811</v>
          </cell>
        </row>
        <row r="98">
          <cell r="B98" t="str">
            <v>Cash flow from operating activities</v>
          </cell>
          <cell r="C98" t="str">
            <v>CF_OPS</v>
          </cell>
          <cell r="D98" t="str">
            <v>EUR</v>
          </cell>
          <cell r="F98">
            <v>3159</v>
          </cell>
          <cell r="G98">
            <v>2656</v>
          </cell>
          <cell r="H98">
            <v>2666</v>
          </cell>
          <cell r="I98">
            <v>4709</v>
          </cell>
          <cell r="J98">
            <v>5013</v>
          </cell>
          <cell r="O98">
            <v>5107</v>
          </cell>
          <cell r="T98">
            <v>4558</v>
          </cell>
          <cell r="Y98">
            <v>5098</v>
          </cell>
          <cell r="AD98">
            <v>4399</v>
          </cell>
          <cell r="AI98">
            <v>2438</v>
          </cell>
          <cell r="AN98">
            <v>4443</v>
          </cell>
          <cell r="AS98">
            <v>4289</v>
          </cell>
          <cell r="AX98">
            <v>3840</v>
          </cell>
          <cell r="BC98">
            <v>1931</v>
          </cell>
          <cell r="BH98">
            <v>2560</v>
          </cell>
          <cell r="BM98">
            <v>3600</v>
          </cell>
          <cell r="BR98">
            <v>4369</v>
          </cell>
          <cell r="BW98">
            <v>4444</v>
          </cell>
          <cell r="CB98">
            <v>2318</v>
          </cell>
          <cell r="CG98">
            <v>3753</v>
          </cell>
          <cell r="CL98">
            <v>-13222.787958880999</v>
          </cell>
          <cell r="CQ98">
            <v>5718.3539241196204</v>
          </cell>
          <cell r="CV98">
            <v>9706.7322693683891</v>
          </cell>
          <cell r="CW98">
            <v>6326.4647479905898</v>
          </cell>
          <cell r="CX98">
            <v>7190.6877605277596</v>
          </cell>
          <cell r="CY98">
            <v>10833.857575567299</v>
          </cell>
        </row>
        <row r="99">
          <cell r="B99" t="str">
            <v>Capital expenditures, Capex</v>
          </cell>
          <cell r="C99" t="str">
            <v>CAPEX</v>
          </cell>
          <cell r="D99" t="str">
            <v>EUR</v>
          </cell>
          <cell r="F99">
            <v>-1215</v>
          </cell>
          <cell r="G99">
            <v>-1636</v>
          </cell>
          <cell r="H99">
            <v>-3018</v>
          </cell>
          <cell r="I99">
            <v>-3599</v>
          </cell>
          <cell r="J99">
            <v>-3299</v>
          </cell>
          <cell r="K99">
            <v>0</v>
          </cell>
          <cell r="L99">
            <v>0</v>
          </cell>
          <cell r="O99">
            <v>-2652</v>
          </cell>
          <cell r="T99">
            <v>-2632</v>
          </cell>
          <cell r="Y99">
            <v>-1866</v>
          </cell>
          <cell r="AD99">
            <v>-1802</v>
          </cell>
          <cell r="AI99">
            <v>-1882</v>
          </cell>
          <cell r="AN99">
            <v>-2205</v>
          </cell>
          <cell r="AS99">
            <v>-2118</v>
          </cell>
          <cell r="AX99">
            <v>-3197</v>
          </cell>
          <cell r="BC99">
            <v>-2889</v>
          </cell>
          <cell r="BH99">
            <v>-2316</v>
          </cell>
          <cell r="BM99">
            <v>-2846</v>
          </cell>
          <cell r="BR99">
            <v>-2988</v>
          </cell>
          <cell r="BW99">
            <v>-2381</v>
          </cell>
          <cell r="CB99">
            <v>-2072</v>
          </cell>
          <cell r="CG99">
            <v>-2228</v>
          </cell>
          <cell r="CL99">
            <v>-2000</v>
          </cell>
          <cell r="CQ99">
            <v>-2000</v>
          </cell>
          <cell r="CV99">
            <v>-2500</v>
          </cell>
          <cell r="CW99">
            <v>-2750</v>
          </cell>
          <cell r="CX99">
            <v>-3000</v>
          </cell>
          <cell r="CY99">
            <v>-3250</v>
          </cell>
        </row>
        <row r="100">
          <cell r="B100" t="str">
            <v>Acquisitions</v>
          </cell>
          <cell r="C100" t="str">
            <v>ACQ</v>
          </cell>
          <cell r="D100" t="str">
            <v>EUR</v>
          </cell>
          <cell r="F100">
            <v>-600</v>
          </cell>
          <cell r="G100">
            <v>-1096</v>
          </cell>
          <cell r="H100">
            <v>-19</v>
          </cell>
          <cell r="I100">
            <v>-92</v>
          </cell>
          <cell r="J100">
            <v>-100</v>
          </cell>
          <cell r="K100">
            <v>0</v>
          </cell>
          <cell r="L100">
            <v>0</v>
          </cell>
          <cell r="M100">
            <v>0</v>
          </cell>
          <cell r="N100">
            <v>0</v>
          </cell>
          <cell r="O100">
            <v>-131</v>
          </cell>
          <cell r="P100">
            <v>0</v>
          </cell>
          <cell r="Q100">
            <v>0</v>
          </cell>
          <cell r="R100">
            <v>0</v>
          </cell>
          <cell r="T100">
            <v>-82</v>
          </cell>
          <cell r="Y100">
            <v>0</v>
          </cell>
          <cell r="AD100">
            <v>-265</v>
          </cell>
          <cell r="AI100">
            <v>-21</v>
          </cell>
          <cell r="AN100">
            <v>-38</v>
          </cell>
          <cell r="AS100">
            <v>-1535</v>
          </cell>
          <cell r="AX100">
            <v>-201</v>
          </cell>
          <cell r="BC100">
            <v>-16</v>
          </cell>
          <cell r="BH100">
            <v>-47</v>
          </cell>
          <cell r="BM100">
            <v>-13</v>
          </cell>
          <cell r="BR100">
            <v>-120</v>
          </cell>
          <cell r="BW100">
            <v>-23</v>
          </cell>
          <cell r="CB100">
            <v>129</v>
          </cell>
          <cell r="CG100">
            <v>8</v>
          </cell>
          <cell r="CL100">
            <v>0</v>
          </cell>
        </row>
        <row r="101">
          <cell r="B101" t="str">
            <v>Divestitures</v>
          </cell>
          <cell r="C101" t="str">
            <v>DIVEST</v>
          </cell>
          <cell r="D101" t="str">
            <v>EUR</v>
          </cell>
          <cell r="F101">
            <v>187</v>
          </cell>
          <cell r="G101">
            <v>850</v>
          </cell>
          <cell r="H101">
            <v>84</v>
          </cell>
          <cell r="I101">
            <v>32</v>
          </cell>
          <cell r="J101">
            <v>0</v>
          </cell>
          <cell r="K101">
            <v>0</v>
          </cell>
          <cell r="L101">
            <v>0</v>
          </cell>
          <cell r="M101">
            <v>0</v>
          </cell>
          <cell r="N101">
            <v>0</v>
          </cell>
          <cell r="O101">
            <v>89</v>
          </cell>
          <cell r="P101">
            <v>0</v>
          </cell>
          <cell r="Q101">
            <v>0</v>
          </cell>
          <cell r="R101">
            <v>0</v>
          </cell>
          <cell r="T101">
            <v>86</v>
          </cell>
          <cell r="Y101">
            <v>29</v>
          </cell>
          <cell r="AD101">
            <v>2</v>
          </cell>
          <cell r="AI101">
            <v>13</v>
          </cell>
          <cell r="AN101">
            <v>12</v>
          </cell>
          <cell r="AS101">
            <v>18</v>
          </cell>
          <cell r="BH101">
            <v>-34</v>
          </cell>
          <cell r="BM101">
            <v>127</v>
          </cell>
          <cell r="BR101">
            <v>731</v>
          </cell>
          <cell r="BW101">
            <v>377</v>
          </cell>
        </row>
        <row r="102">
          <cell r="B102" t="str">
            <v>Other investing cash flow items</v>
          </cell>
          <cell r="C102" t="str">
            <v>OTH_INV_CF</v>
          </cell>
          <cell r="D102" t="str">
            <v>EUR</v>
          </cell>
          <cell r="F102">
            <v>0</v>
          </cell>
          <cell r="G102">
            <v>0</v>
          </cell>
          <cell r="H102">
            <v>0</v>
          </cell>
          <cell r="I102">
            <v>0</v>
          </cell>
          <cell r="J102">
            <v>0</v>
          </cell>
          <cell r="K102">
            <v>0</v>
          </cell>
          <cell r="L102">
            <v>0</v>
          </cell>
          <cell r="M102">
            <v>0</v>
          </cell>
          <cell r="N102">
            <v>0</v>
          </cell>
          <cell r="O102">
            <v>0</v>
          </cell>
          <cell r="P102">
            <v>0</v>
          </cell>
          <cell r="Q102">
            <v>0</v>
          </cell>
          <cell r="R102">
            <v>0</v>
          </cell>
          <cell r="T102">
            <v>3395</v>
          </cell>
          <cell r="Y102">
            <v>-3100</v>
          </cell>
          <cell r="AD102">
            <v>-2887</v>
          </cell>
          <cell r="AI102">
            <v>-957</v>
          </cell>
          <cell r="AN102">
            <v>-3205</v>
          </cell>
          <cell r="AS102">
            <v>-563</v>
          </cell>
          <cell r="AX102">
            <v>3372</v>
          </cell>
          <cell r="BC102">
            <v>1163</v>
          </cell>
          <cell r="BH102">
            <v>-826</v>
          </cell>
          <cell r="BM102">
            <v>-727</v>
          </cell>
          <cell r="BR102">
            <v>1547</v>
          </cell>
          <cell r="BW102">
            <v>-503</v>
          </cell>
          <cell r="CB102">
            <v>308</v>
          </cell>
          <cell r="CG102">
            <v>-644</v>
          </cell>
          <cell r="CL102">
            <v>6000</v>
          </cell>
          <cell r="CQ102">
            <v>100</v>
          </cell>
          <cell r="CV102">
            <v>150</v>
          </cell>
          <cell r="CW102">
            <v>157.5</v>
          </cell>
          <cell r="CX102">
            <v>165.375</v>
          </cell>
          <cell r="CY102">
            <v>173.64375000000001</v>
          </cell>
        </row>
        <row r="103">
          <cell r="B103" t="str">
            <v>Cash flow from investing</v>
          </cell>
          <cell r="C103" t="str">
            <v>CF_INV</v>
          </cell>
          <cell r="D103" t="str">
            <v>EUR</v>
          </cell>
          <cell r="F103">
            <v>-1628</v>
          </cell>
          <cell r="G103">
            <v>-1882</v>
          </cell>
          <cell r="H103">
            <v>-2953</v>
          </cell>
          <cell r="I103">
            <v>-3659</v>
          </cell>
          <cell r="J103">
            <v>-3399</v>
          </cell>
          <cell r="O103">
            <v>-2694</v>
          </cell>
          <cell r="T103">
            <v>767</v>
          </cell>
          <cell r="Y103">
            <v>-4937</v>
          </cell>
          <cell r="AD103">
            <v>-4952</v>
          </cell>
          <cell r="AI103">
            <v>-2847</v>
          </cell>
          <cell r="AN103">
            <v>-5436</v>
          </cell>
          <cell r="AS103">
            <v>-4198</v>
          </cell>
          <cell r="AX103">
            <v>-26</v>
          </cell>
          <cell r="BC103">
            <v>-1742</v>
          </cell>
          <cell r="BH103">
            <v>-3223</v>
          </cell>
          <cell r="BM103">
            <v>-3459</v>
          </cell>
          <cell r="BR103">
            <v>-830</v>
          </cell>
          <cell r="BW103">
            <v>-2530</v>
          </cell>
          <cell r="CB103">
            <v>-1635</v>
          </cell>
          <cell r="CG103">
            <v>-2864</v>
          </cell>
          <cell r="CL103">
            <v>4000</v>
          </cell>
          <cell r="CQ103">
            <v>-1900</v>
          </cell>
          <cell r="CV103">
            <v>-2350</v>
          </cell>
          <cell r="CW103">
            <v>-2592.5</v>
          </cell>
          <cell r="CX103">
            <v>-2834.625</v>
          </cell>
          <cell r="CY103">
            <v>-3076.3562499999998</v>
          </cell>
        </row>
        <row r="104">
          <cell r="B104" t="str">
            <v>Dividends paid</v>
          </cell>
          <cell r="C104" t="str">
            <v>DIV_PAID</v>
          </cell>
          <cell r="D104" t="str">
            <v>EUR</v>
          </cell>
          <cell r="F104">
            <v>-31</v>
          </cell>
          <cell r="G104">
            <v>-404</v>
          </cell>
          <cell r="H104">
            <v>-403</v>
          </cell>
          <cell r="I104">
            <v>-240</v>
          </cell>
          <cell r="J104">
            <v>-320</v>
          </cell>
          <cell r="K104">
            <v>0</v>
          </cell>
          <cell r="L104">
            <v>0</v>
          </cell>
          <cell r="O104">
            <v>-396</v>
          </cell>
          <cell r="T104">
            <v>-520</v>
          </cell>
          <cell r="Y104">
            <v>-97</v>
          </cell>
          <cell r="AD104">
            <v>-97</v>
          </cell>
          <cell r="AI104">
            <v>-162</v>
          </cell>
          <cell r="AN104">
            <v>0</v>
          </cell>
          <cell r="AS104">
            <v>-178</v>
          </cell>
          <cell r="AX104">
            <v>-369</v>
          </cell>
          <cell r="BC104">
            <v>-467</v>
          </cell>
          <cell r="BH104">
            <v>-587</v>
          </cell>
          <cell r="BM104">
            <v>-945</v>
          </cell>
          <cell r="BR104">
            <v>-1008</v>
          </cell>
          <cell r="BW104">
            <v>-1043</v>
          </cell>
          <cell r="CB104">
            <v>-1161</v>
          </cell>
          <cell r="CG104">
            <v>-1280</v>
          </cell>
          <cell r="CL104">
            <v>0</v>
          </cell>
          <cell r="CQ104">
            <v>-1282.1157657000001</v>
          </cell>
          <cell r="CV104">
            <v>-1001.12806172951</v>
          </cell>
          <cell r="CW104">
            <v>-2256.3792591899801</v>
          </cell>
          <cell r="CX104">
            <v>-2471.7313528313998</v>
          </cell>
          <cell r="CY104">
            <v>-2638.7441475262099</v>
          </cell>
        </row>
        <row r="105">
          <cell r="B105" t="str">
            <v>Common stock issuance/(repurchase)</v>
          </cell>
          <cell r="C105" t="str">
            <v>SH_REPUR</v>
          </cell>
          <cell r="D105" t="str">
            <v>EUR</v>
          </cell>
          <cell r="F105">
            <v>1540</v>
          </cell>
          <cell r="G105">
            <v>21</v>
          </cell>
          <cell r="H105">
            <v>-140</v>
          </cell>
          <cell r="I105">
            <v>-10</v>
          </cell>
          <cell r="J105">
            <v>124</v>
          </cell>
          <cell r="K105">
            <v>0</v>
          </cell>
          <cell r="L105">
            <v>0</v>
          </cell>
          <cell r="M105">
            <v>0</v>
          </cell>
          <cell r="N105">
            <v>0</v>
          </cell>
          <cell r="O105">
            <v>-101</v>
          </cell>
          <cell r="P105">
            <v>0</v>
          </cell>
          <cell r="Q105">
            <v>0</v>
          </cell>
          <cell r="R105">
            <v>0</v>
          </cell>
          <cell r="T105">
            <v>-35</v>
          </cell>
          <cell r="Y105">
            <v>0</v>
          </cell>
          <cell r="AD105">
            <v>39</v>
          </cell>
          <cell r="AI105">
            <v>-5</v>
          </cell>
          <cell r="AN105">
            <v>-3</v>
          </cell>
          <cell r="AS105">
            <v>-1</v>
          </cell>
          <cell r="AX105">
            <v>-5</v>
          </cell>
          <cell r="BC105">
            <v>-1915</v>
          </cell>
          <cell r="BH105">
            <v>102</v>
          </cell>
          <cell r="BM105">
            <v>-264</v>
          </cell>
          <cell r="BR105">
            <v>-736</v>
          </cell>
          <cell r="BW105">
            <v>0</v>
          </cell>
          <cell r="CB105">
            <v>-49</v>
          </cell>
          <cell r="CG105">
            <v>-31</v>
          </cell>
          <cell r="CL105">
            <v>0</v>
          </cell>
          <cell r="CQ105">
            <v>0</v>
          </cell>
          <cell r="CV105">
            <v>0</v>
          </cell>
          <cell r="CW105">
            <v>0</v>
          </cell>
          <cell r="CX105">
            <v>-2913.8994674999999</v>
          </cell>
          <cell r="CY105">
            <v>-2913.8994674999999</v>
          </cell>
        </row>
        <row r="106">
          <cell r="B106" t="str">
            <v>Increase/(decrease) in total debt</v>
          </cell>
          <cell r="C106" t="str">
            <v>CHG_LT_DEBT</v>
          </cell>
          <cell r="D106" t="str">
            <v>EUR</v>
          </cell>
          <cell r="F106">
            <v>0</v>
          </cell>
          <cell r="G106">
            <v>721</v>
          </cell>
          <cell r="H106">
            <v>-1524</v>
          </cell>
          <cell r="I106">
            <v>-209</v>
          </cell>
          <cell r="J106">
            <v>359</v>
          </cell>
          <cell r="K106">
            <v>0</v>
          </cell>
          <cell r="L106">
            <v>0</v>
          </cell>
          <cell r="M106">
            <v>0</v>
          </cell>
          <cell r="N106">
            <v>0</v>
          </cell>
          <cell r="O106">
            <v>-29</v>
          </cell>
          <cell r="P106">
            <v>0</v>
          </cell>
          <cell r="Q106">
            <v>0</v>
          </cell>
          <cell r="R106">
            <v>0</v>
          </cell>
          <cell r="T106">
            <v>845</v>
          </cell>
          <cell r="Y106">
            <v>-586</v>
          </cell>
          <cell r="AD106">
            <v>-157</v>
          </cell>
          <cell r="AI106">
            <v>906</v>
          </cell>
          <cell r="AN106">
            <v>-1061</v>
          </cell>
          <cell r="AS106">
            <v>414</v>
          </cell>
          <cell r="AX106">
            <v>-125</v>
          </cell>
          <cell r="BC106">
            <v>-534</v>
          </cell>
          <cell r="BH106">
            <v>930</v>
          </cell>
          <cell r="BM106">
            <v>992</v>
          </cell>
          <cell r="BR106">
            <v>1572</v>
          </cell>
          <cell r="BW106">
            <v>1284</v>
          </cell>
          <cell r="CB106">
            <v>-2308</v>
          </cell>
          <cell r="CG106">
            <v>-160</v>
          </cell>
        </row>
        <row r="107">
          <cell r="B107" t="str">
            <v>Lease principal payments  (applicable to IFRS cos.)</v>
          </cell>
          <cell r="C107" t="str">
            <v>LEASE_PRINCIPAL_CASH</v>
          </cell>
          <cell r="D107" t="str">
            <v>EUR</v>
          </cell>
        </row>
        <row r="108">
          <cell r="B108" t="str">
            <v>Other financing cash flow items</v>
          </cell>
          <cell r="C108" t="str">
            <v>OTH_FIN_CF</v>
          </cell>
          <cell r="D108" t="str">
            <v>EUR</v>
          </cell>
          <cell r="F108">
            <v>0</v>
          </cell>
          <cell r="G108">
            <v>0</v>
          </cell>
          <cell r="H108">
            <v>0</v>
          </cell>
          <cell r="I108">
            <v>0</v>
          </cell>
          <cell r="J108">
            <v>0</v>
          </cell>
          <cell r="K108">
            <v>0</v>
          </cell>
          <cell r="L108">
            <v>0</v>
          </cell>
          <cell r="M108">
            <v>0</v>
          </cell>
          <cell r="N108">
            <v>0</v>
          </cell>
          <cell r="O108">
            <v>0</v>
          </cell>
          <cell r="P108">
            <v>0</v>
          </cell>
          <cell r="Q108">
            <v>0</v>
          </cell>
          <cell r="R108">
            <v>0</v>
          </cell>
          <cell r="T108">
            <v>-2801</v>
          </cell>
          <cell r="Y108">
            <v>45</v>
          </cell>
          <cell r="AD108">
            <v>14</v>
          </cell>
          <cell r="AI108">
            <v>13</v>
          </cell>
          <cell r="AN108">
            <v>-55</v>
          </cell>
          <cell r="AS108">
            <v>-70</v>
          </cell>
          <cell r="AX108">
            <v>134</v>
          </cell>
          <cell r="BC108">
            <v>1848</v>
          </cell>
          <cell r="BH108">
            <v>50</v>
          </cell>
          <cell r="BM108">
            <v>192</v>
          </cell>
          <cell r="BR108">
            <v>56</v>
          </cell>
          <cell r="BW108">
            <v>80</v>
          </cell>
          <cell r="CB108">
            <v>296</v>
          </cell>
          <cell r="CG108">
            <v>513</v>
          </cell>
          <cell r="CL108">
            <v>0</v>
          </cell>
        </row>
        <row r="109">
          <cell r="B109" t="str">
            <v>Cash flow from financing</v>
          </cell>
          <cell r="C109" t="str">
            <v>CF_FIN</v>
          </cell>
          <cell r="D109" t="str">
            <v>EUR</v>
          </cell>
          <cell r="F109">
            <v>1509</v>
          </cell>
          <cell r="G109">
            <v>338</v>
          </cell>
          <cell r="H109">
            <v>-2067</v>
          </cell>
          <cell r="I109">
            <v>-459</v>
          </cell>
          <cell r="J109">
            <v>163</v>
          </cell>
          <cell r="O109">
            <v>-526</v>
          </cell>
          <cell r="T109">
            <v>-2511</v>
          </cell>
          <cell r="Y109">
            <v>-638</v>
          </cell>
          <cell r="AD109">
            <v>-201</v>
          </cell>
          <cell r="AI109">
            <v>752</v>
          </cell>
          <cell r="AN109">
            <v>-1119</v>
          </cell>
          <cell r="AS109">
            <v>165</v>
          </cell>
          <cell r="AX109">
            <v>-365</v>
          </cell>
          <cell r="BC109">
            <v>-1068</v>
          </cell>
          <cell r="BH109">
            <v>495</v>
          </cell>
          <cell r="BM109">
            <v>-25</v>
          </cell>
          <cell r="BR109">
            <v>-116</v>
          </cell>
          <cell r="BW109">
            <v>321</v>
          </cell>
          <cell r="CB109">
            <v>-3222</v>
          </cell>
          <cell r="CG109">
            <v>-958</v>
          </cell>
          <cell r="CL109">
            <v>0</v>
          </cell>
          <cell r="CQ109">
            <v>-1282.1157657000001</v>
          </cell>
          <cell r="CV109">
            <v>-1001.12806172951</v>
          </cell>
          <cell r="CW109">
            <v>-2256.3792591899801</v>
          </cell>
          <cell r="CX109">
            <v>-5385.6308203314002</v>
          </cell>
          <cell r="CY109">
            <v>-5552.6436150262098</v>
          </cell>
        </row>
        <row r="110">
          <cell r="B110" t="str">
            <v>Other items net cash flow</v>
          </cell>
          <cell r="C110" t="str">
            <v>OTH_ITEM_NCF</v>
          </cell>
          <cell r="D110" t="str">
            <v>EUR</v>
          </cell>
          <cell r="F110">
            <v>0</v>
          </cell>
          <cell r="G110">
            <v>-1001</v>
          </cell>
          <cell r="H110">
            <v>521</v>
          </cell>
          <cell r="I110">
            <v>1081</v>
          </cell>
          <cell r="J110">
            <v>-465</v>
          </cell>
          <cell r="O110">
            <v>-485</v>
          </cell>
          <cell r="T110">
            <v>-5257</v>
          </cell>
          <cell r="Y110">
            <v>-117</v>
          </cell>
          <cell r="AD110">
            <v>-50</v>
          </cell>
          <cell r="AI110">
            <v>-50</v>
          </cell>
          <cell r="AN110">
            <v>104</v>
          </cell>
          <cell r="AS110">
            <v>-2</v>
          </cell>
          <cell r="AX110">
            <v>23</v>
          </cell>
          <cell r="BC110">
            <v>-112</v>
          </cell>
          <cell r="BH110">
            <v>-326</v>
          </cell>
          <cell r="BM110">
            <v>102</v>
          </cell>
          <cell r="BR110">
            <v>-769</v>
          </cell>
          <cell r="BW110">
            <v>-362</v>
          </cell>
          <cell r="CB110">
            <v>-64</v>
          </cell>
          <cell r="CG110">
            <v>-30</v>
          </cell>
          <cell r="CL110">
            <v>2E-12</v>
          </cell>
          <cell r="CQ110">
            <v>0</v>
          </cell>
          <cell r="CV110">
            <v>0</v>
          </cell>
          <cell r="CW110">
            <v>0</v>
          </cell>
          <cell r="CX110">
            <v>0</v>
          </cell>
          <cell r="CY110">
            <v>0</v>
          </cell>
        </row>
        <row r="111">
          <cell r="B111" t="str">
            <v>Total cash flow</v>
          </cell>
          <cell r="C111" t="str">
            <v>TOT_CF</v>
          </cell>
          <cell r="D111" t="str">
            <v>EUR</v>
          </cell>
          <cell r="F111">
            <v>3040</v>
          </cell>
          <cell r="G111">
            <v>111</v>
          </cell>
          <cell r="H111">
            <v>-1833</v>
          </cell>
          <cell r="I111">
            <v>1672</v>
          </cell>
          <cell r="J111">
            <v>1312</v>
          </cell>
          <cell r="O111">
            <v>1402</v>
          </cell>
          <cell r="T111">
            <v>-2443</v>
          </cell>
          <cell r="Y111">
            <v>-594</v>
          </cell>
          <cell r="AD111">
            <v>-804</v>
          </cell>
          <cell r="AI111">
            <v>293</v>
          </cell>
          <cell r="AN111">
            <v>-2008</v>
          </cell>
          <cell r="AS111">
            <v>254</v>
          </cell>
          <cell r="AX111">
            <v>3472</v>
          </cell>
          <cell r="BC111">
            <v>-991</v>
          </cell>
          <cell r="BH111">
            <v>-494</v>
          </cell>
          <cell r="BM111">
            <v>218</v>
          </cell>
          <cell r="BR111">
            <v>2654</v>
          </cell>
          <cell r="BW111">
            <v>1873</v>
          </cell>
          <cell r="CB111">
            <v>-2603</v>
          </cell>
          <cell r="CG111">
            <v>-99</v>
          </cell>
          <cell r="CL111">
            <v>-9222.7879588809701</v>
          </cell>
          <cell r="CQ111">
            <v>2536.23815841962</v>
          </cell>
          <cell r="CV111">
            <v>6355.6042076388703</v>
          </cell>
          <cell r="CW111">
            <v>1477.5854888005999</v>
          </cell>
          <cell r="CX111">
            <v>-1029.5680598036399</v>
          </cell>
          <cell r="CY111">
            <v>2204.85771054113</v>
          </cell>
        </row>
        <row r="112">
          <cell r="A112" t="str">
            <v>Additional Cash Flow Items</v>
          </cell>
        </row>
        <row r="113">
          <cell r="B113" t="str">
            <v>Associate and JV add-back</v>
          </cell>
          <cell r="C113" t="str">
            <v>ASSOC_JV_ADDBK</v>
          </cell>
          <cell r="D113" t="str">
            <v>EUR</v>
          </cell>
        </row>
        <row r="114">
          <cell r="B114" t="str">
            <v>Cash interest income/(expense)</v>
          </cell>
          <cell r="C114" t="str">
            <v>CASH_INT_INC_EXP</v>
          </cell>
          <cell r="D114" t="str">
            <v>EUR</v>
          </cell>
        </row>
        <row r="115">
          <cell r="B115" t="str">
            <v>Cash taxes paid</v>
          </cell>
          <cell r="C115" t="str">
            <v>CASH_TAX_PD</v>
          </cell>
          <cell r="D115" t="str">
            <v>EUR</v>
          </cell>
        </row>
        <row r="116">
          <cell r="B116" t="str">
            <v>Profit/(loss) on sale of assets</v>
          </cell>
          <cell r="C116" t="str">
            <v>PL_SALE_ASSETS</v>
          </cell>
          <cell r="D116" t="str">
            <v>EUR</v>
          </cell>
        </row>
        <row r="117">
          <cell r="B117" t="str">
            <v>Other non-cash adjustments</v>
          </cell>
          <cell r="C117" t="str">
            <v>OTH_NONCASH_ADJ</v>
          </cell>
          <cell r="D117" t="str">
            <v>EUR</v>
          </cell>
        </row>
        <row r="118">
          <cell r="B118" t="str">
            <v>Other DACF adjustments</v>
          </cell>
          <cell r="C118" t="str">
            <v>OTH_DACF_ADJ</v>
          </cell>
          <cell r="D118" t="str">
            <v>EUR</v>
          </cell>
          <cell r="Y118">
            <v>-93</v>
          </cell>
          <cell r="AD118">
            <v>-87</v>
          </cell>
          <cell r="AI118">
            <v>-53</v>
          </cell>
          <cell r="AN118">
            <v>-145</v>
          </cell>
          <cell r="AS118">
            <v>-97</v>
          </cell>
          <cell r="AX118">
            <v>-488</v>
          </cell>
          <cell r="BC118">
            <v>-421</v>
          </cell>
          <cell r="BH118">
            <v>-225</v>
          </cell>
          <cell r="BM118">
            <v>-154</v>
          </cell>
          <cell r="BR118">
            <v>-311</v>
          </cell>
          <cell r="BW118">
            <v>239</v>
          </cell>
          <cell r="CB118">
            <v>2428</v>
          </cell>
          <cell r="CG118">
            <v>1619</v>
          </cell>
          <cell r="CL118">
            <v>-87.307152255443995</v>
          </cell>
          <cell r="CQ118">
            <v>644.17725172999496</v>
          </cell>
          <cell r="CV118">
            <v>884.22449202131304</v>
          </cell>
          <cell r="CW118">
            <v>873.49719550634404</v>
          </cell>
          <cell r="CX118">
            <v>617.38267711479205</v>
          </cell>
          <cell r="CY118">
            <v>-887.02081692773197</v>
          </cell>
        </row>
        <row r="119">
          <cell r="B119" t="str">
            <v>Cash interest expense</v>
          </cell>
          <cell r="C119" t="str">
            <v>CASH_INT_EXP</v>
          </cell>
          <cell r="D119" t="str">
            <v>EUR</v>
          </cell>
        </row>
        <row r="120">
          <cell r="B120" t="str">
            <v>Cash tax expense</v>
          </cell>
          <cell r="C120" t="str">
            <v>CASH_TAX_EXP</v>
          </cell>
          <cell r="D120" t="str">
            <v>EUR</v>
          </cell>
        </row>
        <row r="121">
          <cell r="B121" t="str">
            <v>Dividends received from associates/JVs</v>
          </cell>
          <cell r="C121" t="str">
            <v>DIVDS_ASSOC_JV</v>
          </cell>
          <cell r="D121" t="str">
            <v>EUR</v>
          </cell>
        </row>
        <row r="122">
          <cell r="B122" t="str">
            <v>Capex maintenance</v>
          </cell>
          <cell r="C122" t="str">
            <v>CAPEX_MAINTENANCE</v>
          </cell>
          <cell r="D122" t="str">
            <v>EUR</v>
          </cell>
        </row>
        <row r="123">
          <cell r="B123" t="str">
            <v>Capex expansion</v>
          </cell>
          <cell r="C123" t="str">
            <v>CAPEX_EXPANSION</v>
          </cell>
          <cell r="D123" t="str">
            <v>EUR</v>
          </cell>
        </row>
        <row r="124">
          <cell r="B124" t="str">
            <v>Non-PP&amp;E capex</v>
          </cell>
          <cell r="C124" t="str">
            <v>NONPPE_CAPEX</v>
          </cell>
          <cell r="D124" t="str">
            <v>EUR</v>
          </cell>
          <cell r="T124">
            <v>-411</v>
          </cell>
          <cell r="Y124">
            <v>-93</v>
          </cell>
          <cell r="AD124">
            <v>-87</v>
          </cell>
          <cell r="AI124">
            <v>-53</v>
          </cell>
          <cell r="AN124">
            <v>-145</v>
          </cell>
          <cell r="AS124">
            <v>-97</v>
          </cell>
          <cell r="AX124">
            <v>-488</v>
          </cell>
          <cell r="BC124">
            <v>-421</v>
          </cell>
          <cell r="BH124">
            <v>-225</v>
          </cell>
          <cell r="BM124">
            <v>-154</v>
          </cell>
          <cell r="BR124">
            <v>-311</v>
          </cell>
          <cell r="BW124">
            <v>239</v>
          </cell>
          <cell r="CB124">
            <v>2428</v>
          </cell>
          <cell r="CG124">
            <v>1619</v>
          </cell>
          <cell r="CL124">
            <v>-87.307152255443995</v>
          </cell>
          <cell r="CQ124">
            <v>644.17725172999496</v>
          </cell>
          <cell r="CV124">
            <v>884.22449202131304</v>
          </cell>
          <cell r="CW124">
            <v>873.49719550634404</v>
          </cell>
          <cell r="CX124">
            <v>617.38267711479205</v>
          </cell>
          <cell r="CY124">
            <v>-887.02081692773197</v>
          </cell>
        </row>
        <row r="125">
          <cell r="B125" t="str">
            <v>Dividends paid to minorities</v>
          </cell>
          <cell r="C125" t="str">
            <v>DIVDS_PD_MINORITIES</v>
          </cell>
          <cell r="D125" t="str">
            <v>EUR</v>
          </cell>
        </row>
        <row r="126">
          <cell r="A126" t="str">
            <v>Other Items</v>
          </cell>
        </row>
        <row r="127">
          <cell r="B127" t="str">
            <v>Number of employees</v>
          </cell>
          <cell r="C127" t="str">
            <v>EMPLOYEES</v>
          </cell>
          <cell r="Y127">
            <v>116.80500000000001</v>
          </cell>
          <cell r="AD127">
            <v>116.49299999999999</v>
          </cell>
          <cell r="AI127">
            <v>118.349</v>
          </cell>
          <cell r="AN127">
            <v>119.506</v>
          </cell>
          <cell r="AS127">
            <v>121.691</v>
          </cell>
          <cell r="AX127">
            <v>133.11500000000001</v>
          </cell>
          <cell r="BC127">
            <v>140.405</v>
          </cell>
        </row>
        <row r="128">
          <cell r="A128" t="str">
            <v>Geographical Breakdown</v>
          </cell>
        </row>
        <row r="129">
          <cell r="B129" t="str">
            <v>Sales - % Canada</v>
          </cell>
          <cell r="C129" t="str">
            <v>SALES_CANADA</v>
          </cell>
          <cell r="AD129">
            <v>0</v>
          </cell>
          <cell r="AI129">
            <v>0</v>
          </cell>
          <cell r="AN129">
            <v>0</v>
          </cell>
          <cell r="AS129">
            <v>0</v>
          </cell>
          <cell r="BC129">
            <v>1.780874314E-3</v>
          </cell>
          <cell r="BH129">
            <v>1.9252695289999999E-3</v>
          </cell>
          <cell r="BM129">
            <v>1.913236594E-3</v>
          </cell>
          <cell r="BR129">
            <v>1.901278865E-3</v>
          </cell>
          <cell r="BW129">
            <v>2.681654519E-3</v>
          </cell>
          <cell r="CB129">
            <v>2.681654519E-3</v>
          </cell>
          <cell r="CG129">
            <v>2.681654519E-3</v>
          </cell>
          <cell r="CL129">
            <v>2.681654519E-3</v>
          </cell>
          <cell r="CQ129">
            <v>2.681654519E-3</v>
          </cell>
          <cell r="CV129">
            <v>2.681654519E-3</v>
          </cell>
          <cell r="CW129">
            <v>2.681654519E-3</v>
          </cell>
          <cell r="CX129">
            <v>2.681654519E-3</v>
          </cell>
          <cell r="CY129">
            <v>2.681654519E-3</v>
          </cell>
        </row>
        <row r="130">
          <cell r="B130" t="str">
            <v>Sales - % United States</v>
          </cell>
          <cell r="C130" t="str">
            <v>SALES_US</v>
          </cell>
          <cell r="AX130">
            <v>0.13599504249300001</v>
          </cell>
          <cell r="BC130">
            <v>0.146476912322</v>
          </cell>
          <cell r="BH130">
            <v>0.15835341872600001</v>
          </cell>
          <cell r="BM130">
            <v>0.157363709859</v>
          </cell>
          <cell r="BR130">
            <v>0.132620988183</v>
          </cell>
          <cell r="BW130">
            <v>0.18705497587</v>
          </cell>
          <cell r="CB130">
            <v>0.18705497587</v>
          </cell>
          <cell r="CG130">
            <v>0.18705497587</v>
          </cell>
          <cell r="CL130">
            <v>0.18705497587</v>
          </cell>
          <cell r="CQ130">
            <v>0.18705497587</v>
          </cell>
          <cell r="CV130">
            <v>0.18705497587</v>
          </cell>
          <cell r="CW130">
            <v>0.18705497587</v>
          </cell>
          <cell r="CX130">
            <v>0.18705497587</v>
          </cell>
          <cell r="CY130">
            <v>0.18705497587</v>
          </cell>
        </row>
        <row r="131">
          <cell r="B131" t="str">
            <v>Sales - % Other North Americas</v>
          </cell>
          <cell r="C131" t="str">
            <v>SALES_OTH_NO_AMER</v>
          </cell>
        </row>
        <row r="132">
          <cell r="B132" t="str">
            <v>Sales - % Argentina</v>
          </cell>
          <cell r="C132" t="str">
            <v>SALES_ARGENTINA</v>
          </cell>
          <cell r="BC132">
            <v>3.7077181000000001E-4</v>
          </cell>
          <cell r="BH132">
            <v>4.1517561900000002E-4</v>
          </cell>
          <cell r="BM132">
            <v>5.3062552400000003E-4</v>
          </cell>
          <cell r="BR132">
            <v>4.99542857E-4</v>
          </cell>
          <cell r="BW132">
            <v>4.1073523799999999E-4</v>
          </cell>
          <cell r="CB132">
            <v>4.1073523799999999E-4</v>
          </cell>
          <cell r="CG132">
            <v>4.1073523799999999E-4</v>
          </cell>
          <cell r="CL132">
            <v>4.1073523799999999E-4</v>
          </cell>
          <cell r="CQ132">
            <v>4.1073523799999999E-4</v>
          </cell>
          <cell r="CV132">
            <v>4.1073523799999999E-4</v>
          </cell>
          <cell r="CW132">
            <v>4.1073523799999999E-4</v>
          </cell>
          <cell r="CX132">
            <v>4.1073523799999999E-4</v>
          </cell>
          <cell r="CY132">
            <v>4.1073523799999999E-4</v>
          </cell>
        </row>
        <row r="133">
          <cell r="B133" t="str">
            <v>Sales - % Brazil</v>
          </cell>
          <cell r="C133" t="str">
            <v>SALES_BRAZIL</v>
          </cell>
          <cell r="AX133">
            <v>6.2677053824000004E-2</v>
          </cell>
          <cell r="BC133">
            <v>1.9094748203999999E-2</v>
          </cell>
          <cell r="BH133">
            <v>2.1381544395999999E-2</v>
          </cell>
          <cell r="BM133">
            <v>2.7327214496E-2</v>
          </cell>
          <cell r="BR133">
            <v>2.5726457160999999E-2</v>
          </cell>
          <cell r="BW133">
            <v>2.1152864776999999E-2</v>
          </cell>
          <cell r="CB133">
            <v>2.1152864776999999E-2</v>
          </cell>
          <cell r="CG133">
            <v>2.1152864776999999E-2</v>
          </cell>
          <cell r="CL133">
            <v>2.1152864776999999E-2</v>
          </cell>
          <cell r="CQ133">
            <v>2.1152864776999999E-2</v>
          </cell>
          <cell r="CV133">
            <v>2.1152864776999999E-2</v>
          </cell>
          <cell r="CW133">
            <v>2.1152864776999999E-2</v>
          </cell>
          <cell r="CX133">
            <v>2.1152864776999999E-2</v>
          </cell>
          <cell r="CY133">
            <v>2.1152864776999999E-2</v>
          </cell>
        </row>
        <row r="134">
          <cell r="B134" t="str">
            <v>Sales - % Chile</v>
          </cell>
          <cell r="C134" t="str">
            <v>SALES_CHILE</v>
          </cell>
          <cell r="BC134">
            <v>1.2977013343000001E-2</v>
          </cell>
          <cell r="BH134">
            <v>1.4531146676999999E-2</v>
          </cell>
          <cell r="BM134">
            <v>1.8571893345999999E-2</v>
          </cell>
          <cell r="BR134">
            <v>1.7484000012000001E-2</v>
          </cell>
          <cell r="BW134">
            <v>1.4375733343E-2</v>
          </cell>
          <cell r="CB134">
            <v>1.4375733343E-2</v>
          </cell>
          <cell r="CG134">
            <v>1.4375733343E-2</v>
          </cell>
          <cell r="CL134">
            <v>1.4375733343E-2</v>
          </cell>
          <cell r="CQ134">
            <v>1.4375733343E-2</v>
          </cell>
          <cell r="CV134">
            <v>1.4375733343E-2</v>
          </cell>
          <cell r="CW134">
            <v>1.4375733343E-2</v>
          </cell>
          <cell r="CX134">
            <v>1.4375733343E-2</v>
          </cell>
          <cell r="CY134">
            <v>1.4375733343E-2</v>
          </cell>
        </row>
        <row r="135">
          <cell r="B135" t="str">
            <v>Sales - % Colombia</v>
          </cell>
          <cell r="C135" t="str">
            <v>SALES_COLOMBIA</v>
          </cell>
          <cell r="BC135">
            <v>8.5277516249999998E-3</v>
          </cell>
          <cell r="BH135">
            <v>9.5490392449999999E-3</v>
          </cell>
          <cell r="BM135">
            <v>1.2204387056E-2</v>
          </cell>
          <cell r="BR135">
            <v>1.1489485722E-2</v>
          </cell>
          <cell r="BW135">
            <v>9.4469104830000004E-3</v>
          </cell>
          <cell r="CB135">
            <v>9.4469104830000004E-3</v>
          </cell>
          <cell r="CG135">
            <v>9.4469104830000004E-3</v>
          </cell>
          <cell r="CL135">
            <v>9.4469104830000004E-3</v>
          </cell>
          <cell r="CQ135">
            <v>9.4469104830000004E-3</v>
          </cell>
          <cell r="CV135">
            <v>9.4469104830000004E-3</v>
          </cell>
          <cell r="CW135">
            <v>9.4469104830000004E-3</v>
          </cell>
          <cell r="CX135">
            <v>9.4469104830000004E-3</v>
          </cell>
          <cell r="CY135">
            <v>9.4469104830000004E-3</v>
          </cell>
        </row>
        <row r="136">
          <cell r="B136" t="str">
            <v>Sales - % Mexico</v>
          </cell>
          <cell r="C136" t="str">
            <v>SALES_MEXICO</v>
          </cell>
          <cell r="BC136">
            <v>1.0937768388999999E-2</v>
          </cell>
          <cell r="BH136">
            <v>1.2247680771E-2</v>
          </cell>
          <cell r="BM136">
            <v>1.5653452963000001E-2</v>
          </cell>
          <cell r="BR136">
            <v>1.4736514296E-2</v>
          </cell>
          <cell r="BW136">
            <v>1.2116689532E-2</v>
          </cell>
          <cell r="CB136">
            <v>1.2116689532E-2</v>
          </cell>
          <cell r="CG136">
            <v>1.2116689532E-2</v>
          </cell>
          <cell r="CL136">
            <v>1.2116689532E-2</v>
          </cell>
          <cell r="CQ136">
            <v>1.2116689532E-2</v>
          </cell>
          <cell r="CV136">
            <v>1.2116689532E-2</v>
          </cell>
          <cell r="CW136">
            <v>1.2116689532E-2</v>
          </cell>
          <cell r="CX136">
            <v>1.2116689532E-2</v>
          </cell>
          <cell r="CY136">
            <v>1.2116689532E-2</v>
          </cell>
        </row>
        <row r="137">
          <cell r="B137" t="str">
            <v>Sales - % Venezuela</v>
          </cell>
          <cell r="C137" t="str">
            <v>SALES_VENEZUELA</v>
          </cell>
        </row>
        <row r="138">
          <cell r="B138" t="str">
            <v>Sales - % Other Latin Americas</v>
          </cell>
          <cell r="C138" t="str">
            <v>SALES_OTH_LATAM</v>
          </cell>
          <cell r="BC138">
            <v>4.6346476219999997E-3</v>
          </cell>
          <cell r="BH138">
            <v>5.1896952420000001E-3</v>
          </cell>
          <cell r="BM138">
            <v>6.6328190519999997E-3</v>
          </cell>
          <cell r="BR138">
            <v>6.2442857189999998E-3</v>
          </cell>
          <cell r="BW138">
            <v>5.1341904800000001E-3</v>
          </cell>
          <cell r="CB138">
            <v>5.1341904800000001E-3</v>
          </cell>
          <cell r="CG138">
            <v>5.1341904800000001E-3</v>
          </cell>
          <cell r="CL138">
            <v>5.1341904800000001E-3</v>
          </cell>
          <cell r="CQ138">
            <v>5.1341904800000001E-3</v>
          </cell>
          <cell r="CV138">
            <v>5.1341904800000001E-3</v>
          </cell>
          <cell r="CW138">
            <v>5.1341904800000001E-3</v>
          </cell>
          <cell r="CX138">
            <v>5.1341904800000001E-3</v>
          </cell>
          <cell r="CY138">
            <v>5.1341904800000001E-3</v>
          </cell>
        </row>
        <row r="139">
          <cell r="B139" t="str">
            <v>Sales - % Austria</v>
          </cell>
          <cell r="C139" t="str">
            <v>SALES_AUSTRIA</v>
          </cell>
          <cell r="BC139">
            <v>2.0730388399999998E-3</v>
          </cell>
          <cell r="BH139">
            <v>1.9504083740000001E-3</v>
          </cell>
          <cell r="BM139">
            <v>1.8160988149999999E-3</v>
          </cell>
          <cell r="BR139">
            <v>1.874494275E-3</v>
          </cell>
          <cell r="BW139">
            <v>1.4832446919999999E-3</v>
          </cell>
          <cell r="CB139">
            <v>1.4832446919999999E-3</v>
          </cell>
          <cell r="CG139">
            <v>1.4832446919999999E-3</v>
          </cell>
          <cell r="CL139">
            <v>1.4832446919999999E-3</v>
          </cell>
          <cell r="CQ139">
            <v>1.4832446919999999E-3</v>
          </cell>
          <cell r="CV139">
            <v>1.4832446919999999E-3</v>
          </cell>
          <cell r="CW139">
            <v>1.4832446919999999E-3</v>
          </cell>
          <cell r="CX139">
            <v>1.4832446919999999E-3</v>
          </cell>
          <cell r="CY139">
            <v>1.4832446919999999E-3</v>
          </cell>
        </row>
        <row r="140">
          <cell r="B140" t="str">
            <v>Sales - % Belgium</v>
          </cell>
          <cell r="C140" t="str">
            <v>SALES_BEL</v>
          </cell>
          <cell r="BC140">
            <v>2.9614840599999999E-4</v>
          </cell>
          <cell r="BH140">
            <v>2.7862976799999999E-4</v>
          </cell>
          <cell r="BM140">
            <v>2.5944268799999999E-4</v>
          </cell>
          <cell r="BR140">
            <v>2.6778489600000002E-4</v>
          </cell>
          <cell r="BW140">
            <v>2.1189209899999999E-4</v>
          </cell>
          <cell r="CB140">
            <v>2.1189209899999999E-4</v>
          </cell>
          <cell r="CG140">
            <v>2.1189209899999999E-4</v>
          </cell>
          <cell r="CL140">
            <v>2.1189209899999999E-4</v>
          </cell>
          <cell r="CQ140">
            <v>2.1189209899999999E-4</v>
          </cell>
          <cell r="CV140">
            <v>2.1189209899999999E-4</v>
          </cell>
          <cell r="CW140">
            <v>2.1189209899999999E-4</v>
          </cell>
          <cell r="CX140">
            <v>2.1189209899999999E-4</v>
          </cell>
          <cell r="CY140">
            <v>2.1189209899999999E-4</v>
          </cell>
        </row>
        <row r="141">
          <cell r="B141" t="str">
            <v>Sales - % France</v>
          </cell>
          <cell r="C141" t="str">
            <v>SALES_FRA</v>
          </cell>
          <cell r="AX141">
            <v>8.2949716714000005E-2</v>
          </cell>
          <cell r="BC141">
            <v>7.5173060727000002E-2</v>
          </cell>
          <cell r="BH141">
            <v>7.0726203614000005E-2</v>
          </cell>
          <cell r="BM141">
            <v>6.5855836299000006E-2</v>
          </cell>
          <cell r="BR141">
            <v>6.7973387304999994E-2</v>
          </cell>
          <cell r="BW141">
            <v>5.3785795562999998E-2</v>
          </cell>
          <cell r="CB141">
            <v>5.3785795562999998E-2</v>
          </cell>
          <cell r="CG141">
            <v>5.3785795562999998E-2</v>
          </cell>
          <cell r="CL141">
            <v>5.3785795562999998E-2</v>
          </cell>
          <cell r="CQ141">
            <v>5.3785795562999998E-2</v>
          </cell>
          <cell r="CV141">
            <v>5.3785795562999998E-2</v>
          </cell>
          <cell r="CW141">
            <v>5.3785795562999998E-2</v>
          </cell>
          <cell r="CX141">
            <v>5.3785795562999998E-2</v>
          </cell>
          <cell r="CY141">
            <v>5.3785795562999998E-2</v>
          </cell>
        </row>
        <row r="142">
          <cell r="B142" t="str">
            <v>Sales - % Germany</v>
          </cell>
          <cell r="C142" t="str">
            <v>SALES_GER</v>
          </cell>
          <cell r="AX142">
            <v>9.2616855523999994E-2</v>
          </cell>
          <cell r="BC142">
            <v>7.7869067097000005E-2</v>
          </cell>
          <cell r="BH142">
            <v>7.3262727917000003E-2</v>
          </cell>
          <cell r="BM142">
            <v>6.8217689767000003E-2</v>
          </cell>
          <cell r="BR142">
            <v>7.0411184614000005E-2</v>
          </cell>
          <cell r="BW142">
            <v>5.5714769134000003E-2</v>
          </cell>
          <cell r="CB142">
            <v>5.5714769134000003E-2</v>
          </cell>
          <cell r="CG142">
            <v>5.5714769134000003E-2</v>
          </cell>
          <cell r="CL142">
            <v>5.5714769134000003E-2</v>
          </cell>
          <cell r="CQ142">
            <v>5.5714769134000003E-2</v>
          </cell>
          <cell r="CV142">
            <v>5.5714769134000003E-2</v>
          </cell>
          <cell r="CW142">
            <v>5.5714769134000003E-2</v>
          </cell>
          <cell r="CX142">
            <v>5.5714769134000003E-2</v>
          </cell>
          <cell r="CY142">
            <v>5.5714769134000003E-2</v>
          </cell>
        </row>
        <row r="143">
          <cell r="B143" t="str">
            <v>Sales - % Greece</v>
          </cell>
          <cell r="C143" t="str">
            <v>SALES_GRE</v>
          </cell>
          <cell r="BC143">
            <v>1.0365194199999999E-3</v>
          </cell>
          <cell r="BH143">
            <v>9.7520418700000003E-4</v>
          </cell>
          <cell r="BM143">
            <v>9.0804940799999996E-4</v>
          </cell>
          <cell r="BR143">
            <v>9.3724713799999998E-4</v>
          </cell>
          <cell r="BW143">
            <v>7.4162234599999997E-4</v>
          </cell>
          <cell r="CB143">
            <v>7.4162234599999997E-4</v>
          </cell>
          <cell r="CG143">
            <v>7.4162234599999997E-4</v>
          </cell>
          <cell r="CL143">
            <v>7.4162234599999997E-4</v>
          </cell>
          <cell r="CQ143">
            <v>7.4162234599999997E-4</v>
          </cell>
          <cell r="CV143">
            <v>7.4162234599999997E-4</v>
          </cell>
          <cell r="CW143">
            <v>7.4162234599999997E-4</v>
          </cell>
          <cell r="CX143">
            <v>7.4162234599999997E-4</v>
          </cell>
          <cell r="CY143">
            <v>7.4162234599999997E-4</v>
          </cell>
        </row>
        <row r="144">
          <cell r="B144" t="str">
            <v>Sales - % Ireland</v>
          </cell>
          <cell r="C144" t="str">
            <v>SALES_IRE</v>
          </cell>
          <cell r="BC144">
            <v>7.4037101400000003E-4</v>
          </cell>
          <cell r="BH144">
            <v>6.96574419E-4</v>
          </cell>
          <cell r="BM144">
            <v>6.4860671999999997E-4</v>
          </cell>
          <cell r="BR144">
            <v>6.6946224100000002E-4</v>
          </cell>
          <cell r="BW144">
            <v>5.2973024699999995E-4</v>
          </cell>
          <cell r="CB144">
            <v>5.2973024699999995E-4</v>
          </cell>
          <cell r="CG144">
            <v>5.2973024699999995E-4</v>
          </cell>
          <cell r="CL144">
            <v>5.2973024699999995E-4</v>
          </cell>
          <cell r="CQ144">
            <v>5.2973024699999995E-4</v>
          </cell>
          <cell r="CV144">
            <v>5.2973024699999995E-4</v>
          </cell>
          <cell r="CW144">
            <v>5.2973024699999995E-4</v>
          </cell>
          <cell r="CX144">
            <v>5.2973024699999995E-4</v>
          </cell>
          <cell r="CY144">
            <v>5.2973024699999995E-4</v>
          </cell>
        </row>
        <row r="145">
          <cell r="B145" t="str">
            <v>Sales - % Italy</v>
          </cell>
          <cell r="C145" t="str">
            <v>SALES_ITA</v>
          </cell>
          <cell r="BC145">
            <v>4.4422260869999997E-3</v>
          </cell>
          <cell r="BH145">
            <v>4.179446515E-3</v>
          </cell>
          <cell r="BM145">
            <v>3.8916403180000001E-3</v>
          </cell>
          <cell r="BR145">
            <v>4.0167734469999999E-3</v>
          </cell>
          <cell r="BW145">
            <v>3.1783814819999999E-3</v>
          </cell>
          <cell r="CB145">
            <v>3.1783814819999999E-3</v>
          </cell>
          <cell r="CG145">
            <v>3.1783814819999999E-3</v>
          </cell>
          <cell r="CL145">
            <v>3.1783814819999999E-3</v>
          </cell>
          <cell r="CQ145">
            <v>3.1783814819999999E-3</v>
          </cell>
          <cell r="CV145">
            <v>3.1783814819999999E-3</v>
          </cell>
          <cell r="CW145">
            <v>3.1783814819999999E-3</v>
          </cell>
          <cell r="CX145">
            <v>3.1783814819999999E-3</v>
          </cell>
          <cell r="CY145">
            <v>3.1783814819999999E-3</v>
          </cell>
        </row>
        <row r="146">
          <cell r="B146" t="str">
            <v>Sales - % Netherlands</v>
          </cell>
          <cell r="C146" t="str">
            <v>SALES_NETH</v>
          </cell>
          <cell r="BC146">
            <v>1.0365194199999999E-3</v>
          </cell>
          <cell r="BH146">
            <v>9.7520418700000003E-4</v>
          </cell>
          <cell r="BM146">
            <v>9.0804940799999996E-4</v>
          </cell>
          <cell r="BR146">
            <v>9.3724713799999998E-4</v>
          </cell>
          <cell r="BW146">
            <v>7.4162234599999997E-4</v>
          </cell>
          <cell r="CB146">
            <v>7.4162234599999997E-4</v>
          </cell>
          <cell r="CG146">
            <v>7.4162234599999997E-4</v>
          </cell>
          <cell r="CL146">
            <v>7.4162234599999997E-4</v>
          </cell>
          <cell r="CQ146">
            <v>7.4162234599999997E-4</v>
          </cell>
          <cell r="CV146">
            <v>7.4162234599999997E-4</v>
          </cell>
          <cell r="CW146">
            <v>7.4162234599999997E-4</v>
          </cell>
          <cell r="CX146">
            <v>7.4162234599999997E-4</v>
          </cell>
          <cell r="CY146">
            <v>7.4162234599999997E-4</v>
          </cell>
        </row>
        <row r="147">
          <cell r="B147" t="str">
            <v>Sales - % Norway</v>
          </cell>
          <cell r="C147" t="str">
            <v>SALES_NOR</v>
          </cell>
        </row>
        <row r="148">
          <cell r="B148" t="str">
            <v>Sales - % Portugal</v>
          </cell>
          <cell r="C148" t="str">
            <v>SALES_POR</v>
          </cell>
          <cell r="BC148">
            <v>1.4807420299999999E-4</v>
          </cell>
          <cell r="BH148">
            <v>1.3931488399999999E-4</v>
          </cell>
          <cell r="BM148">
            <v>1.2972134399999999E-4</v>
          </cell>
          <cell r="BR148">
            <v>1.3389244800000001E-4</v>
          </cell>
          <cell r="BW148">
            <v>1.05946049E-4</v>
          </cell>
          <cell r="CB148">
            <v>1.05946049E-4</v>
          </cell>
          <cell r="CG148">
            <v>1.05946049E-4</v>
          </cell>
          <cell r="CL148">
            <v>1.05946049E-4</v>
          </cell>
          <cell r="CQ148">
            <v>1.05946049E-4</v>
          </cell>
          <cell r="CV148">
            <v>1.05946049E-4</v>
          </cell>
          <cell r="CW148">
            <v>1.05946049E-4</v>
          </cell>
          <cell r="CX148">
            <v>1.05946049E-4</v>
          </cell>
          <cell r="CY148">
            <v>1.05946049E-4</v>
          </cell>
        </row>
        <row r="149">
          <cell r="B149" t="str">
            <v>Sales - % Spain</v>
          </cell>
          <cell r="C149" t="str">
            <v>SALES_SPA</v>
          </cell>
          <cell r="AX149">
            <v>1.1437677053999999E-2</v>
          </cell>
          <cell r="BC149">
            <v>2.6137256559E-2</v>
          </cell>
          <cell r="BH149">
            <v>2.4591108988000002E-2</v>
          </cell>
          <cell r="BM149">
            <v>2.2897709267000001E-2</v>
          </cell>
          <cell r="BR149">
            <v>2.3633970016000001E-2</v>
          </cell>
          <cell r="BW149">
            <v>1.8701023003E-2</v>
          </cell>
          <cell r="CB149">
            <v>1.8701023003E-2</v>
          </cell>
          <cell r="CG149">
            <v>1.8701023003E-2</v>
          </cell>
          <cell r="CL149">
            <v>1.8701023003E-2</v>
          </cell>
          <cell r="CQ149">
            <v>1.8701023003E-2</v>
          </cell>
          <cell r="CV149">
            <v>1.8701023003E-2</v>
          </cell>
          <cell r="CW149">
            <v>1.8701023003E-2</v>
          </cell>
          <cell r="CX149">
            <v>1.8701023003E-2</v>
          </cell>
          <cell r="CY149">
            <v>1.8701023003E-2</v>
          </cell>
        </row>
        <row r="150">
          <cell r="B150" t="str">
            <v>Sales - % Sweden</v>
          </cell>
          <cell r="C150" t="str">
            <v>SALES_SWE</v>
          </cell>
        </row>
        <row r="151">
          <cell r="B151" t="str">
            <v>Sales - % Switzerland</v>
          </cell>
          <cell r="C151" t="str">
            <v>SALES_SWIT</v>
          </cell>
          <cell r="BC151">
            <v>3.2576324640000002E-3</v>
          </cell>
          <cell r="BH151">
            <v>3.0649274449999998E-3</v>
          </cell>
          <cell r="BM151">
            <v>2.8538695670000001E-3</v>
          </cell>
          <cell r="BR151">
            <v>2.945633861E-3</v>
          </cell>
          <cell r="BW151">
            <v>2.3308130869999998E-3</v>
          </cell>
          <cell r="CB151">
            <v>2.3308130869999998E-3</v>
          </cell>
          <cell r="CG151">
            <v>2.3308130869999998E-3</v>
          </cell>
          <cell r="CL151">
            <v>2.3308130869999998E-3</v>
          </cell>
          <cell r="CQ151">
            <v>2.3308130869999998E-3</v>
          </cell>
          <cell r="CV151">
            <v>2.3308130869999998E-3</v>
          </cell>
          <cell r="CW151">
            <v>2.3308130869999998E-3</v>
          </cell>
          <cell r="CX151">
            <v>2.3308130869999998E-3</v>
          </cell>
          <cell r="CY151">
            <v>2.3308130869999998E-3</v>
          </cell>
        </row>
        <row r="152">
          <cell r="B152" t="str">
            <v>Sales - % UK</v>
          </cell>
          <cell r="C152" t="str">
            <v>SALES_UK</v>
          </cell>
          <cell r="AX152">
            <v>5.3851086809999997E-2</v>
          </cell>
          <cell r="BC152">
            <v>6.1973133436E-2</v>
          </cell>
          <cell r="BH152">
            <v>5.8307117092000003E-2</v>
          </cell>
          <cell r="BM152">
            <v>5.4291956333999997E-2</v>
          </cell>
          <cell r="BR152">
            <v>5.6037678403000002E-2</v>
          </cell>
          <cell r="BW152">
            <v>4.4341340542999999E-2</v>
          </cell>
          <cell r="CB152">
            <v>4.4341340542999999E-2</v>
          </cell>
          <cell r="CG152">
            <v>4.4341340542999999E-2</v>
          </cell>
          <cell r="CL152">
            <v>4.4341340542999999E-2</v>
          </cell>
          <cell r="CQ152">
            <v>4.4341340542999999E-2</v>
          </cell>
          <cell r="CV152">
            <v>4.4341340542999999E-2</v>
          </cell>
          <cell r="CW152">
            <v>4.4341340542999999E-2</v>
          </cell>
          <cell r="CX152">
            <v>4.4341340542999999E-2</v>
          </cell>
          <cell r="CY152">
            <v>4.4341340542999999E-2</v>
          </cell>
        </row>
        <row r="153">
          <cell r="B153" t="str">
            <v>Sales - % Other Western Europe</v>
          </cell>
          <cell r="C153" t="str">
            <v>SALES_OTH_WEST_EURO</v>
          </cell>
          <cell r="BC153">
            <v>3.0234710091000001E-2</v>
          </cell>
          <cell r="BH153">
            <v>2.8446177945000001E-2</v>
          </cell>
          <cell r="BM153">
            <v>2.6487309404000001E-2</v>
          </cell>
          <cell r="BR153">
            <v>2.7338991377999999E-2</v>
          </cell>
          <cell r="BW153">
            <v>2.1632722149999999E-2</v>
          </cell>
          <cell r="CB153">
            <v>2.1632722149999999E-2</v>
          </cell>
          <cell r="CG153">
            <v>2.1632722149999999E-2</v>
          </cell>
          <cell r="CL153">
            <v>2.1632722149999999E-2</v>
          </cell>
          <cell r="CQ153">
            <v>2.1632722149999999E-2</v>
          </cell>
          <cell r="CV153">
            <v>2.1632722149999999E-2</v>
          </cell>
          <cell r="CW153">
            <v>2.1632722149999999E-2</v>
          </cell>
          <cell r="CX153">
            <v>2.1632722149999999E-2</v>
          </cell>
          <cell r="CY153">
            <v>2.1632722149999999E-2</v>
          </cell>
        </row>
        <row r="154">
          <cell r="B154" t="str">
            <v>Sales - % Poland</v>
          </cell>
          <cell r="C154" t="str">
            <v>SALES_POLAND</v>
          </cell>
        </row>
        <row r="155">
          <cell r="B155" t="str">
            <v>Sales - % Russia</v>
          </cell>
          <cell r="C155" t="str">
            <v>SALES_RUSSIA</v>
          </cell>
          <cell r="BC155">
            <v>1.2290158840000001E-2</v>
          </cell>
          <cell r="BH155">
            <v>1.1563135359E-2</v>
          </cell>
          <cell r="BM155">
            <v>1.0766871547E-2</v>
          </cell>
          <cell r="BR155">
            <v>1.1113073205000001E-2</v>
          </cell>
          <cell r="BW155">
            <v>8.7935220999999994E-3</v>
          </cell>
          <cell r="CB155">
            <v>8.7935220999999994E-3</v>
          </cell>
          <cell r="CG155">
            <v>8.7935220999999994E-3</v>
          </cell>
          <cell r="CL155">
            <v>8.7935220999999994E-3</v>
          </cell>
          <cell r="CQ155">
            <v>8.7935220999999994E-3</v>
          </cell>
          <cell r="CV155">
            <v>8.7935220999999994E-3</v>
          </cell>
          <cell r="CW155">
            <v>8.7935220999999994E-3</v>
          </cell>
          <cell r="CX155">
            <v>8.7935220999999994E-3</v>
          </cell>
          <cell r="CY155">
            <v>8.7935220999999994E-3</v>
          </cell>
        </row>
        <row r="156">
          <cell r="B156" t="str">
            <v>Sales - % Turkey</v>
          </cell>
          <cell r="C156" t="str">
            <v>SALES_TURKEY</v>
          </cell>
          <cell r="BC156">
            <v>2.7634730539000001E-2</v>
          </cell>
          <cell r="BH156">
            <v>2.5999999999999999E-2</v>
          </cell>
          <cell r="BM156">
            <v>2.4209580838000001E-2</v>
          </cell>
          <cell r="BR156">
            <v>2.4988023952000001E-2</v>
          </cell>
          <cell r="BW156">
            <v>1.9772455089999998E-2</v>
          </cell>
          <cell r="CB156">
            <v>1.9772455089999998E-2</v>
          </cell>
          <cell r="CG156">
            <v>1.9772455089999998E-2</v>
          </cell>
          <cell r="CL156">
            <v>1.9772455089999998E-2</v>
          </cell>
          <cell r="CQ156">
            <v>1.9772455089999998E-2</v>
          </cell>
          <cell r="CV156">
            <v>1.9772455089999998E-2</v>
          </cell>
          <cell r="CW156">
            <v>1.9772455089999998E-2</v>
          </cell>
          <cell r="CX156">
            <v>1.9772455089999998E-2</v>
          </cell>
          <cell r="CY156">
            <v>1.9772455089999998E-2</v>
          </cell>
        </row>
        <row r="157">
          <cell r="B157" t="str">
            <v>Sales - % Other CEE</v>
          </cell>
          <cell r="C157" t="str">
            <v>SALES_OTH_CEE</v>
          </cell>
          <cell r="BC157">
            <v>3.0234710091000001E-2</v>
          </cell>
          <cell r="BH157">
            <v>2.8446177945000001E-2</v>
          </cell>
          <cell r="BM157">
            <v>2.6487309404000001E-2</v>
          </cell>
          <cell r="BR157">
            <v>2.7338991377999999E-2</v>
          </cell>
          <cell r="BW157">
            <v>2.1632722149999999E-2</v>
          </cell>
          <cell r="CB157">
            <v>2.1632722149999999E-2</v>
          </cell>
          <cell r="CG157">
            <v>2.1632722149999999E-2</v>
          </cell>
          <cell r="CL157">
            <v>2.1632722149999999E-2</v>
          </cell>
          <cell r="CQ157">
            <v>2.1632722149999999E-2</v>
          </cell>
          <cell r="CV157">
            <v>2.1632722149999999E-2</v>
          </cell>
          <cell r="CW157">
            <v>2.1632722149999999E-2</v>
          </cell>
          <cell r="CX157">
            <v>2.1632722149999999E-2</v>
          </cell>
          <cell r="CY157">
            <v>2.1632722149999999E-2</v>
          </cell>
        </row>
        <row r="158">
          <cell r="B158" t="str">
            <v>Sales - % Saudi Arabia</v>
          </cell>
          <cell r="C158" t="str">
            <v>SALES_SAUDI_ARABIA</v>
          </cell>
          <cell r="BC158">
            <v>2.0836479830000001E-2</v>
          </cell>
          <cell r="BH158">
            <v>2.3331866635999999E-2</v>
          </cell>
          <cell r="BM158">
            <v>2.9819872330999999E-2</v>
          </cell>
          <cell r="BR158">
            <v>2.8073101566999999E-2</v>
          </cell>
          <cell r="BW158">
            <v>2.3082327954999999E-2</v>
          </cell>
          <cell r="CB158">
            <v>2.3082327954999999E-2</v>
          </cell>
          <cell r="CG158">
            <v>2.3082327954999999E-2</v>
          </cell>
          <cell r="CL158">
            <v>2.3082327954999999E-2</v>
          </cell>
          <cell r="CQ158">
            <v>2.3082327954999999E-2</v>
          </cell>
          <cell r="CV158">
            <v>2.3082327954999999E-2</v>
          </cell>
          <cell r="CW158">
            <v>2.3082327954999999E-2</v>
          </cell>
          <cell r="CX158">
            <v>2.3082327954999999E-2</v>
          </cell>
          <cell r="CY158">
            <v>2.3082327954999999E-2</v>
          </cell>
        </row>
        <row r="159">
          <cell r="B159" t="str">
            <v>Sales - % United Arab Emirates</v>
          </cell>
          <cell r="C159" t="str">
            <v>SALES_UAE</v>
          </cell>
          <cell r="BC159">
            <v>4.1958390890000002E-2</v>
          </cell>
          <cell r="BH159">
            <v>4.6983347883000001E-2</v>
          </cell>
          <cell r="BM159">
            <v>6.0048236063999998E-2</v>
          </cell>
          <cell r="BR159">
            <v>5.6530766168999998E-2</v>
          </cell>
          <cell r="BW159">
            <v>4.6480852183E-2</v>
          </cell>
          <cell r="CB159">
            <v>4.6480852183E-2</v>
          </cell>
          <cell r="CG159">
            <v>4.6480852183E-2</v>
          </cell>
          <cell r="CL159">
            <v>4.6480852183E-2</v>
          </cell>
          <cell r="CQ159">
            <v>4.6480852183E-2</v>
          </cell>
          <cell r="CV159">
            <v>4.6480852183E-2</v>
          </cell>
          <cell r="CW159">
            <v>4.6480852183E-2</v>
          </cell>
          <cell r="CX159">
            <v>4.6480852183E-2</v>
          </cell>
          <cell r="CY159">
            <v>4.6480852183E-2</v>
          </cell>
        </row>
        <row r="160">
          <cell r="B160" t="str">
            <v>Sales - % Other Middle East</v>
          </cell>
          <cell r="C160" t="str">
            <v>SALES_OTH_ME</v>
          </cell>
          <cell r="BC160">
            <v>3.3110022742999998E-2</v>
          </cell>
          <cell r="BH160">
            <v>3.7075294927999998E-2</v>
          </cell>
          <cell r="BM160">
            <v>4.7385002608E-2</v>
          </cell>
          <cell r="BR160">
            <v>4.4609312078999999E-2</v>
          </cell>
          <cell r="BW160">
            <v>3.6678767708999999E-2</v>
          </cell>
          <cell r="CB160">
            <v>3.6678767708999999E-2</v>
          </cell>
          <cell r="CG160">
            <v>3.6678767708999999E-2</v>
          </cell>
          <cell r="CL160">
            <v>3.6678767708999999E-2</v>
          </cell>
          <cell r="CQ160">
            <v>3.6678767708999999E-2</v>
          </cell>
          <cell r="CV160">
            <v>3.6678767708999999E-2</v>
          </cell>
          <cell r="CW160">
            <v>3.6678767708999999E-2</v>
          </cell>
          <cell r="CX160">
            <v>3.6678767708999999E-2</v>
          </cell>
          <cell r="CY160">
            <v>3.6678767708999999E-2</v>
          </cell>
        </row>
        <row r="161">
          <cell r="B161" t="str">
            <v>Sales - % Nigeria</v>
          </cell>
          <cell r="C161" t="str">
            <v>SALES_NIGERIA</v>
          </cell>
        </row>
        <row r="162">
          <cell r="B162" t="str">
            <v>Sales - % South Africa</v>
          </cell>
          <cell r="C162" t="str">
            <v>SALES_SO_AFRICA</v>
          </cell>
          <cell r="BC162">
            <v>4.420281172E-3</v>
          </cell>
          <cell r="BH162">
            <v>4.9496561620000004E-3</v>
          </cell>
          <cell r="BM162">
            <v>6.3260311379999996E-3</v>
          </cell>
          <cell r="BR162">
            <v>5.9554686440000002E-3</v>
          </cell>
          <cell r="BW162">
            <v>4.8967186629999999E-3</v>
          </cell>
          <cell r="CB162">
            <v>4.8967186629999999E-3</v>
          </cell>
          <cell r="CG162">
            <v>4.8967186629999999E-3</v>
          </cell>
          <cell r="CL162">
            <v>4.8967186629999999E-3</v>
          </cell>
          <cell r="CQ162">
            <v>4.8967186629999999E-3</v>
          </cell>
          <cell r="CV162">
            <v>4.8967186629999999E-3</v>
          </cell>
          <cell r="CW162">
            <v>4.8967186629999999E-3</v>
          </cell>
          <cell r="CX162">
            <v>4.8967186629999999E-3</v>
          </cell>
          <cell r="CY162">
            <v>4.8967186629999999E-3</v>
          </cell>
        </row>
        <row r="163">
          <cell r="B163" t="str">
            <v>Sales - % Other Africa</v>
          </cell>
          <cell r="C163" t="str">
            <v>SALES_OTH_AFRICA</v>
          </cell>
          <cell r="BC163">
            <v>1.0068418224E-2</v>
          </cell>
          <cell r="BH163">
            <v>1.1274216813999999E-2</v>
          </cell>
          <cell r="BM163">
            <v>1.4409293147000001E-2</v>
          </cell>
          <cell r="BR163">
            <v>1.3565234133999999E-2</v>
          </cell>
          <cell r="BW163">
            <v>1.1153636955000001E-2</v>
          </cell>
          <cell r="CB163">
            <v>1.1153636955000001E-2</v>
          </cell>
          <cell r="CG163">
            <v>1.1153636955000001E-2</v>
          </cell>
          <cell r="CL163">
            <v>1.1153636955000001E-2</v>
          </cell>
          <cell r="CQ163">
            <v>1.1153636955000001E-2</v>
          </cell>
          <cell r="CV163">
            <v>1.1153636955000001E-2</v>
          </cell>
          <cell r="CW163">
            <v>1.1153636955000001E-2</v>
          </cell>
          <cell r="CX163">
            <v>1.1153636955000001E-2</v>
          </cell>
          <cell r="CY163">
            <v>1.1153636955000001E-2</v>
          </cell>
        </row>
        <row r="164">
          <cell r="B164" t="str">
            <v>Sales - % Hong Kong</v>
          </cell>
          <cell r="C164" t="str">
            <v>SALES_HONG_KONG</v>
          </cell>
          <cell r="BC164">
            <v>1.7682252757999999E-2</v>
          </cell>
          <cell r="BH164">
            <v>1.7092844332999999E-2</v>
          </cell>
          <cell r="BM164">
            <v>1.5592531978E-2</v>
          </cell>
          <cell r="BR164">
            <v>1.7146426917E-2</v>
          </cell>
          <cell r="BW164">
            <v>1.9932721290999999E-2</v>
          </cell>
          <cell r="CB164">
            <v>1.9932721290999999E-2</v>
          </cell>
          <cell r="CG164">
            <v>1.9932721290999999E-2</v>
          </cell>
          <cell r="CL164">
            <v>1.9932721290999999E-2</v>
          </cell>
          <cell r="CQ164">
            <v>1.9932721290999999E-2</v>
          </cell>
          <cell r="CV164">
            <v>1.9932721290999999E-2</v>
          </cell>
          <cell r="CW164">
            <v>1.9932721290999999E-2</v>
          </cell>
          <cell r="CX164">
            <v>1.9932721290999999E-2</v>
          </cell>
          <cell r="CY164">
            <v>1.9932721290999999E-2</v>
          </cell>
        </row>
        <row r="165">
          <cell r="B165" t="str">
            <v>Sales - % Japan</v>
          </cell>
          <cell r="C165" t="str">
            <v>SALES_JAPAN</v>
          </cell>
          <cell r="AX165">
            <v>0.08</v>
          </cell>
          <cell r="BC165">
            <v>1.268509437E-2</v>
          </cell>
          <cell r="BH165">
            <v>1.2262257891E-2</v>
          </cell>
          <cell r="BM165">
            <v>1.1185946852999999E-2</v>
          </cell>
          <cell r="BR165">
            <v>1.2300697571E-2</v>
          </cell>
          <cell r="BW165">
            <v>1.4299560926E-2</v>
          </cell>
          <cell r="CB165">
            <v>1.4299560926E-2</v>
          </cell>
          <cell r="CG165">
            <v>1.4299560926E-2</v>
          </cell>
          <cell r="CL165">
            <v>1.4299560926E-2</v>
          </cell>
          <cell r="CQ165">
            <v>1.4299560926E-2</v>
          </cell>
          <cell r="CV165">
            <v>1.4299560926E-2</v>
          </cell>
          <cell r="CW165">
            <v>1.4299560926E-2</v>
          </cell>
          <cell r="CX165">
            <v>1.4299560926E-2</v>
          </cell>
          <cell r="CY165">
            <v>1.4299560926E-2</v>
          </cell>
        </row>
        <row r="166">
          <cell r="B166" t="str">
            <v>Sales - % Singapore</v>
          </cell>
          <cell r="C166" t="str">
            <v>SALES_SINGAPORE</v>
          </cell>
          <cell r="BC166">
            <v>1.6529062361000001E-2</v>
          </cell>
          <cell r="BH166">
            <v>1.5978093615000001E-2</v>
          </cell>
          <cell r="BM166">
            <v>1.4575627718E-2</v>
          </cell>
          <cell r="BR166">
            <v>1.6028181682999999E-2</v>
          </cell>
          <cell r="BW166">
            <v>1.8632761207000002E-2</v>
          </cell>
          <cell r="CB166">
            <v>1.8632761207000002E-2</v>
          </cell>
          <cell r="CG166">
            <v>1.8632761207000002E-2</v>
          </cell>
          <cell r="CL166">
            <v>1.8632761207000002E-2</v>
          </cell>
          <cell r="CQ166">
            <v>1.8632761207000002E-2</v>
          </cell>
          <cell r="CV166">
            <v>1.8632761207000002E-2</v>
          </cell>
          <cell r="CW166">
            <v>1.8632761207000002E-2</v>
          </cell>
          <cell r="CX166">
            <v>1.8632761207000002E-2</v>
          </cell>
          <cell r="CY166">
            <v>1.8632761207000002E-2</v>
          </cell>
        </row>
        <row r="167">
          <cell r="B167" t="str">
            <v>Sales - % South Korea</v>
          </cell>
          <cell r="C167" t="str">
            <v>SALES_SK</v>
          </cell>
          <cell r="AS167">
            <v>0</v>
          </cell>
          <cell r="BC167">
            <v>9.2255231779999995E-3</v>
          </cell>
          <cell r="BH167">
            <v>8.9180057389999998E-3</v>
          </cell>
          <cell r="BM167">
            <v>8.1352340749999991E-3</v>
          </cell>
          <cell r="BR167">
            <v>8.9459618699999997E-3</v>
          </cell>
          <cell r="BW167">
            <v>1.0399680672999999E-2</v>
          </cell>
          <cell r="CB167">
            <v>1.0399680672999999E-2</v>
          </cell>
          <cell r="CG167">
            <v>1.0399680672999999E-2</v>
          </cell>
          <cell r="CL167">
            <v>1.0399680672999999E-2</v>
          </cell>
          <cell r="CQ167">
            <v>1.0399680672999999E-2</v>
          </cell>
          <cell r="CV167">
            <v>1.0399680672999999E-2</v>
          </cell>
          <cell r="CW167">
            <v>1.0399680672999999E-2</v>
          </cell>
          <cell r="CX167">
            <v>1.0399680672999999E-2</v>
          </cell>
          <cell r="CY167">
            <v>1.0399680672999999E-2</v>
          </cell>
        </row>
        <row r="168">
          <cell r="B168" t="str">
            <v>Sales - % Taiwan</v>
          </cell>
          <cell r="C168" t="str">
            <v>SALES_TAIWAN</v>
          </cell>
          <cell r="BC168">
            <v>8.4567295800000008E-3</v>
          </cell>
          <cell r="BH168">
            <v>8.1748385940000005E-3</v>
          </cell>
          <cell r="BM168">
            <v>7.4572979019999997E-3</v>
          </cell>
          <cell r="BR168">
            <v>8.2004650469999999E-3</v>
          </cell>
          <cell r="BW168">
            <v>9.5330406169999993E-3</v>
          </cell>
          <cell r="CB168">
            <v>9.5330406169999993E-3</v>
          </cell>
          <cell r="CG168">
            <v>9.5330406169999993E-3</v>
          </cell>
          <cell r="CL168">
            <v>9.5330406169999993E-3</v>
          </cell>
          <cell r="CQ168">
            <v>9.5330406169999993E-3</v>
          </cell>
          <cell r="CV168">
            <v>9.5330406169999993E-3</v>
          </cell>
          <cell r="CW168">
            <v>9.5330406169999993E-3</v>
          </cell>
          <cell r="CX168">
            <v>9.5330406169999993E-3</v>
          </cell>
          <cell r="CY168">
            <v>9.5330406169999993E-3</v>
          </cell>
        </row>
        <row r="169">
          <cell r="B169" t="str">
            <v>Sales - % Other Developed Asia</v>
          </cell>
          <cell r="C169" t="str">
            <v>SALES_OTH_DEV_ASIA</v>
          </cell>
          <cell r="BC169">
            <v>2.7964867133999999E-2</v>
          </cell>
          <cell r="BH169">
            <v>2.7032704896000001E-2</v>
          </cell>
          <cell r="BM169">
            <v>2.4659928291E-2</v>
          </cell>
          <cell r="BR169">
            <v>2.7117446917E-2</v>
          </cell>
          <cell r="BW169">
            <v>3.1524032042000001E-2</v>
          </cell>
          <cell r="CB169">
            <v>3.1524032042000001E-2</v>
          </cell>
          <cell r="CG169">
            <v>3.1524032042000001E-2</v>
          </cell>
          <cell r="CL169">
            <v>3.1524032042000001E-2</v>
          </cell>
          <cell r="CQ169">
            <v>3.1524032042000001E-2</v>
          </cell>
          <cell r="CV169">
            <v>3.1524032042000001E-2</v>
          </cell>
          <cell r="CW169">
            <v>3.1524032042000001E-2</v>
          </cell>
          <cell r="CX169">
            <v>3.1524032042000001E-2</v>
          </cell>
          <cell r="CY169">
            <v>3.1524032042000001E-2</v>
          </cell>
        </row>
        <row r="170">
          <cell r="B170" t="str">
            <v>Sales - % China</v>
          </cell>
          <cell r="C170" t="str">
            <v>SALES_CHINA</v>
          </cell>
          <cell r="AX170">
            <v>0.1</v>
          </cell>
          <cell r="BC170">
            <v>0.14568638685400001</v>
          </cell>
          <cell r="BH170">
            <v>0.14083017395899999</v>
          </cell>
          <cell r="BM170">
            <v>0.12846890477100001</v>
          </cell>
          <cell r="BR170">
            <v>0.14127164785900001</v>
          </cell>
          <cell r="BW170">
            <v>0.164228290636</v>
          </cell>
          <cell r="CB170">
            <v>0.164228290636</v>
          </cell>
          <cell r="CG170">
            <v>0.164228290636</v>
          </cell>
          <cell r="CL170">
            <v>0.164228290636</v>
          </cell>
          <cell r="CQ170">
            <v>0.164228290636</v>
          </cell>
          <cell r="CV170">
            <v>0.164228290636</v>
          </cell>
          <cell r="CW170">
            <v>0.164228290636</v>
          </cell>
          <cell r="CX170">
            <v>0.164228290636</v>
          </cell>
          <cell r="CY170">
            <v>0.164228290636</v>
          </cell>
        </row>
        <row r="171">
          <cell r="B171" t="str">
            <v>Sales - % India</v>
          </cell>
          <cell r="C171" t="str">
            <v>SALES_INDIA</v>
          </cell>
          <cell r="AX171">
            <v>0.06</v>
          </cell>
          <cell r="BC171">
            <v>2.1141823949999999E-2</v>
          </cell>
          <cell r="BH171">
            <v>2.0437096485E-2</v>
          </cell>
          <cell r="BM171">
            <v>1.8643244755999999E-2</v>
          </cell>
          <cell r="BR171">
            <v>2.0501162618000002E-2</v>
          </cell>
          <cell r="BW171">
            <v>2.3832601543000001E-2</v>
          </cell>
          <cell r="CB171">
            <v>2.3832601543000001E-2</v>
          </cell>
          <cell r="CG171">
            <v>2.3832601543000001E-2</v>
          </cell>
          <cell r="CL171">
            <v>2.3832601543000001E-2</v>
          </cell>
          <cell r="CQ171">
            <v>2.3832601543000001E-2</v>
          </cell>
          <cell r="CV171">
            <v>2.3832601543000001E-2</v>
          </cell>
          <cell r="CW171">
            <v>2.3832601543000001E-2</v>
          </cell>
          <cell r="CX171">
            <v>2.3832601543000001E-2</v>
          </cell>
          <cell r="CY171">
            <v>2.3832601543000001E-2</v>
          </cell>
        </row>
        <row r="172">
          <cell r="B172" t="str">
            <v>Sales - % Indonesia</v>
          </cell>
          <cell r="C172" t="str">
            <v>SALES_INDONESIA</v>
          </cell>
          <cell r="BC172">
            <v>1.4991475164E-2</v>
          </cell>
          <cell r="BH172">
            <v>1.4491759325999999E-2</v>
          </cell>
          <cell r="BM172">
            <v>1.3219755372E-2</v>
          </cell>
          <cell r="BR172">
            <v>1.4537188038E-2</v>
          </cell>
          <cell r="BW172">
            <v>1.6899481094E-2</v>
          </cell>
          <cell r="CB172">
            <v>1.6899481094E-2</v>
          </cell>
          <cell r="CG172">
            <v>1.6899481094E-2</v>
          </cell>
          <cell r="CL172">
            <v>1.6899481094E-2</v>
          </cell>
          <cell r="CQ172">
            <v>1.6899481094E-2</v>
          </cell>
          <cell r="CV172">
            <v>1.6899481094E-2</v>
          </cell>
          <cell r="CW172">
            <v>1.6899481094E-2</v>
          </cell>
          <cell r="CX172">
            <v>1.6899481094E-2</v>
          </cell>
          <cell r="CY172">
            <v>1.6899481094E-2</v>
          </cell>
        </row>
        <row r="173">
          <cell r="B173" t="str">
            <v>Sales - % Thailand</v>
          </cell>
          <cell r="C173" t="str">
            <v>SALES_THAILAND</v>
          </cell>
          <cell r="BC173">
            <v>1.3069491169000001E-2</v>
          </cell>
          <cell r="BH173">
            <v>1.2633841462999999E-2</v>
          </cell>
          <cell r="BM173">
            <v>1.152491494E-2</v>
          </cell>
          <cell r="BR173">
            <v>1.2673445982000001E-2</v>
          </cell>
          <cell r="BW173">
            <v>1.4732880954000001E-2</v>
          </cell>
          <cell r="CB173">
            <v>1.4732880954000001E-2</v>
          </cell>
          <cell r="CG173">
            <v>1.4732880954000001E-2</v>
          </cell>
          <cell r="CL173">
            <v>1.4732880954000001E-2</v>
          </cell>
          <cell r="CQ173">
            <v>1.4732880954000001E-2</v>
          </cell>
          <cell r="CV173">
            <v>1.4732880954000001E-2</v>
          </cell>
          <cell r="CW173">
            <v>1.4732880954000001E-2</v>
          </cell>
          <cell r="CX173">
            <v>1.4732880954000001E-2</v>
          </cell>
          <cell r="CY173">
            <v>1.4732880954000001E-2</v>
          </cell>
        </row>
        <row r="174">
          <cell r="B174" t="str">
            <v>Sales - % Other Emerging Asia</v>
          </cell>
          <cell r="C174" t="str">
            <v>SALES_OTH_EMERG_ASIA</v>
          </cell>
          <cell r="BC174">
            <v>2.7964867133999999E-2</v>
          </cell>
          <cell r="BH174">
            <v>2.7032704896000001E-2</v>
          </cell>
          <cell r="BM174">
            <v>2.4670826707999999E-2</v>
          </cell>
          <cell r="BR174">
            <v>2.6872290558E-2</v>
          </cell>
          <cell r="BW174">
            <v>3.0938468149E-2</v>
          </cell>
          <cell r="CB174">
            <v>3.0938468149E-2</v>
          </cell>
          <cell r="CG174">
            <v>3.0938468149E-2</v>
          </cell>
          <cell r="CL174">
            <v>3.0938468149E-2</v>
          </cell>
          <cell r="CQ174">
            <v>3.0938468149E-2</v>
          </cell>
          <cell r="CV174">
            <v>3.0938468149E-2</v>
          </cell>
          <cell r="CW174">
            <v>3.0938468149E-2</v>
          </cell>
          <cell r="CX174">
            <v>3.0938468149E-2</v>
          </cell>
          <cell r="CY174">
            <v>3.0938468149E-2</v>
          </cell>
        </row>
        <row r="175">
          <cell r="B175" t="str">
            <v>Sales - % Australia</v>
          </cell>
          <cell r="C175" t="str">
            <v>SALES_AUSTRA</v>
          </cell>
          <cell r="BC175">
            <v>1.1916300772E-2</v>
          </cell>
          <cell r="BH175">
            <v>1.1519090746000001E-2</v>
          </cell>
          <cell r="BM175">
            <v>1.0508010680999999E-2</v>
          </cell>
          <cell r="BR175">
            <v>1.1555200748E-2</v>
          </cell>
          <cell r="BW175">
            <v>1.343292087E-2</v>
          </cell>
          <cell r="CB175">
            <v>1.343292087E-2</v>
          </cell>
          <cell r="CG175">
            <v>1.343292087E-2</v>
          </cell>
          <cell r="CL175">
            <v>1.343292087E-2</v>
          </cell>
          <cell r="CQ175">
            <v>1.343292087E-2</v>
          </cell>
          <cell r="CV175">
            <v>1.343292087E-2</v>
          </cell>
          <cell r="CW175">
            <v>1.343292087E-2</v>
          </cell>
          <cell r="CX175">
            <v>1.343292087E-2</v>
          </cell>
          <cell r="CY175">
            <v>1.343292087E-2</v>
          </cell>
        </row>
        <row r="176">
          <cell r="B176" t="str">
            <v>Sales - % New Zealand</v>
          </cell>
          <cell r="C176" t="str">
            <v>SALES_NZ</v>
          </cell>
          <cell r="BC176">
            <v>2.8829759929999998E-3</v>
          </cell>
          <cell r="BH176">
            <v>2.7868767930000001E-3</v>
          </cell>
          <cell r="BM176">
            <v>2.5422606490000002E-3</v>
          </cell>
          <cell r="BR176">
            <v>2.7956130839999998E-3</v>
          </cell>
          <cell r="BW176">
            <v>3.24990021E-3</v>
          </cell>
          <cell r="CB176">
            <v>3.24990021E-3</v>
          </cell>
          <cell r="CG176">
            <v>3.24990021E-3</v>
          </cell>
          <cell r="CL176">
            <v>3.24990021E-3</v>
          </cell>
          <cell r="CQ176">
            <v>3.24990021E-3</v>
          </cell>
          <cell r="CV176">
            <v>3.24990021E-3</v>
          </cell>
          <cell r="CW176">
            <v>3.24990021E-3</v>
          </cell>
          <cell r="CX176">
            <v>3.24990021E-3</v>
          </cell>
          <cell r="CY176">
            <v>3.24990021E-3</v>
          </cell>
        </row>
        <row r="177">
          <cell r="B177" t="str">
            <v>Sales - % Others</v>
          </cell>
          <cell r="C177" t="str">
            <v>SALES_OTHER</v>
          </cell>
          <cell r="AX177">
            <v>1</v>
          </cell>
          <cell r="BC177">
            <v>3.1711863000000003E-5</v>
          </cell>
          <cell r="BH177">
            <v>0</v>
          </cell>
          <cell r="BM177">
            <v>0</v>
          </cell>
          <cell r="BR177">
            <v>0</v>
          </cell>
          <cell r="BW177">
            <v>0</v>
          </cell>
          <cell r="CB177">
            <v>0</v>
          </cell>
          <cell r="CG177">
            <v>0</v>
          </cell>
          <cell r="CL177">
            <v>0</v>
          </cell>
          <cell r="CQ177">
            <v>0</v>
          </cell>
          <cell r="CV177">
            <v>0</v>
          </cell>
        </row>
        <row r="178">
          <cell r="B178" t="str">
            <v>% of CoGS from U.S. (GS estimate)</v>
          </cell>
          <cell r="C178" t="str">
            <v>COGS_PCT_US</v>
          </cell>
          <cell r="BC178">
            <v>0.63116844406200001</v>
          </cell>
          <cell r="BH178">
            <v>0.63116844406200001</v>
          </cell>
          <cell r="BM178">
            <v>0.63116844406200001</v>
          </cell>
          <cell r="BR178">
            <v>0.63116844406200001</v>
          </cell>
          <cell r="BW178">
            <v>0.63116844406200001</v>
          </cell>
          <cell r="CB178">
            <v>0.63116844406200001</v>
          </cell>
          <cell r="CG178">
            <v>0.63116844406200001</v>
          </cell>
          <cell r="CL178">
            <v>0.63116844406200001</v>
          </cell>
          <cell r="CQ178">
            <v>0.63116844406200001</v>
          </cell>
          <cell r="CV178">
            <v>0.63116844406200001</v>
          </cell>
          <cell r="CW178">
            <v>0.63116844406200001</v>
          </cell>
          <cell r="CX178">
            <v>0.63116844406200001</v>
          </cell>
          <cell r="CY178">
            <v>0.63116844406200001</v>
          </cell>
        </row>
        <row r="179">
          <cell r="B179" t="str">
            <v>% of CoGS from non-U.S. (GS estimate)</v>
          </cell>
          <cell r="C179" t="str">
            <v>COGS_PCT_ROW</v>
          </cell>
          <cell r="BC179">
            <v>0.36883155593799999</v>
          </cell>
          <cell r="BH179">
            <v>0.36883155593799999</v>
          </cell>
          <cell r="BM179">
            <v>0.36883155593799999</v>
          </cell>
          <cell r="BR179">
            <v>0.36883155593799999</v>
          </cell>
          <cell r="BW179">
            <v>0.36883155593799999</v>
          </cell>
          <cell r="CB179">
            <v>0.36883155593799999</v>
          </cell>
          <cell r="CG179">
            <v>0.36883155593799999</v>
          </cell>
          <cell r="CL179">
            <v>0.36883155593799999</v>
          </cell>
          <cell r="CQ179">
            <v>0.36883155593799999</v>
          </cell>
          <cell r="CV179">
            <v>0.36883155593799999</v>
          </cell>
          <cell r="CW179">
            <v>0.36883155593799999</v>
          </cell>
          <cell r="CX179">
            <v>0.36883155593799999</v>
          </cell>
          <cell r="CY179">
            <v>0.36883155593799999</v>
          </cell>
        </row>
        <row r="180">
          <cell r="B180" t="str">
            <v>% of SG&amp;A from U.S. (GS estimate)</v>
          </cell>
          <cell r="C180" t="str">
            <v>SGA_PCT_US</v>
          </cell>
          <cell r="BC180">
            <v>2.0655468829999999E-2</v>
          </cell>
          <cell r="BH180">
            <v>2.0655468829999999E-2</v>
          </cell>
          <cell r="BM180">
            <v>2.0655468829999999E-2</v>
          </cell>
          <cell r="BR180">
            <v>2.0655468829999999E-2</v>
          </cell>
          <cell r="BW180">
            <v>2.0655468829999999E-2</v>
          </cell>
          <cell r="CB180">
            <v>2.0655468829999999E-2</v>
          </cell>
          <cell r="CG180">
            <v>2.0655468829999999E-2</v>
          </cell>
          <cell r="CL180">
            <v>2.0655468829999999E-2</v>
          </cell>
          <cell r="CQ180">
            <v>2.0655468829999999E-2</v>
          </cell>
          <cell r="CV180">
            <v>2.0655468829999999E-2</v>
          </cell>
          <cell r="CW180">
            <v>2.0655468829999999E-2</v>
          </cell>
          <cell r="CX180">
            <v>2.0655468829999999E-2</v>
          </cell>
          <cell r="CY180">
            <v>2.0655468829999999E-2</v>
          </cell>
        </row>
        <row r="181">
          <cell r="B181" t="str">
            <v>% of SG&amp;A from non-U.S. (GS estimate)</v>
          </cell>
          <cell r="C181" t="str">
            <v>SGA_PCT_ROW</v>
          </cell>
          <cell r="BC181">
            <v>0.97934453116999998</v>
          </cell>
          <cell r="BH181">
            <v>0.97934453116999998</v>
          </cell>
          <cell r="BM181">
            <v>0.97934453116999998</v>
          </cell>
          <cell r="BR181">
            <v>0.97934453116999998</v>
          </cell>
          <cell r="BW181">
            <v>0.97934453116999998</v>
          </cell>
          <cell r="CB181">
            <v>0.97934453116999998</v>
          </cell>
          <cell r="CG181">
            <v>0.97934453116999998</v>
          </cell>
          <cell r="CL181">
            <v>0.97934453116999998</v>
          </cell>
          <cell r="CQ181">
            <v>0.97934453116999998</v>
          </cell>
          <cell r="CV181">
            <v>0.97934453116999998</v>
          </cell>
          <cell r="CW181">
            <v>0.97934453116999998</v>
          </cell>
          <cell r="CX181">
            <v>0.97934453116999998</v>
          </cell>
          <cell r="CY181">
            <v>0.97934453116999998</v>
          </cell>
        </row>
        <row r="182">
          <cell r="B182" t="str">
            <v>Sales -% Consumer (C)</v>
          </cell>
          <cell r="C182" t="str">
            <v>SALES_CONS</v>
          </cell>
          <cell r="AX182">
            <v>0</v>
          </cell>
          <cell r="BC182">
            <v>0</v>
          </cell>
          <cell r="BH182">
            <v>0</v>
          </cell>
          <cell r="BM182">
            <v>0</v>
          </cell>
        </row>
        <row r="183">
          <cell r="B183" t="str">
            <v>Sales -% Industry (I)</v>
          </cell>
          <cell r="C183" t="str">
            <v>SALES_IND</v>
          </cell>
          <cell r="AX183">
            <v>0.8</v>
          </cell>
          <cell r="BC183">
            <v>0.70348150398300002</v>
          </cell>
          <cell r="BH183">
            <v>0.73173784856599999</v>
          </cell>
          <cell r="BM183">
            <v>0.74440651668000002</v>
          </cell>
          <cell r="BR183">
            <v>0.77200702903200003</v>
          </cell>
          <cell r="BW183">
            <v>0.79038138390400003</v>
          </cell>
          <cell r="CB183">
            <v>0.79038138390400003</v>
          </cell>
          <cell r="CG183">
            <v>0.79038138390400003</v>
          </cell>
          <cell r="CL183">
            <v>0.79038138390400003</v>
          </cell>
          <cell r="CQ183">
            <v>0.79038138390400003</v>
          </cell>
          <cell r="CV183">
            <v>0.79038138390400003</v>
          </cell>
          <cell r="CW183">
            <v>0.79038138390400003</v>
          </cell>
          <cell r="CX183">
            <v>0.79038138390400003</v>
          </cell>
          <cell r="CY183">
            <v>0.79038138390400003</v>
          </cell>
        </row>
        <row r="184">
          <cell r="B184" t="str">
            <v>Sales -% Government (G)</v>
          </cell>
          <cell r="C184" t="str">
            <v>SALES_GOV</v>
          </cell>
          <cell r="AX184">
            <v>0.2</v>
          </cell>
          <cell r="BC184">
            <v>0.29651849601699998</v>
          </cell>
          <cell r="BH184">
            <v>0.26826215143400001</v>
          </cell>
          <cell r="BM184">
            <v>0.25559348331999998</v>
          </cell>
          <cell r="BR184">
            <v>0.227992970968</v>
          </cell>
          <cell r="BW184">
            <v>0.20961861609599999</v>
          </cell>
          <cell r="CB184">
            <v>0.20961861609599999</v>
          </cell>
          <cell r="CG184">
            <v>0.20961861609599999</v>
          </cell>
          <cell r="CL184">
            <v>0.20961861609599999</v>
          </cell>
          <cell r="CQ184">
            <v>0.20961861609599999</v>
          </cell>
          <cell r="CV184">
            <v>0.20961861609599999</v>
          </cell>
          <cell r="CW184">
            <v>0.20961861609599999</v>
          </cell>
          <cell r="CX184">
            <v>0.20961861609599999</v>
          </cell>
          <cell r="CY184">
            <v>0.20961861609599999</v>
          </cell>
        </row>
        <row r="185">
          <cell r="B185" t="str">
            <v>Sales - % Industry Sub-Segment: Financial Services</v>
          </cell>
          <cell r="C185" t="str">
            <v>SALES_FINAN</v>
          </cell>
          <cell r="AX185">
            <v>0</v>
          </cell>
          <cell r="BC185">
            <v>0</v>
          </cell>
          <cell r="BH185">
            <v>0</v>
          </cell>
          <cell r="BM185">
            <v>0</v>
          </cell>
        </row>
        <row r="186">
          <cell r="B186" t="str">
            <v>Sales - % Industry Sub-Segment: Oil &amp; Gas</v>
          </cell>
          <cell r="C186" t="str">
            <v>SALES_OIL_GAS</v>
          </cell>
          <cell r="BC186">
            <v>1.3283464966000001E-2</v>
          </cell>
          <cell r="BH186">
            <v>1.3432049149E-2</v>
          </cell>
          <cell r="BM186">
            <v>1.31613654E-2</v>
          </cell>
          <cell r="BR186">
            <v>1.2488547783999999E-2</v>
          </cell>
          <cell r="BW186">
            <v>1.2488547783999999E-2</v>
          </cell>
          <cell r="CB186">
            <v>1.2488547783999999E-2</v>
          </cell>
          <cell r="CG186">
            <v>1.2488547783999999E-2</v>
          </cell>
          <cell r="CL186">
            <v>1.2488547783999999E-2</v>
          </cell>
          <cell r="CQ186">
            <v>1.2488547783999999E-2</v>
          </cell>
          <cell r="CV186">
            <v>1.2488547783999999E-2</v>
          </cell>
          <cell r="CW186">
            <v>1.2488547783999999E-2</v>
          </cell>
          <cell r="CX186">
            <v>1.2488547783999999E-2</v>
          </cell>
          <cell r="CY186">
            <v>1.2488547783999999E-2</v>
          </cell>
        </row>
        <row r="187">
          <cell r="A187" t="str">
            <v>Commodities Exposure - Sales</v>
          </cell>
        </row>
        <row r="188">
          <cell r="B188" t="str">
            <v>Sales - % Other commodity</v>
          </cell>
          <cell r="C188" t="str">
            <v>SALES_OTH_COMMODITY</v>
          </cell>
        </row>
        <row r="189">
          <cell r="B189" t="str">
            <v>Sales - % Other (Non-Commodity) sales sources</v>
          </cell>
          <cell r="C189" t="str">
            <v>SALES_OTH_SALES_SOURCES</v>
          </cell>
        </row>
        <row r="190">
          <cell r="A190" t="str">
            <v>Commodities Exposure - Expense</v>
          </cell>
        </row>
        <row r="191">
          <cell r="B191" t="str">
            <v>Expense - % Oil/Petrol/Fuel</v>
          </cell>
          <cell r="C191" t="str">
            <v>EXP_OIL_PETRO_FUEL</v>
          </cell>
          <cell r="BC191">
            <v>0</v>
          </cell>
          <cell r="BH191">
            <v>0</v>
          </cell>
          <cell r="BM191">
            <v>0</v>
          </cell>
          <cell r="BR191">
            <v>0</v>
          </cell>
          <cell r="BW191">
            <v>0</v>
          </cell>
          <cell r="CB191">
            <v>0</v>
          </cell>
          <cell r="CG191">
            <v>0</v>
          </cell>
          <cell r="CL191">
            <v>0</v>
          </cell>
          <cell r="CQ191">
            <v>0</v>
          </cell>
          <cell r="CV191">
            <v>0</v>
          </cell>
          <cell r="CW191">
            <v>0</v>
          </cell>
          <cell r="CX191">
            <v>0</v>
          </cell>
          <cell r="CY191">
            <v>0</v>
          </cell>
        </row>
        <row r="192">
          <cell r="B192" t="str">
            <v>Expense - % Oil derivatives/NGLs/plastics</v>
          </cell>
          <cell r="C192" t="str">
            <v>EXP_OIL_DERIV_NGLS_PLASTICS</v>
          </cell>
          <cell r="BC192">
            <v>0</v>
          </cell>
          <cell r="BH192">
            <v>0</v>
          </cell>
          <cell r="BM192">
            <v>0</v>
          </cell>
          <cell r="BR192">
            <v>0</v>
          </cell>
          <cell r="BW192">
            <v>0</v>
          </cell>
          <cell r="CB192">
            <v>0</v>
          </cell>
          <cell r="CG192">
            <v>0</v>
          </cell>
          <cell r="CL192">
            <v>0</v>
          </cell>
          <cell r="CQ192">
            <v>0</v>
          </cell>
          <cell r="CV192">
            <v>0</v>
          </cell>
          <cell r="CW192">
            <v>0</v>
          </cell>
          <cell r="CX192">
            <v>0</v>
          </cell>
          <cell r="CY192">
            <v>0</v>
          </cell>
        </row>
        <row r="193">
          <cell r="B193" t="str">
            <v>Expense - % Nat Gas</v>
          </cell>
          <cell r="C193" t="str">
            <v>EXP_NAT_GAS</v>
          </cell>
        </row>
        <row r="194">
          <cell r="B194" t="str">
            <v>Expense - % Gold</v>
          </cell>
          <cell r="C194" t="str">
            <v>EXP_GOLD</v>
          </cell>
        </row>
        <row r="195">
          <cell r="B195" t="str">
            <v>Expense - % Copper</v>
          </cell>
          <cell r="C195" t="str">
            <v>EXP_COPPER</v>
          </cell>
        </row>
        <row r="196">
          <cell r="B196" t="str">
            <v>Expense - % Silver</v>
          </cell>
          <cell r="C196" t="str">
            <v>EXP_SILVER</v>
          </cell>
        </row>
        <row r="197">
          <cell r="B197" t="str">
            <v>Expense - % Platinum</v>
          </cell>
          <cell r="C197" t="str">
            <v>EXP_PLATINUM</v>
          </cell>
        </row>
        <row r="198">
          <cell r="B198" t="str">
            <v>Expense - % Palladium</v>
          </cell>
          <cell r="C198" t="str">
            <v>EXP_PALLADIUM</v>
          </cell>
        </row>
        <row r="199">
          <cell r="B199" t="str">
            <v>Expense - % Aluminium</v>
          </cell>
          <cell r="C199" t="str">
            <v>EXP_ALUMINIUM</v>
          </cell>
        </row>
        <row r="200">
          <cell r="B200" t="str">
            <v>Expense - % Nickel</v>
          </cell>
          <cell r="C200" t="str">
            <v>EXP_NICKEL</v>
          </cell>
        </row>
        <row r="201">
          <cell r="B201" t="str">
            <v>Expense - % Zinc</v>
          </cell>
          <cell r="C201" t="str">
            <v>EXP_ZINC</v>
          </cell>
        </row>
        <row r="202">
          <cell r="B202" t="str">
            <v>Expense - % Steel</v>
          </cell>
          <cell r="C202" t="str">
            <v>EXP_STEEL</v>
          </cell>
        </row>
        <row r="203">
          <cell r="B203" t="str">
            <v>Expense - % Glass</v>
          </cell>
          <cell r="C203" t="str">
            <v>EXP_GLASS</v>
          </cell>
        </row>
        <row r="204">
          <cell r="B204" t="str">
            <v>Expense - % Rubber</v>
          </cell>
          <cell r="C204" t="str">
            <v>EXP_RUBBER</v>
          </cell>
        </row>
        <row r="205">
          <cell r="B205" t="str">
            <v>Expense - % Water</v>
          </cell>
          <cell r="C205" t="str">
            <v>EXP_WATER</v>
          </cell>
        </row>
        <row r="206">
          <cell r="B206" t="str">
            <v>Expense - % Other commodity</v>
          </cell>
          <cell r="C206" t="str">
            <v>EXP_OTH_COMMODITY</v>
          </cell>
        </row>
        <row r="207">
          <cell r="B207" t="str">
            <v>Expense - % Other (Non-Commodity) cost</v>
          </cell>
          <cell r="C207" t="str">
            <v>EXP_OTH_COST</v>
          </cell>
        </row>
        <row r="208">
          <cell r="A208" t="str">
            <v>FX Exposure - Sales</v>
          </cell>
        </row>
        <row r="209">
          <cell r="B209" t="str">
            <v>Sales - % FX: British Pounds/Pence</v>
          </cell>
          <cell r="C209" t="str">
            <v>SALES_FX_GPB</v>
          </cell>
          <cell r="AX209">
            <v>7.1249999999999994E-2</v>
          </cell>
          <cell r="BC209">
            <v>7.1249999999999994E-2</v>
          </cell>
          <cell r="BH209">
            <v>6.9423977545000001E-2</v>
          </cell>
          <cell r="BM209">
            <v>6.9423977545000001E-2</v>
          </cell>
          <cell r="BR209">
            <v>6.9423977545000001E-2</v>
          </cell>
          <cell r="BS209">
            <v>6.9423977545000001E-2</v>
          </cell>
          <cell r="BT209">
            <v>6.9423977545000001E-2</v>
          </cell>
          <cell r="BU209">
            <v>6.9423977545000001E-2</v>
          </cell>
          <cell r="BV209">
            <v>6.9423977545000001E-2</v>
          </cell>
          <cell r="BW209">
            <v>6.9423977545000001E-2</v>
          </cell>
          <cell r="BX209">
            <v>6.9423977545000001E-2</v>
          </cell>
          <cell r="BY209">
            <v>6.9423977545000001E-2</v>
          </cell>
          <cell r="BZ209">
            <v>6.9423977545000001E-2</v>
          </cell>
          <cell r="CA209">
            <v>6.9423977545000001E-2</v>
          </cell>
          <cell r="CB209">
            <v>6.9423977545000001E-2</v>
          </cell>
        </row>
        <row r="210">
          <cell r="B210" t="str">
            <v>Sales - % FX: Euro</v>
          </cell>
          <cell r="C210" t="str">
            <v>SALES_FX_EUR</v>
          </cell>
          <cell r="AX210">
            <v>0.40375</v>
          </cell>
          <cell r="BC210">
            <v>0.40375</v>
          </cell>
          <cell r="BH210">
            <v>0.39340253942100001</v>
          </cell>
          <cell r="BM210">
            <v>0.39340253942100001</v>
          </cell>
          <cell r="BR210">
            <v>0.39340253942100001</v>
          </cell>
          <cell r="BS210">
            <v>0.39340253942100001</v>
          </cell>
          <cell r="BT210">
            <v>0.39340253942100001</v>
          </cell>
          <cell r="BU210">
            <v>0.39340253942100001</v>
          </cell>
          <cell r="BV210">
            <v>0.39340253942100001</v>
          </cell>
          <cell r="BW210">
            <v>0.39340253942100001</v>
          </cell>
          <cell r="BX210">
            <v>0.39340253942100001</v>
          </cell>
          <cell r="BY210">
            <v>0.39340253942100001</v>
          </cell>
          <cell r="BZ210">
            <v>0.39340253942100001</v>
          </cell>
          <cell r="CA210">
            <v>0.39340253942100001</v>
          </cell>
          <cell r="CB210">
            <v>0.39340253942100001</v>
          </cell>
        </row>
        <row r="211">
          <cell r="B211" t="str">
            <v>Sales - % FX: New Russian Ruble</v>
          </cell>
          <cell r="C211" t="str">
            <v>SALES_FX_RUB</v>
          </cell>
          <cell r="AX211">
            <v>0</v>
          </cell>
          <cell r="BC211">
            <v>0</v>
          </cell>
          <cell r="BH211">
            <v>0</v>
          </cell>
          <cell r="BM211">
            <v>0</v>
          </cell>
          <cell r="BR211">
            <v>0</v>
          </cell>
          <cell r="BS211">
            <v>0</v>
          </cell>
          <cell r="BT211">
            <v>0</v>
          </cell>
          <cell r="BU211">
            <v>0</v>
          </cell>
          <cell r="BV211">
            <v>0</v>
          </cell>
          <cell r="BW211">
            <v>0</v>
          </cell>
          <cell r="BX211">
            <v>0</v>
          </cell>
          <cell r="BY211">
            <v>0</v>
          </cell>
          <cell r="BZ211">
            <v>0</v>
          </cell>
          <cell r="CA211">
            <v>0</v>
          </cell>
          <cell r="CB211">
            <v>0</v>
          </cell>
        </row>
        <row r="212">
          <cell r="B212" t="str">
            <v>Sales - % FX: U.S. Dollar</v>
          </cell>
          <cell r="C212" t="str">
            <v>SALES_FX_USD</v>
          </cell>
          <cell r="AX212">
            <v>0.52500000000000002</v>
          </cell>
          <cell r="BC212">
            <v>0.52500000000000002</v>
          </cell>
          <cell r="BH212">
            <v>0.53717348303500001</v>
          </cell>
          <cell r="BM212">
            <v>0.53717348303500001</v>
          </cell>
          <cell r="BR212">
            <v>0.53717348303500001</v>
          </cell>
          <cell r="BS212">
            <v>0.53717348303500001</v>
          </cell>
          <cell r="BT212">
            <v>0.53717348303500001</v>
          </cell>
          <cell r="BU212">
            <v>0.53717348303500001</v>
          </cell>
          <cell r="BV212">
            <v>0.53717348303500001</v>
          </cell>
          <cell r="BW212">
            <v>0.53717348303500001</v>
          </cell>
          <cell r="BX212">
            <v>0.53717348303500001</v>
          </cell>
          <cell r="BY212">
            <v>0.53717348303500001</v>
          </cell>
          <cell r="BZ212">
            <v>0.53717348303500001</v>
          </cell>
          <cell r="CA212">
            <v>0.53717348303500001</v>
          </cell>
          <cell r="CB212">
            <v>0.53717348303500001</v>
          </cell>
        </row>
        <row r="213">
          <cell r="B213" t="str">
            <v>Sales - % FX: Brazilian Real</v>
          </cell>
          <cell r="C213" t="str">
            <v>SALES_FX_BRL</v>
          </cell>
          <cell r="AX213">
            <v>0</v>
          </cell>
          <cell r="BC213">
            <v>0</v>
          </cell>
          <cell r="BH213">
            <v>0</v>
          </cell>
          <cell r="BM213">
            <v>0</v>
          </cell>
          <cell r="BR213">
            <v>0</v>
          </cell>
          <cell r="BS213">
            <v>0</v>
          </cell>
          <cell r="BT213">
            <v>0</v>
          </cell>
          <cell r="BU213">
            <v>0</v>
          </cell>
          <cell r="BV213">
            <v>0</v>
          </cell>
          <cell r="BW213">
            <v>0</v>
          </cell>
          <cell r="BX213">
            <v>0</v>
          </cell>
          <cell r="BY213">
            <v>0</v>
          </cell>
          <cell r="BZ213">
            <v>0</v>
          </cell>
          <cell r="CA213">
            <v>0</v>
          </cell>
          <cell r="CB213">
            <v>0</v>
          </cell>
        </row>
        <row r="214">
          <cell r="B214" t="str">
            <v>Sales - % FX: Japanese Yen</v>
          </cell>
          <cell r="C214" t="str">
            <v>SALES_FX_YEN</v>
          </cell>
          <cell r="AX214">
            <v>0</v>
          </cell>
          <cell r="BC214">
            <v>0</v>
          </cell>
          <cell r="BH214">
            <v>0</v>
          </cell>
          <cell r="BM214">
            <v>0</v>
          </cell>
          <cell r="BR214">
            <v>0</v>
          </cell>
          <cell r="BS214">
            <v>0</v>
          </cell>
          <cell r="BT214">
            <v>0</v>
          </cell>
          <cell r="BU214">
            <v>0</v>
          </cell>
          <cell r="BV214">
            <v>0</v>
          </cell>
          <cell r="BW214">
            <v>0</v>
          </cell>
          <cell r="BX214">
            <v>0</v>
          </cell>
          <cell r="BY214">
            <v>0</v>
          </cell>
          <cell r="BZ214">
            <v>0</v>
          </cell>
          <cell r="CA214">
            <v>0</v>
          </cell>
          <cell r="CB214">
            <v>0</v>
          </cell>
        </row>
        <row r="215">
          <cell r="B215" t="str">
            <v>Sales - % FX: Chinese Renminbi</v>
          </cell>
          <cell r="C215" t="str">
            <v>SALES_FX_CNY</v>
          </cell>
          <cell r="AX215">
            <v>0</v>
          </cell>
          <cell r="BC215">
            <v>0</v>
          </cell>
          <cell r="BH215">
            <v>0</v>
          </cell>
          <cell r="BM215">
            <v>0</v>
          </cell>
          <cell r="BR215">
            <v>0</v>
          </cell>
          <cell r="BS215">
            <v>0</v>
          </cell>
          <cell r="BT215">
            <v>0</v>
          </cell>
          <cell r="BU215">
            <v>0</v>
          </cell>
          <cell r="BV215">
            <v>0</v>
          </cell>
          <cell r="BW215">
            <v>0</v>
          </cell>
          <cell r="BX215">
            <v>0</v>
          </cell>
          <cell r="BY215">
            <v>0</v>
          </cell>
          <cell r="BZ215">
            <v>0</v>
          </cell>
          <cell r="CA215">
            <v>0</v>
          </cell>
          <cell r="CB215">
            <v>0</v>
          </cell>
        </row>
        <row r="216">
          <cell r="B216" t="str">
            <v>Sales - % FX: Indian Rupee</v>
          </cell>
          <cell r="C216" t="str">
            <v>SALES_FX_INR</v>
          </cell>
          <cell r="AX216">
            <v>0</v>
          </cell>
          <cell r="BC216">
            <v>0</v>
          </cell>
          <cell r="BH216">
            <v>0</v>
          </cell>
          <cell r="BM216">
            <v>0</v>
          </cell>
          <cell r="BR216">
            <v>0</v>
          </cell>
          <cell r="BS216">
            <v>0</v>
          </cell>
          <cell r="BT216">
            <v>0</v>
          </cell>
          <cell r="BU216">
            <v>0</v>
          </cell>
          <cell r="BV216">
            <v>0</v>
          </cell>
          <cell r="BW216">
            <v>0</v>
          </cell>
          <cell r="BX216">
            <v>0</v>
          </cell>
          <cell r="BY216">
            <v>0</v>
          </cell>
          <cell r="BZ216">
            <v>0</v>
          </cell>
          <cell r="CA216">
            <v>0</v>
          </cell>
          <cell r="CB216">
            <v>0</v>
          </cell>
        </row>
        <row r="217">
          <cell r="B217" t="str">
            <v>Sales - % FX: South African Rand</v>
          </cell>
          <cell r="C217" t="str">
            <v>SALES_FX_ZAR</v>
          </cell>
          <cell r="AX217">
            <v>0</v>
          </cell>
          <cell r="BC217">
            <v>0</v>
          </cell>
          <cell r="BH217">
            <v>0</v>
          </cell>
          <cell r="BM217">
            <v>0</v>
          </cell>
          <cell r="BR217">
            <v>0</v>
          </cell>
          <cell r="BS217">
            <v>0</v>
          </cell>
          <cell r="BT217">
            <v>0</v>
          </cell>
          <cell r="BU217">
            <v>0</v>
          </cell>
          <cell r="BV217">
            <v>0</v>
          </cell>
          <cell r="BW217">
            <v>0</v>
          </cell>
          <cell r="BX217">
            <v>0</v>
          </cell>
          <cell r="BY217">
            <v>0</v>
          </cell>
          <cell r="BZ217">
            <v>0</v>
          </cell>
          <cell r="CA217">
            <v>0</v>
          </cell>
          <cell r="CB217">
            <v>0</v>
          </cell>
        </row>
        <row r="218">
          <cell r="B218" t="str">
            <v>Sales - % FX: Nigerian Naira</v>
          </cell>
          <cell r="C218" t="str">
            <v>SALES_FX_NGN</v>
          </cell>
          <cell r="AX218">
            <v>0</v>
          </cell>
          <cell r="BC218">
            <v>0</v>
          </cell>
          <cell r="BH218">
            <v>0</v>
          </cell>
          <cell r="BM218">
            <v>0</v>
          </cell>
          <cell r="BR218">
            <v>0</v>
          </cell>
          <cell r="BS218">
            <v>0</v>
          </cell>
          <cell r="BT218">
            <v>0</v>
          </cell>
          <cell r="BU218">
            <v>0</v>
          </cell>
          <cell r="BV218">
            <v>0</v>
          </cell>
          <cell r="BW218">
            <v>0</v>
          </cell>
          <cell r="BX218">
            <v>0</v>
          </cell>
          <cell r="BY218">
            <v>0</v>
          </cell>
          <cell r="BZ218">
            <v>0</v>
          </cell>
          <cell r="CA218">
            <v>0</v>
          </cell>
          <cell r="CB218">
            <v>0</v>
          </cell>
        </row>
        <row r="219">
          <cell r="B219" t="str">
            <v>Sales - % FX: Swiss Franc</v>
          </cell>
          <cell r="C219" t="str">
            <v>SALES_FX_CHF</v>
          </cell>
          <cell r="AX219">
            <v>0</v>
          </cell>
          <cell r="BC219">
            <v>0</v>
          </cell>
          <cell r="BH219">
            <v>0</v>
          </cell>
          <cell r="BM219">
            <v>0</v>
          </cell>
          <cell r="BR219">
            <v>0</v>
          </cell>
          <cell r="BS219">
            <v>0</v>
          </cell>
          <cell r="BT219">
            <v>0</v>
          </cell>
          <cell r="BU219">
            <v>0</v>
          </cell>
          <cell r="BV219">
            <v>0</v>
          </cell>
          <cell r="BW219">
            <v>0</v>
          </cell>
          <cell r="BX219">
            <v>0</v>
          </cell>
          <cell r="BY219">
            <v>0</v>
          </cell>
          <cell r="BZ219">
            <v>0</v>
          </cell>
          <cell r="CA219">
            <v>0</v>
          </cell>
          <cell r="CB219">
            <v>0</v>
          </cell>
        </row>
        <row r="220">
          <cell r="B220" t="str">
            <v>Sales - % FX: UAE Dirham</v>
          </cell>
          <cell r="C220" t="str">
            <v>SALES_FX_AED</v>
          </cell>
          <cell r="AX220">
            <v>0</v>
          </cell>
          <cell r="BC220">
            <v>0</v>
          </cell>
          <cell r="BH220">
            <v>0</v>
          </cell>
          <cell r="BM220">
            <v>0</v>
          </cell>
          <cell r="BR220">
            <v>0</v>
          </cell>
          <cell r="BS220">
            <v>0</v>
          </cell>
          <cell r="BT220">
            <v>0</v>
          </cell>
          <cell r="BU220">
            <v>0</v>
          </cell>
          <cell r="BV220">
            <v>0</v>
          </cell>
          <cell r="BW220">
            <v>0</v>
          </cell>
          <cell r="BX220">
            <v>0</v>
          </cell>
          <cell r="BY220">
            <v>0</v>
          </cell>
          <cell r="BZ220">
            <v>0</v>
          </cell>
          <cell r="CA220">
            <v>0</v>
          </cell>
          <cell r="CB220">
            <v>0</v>
          </cell>
        </row>
        <row r="221">
          <cell r="B221" t="str">
            <v>Sales - % FX: New Turkish Lira</v>
          </cell>
          <cell r="C221" t="str">
            <v>SALES_FX_TRY</v>
          </cell>
          <cell r="AX221">
            <v>0</v>
          </cell>
          <cell r="BC221">
            <v>0</v>
          </cell>
          <cell r="BH221">
            <v>0</v>
          </cell>
          <cell r="BM221">
            <v>0</v>
          </cell>
          <cell r="BR221">
            <v>0</v>
          </cell>
          <cell r="BS221">
            <v>0</v>
          </cell>
          <cell r="BT221">
            <v>0</v>
          </cell>
          <cell r="BU221">
            <v>0</v>
          </cell>
          <cell r="BV221">
            <v>0</v>
          </cell>
          <cell r="BW221">
            <v>0</v>
          </cell>
          <cell r="BX221">
            <v>0</v>
          </cell>
          <cell r="BY221">
            <v>0</v>
          </cell>
          <cell r="BZ221">
            <v>0</v>
          </cell>
          <cell r="CA221">
            <v>0</v>
          </cell>
          <cell r="CB221">
            <v>0</v>
          </cell>
        </row>
        <row r="222">
          <cell r="B222" t="str">
            <v>Sales - % FX: Other Currency</v>
          </cell>
          <cell r="C222" t="str">
            <v>SALES_FX_OTH</v>
          </cell>
          <cell r="AX222">
            <v>0</v>
          </cell>
          <cell r="BC222">
            <v>0</v>
          </cell>
          <cell r="BH222">
            <v>0</v>
          </cell>
          <cell r="BM222">
            <v>0</v>
          </cell>
          <cell r="BR222">
            <v>0</v>
          </cell>
          <cell r="BS222">
            <v>0</v>
          </cell>
          <cell r="BT222">
            <v>0</v>
          </cell>
          <cell r="BU222">
            <v>0</v>
          </cell>
          <cell r="BV222">
            <v>0</v>
          </cell>
          <cell r="BW222">
            <v>0</v>
          </cell>
          <cell r="BX222">
            <v>0</v>
          </cell>
          <cell r="BY222">
            <v>0</v>
          </cell>
          <cell r="BZ222">
            <v>0</v>
          </cell>
          <cell r="CA222">
            <v>0</v>
          </cell>
          <cell r="CB222">
            <v>0</v>
          </cell>
        </row>
        <row r="223">
          <cell r="A223" t="str">
            <v>Items to be removed</v>
          </cell>
        </row>
        <row r="224">
          <cell r="B224" t="str">
            <v>Sales - Total % Americas</v>
          </cell>
          <cell r="C224" t="str">
            <v>SALES_TOT_AM</v>
          </cell>
        </row>
        <row r="225">
          <cell r="B225" t="str">
            <v>Sales - % Other Americas</v>
          </cell>
          <cell r="C225" t="str">
            <v>SALES_OTH_AM</v>
          </cell>
        </row>
        <row r="226">
          <cell r="B226" t="str">
            <v>Sales - Total % EMEA</v>
          </cell>
          <cell r="C226" t="str">
            <v>SALES_TOT_EMEA</v>
          </cell>
          <cell r="AX226">
            <v>0</v>
          </cell>
        </row>
        <row r="227">
          <cell r="B227" t="str">
            <v>Sales - % Western Europe-Ex UK</v>
          </cell>
          <cell r="C227" t="str">
            <v>SALES_EU_EX_UK</v>
          </cell>
        </row>
        <row r="228">
          <cell r="B228" t="str">
            <v>Sales - % Other Western Europe-Ex UK</v>
          </cell>
          <cell r="C228" t="str">
            <v>SALES_OTH_EU_EX_UK</v>
          </cell>
        </row>
        <row r="229">
          <cell r="B229" t="str">
            <v>Sales - % Central &amp; Eastern Europe</v>
          </cell>
          <cell r="C229" t="str">
            <v>SALES_CEE</v>
          </cell>
        </row>
        <row r="230">
          <cell r="B230" t="str">
            <v>Sales - % Middle East</v>
          </cell>
          <cell r="C230" t="str">
            <v>SALES_ME</v>
          </cell>
        </row>
        <row r="231">
          <cell r="B231" t="str">
            <v>Sales - % Total Africa</v>
          </cell>
          <cell r="C231" t="str">
            <v>SALES_TOT_AFRICA</v>
          </cell>
          <cell r="AX231">
            <v>0</v>
          </cell>
          <cell r="BC231">
            <v>0</v>
          </cell>
          <cell r="BH231">
            <v>0</v>
          </cell>
          <cell r="BM231">
            <v>0</v>
          </cell>
        </row>
        <row r="232">
          <cell r="B232" t="str">
            <v>Sales - % Other EMEA</v>
          </cell>
          <cell r="C232" t="str">
            <v>SALES_OTH_EMEA</v>
          </cell>
        </row>
        <row r="233">
          <cell r="B233" t="str">
            <v>Sales - Total % Asia (incl Australia &amp; New Zealand)</v>
          </cell>
          <cell r="C233" t="str">
            <v>SALES_TOT_ASIA</v>
          </cell>
        </row>
        <row r="234">
          <cell r="B234" t="str">
            <v>Sales - % Other Asia</v>
          </cell>
          <cell r="C234" t="str">
            <v>SALES_OTH_AEJ</v>
          </cell>
        </row>
        <row r="235">
          <cell r="B235" t="str">
            <v>Indirect Sales - % Brazil</v>
          </cell>
          <cell r="C235" t="str">
            <v>IND_SALES_BRAZIL</v>
          </cell>
        </row>
        <row r="236">
          <cell r="B236" t="str">
            <v>Indirect Sales - % United States</v>
          </cell>
          <cell r="C236" t="str">
            <v>IND_SALES_US</v>
          </cell>
        </row>
        <row r="237">
          <cell r="B237" t="str">
            <v>Indirect Sales - % Other Americas</v>
          </cell>
          <cell r="C237" t="str">
            <v>IND_SALES_OTH_AM</v>
          </cell>
        </row>
        <row r="238">
          <cell r="B238" t="str">
            <v>Indirect Sales - Total % Americas</v>
          </cell>
          <cell r="C238" t="str">
            <v>IND_SALES_TOT_AM</v>
          </cell>
        </row>
        <row r="239">
          <cell r="B239" t="str">
            <v>Indirect Sales - % France</v>
          </cell>
          <cell r="C239" t="str">
            <v>IND_SALES_FRA</v>
          </cell>
        </row>
        <row r="240">
          <cell r="B240" t="str">
            <v>Indirect Sales - % Germany</v>
          </cell>
          <cell r="C240" t="str">
            <v>IND_SALES_GER</v>
          </cell>
        </row>
        <row r="241">
          <cell r="B241" t="str">
            <v>Indirect Sales - % Italy</v>
          </cell>
          <cell r="C241" t="str">
            <v>IND_SALES_ITA</v>
          </cell>
        </row>
        <row r="242">
          <cell r="B242" t="str">
            <v>Indirect Sales - % Spain</v>
          </cell>
          <cell r="C242" t="str">
            <v>IND_SALES_SPA</v>
          </cell>
        </row>
        <row r="243">
          <cell r="B243" t="str">
            <v>Indirect Sales - % UK</v>
          </cell>
          <cell r="C243" t="str">
            <v>IND_SALES_UK</v>
          </cell>
        </row>
        <row r="244">
          <cell r="B244" t="str">
            <v>Indirect Sales - % Western Europe-Ex UK</v>
          </cell>
          <cell r="C244" t="str">
            <v>IND_SALES_EU_EX_UK</v>
          </cell>
        </row>
        <row r="245">
          <cell r="B245" t="str">
            <v>Indirect Sales - % Other Western Europe-Ex UK</v>
          </cell>
          <cell r="C245" t="str">
            <v>IND_SALES_OTH_EU_EX_UK</v>
          </cell>
        </row>
        <row r="246">
          <cell r="B246" t="str">
            <v>Indirect Sales - % Russia</v>
          </cell>
          <cell r="C246" t="str">
            <v>IND_SALES_RUSSIA</v>
          </cell>
        </row>
        <row r="247">
          <cell r="B247" t="str">
            <v>Indirect Sales - % Central &amp; Eastern Europe</v>
          </cell>
          <cell r="C247" t="str">
            <v>IND_SALES_CEE</v>
          </cell>
        </row>
        <row r="248">
          <cell r="B248" t="str">
            <v>Indirect Sales - % Other EMEA</v>
          </cell>
          <cell r="C248" t="str">
            <v>IND_SALES_OTH_EMEA</v>
          </cell>
        </row>
        <row r="249">
          <cell r="B249" t="str">
            <v>Indirect Sales - Total % EMEA</v>
          </cell>
          <cell r="C249" t="str">
            <v>IND_SALES_TOT_EMEA</v>
          </cell>
        </row>
        <row r="250">
          <cell r="B250" t="str">
            <v>Indirect Sales - % Middle East</v>
          </cell>
          <cell r="C250" t="str">
            <v>IND_SALES_ME</v>
          </cell>
        </row>
        <row r="251">
          <cell r="B251" t="str">
            <v>Indirect sales - % Nigeria</v>
          </cell>
          <cell r="C251" t="str">
            <v>IND_SALES_NIGERIA</v>
          </cell>
        </row>
        <row r="252">
          <cell r="B252" t="str">
            <v>Indirect sales - % South Africa</v>
          </cell>
          <cell r="C252" t="str">
            <v>IND_SALES_SO_AFRICA</v>
          </cell>
        </row>
        <row r="253">
          <cell r="B253" t="str">
            <v>Indirect sales - % Other Africa</v>
          </cell>
          <cell r="C253" t="str">
            <v>IND_SALES_OTH_AFRICA</v>
          </cell>
        </row>
        <row r="254">
          <cell r="B254" t="str">
            <v>Indirect sales - % Total Africa</v>
          </cell>
          <cell r="C254" t="str">
            <v>IND_SALES_TOT_AFRICA</v>
          </cell>
        </row>
        <row r="255">
          <cell r="B255" t="str">
            <v>Indirect Sales - % China</v>
          </cell>
          <cell r="C255" t="str">
            <v>IND_SALES_CHINA</v>
          </cell>
        </row>
        <row r="256">
          <cell r="B256" t="str">
            <v>Indirect Sales - % India</v>
          </cell>
          <cell r="C256" t="str">
            <v>IND_SALES_INDIA</v>
          </cell>
        </row>
        <row r="257">
          <cell r="B257" t="str">
            <v>Indirect Sales - % Japan</v>
          </cell>
          <cell r="C257" t="str">
            <v>IND_SALES_JAPAN</v>
          </cell>
        </row>
        <row r="258">
          <cell r="B258" t="str">
            <v>Indirect Sales - % Other Asia</v>
          </cell>
          <cell r="C258" t="str">
            <v>IND_SALES_OTH_AEJ</v>
          </cell>
        </row>
        <row r="259">
          <cell r="B259" t="str">
            <v>Indirect Sales - Total % Asia (incl Australia &amp; New Zealand)</v>
          </cell>
          <cell r="C259" t="str">
            <v>IND_SALES_TOT_ASIA</v>
          </cell>
        </row>
        <row r="260">
          <cell r="B260" t="str">
            <v>Indirect Sales - % Others</v>
          </cell>
          <cell r="C260" t="str">
            <v>IND_SALES_OTHER</v>
          </cell>
        </row>
        <row r="261">
          <cell r="B261" t="str">
            <v>Indirect Sales -% Consumer (C)</v>
          </cell>
          <cell r="C261" t="str">
            <v>IND_SALES_CONS</v>
          </cell>
        </row>
        <row r="262">
          <cell r="B262" t="str">
            <v>Indirect Sales -% Industry (I)</v>
          </cell>
          <cell r="C262" t="str">
            <v>IND_SALES_IND</v>
          </cell>
        </row>
        <row r="263">
          <cell r="B263" t="str">
            <v>Indirect Sales -% Government (G)</v>
          </cell>
          <cell r="C263" t="str">
            <v>IND_SALES_GOV</v>
          </cell>
        </row>
        <row r="264">
          <cell r="B264" t="str">
            <v>Indirect Sales -% Industry Sub-Segment: Financial Services</v>
          </cell>
          <cell r="C264" t="str">
            <v>IND_SALES_FINAN</v>
          </cell>
        </row>
        <row r="265">
          <cell r="A265" t="str">
            <v>Security: Airbus</v>
          </cell>
          <cell r="B265" t="str">
            <v>15XS9C</v>
          </cell>
        </row>
        <row r="266">
          <cell r="A266" t="str">
            <v>Reference Data</v>
          </cell>
        </row>
        <row r="267">
          <cell r="B267" t="str">
            <v>Ticker</v>
          </cell>
          <cell r="C267" t="str">
            <v>Ticker</v>
          </cell>
          <cell r="E267" t="str">
            <v>AIR.PA</v>
          </cell>
        </row>
        <row r="268">
          <cell r="B268" t="str">
            <v>Security Name</v>
          </cell>
          <cell r="C268" t="str">
            <v>Security Name</v>
          </cell>
          <cell r="E268" t="str">
            <v>Airbus</v>
          </cell>
        </row>
        <row r="269">
          <cell r="B269" t="str">
            <v>Interim Type</v>
          </cell>
          <cell r="C269" t="str">
            <v>Interim Type</v>
          </cell>
          <cell r="E269" t="str">
            <v>Q</v>
          </cell>
        </row>
        <row r="270">
          <cell r="B270" t="str">
            <v>Publishing Currency</v>
          </cell>
          <cell r="C270" t="str">
            <v>PUB_CURRENCY_ISO</v>
          </cell>
          <cell r="E270" t="str">
            <v>EUR</v>
          </cell>
        </row>
        <row r="271">
          <cell r="B271" t="str">
            <v>Pricing Currency</v>
          </cell>
          <cell r="C271" t="str">
            <v>PRICE_CURRENCY_ISO</v>
          </cell>
          <cell r="E271" t="str">
            <v>EUR</v>
          </cell>
        </row>
        <row r="272">
          <cell r="B272" t="str">
            <v>Reporting Currency</v>
          </cell>
          <cell r="C272" t="str">
            <v>CURRENCY_ISO</v>
          </cell>
          <cell r="E272" t="str">
            <v>EUR</v>
          </cell>
        </row>
        <row r="273">
          <cell r="A273" t="str">
            <v>General Information</v>
          </cell>
        </row>
        <row r="274">
          <cell r="B274" t="str">
            <v>Pan Europe Investment List</v>
          </cell>
          <cell r="C274" t="str">
            <v>EURO_LIST</v>
          </cell>
          <cell r="E274" t="str">
            <v>Buy</v>
          </cell>
        </row>
        <row r="275">
          <cell r="B275" t="str">
            <v>Pan Europe Conviction List</v>
          </cell>
          <cell r="C275" t="str">
            <v>EURO_CONVICTION</v>
          </cell>
          <cell r="E275" t="str">
            <v>Buy</v>
          </cell>
        </row>
        <row r="276">
          <cell r="B276" t="str">
            <v>Legal rating</v>
          </cell>
          <cell r="C276" t="str">
            <v>LEGAL_RATING</v>
          </cell>
        </row>
        <row r="277">
          <cell r="B277" t="str">
            <v>Target price</v>
          </cell>
          <cell r="C277" t="str">
            <v>TARGET_PRICE</v>
          </cell>
          <cell r="D277" t="str">
            <v>EUR</v>
          </cell>
          <cell r="E277">
            <v>84</v>
          </cell>
        </row>
        <row r="278">
          <cell r="B278" t="str">
            <v>Target price period</v>
          </cell>
          <cell r="C278" t="str">
            <v>TP_PERIOD</v>
          </cell>
          <cell r="E278" t="str">
            <v>12 months</v>
          </cell>
        </row>
        <row r="279">
          <cell r="B279" t="str">
            <v>Fundamental value</v>
          </cell>
          <cell r="C279" t="str">
            <v>TARGET_PRICE_FUNDAMENTAL</v>
          </cell>
          <cell r="D279" t="str">
            <v>EUR</v>
          </cell>
        </row>
        <row r="280">
          <cell r="B280" t="str">
            <v>M&amp;A value</v>
          </cell>
          <cell r="C280" t="str">
            <v>TARGET_PRICE_MA</v>
          </cell>
          <cell r="D280" t="str">
            <v>EUR</v>
          </cell>
        </row>
        <row r="281">
          <cell r="B281" t="str">
            <v>Current shares outstanding (mn)</v>
          </cell>
          <cell r="C281" t="str">
            <v>NUM_SH</v>
          </cell>
          <cell r="E281">
            <v>773.79883700000005</v>
          </cell>
        </row>
        <row r="282">
          <cell r="B282" t="str">
            <v>Free float</v>
          </cell>
          <cell r="C282" t="str">
            <v>FREE_FLOAT</v>
          </cell>
          <cell r="E282">
            <v>0.47</v>
          </cell>
        </row>
        <row r="283">
          <cell r="B283" t="str">
            <v>DaimlerChrysler</v>
          </cell>
          <cell r="C283" t="str">
            <v>ACT1</v>
          </cell>
          <cell r="E283">
            <v>0.22500000000000001</v>
          </cell>
        </row>
        <row r="284">
          <cell r="B284" t="str">
            <v>SOGEADE (Lagardere, French State, Institutions)</v>
          </cell>
          <cell r="C284" t="str">
            <v>ACT2</v>
          </cell>
          <cell r="E284">
            <v>0.25</v>
          </cell>
        </row>
        <row r="285">
          <cell r="B285" t="str">
            <v>SEPI (Spain)</v>
          </cell>
          <cell r="C285" t="str">
            <v>ACT3</v>
          </cell>
          <cell r="E285">
            <v>0.05</v>
          </cell>
        </row>
        <row r="286">
          <cell r="A286" t="str">
            <v>Publishing Items</v>
          </cell>
        </row>
        <row r="287">
          <cell r="B287" t="str">
            <v>Book value per share, BVPS (Pub)</v>
          </cell>
          <cell r="C287" t="str">
            <v>BVPS_PUB</v>
          </cell>
          <cell r="D287" t="str">
            <v>EUR</v>
          </cell>
          <cell r="F287">
            <v>12.698882038867</v>
          </cell>
          <cell r="G287">
            <v>12.206250999219</v>
          </cell>
          <cell r="H287">
            <v>15.937185142274</v>
          </cell>
          <cell r="I287">
            <v>20.16212480794</v>
          </cell>
          <cell r="J287">
            <v>21.228183051609001</v>
          </cell>
          <cell r="O287">
            <v>17.219048930783998</v>
          </cell>
          <cell r="T287">
            <v>16.261236255562999</v>
          </cell>
          <cell r="Y287">
            <v>16.298767317254999</v>
          </cell>
          <cell r="AD287">
            <v>13.658351354882999</v>
          </cell>
          <cell r="AI287">
            <v>13.011013723696999</v>
          </cell>
          <cell r="AN287">
            <v>10.905480006664</v>
          </cell>
          <cell r="AS287">
            <v>10.89220999086</v>
          </cell>
          <cell r="AX287">
            <v>12.696211819453</v>
          </cell>
          <cell r="BC287">
            <v>13.894587304522</v>
          </cell>
          <cell r="BH287">
            <v>9.0183131849939997</v>
          </cell>
          <cell r="BM287">
            <v>7.5939915661560002</v>
          </cell>
          <cell r="BR287">
            <v>4.7260345003589999</v>
          </cell>
          <cell r="BW287">
            <v>17.250543945914998</v>
          </cell>
          <cell r="CB287">
            <v>12.544378431667001</v>
          </cell>
          <cell r="CG287">
            <v>7.6894382424329999</v>
          </cell>
          <cell r="CL287">
            <v>9.4302231027059999</v>
          </cell>
          <cell r="CQ287">
            <v>12.203540006867</v>
          </cell>
          <cell r="CV287">
            <v>16.915821389800001</v>
          </cell>
          <cell r="CW287">
            <v>20.911453868848</v>
          </cell>
          <cell r="CX287">
            <v>22.486768204276999</v>
          </cell>
          <cell r="CY287">
            <v>26.170208658357001</v>
          </cell>
        </row>
        <row r="288">
          <cell r="B288" t="str">
            <v>DPS, dividend per share (Pub)</v>
          </cell>
          <cell r="C288" t="str">
            <v>DPS_PUB</v>
          </cell>
          <cell r="D288" t="str">
            <v>EUR</v>
          </cell>
          <cell r="F288">
            <v>0.5</v>
          </cell>
          <cell r="G288">
            <v>0.5</v>
          </cell>
          <cell r="H288">
            <v>0.3</v>
          </cell>
          <cell r="I288">
            <v>0.4</v>
          </cell>
          <cell r="J288">
            <v>0.5</v>
          </cell>
          <cell r="O288">
            <v>0.65</v>
          </cell>
          <cell r="T288">
            <v>0.12122194257500001</v>
          </cell>
          <cell r="Y288">
            <v>0.120777725728</v>
          </cell>
          <cell r="AD288">
            <v>0.200748767873</v>
          </cell>
          <cell r="AI288">
            <v>0</v>
          </cell>
          <cell r="AN288">
            <v>0.21956514434900001</v>
          </cell>
          <cell r="AS288">
            <v>0.45414977249999999</v>
          </cell>
          <cell r="AX288">
            <v>0.6</v>
          </cell>
          <cell r="BC288">
            <v>0.75</v>
          </cell>
          <cell r="BH288">
            <v>1.2</v>
          </cell>
          <cell r="BM288">
            <v>1.3</v>
          </cell>
          <cell r="BR288">
            <v>1.35</v>
          </cell>
          <cell r="BW288">
            <v>1.5</v>
          </cell>
          <cell r="CB288">
            <v>1.65</v>
          </cell>
          <cell r="CG288">
            <v>0</v>
          </cell>
          <cell r="CL288">
            <v>1.65</v>
          </cell>
          <cell r="CQ288">
            <v>1.2883870131270001</v>
          </cell>
          <cell r="CV288">
            <v>2.9038140527279999</v>
          </cell>
          <cell r="CW288">
            <v>3.3483771133200002</v>
          </cell>
          <cell r="CX288">
            <v>3.773214348672</v>
          </cell>
          <cell r="CY288">
            <v>5.0628792476950002</v>
          </cell>
        </row>
        <row r="289">
          <cell r="B289" t="str">
            <v>Special dividend per share</v>
          </cell>
          <cell r="C289" t="str">
            <v>DPS_SPECIAL_PUB</v>
          </cell>
          <cell r="D289" t="str">
            <v>EUR</v>
          </cell>
        </row>
        <row r="290">
          <cell r="B290" t="str">
            <v>EBITDA (Pub)</v>
          </cell>
          <cell r="C290" t="str">
            <v>EBITDA_PUB</v>
          </cell>
          <cell r="D290" t="str">
            <v>EUR</v>
          </cell>
          <cell r="F290">
            <v>2334</v>
          </cell>
          <cell r="G290">
            <v>3213</v>
          </cell>
          <cell r="H290">
            <v>3031</v>
          </cell>
          <cell r="I290">
            <v>3137</v>
          </cell>
          <cell r="J290">
            <v>3853</v>
          </cell>
          <cell r="O290">
            <v>4369</v>
          </cell>
          <cell r="T290">
            <v>5126</v>
          </cell>
          <cell r="Y290">
            <v>5325</v>
          </cell>
          <cell r="AD290">
            <v>4945</v>
          </cell>
          <cell r="AI290">
            <v>3918</v>
          </cell>
          <cell r="AN290">
            <v>2879</v>
          </cell>
          <cell r="AS290">
            <v>3596</v>
          </cell>
          <cell r="AX290">
            <v>4962</v>
          </cell>
          <cell r="BC290">
            <v>5488</v>
          </cell>
          <cell r="BD290">
            <v>1161</v>
          </cell>
          <cell r="BE290">
            <v>1542</v>
          </cell>
          <cell r="BF290">
            <v>1321</v>
          </cell>
          <cell r="BG290">
            <v>2143</v>
          </cell>
          <cell r="BH290">
            <v>6167</v>
          </cell>
          <cell r="BI290">
            <v>1167</v>
          </cell>
          <cell r="BJ290">
            <v>1782</v>
          </cell>
          <cell r="BK290">
            <v>1483</v>
          </cell>
          <cell r="BL290">
            <v>2142</v>
          </cell>
          <cell r="BM290">
            <v>6574</v>
          </cell>
          <cell r="BN290">
            <v>1010</v>
          </cell>
          <cell r="BO290">
            <v>1742</v>
          </cell>
          <cell r="BP290">
            <v>1250</v>
          </cell>
          <cell r="BQ290">
            <v>2247</v>
          </cell>
          <cell r="BR290">
            <v>6249</v>
          </cell>
          <cell r="BS290">
            <v>791</v>
          </cell>
          <cell r="BT290">
            <v>1394</v>
          </cell>
          <cell r="BU290">
            <v>1214</v>
          </cell>
          <cell r="BV290">
            <v>3152</v>
          </cell>
          <cell r="BW290">
            <v>6551</v>
          </cell>
          <cell r="CB290">
            <v>8278</v>
          </cell>
          <cell r="CG290">
            <v>9873</v>
          </cell>
          <cell r="CL290">
            <v>4181.3959436260202</v>
          </cell>
          <cell r="CQ290">
            <v>7047.4934378223397</v>
          </cell>
          <cell r="CV290">
            <v>8637.1884795542101</v>
          </cell>
          <cell r="CW290">
            <v>9645.8576429737004</v>
          </cell>
          <cell r="CX290">
            <v>10217.083202555399</v>
          </cell>
          <cell r="CY290">
            <v>12362.453506054901</v>
          </cell>
        </row>
        <row r="291">
          <cell r="B291" t="str">
            <v>EPS (Pub)</v>
          </cell>
          <cell r="C291" t="str">
            <v>EPS_PUB</v>
          </cell>
          <cell r="D291" t="str">
            <v>EUR</v>
          </cell>
          <cell r="F291">
            <v>0.46413708790399999</v>
          </cell>
          <cell r="G291">
            <v>1.0021109001599999</v>
          </cell>
          <cell r="H291">
            <v>0.86554568551599997</v>
          </cell>
          <cell r="I291">
            <v>0.96010147860600004</v>
          </cell>
          <cell r="J291">
            <v>1.4381393443049999</v>
          </cell>
          <cell r="O291">
            <v>2.2259009999999999</v>
          </cell>
          <cell r="T291">
            <v>4.1940292709550002</v>
          </cell>
          <cell r="Y291">
            <v>3.896015503109</v>
          </cell>
          <cell r="AD291">
            <v>2.618408311819</v>
          </cell>
          <cell r="AI291">
            <v>2.158827905935</v>
          </cell>
          <cell r="AN291">
            <v>0.78081312568899996</v>
          </cell>
          <cell r="AS291">
            <v>1.3870644813220001</v>
          </cell>
          <cell r="AX291">
            <v>2.2053306505579999</v>
          </cell>
          <cell r="BC291">
            <v>2.8215690866330001</v>
          </cell>
          <cell r="BD291">
            <v>0.52889159059900004</v>
          </cell>
          <cell r="BE291">
            <v>0.85215985619400003</v>
          </cell>
          <cell r="BF291">
            <v>0.60477257590699995</v>
          </cell>
          <cell r="BG291">
            <v>1.3783222638420001</v>
          </cell>
          <cell r="BH291">
            <v>3.3641462865420002</v>
          </cell>
          <cell r="BI291">
            <v>0.44733093003899999</v>
          </cell>
          <cell r="BJ291">
            <v>1.0227477491070001</v>
          </cell>
          <cell r="BK291">
            <v>0.70242486113500002</v>
          </cell>
          <cell r="BL291">
            <v>1.2375372585340001</v>
          </cell>
          <cell r="BM291">
            <v>3.4100407988149999</v>
          </cell>
          <cell r="BN291">
            <v>0.37086996454900001</v>
          </cell>
          <cell r="BO291">
            <v>1.9010477578980001</v>
          </cell>
          <cell r="BP291">
            <v>-0.53669379474000001</v>
          </cell>
          <cell r="BQ291">
            <v>1.57571410618</v>
          </cell>
          <cell r="BR291">
            <v>3.3109380338859999</v>
          </cell>
          <cell r="BS291">
            <v>0.12035271903399999</v>
          </cell>
          <cell r="BT291">
            <v>0.70476434729500004</v>
          </cell>
          <cell r="BU291">
            <v>0.55611338326299997</v>
          </cell>
          <cell r="BV291">
            <v>2.2839285727799998</v>
          </cell>
          <cell r="BW291">
            <v>3.6651590223710002</v>
          </cell>
          <cell r="BX291">
            <v>-6.0823417146000001E-2</v>
          </cell>
          <cell r="BY291">
            <v>1.020823417146</v>
          </cell>
          <cell r="BZ291">
            <v>1.3529675695559999</v>
          </cell>
          <cell r="CA291">
            <v>3.325810518146</v>
          </cell>
          <cell r="CB291">
            <v>5.6387780877019997</v>
          </cell>
          <cell r="CC291">
            <v>0.46665663750199998</v>
          </cell>
          <cell r="CD291">
            <v>1.787989028348</v>
          </cell>
          <cell r="CE291">
            <v>1.494896034261</v>
          </cell>
          <cell r="CF291">
            <v>1.924555908406</v>
          </cell>
          <cell r="CG291">
            <v>5.6740976085170001</v>
          </cell>
          <cell r="CH291">
            <v>0.226256263166</v>
          </cell>
          <cell r="CI291">
            <v>-2.0996373702410001</v>
          </cell>
          <cell r="CJ291">
            <v>-1.759520823491</v>
          </cell>
          <cell r="CK291">
            <v>5.3736867908379997</v>
          </cell>
          <cell r="CL291">
            <v>1.7407848602730001</v>
          </cell>
          <cell r="CM291">
            <v>0.56263508996800005</v>
          </cell>
          <cell r="CN291">
            <v>-5.1642124357960002</v>
          </cell>
          <cell r="CO291">
            <v>-4.321902858054</v>
          </cell>
          <cell r="CP291">
            <v>13.23097293368</v>
          </cell>
          <cell r="CQ291">
            <v>4.2946233770909998</v>
          </cell>
          <cell r="CR291">
            <v>0.76026039193999995</v>
          </cell>
          <cell r="CS291">
            <v>-6.9781395446190002</v>
          </cell>
          <cell r="CT291">
            <v>-5.8399691369670004</v>
          </cell>
          <cell r="CU291">
            <v>17.878345747808002</v>
          </cell>
          <cell r="CV291">
            <v>5.8076281054559997</v>
          </cell>
          <cell r="CW291">
            <v>6.6967542266400004</v>
          </cell>
          <cell r="CX291">
            <v>7.546428697344</v>
          </cell>
          <cell r="CY291">
            <v>10.125758495391</v>
          </cell>
        </row>
        <row r="292">
          <cell r="B292" t="str">
            <v>EV adjustment (Pub)</v>
          </cell>
          <cell r="C292" t="str">
            <v>EV_ADJ_PUB</v>
          </cell>
          <cell r="D292" t="str">
            <v>EUR</v>
          </cell>
          <cell r="F292">
            <v>4294</v>
          </cell>
          <cell r="G292">
            <v>5364</v>
          </cell>
          <cell r="H292">
            <v>4816</v>
          </cell>
          <cell r="I292">
            <v>5140</v>
          </cell>
          <cell r="J292">
            <v>7390</v>
          </cell>
          <cell r="K292">
            <v>0</v>
          </cell>
          <cell r="L292">
            <v>0</v>
          </cell>
          <cell r="M292">
            <v>0</v>
          </cell>
          <cell r="N292">
            <v>0</v>
          </cell>
          <cell r="O292">
            <v>9233</v>
          </cell>
          <cell r="P292">
            <v>0</v>
          </cell>
          <cell r="Q292">
            <v>0</v>
          </cell>
          <cell r="R292">
            <v>0</v>
          </cell>
          <cell r="T292">
            <v>4750.1719545194101</v>
          </cell>
          <cell r="Y292">
            <v>8623.4667635872702</v>
          </cell>
          <cell r="AD292">
            <v>9392.9676665205407</v>
          </cell>
          <cell r="AI292">
            <v>12898.409962494599</v>
          </cell>
          <cell r="AN292">
            <v>15329.869253794101</v>
          </cell>
          <cell r="AS292">
            <v>13568.215482884099</v>
          </cell>
          <cell r="AX292">
            <v>13479.7223101659</v>
          </cell>
          <cell r="BC292">
            <v>11091.4097801599</v>
          </cell>
          <cell r="BH292">
            <v>7911.9438322263604</v>
          </cell>
          <cell r="BM292">
            <v>8198.3619344434301</v>
          </cell>
          <cell r="BR292">
            <v>7373.6233633169304</v>
          </cell>
          <cell r="BW292">
            <v>4958.1298315597796</v>
          </cell>
          <cell r="CB292">
            <v>4996.28320661822</v>
          </cell>
          <cell r="CG292">
            <v>4928.2496917472799</v>
          </cell>
          <cell r="CL292">
            <v>2969.9546920145399</v>
          </cell>
          <cell r="CQ292">
            <v>3595.31802342125</v>
          </cell>
          <cell r="CV292">
            <v>4163.5658502218503</v>
          </cell>
          <cell r="CW292">
            <v>4059.61465008698</v>
          </cell>
          <cell r="CX292">
            <v>3908.76691648003</v>
          </cell>
          <cell r="CY292">
            <v>3677.82335460283</v>
          </cell>
        </row>
        <row r="293">
          <cell r="B293" t="str">
            <v>Net debt (Pub)</v>
          </cell>
          <cell r="C293" t="str">
            <v>NET_DEBT_PUB</v>
          </cell>
          <cell r="D293" t="str">
            <v>EUR</v>
          </cell>
          <cell r="F293">
            <v>-2143</v>
          </cell>
          <cell r="G293">
            <v>-1533</v>
          </cell>
          <cell r="H293">
            <v>-1224</v>
          </cell>
          <cell r="I293">
            <v>-3105</v>
          </cell>
          <cell r="J293">
            <v>-4058</v>
          </cell>
          <cell r="O293">
            <v>-5489</v>
          </cell>
          <cell r="T293">
            <v>-4229</v>
          </cell>
          <cell r="Y293">
            <v>-7024</v>
          </cell>
          <cell r="AD293">
            <v>-9193</v>
          </cell>
          <cell r="AI293">
            <v>-9797</v>
          </cell>
          <cell r="AN293">
            <v>-11918</v>
          </cell>
          <cell r="AS293">
            <v>-11681</v>
          </cell>
          <cell r="AX293">
            <v>-12292</v>
          </cell>
          <cell r="BC293">
            <v>-9054</v>
          </cell>
          <cell r="BH293">
            <v>-9092</v>
          </cell>
          <cell r="BM293">
            <v>-10003</v>
          </cell>
          <cell r="BR293">
            <v>-11113</v>
          </cell>
          <cell r="BW293">
            <v>-13391</v>
          </cell>
          <cell r="CB293">
            <v>-13281</v>
          </cell>
          <cell r="CG293">
            <v>-12534</v>
          </cell>
          <cell r="CL293">
            <v>2688.7879588809701</v>
          </cell>
          <cell r="CQ293">
            <v>-597.45019953864505</v>
          </cell>
          <cell r="CV293">
            <v>-7953.0544071775203</v>
          </cell>
          <cell r="CW293">
            <v>-10430.6398959781</v>
          </cell>
          <cell r="CX293">
            <v>-10151.0718361745</v>
          </cell>
          <cell r="CY293">
            <v>-11605.929546715601</v>
          </cell>
        </row>
        <row r="294">
          <cell r="B294" t="str">
            <v>Net Debt (ex leases) (Pub)</v>
          </cell>
          <cell r="C294" t="str">
            <v>NET_DEBT_EX_LEASES_PUB</v>
          </cell>
          <cell r="D294" t="str">
            <v>EUR</v>
          </cell>
        </row>
        <row r="295">
          <cell r="B295" t="str">
            <v>Consensus equivalent net debt</v>
          </cell>
          <cell r="C295" t="str">
            <v>CEEE_NDEBT</v>
          </cell>
          <cell r="D295" t="str">
            <v>EUR</v>
          </cell>
        </row>
        <row r="296">
          <cell r="B296" t="str">
            <v>Net income (Pub)</v>
          </cell>
          <cell r="C296" t="str">
            <v>NI_PUB</v>
          </cell>
          <cell r="D296" t="str">
            <v>EUR</v>
          </cell>
          <cell r="F296">
            <v>179</v>
          </cell>
          <cell r="G296">
            <v>809</v>
          </cell>
          <cell r="H296">
            <v>696</v>
          </cell>
          <cell r="I296">
            <v>769</v>
          </cell>
          <cell r="J296">
            <v>1152</v>
          </cell>
          <cell r="O296">
            <v>1769</v>
          </cell>
          <cell r="T296">
            <v>3356</v>
          </cell>
          <cell r="Y296">
            <v>3129</v>
          </cell>
          <cell r="AD296">
            <v>2113</v>
          </cell>
          <cell r="AI296">
            <v>1748</v>
          </cell>
          <cell r="AN296">
            <v>633</v>
          </cell>
          <cell r="AS296">
            <v>1127</v>
          </cell>
          <cell r="AX296">
            <v>1807</v>
          </cell>
          <cell r="BC296">
            <v>2236</v>
          </cell>
          <cell r="BD296">
            <v>413</v>
          </cell>
          <cell r="BE296">
            <v>676</v>
          </cell>
          <cell r="BF296">
            <v>474</v>
          </cell>
          <cell r="BG296">
            <v>1071</v>
          </cell>
          <cell r="BH296">
            <v>2634</v>
          </cell>
          <cell r="BI296">
            <v>351</v>
          </cell>
          <cell r="BJ296">
            <v>804</v>
          </cell>
          <cell r="BK296">
            <v>553</v>
          </cell>
          <cell r="BL296">
            <v>971</v>
          </cell>
          <cell r="BM296">
            <v>2679</v>
          </cell>
          <cell r="BN296">
            <v>288</v>
          </cell>
          <cell r="BO296">
            <v>1473</v>
          </cell>
          <cell r="BP296">
            <v>-416</v>
          </cell>
          <cell r="BQ296">
            <v>1217</v>
          </cell>
          <cell r="BR296">
            <v>2562</v>
          </cell>
          <cell r="BS296">
            <v>93</v>
          </cell>
          <cell r="BT296">
            <v>545</v>
          </cell>
          <cell r="BU296">
            <v>430</v>
          </cell>
          <cell r="BV296">
            <v>1768</v>
          </cell>
          <cell r="BW296">
            <v>2836</v>
          </cell>
          <cell r="CB296">
            <v>4371</v>
          </cell>
          <cell r="CG296">
            <v>4409</v>
          </cell>
          <cell r="CL296">
            <v>1352.6592206348</v>
          </cell>
          <cell r="CQ296">
            <v>3337.09353909838</v>
          </cell>
          <cell r="CV296">
            <v>4512.7585183799702</v>
          </cell>
          <cell r="CW296">
            <v>5203.6449533292598</v>
          </cell>
          <cell r="CX296">
            <v>5570.6820892219903</v>
          </cell>
          <cell r="CY296">
            <v>7081.3061490607297</v>
          </cell>
        </row>
        <row r="297">
          <cell r="B297" t="str">
            <v>EBIT, operating profit (Pub)</v>
          </cell>
          <cell r="C297" t="str">
            <v>EBIT_PUB</v>
          </cell>
          <cell r="D297" t="str">
            <v>EUR</v>
          </cell>
          <cell r="F297">
            <v>1399</v>
          </cell>
          <cell r="G297">
            <v>1694</v>
          </cell>
          <cell r="H297">
            <v>1426</v>
          </cell>
          <cell r="I297">
            <v>1543</v>
          </cell>
          <cell r="J297">
            <v>2444</v>
          </cell>
          <cell r="O297">
            <v>2852</v>
          </cell>
          <cell r="T297">
            <v>3556</v>
          </cell>
          <cell r="Y297">
            <v>3614</v>
          </cell>
          <cell r="AD297">
            <v>3330</v>
          </cell>
          <cell r="AI297">
            <v>2148</v>
          </cell>
          <cell r="AN297">
            <v>1341</v>
          </cell>
          <cell r="AS297">
            <v>1794</v>
          </cell>
          <cell r="AX297">
            <v>2964</v>
          </cell>
          <cell r="BC297">
            <v>3574</v>
          </cell>
          <cell r="BD297">
            <v>700</v>
          </cell>
          <cell r="BE297">
            <v>1069</v>
          </cell>
          <cell r="BF297">
            <v>821</v>
          </cell>
          <cell r="BG297">
            <v>1476</v>
          </cell>
          <cell r="BH297">
            <v>4066</v>
          </cell>
          <cell r="BI297">
            <v>651</v>
          </cell>
          <cell r="BJ297">
            <v>1232</v>
          </cell>
          <cell r="BK297">
            <v>921</v>
          </cell>
          <cell r="BL297">
            <v>1328</v>
          </cell>
          <cell r="BM297">
            <v>4132</v>
          </cell>
          <cell r="BN297">
            <v>501</v>
          </cell>
          <cell r="BO297">
            <v>1183</v>
          </cell>
          <cell r="BP297">
            <v>731</v>
          </cell>
          <cell r="BQ297">
            <v>1540</v>
          </cell>
          <cell r="BR297">
            <v>3955</v>
          </cell>
          <cell r="BS297">
            <v>240</v>
          </cell>
          <cell r="BT297">
            <v>859</v>
          </cell>
          <cell r="BU297">
            <v>697</v>
          </cell>
          <cell r="BV297">
            <v>2457</v>
          </cell>
          <cell r="BW297">
            <v>4253</v>
          </cell>
          <cell r="CB297">
            <v>5834</v>
          </cell>
          <cell r="CG297">
            <v>6946</v>
          </cell>
          <cell r="CL297">
            <v>2056.51862690916</v>
          </cell>
          <cell r="CQ297">
            <v>4851.6855785429698</v>
          </cell>
          <cell r="CV297">
            <v>6407.9433641860296</v>
          </cell>
          <cell r="CW297">
            <v>7338.5022334341902</v>
          </cell>
          <cell r="CX297">
            <v>7835.4639713445704</v>
          </cell>
          <cell r="CY297">
            <v>9898.9775955011592</v>
          </cell>
        </row>
        <row r="298">
          <cell r="B298" t="str">
            <v>Pre-tax profit (Pub)</v>
          </cell>
          <cell r="C298" t="str">
            <v>PTP_PUB</v>
          </cell>
          <cell r="D298" t="str">
            <v>EUR</v>
          </cell>
          <cell r="F298">
            <v>-27</v>
          </cell>
          <cell r="G298">
            <v>1523</v>
          </cell>
          <cell r="H298">
            <v>1366</v>
          </cell>
          <cell r="I298">
            <v>1488</v>
          </cell>
          <cell r="J298">
            <v>2114</v>
          </cell>
          <cell r="O298">
            <v>2675</v>
          </cell>
          <cell r="T298">
            <v>3312</v>
          </cell>
          <cell r="Y298">
            <v>2877</v>
          </cell>
          <cell r="AD298">
            <v>2858</v>
          </cell>
          <cell r="AI298">
            <v>1556</v>
          </cell>
          <cell r="AN298">
            <v>929</v>
          </cell>
          <cell r="AS298">
            <v>1515</v>
          </cell>
          <cell r="AX298">
            <v>2499</v>
          </cell>
          <cell r="BC298">
            <v>3074</v>
          </cell>
          <cell r="BD298">
            <v>565</v>
          </cell>
          <cell r="BE298">
            <v>923</v>
          </cell>
          <cell r="BF298">
            <v>668</v>
          </cell>
          <cell r="BG298">
            <v>1473</v>
          </cell>
          <cell r="BH298">
            <v>3629</v>
          </cell>
          <cell r="BI298">
            <v>514</v>
          </cell>
          <cell r="BJ298">
            <v>1125</v>
          </cell>
          <cell r="BK298">
            <v>785</v>
          </cell>
          <cell r="BL298">
            <v>1239</v>
          </cell>
          <cell r="BM298">
            <v>3663</v>
          </cell>
          <cell r="BN298">
            <v>410</v>
          </cell>
          <cell r="BO298">
            <v>1126</v>
          </cell>
          <cell r="BP298">
            <v>610</v>
          </cell>
          <cell r="BQ298">
            <v>1469</v>
          </cell>
          <cell r="BR298">
            <v>3615</v>
          </cell>
          <cell r="BS298">
            <v>131</v>
          </cell>
          <cell r="BT298">
            <v>757</v>
          </cell>
          <cell r="BU298">
            <v>597</v>
          </cell>
          <cell r="BV298">
            <v>2379</v>
          </cell>
          <cell r="BW298">
            <v>3864</v>
          </cell>
          <cell r="CB298">
            <v>5602</v>
          </cell>
          <cell r="CG298">
            <v>6835</v>
          </cell>
          <cell r="CL298">
            <v>1892.58225088166</v>
          </cell>
          <cell r="CQ298">
            <v>4648.7410265255203</v>
          </cell>
          <cell r="CV298">
            <v>6281.6090533055103</v>
          </cell>
          <cell r="CW298">
            <v>7241.1735462906399</v>
          </cell>
          <cell r="CX298">
            <v>7750.9473461416601</v>
          </cell>
          <cell r="CY298">
            <v>9849.0363181399098</v>
          </cell>
        </row>
        <row r="299">
          <cell r="B299" t="str">
            <v>Sales, revenue (Pub)</v>
          </cell>
          <cell r="C299" t="str">
            <v>REVS_PUB</v>
          </cell>
          <cell r="D299" t="str">
            <v>EUR</v>
          </cell>
          <cell r="F299">
            <v>24208</v>
          </cell>
          <cell r="G299">
            <v>30798</v>
          </cell>
          <cell r="H299">
            <v>29901</v>
          </cell>
          <cell r="I299">
            <v>30133</v>
          </cell>
          <cell r="J299">
            <v>31761</v>
          </cell>
          <cell r="O299">
            <v>34206</v>
          </cell>
          <cell r="T299">
            <v>39434</v>
          </cell>
          <cell r="Y299">
            <v>39123</v>
          </cell>
          <cell r="AD299">
            <v>43265</v>
          </cell>
          <cell r="AI299">
            <v>42822</v>
          </cell>
          <cell r="AN299">
            <v>45752</v>
          </cell>
          <cell r="AS299">
            <v>49128</v>
          </cell>
          <cell r="AX299">
            <v>56480</v>
          </cell>
          <cell r="BC299">
            <v>59256</v>
          </cell>
          <cell r="BD299">
            <v>12648</v>
          </cell>
          <cell r="BE299">
            <v>14552</v>
          </cell>
          <cell r="BF299">
            <v>13297</v>
          </cell>
          <cell r="BG299">
            <v>20216</v>
          </cell>
          <cell r="BH299">
            <v>60713</v>
          </cell>
          <cell r="BI299">
            <v>12078</v>
          </cell>
          <cell r="BJ299">
            <v>16815</v>
          </cell>
          <cell r="BK299">
            <v>14072</v>
          </cell>
          <cell r="BL299">
            <v>21485</v>
          </cell>
          <cell r="BM299">
            <v>64450</v>
          </cell>
          <cell r="BN299">
            <v>12183</v>
          </cell>
          <cell r="BO299">
            <v>16572</v>
          </cell>
          <cell r="BP299">
            <v>13950</v>
          </cell>
          <cell r="BQ299">
            <v>23876</v>
          </cell>
          <cell r="BR299">
            <v>66581</v>
          </cell>
          <cell r="BS299">
            <v>12988</v>
          </cell>
          <cell r="BT299">
            <v>15721</v>
          </cell>
          <cell r="BU299">
            <v>14244</v>
          </cell>
          <cell r="BV299">
            <v>23699</v>
          </cell>
          <cell r="BW299">
            <v>66652</v>
          </cell>
          <cell r="BX299">
            <v>10119</v>
          </cell>
          <cell r="BY299">
            <v>14851</v>
          </cell>
          <cell r="BZ299">
            <v>15451</v>
          </cell>
          <cell r="CA299">
            <v>23286</v>
          </cell>
          <cell r="CB299">
            <v>63707</v>
          </cell>
          <cell r="CC299">
            <v>12549</v>
          </cell>
          <cell r="CD299">
            <v>18317</v>
          </cell>
          <cell r="CE299">
            <v>15302</v>
          </cell>
          <cell r="CF299">
            <v>24310</v>
          </cell>
          <cell r="CG299">
            <v>70478</v>
          </cell>
          <cell r="CH299">
            <v>10631</v>
          </cell>
          <cell r="CI299">
            <v>8046.9319637259496</v>
          </cell>
          <cell r="CJ299">
            <v>10104.1240174632</v>
          </cell>
          <cell r="CK299">
            <v>17482.8573771507</v>
          </cell>
          <cell r="CL299">
            <v>46264.913358339902</v>
          </cell>
          <cell r="CM299">
            <v>12219.564660058601</v>
          </cell>
          <cell r="CN299">
            <v>14027.954233963401</v>
          </cell>
          <cell r="CO299">
            <v>13879.109179557699</v>
          </cell>
          <cell r="CP299">
            <v>15949.8805923858</v>
          </cell>
          <cell r="CQ299">
            <v>56076.508665965601</v>
          </cell>
          <cell r="CR299">
            <v>13334.4672918002</v>
          </cell>
          <cell r="CS299">
            <v>15337.4163367455</v>
          </cell>
          <cell r="CT299">
            <v>15185.999672534201</v>
          </cell>
          <cell r="CU299">
            <v>17492.690017130099</v>
          </cell>
          <cell r="CV299">
            <v>61350.573318210001</v>
          </cell>
          <cell r="CW299">
            <v>67035.072594766301</v>
          </cell>
          <cell r="CX299">
            <v>70275.215656418804</v>
          </cell>
          <cell r="CY299">
            <v>72608.670191223398</v>
          </cell>
        </row>
        <row r="300">
          <cell r="B300" t="str">
            <v>Total shareholders' equity (Pub)</v>
          </cell>
          <cell r="C300" t="str">
            <v>EQ_PUB</v>
          </cell>
          <cell r="D300" t="str">
            <v>EUR</v>
          </cell>
          <cell r="F300">
            <v>10471</v>
          </cell>
          <cell r="G300">
            <v>10436</v>
          </cell>
          <cell r="H300">
            <v>14126</v>
          </cell>
          <cell r="I300">
            <v>18328</v>
          </cell>
          <cell r="J300">
            <v>19343</v>
          </cell>
          <cell r="O300">
            <v>13902</v>
          </cell>
          <cell r="T300">
            <v>13152</v>
          </cell>
          <cell r="Y300">
            <v>13175</v>
          </cell>
          <cell r="AD300">
            <v>11126</v>
          </cell>
          <cell r="AI300">
            <v>10641</v>
          </cell>
          <cell r="AN300">
            <v>8936</v>
          </cell>
          <cell r="AS300">
            <v>8865</v>
          </cell>
          <cell r="AX300">
            <v>10420</v>
          </cell>
          <cell r="BC300">
            <v>11054</v>
          </cell>
          <cell r="BH300">
            <v>7079</v>
          </cell>
          <cell r="BM300">
            <v>5973</v>
          </cell>
          <cell r="BR300">
            <v>3652</v>
          </cell>
          <cell r="BW300">
            <v>13351</v>
          </cell>
          <cell r="CB300">
            <v>9719</v>
          </cell>
          <cell r="CG300">
            <v>5990</v>
          </cell>
          <cell r="CL300">
            <v>7352.6592206347996</v>
          </cell>
          <cell r="CQ300">
            <v>9517.6369940331697</v>
          </cell>
          <cell r="CV300">
            <v>13189.267450683599</v>
          </cell>
          <cell r="CW300">
            <v>16304.033144822901</v>
          </cell>
          <cell r="CX300">
            <v>16664.459413713499</v>
          </cell>
          <cell r="CY300">
            <v>18376.765697748</v>
          </cell>
        </row>
        <row r="301">
          <cell r="A301" t="str">
            <v>Income Statement</v>
          </cell>
        </row>
        <row r="302">
          <cell r="B302" t="str">
            <v>Provision for income tax</v>
          </cell>
          <cell r="C302" t="str">
            <v>PROV_INC_TAX</v>
          </cell>
          <cell r="D302" t="str">
            <v>EUR</v>
          </cell>
          <cell r="F302">
            <v>220</v>
          </cell>
          <cell r="G302">
            <v>-828</v>
          </cell>
          <cell r="H302">
            <v>-541</v>
          </cell>
          <cell r="I302">
            <v>-557</v>
          </cell>
          <cell r="J302">
            <v>-742</v>
          </cell>
          <cell r="O302">
            <v>-872</v>
          </cell>
          <cell r="T302">
            <v>60</v>
          </cell>
          <cell r="Y302">
            <v>261</v>
          </cell>
          <cell r="AD302">
            <v>-720</v>
          </cell>
          <cell r="AI302">
            <v>203</v>
          </cell>
          <cell r="AN302">
            <v>-277</v>
          </cell>
          <cell r="AS302">
            <v>-384</v>
          </cell>
          <cell r="AX302">
            <v>-691</v>
          </cell>
          <cell r="BC302">
            <v>-828</v>
          </cell>
          <cell r="BH302">
            <v>-988</v>
          </cell>
          <cell r="BM302">
            <v>-982</v>
          </cell>
          <cell r="BR302">
            <v>-1048</v>
          </cell>
          <cell r="BW302">
            <v>-1024</v>
          </cell>
          <cell r="CB302">
            <v>-1274</v>
          </cell>
          <cell r="CG302">
            <v>-2389</v>
          </cell>
          <cell r="CL302">
            <v>-529.92303024686498</v>
          </cell>
          <cell r="CQ302">
            <v>-1301.6474874271501</v>
          </cell>
          <cell r="CV302">
            <v>-1758.8505349255399</v>
          </cell>
          <cell r="CW302">
            <v>-2027.5285929613799</v>
          </cell>
          <cell r="CX302">
            <v>-2170.2652569196598</v>
          </cell>
          <cell r="CY302">
            <v>-2757.7301690791701</v>
          </cell>
        </row>
        <row r="303">
          <cell r="B303" t="str">
            <v>Minority interest</v>
          </cell>
          <cell r="C303" t="str">
            <v>INC_MINORITY</v>
          </cell>
          <cell r="D303" t="str">
            <v>EUR</v>
          </cell>
          <cell r="F303">
            <v>-14</v>
          </cell>
          <cell r="G303">
            <v>114</v>
          </cell>
          <cell r="H303">
            <v>-129</v>
          </cell>
          <cell r="I303">
            <v>-162</v>
          </cell>
          <cell r="J303">
            <v>-220</v>
          </cell>
          <cell r="K303">
            <v>0</v>
          </cell>
          <cell r="L303">
            <v>0</v>
          </cell>
          <cell r="M303">
            <v>0</v>
          </cell>
          <cell r="N303">
            <v>0</v>
          </cell>
          <cell r="O303">
            <v>-34</v>
          </cell>
          <cell r="P303">
            <v>0</v>
          </cell>
          <cell r="Q303">
            <v>0</v>
          </cell>
          <cell r="R303">
            <v>0</v>
          </cell>
          <cell r="T303">
            <v>-16</v>
          </cell>
          <cell r="Y303">
            <v>-9</v>
          </cell>
          <cell r="AD303">
            <v>-25</v>
          </cell>
          <cell r="AI303">
            <v>-11</v>
          </cell>
          <cell r="AN303">
            <v>-19</v>
          </cell>
          <cell r="AS303">
            <v>-4</v>
          </cell>
          <cell r="AX303">
            <v>-1</v>
          </cell>
          <cell r="BC303">
            <v>-10</v>
          </cell>
          <cell r="BH303">
            <v>-7</v>
          </cell>
          <cell r="BM303">
            <v>-2</v>
          </cell>
          <cell r="BR303">
            <v>-5</v>
          </cell>
          <cell r="BW303">
            <v>-4</v>
          </cell>
          <cell r="CB303">
            <v>43</v>
          </cell>
          <cell r="CG303">
            <v>-37</v>
          </cell>
          <cell r="CL303">
            <v>-10</v>
          </cell>
          <cell r="CQ303">
            <v>-10</v>
          </cell>
          <cell r="CV303">
            <v>-10</v>
          </cell>
          <cell r="CW303">
            <v>-10</v>
          </cell>
          <cell r="CX303">
            <v>-10</v>
          </cell>
          <cell r="CY303">
            <v>-10</v>
          </cell>
        </row>
        <row r="304">
          <cell r="B304" t="str">
            <v>Net income (pre-preferred dividends)</v>
          </cell>
          <cell r="C304" t="str">
            <v>NI_PRE_PREF</v>
          </cell>
          <cell r="D304" t="str">
            <v>EUR</v>
          </cell>
          <cell r="F304">
            <v>179</v>
          </cell>
          <cell r="G304">
            <v>809</v>
          </cell>
          <cell r="H304">
            <v>696</v>
          </cell>
          <cell r="I304">
            <v>769</v>
          </cell>
          <cell r="J304">
            <v>1152</v>
          </cell>
          <cell r="O304">
            <v>1769</v>
          </cell>
          <cell r="T304">
            <v>3356</v>
          </cell>
          <cell r="Y304">
            <v>3129</v>
          </cell>
          <cell r="AD304">
            <v>2113</v>
          </cell>
          <cell r="AI304">
            <v>1748</v>
          </cell>
          <cell r="AN304">
            <v>674</v>
          </cell>
          <cell r="AS304">
            <v>1186</v>
          </cell>
          <cell r="AX304">
            <v>1819</v>
          </cell>
          <cell r="BC304">
            <v>2106</v>
          </cell>
          <cell r="BH304">
            <v>2293</v>
          </cell>
          <cell r="BM304">
            <v>2461</v>
          </cell>
          <cell r="BR304">
            <v>1935</v>
          </cell>
          <cell r="BW304">
            <v>4374</v>
          </cell>
          <cell r="CB304">
            <v>3840</v>
          </cell>
          <cell r="CG304">
            <v>4245</v>
          </cell>
          <cell r="CL304">
            <v>1352.6592206348</v>
          </cell>
          <cell r="CQ304">
            <v>3337.09353909838</v>
          </cell>
          <cell r="CV304">
            <v>4512.7585183799702</v>
          </cell>
          <cell r="CW304">
            <v>5203.6449533292598</v>
          </cell>
          <cell r="CX304">
            <v>5570.6820892219903</v>
          </cell>
          <cell r="CY304">
            <v>7081.3061490607297</v>
          </cell>
        </row>
        <row r="305">
          <cell r="B305" t="str">
            <v>Preferred dividends</v>
          </cell>
          <cell r="C305" t="str">
            <v>PREF_DIV</v>
          </cell>
          <cell r="D305" t="str">
            <v>EUR</v>
          </cell>
          <cell r="F305">
            <v>0</v>
          </cell>
          <cell r="G305">
            <v>0</v>
          </cell>
          <cell r="H305">
            <v>0</v>
          </cell>
          <cell r="I305">
            <v>0</v>
          </cell>
          <cell r="J305">
            <v>0</v>
          </cell>
          <cell r="K305">
            <v>0</v>
          </cell>
          <cell r="L305">
            <v>0</v>
          </cell>
          <cell r="M305">
            <v>0</v>
          </cell>
          <cell r="N305">
            <v>0</v>
          </cell>
          <cell r="O305">
            <v>0</v>
          </cell>
          <cell r="P305">
            <v>0</v>
          </cell>
          <cell r="Q305">
            <v>0</v>
          </cell>
          <cell r="R305">
            <v>0</v>
          </cell>
          <cell r="T305">
            <v>0</v>
          </cell>
          <cell r="Y305">
            <v>0</v>
          </cell>
        </row>
        <row r="306">
          <cell r="B306" t="str">
            <v>Net income (pre-exceptionals)</v>
          </cell>
          <cell r="C306" t="str">
            <v>NET_EARNING</v>
          </cell>
          <cell r="D306" t="str">
            <v>EUR</v>
          </cell>
          <cell r="F306">
            <v>179</v>
          </cell>
          <cell r="G306">
            <v>809</v>
          </cell>
          <cell r="H306">
            <v>696</v>
          </cell>
          <cell r="I306">
            <v>769</v>
          </cell>
          <cell r="J306">
            <v>1152</v>
          </cell>
          <cell r="O306">
            <v>1769</v>
          </cell>
          <cell r="T306">
            <v>3356</v>
          </cell>
          <cell r="Y306">
            <v>3129</v>
          </cell>
          <cell r="AD306">
            <v>2113</v>
          </cell>
          <cell r="AI306">
            <v>1748</v>
          </cell>
          <cell r="AN306">
            <v>674</v>
          </cell>
          <cell r="AS306">
            <v>1186</v>
          </cell>
          <cell r="AX306">
            <v>1819</v>
          </cell>
          <cell r="BC306">
            <v>2106</v>
          </cell>
          <cell r="BH306">
            <v>2293</v>
          </cell>
          <cell r="BM306">
            <v>2461</v>
          </cell>
          <cell r="BR306">
            <v>1935</v>
          </cell>
          <cell r="BW306">
            <v>4374</v>
          </cell>
          <cell r="CB306">
            <v>3840</v>
          </cell>
          <cell r="CG306">
            <v>4245</v>
          </cell>
          <cell r="CL306">
            <v>1352.6592206348</v>
          </cell>
          <cell r="CQ306">
            <v>3337.09353909838</v>
          </cell>
          <cell r="CV306">
            <v>4512.7585183799702</v>
          </cell>
          <cell r="CW306">
            <v>5203.6449533292598</v>
          </cell>
          <cell r="CX306">
            <v>5570.6820892219903</v>
          </cell>
          <cell r="CY306">
            <v>7081.3061490607297</v>
          </cell>
        </row>
        <row r="307">
          <cell r="B307" t="str">
            <v>Post-tax exceptionals</v>
          </cell>
          <cell r="C307" t="str">
            <v>TAX_EXC</v>
          </cell>
          <cell r="D307" t="str">
            <v>EUR</v>
          </cell>
          <cell r="K307">
            <v>0</v>
          </cell>
          <cell r="L307">
            <v>0</v>
          </cell>
          <cell r="M307">
            <v>0</v>
          </cell>
          <cell r="N307">
            <v>0</v>
          </cell>
          <cell r="P307">
            <v>0</v>
          </cell>
          <cell r="Q307">
            <v>0</v>
          </cell>
          <cell r="R307">
            <v>0</v>
          </cell>
        </row>
        <row r="308">
          <cell r="B308" t="str">
            <v>Net income (post-exceptionals)</v>
          </cell>
          <cell r="C308" t="str">
            <v>NET_INC</v>
          </cell>
          <cell r="D308" t="str">
            <v>EUR</v>
          </cell>
          <cell r="F308">
            <v>179</v>
          </cell>
          <cell r="G308">
            <v>809</v>
          </cell>
          <cell r="H308">
            <v>696</v>
          </cell>
          <cell r="I308">
            <v>769</v>
          </cell>
          <cell r="J308">
            <v>1152</v>
          </cell>
          <cell r="O308">
            <v>1769</v>
          </cell>
          <cell r="T308">
            <v>3356</v>
          </cell>
          <cell r="Y308">
            <v>3129</v>
          </cell>
          <cell r="AD308">
            <v>2113</v>
          </cell>
          <cell r="AI308">
            <v>1748</v>
          </cell>
          <cell r="AN308">
            <v>674</v>
          </cell>
          <cell r="AS308">
            <v>1186</v>
          </cell>
          <cell r="AX308">
            <v>1819</v>
          </cell>
          <cell r="BC308">
            <v>2106</v>
          </cell>
          <cell r="BH308">
            <v>2293</v>
          </cell>
          <cell r="BM308">
            <v>2461</v>
          </cell>
          <cell r="BR308">
            <v>1935</v>
          </cell>
          <cell r="BW308">
            <v>4374</v>
          </cell>
          <cell r="CB308">
            <v>3840</v>
          </cell>
          <cell r="CG308">
            <v>4245</v>
          </cell>
          <cell r="CL308">
            <v>1352.6592206348</v>
          </cell>
          <cell r="CQ308">
            <v>3337.09353909838</v>
          </cell>
          <cell r="CV308">
            <v>4512.7585183799702</v>
          </cell>
          <cell r="CW308">
            <v>5203.6449533292598</v>
          </cell>
          <cell r="CX308">
            <v>5570.6820892219903</v>
          </cell>
          <cell r="CY308">
            <v>7081.3061490607297</v>
          </cell>
        </row>
        <row r="309">
          <cell r="B309" t="str">
            <v>EPS (pre-exceptionals, basic)</v>
          </cell>
          <cell r="C309" t="str">
            <v>EPS</v>
          </cell>
          <cell r="D309" t="str">
            <v>EUR</v>
          </cell>
          <cell r="F309">
            <v>0.46413708790399999</v>
          </cell>
          <cell r="G309">
            <v>1.0021109001599999</v>
          </cell>
          <cell r="H309">
            <v>0.86554568551599997</v>
          </cell>
          <cell r="I309">
            <v>0.96010147860600004</v>
          </cell>
          <cell r="J309">
            <v>1.4381393443049999</v>
          </cell>
          <cell r="O309">
            <v>2.2259013837360002</v>
          </cell>
          <cell r="T309">
            <v>4.1940292709550002</v>
          </cell>
          <cell r="Y309">
            <v>3.896015503109</v>
          </cell>
          <cell r="AD309">
            <v>2.618408311819</v>
          </cell>
          <cell r="AI309">
            <v>2.158827905935</v>
          </cell>
          <cell r="AN309">
            <v>0.83138711961199996</v>
          </cell>
          <cell r="AS309">
            <v>1.4596792145940001</v>
          </cell>
          <cell r="AX309">
            <v>2.219975901143</v>
          </cell>
          <cell r="BC309">
            <v>2.6575243722940001</v>
          </cell>
          <cell r="BH309">
            <v>2.9286208940930001</v>
          </cell>
          <cell r="BM309">
            <v>3.1325533429950001</v>
          </cell>
          <cell r="BR309">
            <v>2.5006499202070001</v>
          </cell>
          <cell r="BW309">
            <v>5.6528228363370001</v>
          </cell>
          <cell r="CB309">
            <v>4.9537652383379998</v>
          </cell>
          <cell r="CG309">
            <v>5.4630402241220004</v>
          </cell>
          <cell r="CL309">
            <v>1.7407848602730001</v>
          </cell>
          <cell r="CQ309">
            <v>4.2946233770909998</v>
          </cell>
          <cell r="CV309">
            <v>5.8076281054559997</v>
          </cell>
          <cell r="CW309">
            <v>6.6967542266400004</v>
          </cell>
          <cell r="CX309">
            <v>7.546428697344</v>
          </cell>
          <cell r="CY309">
            <v>10.125758495391</v>
          </cell>
        </row>
        <row r="310">
          <cell r="B310" t="str">
            <v>EPS (pre-exceptionals, diluted)</v>
          </cell>
          <cell r="C310" t="str">
            <v>EPS_FUL_DIL</v>
          </cell>
          <cell r="D310" t="str">
            <v>EUR</v>
          </cell>
          <cell r="F310">
            <v>0.46413708790399999</v>
          </cell>
          <cell r="G310">
            <v>1.0021109001599999</v>
          </cell>
          <cell r="H310">
            <v>0.86554568551599997</v>
          </cell>
          <cell r="I310">
            <v>0.96010147860600004</v>
          </cell>
          <cell r="J310">
            <v>1.4326881470990001</v>
          </cell>
          <cell r="O310">
            <v>2.2106521484699999</v>
          </cell>
          <cell r="T310">
            <v>4.1724911678119998</v>
          </cell>
          <cell r="Y310">
            <v>3.8843103606380001</v>
          </cell>
          <cell r="AD310">
            <v>2.6164041616690001</v>
          </cell>
          <cell r="AI310">
            <v>2.1548586108080001</v>
          </cell>
          <cell r="AN310">
            <v>0.83113841065100003</v>
          </cell>
          <cell r="AS310">
            <v>1.457536208911</v>
          </cell>
          <cell r="AX310">
            <v>2.2168005841910001</v>
          </cell>
          <cell r="BC310">
            <v>2.6519660540490002</v>
          </cell>
          <cell r="BH310">
            <v>2.9241639851830001</v>
          </cell>
          <cell r="BM310">
            <v>3.1211479908499999</v>
          </cell>
          <cell r="BR310">
            <v>2.4836042522869999</v>
          </cell>
          <cell r="BW310">
            <v>5.6142891045879999</v>
          </cell>
          <cell r="CB310">
            <v>4.920057155996</v>
          </cell>
          <cell r="CG310">
            <v>5.4259557052460003</v>
          </cell>
          <cell r="CL310">
            <v>1.7289679659499999</v>
          </cell>
          <cell r="CQ310">
            <v>4.2654703715920004</v>
          </cell>
          <cell r="CV310">
            <v>5.7682044356180002</v>
          </cell>
          <cell r="CW310">
            <v>6.6512949405389996</v>
          </cell>
          <cell r="CX310">
            <v>7.4925246986829999</v>
          </cell>
          <cell r="CY310">
            <v>10.049442449079001</v>
          </cell>
        </row>
        <row r="311">
          <cell r="B311" t="str">
            <v>EPS (post-exceptionals, basic)</v>
          </cell>
          <cell r="C311" t="str">
            <v>EPS_POST_BASIC</v>
          </cell>
          <cell r="D311" t="str">
            <v>EUR</v>
          </cell>
          <cell r="F311">
            <v>0.46413708790399999</v>
          </cell>
          <cell r="G311">
            <v>1.0021109001599999</v>
          </cell>
          <cell r="H311">
            <v>0.86554568551599997</v>
          </cell>
          <cell r="I311">
            <v>0.96010147860600004</v>
          </cell>
          <cell r="J311">
            <v>1.4381393443049999</v>
          </cell>
          <cell r="O311">
            <v>2.2259013837360002</v>
          </cell>
          <cell r="T311">
            <v>4.1940292709550002</v>
          </cell>
          <cell r="Y311">
            <v>3.896015503109</v>
          </cell>
          <cell r="AD311">
            <v>2.618408311819</v>
          </cell>
          <cell r="AI311">
            <v>2.158827905935</v>
          </cell>
          <cell r="AN311">
            <v>0.83138711961199996</v>
          </cell>
          <cell r="AS311">
            <v>1.4596792145940001</v>
          </cell>
          <cell r="AX311">
            <v>2.219975901143</v>
          </cell>
          <cell r="BC311">
            <v>2.6575243722940001</v>
          </cell>
          <cell r="BH311">
            <v>2.9286208940930001</v>
          </cell>
          <cell r="BM311">
            <v>3.1325533429950001</v>
          </cell>
          <cell r="BR311">
            <v>2.5006499202070001</v>
          </cell>
          <cell r="BW311">
            <v>5.6528228363370001</v>
          </cell>
          <cell r="CB311">
            <v>4.9537652383379998</v>
          </cell>
          <cell r="CG311">
            <v>5.4630402241220004</v>
          </cell>
          <cell r="CL311">
            <v>1.7407848602730001</v>
          </cell>
          <cell r="CQ311">
            <v>4.2946233770909998</v>
          </cell>
          <cell r="CV311">
            <v>5.8076281054559997</v>
          </cell>
          <cell r="CW311">
            <v>6.6967542266400004</v>
          </cell>
          <cell r="CX311">
            <v>7.546428697344</v>
          </cell>
          <cell r="CY311">
            <v>10.125758495391</v>
          </cell>
        </row>
        <row r="312">
          <cell r="B312" t="str">
            <v>EPS (post-exceptionals, diluted)</v>
          </cell>
          <cell r="C312" t="str">
            <v>FULLY_DIL_EPS</v>
          </cell>
          <cell r="D312" t="str">
            <v>EUR</v>
          </cell>
          <cell r="F312">
            <v>0.46413708790399999</v>
          </cell>
          <cell r="G312">
            <v>1.0021109001599999</v>
          </cell>
          <cell r="H312">
            <v>0.86554568551599997</v>
          </cell>
          <cell r="I312">
            <v>0.96010147860600004</v>
          </cell>
          <cell r="J312">
            <v>1.4326881470990001</v>
          </cell>
          <cell r="O312">
            <v>2.2106521484699999</v>
          </cell>
          <cell r="T312">
            <v>4.1724911678119998</v>
          </cell>
          <cell r="Y312">
            <v>3.8843103606380001</v>
          </cell>
          <cell r="AD312">
            <v>2.6164041616690001</v>
          </cell>
          <cell r="AI312">
            <v>2.1548586108080001</v>
          </cell>
          <cell r="AN312">
            <v>0.83113841065100003</v>
          </cell>
          <cell r="AS312">
            <v>1.457536208911</v>
          </cell>
          <cell r="AX312">
            <v>2.2168005841910001</v>
          </cell>
          <cell r="BC312">
            <v>2.6519660540490002</v>
          </cell>
          <cell r="BH312">
            <v>2.9241639851830001</v>
          </cell>
          <cell r="BM312">
            <v>3.1211479908499999</v>
          </cell>
          <cell r="BR312">
            <v>2.4836042522869999</v>
          </cell>
          <cell r="BW312">
            <v>5.6142891045879999</v>
          </cell>
          <cell r="CB312">
            <v>4.920057155996</v>
          </cell>
          <cell r="CG312">
            <v>5.4259557052460003</v>
          </cell>
          <cell r="CL312">
            <v>1.7289679659499999</v>
          </cell>
          <cell r="CQ312">
            <v>4.2654703715920004</v>
          </cell>
          <cell r="CV312">
            <v>5.7682044356180002</v>
          </cell>
          <cell r="CW312">
            <v>6.6512949405389996</v>
          </cell>
          <cell r="CX312">
            <v>7.4925246986829999</v>
          </cell>
          <cell r="CY312">
            <v>10.049442449079001</v>
          </cell>
        </row>
        <row r="313">
          <cell r="B313" t="str">
            <v>Common dividends paid</v>
          </cell>
          <cell r="C313" t="str">
            <v>COMMON_DIV_PAID</v>
          </cell>
          <cell r="D313" t="str">
            <v>EUR</v>
          </cell>
          <cell r="F313">
            <v>-403.57883349999997</v>
          </cell>
          <cell r="G313">
            <v>-404.58778050000001</v>
          </cell>
          <cell r="H313">
            <v>-240.28710000000001</v>
          </cell>
          <cell r="I313">
            <v>-320.3828992</v>
          </cell>
          <cell r="J313">
            <v>-399.775147</v>
          </cell>
          <cell r="O313">
            <v>-518.14127689999998</v>
          </cell>
          <cell r="T313">
            <v>-9.7000000000000003E-2</v>
          </cell>
          <cell r="Y313">
            <v>-9.7000000000000003E-2</v>
          </cell>
          <cell r="AD313">
            <v>-0.16200000000000001</v>
          </cell>
          <cell r="AI313">
            <v>0</v>
          </cell>
          <cell r="AN313">
            <v>-0.17799999999999999</v>
          </cell>
          <cell r="AS313">
            <v>-0.36899999999999999</v>
          </cell>
          <cell r="AX313">
            <v>-0.49162695839999998</v>
          </cell>
          <cell r="BC313">
            <v>-0.59435014649999995</v>
          </cell>
          <cell r="BH313">
            <v>-0.93955486200000005</v>
          </cell>
          <cell r="BM313">
            <v>-1.0213074286999999</v>
          </cell>
          <cell r="BR313">
            <v>-1.0446284299499999</v>
          </cell>
          <cell r="BW313">
            <v>-1.1606590530000001</v>
          </cell>
          <cell r="CB313">
            <v>-1.27902710265</v>
          </cell>
          <cell r="CG313">
            <v>0</v>
          </cell>
          <cell r="CL313">
            <v>-1.2821157657</v>
          </cell>
          <cell r="CQ313">
            <v>-1.00112806173</v>
          </cell>
          <cell r="CV313">
            <v>-2.25637925919</v>
          </cell>
          <cell r="CW313">
            <v>-2.6018224766650002</v>
          </cell>
          <cell r="CX313">
            <v>-2.7853410446110001</v>
          </cell>
          <cell r="CY313">
            <v>-3.5406530745300002</v>
          </cell>
        </row>
        <row r="314">
          <cell r="B314" t="str">
            <v>DPS, dividend per share</v>
          </cell>
          <cell r="C314" t="str">
            <v>DPS</v>
          </cell>
          <cell r="D314" t="str">
            <v>EUR</v>
          </cell>
          <cell r="F314">
            <v>0.5</v>
          </cell>
          <cell r="G314">
            <v>0.5</v>
          </cell>
          <cell r="H314">
            <v>0.3</v>
          </cell>
          <cell r="I314">
            <v>0.4</v>
          </cell>
          <cell r="J314">
            <v>0.5</v>
          </cell>
          <cell r="K314">
            <v>0</v>
          </cell>
          <cell r="L314">
            <v>0</v>
          </cell>
          <cell r="M314">
            <v>0</v>
          </cell>
          <cell r="N314">
            <v>0</v>
          </cell>
          <cell r="O314">
            <v>0.65</v>
          </cell>
          <cell r="P314">
            <v>0</v>
          </cell>
          <cell r="Q314">
            <v>0</v>
          </cell>
          <cell r="R314">
            <v>0</v>
          </cell>
          <cell r="T314">
            <v>0.12122194257500001</v>
          </cell>
          <cell r="Y314">
            <v>0.120777725728</v>
          </cell>
          <cell r="AD314">
            <v>0.200748767873</v>
          </cell>
          <cell r="AI314">
            <v>0</v>
          </cell>
          <cell r="AN314">
            <v>0.21956514434900001</v>
          </cell>
          <cell r="AS314">
            <v>0.45414977249999999</v>
          </cell>
          <cell r="AX314">
            <v>0.6</v>
          </cell>
          <cell r="BC314">
            <v>0.75</v>
          </cell>
          <cell r="BH314">
            <v>1.2</v>
          </cell>
          <cell r="BM314">
            <v>1.3</v>
          </cell>
          <cell r="BR314">
            <v>1.35</v>
          </cell>
          <cell r="BW314">
            <v>1.5</v>
          </cell>
          <cell r="CB314">
            <v>1.65</v>
          </cell>
          <cell r="CG314">
            <v>0</v>
          </cell>
          <cell r="CL314">
            <v>1.65</v>
          </cell>
          <cell r="CQ314">
            <v>1.2883870131270001</v>
          </cell>
          <cell r="CV314">
            <v>2.9038140527279999</v>
          </cell>
          <cell r="CW314">
            <v>3.3483771133200002</v>
          </cell>
          <cell r="CX314">
            <v>3.773214348672</v>
          </cell>
          <cell r="CY314">
            <v>5.0628792476950002</v>
          </cell>
        </row>
        <row r="315">
          <cell r="B315" t="str">
            <v>Weighted average shares outstanding, basic</v>
          </cell>
          <cell r="C315" t="str">
            <v>SH</v>
          </cell>
          <cell r="F315">
            <v>385.66191900000001</v>
          </cell>
          <cell r="G315">
            <v>807.29587900000001</v>
          </cell>
          <cell r="H315">
            <v>804.11699999999996</v>
          </cell>
          <cell r="I315">
            <v>800.95699999999999</v>
          </cell>
          <cell r="J315">
            <v>801.03503499999999</v>
          </cell>
          <cell r="O315">
            <v>794.73422000000005</v>
          </cell>
          <cell r="T315">
            <v>800.18516399999999</v>
          </cell>
          <cell r="Y315">
            <v>803.12822100000005</v>
          </cell>
          <cell r="AD315">
            <v>806.97880099999998</v>
          </cell>
          <cell r="AI315">
            <v>809.69863099999998</v>
          </cell>
          <cell r="AN315">
            <v>810.69333900000004</v>
          </cell>
          <cell r="AS315">
            <v>812.50728800000002</v>
          </cell>
          <cell r="AX315">
            <v>819.37826399999994</v>
          </cell>
          <cell r="BC315">
            <v>792.46686199999999</v>
          </cell>
          <cell r="BD315">
            <v>780.87836400000003</v>
          </cell>
          <cell r="BE315">
            <v>782.01286600000003</v>
          </cell>
          <cell r="BF315">
            <v>782.54668200000003</v>
          </cell>
          <cell r="BG315">
            <v>782.96238500000004</v>
          </cell>
          <cell r="BH315">
            <v>782.96238500000004</v>
          </cell>
          <cell r="BI315">
            <v>784.65399200000002</v>
          </cell>
          <cell r="BJ315">
            <v>786.11759419880002</v>
          </cell>
          <cell r="BK315">
            <v>787.27281820029498</v>
          </cell>
          <cell r="BL315">
            <v>784.622841295321</v>
          </cell>
          <cell r="BM315">
            <v>785.62109899999996</v>
          </cell>
          <cell r="BN315">
            <v>776.552505</v>
          </cell>
          <cell r="BO315">
            <v>775.11609799999997</v>
          </cell>
          <cell r="BP315">
            <v>775.11609799999997</v>
          </cell>
          <cell r="BQ315">
            <v>775.11609799999997</v>
          </cell>
          <cell r="BR315">
            <v>773.79883700000005</v>
          </cell>
          <cell r="BS315">
            <v>772.72869900000001</v>
          </cell>
          <cell r="BT315">
            <v>773.223614</v>
          </cell>
          <cell r="BU315">
            <v>773.223614</v>
          </cell>
          <cell r="BV315">
            <v>773.223614</v>
          </cell>
          <cell r="BW315">
            <v>773.77270199999998</v>
          </cell>
          <cell r="CB315">
            <v>775.16794100000004</v>
          </cell>
          <cell r="CG315">
            <v>777.03985799999998</v>
          </cell>
          <cell r="CL315">
            <v>777.03985799999998</v>
          </cell>
          <cell r="CQ315">
            <v>777.03985799999998</v>
          </cell>
          <cell r="CV315">
            <v>777.03985799999998</v>
          </cell>
          <cell r="CW315">
            <v>777.03985799999998</v>
          </cell>
          <cell r="CX315">
            <v>738.18786509999995</v>
          </cell>
          <cell r="CY315">
            <v>699.33587220000004</v>
          </cell>
        </row>
        <row r="316">
          <cell r="B316" t="str">
            <v>Diluted average shares outstanding (mn)</v>
          </cell>
          <cell r="C316" t="str">
            <v>DILUTE_SHARES</v>
          </cell>
          <cell r="F316">
            <v>385.66191900000001</v>
          </cell>
          <cell r="G316">
            <v>807.29587900000001</v>
          </cell>
          <cell r="H316">
            <v>804.11699999999996</v>
          </cell>
          <cell r="I316">
            <v>800.95699999999999</v>
          </cell>
          <cell r="J316">
            <v>804.08287199999995</v>
          </cell>
          <cell r="O316">
            <v>800.21635300000003</v>
          </cell>
          <cell r="T316">
            <v>804.31566299999997</v>
          </cell>
          <cell r="Y316">
            <v>805.54840100000001</v>
          </cell>
          <cell r="AD316">
            <v>807.59694200000001</v>
          </cell>
          <cell r="AI316">
            <v>811.190113</v>
          </cell>
          <cell r="AN316">
            <v>810.93592999999998</v>
          </cell>
          <cell r="AS316">
            <v>813.70191199999999</v>
          </cell>
          <cell r="AX316">
            <v>820.55193099999997</v>
          </cell>
          <cell r="BC316">
            <v>794.12781199999995</v>
          </cell>
          <cell r="BH316">
            <v>784.15574900000001</v>
          </cell>
          <cell r="BM316">
            <v>788.49192900000003</v>
          </cell>
          <cell r="BR316">
            <v>779.10963400000003</v>
          </cell>
          <cell r="BW316">
            <v>779.08349899999996</v>
          </cell>
          <cell r="CB316">
            <v>780.47873800000002</v>
          </cell>
          <cell r="CG316">
            <v>782.35065499999996</v>
          </cell>
          <cell r="CL316">
            <v>782.35065499999996</v>
          </cell>
          <cell r="CQ316">
            <v>782.35065499999996</v>
          </cell>
          <cell r="CV316">
            <v>782.35065499999996</v>
          </cell>
          <cell r="CW316">
            <v>782.35065499999996</v>
          </cell>
          <cell r="CX316">
            <v>743.49866210000005</v>
          </cell>
          <cell r="CY316">
            <v>704.64666920000002</v>
          </cell>
        </row>
        <row r="317">
          <cell r="B317" t="str">
            <v>Period-end shares outstanding</v>
          </cell>
          <cell r="C317" t="str">
            <v>NON_OP_ADD</v>
          </cell>
          <cell r="F317">
            <v>807.15766699999995</v>
          </cell>
          <cell r="G317">
            <v>809.17556100000002</v>
          </cell>
          <cell r="H317">
            <v>800.95699999999999</v>
          </cell>
          <cell r="I317">
            <v>800.95724800000005</v>
          </cell>
          <cell r="J317">
            <v>799.55029400000001</v>
          </cell>
          <cell r="O317">
            <v>797.14042600000005</v>
          </cell>
          <cell r="T317">
            <v>800.18516399999999</v>
          </cell>
          <cell r="Y317">
            <v>803.12822100000005</v>
          </cell>
          <cell r="AD317">
            <v>806.97880099999998</v>
          </cell>
          <cell r="AI317">
            <v>809.69863099999998</v>
          </cell>
          <cell r="AN317">
            <v>810.69333900000004</v>
          </cell>
          <cell r="AS317">
            <v>812.50728800000002</v>
          </cell>
          <cell r="AX317">
            <v>819.37826399999994</v>
          </cell>
          <cell r="BC317">
            <v>792.46686199999999</v>
          </cell>
          <cell r="BH317">
            <v>782.96238500000004</v>
          </cell>
          <cell r="BM317">
            <v>785.62109899999996</v>
          </cell>
          <cell r="BR317">
            <v>773.79883700000005</v>
          </cell>
          <cell r="BW317">
            <v>773.77270199999998</v>
          </cell>
          <cell r="CB317">
            <v>775.16794100000004</v>
          </cell>
          <cell r="CG317">
            <v>777.03985799999998</v>
          </cell>
          <cell r="CL317">
            <v>777.03985799999998</v>
          </cell>
          <cell r="CQ317">
            <v>777.03985799999998</v>
          </cell>
          <cell r="CV317">
            <v>777.03985799999998</v>
          </cell>
          <cell r="CW317">
            <v>777.03985799999998</v>
          </cell>
          <cell r="CX317">
            <v>738.18786509999995</v>
          </cell>
          <cell r="CY317">
            <v>699.33587220000004</v>
          </cell>
        </row>
        <row r="318">
          <cell r="A318" t="str">
            <v>Additional Income Statement Items</v>
          </cell>
        </row>
        <row r="319">
          <cell r="B319" t="str">
            <v>Organic net income (excl. acquisitions)</v>
          </cell>
          <cell r="C319" t="str">
            <v>ORG_NI</v>
          </cell>
          <cell r="D319" t="str">
            <v>EUR</v>
          </cell>
        </row>
        <row r="320">
          <cell r="B320" t="str">
            <v>Organic EPS (excl. acquisitions)</v>
          </cell>
          <cell r="C320" t="str">
            <v>ORG_EPS</v>
          </cell>
          <cell r="D320" t="str">
            <v>EUR</v>
          </cell>
        </row>
        <row r="321">
          <cell r="B321" t="str">
            <v>Marginal tax rate</v>
          </cell>
          <cell r="C321" t="str">
            <v>MARGIN_TAX_RATE</v>
          </cell>
          <cell r="F321">
            <v>0.36</v>
          </cell>
          <cell r="G321">
            <v>0.54366382140500003</v>
          </cell>
          <cell r="H321">
            <v>0.396046852123</v>
          </cell>
          <cell r="I321">
            <v>0.37432795698900001</v>
          </cell>
          <cell r="J321">
            <v>0.35099337748300002</v>
          </cell>
          <cell r="K321">
            <v>0</v>
          </cell>
          <cell r="L321">
            <v>0</v>
          </cell>
          <cell r="M321">
            <v>0</v>
          </cell>
          <cell r="N321">
            <v>0</v>
          </cell>
          <cell r="O321">
            <v>0.32598130841099998</v>
          </cell>
          <cell r="P321">
            <v>0</v>
          </cell>
          <cell r="Q321">
            <v>0</v>
          </cell>
          <cell r="R321">
            <v>0</v>
          </cell>
          <cell r="T321">
            <v>1.8115942029E-2</v>
          </cell>
          <cell r="Y321">
            <v>9.0719499479000001E-2</v>
          </cell>
          <cell r="AD321">
            <v>0.25192442267300003</v>
          </cell>
          <cell r="AI321">
            <v>0.130462724936</v>
          </cell>
          <cell r="AN321">
            <v>0.29817007535000001</v>
          </cell>
          <cell r="AS321">
            <v>0.25346534653500002</v>
          </cell>
          <cell r="AX321">
            <v>0.27651060424200002</v>
          </cell>
          <cell r="BC321">
            <v>0.26935588809400002</v>
          </cell>
          <cell r="BH321">
            <v>0.27225130890100002</v>
          </cell>
          <cell r="BM321">
            <v>0.268086268086</v>
          </cell>
          <cell r="BR321">
            <v>0.28990318118899999</v>
          </cell>
          <cell r="BW321">
            <v>0.26501035196700001</v>
          </cell>
          <cell r="CB321">
            <v>0.227418779007</v>
          </cell>
          <cell r="CG321">
            <v>0.34952450621800002</v>
          </cell>
          <cell r="CL321">
            <v>0.28000000000000003</v>
          </cell>
          <cell r="CQ321">
            <v>0.28000000000000003</v>
          </cell>
          <cell r="CV321">
            <v>0.28000000000000003</v>
          </cell>
          <cell r="CW321">
            <v>0.28000000000000003</v>
          </cell>
          <cell r="CX321">
            <v>0.28000000000000003</v>
          </cell>
          <cell r="CY321">
            <v>0.28000000000000003</v>
          </cell>
        </row>
        <row r="322">
          <cell r="A322" t="str">
            <v>Balance Sheet</v>
          </cell>
        </row>
        <row r="323">
          <cell r="B323" t="str">
            <v>BVPS, book value per share</v>
          </cell>
          <cell r="C323" t="str">
            <v>BVPS</v>
          </cell>
          <cell r="D323" t="str">
            <v>EUR</v>
          </cell>
          <cell r="F323">
            <v>12.698882038867</v>
          </cell>
          <cell r="G323">
            <v>12.206250999219</v>
          </cell>
          <cell r="H323">
            <v>15.937185142274</v>
          </cell>
          <cell r="I323">
            <v>20.16212480794</v>
          </cell>
          <cell r="J323">
            <v>21.228183051609001</v>
          </cell>
          <cell r="O323">
            <v>17.219048930783998</v>
          </cell>
          <cell r="T323">
            <v>16.261236255562999</v>
          </cell>
          <cell r="Y323">
            <v>16.298767317254999</v>
          </cell>
          <cell r="AD323">
            <v>13.658351354882999</v>
          </cell>
          <cell r="AI323">
            <v>13.011013723696999</v>
          </cell>
          <cell r="AN323">
            <v>10.905480006664</v>
          </cell>
          <cell r="AS323">
            <v>10.89220999086</v>
          </cell>
          <cell r="AX323">
            <v>12.696211819453</v>
          </cell>
          <cell r="BC323">
            <v>13.894587304522</v>
          </cell>
          <cell r="BH323">
            <v>9.0183131849939997</v>
          </cell>
          <cell r="BM323">
            <v>7.5939915661560002</v>
          </cell>
          <cell r="BR323">
            <v>4.7260345003589999</v>
          </cell>
          <cell r="BW323">
            <v>17.250543945914998</v>
          </cell>
          <cell r="CB323">
            <v>12.544378431667001</v>
          </cell>
          <cell r="CG323">
            <v>7.6894382424329999</v>
          </cell>
          <cell r="CL323">
            <v>9.4302231027059999</v>
          </cell>
          <cell r="CQ323">
            <v>12.203540006867</v>
          </cell>
          <cell r="CV323">
            <v>16.915821389800001</v>
          </cell>
          <cell r="CW323">
            <v>20.911453868848</v>
          </cell>
          <cell r="CX323">
            <v>22.486768204276999</v>
          </cell>
          <cell r="CY323">
            <v>26.170208658357001</v>
          </cell>
        </row>
        <row r="324">
          <cell r="A324" t="str">
            <v>Cash Flow Statement</v>
          </cell>
        </row>
        <row r="325">
          <cell r="B325" t="str">
            <v>Net income (pre-preferred dividends)</v>
          </cell>
          <cell r="C325" t="str">
            <v>CF_NI_PRE_PREF</v>
          </cell>
          <cell r="D325" t="str">
            <v>EUR</v>
          </cell>
          <cell r="F325">
            <v>179</v>
          </cell>
          <cell r="G325">
            <v>809</v>
          </cell>
          <cell r="H325">
            <v>696</v>
          </cell>
          <cell r="I325">
            <v>769</v>
          </cell>
          <cell r="J325">
            <v>1152</v>
          </cell>
          <cell r="O325">
            <v>1769</v>
          </cell>
          <cell r="T325">
            <v>3356</v>
          </cell>
          <cell r="Y325">
            <v>3129</v>
          </cell>
          <cell r="AD325">
            <v>2113</v>
          </cell>
          <cell r="AI325">
            <v>1748</v>
          </cell>
          <cell r="AN325">
            <v>674</v>
          </cell>
          <cell r="AS325">
            <v>1186</v>
          </cell>
          <cell r="AX325">
            <v>1819</v>
          </cell>
          <cell r="BC325">
            <v>2106</v>
          </cell>
          <cell r="BH325">
            <v>2293</v>
          </cell>
          <cell r="BM325">
            <v>2461</v>
          </cell>
          <cell r="BR325">
            <v>1935</v>
          </cell>
          <cell r="BW325">
            <v>4374</v>
          </cell>
          <cell r="CB325">
            <v>3840</v>
          </cell>
          <cell r="CG325">
            <v>4245</v>
          </cell>
          <cell r="CL325">
            <v>1352.6592206348</v>
          </cell>
          <cell r="CQ325">
            <v>3337.09353909838</v>
          </cell>
          <cell r="CV325">
            <v>4512.7585183799702</v>
          </cell>
          <cell r="CW325">
            <v>5203.6449533292598</v>
          </cell>
          <cell r="CX325">
            <v>5570.6820892219903</v>
          </cell>
          <cell r="CY325">
            <v>7081.3061490607297</v>
          </cell>
        </row>
        <row r="326">
          <cell r="A326" t="str">
            <v>Other Items</v>
          </cell>
        </row>
        <row r="327">
          <cell r="B327" t="str">
            <v>Beta</v>
          </cell>
          <cell r="C327" t="str">
            <v>BETA_ANALYST</v>
          </cell>
        </row>
        <row r="328">
          <cell r="B328" t="str">
            <v>Market equity risk premium</v>
          </cell>
          <cell r="C328" t="str">
            <v>MKT_EQ_RISK_PREM</v>
          </cell>
        </row>
        <row r="329">
          <cell r="B329" t="str">
            <v>Risk-free rate</v>
          </cell>
          <cell r="C329" t="str">
            <v>RISK_FR_RATE</v>
          </cell>
        </row>
      </sheetData>
      <sheetData sheetId="2">
        <row r="1">
          <cell r="A1" t="str">
            <v>f13ab56f-8730-4d73-941d-ba3596a3bab3</v>
          </cell>
        </row>
        <row r="2">
          <cell r="A2" t="str">
            <v>N:\Aerospace\Company Models\WIP models\WIP Models\[Airbus model val tab.xlsx]AIR.PA_Validation_Sheet</v>
          </cell>
        </row>
        <row r="3">
          <cell r="A3" t="str">
            <v>Enabled</v>
          </cell>
          <cell r="CH3" t="str">
            <v>ERROR</v>
          </cell>
        </row>
        <row r="7">
          <cell r="A7" t="str">
            <v>Scalar|||208001433|||ISSR|||CURRENCY_ISO|||False|||</v>
          </cell>
          <cell r="C7" t="str">
            <v>V_KEYWORD_ISSR_208001433_CURRENCY_ISO</v>
          </cell>
        </row>
        <row r="9">
          <cell r="A9" t="str">
            <v>Scalar|||208001433|||ISSR|||MA_PROB|||False|||</v>
          </cell>
          <cell r="C9" t="str">
            <v>V_KEYWORD_ISSR_208001433_MA_PROB</v>
          </cell>
        </row>
        <row r="11">
          <cell r="A11" t="str">
            <v>Vector|||208001433|||ISSR|||SALES|||False|||</v>
          </cell>
          <cell r="C11" t="str">
            <v>V_KEYWORD_ISSR_208001433_SALES</v>
          </cell>
        </row>
        <row r="12">
          <cell r="A12" t="str">
            <v>Vector|||208001433|||ISSR|||COST_GD_SD|||False|||</v>
          </cell>
          <cell r="C12" t="str">
            <v>V_KEYWORD_ISSR_208001433_COST_GD_SD</v>
          </cell>
        </row>
        <row r="13">
          <cell r="A13" t="str">
            <v>Vector|||208001433|||ISSR|||SEL_GL_AD|||False|||</v>
          </cell>
          <cell r="C13" t="str">
            <v>V_KEYWORD_ISSR_208001433_SEL_GL_AD</v>
          </cell>
        </row>
        <row r="14">
          <cell r="A14" t="str">
            <v>Vector|||208001433|||ISSR|||OP_COST|||False|||</v>
          </cell>
          <cell r="C14" t="str">
            <v>V_KEYWORD_ISSR_208001433_OP_COST</v>
          </cell>
        </row>
        <row r="15">
          <cell r="A15" t="str">
            <v>Vector|||208001433|||ISSR|||RD_EXP|||False|||</v>
          </cell>
          <cell r="C15" t="str">
            <v>V_KEYWORD_ISSR_208001433_RD_EXP</v>
          </cell>
        </row>
        <row r="16">
          <cell r="A16" t="str">
            <v>Vector|||208001433|||ISSR|||OTH_OP_INC_EXP|||False|||</v>
          </cell>
          <cell r="C16" t="str">
            <v>V_KEYWORD_ISSR_208001433_OTH_OP_INC_EXP</v>
          </cell>
        </row>
        <row r="17">
          <cell r="A17" t="str">
            <v>Vector|||208001433|||ISSR|||TOT_OPS_EXP_DDA|||False|||</v>
          </cell>
          <cell r="C17" t="str">
            <v>V_KEYWORD_ISSR_208001433_TOT_OPS_EXP_DDA</v>
          </cell>
        </row>
        <row r="18">
          <cell r="A18" t="str">
            <v>Vector|||208001433|||ISSR|||TOT_OPS_EXP|||False|||</v>
          </cell>
          <cell r="C18" t="str">
            <v>V_KEYWORD_ISSR_208001433_TOT_OPS_EXP</v>
          </cell>
        </row>
        <row r="19">
          <cell r="A19" t="str">
            <v>Vector|||208001433|||ISSR|||EBITDA_CALC|||False|||</v>
          </cell>
          <cell r="C19" t="str">
            <v>V_KEYWORD_ISSR_208001433_EBITDA_CALC</v>
          </cell>
        </row>
        <row r="20">
          <cell r="A20" t="str">
            <v>Vector|||208001433|||ISSR|||DEPREC|||False|||</v>
          </cell>
          <cell r="C20" t="str">
            <v>V_KEYWORD_ISSR_208001433_DEPREC</v>
          </cell>
        </row>
        <row r="21">
          <cell r="A21" t="str">
            <v>Vector|||208001433|||ISSR|||GOODWILL_AMORT|||False|||</v>
          </cell>
          <cell r="C21" t="str">
            <v>V_KEYWORD_ISSR_208001433_GOODWILL_AMORT</v>
          </cell>
        </row>
        <row r="22">
          <cell r="A22" t="str">
            <v>Vector|||208001433|||ISSR|||EBIT|||False|||</v>
          </cell>
          <cell r="C22" t="str">
            <v>V_KEYWORD_ISSR_208001433_EBIT</v>
          </cell>
        </row>
        <row r="23">
          <cell r="A23" t="str">
            <v>Vector|||208001433|||ISSR|||INT_INC_IND|||False|||</v>
          </cell>
          <cell r="C23" t="str">
            <v>V_KEYWORD_ISSR_208001433_INT_INC_IND</v>
          </cell>
        </row>
        <row r="24">
          <cell r="A24" t="str">
            <v>Vector|||208001433|||ISSR|||INT_EXP_IND|||False|||</v>
          </cell>
          <cell r="C24" t="str">
            <v>V_KEYWORD_ISSR_208001433_INT_EXP_IND</v>
          </cell>
        </row>
        <row r="25">
          <cell r="A25" t="str">
            <v>Vector|||208001433|||ISSR|||NET_INT_EXP|||False|||</v>
          </cell>
          <cell r="C25" t="str">
            <v>V_KEYWORD_ISSR_208001433_NET_INT_EXP</v>
          </cell>
        </row>
        <row r="26">
          <cell r="A26" t="str">
            <v>Vector|||208001433|||ISSR|||ASSOCIATE|||False|||</v>
          </cell>
          <cell r="C26" t="str">
            <v>V_KEYWORD_ISSR_208001433_ASSOCIATE</v>
          </cell>
        </row>
        <row r="27">
          <cell r="A27" t="str">
            <v>Vector|||208001433|||ISSR|||PROFIT_ON_DISP|||False|||</v>
          </cell>
          <cell r="C27" t="str">
            <v>V_KEYWORD_ISSR_208001433_PROFIT_ON_DISP</v>
          </cell>
        </row>
        <row r="28">
          <cell r="A28" t="str">
            <v>Vector|||208001433|||ISSR|||OTH_COST_INC|||False|||</v>
          </cell>
          <cell r="C28" t="str">
            <v>V_KEYWORD_ISSR_208001433_OTH_COST_INC</v>
          </cell>
        </row>
        <row r="29">
          <cell r="A29" t="str">
            <v>Vector|||208001433|||ISSR|||PT_PROF|||False|||</v>
          </cell>
          <cell r="C29" t="str">
            <v>V_KEYWORD_ISSR_208001433_PT_PROF</v>
          </cell>
        </row>
        <row r="31">
          <cell r="A31" t="str">
            <v>Vector|||208001433|||ISSR|||ORG_REV|||False|||</v>
          </cell>
          <cell r="C31" t="str">
            <v>V_KEYWORD_ISSR_208001433_ORG_REV</v>
          </cell>
        </row>
        <row r="32">
          <cell r="A32" t="str">
            <v>Vector|||208001433|||ISSR|||ORG_REV_GRTH|||False|||</v>
          </cell>
          <cell r="C32" t="str">
            <v>V_KEYWORD_ISSR_208001433_ORG_REV_GRTH</v>
          </cell>
        </row>
        <row r="33">
          <cell r="A33" t="str">
            <v>Vector|||208001433|||ISSR|||LEASE_PAY|||False|||</v>
          </cell>
          <cell r="C33" t="str">
            <v>V_KEYWORD_ISSR_208001433_LEASE_PAY</v>
          </cell>
        </row>
        <row r="34">
          <cell r="A34" t="str">
            <v>Vector|||208001433|||ISSR|||LEASE_DEEM_INT|||False|||</v>
          </cell>
          <cell r="C34" t="str">
            <v>V_KEYWORD_ISSR_208001433_LEASE_DEEM_INT</v>
          </cell>
        </row>
        <row r="35">
          <cell r="A35" t="str">
            <v>Vector|||208001433|||ISSR|||LEASE_DEEM_DEPR|||False|||</v>
          </cell>
          <cell r="C35" t="str">
            <v>V_KEYWORD_ISSR_208001433_LEASE_DEEM_DEPR</v>
          </cell>
        </row>
        <row r="36">
          <cell r="A36" t="str">
            <v>Vector|||208001433|||ISSR|||NET_INT_CH|||False|||</v>
          </cell>
          <cell r="C36" t="str">
            <v>V_KEYWORD_ISSR_208001433_NET_INT_CH</v>
          </cell>
        </row>
        <row r="37">
          <cell r="A37" t="str">
            <v>Vector|||208001433|||ISSR|||ASSOCIATE_OP|||False|||</v>
          </cell>
          <cell r="C37" t="str">
            <v>V_KEYWORD_ISSR_208001433_ASSOCIATE_OP</v>
          </cell>
        </row>
        <row r="38">
          <cell r="A38" t="str">
            <v>Vector|||208001433|||ISSR|||GW_AMORT|||False|||</v>
          </cell>
          <cell r="C38" t="str">
            <v>V_KEYWORD_ISSR_208001433_GW_AMORT</v>
          </cell>
        </row>
        <row r="39">
          <cell r="A39" t="str">
            <v>Vector|||208001433|||ISSR|||OTH_INT_AMORT|||False|||</v>
          </cell>
          <cell r="C39" t="str">
            <v>V_KEYWORD_ISSR_208001433_OTH_INT_AMORT</v>
          </cell>
        </row>
        <row r="40">
          <cell r="A40" t="str">
            <v>Vector|||208001433|||ISSR|||DEPR_ROU_ASSETS|||False|||</v>
          </cell>
          <cell r="C40" t="str">
            <v>V_KEYWORD_ISSR_208001433_DEPR_ROU_ASSETS</v>
          </cell>
        </row>
        <row r="41">
          <cell r="A41" t="str">
            <v>Vector|||208001433|||ISSR|||LEASE_INT_CHG|||False|||</v>
          </cell>
          <cell r="C41" t="str">
            <v>V_KEYWORD_ISSR_208001433_LEASE_INT_CHG</v>
          </cell>
        </row>
        <row r="42">
          <cell r="A42" t="str">
            <v>Scalar|||208001433|||ISSR|||LEASE_ADOPT|||False|||</v>
          </cell>
          <cell r="C42" t="str">
            <v>V_KEYWORD_ISSR_208001433_LEASE_ADOPT</v>
          </cell>
        </row>
        <row r="44">
          <cell r="A44" t="str">
            <v>Vector|||208001433|||ISSR|||CASH_EQ|||False|||</v>
          </cell>
          <cell r="C44" t="str">
            <v>V_KEYWORD_ISSR_208001433_CASH_EQ</v>
          </cell>
        </row>
        <row r="45">
          <cell r="A45" t="str">
            <v>Vector|||208001433|||ISSR|||DEBTORS|||False|||</v>
          </cell>
          <cell r="C45" t="str">
            <v>V_KEYWORD_ISSR_208001433_DEBTORS</v>
          </cell>
        </row>
        <row r="46">
          <cell r="A46" t="str">
            <v>Vector|||208001433|||ISSR|||STOCKS|||False|||</v>
          </cell>
          <cell r="C46" t="str">
            <v>V_KEYWORD_ISSR_208001433_STOCKS</v>
          </cell>
        </row>
        <row r="47">
          <cell r="A47" t="str">
            <v>Vector|||208001433|||ISSR|||OTH_CUR_ASS|||False|||</v>
          </cell>
          <cell r="C47" t="str">
            <v>V_KEYWORD_ISSR_208001433_OTH_CUR_ASS</v>
          </cell>
        </row>
        <row r="48">
          <cell r="A48" t="str">
            <v>Vector|||208001433|||ISSR|||CUR_ASS|||False|||</v>
          </cell>
          <cell r="C48" t="str">
            <v>V_KEYWORD_ISSR_208001433_CUR_ASS</v>
          </cell>
        </row>
        <row r="49">
          <cell r="A49" t="str">
            <v>Vector|||208001433|||ISSR|||GR_FIX_ASS|||False|||</v>
          </cell>
          <cell r="C49" t="str">
            <v>V_KEYWORD_ISSR_208001433_GR_FIX_ASS</v>
          </cell>
        </row>
        <row r="50">
          <cell r="A50" t="str">
            <v>Vector|||208001433|||ISSR|||ACC_DDA|||False|||</v>
          </cell>
          <cell r="C50" t="str">
            <v>V_KEYWORD_ISSR_208001433_ACC_DDA</v>
          </cell>
        </row>
        <row r="51">
          <cell r="A51" t="str">
            <v>Vector|||208001433|||ISSR|||NET_FIX_ASS|||False|||</v>
          </cell>
          <cell r="C51" t="str">
            <v>V_KEYWORD_ISSR_208001433_NET_FIX_ASS</v>
          </cell>
        </row>
        <row r="52">
          <cell r="A52" t="str">
            <v>Vector|||208001433|||ISSR|||GR_INTANG|||False|||</v>
          </cell>
          <cell r="C52" t="str">
            <v>V_KEYWORD_ISSR_208001433_GR_INTANG</v>
          </cell>
        </row>
        <row r="53">
          <cell r="A53" t="str">
            <v>Vector|||208001433|||ISSR|||ACC_AMORT|||False|||</v>
          </cell>
          <cell r="C53" t="str">
            <v>V_KEYWORD_ISSR_208001433_ACC_AMORT</v>
          </cell>
        </row>
        <row r="54">
          <cell r="A54" t="str">
            <v>Vector|||208001433|||ISSR|||NET_INTANG|||False|||</v>
          </cell>
          <cell r="C54" t="str">
            <v>V_KEYWORD_ISSR_208001433_NET_INTANG</v>
          </cell>
        </row>
        <row r="55">
          <cell r="A55" t="str">
            <v>Vector|||208001433|||ISSR|||FIX_ASS_INV|||False|||</v>
          </cell>
          <cell r="C55" t="str">
            <v>V_KEYWORD_ISSR_208001433_FIX_ASS_INV</v>
          </cell>
        </row>
        <row r="56">
          <cell r="A56" t="str">
            <v>Vector|||208001433|||ISSR|||INV_SECUR|||False|||</v>
          </cell>
          <cell r="C56" t="str">
            <v>V_KEYWORD_ISSR_208001433_INV_SECUR</v>
          </cell>
        </row>
        <row r="57">
          <cell r="A57" t="str">
            <v>Vector|||208001433|||ISSR|||OTH_LT_ASS|||False|||</v>
          </cell>
          <cell r="C57" t="str">
            <v>V_KEYWORD_ISSR_208001433_OTH_LT_ASS</v>
          </cell>
        </row>
        <row r="58">
          <cell r="A58" t="str">
            <v>Vector|||208001433|||ISSR|||TOT_ASSET|||False|||</v>
          </cell>
          <cell r="C58" t="str">
            <v>V_KEYWORD_ISSR_208001433_TOT_ASSET</v>
          </cell>
        </row>
        <row r="59">
          <cell r="A59" t="str">
            <v>Vector|||208001433|||ISSR|||ACC_PAY_GQ|||False|||</v>
          </cell>
          <cell r="C59" t="str">
            <v>V_KEYWORD_ISSR_208001433_ACC_PAY_GQ</v>
          </cell>
        </row>
        <row r="60">
          <cell r="A60" t="str">
            <v>Vector|||208001433|||ISSR|||SHORT_T_DEBT|||False|||</v>
          </cell>
          <cell r="C60" t="str">
            <v>V_KEYWORD_ISSR_208001433_SHORT_T_DEBT</v>
          </cell>
        </row>
        <row r="61">
          <cell r="A61" t="str">
            <v>Vector|||208001433|||ISSR|||ST_LEASE_LIAB|||False|||</v>
          </cell>
          <cell r="C61" t="str">
            <v>V_KEYWORD_ISSR_208001433_ST_LEASE_LIAB</v>
          </cell>
        </row>
        <row r="62">
          <cell r="A62" t="str">
            <v>Vector|||208001433|||ISSR|||OTH_CUR_LIABS|||False|||</v>
          </cell>
          <cell r="C62" t="str">
            <v>V_KEYWORD_ISSR_208001433_OTH_CUR_LIABS</v>
          </cell>
        </row>
        <row r="63">
          <cell r="A63" t="str">
            <v>Vector|||208001433|||ISSR|||SHORT_TERM_LIABS|||False|||</v>
          </cell>
          <cell r="C63" t="str">
            <v>V_KEYWORD_ISSR_208001433_SHORT_TERM_LIABS</v>
          </cell>
        </row>
        <row r="64">
          <cell r="A64" t="str">
            <v>Vector|||208001433|||ISSR|||LT_DEBT|||False|||</v>
          </cell>
          <cell r="C64" t="str">
            <v>V_KEYWORD_ISSR_208001433_LT_DEBT</v>
          </cell>
        </row>
        <row r="65">
          <cell r="A65" t="str">
            <v>Vector|||208001433|||ISSR|||LT_LEASE_LIAB|||False|||</v>
          </cell>
          <cell r="C65" t="str">
            <v>V_KEYWORD_ISSR_208001433_LT_LEASE_LIAB</v>
          </cell>
        </row>
        <row r="66">
          <cell r="A66" t="str">
            <v>Vector|||208001433|||ISSR|||OTH_LT_CRED_GQ|||False|||</v>
          </cell>
          <cell r="C66" t="str">
            <v>V_KEYWORD_ISSR_208001433_OTH_LT_CRED_GQ</v>
          </cell>
        </row>
        <row r="67">
          <cell r="A67" t="str">
            <v>Vector|||208001433|||ISSR|||TOT_LT_LIAB|||False|||</v>
          </cell>
          <cell r="C67" t="str">
            <v>V_KEYWORD_ISSR_208001433_TOT_LT_LIAB</v>
          </cell>
        </row>
        <row r="68">
          <cell r="A68" t="str">
            <v>Vector|||208001433|||ISSR|||TOT_LIAB|||False|||</v>
          </cell>
          <cell r="C68" t="str">
            <v>V_KEYWORD_ISSR_208001433_TOT_LIAB</v>
          </cell>
        </row>
        <row r="69">
          <cell r="A69" t="str">
            <v>Vector|||208001433|||ISSR|||PREF_SH|||False|||</v>
          </cell>
          <cell r="C69" t="str">
            <v>V_KEYWORD_ISSR_208001433_PREF_SH</v>
          </cell>
        </row>
        <row r="70">
          <cell r="A70" t="str">
            <v>Vector|||208001433|||ISSR|||ORD_SH_FUND|||False|||</v>
          </cell>
          <cell r="C70" t="str">
            <v>V_KEYWORD_ISSR_208001433_ORD_SH_FUND</v>
          </cell>
        </row>
        <row r="71">
          <cell r="A71" t="str">
            <v>Vector|||208001433|||ISSR|||MINORITIES|||False|||</v>
          </cell>
          <cell r="C71" t="str">
            <v>V_KEYWORD_ISSR_208001433_MINORITIES</v>
          </cell>
        </row>
        <row r="72">
          <cell r="A72" t="str">
            <v>Vector|||208001433|||ISSR|||EQ|||False|||</v>
          </cell>
          <cell r="C72" t="str">
            <v>V_KEYWORD_ISSR_208001433_EQ</v>
          </cell>
        </row>
        <row r="73">
          <cell r="A73" t="str">
            <v>Vector|||208001433|||ISSR|||TOT_LIAB_EQ|||False|||</v>
          </cell>
          <cell r="C73" t="str">
            <v>V_KEYWORD_ISSR_208001433_TOT_LIAB_EQ</v>
          </cell>
        </row>
        <row r="75">
          <cell r="A75" t="str">
            <v>Vector|||208001433|||ISSR|||TOT_USD_DEBT|||False|||</v>
          </cell>
          <cell r="C75" t="str">
            <v>V_KEYWORD_ISSR_208001433_TOT_USD_DEBT</v>
          </cell>
        </row>
        <row r="76">
          <cell r="A76" t="str">
            <v>Vector|||208001433|||ISSR|||TOT_PCT_USD_DEBT_HEDGED|||False|||</v>
          </cell>
          <cell r="C76" t="str">
            <v>V_KEYWORD_ISSR_208001433_TOT_PCT_USD_DEBT_HEDGED</v>
          </cell>
        </row>
        <row r="77">
          <cell r="A77" t="str">
            <v>Vector|||208001433|||ISSR|||FLOATING_PCT_LOCAL_DEBT|||False|||</v>
          </cell>
          <cell r="C77" t="str">
            <v>V_KEYWORD_ISSR_208001433_FLOATING_PCT_LOCAL_DEBT</v>
          </cell>
        </row>
        <row r="78">
          <cell r="A78" t="str">
            <v>Vector|||208001433|||ISSR|||FLOATING_PCT_LOCAL_DEBT_HEDGED|||False|||</v>
          </cell>
          <cell r="C78" t="str">
            <v>V_KEYWORD_ISSR_208001433_FLOATING_PCT_LOCAL_DEBT_HEDGED</v>
          </cell>
        </row>
        <row r="79">
          <cell r="A79" t="str">
            <v>Vector|||208001433|||ISSR|||NET_DEBT|||False|||</v>
          </cell>
          <cell r="C79" t="str">
            <v>V_KEYWORD_ISSR_208001433_NET_DEBT</v>
          </cell>
        </row>
        <row r="80">
          <cell r="A80" t="str">
            <v>Vector|||208001433|||ISSR|||CAP_LEASES|||False|||</v>
          </cell>
          <cell r="C80" t="str">
            <v>V_KEYWORD_ISSR_208001433_CAP_LEASES</v>
          </cell>
        </row>
        <row r="81">
          <cell r="A81" t="str">
            <v>Vector|||208001433|||ISSR|||DEF_INC_TAX|||False|||</v>
          </cell>
          <cell r="C81" t="str">
            <v>V_KEYWORD_ISSR_208001433_DEF_INC_TAX</v>
          </cell>
        </row>
        <row r="82">
          <cell r="A82" t="str">
            <v>Vector|||208001433|||ISSR|||MV_ASSOCIATES|||False|||</v>
          </cell>
          <cell r="C82" t="str">
            <v>V_KEYWORD_ISSR_208001433_MV_ASSOCIATES</v>
          </cell>
        </row>
        <row r="83">
          <cell r="A83" t="str">
            <v>Vector|||208001433|||ISSR|||NET_DEBT_ADJ|||False|||</v>
          </cell>
          <cell r="C83" t="str">
            <v>V_KEYWORD_ISSR_208001433_NET_DEBT_ADJ</v>
          </cell>
        </row>
        <row r="84">
          <cell r="A84" t="str">
            <v>Vector|||208001433|||ISSR|||CO_BOR_MARGIN|||False|||</v>
          </cell>
          <cell r="C84" t="str">
            <v>V_KEYWORD_ISSR_208001433_CO_BOR_MARGIN</v>
          </cell>
        </row>
        <row r="85">
          <cell r="A85" t="str">
            <v>Vector|||208001433|||ISSR|||UNF_PENS|||False|||</v>
          </cell>
          <cell r="C85" t="str">
            <v>V_KEYWORD_ISSR_208001433_UNF_PENS</v>
          </cell>
        </row>
        <row r="86">
          <cell r="A86" t="str">
            <v>Vector|||208001433|||ISSR|||UNF_PENS_OFF|||False|||</v>
          </cell>
          <cell r="C86" t="str">
            <v>V_KEYWORD_ISSR_208001433_UNF_PENS_OFF</v>
          </cell>
        </row>
        <row r="87">
          <cell r="A87" t="str">
            <v>Vector|||208001433|||ISSR|||UNF_PENS_LIAB_OTH|||False|||</v>
          </cell>
          <cell r="C87" t="str">
            <v>V_KEYWORD_ISSR_208001433_UNF_PENS_LIAB_OTH</v>
          </cell>
        </row>
        <row r="88">
          <cell r="A88" t="str">
            <v>Vector|||208001433|||ISSR|||ADJ_UNF_PENS_GOOD|||False|||</v>
          </cell>
          <cell r="C88" t="str">
            <v>V_KEYWORD_ISSR_208001433_ADJ_UNF_PENS_GOOD</v>
          </cell>
        </row>
        <row r="89">
          <cell r="A89" t="str">
            <v>Vector|||208001433|||ISSR|||OTH_GCI_ADJ|||False|||</v>
          </cell>
          <cell r="C89" t="str">
            <v>V_KEYWORD_ISSR_208001433_OTH_GCI_ADJ</v>
          </cell>
        </row>
        <row r="90">
          <cell r="A90" t="str">
            <v>Vector|||208001433|||ISSR|||GCI_INFL|||False|||</v>
          </cell>
          <cell r="C90" t="str">
            <v>V_KEYWORD_ISSR_208001433_GCI_INFL</v>
          </cell>
        </row>
        <row r="91">
          <cell r="A91" t="str">
            <v>Vector|||208001433|||ISSR|||BAL_MINO_INT|||False|||</v>
          </cell>
          <cell r="C91" t="str">
            <v>V_KEYWORD_ISSR_208001433_BAL_MINO_INT</v>
          </cell>
        </row>
        <row r="92">
          <cell r="A92" t="str">
            <v>Vector|||208001433|||ISSR|||ROU_ASSET|||False|||</v>
          </cell>
          <cell r="C92" t="str">
            <v>V_KEYWORD_ISSR_208001433_ROU_ASSET</v>
          </cell>
        </row>
        <row r="94">
          <cell r="A94" t="str">
            <v>Vector|||208001433|||ISSR|||CF_INC_MINORITY|||False|||</v>
          </cell>
          <cell r="C94" t="str">
            <v>V_KEYWORD_ISSR_208001433_CF_INC_MINORITY</v>
          </cell>
        </row>
        <row r="95">
          <cell r="A95" t="str">
            <v>Vector|||208001433|||ISSR|||DEPR_AMORT|||False|||</v>
          </cell>
          <cell r="C95" t="str">
            <v>V_KEYWORD_ISSR_208001433_DEPR_AMORT</v>
          </cell>
        </row>
        <row r="96">
          <cell r="A96" t="str">
            <v>Vector|||208001433|||ISSR|||WORK_CAP|||False|||</v>
          </cell>
          <cell r="C96" t="str">
            <v>V_KEYWORD_ISSR_208001433_WORK_CAP</v>
          </cell>
        </row>
        <row r="97">
          <cell r="A97" t="str">
            <v>Vector|||208001433|||ISSR|||OTH_OP_CF|||False|||</v>
          </cell>
          <cell r="C97" t="str">
            <v>V_KEYWORD_ISSR_208001433_OTH_OP_CF</v>
          </cell>
        </row>
        <row r="98">
          <cell r="A98" t="str">
            <v>Vector|||208001433|||ISSR|||CF_OPS|||False|||</v>
          </cell>
          <cell r="C98" t="str">
            <v>V_KEYWORD_ISSR_208001433_CF_OPS</v>
          </cell>
        </row>
        <row r="99">
          <cell r="A99" t="str">
            <v>Vector|||208001433|||ISSR|||CAPEX|||False|||</v>
          </cell>
          <cell r="C99" t="str">
            <v>V_KEYWORD_ISSR_208001433_CAPEX</v>
          </cell>
        </row>
        <row r="100">
          <cell r="A100" t="str">
            <v>Vector|||208001433|||ISSR|||ACQ|||False|||</v>
          </cell>
          <cell r="C100" t="str">
            <v>V_KEYWORD_ISSR_208001433_ACQ</v>
          </cell>
        </row>
        <row r="101">
          <cell r="A101" t="str">
            <v>Vector|||208001433|||ISSR|||DIVEST|||False|||</v>
          </cell>
          <cell r="C101" t="str">
            <v>V_KEYWORD_ISSR_208001433_DIVEST</v>
          </cell>
        </row>
        <row r="102">
          <cell r="A102" t="str">
            <v>Vector|||208001433|||ISSR|||OTH_INV_CF|||False|||</v>
          </cell>
          <cell r="C102" t="str">
            <v>V_KEYWORD_ISSR_208001433_OTH_INV_CF</v>
          </cell>
        </row>
        <row r="103">
          <cell r="A103" t="str">
            <v>Vector|||208001433|||ISSR|||CF_INV|||False|||</v>
          </cell>
          <cell r="C103" t="str">
            <v>V_KEYWORD_ISSR_208001433_CF_INV</v>
          </cell>
        </row>
        <row r="104">
          <cell r="A104" t="str">
            <v>Vector|||208001433|||ISSR|||DIV_PAID|||False|||</v>
          </cell>
          <cell r="C104" t="str">
            <v>V_KEYWORD_ISSR_208001433_DIV_PAID</v>
          </cell>
        </row>
        <row r="105">
          <cell r="A105" t="str">
            <v>Vector|||208001433|||ISSR|||SH_REPUR|||False|||</v>
          </cell>
          <cell r="C105" t="str">
            <v>V_KEYWORD_ISSR_208001433_SH_REPUR</v>
          </cell>
        </row>
        <row r="106">
          <cell r="A106" t="str">
            <v>Vector|||208001433|||ISSR|||CHG_LT_DEBT|||False|||</v>
          </cell>
          <cell r="C106" t="str">
            <v>V_KEYWORD_ISSR_208001433_CHG_LT_DEBT</v>
          </cell>
        </row>
        <row r="107">
          <cell r="A107" t="str">
            <v>Vector|||208001433|||ISSR|||LEASE_PRINCIPAL_CASH|||False|||</v>
          </cell>
          <cell r="C107" t="str">
            <v>V_KEYWORD_ISSR_208001433_LEASE_PRINCIPAL_CASH</v>
          </cell>
        </row>
        <row r="108">
          <cell r="A108" t="str">
            <v>Vector|||208001433|||ISSR|||OTH_FIN_CF|||False|||</v>
          </cell>
          <cell r="C108" t="str">
            <v>V_KEYWORD_ISSR_208001433_OTH_FIN_CF</v>
          </cell>
        </row>
        <row r="109">
          <cell r="A109" t="str">
            <v>Vector|||208001433|||ISSR|||CF_FIN|||False|||</v>
          </cell>
          <cell r="C109" t="str">
            <v>V_KEYWORD_ISSR_208001433_CF_FIN</v>
          </cell>
        </row>
        <row r="110">
          <cell r="A110" t="str">
            <v>Vector|||208001433|||ISSR|||OTH_ITEM_NCF|||False|||</v>
          </cell>
          <cell r="C110" t="str">
            <v>V_KEYWORD_ISSR_208001433_OTH_ITEM_NCF</v>
          </cell>
        </row>
        <row r="111">
          <cell r="A111" t="str">
            <v>Vector|||208001433|||ISSR|||TOT_CF|||False|||</v>
          </cell>
          <cell r="C111" t="str">
            <v>V_KEYWORD_ISSR_208001433_TOT_CF</v>
          </cell>
        </row>
        <row r="113">
          <cell r="A113" t="str">
            <v>Vector|||208001433|||ISSR|||ASSOC_JV_ADDBK|||False|||</v>
          </cell>
          <cell r="C113" t="str">
            <v>V_KEYWORD_ISSR_208001433_ASSOC_JV_ADDBK</v>
          </cell>
        </row>
        <row r="114">
          <cell r="A114" t="str">
            <v>Vector|||208001433|||ISSR|||CASH_INT_INC_EXP|||False|||</v>
          </cell>
          <cell r="C114" t="str">
            <v>V_KEYWORD_ISSR_208001433_CASH_INT_INC_EXP</v>
          </cell>
        </row>
        <row r="115">
          <cell r="A115" t="str">
            <v>Vector|||208001433|||ISSR|||CASH_TAX_PD|||False|||</v>
          </cell>
          <cell r="C115" t="str">
            <v>V_KEYWORD_ISSR_208001433_CASH_TAX_PD</v>
          </cell>
        </row>
        <row r="116">
          <cell r="A116" t="str">
            <v>Vector|||208001433|||ISSR|||PL_SALE_ASSETS|||False|||</v>
          </cell>
          <cell r="C116" t="str">
            <v>V_KEYWORD_ISSR_208001433_PL_SALE_ASSETS</v>
          </cell>
        </row>
        <row r="117">
          <cell r="A117" t="str">
            <v>Vector|||208001433|||ISSR|||OTH_NONCASH_ADJ|||False|||</v>
          </cell>
          <cell r="C117" t="str">
            <v>V_KEYWORD_ISSR_208001433_OTH_NONCASH_ADJ</v>
          </cell>
        </row>
        <row r="118">
          <cell r="A118" t="str">
            <v>Vector|||208001433|||ISSR|||OTH_DACF_ADJ|||False|||</v>
          </cell>
          <cell r="C118" t="str">
            <v>V_KEYWORD_ISSR_208001433_OTH_DACF_ADJ</v>
          </cell>
        </row>
        <row r="119">
          <cell r="A119" t="str">
            <v>Vector|||208001433|||ISSR|||CASH_INT_EXP|||False|||</v>
          </cell>
          <cell r="C119" t="str">
            <v>V_KEYWORD_ISSR_208001433_CASH_INT_EXP</v>
          </cell>
        </row>
        <row r="120">
          <cell r="A120" t="str">
            <v>Vector|||208001433|||ISSR|||CASH_TAX_EXP|||False|||</v>
          </cell>
          <cell r="C120" t="str">
            <v>V_KEYWORD_ISSR_208001433_CASH_TAX_EXP</v>
          </cell>
        </row>
        <row r="121">
          <cell r="A121" t="str">
            <v>Vector|||208001433|||ISSR|||DIVDS_ASSOC_JV|||False|||</v>
          </cell>
          <cell r="C121" t="str">
            <v>V_KEYWORD_ISSR_208001433_DIVDS_ASSOC_JV</v>
          </cell>
        </row>
        <row r="122">
          <cell r="A122" t="str">
            <v>Vector|||208001433|||ISSR|||CAPEX_MAINTENANCE|||False|||</v>
          </cell>
          <cell r="C122" t="str">
            <v>V_KEYWORD_ISSR_208001433_CAPEX_MAINTENANCE</v>
          </cell>
        </row>
        <row r="123">
          <cell r="A123" t="str">
            <v>Vector|||208001433|||ISSR|||CAPEX_EXPANSION|||False|||</v>
          </cell>
          <cell r="C123" t="str">
            <v>V_KEYWORD_ISSR_208001433_CAPEX_EXPANSION</v>
          </cell>
        </row>
        <row r="124">
          <cell r="A124" t="str">
            <v>Vector|||208001433|||ISSR|||NONPPE_CAPEX|||False|||</v>
          </cell>
          <cell r="C124" t="str">
            <v>V_KEYWORD_ISSR_208001433_NONPPE_CAPEX</v>
          </cell>
        </row>
        <row r="125">
          <cell r="A125" t="str">
            <v>Vector|||208001433|||ISSR|||DIVDS_PD_MINORITIES|||False|||</v>
          </cell>
          <cell r="C125" t="str">
            <v>V_KEYWORD_ISSR_208001433_DIVDS_PD_MINORITIES</v>
          </cell>
        </row>
        <row r="127">
          <cell r="A127" t="str">
            <v>Vector|||208001433|||ISSR|||EMPLOYEES|||False|||</v>
          </cell>
          <cell r="C127" t="str">
            <v>V_KEYWORD_ISSR_208001433_EMPLOYEES</v>
          </cell>
        </row>
        <row r="129">
          <cell r="A129" t="str">
            <v>Vector|||208001433|||ISSR|||SALES_CANADA|||False|||</v>
          </cell>
          <cell r="C129" t="str">
            <v>V_KEYWORD_ISSR_208001433_SALES_CANADA</v>
          </cell>
        </row>
        <row r="130">
          <cell r="A130" t="str">
            <v>Vector|||208001433|||ISSR|||SALES_US|||False|||</v>
          </cell>
          <cell r="C130" t="str">
            <v>V_KEYWORD_ISSR_208001433_SALES_US</v>
          </cell>
        </row>
        <row r="131">
          <cell r="A131" t="str">
            <v>Vector|||208001433|||ISSR|||SALES_OTH_NO_AMER|||False|||</v>
          </cell>
          <cell r="C131" t="str">
            <v>V_KEYWORD_ISSR_208001433_SALES_OTH_NO_AMER</v>
          </cell>
        </row>
        <row r="132">
          <cell r="A132" t="str">
            <v>Vector|||208001433|||ISSR|||SALES_ARGENTINA|||False|||</v>
          </cell>
          <cell r="C132" t="str">
            <v>V_KEYWORD_ISSR_208001433_SALES_ARGENTINA</v>
          </cell>
        </row>
        <row r="133">
          <cell r="A133" t="str">
            <v>Vector|||208001433|||ISSR|||SALES_BRAZIL|||False|||</v>
          </cell>
          <cell r="C133" t="str">
            <v>V_KEYWORD_ISSR_208001433_SALES_BRAZIL</v>
          </cell>
        </row>
        <row r="134">
          <cell r="A134" t="str">
            <v>Vector|||208001433|||ISSR|||SALES_CHILE|||False|||</v>
          </cell>
          <cell r="C134" t="str">
            <v>V_KEYWORD_ISSR_208001433_SALES_CHILE</v>
          </cell>
        </row>
        <row r="135">
          <cell r="A135" t="str">
            <v>Vector|||208001433|||ISSR|||SALES_COLOMBIA|||False|||</v>
          </cell>
          <cell r="C135" t="str">
            <v>V_KEYWORD_ISSR_208001433_SALES_COLOMBIA</v>
          </cell>
        </row>
        <row r="136">
          <cell r="A136" t="str">
            <v>Vector|||208001433|||ISSR|||SALES_MEXICO|||False|||</v>
          </cell>
          <cell r="C136" t="str">
            <v>V_KEYWORD_ISSR_208001433_SALES_MEXICO</v>
          </cell>
        </row>
        <row r="137">
          <cell r="A137" t="str">
            <v>Vector|||208001433|||ISSR|||SALES_VENEZUELA|||False|||</v>
          </cell>
          <cell r="C137" t="str">
            <v>V_KEYWORD_ISSR_208001433_SALES_VENEZUELA</v>
          </cell>
        </row>
        <row r="138">
          <cell r="A138" t="str">
            <v>Vector|||208001433|||ISSR|||SALES_OTH_LATAM|||False|||</v>
          </cell>
          <cell r="C138" t="str">
            <v>V_KEYWORD_ISSR_208001433_SALES_OTH_LATAM</v>
          </cell>
        </row>
        <row r="139">
          <cell r="A139" t="str">
            <v>Vector|||208001433|||ISSR|||SALES_AUSTRIA|||False|||</v>
          </cell>
          <cell r="C139" t="str">
            <v>V_KEYWORD_ISSR_208001433_SALES_AUSTRIA</v>
          </cell>
        </row>
        <row r="140">
          <cell r="A140" t="str">
            <v>Vector|||208001433|||ISSR|||SALES_BEL|||False|||</v>
          </cell>
          <cell r="C140" t="str">
            <v>V_KEYWORD_ISSR_208001433_SALES_BEL</v>
          </cell>
        </row>
        <row r="141">
          <cell r="A141" t="str">
            <v>Vector|||208001433|||ISSR|||SALES_FRA|||False|||</v>
          </cell>
          <cell r="C141" t="str">
            <v>V_KEYWORD_ISSR_208001433_SALES_FRA</v>
          </cell>
        </row>
        <row r="142">
          <cell r="A142" t="str">
            <v>Vector|||208001433|||ISSR|||SALES_GER|||False|||</v>
          </cell>
          <cell r="C142" t="str">
            <v>V_KEYWORD_ISSR_208001433_SALES_GER</v>
          </cell>
        </row>
        <row r="143">
          <cell r="A143" t="str">
            <v>Vector|||208001433|||ISSR|||SALES_GRE|||False|||</v>
          </cell>
          <cell r="C143" t="str">
            <v>V_KEYWORD_ISSR_208001433_SALES_GRE</v>
          </cell>
        </row>
        <row r="144">
          <cell r="A144" t="str">
            <v>Vector|||208001433|||ISSR|||SALES_IRE|||False|||</v>
          </cell>
          <cell r="C144" t="str">
            <v>V_KEYWORD_ISSR_208001433_SALES_IRE</v>
          </cell>
        </row>
        <row r="145">
          <cell r="A145" t="str">
            <v>Vector|||208001433|||ISSR|||SALES_ITA|||False|||</v>
          </cell>
          <cell r="C145" t="str">
            <v>V_KEYWORD_ISSR_208001433_SALES_ITA</v>
          </cell>
        </row>
        <row r="146">
          <cell r="A146" t="str">
            <v>Vector|||208001433|||ISSR|||SALES_NETH|||False|||</v>
          </cell>
          <cell r="C146" t="str">
            <v>V_KEYWORD_ISSR_208001433_SALES_NETH</v>
          </cell>
        </row>
        <row r="147">
          <cell r="A147" t="str">
            <v>Vector|||208001433|||ISSR|||SALES_NOR|||False|||</v>
          </cell>
          <cell r="C147" t="str">
            <v>V_KEYWORD_ISSR_208001433_SALES_NOR</v>
          </cell>
        </row>
        <row r="148">
          <cell r="A148" t="str">
            <v>Vector|||208001433|||ISSR|||SALES_POR|||False|||</v>
          </cell>
          <cell r="C148" t="str">
            <v>V_KEYWORD_ISSR_208001433_SALES_POR</v>
          </cell>
        </row>
        <row r="149">
          <cell r="A149" t="str">
            <v>Vector|||208001433|||ISSR|||SALES_SPA|||False|||</v>
          </cell>
          <cell r="C149" t="str">
            <v>V_KEYWORD_ISSR_208001433_SALES_SPA</v>
          </cell>
        </row>
        <row r="150">
          <cell r="A150" t="str">
            <v>Vector|||208001433|||ISSR|||SALES_SWE|||False|||</v>
          </cell>
          <cell r="C150" t="str">
            <v>V_KEYWORD_ISSR_208001433_SALES_SWE</v>
          </cell>
        </row>
        <row r="151">
          <cell r="A151" t="str">
            <v>Vector|||208001433|||ISSR|||SALES_SWIT|||False|||</v>
          </cell>
          <cell r="C151" t="str">
            <v>V_KEYWORD_ISSR_208001433_SALES_SWIT</v>
          </cell>
        </row>
        <row r="152">
          <cell r="A152" t="str">
            <v>Vector|||208001433|||ISSR|||SALES_UK|||False|||</v>
          </cell>
          <cell r="C152" t="str">
            <v>V_KEYWORD_ISSR_208001433_SALES_UK</v>
          </cell>
        </row>
        <row r="153">
          <cell r="A153" t="str">
            <v>Vector|||208001433|||ISSR|||SALES_OTH_WEST_EURO|||False|||</v>
          </cell>
          <cell r="C153" t="str">
            <v>V_KEYWORD_ISSR_208001433_SALES_OTH_WEST_EURO</v>
          </cell>
        </row>
        <row r="154">
          <cell r="A154" t="str">
            <v>Vector|||208001433|||ISSR|||SALES_POLAND|||False|||</v>
          </cell>
          <cell r="C154" t="str">
            <v>V_KEYWORD_ISSR_208001433_SALES_POLAND</v>
          </cell>
        </row>
        <row r="155">
          <cell r="A155" t="str">
            <v>Vector|||208001433|||ISSR|||SALES_RUSSIA|||False|||</v>
          </cell>
          <cell r="C155" t="str">
            <v>V_KEYWORD_ISSR_208001433_SALES_RUSSIA</v>
          </cell>
        </row>
        <row r="156">
          <cell r="A156" t="str">
            <v>Vector|||208001433|||ISSR|||SALES_TURKEY|||False|||</v>
          </cell>
          <cell r="C156" t="str">
            <v>V_KEYWORD_ISSR_208001433_SALES_TURKEY</v>
          </cell>
        </row>
        <row r="157">
          <cell r="A157" t="str">
            <v>Vector|||208001433|||ISSR|||SALES_OTH_CEE|||False|||</v>
          </cell>
          <cell r="C157" t="str">
            <v>V_KEYWORD_ISSR_208001433_SALES_OTH_CEE</v>
          </cell>
        </row>
        <row r="158">
          <cell r="A158" t="str">
            <v>Vector|||208001433|||ISSR|||SALES_SAUDI_ARABIA|||False|||</v>
          </cell>
          <cell r="C158" t="str">
            <v>V_KEYWORD_ISSR_208001433_SALES_SAUDI_ARABIA</v>
          </cell>
        </row>
        <row r="159">
          <cell r="A159" t="str">
            <v>Vector|||208001433|||ISSR|||SALES_UAE|||False|||</v>
          </cell>
          <cell r="C159" t="str">
            <v>V_KEYWORD_ISSR_208001433_SALES_UAE</v>
          </cell>
        </row>
        <row r="160">
          <cell r="A160" t="str">
            <v>Vector|||208001433|||ISSR|||SALES_OTH_ME|||False|||</v>
          </cell>
          <cell r="C160" t="str">
            <v>V_KEYWORD_ISSR_208001433_SALES_OTH_ME</v>
          </cell>
        </row>
        <row r="161">
          <cell r="A161" t="str">
            <v>Vector|||208001433|||ISSR|||SALES_NIGERIA|||False|||</v>
          </cell>
          <cell r="C161" t="str">
            <v>V_KEYWORD_ISSR_208001433_SALES_NIGERIA</v>
          </cell>
        </row>
        <row r="162">
          <cell r="A162" t="str">
            <v>Vector|||208001433|||ISSR|||SALES_SO_AFRICA|||False|||</v>
          </cell>
          <cell r="C162" t="str">
            <v>V_KEYWORD_ISSR_208001433_SALES_SO_AFRICA</v>
          </cell>
        </row>
        <row r="163">
          <cell r="A163" t="str">
            <v>Vector|||208001433|||ISSR|||SALES_OTH_AFRICA|||False|||</v>
          </cell>
          <cell r="C163" t="str">
            <v>V_KEYWORD_ISSR_208001433_SALES_OTH_AFRICA</v>
          </cell>
        </row>
        <row r="164">
          <cell r="A164" t="str">
            <v>Vector|||208001433|||ISSR|||SALES_HONG_KONG|||False|||</v>
          </cell>
          <cell r="C164" t="str">
            <v>V_KEYWORD_ISSR_208001433_SALES_HONG_KONG</v>
          </cell>
        </row>
        <row r="165">
          <cell r="A165" t="str">
            <v>Vector|||208001433|||ISSR|||SALES_JAPAN|||False|||</v>
          </cell>
          <cell r="C165" t="str">
            <v>V_KEYWORD_ISSR_208001433_SALES_JAPAN</v>
          </cell>
        </row>
        <row r="166">
          <cell r="A166" t="str">
            <v>Vector|||208001433|||ISSR|||SALES_SINGAPORE|||False|||</v>
          </cell>
          <cell r="C166" t="str">
            <v>V_KEYWORD_ISSR_208001433_SALES_SINGAPORE</v>
          </cell>
        </row>
        <row r="167">
          <cell r="A167" t="str">
            <v>Vector|||208001433|||ISSR|||SALES_SK|||False|||</v>
          </cell>
          <cell r="C167" t="str">
            <v>V_KEYWORD_ISSR_208001433_SALES_SK</v>
          </cell>
        </row>
        <row r="168">
          <cell r="A168" t="str">
            <v>Vector|||208001433|||ISSR|||SALES_TAIWAN|||False|||</v>
          </cell>
          <cell r="C168" t="str">
            <v>V_KEYWORD_ISSR_208001433_SALES_TAIWAN</v>
          </cell>
        </row>
        <row r="169">
          <cell r="A169" t="str">
            <v>Vector|||208001433|||ISSR|||SALES_OTH_DEV_ASIA|||False|||</v>
          </cell>
          <cell r="C169" t="str">
            <v>V_KEYWORD_ISSR_208001433_SALES_OTH_DEV_ASIA</v>
          </cell>
        </row>
        <row r="170">
          <cell r="A170" t="str">
            <v>Vector|||208001433|||ISSR|||SALES_CHINA|||False|||</v>
          </cell>
          <cell r="C170" t="str">
            <v>V_KEYWORD_ISSR_208001433_SALES_CHINA</v>
          </cell>
        </row>
        <row r="171">
          <cell r="A171" t="str">
            <v>Vector|||208001433|||ISSR|||SALES_INDIA|||False|||</v>
          </cell>
          <cell r="C171" t="str">
            <v>V_KEYWORD_ISSR_208001433_SALES_INDIA</v>
          </cell>
        </row>
        <row r="172">
          <cell r="A172" t="str">
            <v>Vector|||208001433|||ISSR|||SALES_INDONESIA|||False|||</v>
          </cell>
          <cell r="C172" t="str">
            <v>V_KEYWORD_ISSR_208001433_SALES_INDONESIA</v>
          </cell>
        </row>
        <row r="173">
          <cell r="A173" t="str">
            <v>Vector|||208001433|||ISSR|||SALES_THAILAND|||False|||</v>
          </cell>
          <cell r="C173" t="str">
            <v>V_KEYWORD_ISSR_208001433_SALES_THAILAND</v>
          </cell>
        </row>
        <row r="174">
          <cell r="A174" t="str">
            <v>Vector|||208001433|||ISSR|||SALES_OTH_EMERG_ASIA|||False|||</v>
          </cell>
          <cell r="C174" t="str">
            <v>V_KEYWORD_ISSR_208001433_SALES_OTH_EMERG_ASIA</v>
          </cell>
        </row>
        <row r="175">
          <cell r="A175" t="str">
            <v>Vector|||208001433|||ISSR|||SALES_AUSTRA|||False|||</v>
          </cell>
          <cell r="C175" t="str">
            <v>V_KEYWORD_ISSR_208001433_SALES_AUSTRA</v>
          </cell>
        </row>
        <row r="176">
          <cell r="A176" t="str">
            <v>Vector|||208001433|||ISSR|||SALES_NZ|||False|||</v>
          </cell>
          <cell r="C176" t="str">
            <v>V_KEYWORD_ISSR_208001433_SALES_NZ</v>
          </cell>
        </row>
        <row r="177">
          <cell r="A177" t="str">
            <v>Vector|||208001433|||ISSR|||SALES_OTHER|||False|||</v>
          </cell>
          <cell r="C177" t="str">
            <v>V_KEYWORD_ISSR_208001433_SALES_OTHER</v>
          </cell>
        </row>
        <row r="178">
          <cell r="A178" t="str">
            <v>Vector|||208001433|||ISSR|||COGS_PCT_US|||False|||</v>
          </cell>
          <cell r="C178" t="str">
            <v>V_KEYWORD_ISSR_208001433_COGS_PCT_US</v>
          </cell>
        </row>
        <row r="179">
          <cell r="A179" t="str">
            <v>Vector|||208001433|||ISSR|||COGS_PCT_ROW|||False|||</v>
          </cell>
          <cell r="C179" t="str">
            <v>V_KEYWORD_ISSR_208001433_COGS_PCT_ROW</v>
          </cell>
        </row>
        <row r="180">
          <cell r="A180" t="str">
            <v>Vector|||208001433|||ISSR|||SGA_PCT_US|||False|||</v>
          </cell>
          <cell r="C180" t="str">
            <v>V_KEYWORD_ISSR_208001433_SGA_PCT_US</v>
          </cell>
        </row>
        <row r="181">
          <cell r="A181" t="str">
            <v>Vector|||208001433|||ISSR|||SGA_PCT_ROW|||False|||</v>
          </cell>
          <cell r="C181" t="str">
            <v>V_KEYWORD_ISSR_208001433_SGA_PCT_ROW</v>
          </cell>
        </row>
        <row r="182">
          <cell r="A182" t="str">
            <v>Vector|||208001433|||ISSR|||SALES_CONS|||False|||</v>
          </cell>
          <cell r="C182" t="str">
            <v>V_KEYWORD_ISSR_208001433_SALES_CONS</v>
          </cell>
        </row>
        <row r="183">
          <cell r="A183" t="str">
            <v>Vector|||208001433|||ISSR|||SALES_IND|||False|||</v>
          </cell>
          <cell r="C183" t="str">
            <v>V_KEYWORD_ISSR_208001433_SALES_IND</v>
          </cell>
        </row>
        <row r="184">
          <cell r="A184" t="str">
            <v>Vector|||208001433|||ISSR|||SALES_GOV|||False|||</v>
          </cell>
          <cell r="C184" t="str">
            <v>V_KEYWORD_ISSR_208001433_SALES_GOV</v>
          </cell>
        </row>
        <row r="185">
          <cell r="A185" t="str">
            <v>Vector|||208001433|||ISSR|||SALES_FINAN|||False|||</v>
          </cell>
          <cell r="C185" t="str">
            <v>V_KEYWORD_ISSR_208001433_SALES_FINAN</v>
          </cell>
        </row>
        <row r="186">
          <cell r="A186" t="str">
            <v>Vector|||208001433|||ISSR|||SALES_OIL_GAS|||False|||</v>
          </cell>
          <cell r="C186" t="str">
            <v>V_KEYWORD_ISSR_208001433_SALES_OIL_GAS</v>
          </cell>
        </row>
        <row r="188">
          <cell r="A188" t="str">
            <v>Vector|||208001433|||ISSR|||SALES_OTH_COMMODITY|||False|||</v>
          </cell>
          <cell r="C188" t="str">
            <v>V_KEYWORD_ISSR_208001433_SALES_OTH_COMMODITY</v>
          </cell>
        </row>
        <row r="189">
          <cell r="A189" t="str">
            <v>Vector|||208001433|||ISSR|||SALES_OTH_SALES_SOURCES|||False|||</v>
          </cell>
          <cell r="C189" t="str">
            <v>V_KEYWORD_ISSR_208001433_SALES_OTH_SALES_SOURCES</v>
          </cell>
        </row>
        <row r="191">
          <cell r="A191" t="str">
            <v>Vector|||208001433|||ISSR|||EXP_OIL_PETRO_FUEL|||False|||</v>
          </cell>
          <cell r="C191" t="str">
            <v>V_KEYWORD_ISSR_208001433_EXP_OIL_PETRO_FUEL</v>
          </cell>
        </row>
        <row r="192">
          <cell r="A192" t="str">
            <v>Vector|||208001433|||ISSR|||EXP_OIL_DERIV_NGLS_PLASTICS|||False|||</v>
          </cell>
          <cell r="C192" t="str">
            <v>V_KEYWORD_ISSR_208001433_EXP_OIL_DERIV_NGLS_PLASTICS</v>
          </cell>
        </row>
        <row r="193">
          <cell r="A193" t="str">
            <v>Vector|||208001433|||ISSR|||EXP_NAT_GAS|||False|||</v>
          </cell>
          <cell r="C193" t="str">
            <v>V_KEYWORD_ISSR_208001433_EXP_NAT_GAS</v>
          </cell>
        </row>
        <row r="194">
          <cell r="A194" t="str">
            <v>Vector|||208001433|||ISSR|||EXP_GOLD|||False|||</v>
          </cell>
          <cell r="C194" t="str">
            <v>V_KEYWORD_ISSR_208001433_EXP_GOLD</v>
          </cell>
        </row>
        <row r="195">
          <cell r="A195" t="str">
            <v>Vector|||208001433|||ISSR|||EXP_COPPER|||False|||</v>
          </cell>
          <cell r="C195" t="str">
            <v>V_KEYWORD_ISSR_208001433_EXP_COPPER</v>
          </cell>
        </row>
        <row r="196">
          <cell r="A196" t="str">
            <v>Vector|||208001433|||ISSR|||EXP_SILVER|||False|||</v>
          </cell>
          <cell r="C196" t="str">
            <v>V_KEYWORD_ISSR_208001433_EXP_SILVER</v>
          </cell>
        </row>
        <row r="197">
          <cell r="A197" t="str">
            <v>Vector|||208001433|||ISSR|||EXP_PLATINUM|||False|||</v>
          </cell>
          <cell r="C197" t="str">
            <v>V_KEYWORD_ISSR_208001433_EXP_PLATINUM</v>
          </cell>
        </row>
        <row r="198">
          <cell r="A198" t="str">
            <v>Vector|||208001433|||ISSR|||EXP_PALLADIUM|||False|||</v>
          </cell>
          <cell r="C198" t="str">
            <v>V_KEYWORD_ISSR_208001433_EXP_PALLADIUM</v>
          </cell>
        </row>
        <row r="199">
          <cell r="A199" t="str">
            <v>Vector|||208001433|||ISSR|||EXP_ALUMINIUM|||False|||</v>
          </cell>
          <cell r="C199" t="str">
            <v>V_KEYWORD_ISSR_208001433_EXP_ALUMINIUM</v>
          </cell>
        </row>
        <row r="200">
          <cell r="A200" t="str">
            <v>Vector|||208001433|||ISSR|||EXP_NICKEL|||False|||</v>
          </cell>
          <cell r="C200" t="str">
            <v>V_KEYWORD_ISSR_208001433_EXP_NICKEL</v>
          </cell>
        </row>
        <row r="201">
          <cell r="A201" t="str">
            <v>Vector|||208001433|||ISSR|||EXP_ZINC|||False|||</v>
          </cell>
          <cell r="C201" t="str">
            <v>V_KEYWORD_ISSR_208001433_EXP_ZINC</v>
          </cell>
        </row>
        <row r="202">
          <cell r="A202" t="str">
            <v>Vector|||208001433|||ISSR|||EXP_STEEL|||False|||</v>
          </cell>
          <cell r="C202" t="str">
            <v>V_KEYWORD_ISSR_208001433_EXP_STEEL</v>
          </cell>
        </row>
        <row r="203">
          <cell r="A203" t="str">
            <v>Vector|||208001433|||ISSR|||EXP_GLASS|||False|||</v>
          </cell>
          <cell r="C203" t="str">
            <v>V_KEYWORD_ISSR_208001433_EXP_GLASS</v>
          </cell>
        </row>
        <row r="204">
          <cell r="A204" t="str">
            <v>Vector|||208001433|||ISSR|||EXP_RUBBER|||False|||</v>
          </cell>
          <cell r="C204" t="str">
            <v>V_KEYWORD_ISSR_208001433_EXP_RUBBER</v>
          </cell>
        </row>
        <row r="205">
          <cell r="A205" t="str">
            <v>Vector|||208001433|||ISSR|||EXP_WATER|||False|||</v>
          </cell>
          <cell r="C205" t="str">
            <v>V_KEYWORD_ISSR_208001433_EXP_WATER</v>
          </cell>
        </row>
        <row r="206">
          <cell r="A206" t="str">
            <v>Vector|||208001433|||ISSR|||EXP_OTH_COMMODITY|||False|||</v>
          </cell>
          <cell r="C206" t="str">
            <v>V_KEYWORD_ISSR_208001433_EXP_OTH_COMMODITY</v>
          </cell>
        </row>
        <row r="207">
          <cell r="A207" t="str">
            <v>Vector|||208001433|||ISSR|||EXP_OTH_COST|||False|||</v>
          </cell>
          <cell r="C207" t="str">
            <v>V_KEYWORD_ISSR_208001433_EXP_OTH_COST</v>
          </cell>
        </row>
        <row r="209">
          <cell r="A209" t="str">
            <v>Vector|||208001433|||ISSR|||SALES_FX_GPB|||False|||</v>
          </cell>
          <cell r="C209" t="str">
            <v>V_KEYWORD_ISSR_208001433_SALES_FX_GPB</v>
          </cell>
        </row>
        <row r="210">
          <cell r="A210" t="str">
            <v>Vector|||208001433|||ISSR|||SALES_FX_EUR|||False|||</v>
          </cell>
          <cell r="C210" t="str">
            <v>V_KEYWORD_ISSR_208001433_SALES_FX_EUR</v>
          </cell>
        </row>
        <row r="211">
          <cell r="A211" t="str">
            <v>Vector|||208001433|||ISSR|||SALES_FX_RUB|||False|||</v>
          </cell>
          <cell r="C211" t="str">
            <v>V_KEYWORD_ISSR_208001433_SALES_FX_RUB</v>
          </cell>
        </row>
        <row r="212">
          <cell r="A212" t="str">
            <v>Vector|||208001433|||ISSR|||SALES_FX_USD|||False|||</v>
          </cell>
          <cell r="C212" t="str">
            <v>V_KEYWORD_ISSR_208001433_SALES_FX_USD</v>
          </cell>
        </row>
        <row r="213">
          <cell r="A213" t="str">
            <v>Vector|||208001433|||ISSR|||SALES_FX_BRL|||False|||</v>
          </cell>
          <cell r="C213" t="str">
            <v>V_KEYWORD_ISSR_208001433_SALES_FX_BRL</v>
          </cell>
        </row>
        <row r="214">
          <cell r="A214" t="str">
            <v>Vector|||208001433|||ISSR|||SALES_FX_YEN|||False|||</v>
          </cell>
          <cell r="C214" t="str">
            <v>V_KEYWORD_ISSR_208001433_SALES_FX_YEN</v>
          </cell>
        </row>
        <row r="215">
          <cell r="A215" t="str">
            <v>Vector|||208001433|||ISSR|||SALES_FX_CNY|||False|||</v>
          </cell>
          <cell r="C215" t="str">
            <v>V_KEYWORD_ISSR_208001433_SALES_FX_CNY</v>
          </cell>
        </row>
        <row r="216">
          <cell r="A216" t="str">
            <v>Vector|||208001433|||ISSR|||SALES_FX_INR|||False|||</v>
          </cell>
          <cell r="C216" t="str">
            <v>V_KEYWORD_ISSR_208001433_SALES_FX_INR</v>
          </cell>
        </row>
        <row r="217">
          <cell r="A217" t="str">
            <v>Vector|||208001433|||ISSR|||SALES_FX_ZAR|||False|||</v>
          </cell>
          <cell r="C217" t="str">
            <v>V_KEYWORD_ISSR_208001433_SALES_FX_ZAR</v>
          </cell>
        </row>
        <row r="218">
          <cell r="A218" t="str">
            <v>Vector|||208001433|||ISSR|||SALES_FX_NGN|||False|||</v>
          </cell>
          <cell r="C218" t="str">
            <v>V_KEYWORD_ISSR_208001433_SALES_FX_NGN</v>
          </cell>
        </row>
        <row r="219">
          <cell r="A219" t="str">
            <v>Vector|||208001433|||ISSR|||SALES_FX_CHF|||False|||</v>
          </cell>
          <cell r="C219" t="str">
            <v>V_KEYWORD_ISSR_208001433_SALES_FX_CHF</v>
          </cell>
        </row>
        <row r="220">
          <cell r="A220" t="str">
            <v>Vector|||208001433|||ISSR|||SALES_FX_AED|||False|||</v>
          </cell>
          <cell r="C220" t="str">
            <v>V_KEYWORD_ISSR_208001433_SALES_FX_AED</v>
          </cell>
        </row>
        <row r="221">
          <cell r="A221" t="str">
            <v>Vector|||208001433|||ISSR|||SALES_FX_TRY|||False|||</v>
          </cell>
          <cell r="C221" t="str">
            <v>V_KEYWORD_ISSR_208001433_SALES_FX_TRY</v>
          </cell>
        </row>
        <row r="222">
          <cell r="A222" t="str">
            <v>Vector|||208001433|||ISSR|||SALES_FX_OTH|||False|||</v>
          </cell>
          <cell r="C222" t="str">
            <v>V_KEYWORD_ISSR_208001433_SALES_FX_OTH</v>
          </cell>
        </row>
        <row r="224">
          <cell r="A224" t="str">
            <v>Vector|||208001433|||ISSR|||SALES_TOT_AM|||False|||</v>
          </cell>
          <cell r="C224" t="str">
            <v>V_KEYWORD_ISSR_208001433_SALES_TOT_AM</v>
          </cell>
        </row>
        <row r="225">
          <cell r="A225" t="str">
            <v>Vector|||208001433|||ISSR|||SALES_OTH_AM|||False|||</v>
          </cell>
          <cell r="C225" t="str">
            <v>V_KEYWORD_ISSR_208001433_SALES_OTH_AM</v>
          </cell>
        </row>
        <row r="226">
          <cell r="A226" t="str">
            <v>Vector|||208001433|||ISSR|||SALES_TOT_EMEA|||False|||</v>
          </cell>
          <cell r="C226" t="str">
            <v>V_KEYWORD_ISSR_208001433_SALES_TOT_EMEA</v>
          </cell>
        </row>
        <row r="227">
          <cell r="A227" t="str">
            <v>Vector|||208001433|||ISSR|||SALES_EU_EX_UK|||False|||</v>
          </cell>
          <cell r="C227" t="str">
            <v>V_KEYWORD_ISSR_208001433_SALES_EU_EX_UK</v>
          </cell>
        </row>
        <row r="228">
          <cell r="A228" t="str">
            <v>Vector|||208001433|||ISSR|||SALES_OTH_EU_EX_UK|||False|||</v>
          </cell>
          <cell r="C228" t="str">
            <v>V_KEYWORD_ISSR_208001433_SALES_OTH_EU_EX_UK</v>
          </cell>
        </row>
        <row r="229">
          <cell r="A229" t="str">
            <v>Vector|||208001433|||ISSR|||SALES_CEE|||False|||</v>
          </cell>
          <cell r="C229" t="str">
            <v>V_KEYWORD_ISSR_208001433_SALES_CEE</v>
          </cell>
        </row>
        <row r="230">
          <cell r="A230" t="str">
            <v>Vector|||208001433|||ISSR|||SALES_ME|||False|||</v>
          </cell>
          <cell r="C230" t="str">
            <v>V_KEYWORD_ISSR_208001433_SALES_ME</v>
          </cell>
        </row>
        <row r="231">
          <cell r="A231" t="str">
            <v>Vector|||208001433|||ISSR|||SALES_TOT_AFRICA|||False|||</v>
          </cell>
          <cell r="C231" t="str">
            <v>V_KEYWORD_ISSR_208001433_SALES_TOT_AFRICA</v>
          </cell>
        </row>
        <row r="232">
          <cell r="A232" t="str">
            <v>Vector|||208001433|||ISSR|||SALES_OTH_EMEA|||False|||</v>
          </cell>
          <cell r="C232" t="str">
            <v>V_KEYWORD_ISSR_208001433_SALES_OTH_EMEA</v>
          </cell>
        </row>
        <row r="233">
          <cell r="A233" t="str">
            <v>Vector|||208001433|||ISSR|||SALES_TOT_ASIA|||False|||</v>
          </cell>
          <cell r="C233" t="str">
            <v>V_KEYWORD_ISSR_208001433_SALES_TOT_ASIA</v>
          </cell>
        </row>
        <row r="234">
          <cell r="A234" t="str">
            <v>Vector|||208001433|||ISSR|||SALES_OTH_AEJ|||False|||</v>
          </cell>
          <cell r="C234" t="str">
            <v>V_KEYWORD_ISSR_208001433_SALES_OTH_AEJ</v>
          </cell>
        </row>
        <row r="235">
          <cell r="A235" t="str">
            <v>Vector|||208001433|||ISSR|||IND_SALES_BRAZIL|||False|||</v>
          </cell>
          <cell r="C235" t="str">
            <v>V_KEYWORD_ISSR_208001433_IND_SALES_BRAZIL</v>
          </cell>
        </row>
        <row r="236">
          <cell r="A236" t="str">
            <v>Vector|||208001433|||ISSR|||IND_SALES_US|||False|||</v>
          </cell>
          <cell r="C236" t="str">
            <v>V_KEYWORD_ISSR_208001433_IND_SALES_US</v>
          </cell>
        </row>
        <row r="237">
          <cell r="A237" t="str">
            <v>Vector|||208001433|||ISSR|||IND_SALES_OTH_AM|||False|||</v>
          </cell>
          <cell r="C237" t="str">
            <v>V_KEYWORD_ISSR_208001433_IND_SALES_OTH_AM</v>
          </cell>
        </row>
        <row r="238">
          <cell r="A238" t="str">
            <v>Vector|||208001433|||ISSR|||IND_SALES_TOT_AM|||False|||</v>
          </cell>
          <cell r="C238" t="str">
            <v>V_KEYWORD_ISSR_208001433_IND_SALES_TOT_AM</v>
          </cell>
        </row>
        <row r="239">
          <cell r="A239" t="str">
            <v>Vector|||208001433|||ISSR|||IND_SALES_FRA|||False|||</v>
          </cell>
          <cell r="C239" t="str">
            <v>V_KEYWORD_ISSR_208001433_IND_SALES_FRA</v>
          </cell>
        </row>
        <row r="240">
          <cell r="A240" t="str">
            <v>Vector|||208001433|||ISSR|||IND_SALES_GER|||False|||</v>
          </cell>
          <cell r="C240" t="str">
            <v>V_KEYWORD_ISSR_208001433_IND_SALES_GER</v>
          </cell>
        </row>
        <row r="241">
          <cell r="A241" t="str">
            <v>Vector|||208001433|||ISSR|||IND_SALES_ITA|||False|||</v>
          </cell>
          <cell r="C241" t="str">
            <v>V_KEYWORD_ISSR_208001433_IND_SALES_ITA</v>
          </cell>
        </row>
        <row r="242">
          <cell r="A242" t="str">
            <v>Vector|||208001433|||ISSR|||IND_SALES_SPA|||False|||</v>
          </cell>
          <cell r="C242" t="str">
            <v>V_KEYWORD_ISSR_208001433_IND_SALES_SPA</v>
          </cell>
        </row>
        <row r="243">
          <cell r="A243" t="str">
            <v>Vector|||208001433|||ISSR|||IND_SALES_UK|||False|||</v>
          </cell>
          <cell r="C243" t="str">
            <v>V_KEYWORD_ISSR_208001433_IND_SALES_UK</v>
          </cell>
        </row>
        <row r="244">
          <cell r="A244" t="str">
            <v>Vector|||208001433|||ISSR|||IND_SALES_EU_EX_UK|||False|||</v>
          </cell>
          <cell r="C244" t="str">
            <v>V_KEYWORD_ISSR_208001433_IND_SALES_EU_EX_UK</v>
          </cell>
        </row>
        <row r="245">
          <cell r="A245" t="str">
            <v>Vector|||208001433|||ISSR|||IND_SALES_OTH_EU_EX_UK|||False|||</v>
          </cell>
          <cell r="C245" t="str">
            <v>V_KEYWORD_ISSR_208001433_IND_SALES_OTH_EU_EX_UK</v>
          </cell>
        </row>
        <row r="246">
          <cell r="A246" t="str">
            <v>Vector|||208001433|||ISSR|||IND_SALES_RUSSIA|||False|||</v>
          </cell>
          <cell r="C246" t="str">
            <v>V_KEYWORD_ISSR_208001433_IND_SALES_RUSSIA</v>
          </cell>
        </row>
        <row r="247">
          <cell r="A247" t="str">
            <v>Vector|||208001433|||ISSR|||IND_SALES_CEE|||False|||</v>
          </cell>
          <cell r="C247" t="str">
            <v>V_KEYWORD_ISSR_208001433_IND_SALES_CEE</v>
          </cell>
        </row>
        <row r="248">
          <cell r="A248" t="str">
            <v>Vector|||208001433|||ISSR|||IND_SALES_OTH_EMEA|||False|||</v>
          </cell>
          <cell r="C248" t="str">
            <v>V_KEYWORD_ISSR_208001433_IND_SALES_OTH_EMEA</v>
          </cell>
        </row>
        <row r="249">
          <cell r="A249" t="str">
            <v>Vector|||208001433|||ISSR|||IND_SALES_TOT_EMEA|||False|||</v>
          </cell>
          <cell r="C249" t="str">
            <v>V_KEYWORD_ISSR_208001433_IND_SALES_TOT_EMEA</v>
          </cell>
        </row>
        <row r="250">
          <cell r="A250" t="str">
            <v>Vector|||208001433|||ISSR|||IND_SALES_ME|||False|||</v>
          </cell>
          <cell r="C250" t="str">
            <v>V_KEYWORD_ISSR_208001433_IND_SALES_ME</v>
          </cell>
        </row>
        <row r="251">
          <cell r="A251" t="str">
            <v>Vector|||208001433|||ISSR|||IND_SALES_NIGERIA|||False|||</v>
          </cell>
          <cell r="C251" t="str">
            <v>V_KEYWORD_ISSR_208001433_IND_SALES_NIGERIA</v>
          </cell>
        </row>
        <row r="252">
          <cell r="A252" t="str">
            <v>Vector|||208001433|||ISSR|||IND_SALES_SO_AFRICA|||False|||</v>
          </cell>
          <cell r="C252" t="str">
            <v>V_KEYWORD_ISSR_208001433_IND_SALES_SO_AFRICA</v>
          </cell>
        </row>
        <row r="253">
          <cell r="A253" t="str">
            <v>Vector|||208001433|||ISSR|||IND_SALES_OTH_AFRICA|||False|||</v>
          </cell>
          <cell r="C253" t="str">
            <v>V_KEYWORD_ISSR_208001433_IND_SALES_OTH_AFRICA</v>
          </cell>
        </row>
        <row r="254">
          <cell r="A254" t="str">
            <v>Vector|||208001433|||ISSR|||IND_SALES_TOT_AFRICA|||False|||</v>
          </cell>
          <cell r="C254" t="str">
            <v>V_KEYWORD_ISSR_208001433_IND_SALES_TOT_AFRICA</v>
          </cell>
        </row>
        <row r="255">
          <cell r="A255" t="str">
            <v>Vector|||208001433|||ISSR|||IND_SALES_CHINA|||False|||</v>
          </cell>
          <cell r="C255" t="str">
            <v>V_KEYWORD_ISSR_208001433_IND_SALES_CHINA</v>
          </cell>
        </row>
        <row r="256">
          <cell r="A256" t="str">
            <v>Vector|||208001433|||ISSR|||IND_SALES_INDIA|||False|||</v>
          </cell>
          <cell r="C256" t="str">
            <v>V_KEYWORD_ISSR_208001433_IND_SALES_INDIA</v>
          </cell>
        </row>
        <row r="257">
          <cell r="A257" t="str">
            <v>Vector|||208001433|||ISSR|||IND_SALES_JAPAN|||False|||</v>
          </cell>
          <cell r="C257" t="str">
            <v>V_KEYWORD_ISSR_208001433_IND_SALES_JAPAN</v>
          </cell>
        </row>
        <row r="258">
          <cell r="A258" t="str">
            <v>Vector|||208001433|||ISSR|||IND_SALES_OTH_AEJ|||False|||</v>
          </cell>
          <cell r="C258" t="str">
            <v>V_KEYWORD_ISSR_208001433_IND_SALES_OTH_AEJ</v>
          </cell>
        </row>
        <row r="259">
          <cell r="A259" t="str">
            <v>Vector|||208001433|||ISSR|||IND_SALES_TOT_ASIA|||False|||</v>
          </cell>
          <cell r="C259" t="str">
            <v>V_KEYWORD_ISSR_208001433_IND_SALES_TOT_ASIA</v>
          </cell>
        </row>
        <row r="260">
          <cell r="A260" t="str">
            <v>Vector|||208001433|||ISSR|||IND_SALES_OTHER|||False|||</v>
          </cell>
          <cell r="C260" t="str">
            <v>V_KEYWORD_ISSR_208001433_IND_SALES_OTHER</v>
          </cell>
        </row>
        <row r="261">
          <cell r="A261" t="str">
            <v>Vector|||208001433|||ISSR|||IND_SALES_CONS|||False|||</v>
          </cell>
          <cell r="C261" t="str">
            <v>V_KEYWORD_ISSR_208001433_IND_SALES_CONS</v>
          </cell>
        </row>
        <row r="262">
          <cell r="A262" t="str">
            <v>Vector|||208001433|||ISSR|||IND_SALES_IND|||False|||</v>
          </cell>
          <cell r="C262" t="str">
            <v>V_KEYWORD_ISSR_208001433_IND_SALES_IND</v>
          </cell>
        </row>
        <row r="263">
          <cell r="A263" t="str">
            <v>Vector|||208001433|||ISSR|||IND_SALES_GOV|||False|||</v>
          </cell>
          <cell r="C263" t="str">
            <v>V_KEYWORD_ISSR_208001433_IND_SALES_GOV</v>
          </cell>
        </row>
        <row r="264">
          <cell r="A264" t="str">
            <v>Vector|||208001433|||ISSR|||IND_SALES_FINAN|||False|||</v>
          </cell>
          <cell r="C264" t="str">
            <v>V_KEYWORD_ISSR_208001433_IND_SALES_FINAN</v>
          </cell>
        </row>
        <row r="270">
          <cell r="A270" t="str">
            <v>Scalar|||200005121|||EQTY|||PUB_CURRENCY_ISO|||False|||</v>
          </cell>
          <cell r="C270" t="str">
            <v>V_KEYWORD_EQTY_200005121_PUB_CURRENCY_ISO</v>
          </cell>
        </row>
        <row r="271">
          <cell r="A271" t="str">
            <v>Scalar|||200005121|||EQTY|||PRICE_CURRENCY_ISO|||False|||</v>
          </cell>
          <cell r="C271" t="str">
            <v>V_KEYWORD_EQTY_200005121_PRICE_CURRENCY_ISO</v>
          </cell>
        </row>
        <row r="272">
          <cell r="A272" t="str">
            <v>Scalar|||200005121|||EQTY|||CURRENCY_ISO|||False|||</v>
          </cell>
          <cell r="C272" t="str">
            <v>V_KEYWORD_EQTY_200005121_CURRENCY_ISO</v>
          </cell>
        </row>
        <row r="274">
          <cell r="A274" t="str">
            <v>Scalar|||200005121|||EQTY|||EURO_LIST|||False|||</v>
          </cell>
          <cell r="C274" t="str">
            <v>V_KEYWORD_EQTY_200005121_EURO_LIST</v>
          </cell>
        </row>
        <row r="275">
          <cell r="A275" t="str">
            <v>Scalar|||200005121|||EQTY|||EURO_CONVICTION|||False|||</v>
          </cell>
          <cell r="C275" t="str">
            <v>V_KEYWORD_EQTY_200005121_EURO_CONVICTION</v>
          </cell>
        </row>
        <row r="276">
          <cell r="A276" t="str">
            <v>Scalar|||200005121|||EQTY|||LEGAL_RATING|||False|||</v>
          </cell>
          <cell r="C276" t="str">
            <v>V_KEYWORD_EQTY_200005121_LEGAL_RATING</v>
          </cell>
        </row>
        <row r="277">
          <cell r="A277" t="str">
            <v>Scalar|||200005121|||EQTY|||TARGET_PRICE|||False|||</v>
          </cell>
          <cell r="C277" t="str">
            <v>V_KEYWORD_EQTY_200005121_TARGET_PRICE</v>
          </cell>
        </row>
        <row r="278">
          <cell r="A278" t="str">
            <v>Scalar|||200005121|||EQTY|||TP_PERIOD|||False|||</v>
          </cell>
          <cell r="C278" t="str">
            <v>V_KEYWORD_EQTY_200005121_TP_PERIOD</v>
          </cell>
        </row>
        <row r="279">
          <cell r="A279" t="str">
            <v>Scalar|||200005121|||EQTY|||TARGET_PRICE_FUNDAMENTAL|||False|||</v>
          </cell>
          <cell r="C279" t="str">
            <v>V_KEYWORD_EQTY_200005121_TARGET_PRICE_FUNDAMENTAL</v>
          </cell>
        </row>
        <row r="280">
          <cell r="A280" t="str">
            <v>Scalar|||200005121|||EQTY|||TARGET_PRICE_MA|||False|||</v>
          </cell>
          <cell r="C280" t="str">
            <v>V_KEYWORD_EQTY_200005121_TARGET_PRICE_MA</v>
          </cell>
        </row>
        <row r="281">
          <cell r="A281" t="str">
            <v>Scalar|||200005121|||EQTY|||NUM_SH|||False|||</v>
          </cell>
          <cell r="C281" t="str">
            <v>V_KEYWORD_EQTY_200005121_NUM_SH</v>
          </cell>
        </row>
        <row r="282">
          <cell r="A282" t="str">
            <v>Scalar|||200005121|||EQTY|||FREE_FLOAT|||False|||</v>
          </cell>
          <cell r="C282" t="str">
            <v>V_KEYWORD_EQTY_200005121_FREE_FLOAT</v>
          </cell>
        </row>
        <row r="283">
          <cell r="A283" t="str">
            <v>BreakdownScalar|||200005121|||EQTY|||ACT|||False|||1</v>
          </cell>
          <cell r="C283" t="str">
            <v>V_KEYWORD_EQTY_200005121_ACT1</v>
          </cell>
        </row>
        <row r="284">
          <cell r="A284" t="str">
            <v>BreakdownScalar|||200005121|||EQTY|||ACT|||False|||2</v>
          </cell>
          <cell r="C284" t="str">
            <v>V_KEYWORD_EQTY_200005121_ACT2</v>
          </cell>
        </row>
        <row r="285">
          <cell r="A285" t="str">
            <v>BreakdownScalar|||200005121|||EQTY|||ACT|||False|||3</v>
          </cell>
          <cell r="C285" t="str">
            <v>V_KEYWORD_EQTY_200005121_ACT3</v>
          </cell>
        </row>
        <row r="287">
          <cell r="A287" t="str">
            <v>Vector|||200005121|||EQTY|||BVPS_PUB|||False|||</v>
          </cell>
          <cell r="C287" t="str">
            <v>V_KEYWORD_EQTY_200005121_BVPS_PUB</v>
          </cell>
        </row>
        <row r="288">
          <cell r="A288" t="str">
            <v>Vector|||200005121|||EQTY|||DPS_PUB|||False|||</v>
          </cell>
          <cell r="C288" t="str">
            <v>V_KEYWORD_EQTY_200005121_DPS_PUB</v>
          </cell>
        </row>
        <row r="289">
          <cell r="A289" t="str">
            <v>Vector|||200005121|||EQTY|||DPS_SPECIAL_PUB|||False|||</v>
          </cell>
          <cell r="C289" t="str">
            <v>V_KEYWORD_EQTY_200005121_DPS_SPECIAL_PUB</v>
          </cell>
        </row>
        <row r="290">
          <cell r="A290" t="str">
            <v>Vector|||200005121|||EQTY|||EBITDA_PUB|||False|||</v>
          </cell>
          <cell r="C290" t="str">
            <v>V_KEYWORD_EQTY_200005121_EBITDA_PUB</v>
          </cell>
        </row>
        <row r="291">
          <cell r="A291" t="str">
            <v>Vector|||200005121|||EQTY|||EPS_PUB|||False|||</v>
          </cell>
          <cell r="C291" t="str">
            <v>V_KEYWORD_EQTY_200005121_EPS_PUB</v>
          </cell>
          <cell r="CI291" t="str">
            <v>ERROR</v>
          </cell>
          <cell r="CJ291" t="str">
            <v>ERROR</v>
          </cell>
          <cell r="CK291" t="str">
            <v>ERROR</v>
          </cell>
          <cell r="CL291" t="str">
            <v>ERROR</v>
          </cell>
          <cell r="CM291" t="str">
            <v>ERROR</v>
          </cell>
          <cell r="CN291" t="str">
            <v>ERROR</v>
          </cell>
          <cell r="CO291" t="str">
            <v>ERROR</v>
          </cell>
          <cell r="CP291" t="str">
            <v>ERROR</v>
          </cell>
          <cell r="CQ291" t="str">
            <v>ERROR</v>
          </cell>
          <cell r="CR291" t="str">
            <v>ERROR</v>
          </cell>
          <cell r="CS291" t="str">
            <v>ERROR</v>
          </cell>
          <cell r="CT291" t="str">
            <v>ERROR</v>
          </cell>
          <cell r="CU291" t="str">
            <v>ERROR</v>
          </cell>
          <cell r="CV291" t="str">
            <v>ERROR</v>
          </cell>
          <cell r="CW291" t="str">
            <v>ERROR</v>
          </cell>
          <cell r="CX291" t="str">
            <v>ERROR</v>
          </cell>
          <cell r="CY291" t="str">
            <v>ERROR</v>
          </cell>
        </row>
        <row r="292">
          <cell r="A292" t="str">
            <v>Vector|||200005121|||EQTY|||EV_ADJ_PUB|||False|||</v>
          </cell>
          <cell r="C292" t="str">
            <v>V_KEYWORD_EQTY_200005121_EV_ADJ_PUB</v>
          </cell>
        </row>
        <row r="293">
          <cell r="A293" t="str">
            <v>Vector|||200005121|||EQTY|||NET_DEBT_PUB|||False|||</v>
          </cell>
          <cell r="C293" t="str">
            <v>V_KEYWORD_EQTY_200005121_NET_DEBT_PUB</v>
          </cell>
        </row>
        <row r="294">
          <cell r="A294" t="str">
            <v>Vector|||200005121|||EQTY|||NET_DEBT_EX_LEASES_PUB|||False|||</v>
          </cell>
          <cell r="C294" t="str">
            <v>V_KEYWORD_EQTY_200005121_NET_DEBT_EX_LEASES_PUB</v>
          </cell>
        </row>
        <row r="295">
          <cell r="A295" t="str">
            <v>Vector|||200005121|||EQTY|||CEEE_NDEBT|||False|||</v>
          </cell>
          <cell r="C295" t="str">
            <v>V_KEYWORD_EQTY_200005121_CEEE_NDEBT</v>
          </cell>
        </row>
        <row r="296">
          <cell r="A296" t="str">
            <v>Vector|||200005121|||EQTY|||NI_PUB|||False|||</v>
          </cell>
          <cell r="C296" t="str">
            <v>V_KEYWORD_EQTY_200005121_NI_PUB</v>
          </cell>
        </row>
        <row r="297">
          <cell r="A297" t="str">
            <v>Vector|||200005121|||EQTY|||EBIT_PUB|||False|||</v>
          </cell>
          <cell r="C297" t="str">
            <v>V_KEYWORD_EQTY_200005121_EBIT_PUB</v>
          </cell>
        </row>
        <row r="298">
          <cell r="A298" t="str">
            <v>Vector|||200005121|||EQTY|||PTP_PUB|||False|||</v>
          </cell>
          <cell r="C298" t="str">
            <v>V_KEYWORD_EQTY_200005121_PTP_PUB</v>
          </cell>
        </row>
        <row r="299">
          <cell r="A299" t="str">
            <v>Vector|||200005121|||EQTY|||REVS_PUB|||False|||</v>
          </cell>
          <cell r="C299" t="str">
            <v>V_KEYWORD_EQTY_200005121_REVS_PUB</v>
          </cell>
        </row>
        <row r="300">
          <cell r="A300" t="str">
            <v>Vector|||200005121|||EQTY|||EQ_PUB|||False|||</v>
          </cell>
          <cell r="C300" t="str">
            <v>V_KEYWORD_EQTY_200005121_EQ_PUB</v>
          </cell>
        </row>
        <row r="302">
          <cell r="A302" t="str">
            <v>Vector|||200005121|||EQTY|||PROV_INC_TAX|||False|||</v>
          </cell>
          <cell r="C302" t="str">
            <v>V_KEYWORD_EQTY_200005121_PROV_INC_TAX</v>
          </cell>
        </row>
        <row r="303">
          <cell r="A303" t="str">
            <v>Vector|||200005121|||EQTY|||INC_MINORITY|||False|||</v>
          </cell>
          <cell r="C303" t="str">
            <v>V_KEYWORD_EQTY_200005121_INC_MINORITY</v>
          </cell>
        </row>
        <row r="304">
          <cell r="A304" t="str">
            <v>Vector|||200005121|||EQTY|||NI_PRE_PREF|||False|||</v>
          </cell>
          <cell r="C304" t="str">
            <v>V_KEYWORD_EQTY_200005121_NI_PRE_PREF</v>
          </cell>
        </row>
        <row r="305">
          <cell r="A305" t="str">
            <v>Vector|||200005121|||EQTY|||PREF_DIV|||False|||</v>
          </cell>
          <cell r="C305" t="str">
            <v>V_KEYWORD_EQTY_200005121_PREF_DIV</v>
          </cell>
        </row>
        <row r="306">
          <cell r="A306" t="str">
            <v>Vector|||200005121|||EQTY|||NET_EARNING|||False|||</v>
          </cell>
          <cell r="C306" t="str">
            <v>V_KEYWORD_EQTY_200005121_NET_EARNING</v>
          </cell>
        </row>
        <row r="307">
          <cell r="A307" t="str">
            <v>Vector|||200005121|||EQTY|||TAX_EXC|||False|||</v>
          </cell>
          <cell r="C307" t="str">
            <v>V_KEYWORD_EQTY_200005121_TAX_EXC</v>
          </cell>
        </row>
        <row r="308">
          <cell r="A308" t="str">
            <v>Vector|||200005121|||EQTY|||NET_INC|||False|||</v>
          </cell>
          <cell r="C308" t="str">
            <v>V_KEYWORD_EQTY_200005121_NET_INC</v>
          </cell>
        </row>
        <row r="309">
          <cell r="A309" t="str">
            <v>Vector|||200005121|||EQTY|||EPS|||False|||</v>
          </cell>
          <cell r="C309" t="str">
            <v>V_KEYWORD_EQTY_200005121_EPS</v>
          </cell>
        </row>
        <row r="310">
          <cell r="A310" t="str">
            <v>Vector|||200005121|||EQTY|||EPS_FUL_DIL|||False|||</v>
          </cell>
          <cell r="C310" t="str">
            <v>V_KEYWORD_EQTY_200005121_EPS_FUL_DIL</v>
          </cell>
        </row>
        <row r="311">
          <cell r="A311" t="str">
            <v>Vector|||200005121|||EQTY|||EPS_POST_BASIC|||False|||</v>
          </cell>
          <cell r="C311" t="str">
            <v>V_KEYWORD_EQTY_200005121_EPS_POST_BASIC</v>
          </cell>
        </row>
        <row r="312">
          <cell r="A312" t="str">
            <v>Vector|||200005121|||EQTY|||FULLY_DIL_EPS|||False|||</v>
          </cell>
          <cell r="C312" t="str">
            <v>V_KEYWORD_EQTY_200005121_FULLY_DIL_EPS</v>
          </cell>
        </row>
        <row r="313">
          <cell r="A313" t="str">
            <v>Vector|||200005121|||EQTY|||COMMON_DIV_PAID|||False|||</v>
          </cell>
          <cell r="C313" t="str">
            <v>V_KEYWORD_EQTY_200005121_COMMON_DIV_PAID</v>
          </cell>
        </row>
        <row r="314">
          <cell r="A314" t="str">
            <v>Vector|||200005121|||EQTY|||DPS|||False|||</v>
          </cell>
          <cell r="C314" t="str">
            <v>V_KEYWORD_EQTY_200005121_DPS</v>
          </cell>
        </row>
        <row r="315">
          <cell r="A315" t="str">
            <v>Vector|||200005121|||EQTY|||SH|||False|||</v>
          </cell>
          <cell r="C315" t="str">
            <v>V_KEYWORD_EQTY_200005121_SH</v>
          </cell>
        </row>
        <row r="316">
          <cell r="A316" t="str">
            <v>Vector|||200005121|||EQTY|||DILUTE_SHARES|||False|||</v>
          </cell>
          <cell r="C316" t="str">
            <v>V_KEYWORD_EQTY_200005121_DILUTE_SHARES</v>
          </cell>
        </row>
        <row r="317">
          <cell r="A317" t="str">
            <v>Vector|||200005121|||EQTY|||NON_OP_ADD|||False|||</v>
          </cell>
          <cell r="C317" t="str">
            <v>V_KEYWORD_EQTY_200005121_NON_OP_ADD</v>
          </cell>
        </row>
        <row r="319">
          <cell r="A319" t="str">
            <v>Vector|||200005121|||EQTY|||ORG_NI|||False|||</v>
          </cell>
          <cell r="C319" t="str">
            <v>V_KEYWORD_EQTY_200005121_ORG_NI</v>
          </cell>
        </row>
        <row r="320">
          <cell r="A320" t="str">
            <v>Vector|||200005121|||EQTY|||ORG_EPS|||False|||</v>
          </cell>
          <cell r="C320" t="str">
            <v>V_KEYWORD_EQTY_200005121_ORG_EPS</v>
          </cell>
        </row>
        <row r="321">
          <cell r="A321" t="str">
            <v>Vector|||200005121|||EQTY|||MARGIN_TAX_RATE|||False|||</v>
          </cell>
          <cell r="C321" t="str">
            <v>V_KEYWORD_EQTY_200005121_MARGIN_TAX_RATE</v>
          </cell>
        </row>
        <row r="323">
          <cell r="A323" t="str">
            <v>Vector|||200005121|||EQTY|||BVPS|||False|||</v>
          </cell>
          <cell r="C323" t="str">
            <v>V_KEYWORD_EQTY_200005121_BVPS</v>
          </cell>
        </row>
        <row r="325">
          <cell r="A325" t="str">
            <v>Vector|||200005121|||EQTY|||CF_NI_PRE_PREF|||False|||</v>
          </cell>
          <cell r="C325" t="str">
            <v>V_KEYWORD_EQTY_200005121_CF_NI_PRE_PREF</v>
          </cell>
        </row>
        <row r="327">
          <cell r="A327" t="str">
            <v>Scalar|||200005121|||EQTY|||BETA_ANALYST|||False|||</v>
          </cell>
          <cell r="C327" t="str">
            <v>V_KEYWORD_EQTY_200005121_BETA_ANALYST</v>
          </cell>
        </row>
        <row r="328">
          <cell r="A328" t="str">
            <v>Scalar|||200005121|||EQTY|||MKT_EQ_RISK_PREM|||False|||</v>
          </cell>
          <cell r="C328" t="str">
            <v>V_KEYWORD_EQTY_200005121_MKT_EQ_RISK_PREM</v>
          </cell>
        </row>
        <row r="329">
          <cell r="A329" t="str">
            <v>Scalar|||200005121|||EQTY|||RISK_FR_RATE|||False|||</v>
          </cell>
          <cell r="C329" t="str">
            <v>V_KEYWORD_EQTY_200005121_RISK_FR_RATE</v>
          </cell>
        </row>
      </sheetData>
      <sheetData sheetId="3">
        <row r="9">
          <cell r="B9" t="str">
            <v>M&amp;A probability (1 = high, 3 = low)</v>
          </cell>
          <cell r="C9" t="str">
            <v>MA_PROB</v>
          </cell>
        </row>
        <row r="31">
          <cell r="C31" t="str">
            <v>ORG_REV</v>
          </cell>
        </row>
        <row r="32">
          <cell r="C32" t="str">
            <v>ORG_REV_GRTH</v>
          </cell>
        </row>
        <row r="33">
          <cell r="C33" t="str">
            <v>LEASE_PAY</v>
          </cell>
        </row>
        <row r="34">
          <cell r="C34" t="str">
            <v>LEASE_DEEM_INT</v>
          </cell>
        </row>
        <row r="35">
          <cell r="C35" t="str">
            <v>LEASE_DEEM_DEPR</v>
          </cell>
        </row>
        <row r="36">
          <cell r="C36" t="str">
            <v>NET_INT_CH</v>
          </cell>
        </row>
        <row r="37">
          <cell r="C37" t="str">
            <v>ASSOCIATE_OP</v>
          </cell>
        </row>
        <row r="38">
          <cell r="C38" t="str">
            <v>GW_AMORT</v>
          </cell>
        </row>
        <row r="39">
          <cell r="C39" t="str">
            <v>OTH_INT_AMORT</v>
          </cell>
        </row>
        <row r="42">
          <cell r="B42" t="str">
            <v>Lease standard adopted (US GAAP ASC 842/ IFRS 16)</v>
          </cell>
          <cell r="C42" t="str">
            <v>LEASE_ADOPT</v>
          </cell>
        </row>
      </sheetData>
      <sheetData sheetId="4">
        <row r="1">
          <cell r="A1" t="str">
            <v>Issuer: Airbus</v>
          </cell>
          <cell r="F1">
            <v>2000</v>
          </cell>
          <cell r="G1">
            <v>2001</v>
          </cell>
          <cell r="H1">
            <v>2002</v>
          </cell>
          <cell r="I1">
            <v>2003</v>
          </cell>
          <cell r="J1">
            <v>2004</v>
          </cell>
          <cell r="K1" t="str">
            <v>2005 Q1</v>
          </cell>
          <cell r="L1" t="str">
            <v>2005 Q2</v>
          </cell>
          <cell r="M1" t="str">
            <v>2005 Q3</v>
          </cell>
          <cell r="N1" t="str">
            <v>2005 Q4</v>
          </cell>
          <cell r="O1">
            <v>2005</v>
          </cell>
          <cell r="P1" t="str">
            <v>2006 Q1</v>
          </cell>
          <cell r="Q1" t="str">
            <v>2006 Q2</v>
          </cell>
          <cell r="R1" t="str">
            <v>2006 Q3</v>
          </cell>
          <cell r="S1" t="str">
            <v>2006 Q4</v>
          </cell>
          <cell r="T1">
            <v>2006</v>
          </cell>
          <cell r="U1" t="str">
            <v>2007 Q1</v>
          </cell>
          <cell r="V1" t="str">
            <v>2007 Q2</v>
          </cell>
          <cell r="W1" t="str">
            <v>2007 Q3</v>
          </cell>
          <cell r="X1" t="str">
            <v>2007 Q4</v>
          </cell>
          <cell r="Y1">
            <v>2007</v>
          </cell>
          <cell r="Z1" t="str">
            <v>2008 Q1</v>
          </cell>
          <cell r="AA1" t="str">
            <v>2008 Q2</v>
          </cell>
          <cell r="AB1" t="str">
            <v>2008 Q3</v>
          </cell>
          <cell r="AC1" t="str">
            <v>2008 Q4</v>
          </cell>
          <cell r="AD1">
            <v>2008</v>
          </cell>
          <cell r="AE1" t="str">
            <v>2009 Q1</v>
          </cell>
          <cell r="AF1" t="str">
            <v>2009 Q2</v>
          </cell>
          <cell r="AG1" t="str">
            <v>2009 Q3</v>
          </cell>
          <cell r="AH1" t="str">
            <v>2009 Q4</v>
          </cell>
          <cell r="AI1">
            <v>2009</v>
          </cell>
          <cell r="AJ1" t="str">
            <v>2010 Q1</v>
          </cell>
          <cell r="AK1" t="str">
            <v>2010 Q2</v>
          </cell>
          <cell r="AL1" t="str">
            <v>2010 Q3</v>
          </cell>
          <cell r="AM1" t="str">
            <v>2010 Q4</v>
          </cell>
          <cell r="AN1">
            <v>2010</v>
          </cell>
          <cell r="AO1" t="str">
            <v>2011 Q1</v>
          </cell>
          <cell r="AP1" t="str">
            <v>2011 Q2</v>
          </cell>
          <cell r="AQ1" t="str">
            <v>2011 Q3</v>
          </cell>
          <cell r="AR1" t="str">
            <v>2011 Q4</v>
          </cell>
          <cell r="AS1">
            <v>2011</v>
          </cell>
          <cell r="AT1" t="str">
            <v>2012 Q1</v>
          </cell>
          <cell r="AU1" t="str">
            <v>2012 Q2</v>
          </cell>
          <cell r="AV1" t="str">
            <v>2012 Q3</v>
          </cell>
          <cell r="AW1" t="str">
            <v>2012 Q4</v>
          </cell>
          <cell r="AX1">
            <v>2012</v>
          </cell>
          <cell r="AY1" t="str">
            <v>2013 Q1</v>
          </cell>
          <cell r="AZ1" t="str">
            <v>2013 Q2</v>
          </cell>
          <cell r="BA1" t="str">
            <v>2013 Q3</v>
          </cell>
          <cell r="BB1" t="str">
            <v>2013 Q4</v>
          </cell>
          <cell r="BC1">
            <v>2013</v>
          </cell>
          <cell r="BD1" t="str">
            <v>2014 Q1</v>
          </cell>
          <cell r="BE1" t="str">
            <v>2014 Q2</v>
          </cell>
          <cell r="BF1" t="str">
            <v>2014 Q3</v>
          </cell>
          <cell r="BG1" t="str">
            <v>2014 Q4</v>
          </cell>
          <cell r="BH1">
            <v>2014</v>
          </cell>
          <cell r="BI1" t="str">
            <v>2015 Q1</v>
          </cell>
          <cell r="BJ1" t="str">
            <v>2015 Q2</v>
          </cell>
          <cell r="BK1" t="str">
            <v>2015 Q3</v>
          </cell>
          <cell r="BL1" t="str">
            <v>2015 Q4</v>
          </cell>
          <cell r="BM1">
            <v>2015</v>
          </cell>
          <cell r="BN1" t="str">
            <v>2016 Q1</v>
          </cell>
          <cell r="BO1" t="str">
            <v>2016 Q2</v>
          </cell>
          <cell r="BP1" t="str">
            <v>2016 Q3</v>
          </cell>
          <cell r="BQ1" t="str">
            <v>2016 Q4</v>
          </cell>
          <cell r="BR1">
            <v>2016</v>
          </cell>
          <cell r="BS1" t="str">
            <v>2017 Q1</v>
          </cell>
          <cell r="BT1" t="str">
            <v>2017 Q2</v>
          </cell>
          <cell r="BU1" t="str">
            <v>2017 Q3</v>
          </cell>
          <cell r="BV1" t="str">
            <v>2017 Q4</v>
          </cell>
          <cell r="BW1">
            <v>2017</v>
          </cell>
          <cell r="BX1" t="str">
            <v>2018 Q1</v>
          </cell>
          <cell r="BY1" t="str">
            <v>2018 Q2</v>
          </cell>
          <cell r="BZ1" t="str">
            <v>2018 Q3</v>
          </cell>
          <cell r="CA1" t="str">
            <v>2018 Q4</v>
          </cell>
          <cell r="CB1">
            <v>2018</v>
          </cell>
          <cell r="CC1" t="str">
            <v>2019 Q1</v>
          </cell>
          <cell r="CD1" t="str">
            <v>2019 Q2</v>
          </cell>
          <cell r="CE1" t="str">
            <v>2019 Q3</v>
          </cell>
          <cell r="CF1" t="str">
            <v>2019 Q4</v>
          </cell>
          <cell r="CG1">
            <v>2019</v>
          </cell>
          <cell r="CH1" t="str">
            <v>2020 Q1</v>
          </cell>
          <cell r="CI1" t="str">
            <v>2020 Q2</v>
          </cell>
          <cell r="CJ1" t="str">
            <v>2020 Q3</v>
          </cell>
          <cell r="CK1" t="str">
            <v>2020 Q4</v>
          </cell>
          <cell r="CL1">
            <v>2020</v>
          </cell>
          <cell r="CM1" t="str">
            <v>2021 Q1</v>
          </cell>
          <cell r="CN1" t="str">
            <v>2021 Q2</v>
          </cell>
          <cell r="CO1" t="str">
            <v>2021 Q3</v>
          </cell>
          <cell r="CP1" t="str">
            <v>2021 Q4</v>
          </cell>
          <cell r="CQ1">
            <v>2021</v>
          </cell>
          <cell r="CR1" t="str">
            <v>2022 Q1</v>
          </cell>
          <cell r="CS1" t="str">
            <v>2022 Q2</v>
          </cell>
          <cell r="CT1" t="str">
            <v>2022 Q3</v>
          </cell>
          <cell r="CU1" t="str">
            <v>2022 Q4</v>
          </cell>
          <cell r="CV1">
            <v>2022</v>
          </cell>
          <cell r="CW1" t="str">
            <v>2023</v>
          </cell>
          <cell r="CX1" t="str">
            <v>2024</v>
          </cell>
          <cell r="CY1" t="str">
            <v>2025</v>
          </cell>
        </row>
        <row r="2">
          <cell r="A2"/>
          <cell r="B2"/>
          <cell r="C2"/>
          <cell r="D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Actual</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Estimate</v>
          </cell>
          <cell r="CJ2" t="str">
            <v>Estimate</v>
          </cell>
          <cell r="CK2" t="str">
            <v>Estimate</v>
          </cell>
          <cell r="CL2" t="str">
            <v>Estimate</v>
          </cell>
          <cell r="CM2" t="str">
            <v>Estimate</v>
          </cell>
          <cell r="CN2" t="str">
            <v>Estimate</v>
          </cell>
          <cell r="CO2" t="str">
            <v>Estimate</v>
          </cell>
          <cell r="CP2" t="str">
            <v>Estimate</v>
          </cell>
          <cell r="CQ2" t="str">
            <v>Estimate</v>
          </cell>
          <cell r="CR2" t="str">
            <v>Estimate</v>
          </cell>
          <cell r="CS2" t="str">
            <v>Estimate</v>
          </cell>
          <cell r="CT2" t="str">
            <v>Estimate</v>
          </cell>
          <cell r="CU2" t="str">
            <v>Estimate</v>
          </cell>
          <cell r="CV2" t="str">
            <v>Estimate</v>
          </cell>
          <cell r="CW2" t="str">
            <v>Estimate</v>
          </cell>
          <cell r="CX2" t="str">
            <v>Estimate</v>
          </cell>
          <cell r="CY2" t="str">
            <v>Estimate</v>
          </cell>
        </row>
        <row r="3">
          <cell r="A3"/>
          <cell r="B3"/>
          <cell r="C3"/>
          <cell r="D3"/>
          <cell r="F3">
            <v>36891</v>
          </cell>
          <cell r="G3">
            <v>37256</v>
          </cell>
          <cell r="H3">
            <v>37621</v>
          </cell>
          <cell r="I3">
            <v>37986</v>
          </cell>
          <cell r="J3">
            <v>38352</v>
          </cell>
          <cell r="K3">
            <v>38442</v>
          </cell>
          <cell r="L3">
            <v>38533</v>
          </cell>
          <cell r="M3">
            <v>38625</v>
          </cell>
          <cell r="N3">
            <v>38717</v>
          </cell>
          <cell r="O3">
            <v>38717</v>
          </cell>
          <cell r="P3">
            <v>38807</v>
          </cell>
          <cell r="Q3">
            <v>38898</v>
          </cell>
          <cell r="R3">
            <v>38990</v>
          </cell>
          <cell r="S3">
            <v>39082</v>
          </cell>
          <cell r="T3">
            <v>39082</v>
          </cell>
          <cell r="U3">
            <v>39172</v>
          </cell>
          <cell r="V3">
            <v>39263</v>
          </cell>
          <cell r="W3">
            <v>39355</v>
          </cell>
          <cell r="X3">
            <v>39447</v>
          </cell>
          <cell r="Y3">
            <v>39447</v>
          </cell>
          <cell r="Z3">
            <v>39538</v>
          </cell>
          <cell r="AA3">
            <v>39629</v>
          </cell>
          <cell r="AB3">
            <v>39721</v>
          </cell>
          <cell r="AC3">
            <v>39813</v>
          </cell>
          <cell r="AD3">
            <v>39813</v>
          </cell>
          <cell r="AE3">
            <v>39903</v>
          </cell>
          <cell r="AF3">
            <v>39994</v>
          </cell>
          <cell r="AG3">
            <v>40086</v>
          </cell>
          <cell r="AH3">
            <v>40178</v>
          </cell>
          <cell r="AI3">
            <v>40178</v>
          </cell>
          <cell r="AJ3">
            <v>40268</v>
          </cell>
          <cell r="AK3">
            <v>40359</v>
          </cell>
          <cell r="AL3">
            <v>40451</v>
          </cell>
          <cell r="AM3">
            <v>40543</v>
          </cell>
          <cell r="AN3">
            <v>40543</v>
          </cell>
          <cell r="AO3">
            <v>40633</v>
          </cell>
          <cell r="AP3">
            <v>40724</v>
          </cell>
          <cell r="AQ3">
            <v>40816</v>
          </cell>
          <cell r="AR3">
            <v>40908</v>
          </cell>
          <cell r="AS3">
            <v>40908</v>
          </cell>
          <cell r="AT3">
            <v>40999</v>
          </cell>
          <cell r="AU3">
            <v>41090</v>
          </cell>
          <cell r="AV3">
            <v>41182</v>
          </cell>
          <cell r="AW3">
            <v>41274</v>
          </cell>
          <cell r="AX3">
            <v>41274</v>
          </cell>
          <cell r="AY3">
            <v>41364</v>
          </cell>
          <cell r="AZ3">
            <v>41455</v>
          </cell>
          <cell r="BA3">
            <v>41547</v>
          </cell>
          <cell r="BB3">
            <v>41639</v>
          </cell>
          <cell r="BC3">
            <v>41639</v>
          </cell>
          <cell r="BD3">
            <v>41729</v>
          </cell>
          <cell r="BE3">
            <v>41820</v>
          </cell>
          <cell r="BF3">
            <v>41912</v>
          </cell>
          <cell r="BG3">
            <v>42004</v>
          </cell>
          <cell r="BH3">
            <v>42004</v>
          </cell>
          <cell r="BI3">
            <v>42094</v>
          </cell>
          <cell r="BJ3">
            <v>42185</v>
          </cell>
          <cell r="BK3">
            <v>42277</v>
          </cell>
          <cell r="BL3">
            <v>42369</v>
          </cell>
          <cell r="BM3">
            <v>42369</v>
          </cell>
          <cell r="BN3">
            <v>42460</v>
          </cell>
          <cell r="BO3">
            <v>42551</v>
          </cell>
          <cell r="BP3">
            <v>42643</v>
          </cell>
          <cell r="BQ3">
            <v>42735</v>
          </cell>
          <cell r="BR3">
            <v>42735</v>
          </cell>
          <cell r="BS3">
            <v>42825</v>
          </cell>
          <cell r="BT3">
            <v>42916</v>
          </cell>
          <cell r="BU3">
            <v>43008</v>
          </cell>
          <cell r="BV3">
            <v>43100</v>
          </cell>
          <cell r="BW3">
            <v>43100</v>
          </cell>
          <cell r="BX3">
            <v>43190</v>
          </cell>
          <cell r="BY3">
            <v>43281</v>
          </cell>
          <cell r="BZ3">
            <v>43373</v>
          </cell>
          <cell r="CA3">
            <v>43465</v>
          </cell>
          <cell r="CB3">
            <v>43465</v>
          </cell>
          <cell r="CC3">
            <v>43555</v>
          </cell>
          <cell r="CD3">
            <v>43646</v>
          </cell>
          <cell r="CE3">
            <v>43738</v>
          </cell>
          <cell r="CF3">
            <v>43830</v>
          </cell>
          <cell r="CG3">
            <v>43830</v>
          </cell>
          <cell r="CH3">
            <v>43921</v>
          </cell>
          <cell r="CI3">
            <v>44012</v>
          </cell>
          <cell r="CJ3">
            <v>44104</v>
          </cell>
          <cell r="CK3">
            <v>44196</v>
          </cell>
          <cell r="CL3">
            <v>44196</v>
          </cell>
          <cell r="CM3">
            <v>44286</v>
          </cell>
          <cell r="CN3">
            <v>44377</v>
          </cell>
          <cell r="CO3">
            <v>44469</v>
          </cell>
          <cell r="CP3">
            <v>44561</v>
          </cell>
          <cell r="CQ3">
            <v>44561</v>
          </cell>
          <cell r="CR3">
            <v>44651</v>
          </cell>
          <cell r="CS3">
            <v>44742</v>
          </cell>
          <cell r="CT3">
            <v>44834</v>
          </cell>
          <cell r="CU3">
            <v>44926</v>
          </cell>
          <cell r="CV3">
            <v>44926</v>
          </cell>
          <cell r="CW3">
            <v>45291</v>
          </cell>
          <cell r="CX3">
            <v>45657</v>
          </cell>
          <cell r="CY3">
            <v>46022</v>
          </cell>
        </row>
        <row r="4">
          <cell r="A4" t="str">
            <v>Issuer: Airbus</v>
          </cell>
          <cell r="B4"/>
          <cell r="C4"/>
          <cell r="D4"/>
        </row>
        <row r="5">
          <cell r="A5" t="str">
            <v>Reference Data</v>
          </cell>
          <cell r="B5"/>
          <cell r="C5"/>
          <cell r="D5"/>
        </row>
        <row r="6">
          <cell r="B6" t="str">
            <v>Issuer Name</v>
          </cell>
          <cell r="C6" t="str">
            <v>Issuer Name</v>
          </cell>
          <cell r="E6" t="str">
            <v>Airbus</v>
          </cell>
        </row>
        <row r="7">
          <cell r="B7" t="str">
            <v>Reporting Currency</v>
          </cell>
          <cell r="C7" t="str">
            <v>CURRENCY_ISO</v>
          </cell>
          <cell r="E7" t="str">
            <v>EUR</v>
          </cell>
        </row>
        <row r="8">
          <cell r="A8" t="str">
            <v>General Information</v>
          </cell>
          <cell r="B8"/>
          <cell r="C8"/>
          <cell r="D8"/>
        </row>
        <row r="9">
          <cell r="B9" t="str">
            <v>M&amp;A probability (1 = high, 3 = low)</v>
          </cell>
          <cell r="C9" t="str">
            <v>MA_PROB</v>
          </cell>
          <cell r="E9">
            <v>3</v>
          </cell>
        </row>
        <row r="10">
          <cell r="A10" t="str">
            <v>Income Statement</v>
          </cell>
          <cell r="B10"/>
          <cell r="C10"/>
          <cell r="D10"/>
        </row>
        <row r="11">
          <cell r="B11" t="str">
            <v>Sales, net revenue</v>
          </cell>
          <cell r="C11" t="str">
            <v>SALES</v>
          </cell>
          <cell r="D11" t="str">
            <v>EUR</v>
          </cell>
          <cell r="F11">
            <v>24208</v>
          </cell>
          <cell r="G11">
            <v>30798</v>
          </cell>
          <cell r="H11">
            <v>29901</v>
          </cell>
          <cell r="I11">
            <v>30133</v>
          </cell>
          <cell r="J11">
            <v>31761</v>
          </cell>
          <cell r="K11"/>
          <cell r="L11"/>
          <cell r="M11"/>
          <cell r="N11"/>
          <cell r="O11">
            <v>34206</v>
          </cell>
          <cell r="P11"/>
          <cell r="Q11"/>
          <cell r="R11"/>
          <cell r="S11"/>
          <cell r="T11">
            <v>39434</v>
          </cell>
          <cell r="U11"/>
          <cell r="V11"/>
          <cell r="W11"/>
          <cell r="X11"/>
          <cell r="Y11">
            <v>39123</v>
          </cell>
          <cell r="Z11"/>
          <cell r="AA11"/>
          <cell r="AB11"/>
          <cell r="AC11"/>
          <cell r="AD11">
            <v>43265</v>
          </cell>
          <cell r="AE11"/>
          <cell r="AF11"/>
          <cell r="AG11"/>
          <cell r="AH11"/>
          <cell r="AI11">
            <v>42822</v>
          </cell>
          <cell r="AJ11"/>
          <cell r="AK11"/>
          <cell r="AL11"/>
          <cell r="AM11"/>
          <cell r="AN11">
            <v>45752</v>
          </cell>
          <cell r="AO11"/>
          <cell r="AP11"/>
          <cell r="AQ11"/>
          <cell r="AR11"/>
          <cell r="AS11">
            <v>49128</v>
          </cell>
          <cell r="AT11"/>
          <cell r="AU11"/>
          <cell r="AV11"/>
          <cell r="AW11"/>
          <cell r="AX11">
            <v>56480</v>
          </cell>
          <cell r="AY11"/>
          <cell r="AZ11"/>
          <cell r="BA11"/>
          <cell r="BB11"/>
          <cell r="BC11">
            <v>59256</v>
          </cell>
          <cell r="BD11"/>
          <cell r="BE11"/>
          <cell r="BF11"/>
          <cell r="BG11"/>
          <cell r="BH11">
            <v>60713</v>
          </cell>
          <cell r="BI11"/>
          <cell r="BJ11"/>
          <cell r="BK11"/>
          <cell r="BL11"/>
          <cell r="BM11">
            <v>64450</v>
          </cell>
          <cell r="BN11"/>
          <cell r="BO11"/>
          <cell r="BP11"/>
          <cell r="BQ11"/>
          <cell r="BR11">
            <v>66581</v>
          </cell>
          <cell r="BS11"/>
          <cell r="BT11"/>
          <cell r="BU11"/>
          <cell r="BV11"/>
          <cell r="BW11">
            <v>66652</v>
          </cell>
          <cell r="BX11"/>
          <cell r="BY11"/>
          <cell r="BZ11"/>
          <cell r="CA11"/>
          <cell r="CB11">
            <v>63707</v>
          </cell>
          <cell r="CC11"/>
          <cell r="CD11"/>
          <cell r="CE11"/>
          <cell r="CF11"/>
          <cell r="CG11">
            <v>70478</v>
          </cell>
          <cell r="CH11"/>
          <cell r="CI11"/>
          <cell r="CJ11"/>
          <cell r="CK11"/>
          <cell r="CL11">
            <v>46264.913358339858</v>
          </cell>
          <cell r="CM11"/>
          <cell r="CN11"/>
          <cell r="CO11"/>
          <cell r="CP11"/>
          <cell r="CQ11">
            <v>56076.508665965564</v>
          </cell>
          <cell r="CR11"/>
          <cell r="CS11"/>
          <cell r="CT11"/>
          <cell r="CU11"/>
          <cell r="CV11">
            <v>61350.57331821003</v>
          </cell>
          <cell r="CW11">
            <v>67035.072594766258</v>
          </cell>
          <cell r="CX11">
            <v>70275.21565641879</v>
          </cell>
          <cell r="CY11">
            <v>72608.670191223442</v>
          </cell>
        </row>
        <row r="12">
          <cell r="B12" t="str">
            <v>Cost of goods sold, COGS</v>
          </cell>
          <cell r="C12" t="str">
            <v>COST_GD_SD</v>
          </cell>
          <cell r="D12" t="str">
            <v>EUR</v>
          </cell>
          <cell r="F12"/>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cell r="CO12"/>
          <cell r="CP12"/>
          <cell r="CQ12"/>
          <cell r="CR12"/>
          <cell r="CS12"/>
          <cell r="CT12"/>
          <cell r="CU12"/>
          <cell r="CV12"/>
          <cell r="CW12"/>
          <cell r="CX12"/>
          <cell r="CY12"/>
        </row>
        <row r="13">
          <cell r="B13" t="str">
            <v>SG&amp;A, selling, general and admin. expense</v>
          </cell>
          <cell r="C13" t="str">
            <v>SEL_GL_AD</v>
          </cell>
          <cell r="D13" t="str">
            <v>EUR</v>
          </cell>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cell r="CO13"/>
          <cell r="CP13"/>
          <cell r="CQ13"/>
          <cell r="CR13"/>
          <cell r="CS13"/>
          <cell r="CT13"/>
          <cell r="CU13"/>
          <cell r="CV13"/>
          <cell r="CW13"/>
          <cell r="CX13"/>
          <cell r="CY13"/>
        </row>
        <row r="14">
          <cell r="B14" t="str">
            <v>Total operating expense</v>
          </cell>
          <cell r="C14" t="str">
            <v>OP_COST</v>
          </cell>
          <cell r="D14" t="str">
            <v>EUR</v>
          </cell>
          <cell r="F14">
            <v>-20535</v>
          </cell>
          <cell r="G14">
            <v>-25539</v>
          </cell>
          <cell r="H14">
            <v>-24774</v>
          </cell>
          <cell r="I14">
            <v>-24807</v>
          </cell>
          <cell r="J14">
            <v>-25782</v>
          </cell>
          <cell r="K14"/>
          <cell r="L14"/>
          <cell r="M14"/>
          <cell r="N14"/>
          <cell r="O14">
            <v>-27762</v>
          </cell>
          <cell r="P14"/>
          <cell r="Q14"/>
          <cell r="R14"/>
          <cell r="S14"/>
          <cell r="T14">
            <v>-31850</v>
          </cell>
          <cell r="U14"/>
          <cell r="V14"/>
          <cell r="W14"/>
          <cell r="X14"/>
          <cell r="Y14">
            <v>-31190</v>
          </cell>
          <cell r="Z14"/>
          <cell r="AA14"/>
          <cell r="AB14"/>
          <cell r="AC14"/>
          <cell r="AD14">
            <v>-35651</v>
          </cell>
          <cell r="AE14"/>
          <cell r="AF14"/>
          <cell r="AG14"/>
          <cell r="AH14"/>
          <cell r="AI14">
            <v>-36079</v>
          </cell>
          <cell r="AJ14"/>
          <cell r="AK14"/>
          <cell r="AL14"/>
          <cell r="AM14"/>
          <cell r="AN14">
            <v>-39934</v>
          </cell>
          <cell r="AO14"/>
          <cell r="AP14"/>
          <cell r="AQ14"/>
          <cell r="AR14"/>
          <cell r="AS14">
            <v>-42380</v>
          </cell>
          <cell r="AT14"/>
          <cell r="AU14"/>
          <cell r="AV14"/>
          <cell r="AW14"/>
          <cell r="AX14">
            <v>-48376</v>
          </cell>
          <cell r="AY14"/>
          <cell r="AZ14"/>
          <cell r="BA14"/>
          <cell r="BB14"/>
          <cell r="BC14">
            <v>-50608</v>
          </cell>
          <cell r="BD14"/>
          <cell r="BE14"/>
          <cell r="BF14"/>
          <cell r="BG14"/>
          <cell r="BH14">
            <v>-51155</v>
          </cell>
          <cell r="BI14"/>
          <cell r="BJ14"/>
          <cell r="BK14"/>
          <cell r="BL14"/>
          <cell r="BM14">
            <v>-54416</v>
          </cell>
          <cell r="BN14"/>
          <cell r="BO14"/>
          <cell r="BP14"/>
          <cell r="BQ14"/>
          <cell r="BR14">
            <v>-57362</v>
          </cell>
          <cell r="BS14"/>
          <cell r="BT14"/>
          <cell r="BU14"/>
          <cell r="BV14"/>
          <cell r="BW14">
            <v>-57294</v>
          </cell>
          <cell r="BX14"/>
          <cell r="BY14"/>
          <cell r="BZ14"/>
          <cell r="CA14"/>
          <cell r="CB14">
            <v>-52212</v>
          </cell>
          <cell r="CC14"/>
          <cell r="CD14"/>
          <cell r="CE14"/>
          <cell r="CF14"/>
          <cell r="CG14">
            <v>-57247</v>
          </cell>
          <cell r="CH14"/>
          <cell r="CI14"/>
          <cell r="CJ14"/>
          <cell r="CK14"/>
          <cell r="CL14">
            <v>-39583.517414713839</v>
          </cell>
          <cell r="CM14"/>
          <cell r="CN14"/>
          <cell r="CO14"/>
          <cell r="CP14"/>
          <cell r="CQ14">
            <v>-46485.25082688313</v>
          </cell>
          <cell r="CR14"/>
          <cell r="CS14"/>
          <cell r="CT14"/>
          <cell r="CU14"/>
          <cell r="CV14">
            <v>-50151.280597752964</v>
          </cell>
          <cell r="CW14">
            <v>-54507.404749160611</v>
          </cell>
          <cell r="CX14">
            <v>-57055.305166750855</v>
          </cell>
          <cell r="CY14">
            <v>-57122.284048257039</v>
          </cell>
        </row>
        <row r="15">
          <cell r="B15" t="str">
            <v>R&amp;D expense</v>
          </cell>
          <cell r="C15" t="str">
            <v>RD_EXP</v>
          </cell>
          <cell r="D15" t="str">
            <v>EUR</v>
          </cell>
          <cell r="F15">
            <v>-1339</v>
          </cell>
          <cell r="G15">
            <v>-2046</v>
          </cell>
          <cell r="H15">
            <v>-2096</v>
          </cell>
          <cell r="I15">
            <v>-2189</v>
          </cell>
          <cell r="J15">
            <v>-2126</v>
          </cell>
          <cell r="K15"/>
          <cell r="L15"/>
          <cell r="M15"/>
          <cell r="N15"/>
          <cell r="O15">
            <v>-2075</v>
          </cell>
          <cell r="P15"/>
          <cell r="Q15"/>
          <cell r="R15"/>
          <cell r="S15"/>
          <cell r="T15">
            <v>-2458</v>
          </cell>
          <cell r="U15"/>
          <cell r="V15"/>
          <cell r="W15"/>
          <cell r="X15"/>
          <cell r="Y15">
            <v>-2608</v>
          </cell>
          <cell r="Z15"/>
          <cell r="AA15"/>
          <cell r="AB15"/>
          <cell r="AC15"/>
          <cell r="AD15">
            <v>-2669</v>
          </cell>
          <cell r="AE15"/>
          <cell r="AF15"/>
          <cell r="AG15"/>
          <cell r="AH15"/>
          <cell r="AI15">
            <v>-2825</v>
          </cell>
          <cell r="AJ15"/>
          <cell r="AK15"/>
          <cell r="AL15"/>
          <cell r="AM15"/>
          <cell r="AN15">
            <v>-2939</v>
          </cell>
          <cell r="AO15"/>
          <cell r="AP15"/>
          <cell r="AQ15"/>
          <cell r="AR15"/>
          <cell r="AS15">
            <v>-3152</v>
          </cell>
          <cell r="AT15"/>
          <cell r="AU15"/>
          <cell r="AV15"/>
          <cell r="AW15"/>
          <cell r="AX15">
            <v>-3142</v>
          </cell>
          <cell r="AY15"/>
          <cell r="AZ15"/>
          <cell r="BA15"/>
          <cell r="BB15"/>
          <cell r="BC15">
            <v>-3160</v>
          </cell>
          <cell r="BD15"/>
          <cell r="BE15"/>
          <cell r="BF15"/>
          <cell r="BG15"/>
          <cell r="BH15">
            <v>-3391</v>
          </cell>
          <cell r="BI15"/>
          <cell r="BJ15"/>
          <cell r="BK15"/>
          <cell r="BL15"/>
          <cell r="BM15">
            <v>-3460</v>
          </cell>
          <cell r="BN15"/>
          <cell r="BO15"/>
          <cell r="BP15"/>
          <cell r="BQ15"/>
          <cell r="BR15">
            <v>-2970</v>
          </cell>
          <cell r="BS15"/>
          <cell r="BT15"/>
          <cell r="BU15"/>
          <cell r="BV15"/>
          <cell r="BW15">
            <v>-2807</v>
          </cell>
          <cell r="BX15"/>
          <cell r="BY15"/>
          <cell r="BZ15"/>
          <cell r="CA15"/>
          <cell r="CB15">
            <v>-3217</v>
          </cell>
          <cell r="CC15"/>
          <cell r="CD15"/>
          <cell r="CE15"/>
          <cell r="CF15"/>
          <cell r="CG15">
            <v>-3358</v>
          </cell>
          <cell r="CH15"/>
          <cell r="CI15"/>
          <cell r="CJ15"/>
          <cell r="CK15"/>
          <cell r="CL15">
            <v>-2500</v>
          </cell>
          <cell r="CM15"/>
          <cell r="CN15"/>
          <cell r="CO15"/>
          <cell r="CP15"/>
          <cell r="CQ15">
            <v>-2543.7644012600954</v>
          </cell>
          <cell r="CR15"/>
          <cell r="CS15"/>
          <cell r="CT15"/>
          <cell r="CU15"/>
          <cell r="CV15">
            <v>-2562.1042409028537</v>
          </cell>
          <cell r="CW15">
            <v>-2881.8102026319498</v>
          </cell>
          <cell r="CX15">
            <v>-3002.827287112566</v>
          </cell>
          <cell r="CY15">
            <v>-3123.9326369114633</v>
          </cell>
        </row>
        <row r="16">
          <cell r="B16" t="str">
            <v>Other operating income/(expense) (incl. leases)</v>
          </cell>
          <cell r="C16" t="str">
            <v>OTH_OP_INC_EXP</v>
          </cell>
          <cell r="D16" t="str">
            <v>EUR</v>
          </cell>
          <cell r="F16"/>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cell r="CO16"/>
          <cell r="CP16"/>
          <cell r="CQ16"/>
          <cell r="CR16"/>
          <cell r="CS16"/>
          <cell r="CT16"/>
          <cell r="CU16"/>
          <cell r="CV16"/>
          <cell r="CW16"/>
          <cell r="CX16"/>
          <cell r="CY16"/>
        </row>
        <row r="17">
          <cell r="B17" t="str">
            <v>Total operating expense (incl. D&amp;A)</v>
          </cell>
          <cell r="C17" t="str">
            <v>TOT_OPS_EXP_DDA</v>
          </cell>
          <cell r="D17" t="str">
            <v>EUR</v>
          </cell>
          <cell r="F17">
            <v>-22809</v>
          </cell>
          <cell r="G17">
            <v>-29104</v>
          </cell>
          <cell r="H17">
            <v>-28475</v>
          </cell>
          <cell r="I17">
            <v>-28590</v>
          </cell>
          <cell r="J17">
            <v>-29317</v>
          </cell>
          <cell r="K17"/>
          <cell r="L17"/>
          <cell r="M17"/>
          <cell r="N17"/>
          <cell r="O17">
            <v>-31354</v>
          </cell>
          <cell r="P17"/>
          <cell r="Q17"/>
          <cell r="R17"/>
          <cell r="S17"/>
          <cell r="T17">
            <v>-35878</v>
          </cell>
          <cell r="U17"/>
          <cell r="V17"/>
          <cell r="W17"/>
          <cell r="X17"/>
          <cell r="Y17">
            <v>-35509</v>
          </cell>
          <cell r="Z17"/>
          <cell r="AA17"/>
          <cell r="AB17"/>
          <cell r="AC17"/>
          <cell r="AD17">
            <v>-39935</v>
          </cell>
          <cell r="AE17"/>
          <cell r="AF17"/>
          <cell r="AG17"/>
          <cell r="AH17"/>
          <cell r="AI17">
            <v>-40674</v>
          </cell>
          <cell r="AJ17"/>
          <cell r="AK17"/>
          <cell r="AL17"/>
          <cell r="AM17"/>
          <cell r="AN17">
            <v>-44411</v>
          </cell>
          <cell r="AO17"/>
          <cell r="AP17"/>
          <cell r="AQ17"/>
          <cell r="AR17"/>
          <cell r="AS17">
            <v>-47334</v>
          </cell>
          <cell r="AT17"/>
          <cell r="AU17"/>
          <cell r="AV17"/>
          <cell r="AW17"/>
          <cell r="AX17">
            <v>-53516</v>
          </cell>
          <cell r="AY17"/>
          <cell r="AZ17"/>
          <cell r="BA17"/>
          <cell r="BB17"/>
          <cell r="BC17">
            <v>-55682</v>
          </cell>
          <cell r="BD17"/>
          <cell r="BE17"/>
          <cell r="BF17"/>
          <cell r="BG17"/>
          <cell r="BH17">
            <v>-56647</v>
          </cell>
          <cell r="BI17"/>
          <cell r="BJ17"/>
          <cell r="BK17"/>
          <cell r="BL17"/>
          <cell r="BM17">
            <v>-60318</v>
          </cell>
          <cell r="BN17"/>
          <cell r="BO17"/>
          <cell r="BP17"/>
          <cell r="BQ17"/>
          <cell r="BR17">
            <v>-62626</v>
          </cell>
          <cell r="BS17"/>
          <cell r="BT17"/>
          <cell r="BU17"/>
          <cell r="BV17"/>
          <cell r="BW17">
            <v>-62399</v>
          </cell>
          <cell r="BX17"/>
          <cell r="BY17"/>
          <cell r="BZ17"/>
          <cell r="CA17"/>
          <cell r="CB17">
            <v>-57873</v>
          </cell>
          <cell r="CC17"/>
          <cell r="CD17"/>
          <cell r="CE17"/>
          <cell r="CF17"/>
          <cell r="CG17">
            <v>-63532</v>
          </cell>
          <cell r="CH17"/>
          <cell r="CI17"/>
          <cell r="CJ17"/>
          <cell r="CK17"/>
          <cell r="CL17">
            <v>-44208.394731430693</v>
          </cell>
          <cell r="CM17"/>
          <cell r="CN17"/>
          <cell r="CO17"/>
          <cell r="CP17"/>
          <cell r="CQ17">
            <v>-51224.823087422592</v>
          </cell>
          <cell r="CR17"/>
          <cell r="CS17"/>
          <cell r="CT17"/>
          <cell r="CU17"/>
          <cell r="CV17">
            <v>-54942.629954023992</v>
          </cell>
          <cell r="CW17">
            <v>-59696.570361332066</v>
          </cell>
          <cell r="CX17">
            <v>-62439.751685074225</v>
          </cell>
          <cell r="CY17">
            <v>-62709.692595722285</v>
          </cell>
        </row>
        <row r="18">
          <cell r="B18" t="str">
            <v>Total operating expense (excl. D&amp;A)</v>
          </cell>
          <cell r="C18" t="str">
            <v>TOT_OPS_EXP</v>
          </cell>
          <cell r="D18" t="str">
            <v>EUR</v>
          </cell>
          <cell r="F18">
            <v>-21874</v>
          </cell>
          <cell r="G18">
            <v>-27585</v>
          </cell>
          <cell r="H18">
            <v>-26870</v>
          </cell>
          <cell r="I18">
            <v>-26996</v>
          </cell>
          <cell r="J18">
            <v>-27908</v>
          </cell>
          <cell r="K18"/>
          <cell r="L18"/>
          <cell r="M18"/>
          <cell r="N18"/>
          <cell r="O18">
            <v>-29837</v>
          </cell>
          <cell r="P18"/>
          <cell r="Q18"/>
          <cell r="R18"/>
          <cell r="S18"/>
          <cell r="T18">
            <v>-34308</v>
          </cell>
          <cell r="U18"/>
          <cell r="V18"/>
          <cell r="W18"/>
          <cell r="X18"/>
          <cell r="Y18">
            <v>-33798</v>
          </cell>
          <cell r="Z18"/>
          <cell r="AA18"/>
          <cell r="AB18"/>
          <cell r="AC18"/>
          <cell r="AD18">
            <v>-38320</v>
          </cell>
          <cell r="AE18"/>
          <cell r="AF18"/>
          <cell r="AG18"/>
          <cell r="AH18"/>
          <cell r="AI18">
            <v>-38904</v>
          </cell>
          <cell r="AJ18"/>
          <cell r="AK18"/>
          <cell r="AL18"/>
          <cell r="AM18"/>
          <cell r="AN18">
            <v>-42873</v>
          </cell>
          <cell r="AO18"/>
          <cell r="AP18"/>
          <cell r="AQ18"/>
          <cell r="AR18"/>
          <cell r="AS18">
            <v>-45532</v>
          </cell>
          <cell r="AT18"/>
          <cell r="AU18"/>
          <cell r="AV18"/>
          <cell r="AW18"/>
          <cell r="AX18">
            <v>-51518</v>
          </cell>
          <cell r="AY18"/>
          <cell r="AZ18"/>
          <cell r="BA18"/>
          <cell r="BB18"/>
          <cell r="BC18">
            <v>-53768</v>
          </cell>
          <cell r="BD18"/>
          <cell r="BE18"/>
          <cell r="BF18"/>
          <cell r="BG18"/>
          <cell r="BH18">
            <v>-54546</v>
          </cell>
          <cell r="BI18"/>
          <cell r="BJ18"/>
          <cell r="BK18"/>
          <cell r="BL18"/>
          <cell r="BM18">
            <v>-57876</v>
          </cell>
          <cell r="BN18"/>
          <cell r="BO18"/>
          <cell r="BP18"/>
          <cell r="BQ18"/>
          <cell r="BR18">
            <v>-60332</v>
          </cell>
          <cell r="BS18"/>
          <cell r="BT18"/>
          <cell r="BU18"/>
          <cell r="BV18"/>
          <cell r="BW18">
            <v>-60101</v>
          </cell>
          <cell r="BX18"/>
          <cell r="BY18"/>
          <cell r="BZ18"/>
          <cell r="CA18"/>
          <cell r="CB18">
            <v>-55429</v>
          </cell>
          <cell r="CC18"/>
          <cell r="CD18"/>
          <cell r="CE18"/>
          <cell r="CF18"/>
          <cell r="CG18">
            <v>-60605</v>
          </cell>
          <cell r="CH18"/>
          <cell r="CI18"/>
          <cell r="CJ18"/>
          <cell r="CK18"/>
          <cell r="CL18">
            <v>-42083.517414713839</v>
          </cell>
          <cell r="CM18"/>
          <cell r="CN18"/>
          <cell r="CO18"/>
          <cell r="CP18"/>
          <cell r="CQ18">
            <v>-49029.015228143224</v>
          </cell>
          <cell r="CR18"/>
          <cell r="CS18"/>
          <cell r="CT18"/>
          <cell r="CU18"/>
          <cell r="CV18">
            <v>-52713.384838655817</v>
          </cell>
          <cell r="CW18">
            <v>-57389.214951792557</v>
          </cell>
          <cell r="CX18">
            <v>-60058.132453863422</v>
          </cell>
          <cell r="CY18">
            <v>-60246.216685168503</v>
          </cell>
        </row>
        <row r="19">
          <cell r="B19" t="str">
            <v>EBITDA</v>
          </cell>
          <cell r="C19" t="str">
            <v>EBITDA_CALC</v>
          </cell>
          <cell r="D19" t="str">
            <v>EUR</v>
          </cell>
          <cell r="F19">
            <v>2334</v>
          </cell>
          <cell r="G19">
            <v>3213</v>
          </cell>
          <cell r="H19">
            <v>3031</v>
          </cell>
          <cell r="I19">
            <v>3137</v>
          </cell>
          <cell r="J19">
            <v>3853</v>
          </cell>
          <cell r="K19"/>
          <cell r="L19"/>
          <cell r="M19"/>
          <cell r="N19"/>
          <cell r="O19">
            <v>4369</v>
          </cell>
          <cell r="P19"/>
          <cell r="Q19"/>
          <cell r="R19"/>
          <cell r="S19"/>
          <cell r="T19">
            <v>5126</v>
          </cell>
          <cell r="U19"/>
          <cell r="V19"/>
          <cell r="W19"/>
          <cell r="X19"/>
          <cell r="Y19">
            <v>5325</v>
          </cell>
          <cell r="Z19"/>
          <cell r="AA19"/>
          <cell r="AB19"/>
          <cell r="AC19"/>
          <cell r="AD19">
            <v>4945</v>
          </cell>
          <cell r="AE19"/>
          <cell r="AF19"/>
          <cell r="AG19"/>
          <cell r="AH19"/>
          <cell r="AI19">
            <v>3918</v>
          </cell>
          <cell r="AJ19"/>
          <cell r="AK19"/>
          <cell r="AL19"/>
          <cell r="AM19"/>
          <cell r="AN19">
            <v>2879</v>
          </cell>
          <cell r="AO19"/>
          <cell r="AP19"/>
          <cell r="AQ19"/>
          <cell r="AR19"/>
          <cell r="AS19">
            <v>3596</v>
          </cell>
          <cell r="AT19"/>
          <cell r="AU19"/>
          <cell r="AV19"/>
          <cell r="AW19"/>
          <cell r="AX19">
            <v>4962</v>
          </cell>
          <cell r="AY19"/>
          <cell r="AZ19"/>
          <cell r="BA19"/>
          <cell r="BB19"/>
          <cell r="BC19">
            <v>5488</v>
          </cell>
          <cell r="BD19"/>
          <cell r="BE19"/>
          <cell r="BF19"/>
          <cell r="BG19"/>
          <cell r="BH19">
            <v>6167</v>
          </cell>
          <cell r="BI19"/>
          <cell r="BJ19"/>
          <cell r="BK19"/>
          <cell r="BL19"/>
          <cell r="BM19">
            <v>6574</v>
          </cell>
          <cell r="BN19"/>
          <cell r="BO19"/>
          <cell r="BP19"/>
          <cell r="BQ19"/>
          <cell r="BR19">
            <v>6249</v>
          </cell>
          <cell r="BS19"/>
          <cell r="BT19"/>
          <cell r="BU19"/>
          <cell r="BV19"/>
          <cell r="BW19">
            <v>6551</v>
          </cell>
          <cell r="BX19"/>
          <cell r="BY19"/>
          <cell r="BZ19"/>
          <cell r="CA19"/>
          <cell r="CB19">
            <v>8278</v>
          </cell>
          <cell r="CC19"/>
          <cell r="CD19"/>
          <cell r="CE19"/>
          <cell r="CF19"/>
          <cell r="CG19">
            <v>9873</v>
          </cell>
          <cell r="CH19"/>
          <cell r="CI19"/>
          <cell r="CJ19"/>
          <cell r="CK19"/>
          <cell r="CL19">
            <v>4181.3959436260175</v>
          </cell>
          <cell r="CM19"/>
          <cell r="CN19"/>
          <cell r="CO19"/>
          <cell r="CP19"/>
          <cell r="CQ19">
            <v>7047.4934378223379</v>
          </cell>
          <cell r="CR19"/>
          <cell r="CS19"/>
          <cell r="CT19"/>
          <cell r="CU19"/>
          <cell r="CV19">
            <v>8637.1884795542137</v>
          </cell>
          <cell r="CW19">
            <v>9645.8576429737022</v>
          </cell>
          <cell r="CX19">
            <v>10217.083202555368</v>
          </cell>
          <cell r="CY19">
            <v>12362.453506054941</v>
          </cell>
        </row>
        <row r="20">
          <cell r="B20" t="str">
            <v>Depreciation</v>
          </cell>
          <cell r="C20" t="str">
            <v>DEPREC</v>
          </cell>
          <cell r="D20" t="str">
            <v>EUR</v>
          </cell>
          <cell r="F20">
            <v>-935</v>
          </cell>
          <cell r="G20">
            <v>-1519</v>
          </cell>
          <cell r="H20">
            <v>-1605</v>
          </cell>
          <cell r="I20">
            <v>-1594</v>
          </cell>
          <cell r="J20">
            <v>-1409</v>
          </cell>
          <cell r="K20"/>
          <cell r="L20"/>
          <cell r="M20"/>
          <cell r="N20"/>
          <cell r="O20">
            <v>-1517</v>
          </cell>
          <cell r="P20"/>
          <cell r="Q20"/>
          <cell r="R20"/>
          <cell r="S20"/>
          <cell r="T20">
            <v>-1554</v>
          </cell>
          <cell r="U20"/>
          <cell r="V20"/>
          <cell r="W20"/>
          <cell r="X20"/>
          <cell r="Y20">
            <v>-1574</v>
          </cell>
          <cell r="Z20"/>
          <cell r="AA20"/>
          <cell r="AB20"/>
          <cell r="AC20"/>
          <cell r="AD20">
            <v>-1543</v>
          </cell>
          <cell r="AE20"/>
          <cell r="AF20"/>
          <cell r="AG20"/>
          <cell r="AH20"/>
          <cell r="AI20">
            <v>-1483</v>
          </cell>
          <cell r="AJ20"/>
          <cell r="AK20"/>
          <cell r="AL20"/>
          <cell r="AM20"/>
          <cell r="AN20">
            <v>-1403</v>
          </cell>
          <cell r="AO20"/>
          <cell r="AP20"/>
          <cell r="AQ20"/>
          <cell r="AR20"/>
          <cell r="AS20">
            <v>-1493</v>
          </cell>
          <cell r="AT20"/>
          <cell r="AU20"/>
          <cell r="AV20"/>
          <cell r="AW20"/>
          <cell r="AX20">
            <v>-1618</v>
          </cell>
          <cell r="AY20"/>
          <cell r="AZ20"/>
          <cell r="BA20"/>
          <cell r="BB20"/>
          <cell r="BC20">
            <v>-1511.619688385269</v>
          </cell>
          <cell r="BD20"/>
          <cell r="BE20"/>
          <cell r="BF20"/>
          <cell r="BG20"/>
          <cell r="BH20">
            <v>-1682.3981055240793</v>
          </cell>
          <cell r="BI20"/>
          <cell r="BJ20"/>
          <cell r="BK20"/>
          <cell r="BL20"/>
          <cell r="BM20">
            <v>-1969.6163243626063</v>
          </cell>
          <cell r="BN20"/>
          <cell r="BO20"/>
          <cell r="BP20"/>
          <cell r="BQ20"/>
          <cell r="BR20">
            <v>-1781.2037004249291</v>
          </cell>
          <cell r="BS20"/>
          <cell r="BT20"/>
          <cell r="BU20"/>
          <cell r="BV20"/>
          <cell r="BW20">
            <v>-1784.6568696883853</v>
          </cell>
          <cell r="BX20"/>
          <cell r="BY20"/>
          <cell r="BZ20"/>
          <cell r="CA20"/>
          <cell r="CB20">
            <v>-1899.4259029745042</v>
          </cell>
          <cell r="CC20"/>
          <cell r="CD20"/>
          <cell r="CE20"/>
          <cell r="CF20"/>
          <cell r="CG20">
            <v>-2324.5466870177079</v>
          </cell>
          <cell r="CH20"/>
          <cell r="CI20"/>
          <cell r="CJ20"/>
          <cell r="CK20"/>
          <cell r="CL20">
            <v>-1729.4</v>
          </cell>
          <cell r="CM20"/>
          <cell r="CN20"/>
          <cell r="CO20"/>
          <cell r="CP20"/>
          <cell r="CQ20">
            <v>-1716.46</v>
          </cell>
          <cell r="CR20"/>
          <cell r="CS20"/>
          <cell r="CT20"/>
          <cell r="CU20"/>
          <cell r="CV20">
            <v>-1704.8140000000001</v>
          </cell>
          <cell r="CW20">
            <v>-1734.3326000000002</v>
          </cell>
          <cell r="CX20">
            <v>-1780.8993399999999</v>
          </cell>
          <cell r="CY20">
            <v>-1842.8094060000001</v>
          </cell>
        </row>
        <row r="21">
          <cell r="B21" t="str">
            <v>Amortization</v>
          </cell>
          <cell r="C21" t="str">
            <v>GOODWILL_AMORT</v>
          </cell>
          <cell r="D21" t="str">
            <v>EUR</v>
          </cell>
          <cell r="F21"/>
          <cell r="G21"/>
          <cell r="H21"/>
          <cell r="I21"/>
          <cell r="J21"/>
          <cell r="K21"/>
          <cell r="L21"/>
          <cell r="M21"/>
          <cell r="N21"/>
          <cell r="O21"/>
          <cell r="P21"/>
          <cell r="Q21"/>
          <cell r="R21"/>
          <cell r="S21"/>
          <cell r="T21">
            <v>-16</v>
          </cell>
          <cell r="U21"/>
          <cell r="V21"/>
          <cell r="W21"/>
          <cell r="X21"/>
          <cell r="Y21">
            <v>-137</v>
          </cell>
          <cell r="Z21"/>
          <cell r="AA21"/>
          <cell r="AB21"/>
          <cell r="AC21"/>
          <cell r="AD21">
            <v>-72</v>
          </cell>
          <cell r="AE21"/>
          <cell r="AF21"/>
          <cell r="AG21"/>
          <cell r="AH21"/>
          <cell r="AI21">
            <v>-287</v>
          </cell>
          <cell r="AJ21"/>
          <cell r="AK21"/>
          <cell r="AL21"/>
          <cell r="AM21"/>
          <cell r="AN21">
            <v>-135</v>
          </cell>
          <cell r="AO21"/>
          <cell r="AP21"/>
          <cell r="AQ21"/>
          <cell r="AR21"/>
          <cell r="AS21">
            <v>-309</v>
          </cell>
          <cell r="AT21"/>
          <cell r="AU21"/>
          <cell r="AV21"/>
          <cell r="AW21"/>
          <cell r="AX21">
            <v>-380</v>
          </cell>
          <cell r="AY21"/>
          <cell r="AZ21"/>
          <cell r="BA21"/>
          <cell r="BB21"/>
          <cell r="BC21">
            <v>-402.38031161473089</v>
          </cell>
          <cell r="BD21"/>
          <cell r="BE21"/>
          <cell r="BF21"/>
          <cell r="BG21"/>
          <cell r="BH21">
            <v>-418.60189447592069</v>
          </cell>
          <cell r="BI21"/>
          <cell r="BJ21"/>
          <cell r="BK21"/>
          <cell r="BL21"/>
          <cell r="BM21">
            <v>-472.38367563739376</v>
          </cell>
          <cell r="BN21"/>
          <cell r="BO21"/>
          <cell r="BP21"/>
          <cell r="BQ21"/>
          <cell r="BR21">
            <v>-512.79629957507086</v>
          </cell>
          <cell r="BS21"/>
          <cell r="BT21"/>
          <cell r="BU21"/>
          <cell r="BV21"/>
          <cell r="BW21">
            <v>-513.34313031161469</v>
          </cell>
          <cell r="BX21"/>
          <cell r="BY21"/>
          <cell r="BZ21"/>
          <cell r="CA21"/>
          <cell r="CB21">
            <v>-544.5740970254958</v>
          </cell>
          <cell r="CC21"/>
          <cell r="CD21"/>
          <cell r="CE21"/>
          <cell r="CF21"/>
          <cell r="CG21">
            <v>-602.45331298229223</v>
          </cell>
          <cell r="CH21"/>
          <cell r="CI21"/>
          <cell r="CJ21"/>
          <cell r="CK21"/>
          <cell r="CL21">
            <v>-395.47731671685568</v>
          </cell>
          <cell r="CM21"/>
          <cell r="CN21"/>
          <cell r="CO21"/>
          <cell r="CP21"/>
          <cell r="CQ21">
            <v>-479.34785927936628</v>
          </cell>
          <cell r="CR21"/>
          <cell r="CS21"/>
          <cell r="CT21"/>
          <cell r="CU21"/>
          <cell r="CV21">
            <v>-524.43111536818094</v>
          </cell>
          <cell r="CW21">
            <v>-573.02280953950731</v>
          </cell>
          <cell r="CX21">
            <v>-600.71989121079707</v>
          </cell>
          <cell r="CY21">
            <v>-620.66650455377805</v>
          </cell>
        </row>
        <row r="22">
          <cell r="B22" t="str">
            <v>EBIT, operating profit</v>
          </cell>
          <cell r="C22" t="str">
            <v>EBIT</v>
          </cell>
          <cell r="D22" t="str">
            <v>EUR</v>
          </cell>
          <cell r="F22">
            <v>1399</v>
          </cell>
          <cell r="G22">
            <v>1694</v>
          </cell>
          <cell r="H22">
            <v>1426</v>
          </cell>
          <cell r="I22">
            <v>1543</v>
          </cell>
          <cell r="J22">
            <v>2444</v>
          </cell>
          <cell r="K22"/>
          <cell r="L22"/>
          <cell r="M22"/>
          <cell r="N22"/>
          <cell r="O22">
            <v>2852</v>
          </cell>
          <cell r="P22"/>
          <cell r="Q22"/>
          <cell r="R22"/>
          <cell r="S22"/>
          <cell r="T22">
            <v>3556</v>
          </cell>
          <cell r="U22"/>
          <cell r="V22"/>
          <cell r="W22"/>
          <cell r="X22"/>
          <cell r="Y22">
            <v>3614</v>
          </cell>
          <cell r="Z22"/>
          <cell r="AA22"/>
          <cell r="AB22"/>
          <cell r="AC22"/>
          <cell r="AD22">
            <v>3330</v>
          </cell>
          <cell r="AE22"/>
          <cell r="AF22"/>
          <cell r="AG22"/>
          <cell r="AH22"/>
          <cell r="AI22">
            <v>2148</v>
          </cell>
          <cell r="AJ22"/>
          <cell r="AK22"/>
          <cell r="AL22"/>
          <cell r="AM22"/>
          <cell r="AN22">
            <v>1341</v>
          </cell>
          <cell r="AO22"/>
          <cell r="AP22"/>
          <cell r="AQ22"/>
          <cell r="AR22"/>
          <cell r="AS22">
            <v>1794</v>
          </cell>
          <cell r="AT22"/>
          <cell r="AU22"/>
          <cell r="AV22"/>
          <cell r="AW22"/>
          <cell r="AX22">
            <v>2964</v>
          </cell>
          <cell r="AY22"/>
          <cell r="AZ22"/>
          <cell r="BA22"/>
          <cell r="BB22"/>
          <cell r="BC22">
            <v>3574</v>
          </cell>
          <cell r="BD22"/>
          <cell r="BE22"/>
          <cell r="BF22"/>
          <cell r="BG22"/>
          <cell r="BH22">
            <v>4066</v>
          </cell>
          <cell r="BI22"/>
          <cell r="BJ22"/>
          <cell r="BK22"/>
          <cell r="BL22"/>
          <cell r="BM22">
            <v>4132</v>
          </cell>
          <cell r="BN22"/>
          <cell r="BO22"/>
          <cell r="BP22"/>
          <cell r="BQ22"/>
          <cell r="BR22">
            <v>3955</v>
          </cell>
          <cell r="BS22"/>
          <cell r="BT22"/>
          <cell r="BU22"/>
          <cell r="BV22"/>
          <cell r="BW22">
            <v>4253</v>
          </cell>
          <cell r="BX22"/>
          <cell r="BY22"/>
          <cell r="BZ22"/>
          <cell r="CA22"/>
          <cell r="CB22">
            <v>5834</v>
          </cell>
          <cell r="CC22"/>
          <cell r="CD22"/>
          <cell r="CE22"/>
          <cell r="CF22"/>
          <cell r="CG22">
            <v>6946</v>
          </cell>
          <cell r="CH22"/>
          <cell r="CI22"/>
          <cell r="CJ22"/>
          <cell r="CK22"/>
          <cell r="CL22">
            <v>2056.5186269091619</v>
          </cell>
          <cell r="CM22"/>
          <cell r="CN22"/>
          <cell r="CO22"/>
          <cell r="CP22"/>
          <cell r="CQ22">
            <v>4851.6855785429716</v>
          </cell>
          <cell r="CR22"/>
          <cell r="CS22"/>
          <cell r="CT22"/>
          <cell r="CU22"/>
          <cell r="CV22">
            <v>6407.9433641860333</v>
          </cell>
          <cell r="CW22">
            <v>7338.5022334341947</v>
          </cell>
          <cell r="CX22">
            <v>7835.4639713445713</v>
          </cell>
          <cell r="CY22">
            <v>9898.9775955011628</v>
          </cell>
        </row>
        <row r="23">
          <cell r="B23" t="str">
            <v>Interest income</v>
          </cell>
          <cell r="C23" t="str">
            <v>INT_INC_IND</v>
          </cell>
          <cell r="D23" t="str">
            <v>EUR</v>
          </cell>
          <cell r="F23"/>
          <cell r="G23"/>
          <cell r="H23"/>
          <cell r="I23"/>
          <cell r="J23"/>
          <cell r="K23"/>
          <cell r="L23"/>
          <cell r="M23"/>
          <cell r="N23"/>
          <cell r="O23"/>
          <cell r="P23"/>
          <cell r="Q23"/>
          <cell r="R23"/>
          <cell r="S23"/>
          <cell r="T23">
            <v>454</v>
          </cell>
          <cell r="U23"/>
          <cell r="V23"/>
          <cell r="W23"/>
          <cell r="X23"/>
          <cell r="Y23">
            <v>502</v>
          </cell>
          <cell r="Z23"/>
          <cell r="AA23"/>
          <cell r="AB23"/>
          <cell r="AC23"/>
          <cell r="AD23">
            <v>617</v>
          </cell>
          <cell r="AE23"/>
          <cell r="AF23"/>
          <cell r="AG23"/>
          <cell r="AH23"/>
          <cell r="AI23">
            <v>356</v>
          </cell>
          <cell r="AJ23"/>
          <cell r="AK23"/>
          <cell r="AL23"/>
          <cell r="AM23"/>
          <cell r="AN23">
            <v>316</v>
          </cell>
          <cell r="AO23"/>
          <cell r="AP23"/>
          <cell r="AQ23"/>
          <cell r="AR23"/>
          <cell r="AS23">
            <v>377</v>
          </cell>
          <cell r="AT23"/>
          <cell r="AU23"/>
          <cell r="AV23"/>
          <cell r="AW23"/>
          <cell r="AX23">
            <v>237</v>
          </cell>
          <cell r="AY23"/>
          <cell r="AZ23"/>
          <cell r="BA23"/>
          <cell r="BB23"/>
          <cell r="BC23">
            <v>168</v>
          </cell>
          <cell r="BD23"/>
          <cell r="BE23"/>
          <cell r="BF23"/>
          <cell r="BG23"/>
          <cell r="BH23">
            <v>142</v>
          </cell>
          <cell r="BI23"/>
          <cell r="BJ23"/>
          <cell r="BK23"/>
          <cell r="BL23"/>
          <cell r="BM23">
            <v>183</v>
          </cell>
          <cell r="BN23"/>
          <cell r="BO23"/>
          <cell r="BP23"/>
          <cell r="BQ23"/>
          <cell r="BR23">
            <v>247</v>
          </cell>
          <cell r="BS23"/>
          <cell r="BT23"/>
          <cell r="BU23"/>
          <cell r="BV23"/>
          <cell r="BW23">
            <v>189</v>
          </cell>
          <cell r="BX23"/>
          <cell r="BY23"/>
          <cell r="BZ23"/>
          <cell r="CA23"/>
          <cell r="CB23">
            <v>208</v>
          </cell>
          <cell r="CC23"/>
          <cell r="CD23"/>
          <cell r="CE23"/>
          <cell r="CF23"/>
          <cell r="CG23">
            <v>228</v>
          </cell>
          <cell r="CH23">
            <v>135.02362397249786</v>
          </cell>
          <cell r="CI23">
            <v>88.515447982551109</v>
          </cell>
          <cell r="CJ23">
            <v>147.62568911948068</v>
          </cell>
          <cell r="CK23">
            <v>156.6313128564467</v>
          </cell>
          <cell r="CL23">
            <v>135.02362397249786</v>
          </cell>
          <cell r="CM23"/>
          <cell r="CN23"/>
          <cell r="CO23"/>
          <cell r="CP23"/>
          <cell r="CQ23">
            <v>88.515447982551109</v>
          </cell>
          <cell r="CR23"/>
          <cell r="CS23"/>
          <cell r="CT23"/>
          <cell r="CU23"/>
          <cell r="CV23">
            <v>147.62568911948068</v>
          </cell>
          <cell r="CW23">
            <v>156.6313128564467</v>
          </cell>
          <cell r="CX23">
            <v>151.94337479708921</v>
          </cell>
          <cell r="CY23">
            <v>186.51872263874574</v>
          </cell>
        </row>
        <row r="24">
          <cell r="B24" t="str">
            <v>Interest expense</v>
          </cell>
          <cell r="C24" t="str">
            <v>INT_EXP_IND</v>
          </cell>
          <cell r="D24" t="str">
            <v>EUR</v>
          </cell>
          <cell r="F24"/>
          <cell r="G24"/>
          <cell r="H24"/>
          <cell r="I24"/>
          <cell r="J24"/>
          <cell r="K24"/>
          <cell r="L24"/>
          <cell r="M24"/>
          <cell r="N24"/>
          <cell r="O24"/>
          <cell r="P24"/>
          <cell r="Q24"/>
          <cell r="R24"/>
          <cell r="S24"/>
          <cell r="T24">
            <v>-698</v>
          </cell>
          <cell r="U24"/>
          <cell r="V24"/>
          <cell r="W24"/>
          <cell r="X24"/>
          <cell r="Y24">
            <v>-1239</v>
          </cell>
          <cell r="Z24"/>
          <cell r="AA24"/>
          <cell r="AB24"/>
          <cell r="AC24"/>
          <cell r="AD24">
            <v>-1089</v>
          </cell>
          <cell r="AE24"/>
          <cell r="AF24"/>
          <cell r="AG24"/>
          <cell r="AH24"/>
          <cell r="AI24">
            <v>-948</v>
          </cell>
          <cell r="AJ24"/>
          <cell r="AK24"/>
          <cell r="AL24"/>
          <cell r="AM24"/>
          <cell r="AN24">
            <v>-687</v>
          </cell>
          <cell r="AO24"/>
          <cell r="AP24"/>
          <cell r="AQ24"/>
          <cell r="AR24"/>
          <cell r="AS24">
            <v>-597</v>
          </cell>
          <cell r="AT24"/>
          <cell r="AU24"/>
          <cell r="AV24"/>
          <cell r="AW24"/>
          <cell r="AX24">
            <v>-690</v>
          </cell>
          <cell r="AY24"/>
          <cell r="AZ24"/>
          <cell r="BA24"/>
          <cell r="BB24"/>
          <cell r="BC24">
            <v>-798</v>
          </cell>
          <cell r="BD24"/>
          <cell r="BE24"/>
          <cell r="BF24"/>
          <cell r="BG24"/>
          <cell r="BH24">
            <v>-920</v>
          </cell>
          <cell r="BI24"/>
          <cell r="BJ24"/>
          <cell r="BK24"/>
          <cell r="BL24"/>
          <cell r="BM24">
            <v>-870</v>
          </cell>
          <cell r="BN24"/>
          <cell r="BO24"/>
          <cell r="BP24"/>
          <cell r="BQ24"/>
          <cell r="BR24">
            <v>-1214</v>
          </cell>
          <cell r="BS24"/>
          <cell r="BT24"/>
          <cell r="BU24"/>
          <cell r="BV24"/>
          <cell r="BW24">
            <v>-517</v>
          </cell>
          <cell r="BX24"/>
          <cell r="BY24"/>
          <cell r="BZ24"/>
          <cell r="CA24"/>
          <cell r="CB24">
            <v>-971</v>
          </cell>
          <cell r="CC24"/>
          <cell r="CD24"/>
          <cell r="CE24"/>
          <cell r="CF24"/>
          <cell r="CG24">
            <v>-503</v>
          </cell>
          <cell r="CH24">
            <v>-298.96000000000004</v>
          </cell>
          <cell r="CI24">
            <v>-291.46000000000004</v>
          </cell>
          <cell r="CJ24">
            <v>-273.96000000000004</v>
          </cell>
          <cell r="CK24">
            <v>-253.96</v>
          </cell>
          <cell r="CL24">
            <v>-298.96000000000004</v>
          </cell>
          <cell r="CM24"/>
          <cell r="CN24"/>
          <cell r="CO24"/>
          <cell r="CP24"/>
          <cell r="CQ24">
            <v>-291.46000000000004</v>
          </cell>
          <cell r="CR24"/>
          <cell r="CS24"/>
          <cell r="CT24"/>
          <cell r="CU24"/>
          <cell r="CV24">
            <v>-273.96000000000004</v>
          </cell>
          <cell r="CW24">
            <v>-253.96</v>
          </cell>
          <cell r="CX24">
            <v>-236.46</v>
          </cell>
          <cell r="CY24">
            <v>-236.46</v>
          </cell>
        </row>
        <row r="25">
          <cell r="B25" t="str">
            <v>Net interest income/(expense)</v>
          </cell>
          <cell r="C25" t="str">
            <v>NET_INT_EXP</v>
          </cell>
          <cell r="D25" t="str">
            <v>EUR</v>
          </cell>
          <cell r="F25">
            <v>-1426</v>
          </cell>
          <cell r="G25">
            <v>-171</v>
          </cell>
          <cell r="H25">
            <v>-60</v>
          </cell>
          <cell r="I25">
            <v>-55</v>
          </cell>
          <cell r="J25">
            <v>-330</v>
          </cell>
          <cell r="K25"/>
          <cell r="L25"/>
          <cell r="M25"/>
          <cell r="N25"/>
          <cell r="O25">
            <v>-177</v>
          </cell>
          <cell r="P25"/>
          <cell r="Q25"/>
          <cell r="R25"/>
          <cell r="S25"/>
          <cell r="T25">
            <v>-244</v>
          </cell>
          <cell r="U25"/>
          <cell r="V25"/>
          <cell r="W25"/>
          <cell r="X25"/>
          <cell r="Y25">
            <v>-737</v>
          </cell>
          <cell r="Z25"/>
          <cell r="AA25"/>
          <cell r="AB25"/>
          <cell r="AC25"/>
          <cell r="AD25">
            <v>-472</v>
          </cell>
          <cell r="AE25"/>
          <cell r="AF25"/>
          <cell r="AG25"/>
          <cell r="AH25"/>
          <cell r="AI25">
            <v>-592</v>
          </cell>
          <cell r="AJ25"/>
          <cell r="AK25"/>
          <cell r="AL25"/>
          <cell r="AM25"/>
          <cell r="AN25">
            <v>-371</v>
          </cell>
          <cell r="AO25"/>
          <cell r="AP25"/>
          <cell r="AQ25"/>
          <cell r="AR25"/>
          <cell r="AS25">
            <v>-220</v>
          </cell>
          <cell r="AT25"/>
          <cell r="AU25"/>
          <cell r="AV25"/>
          <cell r="AW25"/>
          <cell r="AX25">
            <v>-453</v>
          </cell>
          <cell r="AY25"/>
          <cell r="AZ25"/>
          <cell r="BA25"/>
          <cell r="BB25"/>
          <cell r="BC25">
            <v>-630</v>
          </cell>
          <cell r="BD25"/>
          <cell r="BE25"/>
          <cell r="BF25"/>
          <cell r="BG25"/>
          <cell r="BH25">
            <v>-778</v>
          </cell>
          <cell r="BI25"/>
          <cell r="BJ25"/>
          <cell r="BK25"/>
          <cell r="BL25"/>
          <cell r="BM25">
            <v>-687</v>
          </cell>
          <cell r="BN25"/>
          <cell r="BO25"/>
          <cell r="BP25"/>
          <cell r="BQ25"/>
          <cell r="BR25">
            <v>-967</v>
          </cell>
          <cell r="BS25"/>
          <cell r="BT25"/>
          <cell r="BU25"/>
          <cell r="BV25"/>
          <cell r="BW25">
            <v>1149</v>
          </cell>
          <cell r="BX25"/>
          <cell r="BY25"/>
          <cell r="BZ25"/>
          <cell r="CA25"/>
          <cell r="CB25">
            <v>-763</v>
          </cell>
          <cell r="CC25"/>
          <cell r="CD25"/>
          <cell r="CE25"/>
          <cell r="CF25"/>
          <cell r="CG25">
            <v>-275</v>
          </cell>
          <cell r="CH25"/>
          <cell r="CI25"/>
          <cell r="CJ25"/>
          <cell r="CK25"/>
          <cell r="CL25">
            <v>-163.93637602750218</v>
          </cell>
          <cell r="CM25"/>
          <cell r="CN25"/>
          <cell r="CO25"/>
          <cell r="CP25"/>
          <cell r="CQ25">
            <v>-202.94455201744893</v>
          </cell>
          <cell r="CR25"/>
          <cell r="CS25"/>
          <cell r="CT25"/>
          <cell r="CU25"/>
          <cell r="CV25">
            <v>-126.33431088051935</v>
          </cell>
          <cell r="CW25">
            <v>-97.32868714355331</v>
          </cell>
          <cell r="CX25">
            <v>-84.516625202910802</v>
          </cell>
          <cell r="CY25">
            <v>-49.941277361254265</v>
          </cell>
        </row>
        <row r="26">
          <cell r="B26" t="str">
            <v>Income/(loss) from unconsolidated subs &amp; associates</v>
          </cell>
          <cell r="C26" t="str">
            <v>ASSOCIATE</v>
          </cell>
          <cell r="D26" t="str">
            <v>EUR</v>
          </cell>
          <cell r="F26"/>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cell r="CO26"/>
          <cell r="CP26"/>
          <cell r="CQ26"/>
          <cell r="CR26"/>
          <cell r="CS26"/>
          <cell r="CT26"/>
          <cell r="CU26"/>
          <cell r="CV26"/>
          <cell r="CW26"/>
          <cell r="CX26"/>
          <cell r="CY26"/>
        </row>
        <row r="27">
          <cell r="B27" t="str">
            <v>Profit/(loss) on disposals of assets, pre-tax</v>
          </cell>
          <cell r="C27" t="str">
            <v>PROFIT_ON_DISP</v>
          </cell>
          <cell r="D27" t="str">
            <v>EUR</v>
          </cell>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cell r="CO27"/>
          <cell r="CP27"/>
          <cell r="CQ27"/>
          <cell r="CR27"/>
          <cell r="CS27"/>
          <cell r="CT27"/>
          <cell r="CU27"/>
          <cell r="CV27"/>
          <cell r="CW27"/>
          <cell r="CX27"/>
          <cell r="CY27"/>
        </row>
        <row r="28">
          <cell r="B28" t="str">
            <v>Other non-ops income/(expense)</v>
          </cell>
          <cell r="C28" t="str">
            <v>OTH_COST_INC</v>
          </cell>
          <cell r="D28" t="str">
            <v>EUR</v>
          </cell>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cell r="CO28"/>
          <cell r="CP28"/>
          <cell r="CQ28"/>
          <cell r="CR28"/>
          <cell r="CS28"/>
          <cell r="CT28"/>
          <cell r="CU28"/>
          <cell r="CV28"/>
          <cell r="CW28"/>
          <cell r="CX28"/>
          <cell r="CY28"/>
        </row>
        <row r="29">
          <cell r="B29" t="str">
            <v>Pre-tax profit</v>
          </cell>
          <cell r="C29" t="str">
            <v>PT_PROF</v>
          </cell>
          <cell r="D29" t="str">
            <v>EUR</v>
          </cell>
          <cell r="F29">
            <v>-27</v>
          </cell>
          <cell r="G29">
            <v>1523</v>
          </cell>
          <cell r="H29">
            <v>1366</v>
          </cell>
          <cell r="I29">
            <v>1488</v>
          </cell>
          <cell r="J29">
            <v>2114</v>
          </cell>
          <cell r="K29"/>
          <cell r="L29"/>
          <cell r="M29"/>
          <cell r="N29"/>
          <cell r="O29">
            <v>2675</v>
          </cell>
          <cell r="P29"/>
          <cell r="Q29"/>
          <cell r="R29"/>
          <cell r="S29"/>
          <cell r="T29">
            <v>3312</v>
          </cell>
          <cell r="U29"/>
          <cell r="V29"/>
          <cell r="W29"/>
          <cell r="X29"/>
          <cell r="Y29">
            <v>2877</v>
          </cell>
          <cell r="Z29"/>
          <cell r="AA29"/>
          <cell r="AB29"/>
          <cell r="AC29"/>
          <cell r="AD29">
            <v>2858</v>
          </cell>
          <cell r="AE29"/>
          <cell r="AF29"/>
          <cell r="AG29"/>
          <cell r="AH29"/>
          <cell r="AI29">
            <v>1556</v>
          </cell>
          <cell r="AJ29"/>
          <cell r="AK29"/>
          <cell r="AL29"/>
          <cell r="AM29"/>
          <cell r="AN29">
            <v>970</v>
          </cell>
          <cell r="AO29"/>
          <cell r="AP29"/>
          <cell r="AQ29"/>
          <cell r="AR29"/>
          <cell r="AS29">
            <v>1574</v>
          </cell>
          <cell r="AT29"/>
          <cell r="AU29"/>
          <cell r="AV29"/>
          <cell r="AW29"/>
          <cell r="AX29">
            <v>2511</v>
          </cell>
          <cell r="AY29"/>
          <cell r="AZ29"/>
          <cell r="BA29"/>
          <cell r="BB29"/>
          <cell r="BC29">
            <v>2944</v>
          </cell>
          <cell r="BD29"/>
          <cell r="BE29"/>
          <cell r="BF29"/>
          <cell r="BG29"/>
          <cell r="BH29">
            <v>3288</v>
          </cell>
          <cell r="BI29"/>
          <cell r="BJ29"/>
          <cell r="BK29"/>
          <cell r="BL29"/>
          <cell r="BM29">
            <v>3445</v>
          </cell>
          <cell r="BN29"/>
          <cell r="BO29"/>
          <cell r="BP29"/>
          <cell r="BQ29"/>
          <cell r="BR29">
            <v>2988</v>
          </cell>
          <cell r="BS29"/>
          <cell r="BT29"/>
          <cell r="BU29"/>
          <cell r="BV29"/>
          <cell r="BW29">
            <v>5402</v>
          </cell>
          <cell r="BX29"/>
          <cell r="BY29"/>
          <cell r="BZ29"/>
          <cell r="CA29"/>
          <cell r="CB29">
            <v>5071</v>
          </cell>
          <cell r="CC29"/>
          <cell r="CD29"/>
          <cell r="CE29"/>
          <cell r="CF29"/>
          <cell r="CG29">
            <v>6671</v>
          </cell>
          <cell r="CH29"/>
          <cell r="CI29"/>
          <cell r="CJ29"/>
          <cell r="CK29"/>
          <cell r="CL29">
            <v>1892.5822508816598</v>
          </cell>
          <cell r="CM29"/>
          <cell r="CN29"/>
          <cell r="CO29"/>
          <cell r="CP29"/>
          <cell r="CQ29">
            <v>4648.741026525523</v>
          </cell>
          <cell r="CR29"/>
          <cell r="CS29"/>
          <cell r="CT29"/>
          <cell r="CU29"/>
          <cell r="CV29">
            <v>6281.609053305514</v>
          </cell>
          <cell r="CW29">
            <v>7241.1735462906418</v>
          </cell>
          <cell r="CX29">
            <v>7750.9473461416601</v>
          </cell>
          <cell r="CY29">
            <v>9849.036318139908</v>
          </cell>
        </row>
        <row r="30">
          <cell r="A30" t="str">
            <v>Additional Income Statement Items</v>
          </cell>
          <cell r="B30"/>
          <cell r="C30"/>
          <cell r="D30"/>
        </row>
        <row r="31">
          <cell r="B31" t="str">
            <v>Organic revenues (excl. acquisitions)</v>
          </cell>
          <cell r="C31" t="str">
            <v>ORG_REV</v>
          </cell>
          <cell r="D31" t="str">
            <v>EUR</v>
          </cell>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cell r="CO31"/>
          <cell r="CP31"/>
          <cell r="CQ31"/>
          <cell r="CR31"/>
          <cell r="CS31"/>
          <cell r="CT31"/>
          <cell r="CU31"/>
          <cell r="CV31"/>
          <cell r="CW31"/>
          <cell r="CX31"/>
          <cell r="CY31"/>
        </row>
        <row r="32">
          <cell r="B32" t="str">
            <v>Organic sales growth (excl. acquisitions)</v>
          </cell>
          <cell r="C32" t="str">
            <v>ORG_REV_GRTH</v>
          </cell>
          <cell r="F32">
            <v>7.3382698532346025E-2</v>
          </cell>
          <cell r="G32">
            <v>0.1</v>
          </cell>
          <cell r="H32">
            <v>-2.9125267874537286E-2</v>
          </cell>
          <cell r="I32">
            <v>7.7589378281663901E-3</v>
          </cell>
          <cell r="J32">
            <v>5.4027146317990216E-2</v>
          </cell>
          <cell r="K32"/>
          <cell r="L32"/>
          <cell r="M32"/>
          <cell r="N32"/>
          <cell r="O32">
            <v>7.6981203362614492E-2</v>
          </cell>
          <cell r="P32"/>
          <cell r="Q32"/>
          <cell r="R32"/>
          <cell r="S32"/>
          <cell r="T32">
            <v>0.15283868327194061</v>
          </cell>
          <cell r="U32"/>
          <cell r="V32"/>
          <cell r="W32"/>
          <cell r="X32"/>
          <cell r="Y32">
            <v>-7.8865953238321795E-3</v>
          </cell>
          <cell r="Z32"/>
          <cell r="AA32"/>
          <cell r="AB32"/>
          <cell r="AC32"/>
          <cell r="AD32">
            <v>0.10587122664417348</v>
          </cell>
          <cell r="AE32"/>
          <cell r="AF32"/>
          <cell r="AG32"/>
          <cell r="AH32"/>
          <cell r="AI32">
            <v>-1.0239223390731578E-2</v>
          </cell>
          <cell r="AJ32"/>
          <cell r="AK32"/>
          <cell r="AL32"/>
          <cell r="AM32"/>
          <cell r="AN32">
            <v>6.8422773340806042E-2</v>
          </cell>
          <cell r="AO32"/>
          <cell r="AP32"/>
          <cell r="AQ32"/>
          <cell r="AR32"/>
          <cell r="AS32">
            <v>6.3844203532086086E-2</v>
          </cell>
          <cell r="AT32"/>
          <cell r="AU32"/>
          <cell r="AV32"/>
          <cell r="AW32"/>
          <cell r="AX32">
            <v>0.14832681973619932</v>
          </cell>
          <cell r="AY32"/>
          <cell r="AZ32"/>
          <cell r="BA32"/>
          <cell r="BB32"/>
          <cell r="BC32">
            <v>5.5409375959303613E-2</v>
          </cell>
          <cell r="BD32"/>
          <cell r="BE32"/>
          <cell r="BF32"/>
          <cell r="BG32"/>
          <cell r="BH32">
            <v>-1.1938752033979448E-3</v>
          </cell>
          <cell r="BI32"/>
          <cell r="BJ32"/>
          <cell r="BK32"/>
          <cell r="BL32"/>
          <cell r="BM32">
            <v>-4.2112934244811374E-3</v>
          </cell>
          <cell r="BN32"/>
          <cell r="BO32"/>
          <cell r="BP32"/>
          <cell r="BQ32"/>
          <cell r="BR32">
            <v>-1.0771699955062939E-2</v>
          </cell>
          <cell r="BS32"/>
          <cell r="BT32"/>
          <cell r="BU32"/>
          <cell r="BV32"/>
          <cell r="BW32">
            <v>-4.0067767662273386E-2</v>
          </cell>
          <cell r="BX32"/>
          <cell r="BY32"/>
          <cell r="BZ32"/>
          <cell r="CA32"/>
          <cell r="CB32">
            <v>2.3440823581595091E-2</v>
          </cell>
          <cell r="CC32"/>
          <cell r="CD32"/>
          <cell r="CE32"/>
          <cell r="CF32"/>
          <cell r="CG32">
            <v>1.5760045059568968E-2</v>
          </cell>
          <cell r="CH32"/>
          <cell r="CI32"/>
          <cell r="CJ32"/>
          <cell r="CK32"/>
          <cell r="CL32">
            <v>-0.37918576992383113</v>
          </cell>
          <cell r="CM32"/>
          <cell r="CN32"/>
          <cell r="CO32"/>
          <cell r="CP32"/>
          <cell r="CQ32">
            <v>0.27441940737733894</v>
          </cell>
          <cell r="CR32"/>
          <cell r="CS32"/>
          <cell r="CT32"/>
          <cell r="CU32"/>
          <cell r="CV32">
            <v>9.674903740770259E-2</v>
          </cell>
          <cell r="CW32">
            <v>0.10857087888825294</v>
          </cell>
          <cell r="CX32">
            <v>4.197273831567741E-2</v>
          </cell>
          <cell r="CY32">
            <v>3.8956043992581464E-2</v>
          </cell>
        </row>
        <row r="33">
          <cell r="B33" t="str">
            <v>Operating lease cost</v>
          </cell>
          <cell r="C33" t="str">
            <v>LEASE_PAY</v>
          </cell>
          <cell r="D33" t="str">
            <v>EUR</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cell r="AU33"/>
          <cell r="AV33"/>
          <cell r="AW33"/>
          <cell r="AX33">
            <v>0</v>
          </cell>
          <cell r="AY33"/>
          <cell r="AZ33"/>
          <cell r="BA33"/>
          <cell r="BB33"/>
          <cell r="BC33">
            <v>0</v>
          </cell>
          <cell r="BD33"/>
          <cell r="BE33"/>
          <cell r="BF33"/>
          <cell r="BG33"/>
          <cell r="BH33">
            <v>0</v>
          </cell>
          <cell r="BI33"/>
          <cell r="BJ33"/>
          <cell r="BK33"/>
          <cell r="BL33"/>
          <cell r="BM33">
            <v>0</v>
          </cell>
          <cell r="BN33"/>
          <cell r="BO33"/>
          <cell r="BP33"/>
          <cell r="BQ33"/>
          <cell r="BR33">
            <v>0</v>
          </cell>
          <cell r="BS33"/>
          <cell r="BT33"/>
          <cell r="BU33"/>
          <cell r="BV33"/>
          <cell r="BW33">
            <v>0</v>
          </cell>
          <cell r="BX33"/>
          <cell r="BY33"/>
          <cell r="BZ33"/>
          <cell r="CA33"/>
          <cell r="CB33">
            <v>0</v>
          </cell>
          <cell r="CC33"/>
          <cell r="CD33"/>
          <cell r="CE33"/>
          <cell r="CF33"/>
          <cell r="CG33">
            <v>0</v>
          </cell>
          <cell r="CH33"/>
          <cell r="CI33"/>
          <cell r="CJ33"/>
          <cell r="CK33"/>
          <cell r="CL33">
            <v>0</v>
          </cell>
          <cell r="CM33"/>
          <cell r="CN33"/>
          <cell r="CO33"/>
          <cell r="CP33"/>
          <cell r="CQ33">
            <v>0</v>
          </cell>
          <cell r="CR33"/>
          <cell r="CS33"/>
          <cell r="CT33"/>
          <cell r="CU33"/>
          <cell r="CV33">
            <v>0</v>
          </cell>
          <cell r="CW33">
            <v>0</v>
          </cell>
          <cell r="CX33">
            <v>0</v>
          </cell>
          <cell r="CY33">
            <v>0</v>
          </cell>
        </row>
        <row r="34">
          <cell r="B34" t="str">
            <v>Lease payments (deemed interest portion)</v>
          </cell>
          <cell r="C34" t="str">
            <v>LEASE_DEEM_INT</v>
          </cell>
          <cell r="D34" t="str">
            <v>EUR</v>
          </cell>
          <cell r="F34"/>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cell r="BZ34"/>
          <cell r="CA34"/>
          <cell r="CB34"/>
          <cell r="CC34"/>
          <cell r="CD34"/>
          <cell r="CE34"/>
          <cell r="CF34"/>
          <cell r="CG34"/>
          <cell r="CH34"/>
          <cell r="CI34"/>
          <cell r="CJ34"/>
          <cell r="CK34"/>
          <cell r="CL34"/>
          <cell r="CM34"/>
          <cell r="CN34"/>
          <cell r="CO34"/>
          <cell r="CP34"/>
          <cell r="CQ34"/>
          <cell r="CR34"/>
          <cell r="CS34"/>
          <cell r="CT34"/>
          <cell r="CU34"/>
          <cell r="CV34"/>
          <cell r="CW34"/>
          <cell r="CX34"/>
          <cell r="CY34"/>
        </row>
        <row r="35">
          <cell r="B35" t="str">
            <v>Lease payments (deemed depreciation portion)</v>
          </cell>
          <cell r="C35" t="str">
            <v>LEASE_DEEM_DEPR</v>
          </cell>
          <cell r="D35" t="str">
            <v>EUR</v>
          </cell>
          <cell r="F35"/>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cell r="CO35"/>
          <cell r="CP35"/>
          <cell r="CQ35"/>
          <cell r="CR35"/>
          <cell r="CS35"/>
          <cell r="CT35"/>
          <cell r="CU35"/>
          <cell r="CV35"/>
          <cell r="CW35"/>
          <cell r="CX35"/>
          <cell r="CY35"/>
        </row>
        <row r="36">
          <cell r="B36" t="str">
            <v>Gross interest charge</v>
          </cell>
          <cell r="C36" t="str">
            <v>NET_INT_CH</v>
          </cell>
          <cell r="D36" t="str">
            <v>EUR</v>
          </cell>
          <cell r="F36"/>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cell r="CO36"/>
          <cell r="CP36"/>
          <cell r="CQ36"/>
          <cell r="CR36"/>
          <cell r="CS36"/>
          <cell r="CT36"/>
          <cell r="CU36"/>
          <cell r="CV36"/>
          <cell r="CW36"/>
          <cell r="CX36"/>
          <cell r="CY36"/>
        </row>
        <row r="37">
          <cell r="B37" t="str">
            <v>Income from associates (operating)</v>
          </cell>
          <cell r="C37" t="str">
            <v>ASSOCIATE_OP</v>
          </cell>
          <cell r="D37" t="str">
            <v>EUR</v>
          </cell>
          <cell r="F37"/>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cell r="CO37"/>
          <cell r="CP37"/>
          <cell r="CQ37"/>
          <cell r="CR37"/>
          <cell r="CS37"/>
          <cell r="CT37"/>
          <cell r="CU37"/>
          <cell r="CV37"/>
          <cell r="CW37"/>
          <cell r="CX37"/>
          <cell r="CY37"/>
        </row>
        <row r="38">
          <cell r="B38" t="str">
            <v>Goodwill amortization</v>
          </cell>
          <cell r="C38" t="str">
            <v>GW_AMORT</v>
          </cell>
          <cell r="D38" t="str">
            <v>EUR</v>
          </cell>
          <cell r="F38"/>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cell r="BZ38"/>
          <cell r="CA38"/>
          <cell r="CB38"/>
          <cell r="CC38"/>
          <cell r="CD38"/>
          <cell r="CE38"/>
          <cell r="CF38"/>
          <cell r="CG38"/>
          <cell r="CH38"/>
          <cell r="CI38"/>
          <cell r="CJ38"/>
          <cell r="CK38"/>
          <cell r="CL38"/>
          <cell r="CM38"/>
          <cell r="CN38"/>
          <cell r="CO38"/>
          <cell r="CP38"/>
          <cell r="CQ38"/>
          <cell r="CR38"/>
          <cell r="CS38"/>
          <cell r="CT38"/>
          <cell r="CU38"/>
          <cell r="CV38"/>
          <cell r="CW38"/>
          <cell r="CX38"/>
          <cell r="CY38"/>
        </row>
        <row r="39">
          <cell r="B39" t="str">
            <v>Other intangible amortization</v>
          </cell>
          <cell r="C39" t="str">
            <v>OTH_INT_AMORT</v>
          </cell>
          <cell r="D39" t="str">
            <v>EUR</v>
          </cell>
          <cell r="F39"/>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cell r="CO39"/>
          <cell r="CP39"/>
          <cell r="CQ39"/>
          <cell r="CR39"/>
          <cell r="CS39"/>
          <cell r="CT39"/>
          <cell r="CU39"/>
          <cell r="CV39"/>
          <cell r="CW39"/>
          <cell r="CX39"/>
          <cell r="CY39"/>
        </row>
        <row r="40">
          <cell r="B40" t="str">
            <v>Depreciation ROU assets   (applicable to IFRS cos.)</v>
          </cell>
          <cell r="C40" t="str">
            <v>DEPR_ROU_ASSETS</v>
          </cell>
          <cell r="D40" t="str">
            <v>EUR</v>
          </cell>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cell r="CO40"/>
          <cell r="CP40"/>
          <cell r="CQ40"/>
          <cell r="CR40"/>
          <cell r="CS40"/>
          <cell r="CT40"/>
          <cell r="CU40"/>
          <cell r="CV40"/>
          <cell r="CW40"/>
          <cell r="CX40"/>
          <cell r="CY40"/>
        </row>
        <row r="41">
          <cell r="B41" t="str">
            <v>Lease interest charge  (applicable to IFRS cos.)</v>
          </cell>
          <cell r="C41" t="str">
            <v>LEASE_INT_CHG</v>
          </cell>
          <cell r="D41" t="str">
            <v>EUR</v>
          </cell>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cell r="CO41"/>
          <cell r="CP41"/>
          <cell r="CQ41"/>
          <cell r="CR41"/>
          <cell r="CS41"/>
          <cell r="CT41"/>
          <cell r="CU41"/>
          <cell r="CV41"/>
          <cell r="CW41"/>
          <cell r="CX41"/>
          <cell r="CY41"/>
        </row>
        <row r="42">
          <cell r="B42" t="str">
            <v>Lease standard adopted (US GAAP ASC 842/ IFRS 16)</v>
          </cell>
          <cell r="C42" t="str">
            <v>LEASE_ADOPT</v>
          </cell>
          <cell r="E42"/>
        </row>
        <row r="43">
          <cell r="A43" t="str">
            <v>Balance Sheet</v>
          </cell>
          <cell r="B43"/>
          <cell r="C43"/>
          <cell r="D43"/>
        </row>
        <row r="44">
          <cell r="B44" t="str">
            <v>Cash &amp; cash equivalents</v>
          </cell>
          <cell r="C44" t="str">
            <v>CASH_EQ</v>
          </cell>
          <cell r="D44" t="str">
            <v>EUR</v>
          </cell>
          <cell r="F44">
            <v>7922</v>
          </cell>
          <cell r="G44">
            <v>8033</v>
          </cell>
          <cell r="H44">
            <v>6200</v>
          </cell>
          <cell r="I44">
            <v>7872</v>
          </cell>
          <cell r="J44">
            <v>9184</v>
          </cell>
          <cell r="K44"/>
          <cell r="L44"/>
          <cell r="M44"/>
          <cell r="N44"/>
          <cell r="O44">
            <v>10586</v>
          </cell>
          <cell r="P44"/>
          <cell r="Q44"/>
          <cell r="R44"/>
          <cell r="S44"/>
          <cell r="T44">
            <v>8143</v>
          </cell>
          <cell r="U44"/>
          <cell r="V44"/>
          <cell r="W44"/>
          <cell r="X44"/>
          <cell r="Y44">
            <v>7549</v>
          </cell>
          <cell r="Z44"/>
          <cell r="AA44"/>
          <cell r="AB44"/>
          <cell r="AC44"/>
          <cell r="AD44">
            <v>6745</v>
          </cell>
          <cell r="AE44"/>
          <cell r="AF44"/>
          <cell r="AG44"/>
          <cell r="AH44"/>
          <cell r="AI44">
            <v>7038</v>
          </cell>
          <cell r="AJ44"/>
          <cell r="AK44"/>
          <cell r="AL44"/>
          <cell r="AM44"/>
          <cell r="AN44">
            <v>5030</v>
          </cell>
          <cell r="AO44"/>
          <cell r="AP44"/>
          <cell r="AQ44"/>
          <cell r="AR44"/>
          <cell r="AS44">
            <v>5284</v>
          </cell>
          <cell r="AT44"/>
          <cell r="AU44"/>
          <cell r="AV44"/>
          <cell r="AW44"/>
          <cell r="AX44">
            <v>8756</v>
          </cell>
          <cell r="AY44"/>
          <cell r="AZ44"/>
          <cell r="BA44"/>
          <cell r="BB44"/>
          <cell r="BC44">
            <v>7765</v>
          </cell>
          <cell r="BD44"/>
          <cell r="BE44"/>
          <cell r="BF44"/>
          <cell r="BG44"/>
          <cell r="BH44">
            <v>7271</v>
          </cell>
          <cell r="BI44"/>
          <cell r="BJ44"/>
          <cell r="BK44"/>
          <cell r="BL44"/>
          <cell r="BM44">
            <v>7489</v>
          </cell>
          <cell r="BN44"/>
          <cell r="BO44"/>
          <cell r="BP44"/>
          <cell r="BQ44"/>
          <cell r="BR44">
            <v>10143</v>
          </cell>
          <cell r="BS44"/>
          <cell r="BT44"/>
          <cell r="BU44"/>
          <cell r="BV44"/>
          <cell r="BW44">
            <v>12016</v>
          </cell>
          <cell r="BX44"/>
          <cell r="BY44"/>
          <cell r="BZ44"/>
          <cell r="CA44"/>
          <cell r="CB44">
            <v>9413</v>
          </cell>
          <cell r="CC44"/>
          <cell r="CD44"/>
          <cell r="CE44"/>
          <cell r="CF44"/>
          <cell r="CG44">
            <v>9314</v>
          </cell>
          <cell r="CH44"/>
          <cell r="CI44"/>
          <cell r="CJ44"/>
          <cell r="CK44"/>
          <cell r="CL44">
            <v>91.212041119028072</v>
          </cell>
          <cell r="CM44"/>
          <cell r="CN44"/>
          <cell r="CO44"/>
          <cell r="CP44"/>
          <cell r="CQ44">
            <v>2627.4501995386458</v>
          </cell>
          <cell r="CR44"/>
          <cell r="CS44"/>
          <cell r="CT44"/>
          <cell r="CU44"/>
          <cell r="CV44">
            <v>8983.0544071775184</v>
          </cell>
          <cell r="CW44">
            <v>10460.639895978122</v>
          </cell>
          <cell r="CX44">
            <v>9431.0718361744821</v>
          </cell>
          <cell r="CY44">
            <v>11635.929546715612</v>
          </cell>
        </row>
        <row r="45">
          <cell r="B45" t="str">
            <v>Accounts receivable</v>
          </cell>
          <cell r="C45" t="str">
            <v>DEBTORS</v>
          </cell>
          <cell r="D45" t="str">
            <v>EUR</v>
          </cell>
          <cell r="F45">
            <v>4118</v>
          </cell>
          <cell r="G45">
            <v>5183</v>
          </cell>
          <cell r="H45">
            <v>4114</v>
          </cell>
          <cell r="I45">
            <v>4001</v>
          </cell>
          <cell r="J45">
            <v>4406</v>
          </cell>
          <cell r="K45"/>
          <cell r="L45"/>
          <cell r="M45"/>
          <cell r="N45"/>
          <cell r="O45">
            <v>4802</v>
          </cell>
          <cell r="P45"/>
          <cell r="Q45"/>
          <cell r="R45"/>
          <cell r="S45"/>
          <cell r="T45">
            <v>4852</v>
          </cell>
          <cell r="U45"/>
          <cell r="V45"/>
          <cell r="W45"/>
          <cell r="X45"/>
          <cell r="Y45">
            <v>4639</v>
          </cell>
          <cell r="Z45"/>
          <cell r="AA45"/>
          <cell r="AB45"/>
          <cell r="AC45"/>
          <cell r="AD45">
            <v>5267</v>
          </cell>
          <cell r="AE45"/>
          <cell r="AF45"/>
          <cell r="AG45"/>
          <cell r="AH45"/>
          <cell r="AI45">
            <v>5587</v>
          </cell>
          <cell r="AJ45"/>
          <cell r="AK45"/>
          <cell r="AL45"/>
          <cell r="AM45"/>
          <cell r="AN45">
            <v>6632</v>
          </cell>
          <cell r="AO45"/>
          <cell r="AP45"/>
          <cell r="AQ45"/>
          <cell r="AR45"/>
          <cell r="AS45">
            <v>6394</v>
          </cell>
          <cell r="AT45"/>
          <cell r="AU45"/>
          <cell r="AV45"/>
          <cell r="AW45"/>
          <cell r="AX45">
            <v>6788</v>
          </cell>
          <cell r="AY45"/>
          <cell r="AZ45"/>
          <cell r="BA45"/>
          <cell r="BB45"/>
          <cell r="BC45">
            <v>7239</v>
          </cell>
          <cell r="BD45"/>
          <cell r="BE45"/>
          <cell r="BF45"/>
          <cell r="BG45"/>
          <cell r="BH45">
            <v>6798</v>
          </cell>
          <cell r="BI45"/>
          <cell r="BJ45"/>
          <cell r="BK45"/>
          <cell r="BL45"/>
          <cell r="BM45">
            <v>7877</v>
          </cell>
          <cell r="BN45"/>
          <cell r="BO45"/>
          <cell r="BP45"/>
          <cell r="BQ45"/>
          <cell r="BR45">
            <v>8101</v>
          </cell>
          <cell r="BS45"/>
          <cell r="BT45"/>
          <cell r="BU45"/>
          <cell r="BV45"/>
          <cell r="BW45">
            <v>8358</v>
          </cell>
          <cell r="BX45"/>
          <cell r="BY45"/>
          <cell r="BZ45"/>
          <cell r="CA45"/>
          <cell r="CB45">
            <v>6078</v>
          </cell>
          <cell r="CC45"/>
          <cell r="CD45"/>
          <cell r="CE45"/>
          <cell r="CF45"/>
          <cell r="CG45">
            <v>5674</v>
          </cell>
          <cell r="CH45"/>
          <cell r="CI45"/>
          <cell r="CJ45"/>
          <cell r="CK45"/>
          <cell r="CL45">
            <v>6939.7370037509781</v>
          </cell>
          <cell r="CM45"/>
          <cell r="CN45"/>
          <cell r="CO45"/>
          <cell r="CP45"/>
          <cell r="CQ45">
            <v>8411.4762998948336</v>
          </cell>
          <cell r="CR45"/>
          <cell r="CS45"/>
          <cell r="CT45"/>
          <cell r="CU45"/>
          <cell r="CV45">
            <v>6748.5630650031035</v>
          </cell>
          <cell r="CW45">
            <v>7373.857985424288</v>
          </cell>
          <cell r="CX45">
            <v>7730.2737222060669</v>
          </cell>
          <cell r="CY45">
            <v>7986.9537210345788</v>
          </cell>
        </row>
        <row r="46">
          <cell r="B46" t="str">
            <v>Inventory</v>
          </cell>
          <cell r="C46" t="str">
            <v>STOCKS</v>
          </cell>
          <cell r="D46" t="str">
            <v>EUR</v>
          </cell>
          <cell r="F46">
            <v>2081</v>
          </cell>
          <cell r="G46">
            <v>2469</v>
          </cell>
          <cell r="H46">
            <v>2700</v>
          </cell>
          <cell r="I46">
            <v>3279</v>
          </cell>
          <cell r="J46">
            <v>3075</v>
          </cell>
          <cell r="K46"/>
          <cell r="L46"/>
          <cell r="M46"/>
          <cell r="N46"/>
          <cell r="O46">
            <v>15425</v>
          </cell>
          <cell r="P46"/>
          <cell r="Q46"/>
          <cell r="R46"/>
          <cell r="S46"/>
          <cell r="T46">
            <v>16892</v>
          </cell>
          <cell r="U46"/>
          <cell r="V46"/>
          <cell r="W46"/>
          <cell r="X46"/>
          <cell r="Y46">
            <v>18906</v>
          </cell>
          <cell r="Z46"/>
          <cell r="AA46"/>
          <cell r="AB46"/>
          <cell r="AC46"/>
          <cell r="AD46">
            <v>19452</v>
          </cell>
          <cell r="AE46"/>
          <cell r="AF46"/>
          <cell r="AG46"/>
          <cell r="AH46"/>
          <cell r="AI46">
            <v>21577</v>
          </cell>
          <cell r="AJ46"/>
          <cell r="AK46"/>
          <cell r="AL46"/>
          <cell r="AM46"/>
          <cell r="AN46">
            <v>20862</v>
          </cell>
          <cell r="AO46"/>
          <cell r="AP46"/>
          <cell r="AQ46"/>
          <cell r="AR46"/>
          <cell r="AS46">
            <v>22563</v>
          </cell>
          <cell r="AT46"/>
          <cell r="AU46"/>
          <cell r="AV46"/>
          <cell r="AW46"/>
          <cell r="AX46">
            <v>23216</v>
          </cell>
          <cell r="AY46"/>
          <cell r="AZ46"/>
          <cell r="BA46"/>
          <cell r="BB46"/>
          <cell r="BC46">
            <v>25060</v>
          </cell>
          <cell r="BD46"/>
          <cell r="BE46"/>
          <cell r="BF46"/>
          <cell r="BG46"/>
          <cell r="BH46">
            <v>25355</v>
          </cell>
          <cell r="BI46"/>
          <cell r="BJ46"/>
          <cell r="BK46"/>
          <cell r="BL46"/>
          <cell r="BM46">
            <v>29051</v>
          </cell>
          <cell r="BN46"/>
          <cell r="BO46"/>
          <cell r="BP46"/>
          <cell r="BQ46"/>
          <cell r="BR46">
            <v>29688</v>
          </cell>
          <cell r="BS46"/>
          <cell r="BT46"/>
          <cell r="BU46"/>
          <cell r="BV46"/>
          <cell r="BW46">
            <v>31464</v>
          </cell>
          <cell r="BX46"/>
          <cell r="BY46"/>
          <cell r="BZ46"/>
          <cell r="CA46"/>
          <cell r="CB46">
            <v>31891</v>
          </cell>
          <cell r="CC46"/>
          <cell r="CD46"/>
          <cell r="CE46"/>
          <cell r="CF46"/>
          <cell r="CG46">
            <v>31550</v>
          </cell>
          <cell r="CH46"/>
          <cell r="CI46"/>
          <cell r="CJ46"/>
          <cell r="CK46"/>
          <cell r="CL46">
            <v>24175.811405345492</v>
          </cell>
          <cell r="CM46"/>
          <cell r="CN46"/>
          <cell r="CO46"/>
          <cell r="CP46"/>
          <cell r="CQ46">
            <v>27275.502599948297</v>
          </cell>
          <cell r="CR46"/>
          <cell r="CS46"/>
          <cell r="CT46"/>
          <cell r="CU46"/>
          <cell r="CV46">
            <v>28699.45676507488</v>
          </cell>
          <cell r="CW46">
            <v>31358.633890811718</v>
          </cell>
          <cell r="CX46">
            <v>32874.354782745955</v>
          </cell>
          <cell r="CY46">
            <v>33965.931827797242</v>
          </cell>
        </row>
        <row r="47">
          <cell r="B47" t="str">
            <v>Other current assets</v>
          </cell>
          <cell r="C47" t="str">
            <v>OTH_CUR_ASS</v>
          </cell>
          <cell r="D47" t="str">
            <v>EUR</v>
          </cell>
          <cell r="F47">
            <v>3278</v>
          </cell>
          <cell r="G47">
            <v>3378</v>
          </cell>
          <cell r="H47">
            <v>6221</v>
          </cell>
          <cell r="I47">
            <v>11231</v>
          </cell>
          <cell r="J47">
            <v>12056</v>
          </cell>
          <cell r="K47"/>
          <cell r="L47"/>
          <cell r="M47"/>
          <cell r="N47"/>
          <cell r="O47">
            <v>3675</v>
          </cell>
          <cell r="P47"/>
          <cell r="Q47"/>
          <cell r="R47"/>
          <cell r="S47"/>
          <cell r="T47">
            <v>5170</v>
          </cell>
          <cell r="U47"/>
          <cell r="V47"/>
          <cell r="W47"/>
          <cell r="X47"/>
          <cell r="Y47">
            <v>7311</v>
          </cell>
          <cell r="Z47"/>
          <cell r="AA47"/>
          <cell r="AB47"/>
          <cell r="AC47"/>
          <cell r="AD47">
            <v>8765</v>
          </cell>
          <cell r="AE47"/>
          <cell r="AF47"/>
          <cell r="AG47"/>
          <cell r="AH47"/>
          <cell r="AI47">
            <v>8310</v>
          </cell>
          <cell r="AJ47"/>
          <cell r="AK47"/>
          <cell r="AL47"/>
          <cell r="AM47"/>
          <cell r="AN47">
            <v>9466</v>
          </cell>
          <cell r="AO47"/>
          <cell r="AP47"/>
          <cell r="AQ47"/>
          <cell r="AR47"/>
          <cell r="AS47">
            <v>8775</v>
          </cell>
          <cell r="AT47"/>
          <cell r="AU47"/>
          <cell r="AV47"/>
          <cell r="AW47"/>
          <cell r="AX47">
            <v>6567</v>
          </cell>
          <cell r="AY47"/>
          <cell r="AZ47"/>
          <cell r="BA47"/>
          <cell r="BB47"/>
          <cell r="BC47">
            <v>7034</v>
          </cell>
          <cell r="BD47"/>
          <cell r="BE47"/>
          <cell r="BF47"/>
          <cell r="BG47"/>
          <cell r="BH47">
            <v>7508</v>
          </cell>
          <cell r="BI47"/>
          <cell r="BJ47"/>
          <cell r="BK47"/>
          <cell r="BL47"/>
          <cell r="BM47">
            <v>7047</v>
          </cell>
          <cell r="BN47"/>
          <cell r="BO47"/>
          <cell r="BP47"/>
          <cell r="BQ47"/>
          <cell r="BR47">
            <v>7016</v>
          </cell>
          <cell r="BS47"/>
          <cell r="BT47"/>
          <cell r="BU47"/>
          <cell r="BV47"/>
          <cell r="BW47">
            <v>7956</v>
          </cell>
          <cell r="BX47"/>
          <cell r="BY47"/>
          <cell r="BZ47"/>
          <cell r="CA47"/>
          <cell r="CB47">
            <v>11252</v>
          </cell>
          <cell r="CC47"/>
          <cell r="CD47"/>
          <cell r="CE47"/>
          <cell r="CF47"/>
          <cell r="CG47">
            <v>10185</v>
          </cell>
          <cell r="CH47"/>
          <cell r="CI47"/>
          <cell r="CJ47"/>
          <cell r="CK47"/>
          <cell r="CL47">
            <v>10185.000000000007</v>
          </cell>
          <cell r="CM47"/>
          <cell r="CN47"/>
          <cell r="CO47"/>
          <cell r="CP47"/>
          <cell r="CQ47">
            <v>10185</v>
          </cell>
          <cell r="CR47"/>
          <cell r="CS47"/>
          <cell r="CT47"/>
          <cell r="CU47"/>
          <cell r="CV47">
            <v>10184.999999999993</v>
          </cell>
          <cell r="CW47">
            <v>10185</v>
          </cell>
          <cell r="CX47">
            <v>10185</v>
          </cell>
          <cell r="CY47">
            <v>10185</v>
          </cell>
        </row>
        <row r="48">
          <cell r="B48" t="str">
            <v>Total current assets</v>
          </cell>
          <cell r="C48" t="str">
            <v>CUR_ASS</v>
          </cell>
          <cell r="D48" t="str">
            <v>EUR</v>
          </cell>
          <cell r="F48">
            <v>17399</v>
          </cell>
          <cell r="G48">
            <v>19063</v>
          </cell>
          <cell r="H48">
            <v>19235</v>
          </cell>
          <cell r="I48">
            <v>26383</v>
          </cell>
          <cell r="J48">
            <v>28721</v>
          </cell>
          <cell r="K48"/>
          <cell r="L48"/>
          <cell r="M48"/>
          <cell r="N48"/>
          <cell r="O48">
            <v>34488</v>
          </cell>
          <cell r="P48"/>
          <cell r="Q48"/>
          <cell r="R48"/>
          <cell r="S48"/>
          <cell r="T48">
            <v>35057</v>
          </cell>
          <cell r="U48"/>
          <cell r="V48"/>
          <cell r="W48"/>
          <cell r="X48"/>
          <cell r="Y48">
            <v>38405</v>
          </cell>
          <cell r="Z48"/>
          <cell r="AA48"/>
          <cell r="AB48"/>
          <cell r="AC48"/>
          <cell r="AD48">
            <v>40229</v>
          </cell>
          <cell r="AE48"/>
          <cell r="AF48"/>
          <cell r="AG48"/>
          <cell r="AH48"/>
          <cell r="AI48">
            <v>42512</v>
          </cell>
          <cell r="AJ48"/>
          <cell r="AK48"/>
          <cell r="AL48"/>
          <cell r="AM48"/>
          <cell r="AN48">
            <v>41990</v>
          </cell>
          <cell r="AO48"/>
          <cell r="AP48"/>
          <cell r="AQ48"/>
          <cell r="AR48"/>
          <cell r="AS48">
            <v>43016</v>
          </cell>
          <cell r="AT48"/>
          <cell r="AU48"/>
          <cell r="AV48"/>
          <cell r="AW48"/>
          <cell r="AX48">
            <v>45327</v>
          </cell>
          <cell r="AY48"/>
          <cell r="AZ48"/>
          <cell r="BA48"/>
          <cell r="BB48"/>
          <cell r="BC48">
            <v>47098</v>
          </cell>
          <cell r="BD48"/>
          <cell r="BE48"/>
          <cell r="BF48"/>
          <cell r="BG48"/>
          <cell r="BH48">
            <v>46932</v>
          </cell>
          <cell r="BI48"/>
          <cell r="BJ48"/>
          <cell r="BK48"/>
          <cell r="BL48"/>
          <cell r="BM48">
            <v>51464</v>
          </cell>
          <cell r="BN48"/>
          <cell r="BO48"/>
          <cell r="BP48"/>
          <cell r="BQ48"/>
          <cell r="BR48">
            <v>54948</v>
          </cell>
          <cell r="BS48"/>
          <cell r="BT48"/>
          <cell r="BU48"/>
          <cell r="BV48"/>
          <cell r="BW48">
            <v>59794</v>
          </cell>
          <cell r="BX48"/>
          <cell r="BY48"/>
          <cell r="BZ48"/>
          <cell r="CA48"/>
          <cell r="CB48">
            <v>58634</v>
          </cell>
          <cell r="CC48"/>
          <cell r="CD48"/>
          <cell r="CE48"/>
          <cell r="CF48"/>
          <cell r="CG48">
            <v>56723</v>
          </cell>
          <cell r="CH48"/>
          <cell r="CI48"/>
          <cell r="CJ48"/>
          <cell r="CK48"/>
          <cell r="CL48">
            <v>41391.760450215501</v>
          </cell>
          <cell r="CM48"/>
          <cell r="CN48"/>
          <cell r="CO48"/>
          <cell r="CP48"/>
          <cell r="CQ48">
            <v>48499.429099381778</v>
          </cell>
          <cell r="CR48"/>
          <cell r="CS48"/>
          <cell r="CT48"/>
          <cell r="CU48"/>
          <cell r="CV48">
            <v>54616.074237255496</v>
          </cell>
          <cell r="CW48">
            <v>59378.131772214125</v>
          </cell>
          <cell r="CX48">
            <v>60220.700341126503</v>
          </cell>
          <cell r="CY48">
            <v>63773.815095547434</v>
          </cell>
        </row>
        <row r="49">
          <cell r="B49" t="str">
            <v>Gross fixed assets, PP&amp;E</v>
          </cell>
          <cell r="C49" t="str">
            <v>GR_FIX_ASS</v>
          </cell>
          <cell r="D49" t="str">
            <v>EUR</v>
          </cell>
          <cell r="F49">
            <v>12540</v>
          </cell>
          <cell r="G49">
            <v>16419</v>
          </cell>
          <cell r="H49">
            <v>16419</v>
          </cell>
          <cell r="I49">
            <v>19537</v>
          </cell>
          <cell r="J49">
            <v>21735</v>
          </cell>
          <cell r="K49"/>
          <cell r="L49"/>
          <cell r="M49"/>
          <cell r="N49"/>
          <cell r="O49">
            <v>23629</v>
          </cell>
          <cell r="P49"/>
          <cell r="Q49"/>
          <cell r="R49"/>
          <cell r="S49"/>
          <cell r="T49">
            <v>24890</v>
          </cell>
          <cell r="U49"/>
          <cell r="V49"/>
          <cell r="W49"/>
          <cell r="X49"/>
          <cell r="Y49">
            <v>23936</v>
          </cell>
          <cell r="Z49"/>
          <cell r="AA49"/>
          <cell r="AB49"/>
          <cell r="AC49"/>
          <cell r="AD49">
            <v>22487</v>
          </cell>
          <cell r="AE49"/>
          <cell r="AF49"/>
          <cell r="AG49"/>
          <cell r="AH49"/>
          <cell r="AI49">
            <v>24104</v>
          </cell>
          <cell r="AJ49"/>
          <cell r="AK49"/>
          <cell r="AL49"/>
          <cell r="AM49"/>
          <cell r="AN49">
            <v>26110</v>
          </cell>
          <cell r="AO49"/>
          <cell r="AP49"/>
          <cell r="AQ49"/>
          <cell r="AR49"/>
          <cell r="AS49">
            <v>28313</v>
          </cell>
          <cell r="AT49"/>
          <cell r="AU49"/>
          <cell r="AV49"/>
          <cell r="AW49"/>
          <cell r="AX49">
            <v>31222</v>
          </cell>
          <cell r="AY49"/>
          <cell r="AZ49"/>
          <cell r="BA49"/>
          <cell r="BB49"/>
          <cell r="BC49">
            <v>32535</v>
          </cell>
          <cell r="BD49"/>
          <cell r="BE49"/>
          <cell r="BF49"/>
          <cell r="BG49"/>
          <cell r="BH49">
            <v>34024</v>
          </cell>
          <cell r="BI49"/>
          <cell r="BJ49"/>
          <cell r="BK49"/>
          <cell r="BL49"/>
          <cell r="BM49">
            <v>36712</v>
          </cell>
          <cell r="BN49"/>
          <cell r="BO49"/>
          <cell r="BP49"/>
          <cell r="BQ49"/>
          <cell r="BR49">
            <v>36180</v>
          </cell>
          <cell r="BS49"/>
          <cell r="BT49"/>
          <cell r="BU49"/>
          <cell r="BV49"/>
          <cell r="BW49">
            <v>36753</v>
          </cell>
          <cell r="BX49"/>
          <cell r="BY49"/>
          <cell r="BZ49"/>
          <cell r="CA49"/>
          <cell r="CB49">
            <v>38524.352515642808</v>
          </cell>
          <cell r="CC49"/>
          <cell r="CD49"/>
          <cell r="CE49"/>
          <cell r="CF49"/>
          <cell r="CG49">
            <v>40429.069409876487</v>
          </cell>
          <cell r="CH49"/>
          <cell r="CI49"/>
          <cell r="CJ49"/>
          <cell r="CK49"/>
          <cell r="CL49">
            <v>42138.869135400433</v>
          </cell>
          <cell r="CM49"/>
          <cell r="CN49"/>
          <cell r="CO49"/>
          <cell r="CP49"/>
          <cell r="CQ49">
            <v>43848.668860924379</v>
          </cell>
          <cell r="CR49"/>
          <cell r="CS49"/>
          <cell r="CT49"/>
          <cell r="CU49"/>
          <cell r="CV49">
            <v>45985.918517829312</v>
          </cell>
          <cell r="CW49">
            <v>48336.893140424741</v>
          </cell>
          <cell r="CX49">
            <v>50901.592728710661</v>
          </cell>
          <cell r="CY49">
            <v>53680.017282687077</v>
          </cell>
        </row>
        <row r="50">
          <cell r="B50" t="str">
            <v>Accumulated depreciation</v>
          </cell>
          <cell r="C50" t="str">
            <v>ACC_DDA</v>
          </cell>
          <cell r="D50" t="str">
            <v>EUR</v>
          </cell>
          <cell r="F50">
            <v>-4420</v>
          </cell>
          <cell r="G50">
            <v>-6369</v>
          </cell>
          <cell r="H50">
            <v>-5910</v>
          </cell>
          <cell r="I50">
            <v>-8089</v>
          </cell>
          <cell r="J50">
            <v>-8830</v>
          </cell>
          <cell r="K50"/>
          <cell r="L50"/>
          <cell r="M50"/>
          <cell r="N50"/>
          <cell r="O50">
            <v>-9678</v>
          </cell>
          <cell r="P50"/>
          <cell r="Q50"/>
          <cell r="R50"/>
          <cell r="S50"/>
          <cell r="T50">
            <v>-10575</v>
          </cell>
          <cell r="U50"/>
          <cell r="V50"/>
          <cell r="W50"/>
          <cell r="X50"/>
          <cell r="Y50">
            <v>-10447</v>
          </cell>
          <cell r="Z50"/>
          <cell r="AA50"/>
          <cell r="AB50"/>
          <cell r="AC50"/>
          <cell r="AD50">
            <v>-10244</v>
          </cell>
          <cell r="AE50"/>
          <cell r="AF50"/>
          <cell r="AG50"/>
          <cell r="AH50"/>
          <cell r="AI50">
            <v>-11518</v>
          </cell>
          <cell r="AJ50"/>
          <cell r="AK50"/>
          <cell r="AL50"/>
          <cell r="AM50"/>
          <cell r="AN50">
            <v>-12606</v>
          </cell>
          <cell r="AO50"/>
          <cell r="AP50"/>
          <cell r="AQ50"/>
          <cell r="AR50"/>
          <cell r="AS50">
            <v>-14093</v>
          </cell>
          <cell r="AT50"/>
          <cell r="AU50"/>
          <cell r="AV50"/>
          <cell r="AW50"/>
          <cell r="AX50">
            <v>-15954</v>
          </cell>
          <cell r="AY50"/>
          <cell r="AZ50"/>
          <cell r="BA50"/>
          <cell r="BB50"/>
          <cell r="BC50">
            <v>-16610</v>
          </cell>
          <cell r="BD50"/>
          <cell r="BE50"/>
          <cell r="BF50"/>
          <cell r="BG50"/>
          <cell r="BH50">
            <v>-17636</v>
          </cell>
          <cell r="BI50"/>
          <cell r="BJ50"/>
          <cell r="BK50"/>
          <cell r="BL50"/>
          <cell r="BM50">
            <v>-19519</v>
          </cell>
          <cell r="BN50"/>
          <cell r="BO50"/>
          <cell r="BP50"/>
          <cell r="BQ50"/>
          <cell r="BR50">
            <v>-19262</v>
          </cell>
          <cell r="BS50"/>
          <cell r="BT50"/>
          <cell r="BU50"/>
          <cell r="BV50"/>
          <cell r="BW50">
            <v>-20140</v>
          </cell>
          <cell r="BX50"/>
          <cell r="BY50"/>
          <cell r="BZ50"/>
          <cell r="CA50"/>
          <cell r="CB50">
            <v>-21748.352515642808</v>
          </cell>
          <cell r="CC50"/>
          <cell r="CD50"/>
          <cell r="CE50"/>
          <cell r="CF50"/>
          <cell r="CG50">
            <v>-23133.069409876487</v>
          </cell>
          <cell r="CH50"/>
          <cell r="CI50"/>
          <cell r="CJ50"/>
          <cell r="CK50"/>
          <cell r="CL50">
            <v>-24972.269135400435</v>
          </cell>
          <cell r="CM50"/>
          <cell r="CN50"/>
          <cell r="CO50"/>
          <cell r="CP50"/>
          <cell r="CQ50">
            <v>-26798.52886092438</v>
          </cell>
          <cell r="CR50"/>
          <cell r="CS50"/>
          <cell r="CT50"/>
          <cell r="CU50"/>
          <cell r="CV50">
            <v>-28640.592517829311</v>
          </cell>
          <cell r="CW50">
            <v>-30525.899740424742</v>
          </cell>
          <cell r="CX50">
            <v>-32471.498668710661</v>
          </cell>
          <cell r="CY50">
            <v>-34492.732628687081</v>
          </cell>
        </row>
        <row r="51">
          <cell r="B51" t="str">
            <v>Net PP&amp;E</v>
          </cell>
          <cell r="C51" t="str">
            <v>NET_FIX_ASS</v>
          </cell>
          <cell r="D51" t="str">
            <v>EUR</v>
          </cell>
          <cell r="F51">
            <v>8120</v>
          </cell>
          <cell r="G51">
            <v>10050</v>
          </cell>
          <cell r="H51">
            <v>10509</v>
          </cell>
          <cell r="I51">
            <v>11448</v>
          </cell>
          <cell r="J51">
            <v>12905</v>
          </cell>
          <cell r="K51"/>
          <cell r="L51"/>
          <cell r="M51"/>
          <cell r="N51"/>
          <cell r="O51">
            <v>13951</v>
          </cell>
          <cell r="P51"/>
          <cell r="Q51"/>
          <cell r="R51"/>
          <cell r="S51"/>
          <cell r="T51">
            <v>14315</v>
          </cell>
          <cell r="U51"/>
          <cell r="V51"/>
          <cell r="W51"/>
          <cell r="X51"/>
          <cell r="Y51">
            <v>13489</v>
          </cell>
          <cell r="Z51"/>
          <cell r="AA51"/>
          <cell r="AB51"/>
          <cell r="AC51"/>
          <cell r="AD51">
            <v>12243</v>
          </cell>
          <cell r="AE51"/>
          <cell r="AF51"/>
          <cell r="AG51"/>
          <cell r="AH51"/>
          <cell r="AI51">
            <v>12586</v>
          </cell>
          <cell r="AJ51"/>
          <cell r="AK51"/>
          <cell r="AL51"/>
          <cell r="AM51"/>
          <cell r="AN51">
            <v>13504</v>
          </cell>
          <cell r="AO51"/>
          <cell r="AP51"/>
          <cell r="AQ51"/>
          <cell r="AR51"/>
          <cell r="AS51">
            <v>14220</v>
          </cell>
          <cell r="AT51"/>
          <cell r="AU51"/>
          <cell r="AV51"/>
          <cell r="AW51"/>
          <cell r="AX51">
            <v>15268</v>
          </cell>
          <cell r="AY51"/>
          <cell r="AZ51"/>
          <cell r="BA51"/>
          <cell r="BB51"/>
          <cell r="BC51">
            <v>15925</v>
          </cell>
          <cell r="BD51"/>
          <cell r="BE51"/>
          <cell r="BF51"/>
          <cell r="BG51"/>
          <cell r="BH51">
            <v>16388</v>
          </cell>
          <cell r="BI51"/>
          <cell r="BJ51"/>
          <cell r="BK51"/>
          <cell r="BL51"/>
          <cell r="BM51">
            <v>17193</v>
          </cell>
          <cell r="BN51"/>
          <cell r="BO51"/>
          <cell r="BP51"/>
          <cell r="BQ51"/>
          <cell r="BR51">
            <v>16918</v>
          </cell>
          <cell r="BS51"/>
          <cell r="BT51"/>
          <cell r="BU51"/>
          <cell r="BV51"/>
          <cell r="BW51">
            <v>16613</v>
          </cell>
          <cell r="BX51"/>
          <cell r="BY51"/>
          <cell r="BZ51"/>
          <cell r="CA51"/>
          <cell r="CB51">
            <v>16776</v>
          </cell>
          <cell r="CC51"/>
          <cell r="CD51"/>
          <cell r="CE51"/>
          <cell r="CF51"/>
          <cell r="CG51">
            <v>17296</v>
          </cell>
          <cell r="CH51"/>
          <cell r="CI51"/>
          <cell r="CJ51"/>
          <cell r="CK51"/>
          <cell r="CL51">
            <v>17166.599999999999</v>
          </cell>
          <cell r="CM51"/>
          <cell r="CN51"/>
          <cell r="CO51"/>
          <cell r="CP51"/>
          <cell r="CQ51">
            <v>17050.14</v>
          </cell>
          <cell r="CR51"/>
          <cell r="CS51"/>
          <cell r="CT51"/>
          <cell r="CU51"/>
          <cell r="CV51">
            <v>17345.326000000001</v>
          </cell>
          <cell r="CW51">
            <v>17810.993399999999</v>
          </cell>
          <cell r="CX51">
            <v>18430.094059999999</v>
          </cell>
          <cell r="CY51">
            <v>19187.284653999999</v>
          </cell>
        </row>
        <row r="52">
          <cell r="B52" t="str">
            <v>Gross intangibles</v>
          </cell>
          <cell r="C52" t="str">
            <v>GR_INTANG</v>
          </cell>
          <cell r="D52" t="str">
            <v>EUR</v>
          </cell>
          <cell r="F52">
            <v>8747</v>
          </cell>
          <cell r="G52">
            <v>12641</v>
          </cell>
          <cell r="H52">
            <v>12641</v>
          </cell>
          <cell r="I52">
            <v>13360</v>
          </cell>
          <cell r="J52">
            <v>11616</v>
          </cell>
          <cell r="K52"/>
          <cell r="L52"/>
          <cell r="M52"/>
          <cell r="N52"/>
          <cell r="O52">
            <v>12795</v>
          </cell>
          <cell r="P52"/>
          <cell r="Q52"/>
          <cell r="R52"/>
          <cell r="S52"/>
          <cell r="T52">
            <v>12735</v>
          </cell>
          <cell r="U52"/>
          <cell r="V52"/>
          <cell r="W52"/>
          <cell r="X52"/>
          <cell r="Y52">
            <v>12910</v>
          </cell>
          <cell r="Z52"/>
          <cell r="AA52"/>
          <cell r="AB52"/>
          <cell r="AC52"/>
          <cell r="AD52">
            <v>13373</v>
          </cell>
          <cell r="AE52"/>
          <cell r="AF52"/>
          <cell r="AG52"/>
          <cell r="AH52"/>
          <cell r="AI52">
            <v>13605</v>
          </cell>
          <cell r="AJ52"/>
          <cell r="AK52"/>
          <cell r="AL52"/>
          <cell r="AM52"/>
          <cell r="AN52">
            <v>14023</v>
          </cell>
          <cell r="AO52"/>
          <cell r="AP52"/>
          <cell r="AQ52"/>
          <cell r="AR52"/>
          <cell r="AS52">
            <v>15871</v>
          </cell>
          <cell r="AT52"/>
          <cell r="AU52"/>
          <cell r="AV52"/>
          <cell r="AW52"/>
          <cell r="AX52">
            <v>16868</v>
          </cell>
          <cell r="AY52"/>
          <cell r="AZ52"/>
          <cell r="BA52"/>
          <cell r="BB52"/>
          <cell r="BC52">
            <v>17439</v>
          </cell>
          <cell r="BD52"/>
          <cell r="BE52"/>
          <cell r="BF52"/>
          <cell r="BG52"/>
          <cell r="BH52">
            <v>16849</v>
          </cell>
          <cell r="BI52"/>
          <cell r="BJ52"/>
          <cell r="BK52"/>
          <cell r="BL52"/>
          <cell r="BM52">
            <v>17056</v>
          </cell>
          <cell r="BN52"/>
          <cell r="BO52"/>
          <cell r="BP52"/>
          <cell r="BQ52"/>
          <cell r="BR52">
            <v>16768</v>
          </cell>
          <cell r="BS52"/>
          <cell r="BT52"/>
          <cell r="BU52"/>
          <cell r="BV52"/>
          <cell r="BW52">
            <v>16418</v>
          </cell>
          <cell r="BX52"/>
          <cell r="BY52"/>
          <cell r="BZ52"/>
          <cell r="CA52"/>
          <cell r="CB52">
            <v>21719</v>
          </cell>
          <cell r="CC52"/>
          <cell r="CD52"/>
          <cell r="CE52"/>
          <cell r="CF52"/>
          <cell r="CG52">
            <v>22056</v>
          </cell>
          <cell r="CH52"/>
          <cell r="CI52"/>
          <cell r="CJ52"/>
          <cell r="CK52"/>
          <cell r="CL52">
            <v>21214.130864599567</v>
          </cell>
          <cell r="CM52"/>
          <cell r="CN52"/>
          <cell r="CO52"/>
          <cell r="CP52"/>
          <cell r="CQ52">
            <v>21504.331139075621</v>
          </cell>
          <cell r="CR52"/>
          <cell r="CS52"/>
          <cell r="CT52"/>
          <cell r="CU52"/>
          <cell r="CV52">
            <v>21867.081482170688</v>
          </cell>
          <cell r="CW52">
            <v>22266.106859575259</v>
          </cell>
          <cell r="CX52">
            <v>22701.407271289339</v>
          </cell>
          <cell r="CY52">
            <v>23172.982717312923</v>
          </cell>
        </row>
        <row r="53">
          <cell r="B53" t="str">
            <v>Accumulated amortization</v>
          </cell>
          <cell r="C53" t="str">
            <v>ACC_AMORT</v>
          </cell>
          <cell r="D53" t="str">
            <v>EUR</v>
          </cell>
          <cell r="F53">
            <v>-582</v>
          </cell>
          <cell r="G53">
            <v>-2053</v>
          </cell>
          <cell r="H53">
            <v>-2852</v>
          </cell>
          <cell r="I53">
            <v>-3666</v>
          </cell>
          <cell r="J53">
            <v>-1608</v>
          </cell>
          <cell r="K53"/>
          <cell r="L53"/>
          <cell r="M53"/>
          <cell r="N53"/>
          <cell r="O53">
            <v>-1743</v>
          </cell>
          <cell r="P53"/>
          <cell r="Q53"/>
          <cell r="R53"/>
          <cell r="S53"/>
          <cell r="T53">
            <v>-1880</v>
          </cell>
          <cell r="U53"/>
          <cell r="V53"/>
          <cell r="W53"/>
          <cell r="X53"/>
          <cell r="Y53">
            <v>-2078</v>
          </cell>
          <cell r="Z53"/>
          <cell r="AA53"/>
          <cell r="AB53"/>
          <cell r="AC53"/>
          <cell r="AD53">
            <v>-2202</v>
          </cell>
          <cell r="AE53"/>
          <cell r="AF53"/>
          <cell r="AG53"/>
          <cell r="AH53"/>
          <cell r="AI53">
            <v>-2545</v>
          </cell>
          <cell r="AJ53"/>
          <cell r="AK53"/>
          <cell r="AL53"/>
          <cell r="AM53"/>
          <cell r="AN53">
            <v>-2724</v>
          </cell>
          <cell r="AO53"/>
          <cell r="AP53"/>
          <cell r="AQ53"/>
          <cell r="AR53"/>
          <cell r="AS53">
            <v>-3085</v>
          </cell>
          <cell r="AT53"/>
          <cell r="AU53"/>
          <cell r="AV53"/>
          <cell r="AW53"/>
          <cell r="AX53">
            <v>-3439</v>
          </cell>
          <cell r="AY53"/>
          <cell r="AZ53"/>
          <cell r="BA53"/>
          <cell r="BB53"/>
          <cell r="BC53">
            <v>-3786</v>
          </cell>
          <cell r="BD53"/>
          <cell r="BE53"/>
          <cell r="BF53"/>
          <cell r="BG53"/>
          <cell r="BH53">
            <v>-4091</v>
          </cell>
          <cell r="BI53"/>
          <cell r="BJ53"/>
          <cell r="BK53"/>
          <cell r="BL53"/>
          <cell r="BM53">
            <v>-4501</v>
          </cell>
          <cell r="BN53"/>
          <cell r="BO53"/>
          <cell r="BP53"/>
          <cell r="BQ53"/>
          <cell r="BR53">
            <v>-4700</v>
          </cell>
          <cell r="BS53"/>
          <cell r="BT53"/>
          <cell r="BU53"/>
          <cell r="BV53"/>
          <cell r="BW53">
            <v>-4789</v>
          </cell>
          <cell r="BX53"/>
          <cell r="BY53"/>
          <cell r="BZ53"/>
          <cell r="CA53"/>
          <cell r="CB53">
            <v>-5333.5740970254956</v>
          </cell>
          <cell r="CC53">
            <v>-5936.0274100077877</v>
          </cell>
          <cell r="CD53">
            <v>-6331.5047267246437</v>
          </cell>
          <cell r="CE53">
            <v>-6810.8525860040099</v>
          </cell>
          <cell r="CF53">
            <v>-7335.283701372191</v>
          </cell>
          <cell r="CG53">
            <v>-5936.0274100077877</v>
          </cell>
          <cell r="CH53">
            <v>-8509.0264021224957</v>
          </cell>
          <cell r="CI53">
            <v>-9129.6929066762732</v>
          </cell>
          <cell r="CJ53">
            <v>0</v>
          </cell>
          <cell r="CK53">
            <v>0</v>
          </cell>
          <cell r="CL53">
            <v>-6331.5047267246437</v>
          </cell>
          <cell r="CM53"/>
          <cell r="CN53"/>
          <cell r="CO53"/>
          <cell r="CP53"/>
          <cell r="CQ53">
            <v>-6810.8525860040099</v>
          </cell>
          <cell r="CR53"/>
          <cell r="CS53"/>
          <cell r="CT53"/>
          <cell r="CU53"/>
          <cell r="CV53">
            <v>-7335.283701372191</v>
          </cell>
          <cell r="CW53">
            <v>-7908.3065109116978</v>
          </cell>
          <cell r="CX53">
            <v>-8509.0264021224957</v>
          </cell>
          <cell r="CY53">
            <v>-9129.6929066762732</v>
          </cell>
        </row>
        <row r="54">
          <cell r="B54" t="str">
            <v>Net intangible assets</v>
          </cell>
          <cell r="C54" t="str">
            <v>NET_INTANG</v>
          </cell>
          <cell r="D54" t="str">
            <v>EUR</v>
          </cell>
          <cell r="F54">
            <v>8165</v>
          </cell>
          <cell r="G54">
            <v>10588</v>
          </cell>
          <cell r="H54">
            <v>9789</v>
          </cell>
          <cell r="I54">
            <v>9694</v>
          </cell>
          <cell r="J54">
            <v>10008</v>
          </cell>
          <cell r="K54"/>
          <cell r="L54"/>
          <cell r="M54"/>
          <cell r="N54"/>
          <cell r="O54">
            <v>11052</v>
          </cell>
          <cell r="P54"/>
          <cell r="Q54"/>
          <cell r="R54"/>
          <cell r="S54"/>
          <cell r="T54">
            <v>10855</v>
          </cell>
          <cell r="U54"/>
          <cell r="V54"/>
          <cell r="W54"/>
          <cell r="X54"/>
          <cell r="Y54">
            <v>10832</v>
          </cell>
          <cell r="Z54"/>
          <cell r="AA54"/>
          <cell r="AB54"/>
          <cell r="AC54"/>
          <cell r="AD54">
            <v>11171</v>
          </cell>
          <cell r="AE54"/>
          <cell r="AF54"/>
          <cell r="AG54"/>
          <cell r="AH54"/>
          <cell r="AI54">
            <v>11060</v>
          </cell>
          <cell r="AJ54"/>
          <cell r="AK54"/>
          <cell r="AL54"/>
          <cell r="AM54"/>
          <cell r="AN54">
            <v>11299</v>
          </cell>
          <cell r="AO54"/>
          <cell r="AP54"/>
          <cell r="AQ54"/>
          <cell r="AR54"/>
          <cell r="AS54">
            <v>12786</v>
          </cell>
          <cell r="AT54"/>
          <cell r="AU54"/>
          <cell r="AV54"/>
          <cell r="AW54"/>
          <cell r="AX54">
            <v>13429</v>
          </cell>
          <cell r="AY54"/>
          <cell r="AZ54"/>
          <cell r="BA54"/>
          <cell r="BB54"/>
          <cell r="BC54">
            <v>13653</v>
          </cell>
          <cell r="BD54"/>
          <cell r="BE54"/>
          <cell r="BF54"/>
          <cell r="BG54"/>
          <cell r="BH54">
            <v>12758</v>
          </cell>
          <cell r="BI54"/>
          <cell r="BJ54"/>
          <cell r="BK54"/>
          <cell r="BL54"/>
          <cell r="BM54">
            <v>12555</v>
          </cell>
          <cell r="BN54"/>
          <cell r="BO54"/>
          <cell r="BP54"/>
          <cell r="BQ54"/>
          <cell r="BR54">
            <v>12068</v>
          </cell>
          <cell r="BS54"/>
          <cell r="BT54"/>
          <cell r="BU54"/>
          <cell r="BV54"/>
          <cell r="BW54">
            <v>11629</v>
          </cell>
          <cell r="BX54"/>
          <cell r="BY54"/>
          <cell r="BZ54"/>
          <cell r="CA54"/>
          <cell r="CB54">
            <v>16726</v>
          </cell>
          <cell r="CC54"/>
          <cell r="CD54"/>
          <cell r="CE54"/>
          <cell r="CF54"/>
          <cell r="CG54">
            <v>16591</v>
          </cell>
          <cell r="CH54"/>
          <cell r="CI54"/>
          <cell r="CJ54"/>
          <cell r="CK54"/>
          <cell r="CL54">
            <v>16595.522683283147</v>
          </cell>
          <cell r="CM54"/>
          <cell r="CN54"/>
          <cell r="CO54"/>
          <cell r="CP54"/>
          <cell r="CQ54">
            <v>16516.174824003781</v>
          </cell>
          <cell r="CR54"/>
          <cell r="CS54"/>
          <cell r="CT54"/>
          <cell r="CU54"/>
          <cell r="CV54">
            <v>16491.7437086356</v>
          </cell>
          <cell r="CW54">
            <v>16468.720899096093</v>
          </cell>
          <cell r="CX54">
            <v>16468.001007885294</v>
          </cell>
          <cell r="CY54">
            <v>16497.334503331516</v>
          </cell>
        </row>
        <row r="55">
          <cell r="B55" t="str">
            <v>Equity method investments</v>
          </cell>
          <cell r="C55" t="str">
            <v>FIX_ASS_INV</v>
          </cell>
          <cell r="D55" t="str">
            <v>EUR</v>
          </cell>
          <cell r="F55">
            <v>1318</v>
          </cell>
          <cell r="G55">
            <v>1252</v>
          </cell>
          <cell r="H55">
            <v>1333</v>
          </cell>
          <cell r="I55">
            <v>1640</v>
          </cell>
          <cell r="J55">
            <v>1738</v>
          </cell>
          <cell r="K55"/>
          <cell r="L55"/>
          <cell r="M55"/>
          <cell r="N55"/>
          <cell r="O55">
            <v>1908</v>
          </cell>
          <cell r="P55"/>
          <cell r="Q55"/>
          <cell r="R55"/>
          <cell r="S55"/>
          <cell r="T55">
            <v>2095</v>
          </cell>
          <cell r="U55"/>
          <cell r="V55"/>
          <cell r="W55"/>
          <cell r="X55"/>
          <cell r="Y55">
            <v>2238</v>
          </cell>
          <cell r="Z55"/>
          <cell r="AA55"/>
          <cell r="AB55"/>
          <cell r="AC55"/>
          <cell r="AD55">
            <v>2356</v>
          </cell>
          <cell r="AE55"/>
          <cell r="AF55"/>
          <cell r="AG55"/>
          <cell r="AH55"/>
          <cell r="AI55">
            <v>2514</v>
          </cell>
          <cell r="AJ55"/>
          <cell r="AK55"/>
          <cell r="AL55"/>
          <cell r="AM55"/>
          <cell r="AN55">
            <v>2451</v>
          </cell>
          <cell r="AO55"/>
          <cell r="AP55"/>
          <cell r="AQ55"/>
          <cell r="AR55"/>
          <cell r="AS55">
            <v>2677</v>
          </cell>
          <cell r="AT55"/>
          <cell r="AU55"/>
          <cell r="AV55"/>
          <cell r="AW55"/>
          <cell r="AX55">
            <v>2662</v>
          </cell>
          <cell r="AY55"/>
          <cell r="AZ55"/>
          <cell r="BA55"/>
          <cell r="BB55"/>
          <cell r="BC55">
            <v>2902</v>
          </cell>
          <cell r="BD55"/>
          <cell r="BE55"/>
          <cell r="BF55"/>
          <cell r="BG55"/>
          <cell r="BH55">
            <v>3391</v>
          </cell>
          <cell r="BI55"/>
          <cell r="BJ55"/>
          <cell r="BK55"/>
          <cell r="BL55"/>
          <cell r="BM55">
            <v>1326</v>
          </cell>
          <cell r="BN55"/>
          <cell r="BO55"/>
          <cell r="BP55"/>
          <cell r="BQ55"/>
          <cell r="BR55">
            <v>1608</v>
          </cell>
          <cell r="BS55"/>
          <cell r="BT55"/>
          <cell r="BU55"/>
          <cell r="BV55"/>
          <cell r="BW55">
            <v>1678</v>
          </cell>
          <cell r="BX55"/>
          <cell r="BY55"/>
          <cell r="BZ55"/>
          <cell r="CA55"/>
          <cell r="CB55">
            <v>1693</v>
          </cell>
          <cell r="CC55"/>
          <cell r="CD55"/>
          <cell r="CE55"/>
          <cell r="CF55"/>
          <cell r="CG55">
            <v>1626</v>
          </cell>
          <cell r="CH55"/>
          <cell r="CI55"/>
          <cell r="CJ55"/>
          <cell r="CK55"/>
          <cell r="CL55">
            <v>1935.5478407378525</v>
          </cell>
          <cell r="CM55"/>
          <cell r="CN55"/>
          <cell r="CO55"/>
          <cell r="CP55"/>
          <cell r="CQ55">
            <v>2250.4558350975794</v>
          </cell>
          <cell r="CR55"/>
          <cell r="CS55"/>
          <cell r="CT55"/>
          <cell r="CU55"/>
          <cell r="CV55">
            <v>2571.6343613967383</v>
          </cell>
          <cell r="CW55">
            <v>2832.7317636875669</v>
          </cell>
          <cell r="CX55">
            <v>3106.8840360929371</v>
          </cell>
          <cell r="CY55">
            <v>3394.7439221185759</v>
          </cell>
        </row>
        <row r="56">
          <cell r="B56" t="str">
            <v>Investments in securities</v>
          </cell>
          <cell r="C56" t="str">
            <v>INV_SECUR</v>
          </cell>
          <cell r="D56" t="str">
            <v>EUR</v>
          </cell>
          <cell r="F56">
            <v>3291</v>
          </cell>
          <cell r="G56">
            <v>3474</v>
          </cell>
          <cell r="H56">
            <v>3542</v>
          </cell>
          <cell r="I56">
            <v>2489</v>
          </cell>
          <cell r="J56">
            <v>2352</v>
          </cell>
          <cell r="K56"/>
          <cell r="L56"/>
          <cell r="M56"/>
          <cell r="N56"/>
          <cell r="O56">
            <v>1938</v>
          </cell>
          <cell r="P56"/>
          <cell r="Q56"/>
          <cell r="R56"/>
          <cell r="S56"/>
          <cell r="T56">
            <v>1803</v>
          </cell>
          <cell r="U56"/>
          <cell r="V56"/>
          <cell r="W56"/>
          <cell r="X56"/>
          <cell r="Y56">
            <v>1649</v>
          </cell>
          <cell r="Z56"/>
          <cell r="AA56"/>
          <cell r="AB56"/>
          <cell r="AC56"/>
          <cell r="AD56">
            <v>1799</v>
          </cell>
          <cell r="AE56"/>
          <cell r="AF56"/>
          <cell r="AG56"/>
          <cell r="AH56"/>
          <cell r="AI56">
            <v>2288</v>
          </cell>
          <cell r="AJ56"/>
          <cell r="AK56"/>
          <cell r="AL56"/>
          <cell r="AM56"/>
          <cell r="AN56">
            <v>2463</v>
          </cell>
          <cell r="AO56"/>
          <cell r="AP56"/>
          <cell r="AQ56"/>
          <cell r="AR56"/>
          <cell r="AS56">
            <v>2426</v>
          </cell>
          <cell r="AT56"/>
          <cell r="AU56"/>
          <cell r="AV56"/>
          <cell r="AW56"/>
          <cell r="AX56">
            <v>2115</v>
          </cell>
          <cell r="AY56"/>
          <cell r="AZ56"/>
          <cell r="BA56"/>
          <cell r="BB56"/>
          <cell r="BC56">
            <v>1933</v>
          </cell>
          <cell r="BD56"/>
          <cell r="BE56"/>
          <cell r="BF56"/>
          <cell r="BG56"/>
          <cell r="BH56">
            <v>1836</v>
          </cell>
          <cell r="BI56"/>
          <cell r="BJ56"/>
          <cell r="BK56"/>
          <cell r="BL56"/>
          <cell r="BM56">
            <v>2558</v>
          </cell>
          <cell r="BN56"/>
          <cell r="BO56"/>
          <cell r="BP56"/>
          <cell r="BQ56"/>
          <cell r="BR56">
            <v>3660</v>
          </cell>
          <cell r="BS56"/>
          <cell r="BT56"/>
          <cell r="BU56"/>
          <cell r="BV56"/>
          <cell r="BW56">
            <v>4207</v>
          </cell>
          <cell r="BX56"/>
          <cell r="BY56"/>
          <cell r="BZ56"/>
          <cell r="CA56"/>
          <cell r="CB56">
            <v>3814</v>
          </cell>
          <cell r="CC56"/>
          <cell r="CD56"/>
          <cell r="CE56"/>
          <cell r="CF56"/>
          <cell r="CG56">
            <v>4455</v>
          </cell>
          <cell r="CH56"/>
          <cell r="CI56"/>
          <cell r="CJ56"/>
          <cell r="CK56"/>
          <cell r="CL56">
            <v>4455</v>
          </cell>
          <cell r="CM56"/>
          <cell r="CN56"/>
          <cell r="CO56"/>
          <cell r="CP56"/>
          <cell r="CQ56">
            <v>4455</v>
          </cell>
          <cell r="CR56"/>
          <cell r="CS56"/>
          <cell r="CT56"/>
          <cell r="CU56"/>
          <cell r="CV56">
            <v>4455</v>
          </cell>
          <cell r="CW56">
            <v>4455</v>
          </cell>
          <cell r="CX56">
            <v>4455</v>
          </cell>
          <cell r="CY56">
            <v>4455</v>
          </cell>
        </row>
        <row r="57">
          <cell r="B57" t="str">
            <v>Other long-term assets</v>
          </cell>
          <cell r="C57" t="str">
            <v>OTH_LT_ASS</v>
          </cell>
          <cell r="D57" t="str">
            <v>EUR</v>
          </cell>
          <cell r="F57">
            <v>3151</v>
          </cell>
          <cell r="G57">
            <v>4288</v>
          </cell>
          <cell r="H57">
            <v>2992</v>
          </cell>
          <cell r="I57">
            <v>2724</v>
          </cell>
          <cell r="J57">
            <v>2543</v>
          </cell>
          <cell r="K57"/>
          <cell r="L57"/>
          <cell r="M57"/>
          <cell r="N57"/>
          <cell r="O57">
            <v>7048</v>
          </cell>
          <cell r="P57"/>
          <cell r="Q57"/>
          <cell r="R57"/>
          <cell r="S57"/>
          <cell r="T57">
            <v>8012</v>
          </cell>
          <cell r="U57"/>
          <cell r="V57"/>
          <cell r="W57"/>
          <cell r="X57"/>
          <cell r="Y57">
            <v>8843</v>
          </cell>
          <cell r="Z57"/>
          <cell r="AA57"/>
          <cell r="AB57"/>
          <cell r="AC57"/>
          <cell r="AD57">
            <v>8355</v>
          </cell>
          <cell r="AE57"/>
          <cell r="AF57"/>
          <cell r="AG57"/>
          <cell r="AH57"/>
          <cell r="AI57">
            <v>9344</v>
          </cell>
          <cell r="AJ57"/>
          <cell r="AK57"/>
          <cell r="AL57"/>
          <cell r="AM57"/>
          <cell r="AN57">
            <v>11480</v>
          </cell>
          <cell r="AO57"/>
          <cell r="AP57"/>
          <cell r="AQ57"/>
          <cell r="AR57"/>
          <cell r="AS57">
            <v>13357</v>
          </cell>
          <cell r="AT57"/>
          <cell r="AU57"/>
          <cell r="AV57"/>
          <cell r="AW57"/>
          <cell r="AX57">
            <v>13320</v>
          </cell>
          <cell r="AY57"/>
          <cell r="AZ57"/>
          <cell r="BA57"/>
          <cell r="BB57"/>
          <cell r="BC57">
            <v>11800</v>
          </cell>
          <cell r="BD57"/>
          <cell r="BE57"/>
          <cell r="BF57"/>
          <cell r="BG57"/>
          <cell r="BH57">
            <v>14797</v>
          </cell>
          <cell r="BI57"/>
          <cell r="BJ57"/>
          <cell r="BK57"/>
          <cell r="BL57"/>
          <cell r="BM57">
            <v>21585</v>
          </cell>
          <cell r="BN57"/>
          <cell r="BO57"/>
          <cell r="BP57"/>
          <cell r="BQ57"/>
          <cell r="BR57">
            <v>21931</v>
          </cell>
          <cell r="BS57"/>
          <cell r="BT57"/>
          <cell r="BU57"/>
          <cell r="BV57"/>
          <cell r="BW57">
            <v>20016</v>
          </cell>
          <cell r="BX57"/>
          <cell r="BY57"/>
          <cell r="BZ57"/>
          <cell r="CA57"/>
          <cell r="CB57">
            <v>17555</v>
          </cell>
          <cell r="CC57"/>
          <cell r="CD57"/>
          <cell r="CE57"/>
          <cell r="CF57"/>
          <cell r="CG57">
            <v>17718</v>
          </cell>
          <cell r="CH57"/>
          <cell r="CI57"/>
          <cell r="CJ57"/>
          <cell r="CK57"/>
          <cell r="CL57">
            <v>11718.000000000002</v>
          </cell>
          <cell r="CM57"/>
          <cell r="CN57"/>
          <cell r="CO57"/>
          <cell r="CP57"/>
          <cell r="CQ57">
            <v>11718.000000000004</v>
          </cell>
          <cell r="CR57"/>
          <cell r="CS57"/>
          <cell r="CT57"/>
          <cell r="CU57"/>
          <cell r="CV57">
            <v>11718.000000000002</v>
          </cell>
          <cell r="CW57">
            <v>11718.000000000007</v>
          </cell>
          <cell r="CX57">
            <v>11717.999999999995</v>
          </cell>
          <cell r="CY57">
            <v>11718.000000000013</v>
          </cell>
        </row>
        <row r="58">
          <cell r="B58" t="str">
            <v>Total assets</v>
          </cell>
          <cell r="C58" t="str">
            <v>TOT_ASSET</v>
          </cell>
          <cell r="D58" t="str">
            <v>EUR</v>
          </cell>
          <cell r="F58">
            <v>40126</v>
          </cell>
          <cell r="G58">
            <v>47463</v>
          </cell>
          <cell r="H58">
            <v>46067</v>
          </cell>
          <cell r="I58">
            <v>52738</v>
          </cell>
          <cell r="J58">
            <v>56529</v>
          </cell>
          <cell r="K58"/>
          <cell r="L58"/>
          <cell r="M58"/>
          <cell r="N58"/>
          <cell r="O58">
            <v>68477</v>
          </cell>
          <cell r="P58"/>
          <cell r="Q58"/>
          <cell r="R58"/>
          <cell r="S58"/>
          <cell r="T58">
            <v>72137</v>
          </cell>
          <cell r="U58"/>
          <cell r="V58"/>
          <cell r="W58"/>
          <cell r="X58"/>
          <cell r="Y58">
            <v>75456</v>
          </cell>
          <cell r="Z58"/>
          <cell r="AA58"/>
          <cell r="AB58"/>
          <cell r="AC58"/>
          <cell r="AD58">
            <v>76153</v>
          </cell>
          <cell r="AE58"/>
          <cell r="AF58"/>
          <cell r="AG58"/>
          <cell r="AH58"/>
          <cell r="AI58">
            <v>80304</v>
          </cell>
          <cell r="AJ58"/>
          <cell r="AK58"/>
          <cell r="AL58"/>
          <cell r="AM58"/>
          <cell r="AN58">
            <v>83187</v>
          </cell>
          <cell r="AO58"/>
          <cell r="AP58"/>
          <cell r="AQ58"/>
          <cell r="AR58"/>
          <cell r="AS58">
            <v>88482</v>
          </cell>
          <cell r="AT58"/>
          <cell r="AU58"/>
          <cell r="AV58"/>
          <cell r="AW58"/>
          <cell r="AX58">
            <v>92121</v>
          </cell>
          <cell r="AY58"/>
          <cell r="AZ58"/>
          <cell r="BA58"/>
          <cell r="BB58"/>
          <cell r="BC58">
            <v>93311</v>
          </cell>
          <cell r="BD58"/>
          <cell r="BE58"/>
          <cell r="BF58"/>
          <cell r="BG58"/>
          <cell r="BH58">
            <v>96102</v>
          </cell>
          <cell r="BI58"/>
          <cell r="BJ58"/>
          <cell r="BK58"/>
          <cell r="BL58"/>
          <cell r="BM58">
            <v>106681</v>
          </cell>
          <cell r="BN58"/>
          <cell r="BO58"/>
          <cell r="BP58"/>
          <cell r="BQ58"/>
          <cell r="BR58">
            <v>111133</v>
          </cell>
          <cell r="BS58"/>
          <cell r="BT58"/>
          <cell r="BU58"/>
          <cell r="BV58"/>
          <cell r="BW58">
            <v>113937</v>
          </cell>
          <cell r="BX58"/>
          <cell r="BY58"/>
          <cell r="BZ58"/>
          <cell r="CA58"/>
          <cell r="CB58">
            <v>115198</v>
          </cell>
          <cell r="CC58"/>
          <cell r="CD58"/>
          <cell r="CE58"/>
          <cell r="CF58"/>
          <cell r="CG58">
            <v>114409</v>
          </cell>
          <cell r="CH58"/>
          <cell r="CI58"/>
          <cell r="CJ58"/>
          <cell r="CK58"/>
          <cell r="CL58">
            <v>93262.4309742365</v>
          </cell>
          <cell r="CM58"/>
          <cell r="CN58"/>
          <cell r="CO58"/>
          <cell r="CP58"/>
          <cell r="CQ58">
            <v>100489.19975848314</v>
          </cell>
          <cell r="CR58"/>
          <cell r="CS58"/>
          <cell r="CT58"/>
          <cell r="CU58"/>
          <cell r="CV58">
            <v>107197.77830728784</v>
          </cell>
          <cell r="CW58">
            <v>112663.57783499779</v>
          </cell>
          <cell r="CX58">
            <v>114398.67944510473</v>
          </cell>
          <cell r="CY58">
            <v>119026.17817499753</v>
          </cell>
        </row>
        <row r="59">
          <cell r="B59" t="str">
            <v>Accounts payable</v>
          </cell>
          <cell r="C59" t="str">
            <v>ACC_PAY_GQ</v>
          </cell>
          <cell r="D59" t="str">
            <v>EUR</v>
          </cell>
          <cell r="F59">
            <v>4268</v>
          </cell>
          <cell r="G59">
            <v>5466</v>
          </cell>
          <cell r="H59">
            <v>5070</v>
          </cell>
          <cell r="I59">
            <v>5117</v>
          </cell>
          <cell r="J59">
            <v>5860</v>
          </cell>
          <cell r="K59"/>
          <cell r="L59"/>
          <cell r="M59"/>
          <cell r="N59"/>
          <cell r="O59">
            <v>6634</v>
          </cell>
          <cell r="P59"/>
          <cell r="Q59"/>
          <cell r="R59"/>
          <cell r="S59"/>
          <cell r="T59">
            <v>7461</v>
          </cell>
          <cell r="U59"/>
          <cell r="V59"/>
          <cell r="W59"/>
          <cell r="X59"/>
          <cell r="Y59">
            <v>7398</v>
          </cell>
          <cell r="Z59"/>
          <cell r="AA59"/>
          <cell r="AB59"/>
          <cell r="AC59"/>
          <cell r="AD59">
            <v>7824</v>
          </cell>
          <cell r="AE59"/>
          <cell r="AF59"/>
          <cell r="AG59"/>
          <cell r="AH59"/>
          <cell r="AI59">
            <v>8217</v>
          </cell>
          <cell r="AJ59"/>
          <cell r="AK59"/>
          <cell r="AL59"/>
          <cell r="AM59"/>
          <cell r="AN59">
            <v>8546</v>
          </cell>
          <cell r="AO59"/>
          <cell r="AP59"/>
          <cell r="AQ59"/>
          <cell r="AR59"/>
          <cell r="AS59">
            <v>9630</v>
          </cell>
          <cell r="AT59"/>
          <cell r="AU59"/>
          <cell r="AV59"/>
          <cell r="AW59"/>
          <cell r="AX59">
            <v>9921</v>
          </cell>
          <cell r="AY59"/>
          <cell r="AZ59"/>
          <cell r="BA59"/>
          <cell r="BB59"/>
          <cell r="BC59">
            <v>10372</v>
          </cell>
          <cell r="BD59"/>
          <cell r="BE59"/>
          <cell r="BF59"/>
          <cell r="BG59"/>
          <cell r="BH59">
            <v>10183</v>
          </cell>
          <cell r="BI59"/>
          <cell r="BJ59"/>
          <cell r="BK59"/>
          <cell r="BL59"/>
          <cell r="BM59">
            <v>11763</v>
          </cell>
          <cell r="BN59"/>
          <cell r="BO59"/>
          <cell r="BP59"/>
          <cell r="BQ59"/>
          <cell r="BR59">
            <v>12532</v>
          </cell>
          <cell r="BS59"/>
          <cell r="BT59"/>
          <cell r="BU59"/>
          <cell r="BV59"/>
          <cell r="BW59">
            <v>13444</v>
          </cell>
          <cell r="BX59"/>
          <cell r="BY59"/>
          <cell r="BZ59"/>
          <cell r="CA59"/>
          <cell r="CB59">
            <v>16237</v>
          </cell>
          <cell r="CC59"/>
          <cell r="CD59"/>
          <cell r="CE59"/>
          <cell r="CF59"/>
          <cell r="CG59">
            <v>14808</v>
          </cell>
          <cell r="CH59"/>
          <cell r="CI59"/>
          <cell r="CJ59"/>
          <cell r="CK59"/>
          <cell r="CL59">
            <v>6245.7633033758812</v>
          </cell>
          <cell r="CM59"/>
          <cell r="CN59"/>
          <cell r="CO59"/>
          <cell r="CP59"/>
          <cell r="CQ59">
            <v>8691.8588432246615</v>
          </cell>
          <cell r="CR59"/>
          <cell r="CS59"/>
          <cell r="CT59"/>
          <cell r="CU59"/>
          <cell r="CV59">
            <v>11043.103197277806</v>
          </cell>
          <cell r="CW59">
            <v>12334.453357436991</v>
          </cell>
          <cell r="CX59">
            <v>13071.190112093895</v>
          </cell>
          <cell r="CY59">
            <v>13614.125660854395</v>
          </cell>
        </row>
        <row r="60">
          <cell r="B60" t="str">
            <v>Short-term debt</v>
          </cell>
          <cell r="C60" t="str">
            <v>SHORT_T_DEBT</v>
          </cell>
          <cell r="D60" t="str">
            <v>EUR</v>
          </cell>
          <cell r="F60">
            <v>1003</v>
          </cell>
          <cell r="G60">
            <v>1462</v>
          </cell>
          <cell r="H60">
            <v>1185</v>
          </cell>
          <cell r="I60">
            <v>978</v>
          </cell>
          <cell r="J60">
            <v>720</v>
          </cell>
          <cell r="K60"/>
          <cell r="L60"/>
          <cell r="M60"/>
          <cell r="N60"/>
          <cell r="O60">
            <v>908</v>
          </cell>
          <cell r="P60"/>
          <cell r="Q60"/>
          <cell r="R60"/>
          <cell r="S60"/>
          <cell r="T60">
            <v>2196</v>
          </cell>
          <cell r="U60"/>
          <cell r="V60"/>
          <cell r="W60"/>
          <cell r="X60"/>
          <cell r="Y60">
            <v>1724</v>
          </cell>
          <cell r="Z60"/>
          <cell r="AA60"/>
          <cell r="AB60"/>
          <cell r="AC60"/>
          <cell r="AD60">
            <v>1458</v>
          </cell>
          <cell r="AE60"/>
          <cell r="AF60"/>
          <cell r="AG60"/>
          <cell r="AH60"/>
          <cell r="AI60">
            <v>2429</v>
          </cell>
          <cell r="AJ60"/>
          <cell r="AK60"/>
          <cell r="AL60"/>
          <cell r="AM60"/>
          <cell r="AN60">
            <v>1408</v>
          </cell>
          <cell r="AO60"/>
          <cell r="AP60"/>
          <cell r="AQ60"/>
          <cell r="AR60"/>
          <cell r="AS60">
            <v>1476</v>
          </cell>
          <cell r="AT60"/>
          <cell r="AU60"/>
          <cell r="AV60"/>
          <cell r="AW60"/>
          <cell r="AX60">
            <v>1273</v>
          </cell>
          <cell r="AY60"/>
          <cell r="AZ60"/>
          <cell r="BA60"/>
          <cell r="BB60"/>
          <cell r="BC60">
            <v>1645</v>
          </cell>
          <cell r="BD60"/>
          <cell r="BE60"/>
          <cell r="BF60"/>
          <cell r="BG60"/>
          <cell r="BH60">
            <v>1073</v>
          </cell>
          <cell r="BI60"/>
          <cell r="BJ60"/>
          <cell r="BK60"/>
          <cell r="BL60"/>
          <cell r="BM60">
            <v>2790</v>
          </cell>
          <cell r="BN60"/>
          <cell r="BO60"/>
          <cell r="BP60"/>
          <cell r="BQ60"/>
          <cell r="BR60">
            <v>1687</v>
          </cell>
          <cell r="BS60"/>
          <cell r="BT60"/>
          <cell r="BU60"/>
          <cell r="BV60"/>
          <cell r="BW60">
            <v>2212</v>
          </cell>
          <cell r="BX60"/>
          <cell r="BY60"/>
          <cell r="BZ60"/>
          <cell r="CA60"/>
          <cell r="CB60">
            <v>1463</v>
          </cell>
          <cell r="CC60"/>
          <cell r="CD60"/>
          <cell r="CE60"/>
          <cell r="CF60"/>
          <cell r="CG60">
            <v>1959</v>
          </cell>
          <cell r="CH60"/>
          <cell r="CI60"/>
          <cell r="CJ60"/>
          <cell r="CK60"/>
          <cell r="CL60">
            <v>1959</v>
          </cell>
          <cell r="CM60"/>
          <cell r="CN60"/>
          <cell r="CO60"/>
          <cell r="CP60"/>
          <cell r="CQ60">
            <v>1959</v>
          </cell>
          <cell r="CR60"/>
          <cell r="CS60"/>
          <cell r="CT60"/>
          <cell r="CU60"/>
          <cell r="CV60">
            <v>1959</v>
          </cell>
          <cell r="CW60">
            <v>1959</v>
          </cell>
          <cell r="CX60">
            <v>1959</v>
          </cell>
          <cell r="CY60">
            <v>1959</v>
          </cell>
        </row>
        <row r="61">
          <cell r="B61" t="str">
            <v>Current lease liabilities (op lease: US GAAP)</v>
          </cell>
          <cell r="C61" t="str">
            <v>ST_LEASE_LIAB</v>
          </cell>
          <cell r="D61" t="str">
            <v>EUR</v>
          </cell>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cell r="CO61"/>
          <cell r="CP61"/>
          <cell r="CQ61"/>
          <cell r="CR61"/>
          <cell r="CS61"/>
          <cell r="CT61"/>
          <cell r="CU61"/>
          <cell r="CV61"/>
          <cell r="CW61"/>
          <cell r="CX61"/>
          <cell r="CY61"/>
        </row>
        <row r="62">
          <cell r="B62" t="str">
            <v>Other current liabilities</v>
          </cell>
          <cell r="C62" t="str">
            <v>OTH_CUR_LIABS</v>
          </cell>
          <cell r="D62" t="str">
            <v>EUR</v>
          </cell>
          <cell r="F62">
            <v>8200</v>
          </cell>
          <cell r="G62">
            <v>10631</v>
          </cell>
          <cell r="H62">
            <v>10246</v>
          </cell>
          <cell r="I62">
            <v>11318</v>
          </cell>
          <cell r="J62">
            <v>13240</v>
          </cell>
          <cell r="K62"/>
          <cell r="L62"/>
          <cell r="M62"/>
          <cell r="N62"/>
          <cell r="O62">
            <v>17913</v>
          </cell>
          <cell r="P62"/>
          <cell r="Q62"/>
          <cell r="R62"/>
          <cell r="S62"/>
          <cell r="T62">
            <v>21559</v>
          </cell>
          <cell r="U62"/>
          <cell r="V62"/>
          <cell r="W62"/>
          <cell r="X62"/>
          <cell r="Y62">
            <v>24946</v>
          </cell>
          <cell r="Z62"/>
          <cell r="AA62"/>
          <cell r="AB62"/>
          <cell r="AC62"/>
          <cell r="AD62">
            <v>27443</v>
          </cell>
          <cell r="AE62"/>
          <cell r="AF62"/>
          <cell r="AG62"/>
          <cell r="AH62"/>
          <cell r="AI62">
            <v>31730</v>
          </cell>
          <cell r="AJ62"/>
          <cell r="AK62"/>
          <cell r="AL62"/>
          <cell r="AM62"/>
          <cell r="AN62">
            <v>33816</v>
          </cell>
          <cell r="AO62"/>
          <cell r="AP62"/>
          <cell r="AQ62"/>
          <cell r="AR62"/>
          <cell r="AS62">
            <v>36396</v>
          </cell>
          <cell r="AT62"/>
          <cell r="AU62"/>
          <cell r="AV62"/>
          <cell r="AW62"/>
          <cell r="AX62">
            <v>37455</v>
          </cell>
          <cell r="AY62"/>
          <cell r="AZ62"/>
          <cell r="BA62"/>
          <cell r="BB62"/>
          <cell r="BC62">
            <v>36564</v>
          </cell>
          <cell r="BD62"/>
          <cell r="BE62"/>
          <cell r="BF62"/>
          <cell r="BG62"/>
          <cell r="BH62">
            <v>36241</v>
          </cell>
          <cell r="BI62"/>
          <cell r="BJ62"/>
          <cell r="BK62"/>
          <cell r="BL62"/>
          <cell r="BM62">
            <v>39224</v>
          </cell>
          <cell r="BN62"/>
          <cell r="BO62"/>
          <cell r="BP62"/>
          <cell r="BQ62"/>
          <cell r="BR62">
            <v>41482</v>
          </cell>
          <cell r="BS62"/>
          <cell r="BT62"/>
          <cell r="BU62"/>
          <cell r="BV62"/>
          <cell r="BW62">
            <v>40369</v>
          </cell>
          <cell r="BX62"/>
          <cell r="BY62"/>
          <cell r="BZ62"/>
          <cell r="CA62"/>
          <cell r="CB62">
            <v>42654</v>
          </cell>
          <cell r="CC62"/>
          <cell r="CD62"/>
          <cell r="CE62"/>
          <cell r="CF62"/>
          <cell r="CG62">
            <v>45607</v>
          </cell>
          <cell r="CH62"/>
          <cell r="CI62"/>
          <cell r="CJ62"/>
          <cell r="CK62"/>
          <cell r="CL62">
            <v>36528.209063927592</v>
          </cell>
          <cell r="CM62"/>
          <cell r="CN62"/>
          <cell r="CO62"/>
          <cell r="CP62"/>
          <cell r="CQ62">
            <v>40207.104855512443</v>
          </cell>
          <cell r="CR62"/>
          <cell r="CS62"/>
          <cell r="CT62"/>
          <cell r="CU62"/>
          <cell r="CV62">
            <v>42184.635893569888</v>
          </cell>
          <cell r="CW62">
            <v>44316.060989092955</v>
          </cell>
          <cell r="CX62">
            <v>45530.965222289553</v>
          </cell>
          <cell r="CY62">
            <v>46405.903068663567</v>
          </cell>
        </row>
        <row r="63">
          <cell r="B63" t="str">
            <v>Total current liabilities</v>
          </cell>
          <cell r="C63" t="str">
            <v>SHORT_TERM_LIABS</v>
          </cell>
          <cell r="D63" t="str">
            <v>EUR</v>
          </cell>
          <cell r="F63">
            <v>13471</v>
          </cell>
          <cell r="G63">
            <v>17559</v>
          </cell>
          <cell r="H63">
            <v>16501</v>
          </cell>
          <cell r="I63">
            <v>17413</v>
          </cell>
          <cell r="J63">
            <v>19820</v>
          </cell>
          <cell r="K63"/>
          <cell r="L63"/>
          <cell r="M63"/>
          <cell r="N63"/>
          <cell r="O63">
            <v>25455</v>
          </cell>
          <cell r="P63"/>
          <cell r="Q63"/>
          <cell r="R63"/>
          <cell r="S63"/>
          <cell r="T63">
            <v>31216</v>
          </cell>
          <cell r="U63"/>
          <cell r="V63"/>
          <cell r="W63"/>
          <cell r="X63"/>
          <cell r="Y63">
            <v>34068</v>
          </cell>
          <cell r="Z63"/>
          <cell r="AA63"/>
          <cell r="AB63"/>
          <cell r="AC63"/>
          <cell r="AD63">
            <v>36725</v>
          </cell>
          <cell r="AE63"/>
          <cell r="AF63"/>
          <cell r="AG63"/>
          <cell r="AH63"/>
          <cell r="AI63">
            <v>42376</v>
          </cell>
          <cell r="AJ63"/>
          <cell r="AK63"/>
          <cell r="AL63"/>
          <cell r="AM63"/>
          <cell r="AN63">
            <v>43770</v>
          </cell>
          <cell r="AO63"/>
          <cell r="AP63"/>
          <cell r="AQ63"/>
          <cell r="AR63"/>
          <cell r="AS63">
            <v>47502</v>
          </cell>
          <cell r="AT63"/>
          <cell r="AU63"/>
          <cell r="AV63"/>
          <cell r="AW63"/>
          <cell r="AX63">
            <v>48649</v>
          </cell>
          <cell r="AY63"/>
          <cell r="AZ63"/>
          <cell r="BA63"/>
          <cell r="BB63"/>
          <cell r="BC63">
            <v>48581</v>
          </cell>
          <cell r="BD63"/>
          <cell r="BE63"/>
          <cell r="BF63"/>
          <cell r="BG63"/>
          <cell r="BH63">
            <v>47497</v>
          </cell>
          <cell r="BI63"/>
          <cell r="BJ63"/>
          <cell r="BK63"/>
          <cell r="BL63"/>
          <cell r="BM63">
            <v>53777</v>
          </cell>
          <cell r="BN63"/>
          <cell r="BO63"/>
          <cell r="BP63"/>
          <cell r="BQ63"/>
          <cell r="BR63">
            <v>55701</v>
          </cell>
          <cell r="BS63"/>
          <cell r="BT63"/>
          <cell r="BU63"/>
          <cell r="BV63"/>
          <cell r="BW63">
            <v>56025</v>
          </cell>
          <cell r="BX63"/>
          <cell r="BY63"/>
          <cell r="BZ63"/>
          <cell r="CA63"/>
          <cell r="CB63">
            <v>60354</v>
          </cell>
          <cell r="CC63"/>
          <cell r="CD63"/>
          <cell r="CE63"/>
          <cell r="CF63"/>
          <cell r="CG63">
            <v>62374</v>
          </cell>
          <cell r="CH63"/>
          <cell r="CI63"/>
          <cell r="CJ63"/>
          <cell r="CK63"/>
          <cell r="CL63">
            <v>44732.972367303475</v>
          </cell>
          <cell r="CM63"/>
          <cell r="CN63"/>
          <cell r="CO63"/>
          <cell r="CP63"/>
          <cell r="CQ63">
            <v>50857.963698737105</v>
          </cell>
          <cell r="CR63"/>
          <cell r="CS63"/>
          <cell r="CT63"/>
          <cell r="CU63"/>
          <cell r="CV63">
            <v>55186.739090847695</v>
          </cell>
          <cell r="CW63">
            <v>58609.514346529948</v>
          </cell>
          <cell r="CX63">
            <v>60561.155334383446</v>
          </cell>
          <cell r="CY63">
            <v>61979.028729517959</v>
          </cell>
        </row>
        <row r="64">
          <cell r="B64" t="str">
            <v>Long-term  debt</v>
          </cell>
          <cell r="C64" t="str">
            <v>LT_DEBT</v>
          </cell>
          <cell r="D64" t="str">
            <v>EUR</v>
          </cell>
          <cell r="F64">
            <v>4776</v>
          </cell>
          <cell r="G64">
            <v>5038</v>
          </cell>
          <cell r="H64">
            <v>3791</v>
          </cell>
          <cell r="I64">
            <v>3789</v>
          </cell>
          <cell r="J64">
            <v>4406</v>
          </cell>
          <cell r="K64"/>
          <cell r="L64"/>
          <cell r="M64"/>
          <cell r="N64"/>
          <cell r="O64">
            <v>4189</v>
          </cell>
          <cell r="P64"/>
          <cell r="Q64"/>
          <cell r="R64"/>
          <cell r="S64"/>
          <cell r="T64">
            <v>3561</v>
          </cell>
          <cell r="U64"/>
          <cell r="V64"/>
          <cell r="W64"/>
          <cell r="X64"/>
          <cell r="Y64">
            <v>3090</v>
          </cell>
          <cell r="Z64"/>
          <cell r="AA64"/>
          <cell r="AB64"/>
          <cell r="AC64"/>
          <cell r="AD64">
            <v>3046</v>
          </cell>
          <cell r="AE64"/>
          <cell r="AF64"/>
          <cell r="AG64"/>
          <cell r="AH64"/>
          <cell r="AI64">
            <v>2867</v>
          </cell>
          <cell r="AJ64"/>
          <cell r="AK64"/>
          <cell r="AL64"/>
          <cell r="AM64"/>
          <cell r="AN64">
            <v>2870</v>
          </cell>
          <cell r="AO64"/>
          <cell r="AP64"/>
          <cell r="AQ64"/>
          <cell r="AR64"/>
          <cell r="AS64">
            <v>3628</v>
          </cell>
          <cell r="AT64"/>
          <cell r="AU64"/>
          <cell r="AV64"/>
          <cell r="AW64"/>
          <cell r="AX64">
            <v>3506</v>
          </cell>
          <cell r="AY64"/>
          <cell r="AZ64"/>
          <cell r="BA64"/>
          <cell r="BB64"/>
          <cell r="BC64">
            <v>3956</v>
          </cell>
          <cell r="BD64"/>
          <cell r="BE64"/>
          <cell r="BF64"/>
          <cell r="BG64"/>
          <cell r="BH64">
            <v>6278</v>
          </cell>
          <cell r="BI64"/>
          <cell r="BJ64"/>
          <cell r="BK64"/>
          <cell r="BL64"/>
          <cell r="BM64">
            <v>6335</v>
          </cell>
          <cell r="BN64"/>
          <cell r="BO64"/>
          <cell r="BP64"/>
          <cell r="BQ64"/>
          <cell r="BR64">
            <v>8791</v>
          </cell>
          <cell r="BS64"/>
          <cell r="BT64"/>
          <cell r="BU64"/>
          <cell r="BV64"/>
          <cell r="BW64">
            <v>8984</v>
          </cell>
          <cell r="BX64"/>
          <cell r="BY64"/>
          <cell r="BZ64"/>
          <cell r="CA64"/>
          <cell r="CB64">
            <v>7463</v>
          </cell>
          <cell r="CC64"/>
          <cell r="CD64"/>
          <cell r="CE64"/>
          <cell r="CF64"/>
          <cell r="CG64">
            <v>8189</v>
          </cell>
          <cell r="CH64"/>
          <cell r="CI64"/>
          <cell r="CJ64"/>
          <cell r="CK64"/>
          <cell r="CL64">
            <v>8189</v>
          </cell>
          <cell r="CM64"/>
          <cell r="CN64"/>
          <cell r="CO64"/>
          <cell r="CP64"/>
          <cell r="CQ64">
            <v>7439</v>
          </cell>
          <cell r="CR64"/>
          <cell r="CS64"/>
          <cell r="CT64"/>
          <cell r="CU64"/>
          <cell r="CV64">
            <v>6439</v>
          </cell>
          <cell r="CW64">
            <v>5439</v>
          </cell>
          <cell r="CX64">
            <v>4689</v>
          </cell>
          <cell r="CY64">
            <v>5439</v>
          </cell>
        </row>
        <row r="65">
          <cell r="B65" t="str">
            <v>Non-current lease liabilities (op lease: US GAAP)</v>
          </cell>
          <cell r="C65" t="str">
            <v>LT_LEASE_LIAB</v>
          </cell>
          <cell r="D65" t="str">
            <v>EUR</v>
          </cell>
          <cell r="F65"/>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cell r="CO65"/>
          <cell r="CP65"/>
          <cell r="CQ65"/>
          <cell r="CR65"/>
          <cell r="CS65"/>
          <cell r="CT65"/>
          <cell r="CU65"/>
          <cell r="CV65"/>
          <cell r="CW65"/>
          <cell r="CX65"/>
          <cell r="CY65"/>
        </row>
        <row r="66">
          <cell r="B66" t="str">
            <v>Other long-term liabilities</v>
          </cell>
          <cell r="C66" t="str">
            <v>OTH_LT_CRED_GQ</v>
          </cell>
          <cell r="D66" t="str">
            <v>EUR</v>
          </cell>
          <cell r="F66">
            <v>12726</v>
          </cell>
          <cell r="G66">
            <v>15682</v>
          </cell>
          <cell r="H66">
            <v>12982</v>
          </cell>
          <cell r="I66">
            <v>14848</v>
          </cell>
          <cell r="J66">
            <v>14698</v>
          </cell>
          <cell r="K66"/>
          <cell r="L66"/>
          <cell r="M66"/>
          <cell r="N66"/>
          <cell r="O66">
            <v>26839</v>
          </cell>
          <cell r="P66"/>
          <cell r="Q66"/>
          <cell r="R66"/>
          <cell r="S66"/>
          <cell r="T66">
            <v>24208</v>
          </cell>
          <cell r="U66"/>
          <cell r="V66"/>
          <cell r="W66"/>
          <cell r="X66"/>
          <cell r="Y66">
            <v>25123</v>
          </cell>
          <cell r="Z66"/>
          <cell r="AA66"/>
          <cell r="AB66"/>
          <cell r="AC66"/>
          <cell r="AD66">
            <v>25256</v>
          </cell>
          <cell r="AE66"/>
          <cell r="AF66"/>
          <cell r="AG66"/>
          <cell r="AH66"/>
          <cell r="AI66">
            <v>24420</v>
          </cell>
          <cell r="AJ66"/>
          <cell r="AK66"/>
          <cell r="AL66"/>
          <cell r="AM66"/>
          <cell r="AN66">
            <v>27611</v>
          </cell>
          <cell r="AO66"/>
          <cell r="AP66"/>
          <cell r="AQ66"/>
          <cell r="AR66"/>
          <cell r="AS66">
            <v>28487</v>
          </cell>
          <cell r="AT66"/>
          <cell r="AU66"/>
          <cell r="AV66"/>
          <cell r="AW66"/>
          <cell r="AX66">
            <v>29546</v>
          </cell>
          <cell r="AY66"/>
          <cell r="AZ66"/>
          <cell r="BA66"/>
          <cell r="BB66"/>
          <cell r="BC66">
            <v>29720</v>
          </cell>
          <cell r="BD66"/>
          <cell r="BE66"/>
          <cell r="BF66"/>
          <cell r="BG66"/>
          <cell r="BH66">
            <v>35248</v>
          </cell>
          <cell r="BI66"/>
          <cell r="BJ66"/>
          <cell r="BK66"/>
          <cell r="BL66"/>
          <cell r="BM66">
            <v>40596</v>
          </cell>
          <cell r="BN66"/>
          <cell r="BO66"/>
          <cell r="BP66"/>
          <cell r="BQ66"/>
          <cell r="BR66">
            <v>42989</v>
          </cell>
          <cell r="BS66"/>
          <cell r="BT66"/>
          <cell r="BU66"/>
          <cell r="BV66"/>
          <cell r="BW66">
            <v>35577</v>
          </cell>
          <cell r="BX66"/>
          <cell r="BY66"/>
          <cell r="BZ66"/>
          <cell r="CA66"/>
          <cell r="CB66">
            <v>37662</v>
          </cell>
          <cell r="CC66"/>
          <cell r="CD66"/>
          <cell r="CE66"/>
          <cell r="CF66"/>
          <cell r="CG66">
            <v>37856</v>
          </cell>
          <cell r="CH66"/>
          <cell r="CI66"/>
          <cell r="CJ66"/>
          <cell r="CK66"/>
          <cell r="CL66">
            <v>32987.799386298226</v>
          </cell>
          <cell r="CM66"/>
          <cell r="CN66"/>
          <cell r="CO66"/>
          <cell r="CP66"/>
          <cell r="CQ66">
            <v>32674.599065712857</v>
          </cell>
          <cell r="CR66"/>
          <cell r="CS66"/>
          <cell r="CT66"/>
          <cell r="CU66"/>
          <cell r="CV66">
            <v>32382.771765756523</v>
          </cell>
          <cell r="CW66">
            <v>32311.030343644932</v>
          </cell>
          <cell r="CX66">
            <v>32484.06469700778</v>
          </cell>
          <cell r="CY66">
            <v>33231.383747731539</v>
          </cell>
        </row>
        <row r="67">
          <cell r="B67" t="str">
            <v>Total long-term liabilities</v>
          </cell>
          <cell r="C67" t="str">
            <v>TOT_LT_LIAB</v>
          </cell>
          <cell r="D67" t="str">
            <v>EUR</v>
          </cell>
          <cell r="F67">
            <v>17502</v>
          </cell>
          <cell r="G67">
            <v>20720</v>
          </cell>
          <cell r="H67">
            <v>16773</v>
          </cell>
          <cell r="I67">
            <v>18637</v>
          </cell>
          <cell r="J67">
            <v>19104</v>
          </cell>
          <cell r="K67"/>
          <cell r="L67"/>
          <cell r="M67"/>
          <cell r="N67"/>
          <cell r="O67">
            <v>31028</v>
          </cell>
          <cell r="P67"/>
          <cell r="Q67"/>
          <cell r="R67"/>
          <cell r="S67"/>
          <cell r="T67">
            <v>27769</v>
          </cell>
          <cell r="U67"/>
          <cell r="V67"/>
          <cell r="W67"/>
          <cell r="X67"/>
          <cell r="Y67">
            <v>28213</v>
          </cell>
          <cell r="Z67"/>
          <cell r="AA67"/>
          <cell r="AB67"/>
          <cell r="AC67"/>
          <cell r="AD67">
            <v>28302</v>
          </cell>
          <cell r="AE67"/>
          <cell r="AF67"/>
          <cell r="AG67"/>
          <cell r="AH67"/>
          <cell r="AI67">
            <v>27287</v>
          </cell>
          <cell r="AJ67"/>
          <cell r="AK67"/>
          <cell r="AL67"/>
          <cell r="AM67"/>
          <cell r="AN67">
            <v>30481</v>
          </cell>
          <cell r="AO67"/>
          <cell r="AP67"/>
          <cell r="AQ67"/>
          <cell r="AR67"/>
          <cell r="AS67">
            <v>32115</v>
          </cell>
          <cell r="AT67"/>
          <cell r="AU67"/>
          <cell r="AV67"/>
          <cell r="AW67"/>
          <cell r="AX67">
            <v>33052</v>
          </cell>
          <cell r="AY67"/>
          <cell r="AZ67"/>
          <cell r="BA67"/>
          <cell r="BB67"/>
          <cell r="BC67">
            <v>33676</v>
          </cell>
          <cell r="BD67"/>
          <cell r="BE67"/>
          <cell r="BF67"/>
          <cell r="BG67"/>
          <cell r="BH67">
            <v>41526</v>
          </cell>
          <cell r="BI67"/>
          <cell r="BJ67"/>
          <cell r="BK67"/>
          <cell r="BL67"/>
          <cell r="BM67">
            <v>46931</v>
          </cell>
          <cell r="BN67"/>
          <cell r="BO67"/>
          <cell r="BP67"/>
          <cell r="BQ67"/>
          <cell r="BR67">
            <v>51780</v>
          </cell>
          <cell r="BS67"/>
          <cell r="BT67"/>
          <cell r="BU67"/>
          <cell r="BV67"/>
          <cell r="BW67">
            <v>44561</v>
          </cell>
          <cell r="BX67"/>
          <cell r="BY67"/>
          <cell r="BZ67"/>
          <cell r="CA67"/>
          <cell r="CB67">
            <v>45125</v>
          </cell>
          <cell r="CC67"/>
          <cell r="CD67"/>
          <cell r="CE67"/>
          <cell r="CF67"/>
          <cell r="CG67">
            <v>46045</v>
          </cell>
          <cell r="CH67"/>
          <cell r="CI67"/>
          <cell r="CJ67"/>
          <cell r="CK67"/>
          <cell r="CL67">
            <v>41176.799386298226</v>
          </cell>
          <cell r="CM67"/>
          <cell r="CN67"/>
          <cell r="CO67"/>
          <cell r="CP67"/>
          <cell r="CQ67">
            <v>40113.599065712857</v>
          </cell>
          <cell r="CR67"/>
          <cell r="CS67"/>
          <cell r="CT67"/>
          <cell r="CU67"/>
          <cell r="CV67">
            <v>38821.771765756523</v>
          </cell>
          <cell r="CW67">
            <v>37750.030343644932</v>
          </cell>
          <cell r="CX67">
            <v>37173.06469700778</v>
          </cell>
          <cell r="CY67">
            <v>38670.383747731539</v>
          </cell>
        </row>
        <row r="68">
          <cell r="B68" t="str">
            <v>Total liabilities</v>
          </cell>
          <cell r="C68" t="str">
            <v>TOT_LIAB</v>
          </cell>
          <cell r="D68" t="str">
            <v>EUR</v>
          </cell>
          <cell r="F68">
            <v>30973</v>
          </cell>
          <cell r="G68">
            <v>38279</v>
          </cell>
          <cell r="H68">
            <v>33274</v>
          </cell>
          <cell r="I68">
            <v>36050</v>
          </cell>
          <cell r="J68">
            <v>38924</v>
          </cell>
          <cell r="K68"/>
          <cell r="L68"/>
          <cell r="M68"/>
          <cell r="N68"/>
          <cell r="O68">
            <v>56483</v>
          </cell>
          <cell r="P68"/>
          <cell r="Q68"/>
          <cell r="R68"/>
          <cell r="S68"/>
          <cell r="T68">
            <v>58985</v>
          </cell>
          <cell r="U68"/>
          <cell r="V68"/>
          <cell r="W68"/>
          <cell r="X68"/>
          <cell r="Y68">
            <v>62281</v>
          </cell>
          <cell r="Z68"/>
          <cell r="AA68"/>
          <cell r="AB68"/>
          <cell r="AC68"/>
          <cell r="AD68">
            <v>65027</v>
          </cell>
          <cell r="AE68"/>
          <cell r="AF68"/>
          <cell r="AG68"/>
          <cell r="AH68"/>
          <cell r="AI68">
            <v>69663</v>
          </cell>
          <cell r="AJ68"/>
          <cell r="AK68"/>
          <cell r="AL68"/>
          <cell r="AM68"/>
          <cell r="AN68">
            <v>74251</v>
          </cell>
          <cell r="AO68"/>
          <cell r="AP68"/>
          <cell r="AQ68"/>
          <cell r="AR68"/>
          <cell r="AS68">
            <v>79617</v>
          </cell>
          <cell r="AT68"/>
          <cell r="AU68"/>
          <cell r="AV68"/>
          <cell r="AW68"/>
          <cell r="AX68">
            <v>81701</v>
          </cell>
          <cell r="AY68"/>
          <cell r="AZ68"/>
          <cell r="BA68"/>
          <cell r="BB68"/>
          <cell r="BC68">
            <v>82257</v>
          </cell>
          <cell r="BD68"/>
          <cell r="BE68"/>
          <cell r="BF68"/>
          <cell r="BG68"/>
          <cell r="BH68">
            <v>89023</v>
          </cell>
          <cell r="BI68"/>
          <cell r="BJ68"/>
          <cell r="BK68"/>
          <cell r="BL68"/>
          <cell r="BM68">
            <v>100708</v>
          </cell>
          <cell r="BN68"/>
          <cell r="BO68"/>
          <cell r="BP68"/>
          <cell r="BQ68"/>
          <cell r="BR68">
            <v>107481</v>
          </cell>
          <cell r="BS68"/>
          <cell r="BT68"/>
          <cell r="BU68"/>
          <cell r="BV68"/>
          <cell r="BW68">
            <v>100586</v>
          </cell>
          <cell r="BX68"/>
          <cell r="BY68"/>
          <cell r="BZ68"/>
          <cell r="CA68"/>
          <cell r="CB68">
            <v>105479</v>
          </cell>
          <cell r="CC68"/>
          <cell r="CD68"/>
          <cell r="CE68"/>
          <cell r="CF68"/>
          <cell r="CG68">
            <v>108419</v>
          </cell>
          <cell r="CH68"/>
          <cell r="CI68"/>
          <cell r="CJ68"/>
          <cell r="CK68"/>
          <cell r="CL68">
            <v>85909.771753601701</v>
          </cell>
          <cell r="CM68"/>
          <cell r="CN68"/>
          <cell r="CO68"/>
          <cell r="CP68"/>
          <cell r="CQ68">
            <v>90971.562764449962</v>
          </cell>
          <cell r="CR68"/>
          <cell r="CS68"/>
          <cell r="CT68"/>
          <cell r="CU68"/>
          <cell r="CV68">
            <v>94008.510856604218</v>
          </cell>
          <cell r="CW68">
            <v>96359.54469017488</v>
          </cell>
          <cell r="CX68">
            <v>97734.220031391218</v>
          </cell>
          <cell r="CY68">
            <v>100649.4124772495</v>
          </cell>
        </row>
        <row r="69">
          <cell r="B69" t="str">
            <v>Preferred shares</v>
          </cell>
          <cell r="C69" t="str">
            <v>PREF_SH</v>
          </cell>
          <cell r="D69" t="str">
            <v>EUR</v>
          </cell>
          <cell r="F69"/>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cell r="CO69"/>
          <cell r="CP69"/>
          <cell r="CQ69"/>
          <cell r="CR69"/>
          <cell r="CS69"/>
          <cell r="CT69"/>
          <cell r="CU69"/>
          <cell r="CV69"/>
          <cell r="CW69"/>
          <cell r="CX69"/>
          <cell r="CY69"/>
        </row>
        <row r="70">
          <cell r="B70" t="str">
            <v>Total common equity</v>
          </cell>
          <cell r="C70" t="str">
            <v>ORD_SH_FUND</v>
          </cell>
          <cell r="D70" t="str">
            <v>EUR</v>
          </cell>
          <cell r="F70">
            <v>10250</v>
          </cell>
          <cell r="G70">
            <v>9877</v>
          </cell>
          <cell r="H70">
            <v>12765</v>
          </cell>
          <cell r="I70">
            <v>16149</v>
          </cell>
          <cell r="J70">
            <v>16973</v>
          </cell>
          <cell r="K70"/>
          <cell r="L70"/>
          <cell r="M70"/>
          <cell r="N70"/>
          <cell r="O70">
            <v>13726</v>
          </cell>
          <cell r="P70"/>
          <cell r="Q70"/>
          <cell r="R70"/>
          <cell r="S70"/>
          <cell r="T70">
            <v>13012</v>
          </cell>
          <cell r="U70"/>
          <cell r="V70"/>
          <cell r="W70"/>
          <cell r="X70"/>
          <cell r="Y70">
            <v>13090</v>
          </cell>
          <cell r="Z70"/>
          <cell r="AA70"/>
          <cell r="AB70"/>
          <cell r="AC70"/>
          <cell r="AD70">
            <v>11022</v>
          </cell>
          <cell r="AE70"/>
          <cell r="AF70"/>
          <cell r="AG70"/>
          <cell r="AH70"/>
          <cell r="AI70">
            <v>10535</v>
          </cell>
          <cell r="AJ70"/>
          <cell r="AK70"/>
          <cell r="AL70"/>
          <cell r="AM70"/>
          <cell r="AN70">
            <v>8841</v>
          </cell>
          <cell r="AO70"/>
          <cell r="AP70"/>
          <cell r="AQ70"/>
          <cell r="AR70"/>
          <cell r="AS70">
            <v>8850</v>
          </cell>
          <cell r="AT70"/>
          <cell r="AU70"/>
          <cell r="AV70"/>
          <cell r="AW70"/>
          <cell r="AX70">
            <v>10403</v>
          </cell>
          <cell r="AY70"/>
          <cell r="AZ70"/>
          <cell r="BA70"/>
          <cell r="BB70"/>
          <cell r="BC70">
            <v>11011</v>
          </cell>
          <cell r="BD70"/>
          <cell r="BE70"/>
          <cell r="BF70"/>
          <cell r="BG70"/>
          <cell r="BH70">
            <v>7061</v>
          </cell>
          <cell r="BI70"/>
          <cell r="BJ70"/>
          <cell r="BK70"/>
          <cell r="BL70"/>
          <cell r="BM70">
            <v>5966</v>
          </cell>
          <cell r="BN70"/>
          <cell r="BO70"/>
          <cell r="BP70"/>
          <cell r="BQ70"/>
          <cell r="BR70">
            <v>3657</v>
          </cell>
          <cell r="BS70"/>
          <cell r="BT70"/>
          <cell r="BU70"/>
          <cell r="BV70"/>
          <cell r="BW70">
            <v>13348</v>
          </cell>
          <cell r="BX70"/>
          <cell r="BY70"/>
          <cell r="BZ70"/>
          <cell r="CA70"/>
          <cell r="CB70">
            <v>9724</v>
          </cell>
          <cell r="CC70"/>
          <cell r="CD70"/>
          <cell r="CE70"/>
          <cell r="CF70"/>
          <cell r="CG70">
            <v>5975</v>
          </cell>
          <cell r="CH70"/>
          <cell r="CI70"/>
          <cell r="CJ70"/>
          <cell r="CK70"/>
          <cell r="CL70">
            <v>7327.659220634795</v>
          </cell>
          <cell r="CM70"/>
          <cell r="CN70"/>
          <cell r="CO70"/>
          <cell r="CP70"/>
          <cell r="CQ70">
            <v>9482.6369940331715</v>
          </cell>
          <cell r="CR70"/>
          <cell r="CS70"/>
          <cell r="CT70"/>
          <cell r="CU70"/>
          <cell r="CV70">
            <v>13144.26745068363</v>
          </cell>
          <cell r="CW70">
            <v>16249.033144822908</v>
          </cell>
          <cell r="CX70">
            <v>16599.459413713503</v>
          </cell>
          <cell r="CY70">
            <v>18301.765697748029</v>
          </cell>
        </row>
        <row r="71">
          <cell r="B71" t="str">
            <v>Minority interest</v>
          </cell>
          <cell r="C71" t="str">
            <v>MINORITIES</v>
          </cell>
          <cell r="D71" t="str">
            <v>EUR</v>
          </cell>
          <cell r="F71">
            <v>221</v>
          </cell>
          <cell r="G71">
            <v>559</v>
          </cell>
          <cell r="H71">
            <v>1361</v>
          </cell>
          <cell r="I71">
            <v>2179</v>
          </cell>
          <cell r="J71">
            <v>2370</v>
          </cell>
          <cell r="K71"/>
          <cell r="L71"/>
          <cell r="M71"/>
          <cell r="N71"/>
          <cell r="O71">
            <v>176</v>
          </cell>
          <cell r="P71"/>
          <cell r="Q71"/>
          <cell r="R71"/>
          <cell r="S71"/>
          <cell r="T71">
            <v>140</v>
          </cell>
          <cell r="U71"/>
          <cell r="V71"/>
          <cell r="W71"/>
          <cell r="X71"/>
          <cell r="Y71">
            <v>85</v>
          </cell>
          <cell r="Z71"/>
          <cell r="AA71"/>
          <cell r="AB71"/>
          <cell r="AC71"/>
          <cell r="AD71">
            <v>104</v>
          </cell>
          <cell r="AE71"/>
          <cell r="AF71"/>
          <cell r="AG71"/>
          <cell r="AH71"/>
          <cell r="AI71">
            <v>106</v>
          </cell>
          <cell r="AJ71"/>
          <cell r="AK71"/>
          <cell r="AL71"/>
          <cell r="AM71"/>
          <cell r="AN71">
            <v>95</v>
          </cell>
          <cell r="AO71"/>
          <cell r="AP71"/>
          <cell r="AQ71"/>
          <cell r="AR71"/>
          <cell r="AS71">
            <v>15</v>
          </cell>
          <cell r="AT71"/>
          <cell r="AU71"/>
          <cell r="AV71"/>
          <cell r="AW71"/>
          <cell r="AX71">
            <v>17</v>
          </cell>
          <cell r="AY71"/>
          <cell r="AZ71"/>
          <cell r="BA71"/>
          <cell r="BB71"/>
          <cell r="BC71">
            <v>43</v>
          </cell>
          <cell r="BD71"/>
          <cell r="BE71"/>
          <cell r="BF71"/>
          <cell r="BG71"/>
          <cell r="BH71">
            <v>18</v>
          </cell>
          <cell r="BI71"/>
          <cell r="BJ71"/>
          <cell r="BK71"/>
          <cell r="BL71"/>
          <cell r="BM71">
            <v>7</v>
          </cell>
          <cell r="BN71"/>
          <cell r="BO71"/>
          <cell r="BP71"/>
          <cell r="BQ71"/>
          <cell r="BR71">
            <v>-5</v>
          </cell>
          <cell r="BS71"/>
          <cell r="BT71"/>
          <cell r="BU71"/>
          <cell r="BV71"/>
          <cell r="BW71">
            <v>3</v>
          </cell>
          <cell r="BX71"/>
          <cell r="BY71"/>
          <cell r="BZ71"/>
          <cell r="CA71"/>
          <cell r="CB71">
            <v>-5</v>
          </cell>
          <cell r="CC71"/>
          <cell r="CD71"/>
          <cell r="CE71"/>
          <cell r="CF71"/>
          <cell r="CG71">
            <v>15</v>
          </cell>
          <cell r="CH71"/>
          <cell r="CI71"/>
          <cell r="CJ71"/>
          <cell r="CK71"/>
          <cell r="CL71">
            <v>25</v>
          </cell>
          <cell r="CM71"/>
          <cell r="CN71"/>
          <cell r="CO71"/>
          <cell r="CP71"/>
          <cell r="CQ71">
            <v>35</v>
          </cell>
          <cell r="CR71"/>
          <cell r="CS71"/>
          <cell r="CT71"/>
          <cell r="CU71"/>
          <cell r="CV71">
            <v>45</v>
          </cell>
          <cell r="CW71">
            <v>55</v>
          </cell>
          <cell r="CX71">
            <v>65</v>
          </cell>
          <cell r="CY71">
            <v>75</v>
          </cell>
        </row>
        <row r="72">
          <cell r="B72" t="str">
            <v>Total shareholders' equity</v>
          </cell>
          <cell r="C72" t="str">
            <v>EQ</v>
          </cell>
          <cell r="D72" t="str">
            <v>EUR</v>
          </cell>
          <cell r="F72">
            <v>10471</v>
          </cell>
          <cell r="G72">
            <v>10436</v>
          </cell>
          <cell r="H72">
            <v>14126</v>
          </cell>
          <cell r="I72">
            <v>18328</v>
          </cell>
          <cell r="J72">
            <v>19343</v>
          </cell>
          <cell r="K72"/>
          <cell r="L72"/>
          <cell r="M72"/>
          <cell r="N72"/>
          <cell r="O72">
            <v>13902</v>
          </cell>
          <cell r="P72"/>
          <cell r="Q72"/>
          <cell r="R72"/>
          <cell r="S72"/>
          <cell r="T72">
            <v>13152</v>
          </cell>
          <cell r="U72"/>
          <cell r="V72"/>
          <cell r="W72"/>
          <cell r="X72"/>
          <cell r="Y72">
            <v>13175</v>
          </cell>
          <cell r="Z72"/>
          <cell r="AA72"/>
          <cell r="AB72"/>
          <cell r="AC72"/>
          <cell r="AD72">
            <v>11126</v>
          </cell>
          <cell r="AE72"/>
          <cell r="AF72"/>
          <cell r="AG72"/>
          <cell r="AH72"/>
          <cell r="AI72">
            <v>10641</v>
          </cell>
          <cell r="AJ72"/>
          <cell r="AK72"/>
          <cell r="AL72"/>
          <cell r="AM72"/>
          <cell r="AN72">
            <v>8936</v>
          </cell>
          <cell r="AO72"/>
          <cell r="AP72"/>
          <cell r="AQ72"/>
          <cell r="AR72"/>
          <cell r="AS72">
            <v>8865</v>
          </cell>
          <cell r="AT72"/>
          <cell r="AU72"/>
          <cell r="AV72"/>
          <cell r="AW72"/>
          <cell r="AX72">
            <v>10420</v>
          </cell>
          <cell r="AY72"/>
          <cell r="AZ72"/>
          <cell r="BA72"/>
          <cell r="BB72"/>
          <cell r="BC72">
            <v>11054</v>
          </cell>
          <cell r="BD72"/>
          <cell r="BE72"/>
          <cell r="BF72"/>
          <cell r="BG72"/>
          <cell r="BH72">
            <v>7079</v>
          </cell>
          <cell r="BI72"/>
          <cell r="BJ72"/>
          <cell r="BK72"/>
          <cell r="BL72"/>
          <cell r="BM72">
            <v>5973</v>
          </cell>
          <cell r="BN72"/>
          <cell r="BO72"/>
          <cell r="BP72"/>
          <cell r="BQ72"/>
          <cell r="BR72">
            <v>3652</v>
          </cell>
          <cell r="BS72"/>
          <cell r="BT72"/>
          <cell r="BU72"/>
          <cell r="BV72"/>
          <cell r="BW72">
            <v>13351</v>
          </cell>
          <cell r="BX72"/>
          <cell r="BY72"/>
          <cell r="BZ72"/>
          <cell r="CA72"/>
          <cell r="CB72">
            <v>9719</v>
          </cell>
          <cell r="CC72"/>
          <cell r="CD72"/>
          <cell r="CE72"/>
          <cell r="CF72"/>
          <cell r="CG72">
            <v>5990</v>
          </cell>
          <cell r="CH72"/>
          <cell r="CI72"/>
          <cell r="CJ72"/>
          <cell r="CK72"/>
          <cell r="CL72">
            <v>7352.659220634795</v>
          </cell>
          <cell r="CM72"/>
          <cell r="CN72"/>
          <cell r="CO72"/>
          <cell r="CP72"/>
          <cell r="CQ72">
            <v>9517.6369940331715</v>
          </cell>
          <cell r="CR72"/>
          <cell r="CS72"/>
          <cell r="CT72"/>
          <cell r="CU72"/>
          <cell r="CV72">
            <v>13189.26745068363</v>
          </cell>
          <cell r="CW72">
            <v>16304.033144822908</v>
          </cell>
          <cell r="CX72">
            <v>16664.459413713503</v>
          </cell>
          <cell r="CY72">
            <v>18376.765697748029</v>
          </cell>
        </row>
        <row r="73">
          <cell r="B73" t="str">
            <v>Total liabilities and equity</v>
          </cell>
          <cell r="C73" t="str">
            <v>TOT_LIAB_EQ</v>
          </cell>
          <cell r="D73" t="str">
            <v>EUR</v>
          </cell>
          <cell r="F73">
            <v>41444</v>
          </cell>
          <cell r="G73">
            <v>48715</v>
          </cell>
          <cell r="H73">
            <v>47400</v>
          </cell>
          <cell r="I73">
            <v>54378</v>
          </cell>
          <cell r="J73">
            <v>58267</v>
          </cell>
          <cell r="K73"/>
          <cell r="L73"/>
          <cell r="M73"/>
          <cell r="N73"/>
          <cell r="O73">
            <v>70385</v>
          </cell>
          <cell r="P73"/>
          <cell r="Q73"/>
          <cell r="R73"/>
          <cell r="S73"/>
          <cell r="T73">
            <v>72137</v>
          </cell>
          <cell r="U73"/>
          <cell r="V73"/>
          <cell r="W73"/>
          <cell r="X73"/>
          <cell r="Y73">
            <v>75456</v>
          </cell>
          <cell r="Z73"/>
          <cell r="AA73"/>
          <cell r="AB73"/>
          <cell r="AC73"/>
          <cell r="AD73">
            <v>76153</v>
          </cell>
          <cell r="AE73"/>
          <cell r="AF73"/>
          <cell r="AG73"/>
          <cell r="AH73"/>
          <cell r="AI73">
            <v>80304</v>
          </cell>
          <cell r="AJ73"/>
          <cell r="AK73"/>
          <cell r="AL73"/>
          <cell r="AM73"/>
          <cell r="AN73">
            <v>83187</v>
          </cell>
          <cell r="AO73"/>
          <cell r="AP73"/>
          <cell r="AQ73"/>
          <cell r="AR73"/>
          <cell r="AS73">
            <v>88482</v>
          </cell>
          <cell r="AT73"/>
          <cell r="AU73"/>
          <cell r="AV73"/>
          <cell r="AW73"/>
          <cell r="AX73">
            <v>92121</v>
          </cell>
          <cell r="AY73"/>
          <cell r="AZ73"/>
          <cell r="BA73"/>
          <cell r="BB73"/>
          <cell r="BC73">
            <v>93311</v>
          </cell>
          <cell r="BD73"/>
          <cell r="BE73"/>
          <cell r="BF73"/>
          <cell r="BG73"/>
          <cell r="BH73">
            <v>96102</v>
          </cell>
          <cell r="BI73"/>
          <cell r="BJ73"/>
          <cell r="BK73"/>
          <cell r="BL73"/>
          <cell r="BM73">
            <v>106681</v>
          </cell>
          <cell r="BN73"/>
          <cell r="BO73"/>
          <cell r="BP73"/>
          <cell r="BQ73"/>
          <cell r="BR73">
            <v>111133</v>
          </cell>
          <cell r="BS73"/>
          <cell r="BT73"/>
          <cell r="BU73"/>
          <cell r="BV73"/>
          <cell r="BW73">
            <v>113937</v>
          </cell>
          <cell r="BX73"/>
          <cell r="BY73"/>
          <cell r="BZ73"/>
          <cell r="CA73"/>
          <cell r="CB73">
            <v>115198</v>
          </cell>
          <cell r="CC73"/>
          <cell r="CD73"/>
          <cell r="CE73"/>
          <cell r="CF73"/>
          <cell r="CG73">
            <v>114409</v>
          </cell>
          <cell r="CH73"/>
          <cell r="CI73"/>
          <cell r="CJ73"/>
          <cell r="CK73"/>
          <cell r="CL73">
            <v>93262.4309742365</v>
          </cell>
          <cell r="CM73"/>
          <cell r="CN73"/>
          <cell r="CO73"/>
          <cell r="CP73"/>
          <cell r="CQ73">
            <v>100489.19975848313</v>
          </cell>
          <cell r="CR73"/>
          <cell r="CS73"/>
          <cell r="CT73"/>
          <cell r="CU73"/>
          <cell r="CV73">
            <v>107197.77830728785</v>
          </cell>
          <cell r="CW73">
            <v>112663.57783499779</v>
          </cell>
          <cell r="CX73">
            <v>114398.67944510472</v>
          </cell>
          <cell r="CY73">
            <v>119026.17817499753</v>
          </cell>
        </row>
        <row r="74">
          <cell r="A74" t="str">
            <v>Additional Balance Sheet Items</v>
          </cell>
          <cell r="B74"/>
          <cell r="C74"/>
          <cell r="D74"/>
        </row>
        <row r="75">
          <cell r="B75" t="str">
            <v>Total US$ debt (in US$)</v>
          </cell>
          <cell r="C75" t="str">
            <v>TOT_USD_DEBT</v>
          </cell>
          <cell r="F75"/>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v>3373.84</v>
          </cell>
          <cell r="BN75"/>
          <cell r="BO75"/>
          <cell r="BP75"/>
          <cell r="BQ75"/>
          <cell r="BR75">
            <v>3373.84</v>
          </cell>
          <cell r="BS75"/>
          <cell r="BT75"/>
          <cell r="BU75"/>
          <cell r="BV75"/>
          <cell r="BW75">
            <v>3373.84</v>
          </cell>
          <cell r="BX75"/>
          <cell r="BY75"/>
          <cell r="BZ75"/>
          <cell r="CA75"/>
          <cell r="CB75">
            <v>3373.84</v>
          </cell>
          <cell r="CC75"/>
          <cell r="CD75"/>
          <cell r="CE75"/>
          <cell r="CF75"/>
          <cell r="CG75">
            <v>3373.84</v>
          </cell>
          <cell r="CH75"/>
          <cell r="CI75"/>
          <cell r="CJ75"/>
          <cell r="CK75"/>
          <cell r="CL75">
            <v>3373.84</v>
          </cell>
          <cell r="CM75"/>
          <cell r="CN75"/>
          <cell r="CO75"/>
          <cell r="CP75"/>
          <cell r="CQ75">
            <v>3373.84</v>
          </cell>
          <cell r="CR75"/>
          <cell r="CS75"/>
          <cell r="CT75"/>
          <cell r="CU75"/>
          <cell r="CV75">
            <v>3373.84</v>
          </cell>
          <cell r="CW75">
            <v>3373.84</v>
          </cell>
          <cell r="CX75">
            <v>3373.84</v>
          </cell>
          <cell r="CY75">
            <v>3373.84</v>
          </cell>
        </row>
        <row r="76">
          <cell r="B76" t="str">
            <v>% US$ debt hedged (principal)</v>
          </cell>
          <cell r="C76" t="str">
            <v>TOT_PCT_USD_DEBT_HEDGED</v>
          </cell>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v>0.30254843146088728</v>
          </cell>
          <cell r="BN76"/>
          <cell r="BO76"/>
          <cell r="BP76"/>
          <cell r="BQ76"/>
          <cell r="BR76">
            <v>0.30254843146088728</v>
          </cell>
          <cell r="BS76"/>
          <cell r="BT76"/>
          <cell r="BU76"/>
          <cell r="BV76"/>
          <cell r="BW76">
            <v>0.30254843146088728</v>
          </cell>
          <cell r="BX76"/>
          <cell r="BY76"/>
          <cell r="BZ76"/>
          <cell r="CA76"/>
          <cell r="CB76">
            <v>0.30254843146088728</v>
          </cell>
          <cell r="CC76"/>
          <cell r="CD76"/>
          <cell r="CE76"/>
          <cell r="CF76"/>
          <cell r="CG76">
            <v>0.30254843146088728</v>
          </cell>
          <cell r="CH76"/>
          <cell r="CI76"/>
          <cell r="CJ76"/>
          <cell r="CK76"/>
          <cell r="CL76">
            <v>0.30254843146088728</v>
          </cell>
          <cell r="CM76"/>
          <cell r="CN76"/>
          <cell r="CO76"/>
          <cell r="CP76"/>
          <cell r="CQ76">
            <v>0.30254843146088728</v>
          </cell>
          <cell r="CR76"/>
          <cell r="CS76"/>
          <cell r="CT76"/>
          <cell r="CU76"/>
          <cell r="CV76">
            <v>0.30254843146088728</v>
          </cell>
          <cell r="CW76">
            <v>0.30254843146088728</v>
          </cell>
          <cell r="CX76">
            <v>0.30254843146088728</v>
          </cell>
          <cell r="CY76">
            <v>0.30254843146088728</v>
          </cell>
        </row>
        <row r="77">
          <cell r="B77" t="str">
            <v>% Floating debt (local currency debt)</v>
          </cell>
          <cell r="C77" t="str">
            <v>FLOATING_PCT_LOCAL_DEBT</v>
          </cell>
          <cell r="F77"/>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cell r="BJ77"/>
          <cell r="BK77"/>
          <cell r="BL77"/>
          <cell r="BM77">
            <v>1</v>
          </cell>
          <cell r="BN77"/>
          <cell r="BO77"/>
          <cell r="BP77"/>
          <cell r="BQ77"/>
          <cell r="BR77">
            <v>1</v>
          </cell>
          <cell r="BS77"/>
          <cell r="BT77"/>
          <cell r="BU77"/>
          <cell r="BV77"/>
          <cell r="BW77">
            <v>1</v>
          </cell>
          <cell r="BX77"/>
          <cell r="BY77"/>
          <cell r="BZ77"/>
          <cell r="CA77"/>
          <cell r="CB77">
            <v>0</v>
          </cell>
          <cell r="CC77"/>
          <cell r="CD77"/>
          <cell r="CE77"/>
          <cell r="CF77"/>
          <cell r="CG77">
            <v>0</v>
          </cell>
          <cell r="CH77"/>
          <cell r="CI77"/>
          <cell r="CJ77"/>
          <cell r="CK77"/>
          <cell r="CL77">
            <v>0</v>
          </cell>
          <cell r="CM77"/>
          <cell r="CN77"/>
          <cell r="CO77"/>
          <cell r="CP77"/>
          <cell r="CQ77">
            <v>0</v>
          </cell>
          <cell r="CR77"/>
          <cell r="CS77"/>
          <cell r="CT77"/>
          <cell r="CU77"/>
          <cell r="CV77">
            <v>1</v>
          </cell>
          <cell r="CW77">
            <v>0</v>
          </cell>
          <cell r="CX77">
            <v>0</v>
          </cell>
          <cell r="CY77">
            <v>0</v>
          </cell>
        </row>
        <row r="78">
          <cell r="B78" t="str">
            <v>% floating debt hedged (rates)</v>
          </cell>
          <cell r="C78" t="str">
            <v>FLOATING_PCT_LOCAL_DEBT_HEDGED</v>
          </cell>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v>0</v>
          </cell>
          <cell r="BN78"/>
          <cell r="BO78"/>
          <cell r="BP78"/>
          <cell r="BQ78"/>
          <cell r="BR78">
            <v>0</v>
          </cell>
          <cell r="BS78"/>
          <cell r="BT78"/>
          <cell r="BU78"/>
          <cell r="BV78"/>
          <cell r="BW78">
            <v>0</v>
          </cell>
          <cell r="BX78"/>
          <cell r="BY78"/>
          <cell r="BZ78"/>
          <cell r="CA78"/>
          <cell r="CB78">
            <v>0</v>
          </cell>
          <cell r="CC78"/>
          <cell r="CD78"/>
          <cell r="CE78"/>
          <cell r="CF78"/>
          <cell r="CG78">
            <v>0</v>
          </cell>
          <cell r="CH78"/>
          <cell r="CI78"/>
          <cell r="CJ78"/>
          <cell r="CK78"/>
          <cell r="CL78">
            <v>0</v>
          </cell>
          <cell r="CM78"/>
          <cell r="CN78"/>
          <cell r="CO78"/>
          <cell r="CP78"/>
          <cell r="CQ78">
            <v>0</v>
          </cell>
          <cell r="CR78"/>
          <cell r="CS78"/>
          <cell r="CT78"/>
          <cell r="CU78"/>
          <cell r="CV78">
            <v>0</v>
          </cell>
          <cell r="CW78">
            <v>0</v>
          </cell>
          <cell r="CX78">
            <v>0</v>
          </cell>
          <cell r="CY78">
            <v>0</v>
          </cell>
        </row>
        <row r="79">
          <cell r="B79" t="str">
            <v>Net debt</v>
          </cell>
          <cell r="C79" t="str">
            <v>NET_DEBT</v>
          </cell>
          <cell r="D79" t="str">
            <v>EUR</v>
          </cell>
          <cell r="F79">
            <v>-2143</v>
          </cell>
          <cell r="G79">
            <v>-1533</v>
          </cell>
          <cell r="H79">
            <v>-1224</v>
          </cell>
          <cell r="I79">
            <v>-3105</v>
          </cell>
          <cell r="J79">
            <v>-4058</v>
          </cell>
          <cell r="K79"/>
          <cell r="L79"/>
          <cell r="M79"/>
          <cell r="N79"/>
          <cell r="O79">
            <v>-5489</v>
          </cell>
          <cell r="P79"/>
          <cell r="Q79"/>
          <cell r="R79"/>
          <cell r="S79"/>
          <cell r="T79">
            <v>-4229</v>
          </cell>
          <cell r="U79"/>
          <cell r="V79"/>
          <cell r="W79"/>
          <cell r="X79"/>
          <cell r="Y79">
            <v>-7024</v>
          </cell>
          <cell r="Z79"/>
          <cell r="AA79"/>
          <cell r="AB79"/>
          <cell r="AC79"/>
          <cell r="AD79">
            <v>-9193</v>
          </cell>
          <cell r="AE79"/>
          <cell r="AF79"/>
          <cell r="AG79"/>
          <cell r="AH79"/>
          <cell r="AI79">
            <v>-9797</v>
          </cell>
          <cell r="AJ79"/>
          <cell r="AK79"/>
          <cell r="AL79"/>
          <cell r="AM79"/>
          <cell r="AN79">
            <v>-11918</v>
          </cell>
          <cell r="AO79"/>
          <cell r="AP79"/>
          <cell r="AQ79"/>
          <cell r="AR79"/>
          <cell r="AS79">
            <v>-11681</v>
          </cell>
          <cell r="AT79"/>
          <cell r="AU79"/>
          <cell r="AV79"/>
          <cell r="AW79"/>
          <cell r="AX79">
            <v>-12292</v>
          </cell>
          <cell r="AY79"/>
          <cell r="AZ79"/>
          <cell r="BA79"/>
          <cell r="BB79"/>
          <cell r="BC79">
            <v>-9054</v>
          </cell>
          <cell r="BD79"/>
          <cell r="BE79"/>
          <cell r="BF79"/>
          <cell r="BG79"/>
          <cell r="BH79">
            <v>-9092</v>
          </cell>
          <cell r="BI79"/>
          <cell r="BJ79"/>
          <cell r="BK79"/>
          <cell r="BL79"/>
          <cell r="BM79">
            <v>-10003</v>
          </cell>
          <cell r="BN79"/>
          <cell r="BO79"/>
          <cell r="BP79"/>
          <cell r="BQ79"/>
          <cell r="BR79">
            <v>-11113</v>
          </cell>
          <cell r="BS79"/>
          <cell r="BT79"/>
          <cell r="BU79"/>
          <cell r="BV79"/>
          <cell r="BW79">
            <v>-13391</v>
          </cell>
          <cell r="BX79"/>
          <cell r="BY79"/>
          <cell r="BZ79"/>
          <cell r="CA79"/>
          <cell r="CB79">
            <v>-13281</v>
          </cell>
          <cell r="CC79"/>
          <cell r="CD79"/>
          <cell r="CE79"/>
          <cell r="CF79"/>
          <cell r="CG79">
            <v>-12534</v>
          </cell>
          <cell r="CH79"/>
          <cell r="CI79"/>
          <cell r="CJ79"/>
          <cell r="CK79"/>
          <cell r="CL79">
            <v>2688.7879588809719</v>
          </cell>
          <cell r="CM79"/>
          <cell r="CN79"/>
          <cell r="CO79"/>
          <cell r="CP79"/>
          <cell r="CQ79">
            <v>-597.45019953864539</v>
          </cell>
          <cell r="CR79"/>
          <cell r="CS79"/>
          <cell r="CT79"/>
          <cell r="CU79"/>
          <cell r="CV79">
            <v>-7953.0544071775184</v>
          </cell>
          <cell r="CW79">
            <v>-10430.639895978122</v>
          </cell>
          <cell r="CX79">
            <v>-10151.07183617448</v>
          </cell>
          <cell r="CY79">
            <v>-11605.929546715612</v>
          </cell>
        </row>
        <row r="80">
          <cell r="B80" t="str">
            <v>Capitalized operating leases (off-balance sheet)</v>
          </cell>
          <cell r="C80" t="str">
            <v>CAP_LEASES</v>
          </cell>
          <cell r="D80" t="str">
            <v>EUR</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cell r="AU80"/>
          <cell r="AV80"/>
          <cell r="AW80"/>
          <cell r="AX80">
            <v>0</v>
          </cell>
          <cell r="AY80"/>
          <cell r="AZ80"/>
          <cell r="BA80"/>
          <cell r="BB80"/>
          <cell r="BC80">
            <v>0</v>
          </cell>
          <cell r="BD80"/>
          <cell r="BE80"/>
          <cell r="BF80"/>
          <cell r="BG80"/>
          <cell r="BH80">
            <v>0</v>
          </cell>
          <cell r="BI80"/>
          <cell r="BJ80"/>
          <cell r="BK80"/>
          <cell r="BL80"/>
          <cell r="BM80">
            <v>0</v>
          </cell>
          <cell r="BN80"/>
          <cell r="BO80"/>
          <cell r="BP80"/>
          <cell r="BQ80"/>
          <cell r="BR80">
            <v>0</v>
          </cell>
          <cell r="BS80"/>
          <cell r="BT80"/>
          <cell r="BU80"/>
          <cell r="BV80"/>
          <cell r="BW80">
            <v>0</v>
          </cell>
          <cell r="BX80"/>
          <cell r="BY80"/>
          <cell r="BZ80"/>
          <cell r="CA80"/>
          <cell r="CB80">
            <v>0</v>
          </cell>
          <cell r="CC80"/>
          <cell r="CD80"/>
          <cell r="CE80"/>
          <cell r="CF80"/>
          <cell r="CG80">
            <v>0</v>
          </cell>
          <cell r="CH80"/>
          <cell r="CI80"/>
          <cell r="CJ80"/>
          <cell r="CK80"/>
          <cell r="CL80">
            <v>0</v>
          </cell>
          <cell r="CM80"/>
          <cell r="CN80"/>
          <cell r="CO80"/>
          <cell r="CP80"/>
          <cell r="CQ80">
            <v>0</v>
          </cell>
          <cell r="CR80"/>
          <cell r="CS80"/>
          <cell r="CT80"/>
          <cell r="CU80"/>
          <cell r="CV80">
            <v>0</v>
          </cell>
          <cell r="CW80">
            <v>0</v>
          </cell>
          <cell r="CX80">
            <v>0</v>
          </cell>
          <cell r="CY80">
            <v>0</v>
          </cell>
        </row>
        <row r="81">
          <cell r="B81" t="str">
            <v>Deferred income taxes</v>
          </cell>
          <cell r="C81" t="str">
            <v>DEF_INC_TAX</v>
          </cell>
          <cell r="D81" t="str">
            <v>EUR</v>
          </cell>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cell r="CO81"/>
          <cell r="CP81"/>
          <cell r="CQ81"/>
          <cell r="CR81"/>
          <cell r="CS81"/>
          <cell r="CT81"/>
          <cell r="CU81"/>
          <cell r="CV81"/>
          <cell r="CW81"/>
          <cell r="CX81"/>
          <cell r="CY81"/>
        </row>
        <row r="82">
          <cell r="B82" t="str">
            <v>Associates (mkt value) used in EV calculation</v>
          </cell>
          <cell r="C82" t="str">
            <v>MV_ASSOCIATES</v>
          </cell>
          <cell r="D82" t="str">
            <v>EUR</v>
          </cell>
          <cell r="F82">
            <v>900.8590999999999</v>
          </cell>
          <cell r="G82">
            <v>1268.6199999999999</v>
          </cell>
          <cell r="H82">
            <v>1541.79</v>
          </cell>
          <cell r="I82">
            <v>1250.0999999999999</v>
          </cell>
          <cell r="J82">
            <v>2058.0349999999999</v>
          </cell>
          <cell r="K82"/>
          <cell r="L82"/>
          <cell r="M82"/>
          <cell r="N82"/>
          <cell r="O82">
            <v>2470.9847</v>
          </cell>
          <cell r="P82"/>
          <cell r="Q82"/>
          <cell r="R82"/>
          <cell r="S82"/>
          <cell r="T82">
            <v>2813.0028000000002</v>
          </cell>
          <cell r="U82"/>
          <cell r="V82"/>
          <cell r="W82"/>
          <cell r="X82"/>
          <cell r="Y82">
            <v>3881.8475600000006</v>
          </cell>
          <cell r="Z82"/>
          <cell r="AA82"/>
          <cell r="AB82"/>
          <cell r="AC82"/>
          <cell r="AD82">
            <v>2672.35266</v>
          </cell>
          <cell r="AE82"/>
          <cell r="AF82"/>
          <cell r="AG82"/>
          <cell r="AH82"/>
          <cell r="AI82">
            <v>1819.0760700000001</v>
          </cell>
          <cell r="AJ82"/>
          <cell r="AK82"/>
          <cell r="AL82"/>
          <cell r="AM82"/>
          <cell r="AN82">
            <v>2821.5497800000003</v>
          </cell>
          <cell r="AO82"/>
          <cell r="AP82"/>
          <cell r="AQ82"/>
          <cell r="AR82"/>
          <cell r="AS82">
            <v>3235.01341</v>
          </cell>
          <cell r="AT82"/>
          <cell r="AU82"/>
          <cell r="AV82"/>
          <cell r="AW82"/>
          <cell r="AX82">
            <v>3201.5848100000003</v>
          </cell>
          <cell r="AY82"/>
          <cell r="AZ82"/>
          <cell r="BA82"/>
          <cell r="BB82"/>
          <cell r="BC82">
            <v>4256.261770000001</v>
          </cell>
          <cell r="BD82"/>
          <cell r="BE82"/>
          <cell r="BF82"/>
          <cell r="BG82"/>
          <cell r="BH82">
            <v>4078.429545410519</v>
          </cell>
          <cell r="BI82"/>
          <cell r="BJ82"/>
          <cell r="BK82"/>
          <cell r="BL82"/>
          <cell r="BM82">
            <v>2717.7238794</v>
          </cell>
          <cell r="BN82"/>
          <cell r="BO82"/>
          <cell r="BP82"/>
          <cell r="BQ82"/>
          <cell r="BR82">
            <v>0</v>
          </cell>
          <cell r="BS82"/>
          <cell r="BT82"/>
          <cell r="BU82"/>
          <cell r="BV82"/>
          <cell r="BW82">
            <v>0</v>
          </cell>
          <cell r="BX82"/>
          <cell r="BY82"/>
          <cell r="BZ82"/>
          <cell r="CA82"/>
          <cell r="CB82">
            <v>0</v>
          </cell>
          <cell r="CC82"/>
          <cell r="CD82"/>
          <cell r="CE82"/>
          <cell r="CF82"/>
          <cell r="CG82">
            <v>0</v>
          </cell>
          <cell r="CH82"/>
          <cell r="CI82"/>
          <cell r="CJ82"/>
          <cell r="CK82"/>
          <cell r="CL82">
            <v>0</v>
          </cell>
          <cell r="CM82"/>
          <cell r="CN82"/>
          <cell r="CO82"/>
          <cell r="CP82"/>
          <cell r="CQ82">
            <v>0</v>
          </cell>
          <cell r="CR82"/>
          <cell r="CS82"/>
          <cell r="CT82"/>
          <cell r="CU82"/>
          <cell r="CV82">
            <v>0</v>
          </cell>
          <cell r="CW82">
            <v>0</v>
          </cell>
          <cell r="CX82">
            <v>0</v>
          </cell>
          <cell r="CY82">
            <v>0</v>
          </cell>
        </row>
        <row r="83">
          <cell r="B83" t="str">
            <v>Net debt adjustment</v>
          </cell>
          <cell r="C83" t="str">
            <v>NET_DEBT_ADJ</v>
          </cell>
          <cell r="D83" t="str">
            <v>EUR</v>
          </cell>
          <cell r="F83"/>
          <cell r="G83"/>
          <cell r="H83"/>
          <cell r="I83"/>
          <cell r="J83"/>
          <cell r="K83"/>
          <cell r="L83"/>
          <cell r="M83"/>
          <cell r="N83"/>
          <cell r="O83"/>
          <cell r="P83"/>
          <cell r="Q83"/>
          <cell r="R83"/>
          <cell r="S83"/>
          <cell r="T83">
            <v>-1843</v>
          </cell>
          <cell r="U83"/>
          <cell r="V83"/>
          <cell r="W83"/>
          <cell r="X83"/>
          <cell r="Y83">
            <v>-4289</v>
          </cell>
          <cell r="Z83"/>
          <cell r="AA83"/>
          <cell r="AB83"/>
          <cell r="AC83"/>
          <cell r="AD83">
            <v>-6952</v>
          </cell>
          <cell r="AE83"/>
          <cell r="AF83"/>
          <cell r="AG83"/>
          <cell r="AH83"/>
          <cell r="AI83">
            <v>-8055</v>
          </cell>
          <cell r="AJ83"/>
          <cell r="AK83"/>
          <cell r="AL83"/>
          <cell r="AM83"/>
          <cell r="AN83">
            <v>-11166</v>
          </cell>
          <cell r="AO83"/>
          <cell r="AP83"/>
          <cell r="AQ83"/>
          <cell r="AR83"/>
          <cell r="AS83">
            <v>-11501</v>
          </cell>
          <cell r="AT83"/>
          <cell r="AU83"/>
          <cell r="AV83"/>
          <cell r="AW83"/>
          <cell r="AX83">
            <v>-8315</v>
          </cell>
          <cell r="AY83"/>
          <cell r="AZ83"/>
          <cell r="BA83"/>
          <cell r="BB83"/>
          <cell r="BC83">
            <v>-6890</v>
          </cell>
          <cell r="BD83"/>
          <cell r="BE83"/>
          <cell r="BF83"/>
          <cell r="BG83"/>
          <cell r="BH83">
            <v>-9172</v>
          </cell>
          <cell r="BI83"/>
          <cell r="BJ83"/>
          <cell r="BK83"/>
          <cell r="BL83"/>
          <cell r="BM83">
            <v>-11639</v>
          </cell>
          <cell r="BN83"/>
          <cell r="BO83"/>
          <cell r="BP83"/>
          <cell r="BQ83"/>
          <cell r="BR83">
            <v>-11448</v>
          </cell>
          <cell r="BS83"/>
          <cell r="BT83"/>
          <cell r="BU83"/>
          <cell r="BV83"/>
          <cell r="BW83">
            <v>-12571</v>
          </cell>
          <cell r="BX83"/>
          <cell r="BY83"/>
          <cell r="BZ83"/>
          <cell r="CA83"/>
          <cell r="CB83">
            <v>-12794</v>
          </cell>
          <cell r="CC83"/>
          <cell r="CD83"/>
          <cell r="CE83"/>
          <cell r="CF83"/>
          <cell r="CG83">
            <v>-13368</v>
          </cell>
          <cell r="CH83"/>
          <cell r="CI83"/>
          <cell r="CJ83"/>
          <cell r="CK83"/>
          <cell r="CL83">
            <v>-7368</v>
          </cell>
          <cell r="CM83"/>
          <cell r="CN83"/>
          <cell r="CO83"/>
          <cell r="CP83"/>
          <cell r="CQ83">
            <v>-7368</v>
          </cell>
          <cell r="CR83"/>
          <cell r="CS83"/>
          <cell r="CT83"/>
          <cell r="CU83"/>
          <cell r="CV83">
            <v>-7368</v>
          </cell>
          <cell r="CW83">
            <v>-7368</v>
          </cell>
          <cell r="CX83">
            <v>-7367.9999999999982</v>
          </cell>
          <cell r="CY83">
            <v>-7368</v>
          </cell>
        </row>
        <row r="84">
          <cell r="B84" t="str">
            <v>Company borrowing margin</v>
          </cell>
          <cell r="C84" t="str">
            <v>CO_BOR_MARGIN</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cell r="CH84"/>
          <cell r="CI84"/>
          <cell r="CJ84"/>
          <cell r="CK84"/>
          <cell r="CL84"/>
          <cell r="CM84"/>
          <cell r="CN84"/>
          <cell r="CO84"/>
          <cell r="CP84"/>
          <cell r="CQ84"/>
          <cell r="CR84"/>
          <cell r="CS84"/>
          <cell r="CT84"/>
          <cell r="CU84"/>
          <cell r="CV84"/>
          <cell r="CW84"/>
          <cell r="CX84"/>
          <cell r="CY84"/>
        </row>
        <row r="85">
          <cell r="B85" t="str">
            <v>Unfunded pensions &amp; other provisions</v>
          </cell>
          <cell r="C85" t="str">
            <v>UNF_PENS</v>
          </cell>
          <cell r="D85" t="str">
            <v>EUR</v>
          </cell>
          <cell r="F85">
            <v>-2513</v>
          </cell>
          <cell r="G85">
            <v>-2678</v>
          </cell>
          <cell r="H85">
            <v>-2772</v>
          </cell>
          <cell r="I85">
            <v>-3044</v>
          </cell>
          <cell r="J85">
            <v>-3247</v>
          </cell>
          <cell r="K85"/>
          <cell r="L85"/>
          <cell r="M85"/>
          <cell r="N85"/>
          <cell r="O85">
            <v>-3442</v>
          </cell>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cell r="BP85"/>
          <cell r="BQ85"/>
          <cell r="BR85"/>
          <cell r="BS85"/>
          <cell r="BT85"/>
          <cell r="BU85"/>
          <cell r="BV85"/>
          <cell r="BW85"/>
          <cell r="BX85"/>
          <cell r="BY85"/>
          <cell r="BZ85"/>
          <cell r="CA85"/>
          <cell r="CB85"/>
          <cell r="CC85"/>
          <cell r="CD85"/>
          <cell r="CE85"/>
          <cell r="CF85"/>
          <cell r="CG85"/>
          <cell r="CH85"/>
          <cell r="CI85"/>
          <cell r="CJ85"/>
          <cell r="CK85"/>
          <cell r="CL85"/>
          <cell r="CM85"/>
          <cell r="CN85"/>
          <cell r="CO85"/>
          <cell r="CP85"/>
          <cell r="CQ85"/>
          <cell r="CR85"/>
          <cell r="CS85"/>
          <cell r="CT85"/>
          <cell r="CU85"/>
          <cell r="CV85"/>
          <cell r="CW85"/>
          <cell r="CX85"/>
          <cell r="CY85"/>
        </row>
        <row r="86">
          <cell r="B86" t="str">
            <v>Unfunded pension liabilities (off balance sheet)</v>
          </cell>
          <cell r="C86" t="str">
            <v>UNF_PENS_OFF</v>
          </cell>
          <cell r="D86" t="str">
            <v>EUR</v>
          </cell>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cell r="CO86"/>
          <cell r="CP86"/>
          <cell r="CQ86"/>
          <cell r="CR86"/>
          <cell r="CS86"/>
          <cell r="CT86"/>
          <cell r="CU86"/>
          <cell r="CV86"/>
          <cell r="CW86"/>
          <cell r="CX86"/>
          <cell r="CY86"/>
        </row>
        <row r="87">
          <cell r="B87" t="str">
            <v>Unfunded pension liabilities &amp; other, used in EV</v>
          </cell>
          <cell r="C87" t="str">
            <v>UNF_PENS_LIAB_OTH</v>
          </cell>
          <cell r="D87" t="str">
            <v>EUR</v>
          </cell>
          <cell r="F87">
            <v>2513</v>
          </cell>
          <cell r="G87">
            <v>2836</v>
          </cell>
          <cell r="H87">
            <v>3170</v>
          </cell>
          <cell r="I87">
            <v>3428</v>
          </cell>
          <cell r="J87">
            <v>3906</v>
          </cell>
          <cell r="K87"/>
          <cell r="L87"/>
          <cell r="M87"/>
          <cell r="N87"/>
          <cell r="O87">
            <v>4560</v>
          </cell>
          <cell r="P87"/>
          <cell r="Q87"/>
          <cell r="R87"/>
          <cell r="S87"/>
          <cell r="T87">
            <v>4840</v>
          </cell>
          <cell r="U87"/>
          <cell r="V87"/>
          <cell r="W87"/>
          <cell r="X87"/>
          <cell r="Y87">
            <v>4026</v>
          </cell>
          <cell r="Z87"/>
          <cell r="AA87"/>
          <cell r="AB87"/>
          <cell r="AC87"/>
          <cell r="AD87">
            <v>4093</v>
          </cell>
          <cell r="AE87"/>
          <cell r="AF87"/>
          <cell r="AG87"/>
          <cell r="AH87"/>
          <cell r="AI87">
            <v>4653</v>
          </cell>
          <cell r="AJ87"/>
          <cell r="AK87"/>
          <cell r="AL87"/>
          <cell r="AM87"/>
          <cell r="AN87">
            <v>4344</v>
          </cell>
          <cell r="AO87"/>
          <cell r="AP87"/>
          <cell r="AQ87"/>
          <cell r="AR87"/>
          <cell r="AS87">
            <v>4938</v>
          </cell>
          <cell r="AT87"/>
          <cell r="AU87"/>
          <cell r="AV87"/>
          <cell r="AW87"/>
          <cell r="AX87">
            <v>5300</v>
          </cell>
          <cell r="AY87"/>
          <cell r="AZ87"/>
          <cell r="BA87"/>
          <cell r="BB87"/>
          <cell r="BC87">
            <v>5292</v>
          </cell>
          <cell r="BD87"/>
          <cell r="BE87"/>
          <cell r="BF87"/>
          <cell r="BG87"/>
          <cell r="BH87">
            <v>6353</v>
          </cell>
          <cell r="BI87"/>
          <cell r="BJ87"/>
          <cell r="BK87"/>
          <cell r="BL87"/>
          <cell r="BM87">
            <v>6096</v>
          </cell>
          <cell r="BN87"/>
          <cell r="BO87"/>
          <cell r="BP87"/>
          <cell r="BQ87"/>
          <cell r="BR87">
            <v>7236</v>
          </cell>
          <cell r="BS87"/>
          <cell r="BT87"/>
          <cell r="BU87"/>
          <cell r="BV87"/>
          <cell r="BW87">
            <v>6881</v>
          </cell>
          <cell r="BX87"/>
          <cell r="BY87"/>
          <cell r="BZ87"/>
          <cell r="CA87"/>
          <cell r="CB87">
            <v>6377</v>
          </cell>
          <cell r="CC87"/>
          <cell r="CD87"/>
          <cell r="CE87"/>
          <cell r="CF87"/>
          <cell r="CG87">
            <v>7392</v>
          </cell>
          <cell r="CH87"/>
          <cell r="CI87"/>
          <cell r="CJ87"/>
          <cell r="CK87"/>
          <cell r="CL87">
            <v>6682.4</v>
          </cell>
          <cell r="CM87"/>
          <cell r="CN87"/>
          <cell r="CO87"/>
          <cell r="CP87"/>
          <cell r="CQ87">
            <v>6082.4</v>
          </cell>
          <cell r="CR87"/>
          <cell r="CS87"/>
          <cell r="CT87"/>
          <cell r="CU87"/>
          <cell r="CV87">
            <v>5282.4</v>
          </cell>
          <cell r="CW87">
            <v>4482.3999999999996</v>
          </cell>
          <cell r="CX87">
            <v>3882.4</v>
          </cell>
          <cell r="CY87">
            <v>4482.3999999999996</v>
          </cell>
        </row>
        <row r="88">
          <cell r="B88" t="str">
            <v>Adjustment for unfunded pensions &amp; goodwill</v>
          </cell>
          <cell r="C88" t="str">
            <v>ADJ_UNF_PENS_GOOD</v>
          </cell>
          <cell r="D88" t="str">
            <v>EUR</v>
          </cell>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cell r="CL88"/>
          <cell r="CM88"/>
          <cell r="CN88"/>
          <cell r="CO88"/>
          <cell r="CP88"/>
          <cell r="CQ88"/>
          <cell r="CR88"/>
          <cell r="CS88"/>
          <cell r="CT88"/>
          <cell r="CU88"/>
          <cell r="CV88"/>
          <cell r="CW88"/>
          <cell r="CX88"/>
          <cell r="CY88"/>
        </row>
        <row r="89">
          <cell r="B89" t="str">
            <v>Other GCI adjustments</v>
          </cell>
          <cell r="C89" t="str">
            <v>OTH_GCI_ADJ</v>
          </cell>
          <cell r="D89" t="str">
            <v>EUR</v>
          </cell>
          <cell r="F89"/>
          <cell r="G89"/>
          <cell r="H89"/>
          <cell r="I89"/>
          <cell r="J89"/>
          <cell r="K89"/>
          <cell r="L89"/>
          <cell r="M89"/>
          <cell r="N89"/>
          <cell r="O89"/>
          <cell r="P89"/>
          <cell r="Q89"/>
          <cell r="R89"/>
          <cell r="S89"/>
          <cell r="T89">
            <v>-877</v>
          </cell>
          <cell r="U89"/>
          <cell r="V89"/>
          <cell r="W89"/>
          <cell r="X89"/>
          <cell r="Y89">
            <v>-970</v>
          </cell>
          <cell r="Z89"/>
          <cell r="AA89"/>
          <cell r="AB89"/>
          <cell r="AC89"/>
          <cell r="AD89">
            <v>-1057</v>
          </cell>
          <cell r="AE89"/>
          <cell r="AF89"/>
          <cell r="AG89"/>
          <cell r="AH89"/>
          <cell r="AI89">
            <v>-1110</v>
          </cell>
          <cell r="AJ89"/>
          <cell r="AK89"/>
          <cell r="AL89"/>
          <cell r="AM89"/>
          <cell r="AN89">
            <v>-1255</v>
          </cell>
          <cell r="AO89"/>
          <cell r="AP89"/>
          <cell r="AQ89"/>
          <cell r="AR89"/>
          <cell r="AS89">
            <v>-1352</v>
          </cell>
          <cell r="AT89"/>
          <cell r="AU89"/>
          <cell r="AV89"/>
          <cell r="AW89"/>
          <cell r="AX89">
            <v>-1840</v>
          </cell>
          <cell r="AY89"/>
          <cell r="AZ89"/>
          <cell r="BA89"/>
          <cell r="BB89"/>
          <cell r="BC89">
            <v>-2261</v>
          </cell>
          <cell r="BD89"/>
          <cell r="BE89"/>
          <cell r="BF89"/>
          <cell r="BG89"/>
          <cell r="BH89">
            <v>-2486</v>
          </cell>
          <cell r="BI89"/>
          <cell r="BJ89"/>
          <cell r="BK89"/>
          <cell r="BL89"/>
          <cell r="BM89">
            <v>-2640</v>
          </cell>
          <cell r="BN89"/>
          <cell r="BO89"/>
          <cell r="BP89"/>
          <cell r="BQ89"/>
          <cell r="BR89">
            <v>-2951</v>
          </cell>
          <cell r="BS89"/>
          <cell r="BT89"/>
          <cell r="BU89"/>
          <cell r="BV89"/>
          <cell r="BW89">
            <v>-2712</v>
          </cell>
          <cell r="BX89"/>
          <cell r="BY89"/>
          <cell r="BZ89"/>
          <cell r="CA89"/>
          <cell r="CB89">
            <v>-284</v>
          </cell>
          <cell r="CC89"/>
          <cell r="CD89"/>
          <cell r="CE89"/>
          <cell r="CF89"/>
          <cell r="CG89">
            <v>1335</v>
          </cell>
          <cell r="CH89"/>
          <cell r="CI89"/>
          <cell r="CJ89"/>
          <cell r="CK89"/>
          <cell r="CL89">
            <v>1247.6928477445558</v>
          </cell>
          <cell r="CM89"/>
          <cell r="CN89"/>
          <cell r="CO89"/>
          <cell r="CP89"/>
          <cell r="CQ89">
            <v>1891.8700994745507</v>
          </cell>
          <cell r="CR89"/>
          <cell r="CS89"/>
          <cell r="CT89"/>
          <cell r="CU89"/>
          <cell r="CV89">
            <v>2776.0945914958634</v>
          </cell>
          <cell r="CW89">
            <v>3649.5917870022067</v>
          </cell>
          <cell r="CX89">
            <v>4266.9744641169982</v>
          </cell>
          <cell r="CY89">
            <v>3379.9536471892661</v>
          </cell>
        </row>
        <row r="90">
          <cell r="B90" t="str">
            <v>GCI inflator</v>
          </cell>
          <cell r="C90" t="str">
            <v>GCI_INFL</v>
          </cell>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cell r="BG90"/>
          <cell r="BH90"/>
          <cell r="BI90"/>
          <cell r="BJ90"/>
          <cell r="BK90"/>
          <cell r="BL90"/>
          <cell r="BM90"/>
          <cell r="BN90"/>
          <cell r="BO90"/>
          <cell r="BP90"/>
          <cell r="BQ90"/>
          <cell r="BR90"/>
          <cell r="BS90"/>
          <cell r="BT90"/>
          <cell r="BU90"/>
          <cell r="BV90"/>
          <cell r="BW90"/>
          <cell r="BX90"/>
          <cell r="BY90"/>
          <cell r="BZ90"/>
          <cell r="CA90"/>
          <cell r="CB90"/>
          <cell r="CC90"/>
          <cell r="CD90"/>
          <cell r="CE90"/>
          <cell r="CF90"/>
          <cell r="CG90"/>
          <cell r="CH90"/>
          <cell r="CI90"/>
          <cell r="CJ90"/>
          <cell r="CK90"/>
          <cell r="CL90"/>
          <cell r="CM90"/>
          <cell r="CN90"/>
          <cell r="CO90"/>
          <cell r="CP90"/>
          <cell r="CQ90"/>
          <cell r="CR90"/>
          <cell r="CS90"/>
          <cell r="CT90"/>
          <cell r="CU90"/>
          <cell r="CV90"/>
          <cell r="CW90"/>
          <cell r="CX90"/>
          <cell r="CY90"/>
        </row>
        <row r="91">
          <cell r="B91" t="str">
            <v>Minority interest</v>
          </cell>
          <cell r="C91" t="str">
            <v>BAL_MINO_INT</v>
          </cell>
          <cell r="D91" t="str">
            <v>EUR</v>
          </cell>
          <cell r="F91">
            <v>221</v>
          </cell>
          <cell r="G91">
            <v>559</v>
          </cell>
          <cell r="H91">
            <v>1361</v>
          </cell>
          <cell r="I91">
            <v>2179</v>
          </cell>
          <cell r="J91">
            <v>2370</v>
          </cell>
          <cell r="K91"/>
          <cell r="L91"/>
          <cell r="M91"/>
          <cell r="N91"/>
          <cell r="O91">
            <v>176</v>
          </cell>
          <cell r="P91"/>
          <cell r="Q91"/>
          <cell r="R91"/>
          <cell r="S91"/>
          <cell r="T91">
            <v>2890</v>
          </cell>
          <cell r="U91"/>
          <cell r="V91"/>
          <cell r="W91"/>
          <cell r="X91"/>
          <cell r="Y91">
            <v>85</v>
          </cell>
          <cell r="Z91"/>
          <cell r="AA91"/>
          <cell r="AB91"/>
          <cell r="AC91"/>
          <cell r="AD91">
            <v>104</v>
          </cell>
          <cell r="AE91"/>
          <cell r="AF91"/>
          <cell r="AG91"/>
          <cell r="AH91"/>
          <cell r="AI91">
            <v>106</v>
          </cell>
          <cell r="AJ91"/>
          <cell r="AK91"/>
          <cell r="AL91"/>
          <cell r="AM91"/>
          <cell r="AN91">
            <v>95</v>
          </cell>
          <cell r="AO91"/>
          <cell r="AP91"/>
          <cell r="AQ91"/>
          <cell r="AR91"/>
          <cell r="AS91">
            <v>15</v>
          </cell>
          <cell r="AT91"/>
          <cell r="AU91"/>
          <cell r="AV91"/>
          <cell r="AW91"/>
          <cell r="AX91">
            <v>17</v>
          </cell>
          <cell r="AY91"/>
          <cell r="AZ91"/>
          <cell r="BA91"/>
          <cell r="BB91"/>
          <cell r="BC91">
            <v>43</v>
          </cell>
          <cell r="BD91"/>
          <cell r="BE91"/>
          <cell r="BF91"/>
          <cell r="BG91"/>
          <cell r="BH91">
            <v>18</v>
          </cell>
          <cell r="BI91"/>
          <cell r="BJ91"/>
          <cell r="BK91"/>
          <cell r="BL91"/>
          <cell r="BM91">
            <v>7</v>
          </cell>
          <cell r="BN91"/>
          <cell r="BO91"/>
          <cell r="BP91"/>
          <cell r="BQ91"/>
          <cell r="BR91">
            <v>-5</v>
          </cell>
          <cell r="BS91"/>
          <cell r="BT91"/>
          <cell r="BU91"/>
          <cell r="BV91"/>
          <cell r="BW91">
            <v>3</v>
          </cell>
          <cell r="BX91"/>
          <cell r="BY91"/>
          <cell r="BZ91"/>
          <cell r="CA91"/>
          <cell r="CB91">
            <v>-5</v>
          </cell>
          <cell r="CC91"/>
          <cell r="CD91"/>
          <cell r="CE91"/>
          <cell r="CF91"/>
          <cell r="CG91">
            <v>15</v>
          </cell>
          <cell r="CH91"/>
          <cell r="CI91"/>
          <cell r="CJ91"/>
          <cell r="CK91"/>
          <cell r="CL91">
            <v>25</v>
          </cell>
          <cell r="CM91"/>
          <cell r="CN91"/>
          <cell r="CO91"/>
          <cell r="CP91"/>
          <cell r="CQ91">
            <v>35</v>
          </cell>
          <cell r="CR91"/>
          <cell r="CS91"/>
          <cell r="CT91"/>
          <cell r="CU91"/>
          <cell r="CV91">
            <v>45</v>
          </cell>
          <cell r="CW91">
            <v>55</v>
          </cell>
          <cell r="CX91">
            <v>65</v>
          </cell>
          <cell r="CY91">
            <v>75</v>
          </cell>
        </row>
        <row r="92">
          <cell r="B92" t="str">
            <v>Right-of-use assets (op lease assets under US GAAP)</v>
          </cell>
          <cell r="C92" t="str">
            <v>ROU_ASSET</v>
          </cell>
          <cell r="D92" t="str">
            <v>EUR</v>
          </cell>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cell r="CO92"/>
          <cell r="CP92"/>
          <cell r="CQ92"/>
          <cell r="CR92"/>
          <cell r="CS92"/>
          <cell r="CT92"/>
          <cell r="CU92"/>
          <cell r="CV92"/>
          <cell r="CW92"/>
          <cell r="CX92"/>
          <cell r="CY92"/>
        </row>
        <row r="93">
          <cell r="A93" t="str">
            <v>Cash Flow Statement</v>
          </cell>
          <cell r="B93"/>
          <cell r="C93"/>
          <cell r="D93"/>
        </row>
        <row r="94">
          <cell r="B94" t="str">
            <v>Minority interest add-back</v>
          </cell>
          <cell r="C94" t="str">
            <v>CF_INC_MINORITY</v>
          </cell>
          <cell r="D94" t="str">
            <v>EUR</v>
          </cell>
          <cell r="F94">
            <v>14</v>
          </cell>
          <cell r="G94">
            <v>-114</v>
          </cell>
          <cell r="H94">
            <v>129</v>
          </cell>
          <cell r="I94">
            <v>162</v>
          </cell>
          <cell r="J94">
            <v>220</v>
          </cell>
          <cell r="K94"/>
          <cell r="L94"/>
          <cell r="M94"/>
          <cell r="N94"/>
          <cell r="O94">
            <v>34</v>
          </cell>
          <cell r="P94"/>
          <cell r="Q94"/>
          <cell r="R94"/>
          <cell r="S94"/>
          <cell r="T94">
            <v>16</v>
          </cell>
          <cell r="U94"/>
          <cell r="V94"/>
          <cell r="W94"/>
          <cell r="X94"/>
          <cell r="Y94">
            <v>9</v>
          </cell>
          <cell r="Z94"/>
          <cell r="AA94"/>
          <cell r="AB94"/>
          <cell r="AC94"/>
          <cell r="AD94">
            <v>25</v>
          </cell>
          <cell r="AE94"/>
          <cell r="AF94"/>
          <cell r="AG94"/>
          <cell r="AH94"/>
          <cell r="AI94">
            <v>11</v>
          </cell>
          <cell r="AJ94"/>
          <cell r="AK94"/>
          <cell r="AL94"/>
          <cell r="AM94"/>
          <cell r="AN94">
            <v>19</v>
          </cell>
          <cell r="AO94"/>
          <cell r="AP94"/>
          <cell r="AQ94"/>
          <cell r="AR94"/>
          <cell r="AS94">
            <v>4</v>
          </cell>
          <cell r="AT94"/>
          <cell r="AU94"/>
          <cell r="AV94"/>
          <cell r="AW94"/>
          <cell r="AX94">
            <v>1</v>
          </cell>
          <cell r="AY94"/>
          <cell r="AZ94"/>
          <cell r="BA94"/>
          <cell r="BB94"/>
          <cell r="BC94">
            <v>10</v>
          </cell>
          <cell r="BD94"/>
          <cell r="BE94"/>
          <cell r="BF94"/>
          <cell r="BG94"/>
          <cell r="BH94">
            <v>7</v>
          </cell>
          <cell r="BI94"/>
          <cell r="BJ94"/>
          <cell r="BK94"/>
          <cell r="BL94"/>
          <cell r="BM94">
            <v>2</v>
          </cell>
          <cell r="BN94"/>
          <cell r="BO94"/>
          <cell r="BP94"/>
          <cell r="BQ94"/>
          <cell r="BR94">
            <v>5</v>
          </cell>
          <cell r="BS94"/>
          <cell r="BT94"/>
          <cell r="BU94"/>
          <cell r="BV94"/>
          <cell r="BW94">
            <v>4</v>
          </cell>
          <cell r="BX94"/>
          <cell r="BY94"/>
          <cell r="BZ94"/>
          <cell r="CA94"/>
          <cell r="CB94">
            <v>-43</v>
          </cell>
          <cell r="CC94"/>
          <cell r="CD94"/>
          <cell r="CE94"/>
          <cell r="CF94"/>
          <cell r="CG94">
            <v>37</v>
          </cell>
          <cell r="CH94"/>
          <cell r="CI94"/>
          <cell r="CJ94"/>
          <cell r="CK94"/>
          <cell r="CL94">
            <v>10</v>
          </cell>
          <cell r="CM94"/>
          <cell r="CN94"/>
          <cell r="CO94"/>
          <cell r="CP94"/>
          <cell r="CQ94">
            <v>10</v>
          </cell>
          <cell r="CR94"/>
          <cell r="CS94"/>
          <cell r="CT94"/>
          <cell r="CU94"/>
          <cell r="CV94">
            <v>10</v>
          </cell>
          <cell r="CW94">
            <v>10</v>
          </cell>
          <cell r="CX94">
            <v>10</v>
          </cell>
          <cell r="CY94">
            <v>10</v>
          </cell>
        </row>
        <row r="95">
          <cell r="B95" t="str">
            <v>Depreciation &amp; amortization add-back</v>
          </cell>
          <cell r="C95" t="str">
            <v>DEPR_AMORT</v>
          </cell>
          <cell r="D95" t="str">
            <v>EUR</v>
          </cell>
          <cell r="F95">
            <v>1540</v>
          </cell>
          <cell r="G95">
            <v>3560</v>
          </cell>
          <cell r="H95">
            <v>2768</v>
          </cell>
          <cell r="I95">
            <v>2375</v>
          </cell>
          <cell r="J95">
            <v>1621</v>
          </cell>
          <cell r="K95"/>
          <cell r="L95"/>
          <cell r="M95"/>
          <cell r="N95"/>
          <cell r="O95">
            <v>1653</v>
          </cell>
          <cell r="P95"/>
          <cell r="Q95"/>
          <cell r="R95"/>
          <cell r="S95"/>
          <cell r="T95">
            <v>1691</v>
          </cell>
          <cell r="U95"/>
          <cell r="V95"/>
          <cell r="W95"/>
          <cell r="X95"/>
          <cell r="Y95">
            <v>1772</v>
          </cell>
          <cell r="Z95"/>
          <cell r="AA95"/>
          <cell r="AB95"/>
          <cell r="AC95"/>
          <cell r="AD95">
            <v>1667</v>
          </cell>
          <cell r="AE95"/>
          <cell r="AF95"/>
          <cell r="AG95"/>
          <cell r="AH95"/>
          <cell r="AI95">
            <v>1826</v>
          </cell>
          <cell r="AJ95"/>
          <cell r="AK95"/>
          <cell r="AL95"/>
          <cell r="AM95"/>
          <cell r="AN95">
            <v>1582</v>
          </cell>
          <cell r="AO95"/>
          <cell r="AP95"/>
          <cell r="AQ95"/>
          <cell r="AR95"/>
          <cell r="AS95">
            <v>1884</v>
          </cell>
          <cell r="AT95"/>
          <cell r="AU95"/>
          <cell r="AV95"/>
          <cell r="AW95"/>
          <cell r="AX95">
            <v>2053</v>
          </cell>
          <cell r="AY95"/>
          <cell r="AZ95"/>
          <cell r="BA95"/>
          <cell r="BB95"/>
          <cell r="BC95">
            <v>1968</v>
          </cell>
          <cell r="BD95"/>
          <cell r="BE95"/>
          <cell r="BF95"/>
          <cell r="BG95"/>
          <cell r="BH95">
            <v>2150</v>
          </cell>
          <cell r="BI95"/>
          <cell r="BJ95"/>
          <cell r="BK95"/>
          <cell r="BL95"/>
          <cell r="BM95">
            <v>2466</v>
          </cell>
          <cell r="BN95"/>
          <cell r="BO95"/>
          <cell r="BP95"/>
          <cell r="BQ95"/>
          <cell r="BR95">
            <v>2294</v>
          </cell>
          <cell r="BS95"/>
          <cell r="BT95"/>
          <cell r="BU95"/>
          <cell r="BV95"/>
          <cell r="BW95">
            <v>2298</v>
          </cell>
          <cell r="BX95"/>
          <cell r="BY95"/>
          <cell r="BZ95"/>
          <cell r="CA95"/>
          <cell r="CB95">
            <v>2444</v>
          </cell>
          <cell r="CC95"/>
          <cell r="CD95"/>
          <cell r="CE95"/>
          <cell r="CF95"/>
          <cell r="CG95">
            <v>2927</v>
          </cell>
          <cell r="CH95"/>
          <cell r="CI95"/>
          <cell r="CJ95"/>
          <cell r="CK95"/>
          <cell r="CL95">
            <v>2124.8773167168556</v>
          </cell>
          <cell r="CM95"/>
          <cell r="CN95"/>
          <cell r="CO95"/>
          <cell r="CP95"/>
          <cell r="CQ95">
            <v>2195.8078592793663</v>
          </cell>
          <cell r="CR95"/>
          <cell r="CS95"/>
          <cell r="CT95"/>
          <cell r="CU95"/>
          <cell r="CV95">
            <v>2229.2451153681809</v>
          </cell>
          <cell r="CW95">
            <v>2307.3554095395075</v>
          </cell>
          <cell r="CX95">
            <v>2381.6192312107969</v>
          </cell>
          <cell r="CY95">
            <v>2463.4759105537782</v>
          </cell>
        </row>
        <row r="96">
          <cell r="B96" t="str">
            <v>(Increase)/decrease in working capital</v>
          </cell>
          <cell r="C96" t="str">
            <v>WORK_CAP</v>
          </cell>
          <cell r="D96" t="str">
            <v>EUR</v>
          </cell>
          <cell r="F96">
            <v>1460</v>
          </cell>
          <cell r="G96">
            <v>2</v>
          </cell>
          <cell r="H96">
            <v>804</v>
          </cell>
          <cell r="I96">
            <v>2019</v>
          </cell>
          <cell r="J96">
            <v>2155</v>
          </cell>
          <cell r="K96"/>
          <cell r="L96"/>
          <cell r="M96"/>
          <cell r="N96"/>
          <cell r="O96">
            <v>1239</v>
          </cell>
          <cell r="P96"/>
          <cell r="Q96"/>
          <cell r="R96"/>
          <cell r="S96"/>
          <cell r="T96">
            <v>-143</v>
          </cell>
          <cell r="U96"/>
          <cell r="V96"/>
          <cell r="W96"/>
          <cell r="X96"/>
          <cell r="Y96">
            <v>1175</v>
          </cell>
          <cell r="Z96"/>
          <cell r="AA96"/>
          <cell r="AB96"/>
          <cell r="AC96"/>
          <cell r="AD96">
            <v>155</v>
          </cell>
          <cell r="AE96"/>
          <cell r="AF96"/>
          <cell r="AG96"/>
          <cell r="AH96"/>
          <cell r="AI96">
            <v>421</v>
          </cell>
          <cell r="AJ96"/>
          <cell r="AK96"/>
          <cell r="AL96"/>
          <cell r="AM96"/>
          <cell r="AN96">
            <v>2756</v>
          </cell>
          <cell r="AO96"/>
          <cell r="AP96"/>
          <cell r="AQ96"/>
          <cell r="AR96"/>
          <cell r="AS96">
            <v>1251</v>
          </cell>
          <cell r="AT96"/>
          <cell r="AU96"/>
          <cell r="AV96"/>
          <cell r="AW96"/>
          <cell r="AX96">
            <v>70</v>
          </cell>
          <cell r="AY96"/>
          <cell r="AZ96"/>
          <cell r="BA96"/>
          <cell r="BB96"/>
          <cell r="BC96">
            <v>-1845</v>
          </cell>
          <cell r="BD96"/>
          <cell r="BE96"/>
          <cell r="BF96"/>
          <cell r="BG96"/>
          <cell r="BH96">
            <v>-2494</v>
          </cell>
          <cell r="BI96"/>
          <cell r="BJ96"/>
          <cell r="BK96"/>
          <cell r="BL96"/>
          <cell r="BM96">
            <v>-573</v>
          </cell>
          <cell r="BN96"/>
          <cell r="BO96"/>
          <cell r="BP96"/>
          <cell r="BQ96"/>
          <cell r="BR96">
            <v>1497</v>
          </cell>
          <cell r="BS96"/>
          <cell r="BT96"/>
          <cell r="BU96"/>
          <cell r="BV96"/>
          <cell r="BW96">
            <v>266</v>
          </cell>
          <cell r="BX96"/>
          <cell r="BY96"/>
          <cell r="BZ96"/>
          <cell r="CA96"/>
          <cell r="CB96">
            <v>-633</v>
          </cell>
          <cell r="CC96"/>
          <cell r="CD96"/>
          <cell r="CE96"/>
          <cell r="CF96"/>
          <cell r="CG96">
            <v>2216</v>
          </cell>
          <cell r="CH96"/>
          <cell r="CI96"/>
          <cell r="CJ96"/>
          <cell r="CK96"/>
          <cell r="CL96">
            <v>-11532.576041792992</v>
          </cell>
          <cell r="CM96"/>
          <cell r="CN96"/>
          <cell r="CO96"/>
          <cell r="CP96"/>
          <cell r="CQ96">
            <v>1553.5608406869678</v>
          </cell>
          <cell r="CR96"/>
          <cell r="CS96"/>
          <cell r="CT96"/>
          <cell r="CU96"/>
          <cell r="CV96">
            <v>4567.7344618757324</v>
          </cell>
          <cell r="CW96">
            <v>138.30320952423335</v>
          </cell>
          <cell r="CX96">
            <v>79.504359137485153</v>
          </cell>
          <cell r="CY96">
            <v>69.616351254716392</v>
          </cell>
        </row>
        <row r="97">
          <cell r="B97" t="str">
            <v>Other operating cash flow items</v>
          </cell>
          <cell r="C97" t="str">
            <v>OTH_OP_CF</v>
          </cell>
          <cell r="D97" t="str">
            <v>EUR</v>
          </cell>
          <cell r="F97">
            <v>-34</v>
          </cell>
          <cell r="G97">
            <v>-1601</v>
          </cell>
          <cell r="H97">
            <v>-1731</v>
          </cell>
          <cell r="I97">
            <v>-616</v>
          </cell>
          <cell r="J97">
            <v>-135</v>
          </cell>
          <cell r="K97"/>
          <cell r="L97"/>
          <cell r="M97"/>
          <cell r="N97"/>
          <cell r="O97">
            <v>412</v>
          </cell>
          <cell r="P97"/>
          <cell r="Q97"/>
          <cell r="R97"/>
          <cell r="S97"/>
          <cell r="T97">
            <v>-362</v>
          </cell>
          <cell r="U97"/>
          <cell r="V97"/>
          <cell r="W97"/>
          <cell r="X97"/>
          <cell r="Y97">
            <v>-987</v>
          </cell>
          <cell r="Z97"/>
          <cell r="AA97"/>
          <cell r="AB97"/>
          <cell r="AC97"/>
          <cell r="AD97">
            <v>439</v>
          </cell>
          <cell r="AE97"/>
          <cell r="AF97"/>
          <cell r="AG97"/>
          <cell r="AH97"/>
          <cell r="AI97">
            <v>-1568</v>
          </cell>
          <cell r="AJ97"/>
          <cell r="AK97"/>
          <cell r="AL97"/>
          <cell r="AM97"/>
          <cell r="AN97">
            <v>-588</v>
          </cell>
          <cell r="AO97"/>
          <cell r="AP97"/>
          <cell r="AQ97"/>
          <cell r="AR97"/>
          <cell r="AS97">
            <v>-36</v>
          </cell>
          <cell r="AT97"/>
          <cell r="AU97"/>
          <cell r="AV97"/>
          <cell r="AW97"/>
          <cell r="AX97">
            <v>-103</v>
          </cell>
          <cell r="AY97"/>
          <cell r="AZ97"/>
          <cell r="BA97"/>
          <cell r="BB97"/>
          <cell r="BC97">
            <v>-308</v>
          </cell>
          <cell r="BD97"/>
          <cell r="BE97"/>
          <cell r="BF97"/>
          <cell r="BG97"/>
          <cell r="BH97">
            <v>604</v>
          </cell>
          <cell r="BI97"/>
          <cell r="BJ97"/>
          <cell r="BK97"/>
          <cell r="BL97"/>
          <cell r="BM97">
            <v>-756</v>
          </cell>
          <cell r="BN97"/>
          <cell r="BO97"/>
          <cell r="BP97"/>
          <cell r="BQ97"/>
          <cell r="BR97">
            <v>-1362</v>
          </cell>
          <cell r="BS97"/>
          <cell r="BT97"/>
          <cell r="BU97"/>
          <cell r="BV97"/>
          <cell r="BW97">
            <v>-2498</v>
          </cell>
          <cell r="BX97"/>
          <cell r="BY97"/>
          <cell r="BZ97"/>
          <cell r="CA97"/>
          <cell r="CB97">
            <v>-3290</v>
          </cell>
          <cell r="CC97"/>
          <cell r="CD97"/>
          <cell r="CE97"/>
          <cell r="CF97"/>
          <cell r="CG97">
            <v>-5672</v>
          </cell>
          <cell r="CH97"/>
          <cell r="CI97"/>
          <cell r="CJ97"/>
          <cell r="CK97"/>
          <cell r="CL97">
            <v>-5177.7484544396284</v>
          </cell>
          <cell r="CM97"/>
          <cell r="CN97"/>
          <cell r="CO97"/>
          <cell r="CP97"/>
          <cell r="CQ97">
            <v>-1378.1083149450928</v>
          </cell>
          <cell r="CR97"/>
          <cell r="CS97"/>
          <cell r="CT97"/>
          <cell r="CU97"/>
          <cell r="CV97">
            <v>-1613.0058262554981</v>
          </cell>
          <cell r="CW97">
            <v>-1332.8388244024145</v>
          </cell>
          <cell r="CX97">
            <v>-851.11791904251822</v>
          </cell>
          <cell r="CY97">
            <v>1209.4591646981112</v>
          </cell>
        </row>
        <row r="98">
          <cell r="B98" t="str">
            <v>Cash flow from operating activities</v>
          </cell>
          <cell r="C98" t="str">
            <v>CF_OPS</v>
          </cell>
          <cell r="D98" t="str">
            <v>EUR</v>
          </cell>
          <cell r="F98">
            <v>3159</v>
          </cell>
          <cell r="G98">
            <v>2656</v>
          </cell>
          <cell r="H98">
            <v>2666</v>
          </cell>
          <cell r="I98">
            <v>4709</v>
          </cell>
          <cell r="J98">
            <v>5013</v>
          </cell>
          <cell r="K98"/>
          <cell r="L98"/>
          <cell r="M98"/>
          <cell r="N98"/>
          <cell r="O98">
            <v>5107</v>
          </cell>
          <cell r="P98"/>
          <cell r="Q98"/>
          <cell r="R98"/>
          <cell r="S98"/>
          <cell r="T98">
            <v>4558</v>
          </cell>
          <cell r="U98"/>
          <cell r="V98"/>
          <cell r="W98"/>
          <cell r="X98"/>
          <cell r="Y98">
            <v>5098</v>
          </cell>
          <cell r="Z98"/>
          <cell r="AA98"/>
          <cell r="AB98"/>
          <cell r="AC98"/>
          <cell r="AD98">
            <v>4399</v>
          </cell>
          <cell r="AE98"/>
          <cell r="AF98"/>
          <cell r="AG98"/>
          <cell r="AH98"/>
          <cell r="AI98">
            <v>2438</v>
          </cell>
          <cell r="AJ98"/>
          <cell r="AK98"/>
          <cell r="AL98"/>
          <cell r="AM98"/>
          <cell r="AN98">
            <v>4443</v>
          </cell>
          <cell r="AO98"/>
          <cell r="AP98"/>
          <cell r="AQ98"/>
          <cell r="AR98"/>
          <cell r="AS98">
            <v>4289</v>
          </cell>
          <cell r="AT98"/>
          <cell r="AU98"/>
          <cell r="AV98"/>
          <cell r="AW98"/>
          <cell r="AX98">
            <v>3840</v>
          </cell>
          <cell r="AY98"/>
          <cell r="AZ98"/>
          <cell r="BA98"/>
          <cell r="BB98"/>
          <cell r="BC98">
            <v>1931</v>
          </cell>
          <cell r="BD98"/>
          <cell r="BE98"/>
          <cell r="BF98"/>
          <cell r="BG98"/>
          <cell r="BH98">
            <v>2560</v>
          </cell>
          <cell r="BI98"/>
          <cell r="BJ98"/>
          <cell r="BK98"/>
          <cell r="BL98"/>
          <cell r="BM98">
            <v>3600</v>
          </cell>
          <cell r="BN98"/>
          <cell r="BO98"/>
          <cell r="BP98"/>
          <cell r="BQ98"/>
          <cell r="BR98">
            <v>4369</v>
          </cell>
          <cell r="BS98"/>
          <cell r="BT98"/>
          <cell r="BU98"/>
          <cell r="BV98"/>
          <cell r="BW98">
            <v>4444</v>
          </cell>
          <cell r="BX98"/>
          <cell r="BY98"/>
          <cell r="BZ98"/>
          <cell r="CA98"/>
          <cell r="CB98">
            <v>2318</v>
          </cell>
          <cell r="CC98"/>
          <cell r="CD98"/>
          <cell r="CE98"/>
          <cell r="CF98"/>
          <cell r="CG98">
            <v>3753</v>
          </cell>
          <cell r="CH98"/>
          <cell r="CI98"/>
          <cell r="CJ98"/>
          <cell r="CK98"/>
          <cell r="CL98">
            <v>-13222.787958880972</v>
          </cell>
          <cell r="CM98"/>
          <cell r="CN98"/>
          <cell r="CO98"/>
          <cell r="CP98"/>
          <cell r="CQ98">
            <v>5718.3539241196177</v>
          </cell>
          <cell r="CR98"/>
          <cell r="CS98"/>
          <cell r="CT98"/>
          <cell r="CU98"/>
          <cell r="CV98">
            <v>9706.7322693683855</v>
          </cell>
          <cell r="CW98">
            <v>6326.464747990588</v>
          </cell>
          <cell r="CX98">
            <v>7190.6877605277587</v>
          </cell>
          <cell r="CY98">
            <v>10833.857575567339</v>
          </cell>
        </row>
        <row r="99">
          <cell r="B99" t="str">
            <v>Capital expenditures, Capex</v>
          </cell>
          <cell r="C99" t="str">
            <v>CAPEX</v>
          </cell>
          <cell r="D99" t="str">
            <v>EUR</v>
          </cell>
          <cell r="F99">
            <v>-1215</v>
          </cell>
          <cell r="G99">
            <v>-1636</v>
          </cell>
          <cell r="H99">
            <v>-3018</v>
          </cell>
          <cell r="I99">
            <v>-3599</v>
          </cell>
          <cell r="J99">
            <v>-3299</v>
          </cell>
          <cell r="K99"/>
          <cell r="L99"/>
          <cell r="M99"/>
          <cell r="N99"/>
          <cell r="O99">
            <v>-2652</v>
          </cell>
          <cell r="P99"/>
          <cell r="Q99"/>
          <cell r="R99"/>
          <cell r="S99"/>
          <cell r="T99">
            <v>-2632</v>
          </cell>
          <cell r="U99"/>
          <cell r="V99"/>
          <cell r="W99"/>
          <cell r="X99"/>
          <cell r="Y99">
            <v>-1866</v>
          </cell>
          <cell r="Z99"/>
          <cell r="AA99"/>
          <cell r="AB99"/>
          <cell r="AC99"/>
          <cell r="AD99">
            <v>-1802</v>
          </cell>
          <cell r="AE99"/>
          <cell r="AF99"/>
          <cell r="AG99"/>
          <cell r="AH99"/>
          <cell r="AI99">
            <v>-1882</v>
          </cell>
          <cell r="AJ99"/>
          <cell r="AK99"/>
          <cell r="AL99"/>
          <cell r="AM99"/>
          <cell r="AN99">
            <v>-2205</v>
          </cell>
          <cell r="AO99"/>
          <cell r="AP99"/>
          <cell r="AQ99"/>
          <cell r="AR99"/>
          <cell r="AS99">
            <v>-2118</v>
          </cell>
          <cell r="AT99"/>
          <cell r="AU99"/>
          <cell r="AV99"/>
          <cell r="AW99"/>
          <cell r="AX99">
            <v>-3197</v>
          </cell>
          <cell r="AY99"/>
          <cell r="AZ99"/>
          <cell r="BA99"/>
          <cell r="BB99"/>
          <cell r="BC99">
            <v>-2889</v>
          </cell>
          <cell r="BD99"/>
          <cell r="BE99"/>
          <cell r="BF99"/>
          <cell r="BG99"/>
          <cell r="BH99">
            <v>-2316</v>
          </cell>
          <cell r="BI99"/>
          <cell r="BJ99"/>
          <cell r="BK99"/>
          <cell r="BL99"/>
          <cell r="BM99">
            <v>-2846</v>
          </cell>
          <cell r="BN99"/>
          <cell r="BO99"/>
          <cell r="BP99"/>
          <cell r="BQ99"/>
          <cell r="BR99">
            <v>-2988</v>
          </cell>
          <cell r="BS99"/>
          <cell r="BT99"/>
          <cell r="BU99"/>
          <cell r="BV99"/>
          <cell r="BW99">
            <v>-2381</v>
          </cell>
          <cell r="BX99"/>
          <cell r="BY99"/>
          <cell r="BZ99"/>
          <cell r="CA99"/>
          <cell r="CB99">
            <v>-2072</v>
          </cell>
          <cell r="CC99"/>
          <cell r="CD99"/>
          <cell r="CE99"/>
          <cell r="CF99"/>
          <cell r="CG99">
            <v>-2228</v>
          </cell>
          <cell r="CH99"/>
          <cell r="CI99"/>
          <cell r="CJ99"/>
          <cell r="CK99"/>
          <cell r="CL99">
            <v>-2000</v>
          </cell>
          <cell r="CM99"/>
          <cell r="CN99"/>
          <cell r="CO99"/>
          <cell r="CP99"/>
          <cell r="CQ99">
            <v>-2000</v>
          </cell>
          <cell r="CR99"/>
          <cell r="CS99"/>
          <cell r="CT99"/>
          <cell r="CU99"/>
          <cell r="CV99">
            <v>-2500</v>
          </cell>
          <cell r="CW99">
            <v>-2750</v>
          </cell>
          <cell r="CX99">
            <v>-3000</v>
          </cell>
          <cell r="CY99">
            <v>-3250</v>
          </cell>
        </row>
        <row r="100">
          <cell r="B100" t="str">
            <v>Acquisitions</v>
          </cell>
          <cell r="C100" t="str">
            <v>ACQ</v>
          </cell>
          <cell r="D100" t="str">
            <v>EUR</v>
          </cell>
          <cell r="F100">
            <v>-600</v>
          </cell>
          <cell r="G100">
            <v>-1096</v>
          </cell>
          <cell r="H100">
            <v>-19</v>
          </cell>
          <cell r="I100">
            <v>-92</v>
          </cell>
          <cell r="J100">
            <v>-100</v>
          </cell>
          <cell r="K100"/>
          <cell r="L100"/>
          <cell r="M100"/>
          <cell r="N100"/>
          <cell r="O100">
            <v>-131</v>
          </cell>
          <cell r="P100"/>
          <cell r="Q100"/>
          <cell r="R100"/>
          <cell r="S100"/>
          <cell r="T100">
            <v>-82</v>
          </cell>
          <cell r="U100"/>
          <cell r="V100"/>
          <cell r="W100"/>
          <cell r="X100"/>
          <cell r="Y100">
            <v>0</v>
          </cell>
          <cell r="Z100"/>
          <cell r="AA100"/>
          <cell r="AB100"/>
          <cell r="AC100"/>
          <cell r="AD100">
            <v>-265</v>
          </cell>
          <cell r="AE100"/>
          <cell r="AF100"/>
          <cell r="AG100"/>
          <cell r="AH100"/>
          <cell r="AI100">
            <v>-21</v>
          </cell>
          <cell r="AJ100"/>
          <cell r="AK100"/>
          <cell r="AL100"/>
          <cell r="AM100"/>
          <cell r="AN100">
            <v>-38</v>
          </cell>
          <cell r="AO100"/>
          <cell r="AP100"/>
          <cell r="AQ100"/>
          <cell r="AR100"/>
          <cell r="AS100">
            <v>-1535</v>
          </cell>
          <cell r="AT100"/>
          <cell r="AU100"/>
          <cell r="AV100"/>
          <cell r="AW100"/>
          <cell r="AX100">
            <v>-201</v>
          </cell>
          <cell r="AY100"/>
          <cell r="AZ100"/>
          <cell r="BA100"/>
          <cell r="BB100"/>
          <cell r="BC100">
            <v>-16</v>
          </cell>
          <cell r="BD100"/>
          <cell r="BE100"/>
          <cell r="BF100"/>
          <cell r="BG100"/>
          <cell r="BH100">
            <v>-47</v>
          </cell>
          <cell r="BI100"/>
          <cell r="BJ100"/>
          <cell r="BK100"/>
          <cell r="BL100"/>
          <cell r="BM100">
            <v>-13</v>
          </cell>
          <cell r="BN100"/>
          <cell r="BO100"/>
          <cell r="BP100"/>
          <cell r="BQ100"/>
          <cell r="BR100">
            <v>-120</v>
          </cell>
          <cell r="BS100"/>
          <cell r="BT100"/>
          <cell r="BU100"/>
          <cell r="BV100"/>
          <cell r="BW100">
            <v>-23</v>
          </cell>
          <cell r="BX100"/>
          <cell r="BY100"/>
          <cell r="BZ100"/>
          <cell r="CA100"/>
          <cell r="CB100">
            <v>129</v>
          </cell>
          <cell r="CC100"/>
          <cell r="CD100"/>
          <cell r="CE100"/>
          <cell r="CF100"/>
          <cell r="CG100">
            <v>8</v>
          </cell>
          <cell r="CH100"/>
          <cell r="CI100"/>
          <cell r="CJ100"/>
          <cell r="CK100"/>
          <cell r="CL100">
            <v>0</v>
          </cell>
          <cell r="CM100"/>
          <cell r="CN100"/>
          <cell r="CO100"/>
          <cell r="CP100"/>
          <cell r="CQ100">
            <v>0</v>
          </cell>
          <cell r="CR100"/>
          <cell r="CS100"/>
          <cell r="CT100"/>
          <cell r="CU100"/>
          <cell r="CV100">
            <v>0</v>
          </cell>
          <cell r="CW100">
            <v>0</v>
          </cell>
          <cell r="CX100">
            <v>0</v>
          </cell>
          <cell r="CY100">
            <v>0</v>
          </cell>
        </row>
        <row r="101">
          <cell r="B101" t="str">
            <v>Divestitures</v>
          </cell>
          <cell r="C101" t="str">
            <v>DIVEST</v>
          </cell>
          <cell r="D101" t="str">
            <v>EUR</v>
          </cell>
          <cell r="F101">
            <v>187</v>
          </cell>
          <cell r="G101">
            <v>850</v>
          </cell>
          <cell r="H101">
            <v>84</v>
          </cell>
          <cell r="I101">
            <v>32</v>
          </cell>
          <cell r="J101">
            <v>0</v>
          </cell>
          <cell r="K101"/>
          <cell r="L101"/>
          <cell r="M101"/>
          <cell r="N101"/>
          <cell r="O101">
            <v>89</v>
          </cell>
          <cell r="P101"/>
          <cell r="Q101"/>
          <cell r="R101"/>
          <cell r="S101"/>
          <cell r="T101">
            <v>86</v>
          </cell>
          <cell r="U101"/>
          <cell r="V101"/>
          <cell r="W101"/>
          <cell r="X101"/>
          <cell r="Y101">
            <v>29</v>
          </cell>
          <cell r="Z101"/>
          <cell r="AA101"/>
          <cell r="AB101"/>
          <cell r="AC101"/>
          <cell r="AD101">
            <v>2</v>
          </cell>
          <cell r="AE101"/>
          <cell r="AF101"/>
          <cell r="AG101"/>
          <cell r="AH101"/>
          <cell r="AI101">
            <v>13</v>
          </cell>
          <cell r="AJ101"/>
          <cell r="AK101"/>
          <cell r="AL101"/>
          <cell r="AM101"/>
          <cell r="AN101">
            <v>12</v>
          </cell>
          <cell r="AO101"/>
          <cell r="AP101"/>
          <cell r="AQ101"/>
          <cell r="AR101"/>
          <cell r="AS101">
            <v>18</v>
          </cell>
          <cell r="AT101"/>
          <cell r="AU101"/>
          <cell r="AV101"/>
          <cell r="AW101"/>
          <cell r="AX101">
            <v>0</v>
          </cell>
          <cell r="AY101"/>
          <cell r="AZ101"/>
          <cell r="BA101"/>
          <cell r="BB101"/>
          <cell r="BC101">
            <v>0</v>
          </cell>
          <cell r="BD101"/>
          <cell r="BE101"/>
          <cell r="BF101"/>
          <cell r="BG101"/>
          <cell r="BH101">
            <v>-34</v>
          </cell>
          <cell r="BI101"/>
          <cell r="BJ101"/>
          <cell r="BK101"/>
          <cell r="BL101"/>
          <cell r="BM101">
            <v>127</v>
          </cell>
          <cell r="BN101"/>
          <cell r="BO101"/>
          <cell r="BP101"/>
          <cell r="BQ101"/>
          <cell r="BR101">
            <v>731</v>
          </cell>
          <cell r="BS101"/>
          <cell r="BT101"/>
          <cell r="BU101"/>
          <cell r="BV101"/>
          <cell r="BW101">
            <v>377</v>
          </cell>
          <cell r="BX101"/>
          <cell r="BY101"/>
          <cell r="BZ101"/>
          <cell r="CA101"/>
          <cell r="CB101">
            <v>0</v>
          </cell>
          <cell r="CC101"/>
          <cell r="CD101"/>
          <cell r="CE101"/>
          <cell r="CF101"/>
          <cell r="CG101">
            <v>0</v>
          </cell>
          <cell r="CH101"/>
          <cell r="CI101"/>
          <cell r="CJ101"/>
          <cell r="CK101"/>
          <cell r="CL101">
            <v>0</v>
          </cell>
          <cell r="CM101"/>
          <cell r="CN101"/>
          <cell r="CO101"/>
          <cell r="CP101"/>
          <cell r="CQ101">
            <v>0</v>
          </cell>
          <cell r="CR101"/>
          <cell r="CS101"/>
          <cell r="CT101"/>
          <cell r="CU101"/>
          <cell r="CV101">
            <v>0</v>
          </cell>
          <cell r="CW101">
            <v>0</v>
          </cell>
          <cell r="CX101">
            <v>0</v>
          </cell>
          <cell r="CY101">
            <v>0</v>
          </cell>
        </row>
        <row r="102">
          <cell r="B102" t="str">
            <v>Other investing cash flow items</v>
          </cell>
          <cell r="C102" t="str">
            <v>OTH_INV_CF</v>
          </cell>
          <cell r="D102" t="str">
            <v>EUR</v>
          </cell>
          <cell r="F102"/>
          <cell r="G102"/>
          <cell r="H102"/>
          <cell r="I102"/>
          <cell r="J102"/>
          <cell r="K102"/>
          <cell r="L102"/>
          <cell r="M102"/>
          <cell r="N102"/>
          <cell r="O102"/>
          <cell r="P102"/>
          <cell r="Q102"/>
          <cell r="R102"/>
          <cell r="S102"/>
          <cell r="T102">
            <v>3395</v>
          </cell>
          <cell r="U102"/>
          <cell r="V102"/>
          <cell r="W102"/>
          <cell r="X102"/>
          <cell r="Y102">
            <v>-3100</v>
          </cell>
          <cell r="Z102"/>
          <cell r="AA102"/>
          <cell r="AB102"/>
          <cell r="AC102"/>
          <cell r="AD102">
            <v>-2887</v>
          </cell>
          <cell r="AE102"/>
          <cell r="AF102"/>
          <cell r="AG102"/>
          <cell r="AH102"/>
          <cell r="AI102">
            <v>-957</v>
          </cell>
          <cell r="AJ102"/>
          <cell r="AK102"/>
          <cell r="AL102"/>
          <cell r="AM102"/>
          <cell r="AN102">
            <v>-3205</v>
          </cell>
          <cell r="AO102"/>
          <cell r="AP102"/>
          <cell r="AQ102"/>
          <cell r="AR102"/>
          <cell r="AS102">
            <v>-563</v>
          </cell>
          <cell r="AT102"/>
          <cell r="AU102"/>
          <cell r="AV102"/>
          <cell r="AW102"/>
          <cell r="AX102">
            <v>3372</v>
          </cell>
          <cell r="AY102"/>
          <cell r="AZ102"/>
          <cell r="BA102"/>
          <cell r="BB102"/>
          <cell r="BC102">
            <v>1163</v>
          </cell>
          <cell r="BD102"/>
          <cell r="BE102"/>
          <cell r="BF102"/>
          <cell r="BG102"/>
          <cell r="BH102">
            <v>-826</v>
          </cell>
          <cell r="BI102"/>
          <cell r="BJ102"/>
          <cell r="BK102"/>
          <cell r="BL102"/>
          <cell r="BM102">
            <v>-727</v>
          </cell>
          <cell r="BN102"/>
          <cell r="BO102"/>
          <cell r="BP102"/>
          <cell r="BQ102"/>
          <cell r="BR102">
            <v>1547</v>
          </cell>
          <cell r="BS102"/>
          <cell r="BT102"/>
          <cell r="BU102"/>
          <cell r="BV102"/>
          <cell r="BW102">
            <v>-503</v>
          </cell>
          <cell r="BX102"/>
          <cell r="BY102"/>
          <cell r="BZ102"/>
          <cell r="CA102"/>
          <cell r="CB102">
            <v>308</v>
          </cell>
          <cell r="CC102"/>
          <cell r="CD102"/>
          <cell r="CE102"/>
          <cell r="CF102"/>
          <cell r="CG102">
            <v>-644</v>
          </cell>
          <cell r="CH102"/>
          <cell r="CI102"/>
          <cell r="CJ102"/>
          <cell r="CK102"/>
          <cell r="CL102">
            <v>6000</v>
          </cell>
          <cell r="CM102"/>
          <cell r="CN102"/>
          <cell r="CO102"/>
          <cell r="CP102"/>
          <cell r="CQ102">
            <v>100</v>
          </cell>
          <cell r="CR102"/>
          <cell r="CS102"/>
          <cell r="CT102"/>
          <cell r="CU102"/>
          <cell r="CV102">
            <v>150</v>
          </cell>
          <cell r="CW102">
            <v>157.5</v>
          </cell>
          <cell r="CX102">
            <v>165.375</v>
          </cell>
          <cell r="CY102">
            <v>173.64375000000018</v>
          </cell>
        </row>
        <row r="103">
          <cell r="B103" t="str">
            <v>Cash flow from investing</v>
          </cell>
          <cell r="C103" t="str">
            <v>CF_INV</v>
          </cell>
          <cell r="D103" t="str">
            <v>EUR</v>
          </cell>
          <cell r="F103">
            <v>-1628</v>
          </cell>
          <cell r="G103">
            <v>-1882</v>
          </cell>
          <cell r="H103">
            <v>-2953</v>
          </cell>
          <cell r="I103">
            <v>-3659</v>
          </cell>
          <cell r="J103">
            <v>-3399</v>
          </cell>
          <cell r="K103"/>
          <cell r="L103"/>
          <cell r="M103"/>
          <cell r="N103"/>
          <cell r="O103">
            <v>-2694</v>
          </cell>
          <cell r="P103"/>
          <cell r="Q103"/>
          <cell r="R103"/>
          <cell r="S103"/>
          <cell r="T103">
            <v>767</v>
          </cell>
          <cell r="U103"/>
          <cell r="V103"/>
          <cell r="W103"/>
          <cell r="X103"/>
          <cell r="Y103">
            <v>-4937</v>
          </cell>
          <cell r="Z103"/>
          <cell r="AA103"/>
          <cell r="AB103"/>
          <cell r="AC103"/>
          <cell r="AD103">
            <v>-4952</v>
          </cell>
          <cell r="AE103"/>
          <cell r="AF103"/>
          <cell r="AG103"/>
          <cell r="AH103"/>
          <cell r="AI103">
            <v>-2847</v>
          </cell>
          <cell r="AJ103"/>
          <cell r="AK103"/>
          <cell r="AL103"/>
          <cell r="AM103"/>
          <cell r="AN103">
            <v>-5436</v>
          </cell>
          <cell r="AO103"/>
          <cell r="AP103"/>
          <cell r="AQ103"/>
          <cell r="AR103"/>
          <cell r="AS103">
            <v>-4198</v>
          </cell>
          <cell r="AT103"/>
          <cell r="AU103"/>
          <cell r="AV103"/>
          <cell r="AW103"/>
          <cell r="AX103">
            <v>-26</v>
          </cell>
          <cell r="AY103"/>
          <cell r="AZ103"/>
          <cell r="BA103"/>
          <cell r="BB103"/>
          <cell r="BC103">
            <v>-1742</v>
          </cell>
          <cell r="BD103"/>
          <cell r="BE103"/>
          <cell r="BF103"/>
          <cell r="BG103"/>
          <cell r="BH103">
            <v>-3223</v>
          </cell>
          <cell r="BI103"/>
          <cell r="BJ103"/>
          <cell r="BK103"/>
          <cell r="BL103"/>
          <cell r="BM103">
            <v>-3459</v>
          </cell>
          <cell r="BN103"/>
          <cell r="BO103"/>
          <cell r="BP103"/>
          <cell r="BQ103"/>
          <cell r="BR103">
            <v>-830</v>
          </cell>
          <cell r="BS103"/>
          <cell r="BT103"/>
          <cell r="BU103"/>
          <cell r="BV103"/>
          <cell r="BW103">
            <v>-2530</v>
          </cell>
          <cell r="BX103"/>
          <cell r="BY103"/>
          <cell r="BZ103"/>
          <cell r="CA103"/>
          <cell r="CB103">
            <v>-1635</v>
          </cell>
          <cell r="CC103"/>
          <cell r="CD103"/>
          <cell r="CE103"/>
          <cell r="CF103"/>
          <cell r="CG103">
            <v>-2864</v>
          </cell>
          <cell r="CH103"/>
          <cell r="CI103"/>
          <cell r="CJ103"/>
          <cell r="CK103"/>
          <cell r="CL103">
            <v>4000</v>
          </cell>
          <cell r="CM103"/>
          <cell r="CN103"/>
          <cell r="CO103"/>
          <cell r="CP103"/>
          <cell r="CQ103">
            <v>-1900</v>
          </cell>
          <cell r="CR103"/>
          <cell r="CS103"/>
          <cell r="CT103"/>
          <cell r="CU103"/>
          <cell r="CV103">
            <v>-2350</v>
          </cell>
          <cell r="CW103">
            <v>-2592.5</v>
          </cell>
          <cell r="CX103">
            <v>-2834.625</v>
          </cell>
          <cell r="CY103">
            <v>-3076.3562499999998</v>
          </cell>
        </row>
        <row r="104">
          <cell r="B104" t="str">
            <v>Dividends paid</v>
          </cell>
          <cell r="C104" t="str">
            <v>DIV_PAID</v>
          </cell>
          <cell r="D104" t="str">
            <v>EUR</v>
          </cell>
          <cell r="F104">
            <v>-31</v>
          </cell>
          <cell r="G104">
            <v>-404</v>
          </cell>
          <cell r="H104">
            <v>-403</v>
          </cell>
          <cell r="I104">
            <v>-240</v>
          </cell>
          <cell r="J104">
            <v>-320</v>
          </cell>
          <cell r="K104"/>
          <cell r="L104"/>
          <cell r="M104"/>
          <cell r="N104"/>
          <cell r="O104">
            <v>-396</v>
          </cell>
          <cell r="P104"/>
          <cell r="Q104"/>
          <cell r="R104"/>
          <cell r="S104"/>
          <cell r="T104">
            <v>-520</v>
          </cell>
          <cell r="U104"/>
          <cell r="V104"/>
          <cell r="W104"/>
          <cell r="X104"/>
          <cell r="Y104">
            <v>-97</v>
          </cell>
          <cell r="Z104"/>
          <cell r="AA104"/>
          <cell r="AB104"/>
          <cell r="AC104"/>
          <cell r="AD104">
            <v>-97</v>
          </cell>
          <cell r="AE104"/>
          <cell r="AF104"/>
          <cell r="AG104"/>
          <cell r="AH104"/>
          <cell r="AI104">
            <v>-162</v>
          </cell>
          <cell r="AJ104"/>
          <cell r="AK104"/>
          <cell r="AL104"/>
          <cell r="AM104"/>
          <cell r="AN104">
            <v>0</v>
          </cell>
          <cell r="AO104"/>
          <cell r="AP104"/>
          <cell r="AQ104"/>
          <cell r="AR104"/>
          <cell r="AS104">
            <v>-178</v>
          </cell>
          <cell r="AT104"/>
          <cell r="AU104"/>
          <cell r="AV104"/>
          <cell r="AW104"/>
          <cell r="AX104">
            <v>-369</v>
          </cell>
          <cell r="AY104"/>
          <cell r="AZ104"/>
          <cell r="BA104"/>
          <cell r="BB104"/>
          <cell r="BC104">
            <v>-467</v>
          </cell>
          <cell r="BD104"/>
          <cell r="BE104"/>
          <cell r="BF104"/>
          <cell r="BG104"/>
          <cell r="BH104">
            <v>-587</v>
          </cell>
          <cell r="BI104"/>
          <cell r="BJ104"/>
          <cell r="BK104"/>
          <cell r="BL104"/>
          <cell r="BM104">
            <v>-945</v>
          </cell>
          <cell r="BN104"/>
          <cell r="BO104"/>
          <cell r="BP104"/>
          <cell r="BQ104"/>
          <cell r="BR104">
            <v>-1008</v>
          </cell>
          <cell r="BS104"/>
          <cell r="BT104"/>
          <cell r="BU104"/>
          <cell r="BV104"/>
          <cell r="BW104">
            <v>-1043</v>
          </cell>
          <cell r="BX104"/>
          <cell r="BY104"/>
          <cell r="BZ104"/>
          <cell r="CA104"/>
          <cell r="CB104">
            <v>-1161</v>
          </cell>
          <cell r="CC104"/>
          <cell r="CD104"/>
          <cell r="CE104"/>
          <cell r="CF104"/>
          <cell r="CG104">
            <v>-1280</v>
          </cell>
          <cell r="CH104"/>
          <cell r="CI104"/>
          <cell r="CJ104"/>
          <cell r="CK104"/>
          <cell r="CL104">
            <v>0</v>
          </cell>
          <cell r="CM104"/>
          <cell r="CN104"/>
          <cell r="CO104"/>
          <cell r="CP104"/>
          <cell r="CQ104">
            <v>-1282.1157656999999</v>
          </cell>
          <cell r="CR104"/>
          <cell r="CS104"/>
          <cell r="CT104"/>
          <cell r="CU104"/>
          <cell r="CV104">
            <v>-1001.1280617295128</v>
          </cell>
          <cell r="CW104">
            <v>-2256.3792591899846</v>
          </cell>
          <cell r="CX104">
            <v>-2471.7313528313989</v>
          </cell>
          <cell r="CY104">
            <v>-2638.7441475262085</v>
          </cell>
        </row>
        <row r="105">
          <cell r="B105" t="str">
            <v>Common stock issuance/(repurchase)</v>
          </cell>
          <cell r="C105" t="str">
            <v>SH_REPUR</v>
          </cell>
          <cell r="D105" t="str">
            <v>EUR</v>
          </cell>
          <cell r="F105">
            <v>1540</v>
          </cell>
          <cell r="G105">
            <v>21</v>
          </cell>
          <cell r="H105">
            <v>-140</v>
          </cell>
          <cell r="I105">
            <v>-10</v>
          </cell>
          <cell r="J105">
            <v>124</v>
          </cell>
          <cell r="K105"/>
          <cell r="L105"/>
          <cell r="M105"/>
          <cell r="N105"/>
          <cell r="O105">
            <v>-101</v>
          </cell>
          <cell r="P105"/>
          <cell r="Q105"/>
          <cell r="R105"/>
          <cell r="S105"/>
          <cell r="T105">
            <v>-35</v>
          </cell>
          <cell r="U105"/>
          <cell r="V105"/>
          <cell r="W105"/>
          <cell r="X105"/>
          <cell r="Y105">
            <v>0</v>
          </cell>
          <cell r="Z105"/>
          <cell r="AA105"/>
          <cell r="AB105"/>
          <cell r="AC105"/>
          <cell r="AD105">
            <v>39</v>
          </cell>
          <cell r="AE105"/>
          <cell r="AF105"/>
          <cell r="AG105"/>
          <cell r="AH105"/>
          <cell r="AI105">
            <v>-5</v>
          </cell>
          <cell r="AJ105"/>
          <cell r="AK105"/>
          <cell r="AL105"/>
          <cell r="AM105"/>
          <cell r="AN105">
            <v>-3</v>
          </cell>
          <cell r="AO105"/>
          <cell r="AP105"/>
          <cell r="AQ105"/>
          <cell r="AR105"/>
          <cell r="AS105">
            <v>-1</v>
          </cell>
          <cell r="AT105"/>
          <cell r="AU105"/>
          <cell r="AV105"/>
          <cell r="AW105"/>
          <cell r="AX105">
            <v>-5</v>
          </cell>
          <cell r="AY105"/>
          <cell r="AZ105"/>
          <cell r="BA105"/>
          <cell r="BB105"/>
          <cell r="BC105">
            <v>-1915</v>
          </cell>
          <cell r="BD105"/>
          <cell r="BE105"/>
          <cell r="BF105"/>
          <cell r="BG105"/>
          <cell r="BH105">
            <v>102</v>
          </cell>
          <cell r="BI105"/>
          <cell r="BJ105"/>
          <cell r="BK105"/>
          <cell r="BL105"/>
          <cell r="BM105">
            <v>-264</v>
          </cell>
          <cell r="BN105"/>
          <cell r="BO105"/>
          <cell r="BP105"/>
          <cell r="BQ105"/>
          <cell r="BR105">
            <v>-736</v>
          </cell>
          <cell r="BS105"/>
          <cell r="BT105"/>
          <cell r="BU105"/>
          <cell r="BV105"/>
          <cell r="BW105">
            <v>0</v>
          </cell>
          <cell r="BX105"/>
          <cell r="BY105"/>
          <cell r="BZ105"/>
          <cell r="CA105"/>
          <cell r="CB105">
            <v>-49</v>
          </cell>
          <cell r="CC105"/>
          <cell r="CD105"/>
          <cell r="CE105"/>
          <cell r="CF105"/>
          <cell r="CG105">
            <v>-31</v>
          </cell>
          <cell r="CH105"/>
          <cell r="CI105"/>
          <cell r="CJ105"/>
          <cell r="CK105"/>
          <cell r="CL105">
            <v>0</v>
          </cell>
          <cell r="CM105"/>
          <cell r="CN105"/>
          <cell r="CO105"/>
          <cell r="CP105"/>
          <cell r="CQ105">
            <v>0</v>
          </cell>
          <cell r="CR105"/>
          <cell r="CS105"/>
          <cell r="CT105"/>
          <cell r="CU105"/>
          <cell r="CV105">
            <v>0</v>
          </cell>
          <cell r="CW105">
            <v>0</v>
          </cell>
          <cell r="CX105">
            <v>-2913.8994674999999</v>
          </cell>
          <cell r="CY105">
            <v>-2913.8994674999999</v>
          </cell>
        </row>
        <row r="106">
          <cell r="B106" t="str">
            <v>Increase/(decrease) in total debt</v>
          </cell>
          <cell r="C106" t="str">
            <v>CHG_LT_DEBT</v>
          </cell>
          <cell r="D106" t="str">
            <v>EUR</v>
          </cell>
          <cell r="F106"/>
          <cell r="G106">
            <v>721</v>
          </cell>
          <cell r="H106">
            <v>-1524</v>
          </cell>
          <cell r="I106">
            <v>-209</v>
          </cell>
          <cell r="J106">
            <v>359</v>
          </cell>
          <cell r="K106"/>
          <cell r="L106"/>
          <cell r="M106"/>
          <cell r="N106"/>
          <cell r="O106">
            <v>-29</v>
          </cell>
          <cell r="P106"/>
          <cell r="Q106"/>
          <cell r="R106"/>
          <cell r="S106"/>
          <cell r="T106">
            <v>845</v>
          </cell>
          <cell r="U106"/>
          <cell r="V106"/>
          <cell r="W106"/>
          <cell r="X106"/>
          <cell r="Y106">
            <v>-586</v>
          </cell>
          <cell r="Z106"/>
          <cell r="AA106"/>
          <cell r="AB106"/>
          <cell r="AC106"/>
          <cell r="AD106">
            <v>-157</v>
          </cell>
          <cell r="AE106"/>
          <cell r="AF106"/>
          <cell r="AG106"/>
          <cell r="AH106"/>
          <cell r="AI106">
            <v>906</v>
          </cell>
          <cell r="AJ106"/>
          <cell r="AK106"/>
          <cell r="AL106"/>
          <cell r="AM106"/>
          <cell r="AN106">
            <v>-1061</v>
          </cell>
          <cell r="AO106"/>
          <cell r="AP106"/>
          <cell r="AQ106"/>
          <cell r="AR106"/>
          <cell r="AS106">
            <v>414</v>
          </cell>
          <cell r="AT106"/>
          <cell r="AU106"/>
          <cell r="AV106"/>
          <cell r="AW106"/>
          <cell r="AX106">
            <v>-125</v>
          </cell>
          <cell r="AY106"/>
          <cell r="AZ106"/>
          <cell r="BA106"/>
          <cell r="BB106"/>
          <cell r="BC106">
            <v>-534</v>
          </cell>
          <cell r="BD106"/>
          <cell r="BE106"/>
          <cell r="BF106"/>
          <cell r="BG106"/>
          <cell r="BH106">
            <v>930</v>
          </cell>
          <cell r="BI106"/>
          <cell r="BJ106"/>
          <cell r="BK106"/>
          <cell r="BL106"/>
          <cell r="BM106">
            <v>992</v>
          </cell>
          <cell r="BN106"/>
          <cell r="BO106"/>
          <cell r="BP106"/>
          <cell r="BQ106"/>
          <cell r="BR106">
            <v>1572</v>
          </cell>
          <cell r="BS106"/>
          <cell r="BT106"/>
          <cell r="BU106"/>
          <cell r="BV106"/>
          <cell r="BW106">
            <v>1284</v>
          </cell>
          <cell r="BX106"/>
          <cell r="BY106"/>
          <cell r="BZ106"/>
          <cell r="CA106"/>
          <cell r="CB106">
            <v>-2308</v>
          </cell>
          <cell r="CC106"/>
          <cell r="CD106"/>
          <cell r="CE106"/>
          <cell r="CF106"/>
          <cell r="CG106">
            <v>-160</v>
          </cell>
          <cell r="CH106"/>
          <cell r="CI106"/>
          <cell r="CJ106"/>
          <cell r="CK106"/>
          <cell r="CL106">
            <v>0</v>
          </cell>
          <cell r="CM106"/>
          <cell r="CN106"/>
          <cell r="CO106"/>
          <cell r="CP106"/>
          <cell r="CQ106">
            <v>0</v>
          </cell>
          <cell r="CR106"/>
          <cell r="CS106"/>
          <cell r="CT106"/>
          <cell r="CU106"/>
          <cell r="CV106">
            <v>0</v>
          </cell>
          <cell r="CW106">
            <v>0</v>
          </cell>
          <cell r="CX106">
            <v>0</v>
          </cell>
          <cell r="CY106">
            <v>0</v>
          </cell>
        </row>
        <row r="107">
          <cell r="B107" t="str">
            <v>Lease principal payments  (applicable to IFRS cos.)</v>
          </cell>
          <cell r="C107" t="str">
            <v>LEASE_PRINCIPAL_CASH</v>
          </cell>
          <cell r="D107" t="str">
            <v>EUR</v>
          </cell>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cell r="CO107"/>
          <cell r="CP107"/>
          <cell r="CQ107"/>
          <cell r="CR107"/>
          <cell r="CS107"/>
          <cell r="CT107"/>
          <cell r="CU107"/>
          <cell r="CV107"/>
          <cell r="CW107"/>
          <cell r="CX107"/>
          <cell r="CY107"/>
        </row>
        <row r="108">
          <cell r="B108" t="str">
            <v>Other financing cash flow items</v>
          </cell>
          <cell r="C108" t="str">
            <v>OTH_FIN_CF</v>
          </cell>
          <cell r="D108" t="str">
            <v>EUR</v>
          </cell>
          <cell r="F108"/>
          <cell r="G108"/>
          <cell r="H108"/>
          <cell r="I108"/>
          <cell r="J108"/>
          <cell r="K108"/>
          <cell r="L108"/>
          <cell r="M108"/>
          <cell r="N108"/>
          <cell r="O108"/>
          <cell r="P108"/>
          <cell r="Q108"/>
          <cell r="R108"/>
          <cell r="S108"/>
          <cell r="T108">
            <v>-2801</v>
          </cell>
          <cell r="U108"/>
          <cell r="V108"/>
          <cell r="W108"/>
          <cell r="X108"/>
          <cell r="Y108">
            <v>45</v>
          </cell>
          <cell r="Z108"/>
          <cell r="AA108"/>
          <cell r="AB108"/>
          <cell r="AC108"/>
          <cell r="AD108">
            <v>14</v>
          </cell>
          <cell r="AE108"/>
          <cell r="AF108"/>
          <cell r="AG108"/>
          <cell r="AH108"/>
          <cell r="AI108">
            <v>13</v>
          </cell>
          <cell r="AJ108"/>
          <cell r="AK108"/>
          <cell r="AL108"/>
          <cell r="AM108"/>
          <cell r="AN108">
            <v>-55</v>
          </cell>
          <cell r="AO108"/>
          <cell r="AP108"/>
          <cell r="AQ108"/>
          <cell r="AR108"/>
          <cell r="AS108">
            <v>-70</v>
          </cell>
          <cell r="AT108"/>
          <cell r="AU108"/>
          <cell r="AV108"/>
          <cell r="AW108"/>
          <cell r="AX108">
            <v>134</v>
          </cell>
          <cell r="AY108"/>
          <cell r="AZ108"/>
          <cell r="BA108"/>
          <cell r="BB108"/>
          <cell r="BC108">
            <v>1848</v>
          </cell>
          <cell r="BD108"/>
          <cell r="BE108"/>
          <cell r="BF108"/>
          <cell r="BG108"/>
          <cell r="BH108">
            <v>50</v>
          </cell>
          <cell r="BI108"/>
          <cell r="BJ108"/>
          <cell r="BK108"/>
          <cell r="BL108"/>
          <cell r="BM108">
            <v>192</v>
          </cell>
          <cell r="BN108"/>
          <cell r="BO108"/>
          <cell r="BP108"/>
          <cell r="BQ108"/>
          <cell r="BR108">
            <v>56</v>
          </cell>
          <cell r="BS108"/>
          <cell r="BT108"/>
          <cell r="BU108"/>
          <cell r="BV108"/>
          <cell r="BW108">
            <v>80</v>
          </cell>
          <cell r="BX108"/>
          <cell r="BY108"/>
          <cell r="BZ108"/>
          <cell r="CA108"/>
          <cell r="CB108">
            <v>296</v>
          </cell>
          <cell r="CC108"/>
          <cell r="CD108"/>
          <cell r="CE108"/>
          <cell r="CF108"/>
          <cell r="CG108">
            <v>513</v>
          </cell>
          <cell r="CH108"/>
          <cell r="CI108"/>
          <cell r="CJ108"/>
          <cell r="CK108"/>
          <cell r="CL108">
            <v>0</v>
          </cell>
          <cell r="CM108"/>
          <cell r="CN108"/>
          <cell r="CO108"/>
          <cell r="CP108"/>
          <cell r="CQ108">
            <v>0</v>
          </cell>
          <cell r="CR108"/>
          <cell r="CS108"/>
          <cell r="CT108"/>
          <cell r="CU108"/>
          <cell r="CV108">
            <v>0</v>
          </cell>
          <cell r="CW108">
            <v>0</v>
          </cell>
          <cell r="CX108">
            <v>4.5474735088646412E-13</v>
          </cell>
          <cell r="CY108">
            <v>-4.5474735088646412E-13</v>
          </cell>
        </row>
        <row r="109">
          <cell r="B109" t="str">
            <v>Cash flow from financing</v>
          </cell>
          <cell r="C109" t="str">
            <v>CF_FIN</v>
          </cell>
          <cell r="D109" t="str">
            <v>EUR</v>
          </cell>
          <cell r="F109">
            <v>1509</v>
          </cell>
          <cell r="G109">
            <v>338</v>
          </cell>
          <cell r="H109">
            <v>-2067</v>
          </cell>
          <cell r="I109">
            <v>-459</v>
          </cell>
          <cell r="J109">
            <v>163</v>
          </cell>
          <cell r="K109"/>
          <cell r="L109"/>
          <cell r="M109"/>
          <cell r="N109"/>
          <cell r="O109">
            <v>-526</v>
          </cell>
          <cell r="P109"/>
          <cell r="Q109"/>
          <cell r="R109"/>
          <cell r="S109"/>
          <cell r="T109">
            <v>-2511</v>
          </cell>
          <cell r="U109"/>
          <cell r="V109"/>
          <cell r="W109"/>
          <cell r="X109"/>
          <cell r="Y109">
            <v>-638</v>
          </cell>
          <cell r="Z109"/>
          <cell r="AA109"/>
          <cell r="AB109"/>
          <cell r="AC109"/>
          <cell r="AD109">
            <v>-201</v>
          </cell>
          <cell r="AE109"/>
          <cell r="AF109"/>
          <cell r="AG109"/>
          <cell r="AH109"/>
          <cell r="AI109">
            <v>752</v>
          </cell>
          <cell r="AJ109"/>
          <cell r="AK109"/>
          <cell r="AL109"/>
          <cell r="AM109"/>
          <cell r="AN109">
            <v>-1119</v>
          </cell>
          <cell r="AO109"/>
          <cell r="AP109"/>
          <cell r="AQ109"/>
          <cell r="AR109"/>
          <cell r="AS109">
            <v>165</v>
          </cell>
          <cell r="AT109"/>
          <cell r="AU109"/>
          <cell r="AV109"/>
          <cell r="AW109"/>
          <cell r="AX109">
            <v>-365</v>
          </cell>
          <cell r="AY109"/>
          <cell r="AZ109"/>
          <cell r="BA109"/>
          <cell r="BB109"/>
          <cell r="BC109">
            <v>-1068</v>
          </cell>
          <cell r="BD109"/>
          <cell r="BE109"/>
          <cell r="BF109"/>
          <cell r="BG109"/>
          <cell r="BH109">
            <v>495</v>
          </cell>
          <cell r="BI109"/>
          <cell r="BJ109"/>
          <cell r="BK109"/>
          <cell r="BL109"/>
          <cell r="BM109">
            <v>-25</v>
          </cell>
          <cell r="BN109"/>
          <cell r="BO109"/>
          <cell r="BP109"/>
          <cell r="BQ109"/>
          <cell r="BR109">
            <v>-116</v>
          </cell>
          <cell r="BS109"/>
          <cell r="BT109"/>
          <cell r="BU109"/>
          <cell r="BV109"/>
          <cell r="BW109">
            <v>321</v>
          </cell>
          <cell r="BX109"/>
          <cell r="BY109"/>
          <cell r="BZ109"/>
          <cell r="CA109"/>
          <cell r="CB109">
            <v>-3222</v>
          </cell>
          <cell r="CC109"/>
          <cell r="CD109"/>
          <cell r="CE109"/>
          <cell r="CF109"/>
          <cell r="CG109">
            <v>-958</v>
          </cell>
          <cell r="CH109"/>
          <cell r="CI109"/>
          <cell r="CJ109"/>
          <cell r="CK109"/>
          <cell r="CL109">
            <v>0</v>
          </cell>
          <cell r="CM109"/>
          <cell r="CN109"/>
          <cell r="CO109"/>
          <cell r="CP109"/>
          <cell r="CQ109">
            <v>-1282.1157656999999</v>
          </cell>
          <cell r="CR109"/>
          <cell r="CS109"/>
          <cell r="CT109"/>
          <cell r="CU109"/>
          <cell r="CV109">
            <v>-1001.1280617295128</v>
          </cell>
          <cell r="CW109">
            <v>-2256.3792591899846</v>
          </cell>
          <cell r="CX109">
            <v>-5385.6308203313984</v>
          </cell>
          <cell r="CY109">
            <v>-5552.6436150262089</v>
          </cell>
        </row>
        <row r="110">
          <cell r="B110" t="str">
            <v>Other items net cash flow</v>
          </cell>
          <cell r="C110" t="str">
            <v>OTH_ITEM_NCF</v>
          </cell>
          <cell r="D110" t="str">
            <v>EUR</v>
          </cell>
          <cell r="F110">
            <v>0</v>
          </cell>
          <cell r="G110">
            <v>-1001</v>
          </cell>
          <cell r="H110">
            <v>521</v>
          </cell>
          <cell r="I110">
            <v>1081</v>
          </cell>
          <cell r="J110">
            <v>-465</v>
          </cell>
          <cell r="K110"/>
          <cell r="L110"/>
          <cell r="M110"/>
          <cell r="N110"/>
          <cell r="O110">
            <v>-485</v>
          </cell>
          <cell r="P110"/>
          <cell r="Q110"/>
          <cell r="R110"/>
          <cell r="S110"/>
          <cell r="T110">
            <v>-5257</v>
          </cell>
          <cell r="U110"/>
          <cell r="V110"/>
          <cell r="W110"/>
          <cell r="X110"/>
          <cell r="Y110">
            <v>-117</v>
          </cell>
          <cell r="Z110"/>
          <cell r="AA110"/>
          <cell r="AB110"/>
          <cell r="AC110"/>
          <cell r="AD110">
            <v>-50</v>
          </cell>
          <cell r="AE110"/>
          <cell r="AF110"/>
          <cell r="AG110"/>
          <cell r="AH110"/>
          <cell r="AI110">
            <v>-50</v>
          </cell>
          <cell r="AJ110"/>
          <cell r="AK110"/>
          <cell r="AL110"/>
          <cell r="AM110"/>
          <cell r="AN110">
            <v>104</v>
          </cell>
          <cell r="AO110"/>
          <cell r="AP110"/>
          <cell r="AQ110"/>
          <cell r="AR110"/>
          <cell r="AS110">
            <v>-2</v>
          </cell>
          <cell r="AT110"/>
          <cell r="AU110"/>
          <cell r="AV110"/>
          <cell r="AW110"/>
          <cell r="AX110">
            <v>23</v>
          </cell>
          <cell r="AY110"/>
          <cell r="AZ110"/>
          <cell r="BA110"/>
          <cell r="BB110"/>
          <cell r="BC110">
            <v>-112</v>
          </cell>
          <cell r="BD110"/>
          <cell r="BE110"/>
          <cell r="BF110"/>
          <cell r="BG110"/>
          <cell r="BH110">
            <v>-326</v>
          </cell>
          <cell r="BI110"/>
          <cell r="BJ110"/>
          <cell r="BK110"/>
          <cell r="BL110"/>
          <cell r="BM110">
            <v>102</v>
          </cell>
          <cell r="BN110"/>
          <cell r="BO110"/>
          <cell r="BP110"/>
          <cell r="BQ110"/>
          <cell r="BR110">
            <v>-769</v>
          </cell>
          <cell r="BS110"/>
          <cell r="BT110"/>
          <cell r="BU110"/>
          <cell r="BV110"/>
          <cell r="BW110">
            <v>-362</v>
          </cell>
          <cell r="BX110"/>
          <cell r="BY110"/>
          <cell r="BZ110"/>
          <cell r="CA110"/>
          <cell r="CB110">
            <v>-64</v>
          </cell>
          <cell r="CC110"/>
          <cell r="CD110"/>
          <cell r="CE110"/>
          <cell r="CF110"/>
          <cell r="CG110">
            <v>-30</v>
          </cell>
          <cell r="CH110"/>
          <cell r="CI110"/>
          <cell r="CJ110"/>
          <cell r="CK110"/>
          <cell r="CL110">
            <v>0</v>
          </cell>
          <cell r="CM110"/>
          <cell r="CN110"/>
          <cell r="CO110"/>
          <cell r="CP110"/>
          <cell r="CQ110">
            <v>0</v>
          </cell>
          <cell r="CR110"/>
          <cell r="CS110"/>
          <cell r="CT110"/>
          <cell r="CU110"/>
          <cell r="CV110">
            <v>0</v>
          </cell>
          <cell r="CW110">
            <v>0</v>
          </cell>
          <cell r="CX110">
            <v>0</v>
          </cell>
          <cell r="CY110">
            <v>0</v>
          </cell>
        </row>
        <row r="111">
          <cell r="B111" t="str">
            <v>Total cash flow</v>
          </cell>
          <cell r="C111" t="str">
            <v>TOT_CF</v>
          </cell>
          <cell r="D111" t="str">
            <v>EUR</v>
          </cell>
          <cell r="F111">
            <v>3040</v>
          </cell>
          <cell r="G111">
            <v>111</v>
          </cell>
          <cell r="H111">
            <v>-1833</v>
          </cell>
          <cell r="I111">
            <v>1672</v>
          </cell>
          <cell r="J111">
            <v>1312</v>
          </cell>
          <cell r="K111"/>
          <cell r="L111"/>
          <cell r="M111"/>
          <cell r="N111"/>
          <cell r="O111">
            <v>1402</v>
          </cell>
          <cell r="P111"/>
          <cell r="Q111"/>
          <cell r="R111"/>
          <cell r="S111"/>
          <cell r="T111">
            <v>-2443</v>
          </cell>
          <cell r="U111"/>
          <cell r="V111"/>
          <cell r="W111"/>
          <cell r="X111"/>
          <cell r="Y111">
            <v>-594</v>
          </cell>
          <cell r="Z111"/>
          <cell r="AA111"/>
          <cell r="AB111"/>
          <cell r="AC111"/>
          <cell r="AD111">
            <v>-804</v>
          </cell>
          <cell r="AE111"/>
          <cell r="AF111"/>
          <cell r="AG111"/>
          <cell r="AH111"/>
          <cell r="AI111">
            <v>293</v>
          </cell>
          <cell r="AJ111"/>
          <cell r="AK111"/>
          <cell r="AL111"/>
          <cell r="AM111"/>
          <cell r="AN111">
            <v>-2008</v>
          </cell>
          <cell r="AO111"/>
          <cell r="AP111"/>
          <cell r="AQ111"/>
          <cell r="AR111"/>
          <cell r="AS111">
            <v>254</v>
          </cell>
          <cell r="AT111"/>
          <cell r="AU111"/>
          <cell r="AV111"/>
          <cell r="AW111"/>
          <cell r="AX111">
            <v>3472</v>
          </cell>
          <cell r="AY111"/>
          <cell r="AZ111"/>
          <cell r="BA111"/>
          <cell r="BB111"/>
          <cell r="BC111">
            <v>-991</v>
          </cell>
          <cell r="BD111"/>
          <cell r="BE111"/>
          <cell r="BF111"/>
          <cell r="BG111"/>
          <cell r="BH111">
            <v>-494</v>
          </cell>
          <cell r="BI111"/>
          <cell r="BJ111"/>
          <cell r="BK111"/>
          <cell r="BL111"/>
          <cell r="BM111">
            <v>218</v>
          </cell>
          <cell r="BN111"/>
          <cell r="BO111"/>
          <cell r="BP111"/>
          <cell r="BQ111"/>
          <cell r="BR111">
            <v>2654</v>
          </cell>
          <cell r="BS111"/>
          <cell r="BT111"/>
          <cell r="BU111"/>
          <cell r="BV111"/>
          <cell r="BW111">
            <v>1873</v>
          </cell>
          <cell r="BX111"/>
          <cell r="BY111"/>
          <cell r="BZ111"/>
          <cell r="CA111"/>
          <cell r="CB111">
            <v>-2603</v>
          </cell>
          <cell r="CC111"/>
          <cell r="CD111"/>
          <cell r="CE111"/>
          <cell r="CF111"/>
          <cell r="CG111">
            <v>-99</v>
          </cell>
          <cell r="CH111"/>
          <cell r="CI111"/>
          <cell r="CJ111"/>
          <cell r="CK111"/>
          <cell r="CL111">
            <v>-9222.7879588809719</v>
          </cell>
          <cell r="CM111"/>
          <cell r="CN111"/>
          <cell r="CO111"/>
          <cell r="CP111"/>
          <cell r="CQ111">
            <v>2536.2381584196178</v>
          </cell>
          <cell r="CR111"/>
          <cell r="CS111"/>
          <cell r="CT111"/>
          <cell r="CU111"/>
          <cell r="CV111">
            <v>6355.604207638873</v>
          </cell>
          <cell r="CW111">
            <v>1477.5854888006033</v>
          </cell>
          <cell r="CX111">
            <v>-1029.5680598036397</v>
          </cell>
          <cell r="CY111">
            <v>2204.8577105411296</v>
          </cell>
        </row>
        <row r="112">
          <cell r="A112" t="str">
            <v>Additional Cash Flow Items</v>
          </cell>
          <cell r="B112"/>
          <cell r="C112"/>
          <cell r="D112"/>
        </row>
        <row r="113">
          <cell r="B113" t="str">
            <v>Associate and JV add-back</v>
          </cell>
          <cell r="C113" t="str">
            <v>ASSOC_JV_ADDBK</v>
          </cell>
          <cell r="D113" t="str">
            <v>EUR</v>
          </cell>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cell r="CO113"/>
          <cell r="CP113"/>
          <cell r="CQ113"/>
          <cell r="CR113"/>
          <cell r="CS113"/>
          <cell r="CT113"/>
          <cell r="CU113"/>
          <cell r="CV113"/>
          <cell r="CW113"/>
          <cell r="CX113"/>
          <cell r="CY113"/>
        </row>
        <row r="114">
          <cell r="B114" t="str">
            <v>Cash interest income/(expense)</v>
          </cell>
          <cell r="C114" t="str">
            <v>CASH_INT_INC_EXP</v>
          </cell>
          <cell r="D114" t="str">
            <v>EUR</v>
          </cell>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cell r="BI114"/>
          <cell r="BJ114"/>
          <cell r="BK114"/>
          <cell r="BL114"/>
          <cell r="BM114"/>
          <cell r="BN114"/>
          <cell r="BO114"/>
          <cell r="BP114"/>
          <cell r="BQ114"/>
          <cell r="BR114"/>
          <cell r="BS114"/>
          <cell r="BT114"/>
          <cell r="BU114"/>
          <cell r="BV114"/>
          <cell r="BW114"/>
          <cell r="BX114"/>
          <cell r="BY114"/>
          <cell r="BZ114"/>
          <cell r="CA114"/>
          <cell r="CB114"/>
          <cell r="CC114"/>
          <cell r="CD114"/>
          <cell r="CE114"/>
          <cell r="CF114"/>
          <cell r="CG114"/>
          <cell r="CH114"/>
          <cell r="CI114"/>
          <cell r="CJ114"/>
          <cell r="CK114"/>
          <cell r="CL114"/>
          <cell r="CM114"/>
          <cell r="CN114"/>
          <cell r="CO114"/>
          <cell r="CP114"/>
          <cell r="CQ114"/>
          <cell r="CR114"/>
          <cell r="CS114"/>
          <cell r="CT114"/>
          <cell r="CU114"/>
          <cell r="CV114"/>
          <cell r="CW114"/>
          <cell r="CX114"/>
          <cell r="CY114"/>
        </row>
        <row r="115">
          <cell r="B115" t="str">
            <v>Cash taxes paid</v>
          </cell>
          <cell r="C115" t="str">
            <v>CASH_TAX_PD</v>
          </cell>
          <cell r="D115" t="str">
            <v>EUR</v>
          </cell>
          <cell r="F115"/>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cell r="CO115"/>
          <cell r="CP115"/>
          <cell r="CQ115"/>
          <cell r="CR115"/>
          <cell r="CS115"/>
          <cell r="CT115"/>
          <cell r="CU115"/>
          <cell r="CV115"/>
          <cell r="CW115"/>
          <cell r="CX115"/>
          <cell r="CY115"/>
        </row>
        <row r="116">
          <cell r="B116" t="str">
            <v>Profit/(loss) on sale of assets</v>
          </cell>
          <cell r="C116" t="str">
            <v>PL_SALE_ASSETS</v>
          </cell>
          <cell r="D116" t="str">
            <v>EUR</v>
          </cell>
          <cell r="F116"/>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cell r="CO116"/>
          <cell r="CP116"/>
          <cell r="CQ116"/>
          <cell r="CR116"/>
          <cell r="CS116"/>
          <cell r="CT116"/>
          <cell r="CU116"/>
          <cell r="CV116"/>
          <cell r="CW116"/>
          <cell r="CX116"/>
          <cell r="CY116"/>
        </row>
        <row r="117">
          <cell r="B117" t="str">
            <v>Other non-cash adjustments</v>
          </cell>
          <cell r="C117" t="str">
            <v>OTH_NONCASH_ADJ</v>
          </cell>
          <cell r="D117" t="str">
            <v>EUR</v>
          </cell>
          <cell r="F117"/>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cell r="CO117"/>
          <cell r="CP117"/>
          <cell r="CQ117"/>
          <cell r="CR117"/>
          <cell r="CS117"/>
          <cell r="CT117"/>
          <cell r="CU117"/>
          <cell r="CV117"/>
          <cell r="CW117"/>
          <cell r="CX117"/>
          <cell r="CY117"/>
        </row>
        <row r="118">
          <cell r="B118" t="str">
            <v>Other DACF adjustments</v>
          </cell>
          <cell r="C118" t="str">
            <v>OTH_DACF_ADJ</v>
          </cell>
          <cell r="D118" t="str">
            <v>EUR</v>
          </cell>
          <cell r="F118"/>
          <cell r="G118"/>
          <cell r="H118"/>
          <cell r="I118"/>
          <cell r="J118"/>
          <cell r="K118"/>
          <cell r="L118"/>
          <cell r="M118"/>
          <cell r="N118"/>
          <cell r="O118"/>
          <cell r="P118"/>
          <cell r="Q118"/>
          <cell r="R118"/>
          <cell r="S118"/>
          <cell r="T118"/>
          <cell r="U118"/>
          <cell r="V118"/>
          <cell r="W118"/>
          <cell r="X118"/>
          <cell r="Y118">
            <v>-93</v>
          </cell>
          <cell r="Z118"/>
          <cell r="AA118"/>
          <cell r="AB118"/>
          <cell r="AC118"/>
          <cell r="AD118">
            <v>-87</v>
          </cell>
          <cell r="AE118"/>
          <cell r="AF118"/>
          <cell r="AG118"/>
          <cell r="AH118"/>
          <cell r="AI118">
            <v>-53</v>
          </cell>
          <cell r="AJ118"/>
          <cell r="AK118"/>
          <cell r="AL118"/>
          <cell r="AM118"/>
          <cell r="AN118">
            <v>-145</v>
          </cell>
          <cell r="AO118"/>
          <cell r="AP118"/>
          <cell r="AQ118"/>
          <cell r="AR118"/>
          <cell r="AS118">
            <v>-97</v>
          </cell>
          <cell r="AT118"/>
          <cell r="AU118"/>
          <cell r="AV118"/>
          <cell r="AW118"/>
          <cell r="AX118">
            <v>-488</v>
          </cell>
          <cell r="AY118"/>
          <cell r="AZ118"/>
          <cell r="BA118"/>
          <cell r="BB118"/>
          <cell r="BC118">
            <v>-421</v>
          </cell>
          <cell r="BD118"/>
          <cell r="BE118"/>
          <cell r="BF118"/>
          <cell r="BG118"/>
          <cell r="BH118">
            <v>-225</v>
          </cell>
          <cell r="BI118"/>
          <cell r="BJ118"/>
          <cell r="BK118"/>
          <cell r="BL118"/>
          <cell r="BM118">
            <v>-154</v>
          </cell>
          <cell r="BN118"/>
          <cell r="BO118"/>
          <cell r="BP118"/>
          <cell r="BQ118"/>
          <cell r="BR118">
            <v>-311</v>
          </cell>
          <cell r="BS118"/>
          <cell r="BT118"/>
          <cell r="BU118"/>
          <cell r="BV118"/>
          <cell r="BW118">
            <v>239</v>
          </cell>
          <cell r="BX118"/>
          <cell r="BY118"/>
          <cell r="BZ118"/>
          <cell r="CA118"/>
          <cell r="CB118">
            <v>2428</v>
          </cell>
          <cell r="CC118"/>
          <cell r="CD118"/>
          <cell r="CE118"/>
          <cell r="CF118"/>
          <cell r="CG118">
            <v>1619</v>
          </cell>
          <cell r="CH118"/>
          <cell r="CI118"/>
          <cell r="CJ118"/>
          <cell r="CK118"/>
          <cell r="CL118">
            <v>-87.307152255444265</v>
          </cell>
          <cell r="CM118"/>
          <cell r="CN118"/>
          <cell r="CO118"/>
          <cell r="CP118"/>
          <cell r="CQ118">
            <v>644.17725172999485</v>
          </cell>
          <cell r="CR118"/>
          <cell r="CS118"/>
          <cell r="CT118"/>
          <cell r="CU118"/>
          <cell r="CV118">
            <v>884.22449202131259</v>
          </cell>
          <cell r="CW118">
            <v>873.49719550634359</v>
          </cell>
          <cell r="CX118">
            <v>617.38267711479182</v>
          </cell>
          <cell r="CY118">
            <v>-887.02081692773231</v>
          </cell>
        </row>
        <row r="119">
          <cell r="B119" t="str">
            <v>Cash interest expense</v>
          </cell>
          <cell r="C119" t="str">
            <v>CASH_INT_EXP</v>
          </cell>
          <cell r="D119" t="str">
            <v>EUR</v>
          </cell>
          <cell r="F119"/>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cell r="CO119"/>
          <cell r="CP119"/>
          <cell r="CQ119"/>
          <cell r="CR119"/>
          <cell r="CS119"/>
          <cell r="CT119"/>
          <cell r="CU119"/>
          <cell r="CV119"/>
          <cell r="CW119"/>
          <cell r="CX119"/>
          <cell r="CY119"/>
        </row>
        <row r="120">
          <cell r="B120" t="str">
            <v>Cash tax expense</v>
          </cell>
          <cell r="C120" t="str">
            <v>CASH_TAX_EXP</v>
          </cell>
          <cell r="D120" t="str">
            <v>EUR</v>
          </cell>
          <cell r="F120"/>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cell r="CO120"/>
          <cell r="CP120"/>
          <cell r="CQ120"/>
          <cell r="CR120"/>
          <cell r="CS120"/>
          <cell r="CT120"/>
          <cell r="CU120"/>
          <cell r="CV120"/>
          <cell r="CW120"/>
          <cell r="CX120"/>
          <cell r="CY120"/>
        </row>
        <row r="121">
          <cell r="B121" t="str">
            <v>Dividends received from associates/JVs</v>
          </cell>
          <cell r="C121" t="str">
            <v>DIVDS_ASSOC_JV</v>
          </cell>
          <cell r="D121" t="str">
            <v>EUR</v>
          </cell>
          <cell r="F121"/>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cell r="CO121"/>
          <cell r="CP121"/>
          <cell r="CQ121"/>
          <cell r="CR121"/>
          <cell r="CS121"/>
          <cell r="CT121"/>
          <cell r="CU121"/>
          <cell r="CV121"/>
          <cell r="CW121"/>
          <cell r="CX121"/>
          <cell r="CY121"/>
        </row>
        <row r="122">
          <cell r="B122" t="str">
            <v>Capex maintenance</v>
          </cell>
          <cell r="C122" t="str">
            <v>CAPEX_MAINTENANCE</v>
          </cell>
          <cell r="D122" t="str">
            <v>EUR</v>
          </cell>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cell r="BI122"/>
          <cell r="BJ122"/>
          <cell r="BK122"/>
          <cell r="BL122"/>
          <cell r="BM122"/>
          <cell r="BN122"/>
          <cell r="BO122"/>
          <cell r="BP122"/>
          <cell r="BQ122"/>
          <cell r="BR122"/>
          <cell r="BS122"/>
          <cell r="BT122"/>
          <cell r="BU122"/>
          <cell r="BV122"/>
          <cell r="BW122"/>
          <cell r="BX122"/>
          <cell r="BY122"/>
          <cell r="BZ122"/>
          <cell r="CA122"/>
          <cell r="CB122"/>
          <cell r="CC122"/>
          <cell r="CD122"/>
          <cell r="CE122"/>
          <cell r="CF122"/>
          <cell r="CG122"/>
          <cell r="CH122"/>
          <cell r="CI122"/>
          <cell r="CJ122"/>
          <cell r="CK122"/>
          <cell r="CL122"/>
          <cell r="CM122"/>
          <cell r="CN122"/>
          <cell r="CO122"/>
          <cell r="CP122"/>
          <cell r="CQ122"/>
          <cell r="CR122"/>
          <cell r="CS122"/>
          <cell r="CT122"/>
          <cell r="CU122"/>
          <cell r="CV122"/>
          <cell r="CW122"/>
          <cell r="CX122"/>
          <cell r="CY122"/>
        </row>
        <row r="123">
          <cell r="B123" t="str">
            <v>Capex expansion</v>
          </cell>
          <cell r="C123" t="str">
            <v>CAPEX_EXPANSION</v>
          </cell>
          <cell r="D123" t="str">
            <v>EUR</v>
          </cell>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cell r="CO123"/>
          <cell r="CP123"/>
          <cell r="CQ123"/>
          <cell r="CR123"/>
          <cell r="CS123"/>
          <cell r="CT123"/>
          <cell r="CU123"/>
          <cell r="CV123"/>
          <cell r="CW123"/>
          <cell r="CX123"/>
          <cell r="CY123"/>
        </row>
        <row r="124">
          <cell r="B124" t="str">
            <v>Non-PP&amp;E capex</v>
          </cell>
          <cell r="C124" t="str">
            <v>NONPPE_CAPEX</v>
          </cell>
          <cell r="D124" t="str">
            <v>EUR</v>
          </cell>
          <cell r="F124"/>
          <cell r="G124"/>
          <cell r="H124"/>
          <cell r="I124"/>
          <cell r="J124"/>
          <cell r="K124"/>
          <cell r="L124"/>
          <cell r="M124"/>
          <cell r="N124"/>
          <cell r="O124"/>
          <cell r="P124"/>
          <cell r="Q124"/>
          <cell r="R124"/>
          <cell r="S124"/>
          <cell r="T124">
            <v>-411</v>
          </cell>
          <cell r="U124"/>
          <cell r="V124"/>
          <cell r="W124"/>
          <cell r="X124"/>
          <cell r="Y124">
            <v>-93</v>
          </cell>
          <cell r="Z124"/>
          <cell r="AA124"/>
          <cell r="AB124"/>
          <cell r="AC124"/>
          <cell r="AD124">
            <v>-87</v>
          </cell>
          <cell r="AE124"/>
          <cell r="AF124"/>
          <cell r="AG124"/>
          <cell r="AH124"/>
          <cell r="AI124">
            <v>-53</v>
          </cell>
          <cell r="AJ124"/>
          <cell r="AK124"/>
          <cell r="AL124"/>
          <cell r="AM124"/>
          <cell r="AN124">
            <v>-145</v>
          </cell>
          <cell r="AO124"/>
          <cell r="AP124"/>
          <cell r="AQ124"/>
          <cell r="AR124"/>
          <cell r="AS124">
            <v>-97</v>
          </cell>
          <cell r="AT124"/>
          <cell r="AU124"/>
          <cell r="AV124"/>
          <cell r="AW124"/>
          <cell r="AX124">
            <v>-488</v>
          </cell>
          <cell r="AY124"/>
          <cell r="AZ124"/>
          <cell r="BA124"/>
          <cell r="BB124"/>
          <cell r="BC124">
            <v>-421</v>
          </cell>
          <cell r="BD124"/>
          <cell r="BE124"/>
          <cell r="BF124"/>
          <cell r="BG124"/>
          <cell r="BH124">
            <v>-225</v>
          </cell>
          <cell r="BI124"/>
          <cell r="BJ124"/>
          <cell r="BK124"/>
          <cell r="BL124"/>
          <cell r="BM124">
            <v>-154</v>
          </cell>
          <cell r="BN124"/>
          <cell r="BO124"/>
          <cell r="BP124"/>
          <cell r="BQ124"/>
          <cell r="BR124">
            <v>-311</v>
          </cell>
          <cell r="BS124"/>
          <cell r="BT124"/>
          <cell r="BU124"/>
          <cell r="BV124"/>
          <cell r="BW124">
            <v>239</v>
          </cell>
          <cell r="BX124"/>
          <cell r="BY124"/>
          <cell r="BZ124"/>
          <cell r="CA124"/>
          <cell r="CB124">
            <v>2428</v>
          </cell>
          <cell r="CC124"/>
          <cell r="CD124"/>
          <cell r="CE124"/>
          <cell r="CF124"/>
          <cell r="CG124">
            <v>1619</v>
          </cell>
          <cell r="CH124"/>
          <cell r="CI124"/>
          <cell r="CJ124"/>
          <cell r="CK124"/>
          <cell r="CL124">
            <v>-87.307152255444265</v>
          </cell>
          <cell r="CM124"/>
          <cell r="CN124"/>
          <cell r="CO124"/>
          <cell r="CP124"/>
          <cell r="CQ124">
            <v>644.17725172999485</v>
          </cell>
          <cell r="CR124"/>
          <cell r="CS124"/>
          <cell r="CT124"/>
          <cell r="CU124"/>
          <cell r="CV124">
            <v>884.22449202131259</v>
          </cell>
          <cell r="CW124">
            <v>873.49719550634359</v>
          </cell>
          <cell r="CX124">
            <v>617.38267711479182</v>
          </cell>
          <cell r="CY124">
            <v>-887.02081692773231</v>
          </cell>
        </row>
        <row r="125">
          <cell r="B125" t="str">
            <v>Dividends paid to minorities</v>
          </cell>
          <cell r="C125" t="str">
            <v>DIVDS_PD_MINORITIES</v>
          </cell>
          <cell r="D125" t="str">
            <v>EUR</v>
          </cell>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cell r="CO125"/>
          <cell r="CP125"/>
          <cell r="CQ125"/>
          <cell r="CR125"/>
          <cell r="CS125"/>
          <cell r="CT125"/>
          <cell r="CU125"/>
          <cell r="CV125"/>
          <cell r="CW125"/>
          <cell r="CX125"/>
          <cell r="CY125"/>
        </row>
        <row r="126">
          <cell r="A126" t="str">
            <v>Other Items</v>
          </cell>
          <cell r="B126"/>
          <cell r="C126"/>
          <cell r="D126"/>
        </row>
        <row r="127">
          <cell r="B127" t="str">
            <v>Number of employees</v>
          </cell>
          <cell r="C127" t="str">
            <v>EMPLOYEES</v>
          </cell>
          <cell r="F127"/>
          <cell r="G127"/>
          <cell r="H127"/>
          <cell r="I127"/>
          <cell r="J127"/>
          <cell r="K127"/>
          <cell r="L127"/>
          <cell r="M127"/>
          <cell r="N127"/>
          <cell r="O127"/>
          <cell r="P127"/>
          <cell r="Q127"/>
          <cell r="R127"/>
          <cell r="S127"/>
          <cell r="T127"/>
          <cell r="U127"/>
          <cell r="V127"/>
          <cell r="W127"/>
          <cell r="X127"/>
          <cell r="Y127">
            <v>116.80500000000001</v>
          </cell>
          <cell r="Z127"/>
          <cell r="AA127"/>
          <cell r="AB127"/>
          <cell r="AC127"/>
          <cell r="AD127">
            <v>116.49299999999999</v>
          </cell>
          <cell r="AE127"/>
          <cell r="AF127"/>
          <cell r="AG127"/>
          <cell r="AH127"/>
          <cell r="AI127">
            <v>118.349</v>
          </cell>
          <cell r="AJ127"/>
          <cell r="AK127"/>
          <cell r="AL127"/>
          <cell r="AM127"/>
          <cell r="AN127">
            <v>119.506</v>
          </cell>
          <cell r="AO127"/>
          <cell r="AP127"/>
          <cell r="AQ127"/>
          <cell r="AR127"/>
          <cell r="AS127">
            <v>121.691</v>
          </cell>
          <cell r="AT127"/>
          <cell r="AU127"/>
          <cell r="AV127"/>
          <cell r="AW127"/>
          <cell r="AX127">
            <v>133.11500000000001</v>
          </cell>
          <cell r="AY127"/>
          <cell r="AZ127"/>
          <cell r="BA127"/>
          <cell r="BB127"/>
          <cell r="BC127">
            <v>140.405</v>
          </cell>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cell r="CO127"/>
          <cell r="CP127"/>
          <cell r="CQ127"/>
          <cell r="CR127"/>
          <cell r="CS127"/>
          <cell r="CT127"/>
          <cell r="CU127"/>
          <cell r="CV127"/>
          <cell r="CW127"/>
          <cell r="CX127"/>
          <cell r="CY127"/>
        </row>
        <row r="128">
          <cell r="A128" t="str">
            <v>Geographical Breakdown</v>
          </cell>
          <cell r="B128"/>
          <cell r="C128"/>
          <cell r="D128"/>
        </row>
        <row r="129">
          <cell r="B129" t="str">
            <v>Sales - % Canada</v>
          </cell>
          <cell r="C129" t="str">
            <v>SALES_CANADA</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v>1.7808743139397199E-3</v>
          </cell>
          <cell r="BD129"/>
          <cell r="BE129"/>
          <cell r="BF129"/>
          <cell r="BG129"/>
          <cell r="BH129">
            <v>1.9252695285834811E-3</v>
          </cell>
          <cell r="BI129"/>
          <cell r="BJ129"/>
          <cell r="BK129"/>
          <cell r="BL129"/>
          <cell r="BM129">
            <v>1.9132365940298345E-3</v>
          </cell>
          <cell r="BN129"/>
          <cell r="BO129"/>
          <cell r="BP129"/>
          <cell r="BQ129"/>
          <cell r="BR129">
            <v>1.901278865317148E-3</v>
          </cell>
          <cell r="BS129"/>
          <cell r="BT129"/>
          <cell r="BU129"/>
          <cell r="BV129"/>
          <cell r="BW129">
            <v>2.6816545189920966E-3</v>
          </cell>
          <cell r="BX129"/>
          <cell r="BY129"/>
          <cell r="BZ129"/>
          <cell r="CA129"/>
          <cell r="CB129">
            <v>2.6816545189920966E-3</v>
          </cell>
          <cell r="CC129"/>
          <cell r="CD129"/>
          <cell r="CE129"/>
          <cell r="CF129"/>
          <cell r="CG129">
            <v>2.6816545189920966E-3</v>
          </cell>
          <cell r="CH129"/>
          <cell r="CI129"/>
          <cell r="CJ129"/>
          <cell r="CK129"/>
          <cell r="CL129">
            <v>2.6816545189920966E-3</v>
          </cell>
          <cell r="CM129"/>
          <cell r="CN129"/>
          <cell r="CO129"/>
          <cell r="CP129"/>
          <cell r="CQ129">
            <v>2.6816545189920966E-3</v>
          </cell>
          <cell r="CR129"/>
          <cell r="CS129"/>
          <cell r="CT129"/>
          <cell r="CU129"/>
          <cell r="CV129">
            <v>2.6816545189920966E-3</v>
          </cell>
          <cell r="CW129">
            <v>2.6816545189920966E-3</v>
          </cell>
          <cell r="CX129">
            <v>2.6816545189920966E-3</v>
          </cell>
          <cell r="CY129">
            <v>2.6816545189920966E-3</v>
          </cell>
        </row>
        <row r="130">
          <cell r="B130" t="str">
            <v>Sales - % United States</v>
          </cell>
          <cell r="C130" t="str">
            <v>SALES_US</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v>0.13599504249291786</v>
          </cell>
          <cell r="AY130"/>
          <cell r="AZ130"/>
          <cell r="BA130"/>
          <cell r="BB130"/>
          <cell r="BC130">
            <v>0.14647691232154197</v>
          </cell>
          <cell r="BD130"/>
          <cell r="BE130"/>
          <cell r="BF130"/>
          <cell r="BG130"/>
          <cell r="BH130">
            <v>0.15835341872599135</v>
          </cell>
          <cell r="BI130"/>
          <cell r="BJ130"/>
          <cell r="BK130"/>
          <cell r="BL130"/>
          <cell r="BM130">
            <v>0.1573637098589539</v>
          </cell>
          <cell r="BN130"/>
          <cell r="BO130"/>
          <cell r="BP130"/>
          <cell r="BQ130"/>
          <cell r="BR130">
            <v>0.13262098818301776</v>
          </cell>
          <cell r="BS130"/>
          <cell r="BT130"/>
          <cell r="BU130"/>
          <cell r="BV130"/>
          <cell r="BW130">
            <v>0.1870549758700773</v>
          </cell>
          <cell r="BX130"/>
          <cell r="BY130"/>
          <cell r="BZ130"/>
          <cell r="CA130"/>
          <cell r="CB130">
            <v>0.1870549758700773</v>
          </cell>
          <cell r="CC130"/>
          <cell r="CD130"/>
          <cell r="CE130"/>
          <cell r="CF130"/>
          <cell r="CG130">
            <v>0.1870549758700773</v>
          </cell>
          <cell r="CH130"/>
          <cell r="CI130"/>
          <cell r="CJ130"/>
          <cell r="CK130"/>
          <cell r="CL130">
            <v>0.1870549758700773</v>
          </cell>
          <cell r="CM130"/>
          <cell r="CN130"/>
          <cell r="CO130"/>
          <cell r="CP130"/>
          <cell r="CQ130">
            <v>0.1870549758700773</v>
          </cell>
          <cell r="CR130"/>
          <cell r="CS130"/>
          <cell r="CT130"/>
          <cell r="CU130"/>
          <cell r="CV130">
            <v>0.1870549758700773</v>
          </cell>
          <cell r="CW130">
            <v>0.1870549758700773</v>
          </cell>
          <cell r="CX130">
            <v>0.1870549758700773</v>
          </cell>
          <cell r="CY130">
            <v>0.1870549758700773</v>
          </cell>
        </row>
        <row r="131">
          <cell r="B131" t="str">
            <v>Sales - % Other North Americas</v>
          </cell>
          <cell r="C131" t="str">
            <v>SALES_OTH_NO_AMER</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v>0</v>
          </cell>
          <cell r="BD131"/>
          <cell r="BE131"/>
          <cell r="BF131"/>
          <cell r="BG131"/>
          <cell r="BH131">
            <v>0</v>
          </cell>
          <cell r="BI131"/>
          <cell r="BJ131"/>
          <cell r="BK131"/>
          <cell r="BL131"/>
          <cell r="BM131">
            <v>0</v>
          </cell>
          <cell r="BN131"/>
          <cell r="BO131"/>
          <cell r="BP131"/>
          <cell r="BQ131"/>
          <cell r="BR131">
            <v>0</v>
          </cell>
          <cell r="BS131"/>
          <cell r="BT131"/>
          <cell r="BU131"/>
          <cell r="BV131"/>
          <cell r="BW131">
            <v>0</v>
          </cell>
          <cell r="BX131"/>
          <cell r="BY131"/>
          <cell r="BZ131"/>
          <cell r="CA131"/>
          <cell r="CB131">
            <v>0</v>
          </cell>
          <cell r="CC131"/>
          <cell r="CD131"/>
          <cell r="CE131"/>
          <cell r="CF131"/>
          <cell r="CG131">
            <v>0</v>
          </cell>
          <cell r="CH131"/>
          <cell r="CI131"/>
          <cell r="CJ131"/>
          <cell r="CK131"/>
          <cell r="CL131">
            <v>0</v>
          </cell>
          <cell r="CM131"/>
          <cell r="CN131"/>
          <cell r="CO131"/>
          <cell r="CP131"/>
          <cell r="CQ131">
            <v>0</v>
          </cell>
          <cell r="CR131"/>
          <cell r="CS131"/>
          <cell r="CT131"/>
          <cell r="CU131"/>
          <cell r="CV131">
            <v>0</v>
          </cell>
          <cell r="CW131">
            <v>0</v>
          </cell>
          <cell r="CX131">
            <v>0</v>
          </cell>
          <cell r="CY131">
            <v>0</v>
          </cell>
        </row>
        <row r="132">
          <cell r="B132" t="str">
            <v>Sales - % Argentina</v>
          </cell>
          <cell r="C132" t="str">
            <v>SALES_ARGENTINA</v>
          </cell>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v>3.7077180978579885E-4</v>
          </cell>
          <cell r="BD132"/>
          <cell r="BE132"/>
          <cell r="BF132"/>
          <cell r="BG132"/>
          <cell r="BH132">
            <v>4.1517561934098431E-4</v>
          </cell>
          <cell r="BI132"/>
          <cell r="BJ132"/>
          <cell r="BK132"/>
          <cell r="BL132"/>
          <cell r="BM132">
            <v>5.3062552418446662E-4</v>
          </cell>
          <cell r="BN132"/>
          <cell r="BO132"/>
          <cell r="BP132"/>
          <cell r="BQ132"/>
          <cell r="BR132">
            <v>4.9954285749583677E-4</v>
          </cell>
          <cell r="BS132"/>
          <cell r="BT132"/>
          <cell r="BU132"/>
          <cell r="BV132"/>
          <cell r="BW132">
            <v>4.1073523838546579E-4</v>
          </cell>
          <cell r="BX132"/>
          <cell r="BY132"/>
          <cell r="BZ132"/>
          <cell r="CA132"/>
          <cell r="CB132">
            <v>4.1073523838546579E-4</v>
          </cell>
          <cell r="CC132"/>
          <cell r="CD132"/>
          <cell r="CE132"/>
          <cell r="CF132"/>
          <cell r="CG132">
            <v>4.1073523838546579E-4</v>
          </cell>
          <cell r="CH132"/>
          <cell r="CI132"/>
          <cell r="CJ132"/>
          <cell r="CK132"/>
          <cell r="CL132">
            <v>4.1073523838546579E-4</v>
          </cell>
          <cell r="CM132"/>
          <cell r="CN132"/>
          <cell r="CO132"/>
          <cell r="CP132"/>
          <cell r="CQ132">
            <v>4.1073523838546579E-4</v>
          </cell>
          <cell r="CR132"/>
          <cell r="CS132"/>
          <cell r="CT132"/>
          <cell r="CU132"/>
          <cell r="CV132">
            <v>4.1073523838546579E-4</v>
          </cell>
          <cell r="CW132">
            <v>4.1073523838546579E-4</v>
          </cell>
          <cell r="CX132">
            <v>4.1073523838546579E-4</v>
          </cell>
          <cell r="CY132">
            <v>4.1073523838546579E-4</v>
          </cell>
        </row>
        <row r="133">
          <cell r="B133" t="str">
            <v>Sales - % Brazil</v>
          </cell>
          <cell r="C133" t="str">
            <v>SALES_BRAZIL</v>
          </cell>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v>6.2677053824362602E-2</v>
          </cell>
          <cell r="AY133"/>
          <cell r="AZ133"/>
          <cell r="BA133"/>
          <cell r="BB133"/>
          <cell r="BC133">
            <v>1.9094748203968642E-2</v>
          </cell>
          <cell r="BD133"/>
          <cell r="BE133"/>
          <cell r="BF133"/>
          <cell r="BG133"/>
          <cell r="BH133">
            <v>2.1381544396060694E-2</v>
          </cell>
          <cell r="BI133"/>
          <cell r="BJ133"/>
          <cell r="BK133"/>
          <cell r="BL133"/>
          <cell r="BM133">
            <v>2.7327214495500032E-2</v>
          </cell>
          <cell r="BN133"/>
          <cell r="BO133"/>
          <cell r="BP133"/>
          <cell r="BQ133"/>
          <cell r="BR133">
            <v>2.5726457161035596E-2</v>
          </cell>
          <cell r="BS133"/>
          <cell r="BT133"/>
          <cell r="BU133"/>
          <cell r="BV133"/>
          <cell r="BW133">
            <v>2.115286477685149E-2</v>
          </cell>
          <cell r="BX133"/>
          <cell r="BY133"/>
          <cell r="BZ133"/>
          <cell r="CA133"/>
          <cell r="CB133">
            <v>2.115286477685149E-2</v>
          </cell>
          <cell r="CC133"/>
          <cell r="CD133"/>
          <cell r="CE133"/>
          <cell r="CF133"/>
          <cell r="CG133">
            <v>2.115286477685149E-2</v>
          </cell>
          <cell r="CH133"/>
          <cell r="CI133"/>
          <cell r="CJ133"/>
          <cell r="CK133"/>
          <cell r="CL133">
            <v>2.115286477685149E-2</v>
          </cell>
          <cell r="CM133"/>
          <cell r="CN133"/>
          <cell r="CO133"/>
          <cell r="CP133"/>
          <cell r="CQ133">
            <v>2.115286477685149E-2</v>
          </cell>
          <cell r="CR133"/>
          <cell r="CS133"/>
          <cell r="CT133"/>
          <cell r="CU133"/>
          <cell r="CV133">
            <v>2.115286477685149E-2</v>
          </cell>
          <cell r="CW133">
            <v>2.115286477685149E-2</v>
          </cell>
          <cell r="CX133">
            <v>2.115286477685149E-2</v>
          </cell>
          <cell r="CY133">
            <v>2.115286477685149E-2</v>
          </cell>
        </row>
        <row r="134">
          <cell r="B134" t="str">
            <v>Sales - % Chile</v>
          </cell>
          <cell r="C134" t="str">
            <v>SALES_CHILE</v>
          </cell>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v>1.2977013342502957E-2</v>
          </cell>
          <cell r="BD134"/>
          <cell r="BE134"/>
          <cell r="BF134"/>
          <cell r="BG134"/>
          <cell r="BH134">
            <v>1.4531146676934449E-2</v>
          </cell>
          <cell r="BI134"/>
          <cell r="BJ134"/>
          <cell r="BK134"/>
          <cell r="BL134"/>
          <cell r="BM134">
            <v>1.8571893346456328E-2</v>
          </cell>
          <cell r="BN134"/>
          <cell r="BO134"/>
          <cell r="BP134"/>
          <cell r="BQ134"/>
          <cell r="BR134">
            <v>1.7484000012354284E-2</v>
          </cell>
          <cell r="BS134"/>
          <cell r="BT134"/>
          <cell r="BU134"/>
          <cell r="BV134"/>
          <cell r="BW134">
            <v>1.43757333434913E-2</v>
          </cell>
          <cell r="BX134"/>
          <cell r="BY134"/>
          <cell r="BZ134"/>
          <cell r="CA134"/>
          <cell r="CB134">
            <v>1.43757333434913E-2</v>
          </cell>
          <cell r="CC134"/>
          <cell r="CD134"/>
          <cell r="CE134"/>
          <cell r="CF134"/>
          <cell r="CG134">
            <v>1.43757333434913E-2</v>
          </cell>
          <cell r="CH134"/>
          <cell r="CI134"/>
          <cell r="CJ134"/>
          <cell r="CK134"/>
          <cell r="CL134">
            <v>1.43757333434913E-2</v>
          </cell>
          <cell r="CM134"/>
          <cell r="CN134"/>
          <cell r="CO134"/>
          <cell r="CP134"/>
          <cell r="CQ134">
            <v>1.43757333434913E-2</v>
          </cell>
          <cell r="CR134"/>
          <cell r="CS134"/>
          <cell r="CT134"/>
          <cell r="CU134"/>
          <cell r="CV134">
            <v>1.43757333434913E-2</v>
          </cell>
          <cell r="CW134">
            <v>1.43757333434913E-2</v>
          </cell>
          <cell r="CX134">
            <v>1.43757333434913E-2</v>
          </cell>
          <cell r="CY134">
            <v>1.43757333434913E-2</v>
          </cell>
        </row>
        <row r="135">
          <cell r="B135" t="str">
            <v>Sales - % Colombia</v>
          </cell>
          <cell r="C135" t="str">
            <v>SALES_COLOMBIA</v>
          </cell>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v>8.5277516250733734E-3</v>
          </cell>
          <cell r="BD135"/>
          <cell r="BE135"/>
          <cell r="BF135"/>
          <cell r="BG135"/>
          <cell r="BH135">
            <v>9.5490392448426397E-3</v>
          </cell>
          <cell r="BI135"/>
          <cell r="BJ135"/>
          <cell r="BK135"/>
          <cell r="BL135"/>
          <cell r="BM135">
            <v>1.2204387056242732E-2</v>
          </cell>
          <cell r="BN135"/>
          <cell r="BO135"/>
          <cell r="BP135"/>
          <cell r="BQ135"/>
          <cell r="BR135">
            <v>1.1489485722404246E-2</v>
          </cell>
          <cell r="BS135"/>
          <cell r="BT135"/>
          <cell r="BU135"/>
          <cell r="BV135"/>
          <cell r="BW135">
            <v>9.4469104828657138E-3</v>
          </cell>
          <cell r="BX135"/>
          <cell r="BY135"/>
          <cell r="BZ135"/>
          <cell r="CA135"/>
          <cell r="CB135">
            <v>9.4469104828657138E-3</v>
          </cell>
          <cell r="CC135"/>
          <cell r="CD135"/>
          <cell r="CE135"/>
          <cell r="CF135"/>
          <cell r="CG135">
            <v>9.4469104828657138E-3</v>
          </cell>
          <cell r="CH135"/>
          <cell r="CI135"/>
          <cell r="CJ135"/>
          <cell r="CK135"/>
          <cell r="CL135">
            <v>9.4469104828657138E-3</v>
          </cell>
          <cell r="CM135"/>
          <cell r="CN135"/>
          <cell r="CO135"/>
          <cell r="CP135"/>
          <cell r="CQ135">
            <v>9.4469104828657138E-3</v>
          </cell>
          <cell r="CR135"/>
          <cell r="CS135"/>
          <cell r="CT135"/>
          <cell r="CU135"/>
          <cell r="CV135">
            <v>9.4469104828657138E-3</v>
          </cell>
          <cell r="CW135">
            <v>9.4469104828657138E-3</v>
          </cell>
          <cell r="CX135">
            <v>9.4469104828657138E-3</v>
          </cell>
          <cell r="CY135">
            <v>9.4469104828657138E-3</v>
          </cell>
        </row>
        <row r="136">
          <cell r="B136" t="str">
            <v>Sales - % Mexico</v>
          </cell>
          <cell r="C136" t="str">
            <v>SALES_MEXICO</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v>1.0937768388681065E-2</v>
          </cell>
          <cell r="BD136"/>
          <cell r="BE136"/>
          <cell r="BF136"/>
          <cell r="BG136"/>
          <cell r="BH136">
            <v>1.2247680770559037E-2</v>
          </cell>
          <cell r="BI136"/>
          <cell r="BJ136"/>
          <cell r="BK136"/>
          <cell r="BL136"/>
          <cell r="BM136">
            <v>1.5653452963441762E-2</v>
          </cell>
          <cell r="BN136"/>
          <cell r="BO136"/>
          <cell r="BP136"/>
          <cell r="BQ136"/>
          <cell r="BR136">
            <v>1.4736514296127183E-2</v>
          </cell>
          <cell r="BS136"/>
          <cell r="BT136"/>
          <cell r="BU136"/>
          <cell r="BV136"/>
          <cell r="BW136">
            <v>1.2116689532371239E-2</v>
          </cell>
          <cell r="BX136"/>
          <cell r="BY136"/>
          <cell r="BZ136"/>
          <cell r="CA136"/>
          <cell r="CB136">
            <v>1.2116689532371239E-2</v>
          </cell>
          <cell r="CC136"/>
          <cell r="CD136"/>
          <cell r="CE136"/>
          <cell r="CF136"/>
          <cell r="CG136">
            <v>1.2116689532371239E-2</v>
          </cell>
          <cell r="CH136"/>
          <cell r="CI136"/>
          <cell r="CJ136"/>
          <cell r="CK136"/>
          <cell r="CL136">
            <v>1.2116689532371239E-2</v>
          </cell>
          <cell r="CM136"/>
          <cell r="CN136"/>
          <cell r="CO136"/>
          <cell r="CP136"/>
          <cell r="CQ136">
            <v>1.2116689532371239E-2</v>
          </cell>
          <cell r="CR136"/>
          <cell r="CS136"/>
          <cell r="CT136"/>
          <cell r="CU136"/>
          <cell r="CV136">
            <v>1.2116689532371239E-2</v>
          </cell>
          <cell r="CW136">
            <v>1.2116689532371239E-2</v>
          </cell>
          <cell r="CX136">
            <v>1.2116689532371239E-2</v>
          </cell>
          <cell r="CY136">
            <v>1.2116689532371239E-2</v>
          </cell>
        </row>
        <row r="137">
          <cell r="B137" t="str">
            <v>Sales - % Venezuela</v>
          </cell>
          <cell r="C137" t="str">
            <v>SALES_VENEZUELA</v>
          </cell>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v>0</v>
          </cell>
          <cell r="BD137"/>
          <cell r="BE137"/>
          <cell r="BF137"/>
          <cell r="BG137"/>
          <cell r="BH137">
            <v>0</v>
          </cell>
          <cell r="BI137"/>
          <cell r="BJ137"/>
          <cell r="BK137"/>
          <cell r="BL137"/>
          <cell r="BM137">
            <v>0</v>
          </cell>
          <cell r="BN137"/>
          <cell r="BO137"/>
          <cell r="BP137"/>
          <cell r="BQ137"/>
          <cell r="BR137">
            <v>0</v>
          </cell>
          <cell r="BS137"/>
          <cell r="BT137"/>
          <cell r="BU137"/>
          <cell r="BV137"/>
          <cell r="BW137">
            <v>0</v>
          </cell>
          <cell r="BX137"/>
          <cell r="BY137"/>
          <cell r="BZ137"/>
          <cell r="CA137"/>
          <cell r="CB137">
            <v>0</v>
          </cell>
          <cell r="CC137"/>
          <cell r="CD137"/>
          <cell r="CE137"/>
          <cell r="CF137"/>
          <cell r="CG137">
            <v>0</v>
          </cell>
          <cell r="CH137"/>
          <cell r="CI137"/>
          <cell r="CJ137"/>
          <cell r="CK137"/>
          <cell r="CL137">
            <v>0</v>
          </cell>
          <cell r="CM137"/>
          <cell r="CN137"/>
          <cell r="CO137"/>
          <cell r="CP137"/>
          <cell r="CQ137">
            <v>0</v>
          </cell>
          <cell r="CR137"/>
          <cell r="CS137"/>
          <cell r="CT137"/>
          <cell r="CU137"/>
          <cell r="CV137">
            <v>0</v>
          </cell>
          <cell r="CW137">
            <v>0</v>
          </cell>
          <cell r="CX137">
            <v>0</v>
          </cell>
          <cell r="CY137">
            <v>0</v>
          </cell>
        </row>
        <row r="138">
          <cell r="B138" t="str">
            <v>Sales - % Other Latin Americas</v>
          </cell>
          <cell r="C138" t="str">
            <v>SALES_OTH_LATAM</v>
          </cell>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v>4.6346476223224848E-3</v>
          </cell>
          <cell r="BD138"/>
          <cell r="BE138"/>
          <cell r="BF138"/>
          <cell r="BG138"/>
          <cell r="BH138">
            <v>5.1896952417623031E-3</v>
          </cell>
          <cell r="BI138"/>
          <cell r="BJ138"/>
          <cell r="BK138"/>
          <cell r="BL138"/>
          <cell r="BM138">
            <v>6.6328190523058314E-3</v>
          </cell>
          <cell r="BN138"/>
          <cell r="BO138"/>
          <cell r="BP138"/>
          <cell r="BQ138"/>
          <cell r="BR138">
            <v>6.2442857186979592E-3</v>
          </cell>
          <cell r="BS138"/>
          <cell r="BT138"/>
          <cell r="BU138"/>
          <cell r="BV138"/>
          <cell r="BW138">
            <v>5.1341904798183216E-3</v>
          </cell>
          <cell r="BX138"/>
          <cell r="BY138"/>
          <cell r="BZ138"/>
          <cell r="CA138"/>
          <cell r="CB138">
            <v>5.1341904798183216E-3</v>
          </cell>
          <cell r="CC138"/>
          <cell r="CD138"/>
          <cell r="CE138"/>
          <cell r="CF138"/>
          <cell r="CG138">
            <v>5.1341904798183216E-3</v>
          </cell>
          <cell r="CH138"/>
          <cell r="CI138"/>
          <cell r="CJ138"/>
          <cell r="CK138"/>
          <cell r="CL138">
            <v>5.1341904798183216E-3</v>
          </cell>
          <cell r="CM138"/>
          <cell r="CN138"/>
          <cell r="CO138"/>
          <cell r="CP138"/>
          <cell r="CQ138">
            <v>5.1341904798183216E-3</v>
          </cell>
          <cell r="CR138"/>
          <cell r="CS138"/>
          <cell r="CT138"/>
          <cell r="CU138"/>
          <cell r="CV138">
            <v>5.1341904798183216E-3</v>
          </cell>
          <cell r="CW138">
            <v>5.1341904798183216E-3</v>
          </cell>
          <cell r="CX138">
            <v>5.1341904798183216E-3</v>
          </cell>
          <cell r="CY138">
            <v>5.1341904798183216E-3</v>
          </cell>
        </row>
        <row r="139">
          <cell r="B139" t="str">
            <v>Sales - % Austria</v>
          </cell>
          <cell r="C139" t="str">
            <v>SALES_AUSTRIA</v>
          </cell>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v>2.0730388404969387E-3</v>
          </cell>
          <cell r="BD139"/>
          <cell r="BE139"/>
          <cell r="BF139"/>
          <cell r="BG139"/>
          <cell r="BH139">
            <v>1.9504083738759931E-3</v>
          </cell>
          <cell r="BI139"/>
          <cell r="BJ139"/>
          <cell r="BK139"/>
          <cell r="BL139"/>
          <cell r="BM139">
            <v>1.8160988151959096E-3</v>
          </cell>
          <cell r="BN139"/>
          <cell r="BO139"/>
          <cell r="BP139"/>
          <cell r="BQ139"/>
          <cell r="BR139">
            <v>1.8744942754915983E-3</v>
          </cell>
          <cell r="BS139"/>
          <cell r="BT139"/>
          <cell r="BU139"/>
          <cell r="BV139"/>
          <cell r="BW139">
            <v>1.4832446915104859E-3</v>
          </cell>
          <cell r="BX139"/>
          <cell r="BY139"/>
          <cell r="BZ139"/>
          <cell r="CA139"/>
          <cell r="CB139">
            <v>1.4832446915104859E-3</v>
          </cell>
          <cell r="CC139"/>
          <cell r="CD139"/>
          <cell r="CE139"/>
          <cell r="CF139"/>
          <cell r="CG139">
            <v>1.4832446915104859E-3</v>
          </cell>
          <cell r="CH139"/>
          <cell r="CI139"/>
          <cell r="CJ139"/>
          <cell r="CK139"/>
          <cell r="CL139">
            <v>1.4832446915104859E-3</v>
          </cell>
          <cell r="CM139"/>
          <cell r="CN139"/>
          <cell r="CO139"/>
          <cell r="CP139"/>
          <cell r="CQ139">
            <v>1.4832446915104859E-3</v>
          </cell>
          <cell r="CR139"/>
          <cell r="CS139"/>
          <cell r="CT139"/>
          <cell r="CU139"/>
          <cell r="CV139">
            <v>1.4832446915104859E-3</v>
          </cell>
          <cell r="CW139">
            <v>1.4832446915104859E-3</v>
          </cell>
          <cell r="CX139">
            <v>1.4832446915104859E-3</v>
          </cell>
          <cell r="CY139">
            <v>1.4832446915104859E-3</v>
          </cell>
        </row>
        <row r="140">
          <cell r="B140" t="str">
            <v>Sales - % Belgium</v>
          </cell>
          <cell r="C140" t="str">
            <v>SALES_BEL</v>
          </cell>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v>2.96148405785277E-4</v>
          </cell>
          <cell r="BD140"/>
          <cell r="BE140"/>
          <cell r="BF140"/>
          <cell r="BG140"/>
          <cell r="BH140">
            <v>2.7862976769657045E-4</v>
          </cell>
          <cell r="BI140"/>
          <cell r="BJ140"/>
          <cell r="BK140"/>
          <cell r="BL140"/>
          <cell r="BM140">
            <v>2.5944268788512996E-4</v>
          </cell>
          <cell r="BN140"/>
          <cell r="BO140"/>
          <cell r="BP140"/>
          <cell r="BQ140"/>
          <cell r="BR140">
            <v>2.6778489649879975E-4</v>
          </cell>
          <cell r="BS140"/>
          <cell r="BT140"/>
          <cell r="BU140"/>
          <cell r="BV140"/>
          <cell r="BW140">
            <v>2.1189209878721225E-4</v>
          </cell>
          <cell r="BX140"/>
          <cell r="BY140"/>
          <cell r="BZ140"/>
          <cell r="CA140"/>
          <cell r="CB140">
            <v>2.1189209878721225E-4</v>
          </cell>
          <cell r="CC140"/>
          <cell r="CD140"/>
          <cell r="CE140"/>
          <cell r="CF140"/>
          <cell r="CG140">
            <v>2.1189209878721225E-4</v>
          </cell>
          <cell r="CH140"/>
          <cell r="CI140"/>
          <cell r="CJ140"/>
          <cell r="CK140"/>
          <cell r="CL140">
            <v>2.1189209878721225E-4</v>
          </cell>
          <cell r="CM140"/>
          <cell r="CN140"/>
          <cell r="CO140"/>
          <cell r="CP140"/>
          <cell r="CQ140">
            <v>2.1189209878721225E-4</v>
          </cell>
          <cell r="CR140"/>
          <cell r="CS140"/>
          <cell r="CT140"/>
          <cell r="CU140"/>
          <cell r="CV140">
            <v>2.1189209878721225E-4</v>
          </cell>
          <cell r="CW140">
            <v>2.1189209878721225E-4</v>
          </cell>
          <cell r="CX140">
            <v>2.1189209878721225E-4</v>
          </cell>
          <cell r="CY140">
            <v>2.1189209878721225E-4</v>
          </cell>
        </row>
        <row r="141">
          <cell r="B141" t="str">
            <v>Sales - % France</v>
          </cell>
          <cell r="C141" t="str">
            <v>SALES_FRA</v>
          </cell>
          <cell r="F141"/>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v>8.2949716713881017E-2</v>
          </cell>
          <cell r="AY141"/>
          <cell r="AZ141"/>
          <cell r="BA141"/>
          <cell r="BB141"/>
          <cell r="BC141">
            <v>7.5173060727161303E-2</v>
          </cell>
          <cell r="BD141"/>
          <cell r="BE141"/>
          <cell r="BF141"/>
          <cell r="BG141"/>
          <cell r="BH141">
            <v>7.0726203613723587E-2</v>
          </cell>
          <cell r="BI141"/>
          <cell r="BJ141"/>
          <cell r="BK141"/>
          <cell r="BL141"/>
          <cell r="BM141">
            <v>6.5855836299006099E-2</v>
          </cell>
          <cell r="BN141"/>
          <cell r="BO141"/>
          <cell r="BP141"/>
          <cell r="BQ141"/>
          <cell r="BR141">
            <v>6.7973387305405017E-2</v>
          </cell>
          <cell r="BS141"/>
          <cell r="BT141"/>
          <cell r="BU141"/>
          <cell r="BV141"/>
          <cell r="BW141">
            <v>5.3785795562532317E-2</v>
          </cell>
          <cell r="BX141"/>
          <cell r="BY141"/>
          <cell r="BZ141"/>
          <cell r="CA141"/>
          <cell r="CB141">
            <v>5.3785795562532317E-2</v>
          </cell>
          <cell r="CC141"/>
          <cell r="CD141"/>
          <cell r="CE141"/>
          <cell r="CF141"/>
          <cell r="CG141">
            <v>5.3785795562532317E-2</v>
          </cell>
          <cell r="CH141"/>
          <cell r="CI141"/>
          <cell r="CJ141"/>
          <cell r="CK141"/>
          <cell r="CL141">
            <v>5.3785795562532317E-2</v>
          </cell>
          <cell r="CM141"/>
          <cell r="CN141"/>
          <cell r="CO141"/>
          <cell r="CP141"/>
          <cell r="CQ141">
            <v>5.3785795562532317E-2</v>
          </cell>
          <cell r="CR141"/>
          <cell r="CS141"/>
          <cell r="CT141"/>
          <cell r="CU141"/>
          <cell r="CV141">
            <v>5.3785795562532317E-2</v>
          </cell>
          <cell r="CW141">
            <v>5.3785795562532317E-2</v>
          </cell>
          <cell r="CX141">
            <v>5.3785795562532317E-2</v>
          </cell>
          <cell r="CY141">
            <v>5.3785795562532317E-2</v>
          </cell>
        </row>
        <row r="142">
          <cell r="B142" t="str">
            <v>Sales - % Germany</v>
          </cell>
          <cell r="C142" t="str">
            <v>SALES_GER</v>
          </cell>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v>9.261685552407932E-2</v>
          </cell>
          <cell r="AY142"/>
          <cell r="AZ142"/>
          <cell r="BA142"/>
          <cell r="BB142"/>
          <cell r="BC142">
            <v>7.786906709697565E-2</v>
          </cell>
          <cell r="BD142"/>
          <cell r="BE142"/>
          <cell r="BF142"/>
          <cell r="BG142"/>
          <cell r="BH142">
            <v>7.3262727916591178E-2</v>
          </cell>
          <cell r="BI142"/>
          <cell r="BJ142"/>
          <cell r="BK142"/>
          <cell r="BL142"/>
          <cell r="BM142">
            <v>6.8217689766646272E-2</v>
          </cell>
          <cell r="BN142"/>
          <cell r="BO142"/>
          <cell r="BP142"/>
          <cell r="BQ142"/>
          <cell r="BR142">
            <v>7.041118461444841E-2</v>
          </cell>
          <cell r="BS142"/>
          <cell r="BT142"/>
          <cell r="BU142"/>
          <cell r="BV142"/>
          <cell r="BW142">
            <v>5.5714769134174127E-2</v>
          </cell>
          <cell r="BX142"/>
          <cell r="BY142"/>
          <cell r="BZ142"/>
          <cell r="CA142"/>
          <cell r="CB142">
            <v>5.5714769134174127E-2</v>
          </cell>
          <cell r="CC142"/>
          <cell r="CD142"/>
          <cell r="CE142"/>
          <cell r="CF142"/>
          <cell r="CG142">
            <v>5.5714769134174127E-2</v>
          </cell>
          <cell r="CH142"/>
          <cell r="CI142"/>
          <cell r="CJ142"/>
          <cell r="CK142"/>
          <cell r="CL142">
            <v>5.5714769134174127E-2</v>
          </cell>
          <cell r="CM142"/>
          <cell r="CN142"/>
          <cell r="CO142"/>
          <cell r="CP142"/>
          <cell r="CQ142">
            <v>5.5714769134174127E-2</v>
          </cell>
          <cell r="CR142"/>
          <cell r="CS142"/>
          <cell r="CT142"/>
          <cell r="CU142"/>
          <cell r="CV142">
            <v>5.5714769134174127E-2</v>
          </cell>
          <cell r="CW142">
            <v>5.5714769134174127E-2</v>
          </cell>
          <cell r="CX142">
            <v>5.5714769134174127E-2</v>
          </cell>
          <cell r="CY142">
            <v>5.5714769134174127E-2</v>
          </cell>
        </row>
        <row r="143">
          <cell r="B143" t="str">
            <v>Sales - % Greece</v>
          </cell>
          <cell r="C143" t="str">
            <v>SALES_GRE</v>
          </cell>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cell r="AX143"/>
          <cell r="AY143"/>
          <cell r="AZ143"/>
          <cell r="BA143"/>
          <cell r="BB143"/>
          <cell r="BC143">
            <v>1.0365194202484693E-3</v>
          </cell>
          <cell r="BD143"/>
          <cell r="BE143"/>
          <cell r="BF143"/>
          <cell r="BG143"/>
          <cell r="BH143">
            <v>9.7520418693799657E-4</v>
          </cell>
          <cell r="BI143"/>
          <cell r="BJ143"/>
          <cell r="BK143"/>
          <cell r="BL143"/>
          <cell r="BM143">
            <v>9.0804940759795481E-4</v>
          </cell>
          <cell r="BN143"/>
          <cell r="BO143"/>
          <cell r="BP143"/>
          <cell r="BQ143"/>
          <cell r="BR143">
            <v>9.3724713774579914E-4</v>
          </cell>
          <cell r="BS143"/>
          <cell r="BT143"/>
          <cell r="BU143"/>
          <cell r="BV143"/>
          <cell r="BW143">
            <v>7.4162234575524295E-4</v>
          </cell>
          <cell r="BX143"/>
          <cell r="BY143"/>
          <cell r="BZ143"/>
          <cell r="CA143"/>
          <cell r="CB143">
            <v>7.4162234575524295E-4</v>
          </cell>
          <cell r="CC143"/>
          <cell r="CD143"/>
          <cell r="CE143"/>
          <cell r="CF143"/>
          <cell r="CG143">
            <v>7.4162234575524295E-4</v>
          </cell>
          <cell r="CH143"/>
          <cell r="CI143"/>
          <cell r="CJ143"/>
          <cell r="CK143"/>
          <cell r="CL143">
            <v>7.4162234575524295E-4</v>
          </cell>
          <cell r="CM143"/>
          <cell r="CN143"/>
          <cell r="CO143"/>
          <cell r="CP143"/>
          <cell r="CQ143">
            <v>7.4162234575524295E-4</v>
          </cell>
          <cell r="CR143"/>
          <cell r="CS143"/>
          <cell r="CT143"/>
          <cell r="CU143"/>
          <cell r="CV143">
            <v>7.4162234575524295E-4</v>
          </cell>
          <cell r="CW143">
            <v>7.4162234575524295E-4</v>
          </cell>
          <cell r="CX143">
            <v>7.4162234575524295E-4</v>
          </cell>
          <cell r="CY143">
            <v>7.4162234575524295E-4</v>
          </cell>
        </row>
        <row r="144">
          <cell r="B144" t="str">
            <v>Sales - % Ireland</v>
          </cell>
          <cell r="C144" t="str">
            <v>SALES_IRE</v>
          </cell>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cell r="AW144"/>
          <cell r="AX144"/>
          <cell r="AY144"/>
          <cell r="AZ144"/>
          <cell r="BA144"/>
          <cell r="BB144"/>
          <cell r="BC144">
            <v>7.4037101446319234E-4</v>
          </cell>
          <cell r="BD144"/>
          <cell r="BE144"/>
          <cell r="BF144"/>
          <cell r="BG144"/>
          <cell r="BH144">
            <v>6.9657441924142601E-4</v>
          </cell>
          <cell r="BI144"/>
          <cell r="BJ144"/>
          <cell r="BK144"/>
          <cell r="BL144"/>
          <cell r="BM144">
            <v>6.4860671971282485E-4</v>
          </cell>
          <cell r="BN144"/>
          <cell r="BO144"/>
          <cell r="BP144"/>
          <cell r="BQ144"/>
          <cell r="BR144">
            <v>6.6946224124699938E-4</v>
          </cell>
          <cell r="BS144"/>
          <cell r="BT144"/>
          <cell r="BU144"/>
          <cell r="BV144"/>
          <cell r="BW144">
            <v>5.2973024696803062E-4</v>
          </cell>
          <cell r="BX144"/>
          <cell r="BY144"/>
          <cell r="BZ144"/>
          <cell r="CA144"/>
          <cell r="CB144">
            <v>5.2973024696803062E-4</v>
          </cell>
          <cell r="CC144"/>
          <cell r="CD144"/>
          <cell r="CE144"/>
          <cell r="CF144"/>
          <cell r="CG144">
            <v>5.2973024696803062E-4</v>
          </cell>
          <cell r="CH144"/>
          <cell r="CI144"/>
          <cell r="CJ144"/>
          <cell r="CK144"/>
          <cell r="CL144">
            <v>5.2973024696803062E-4</v>
          </cell>
          <cell r="CM144"/>
          <cell r="CN144"/>
          <cell r="CO144"/>
          <cell r="CP144"/>
          <cell r="CQ144">
            <v>5.2973024696803062E-4</v>
          </cell>
          <cell r="CR144"/>
          <cell r="CS144"/>
          <cell r="CT144"/>
          <cell r="CU144"/>
          <cell r="CV144">
            <v>5.2973024696803062E-4</v>
          </cell>
          <cell r="CW144">
            <v>5.2973024696803062E-4</v>
          </cell>
          <cell r="CX144">
            <v>5.2973024696803062E-4</v>
          </cell>
          <cell r="CY144">
            <v>5.2973024696803062E-4</v>
          </cell>
        </row>
        <row r="145">
          <cell r="B145" t="str">
            <v>Sales - % Italy</v>
          </cell>
          <cell r="C145" t="str">
            <v>SALES_ITA</v>
          </cell>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v>4.4422260867791547E-3</v>
          </cell>
          <cell r="BD145"/>
          <cell r="BE145"/>
          <cell r="BF145"/>
          <cell r="BG145"/>
          <cell r="BH145">
            <v>4.179446515448557E-3</v>
          </cell>
          <cell r="BI145"/>
          <cell r="BJ145"/>
          <cell r="BK145"/>
          <cell r="BL145"/>
          <cell r="BM145">
            <v>3.8916403182769495E-3</v>
          </cell>
          <cell r="BN145"/>
          <cell r="BO145"/>
          <cell r="BP145"/>
          <cell r="BQ145"/>
          <cell r="BR145">
            <v>4.0167734474819963E-3</v>
          </cell>
          <cell r="BS145"/>
          <cell r="BT145"/>
          <cell r="BU145"/>
          <cell r="BV145"/>
          <cell r="BW145">
            <v>3.1783814818081837E-3</v>
          </cell>
          <cell r="BX145"/>
          <cell r="BY145"/>
          <cell r="BZ145"/>
          <cell r="CA145"/>
          <cell r="CB145">
            <v>3.1783814818081837E-3</v>
          </cell>
          <cell r="CC145"/>
          <cell r="CD145"/>
          <cell r="CE145"/>
          <cell r="CF145"/>
          <cell r="CG145">
            <v>3.1783814818081837E-3</v>
          </cell>
          <cell r="CH145"/>
          <cell r="CI145"/>
          <cell r="CJ145"/>
          <cell r="CK145"/>
          <cell r="CL145">
            <v>3.1783814818081837E-3</v>
          </cell>
          <cell r="CM145"/>
          <cell r="CN145"/>
          <cell r="CO145"/>
          <cell r="CP145"/>
          <cell r="CQ145">
            <v>3.1783814818081837E-3</v>
          </cell>
          <cell r="CR145"/>
          <cell r="CS145"/>
          <cell r="CT145"/>
          <cell r="CU145"/>
          <cell r="CV145">
            <v>3.1783814818081837E-3</v>
          </cell>
          <cell r="CW145">
            <v>3.1783814818081837E-3</v>
          </cell>
          <cell r="CX145">
            <v>3.1783814818081837E-3</v>
          </cell>
          <cell r="CY145">
            <v>3.1783814818081837E-3</v>
          </cell>
        </row>
        <row r="146">
          <cell r="B146" t="str">
            <v>Sales - % Netherlands</v>
          </cell>
          <cell r="C146" t="str">
            <v>SALES_NETH</v>
          </cell>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v>1.0365194202484693E-3</v>
          </cell>
          <cell r="BD146"/>
          <cell r="BE146"/>
          <cell r="BF146"/>
          <cell r="BG146"/>
          <cell r="BH146">
            <v>9.7520418693799657E-4</v>
          </cell>
          <cell r="BI146"/>
          <cell r="BJ146"/>
          <cell r="BK146"/>
          <cell r="BL146"/>
          <cell r="BM146">
            <v>9.0804940759795481E-4</v>
          </cell>
          <cell r="BN146"/>
          <cell r="BO146"/>
          <cell r="BP146"/>
          <cell r="BQ146"/>
          <cell r="BR146">
            <v>9.3724713774579914E-4</v>
          </cell>
          <cell r="BS146"/>
          <cell r="BT146"/>
          <cell r="BU146"/>
          <cell r="BV146"/>
          <cell r="BW146">
            <v>7.4162234575524295E-4</v>
          </cell>
          <cell r="BX146"/>
          <cell r="BY146"/>
          <cell r="BZ146"/>
          <cell r="CA146"/>
          <cell r="CB146">
            <v>7.4162234575524295E-4</v>
          </cell>
          <cell r="CC146"/>
          <cell r="CD146"/>
          <cell r="CE146"/>
          <cell r="CF146"/>
          <cell r="CG146">
            <v>7.4162234575524295E-4</v>
          </cell>
          <cell r="CH146"/>
          <cell r="CI146"/>
          <cell r="CJ146"/>
          <cell r="CK146"/>
          <cell r="CL146">
            <v>7.4162234575524295E-4</v>
          </cell>
          <cell r="CM146"/>
          <cell r="CN146"/>
          <cell r="CO146"/>
          <cell r="CP146"/>
          <cell r="CQ146">
            <v>7.4162234575524295E-4</v>
          </cell>
          <cell r="CR146"/>
          <cell r="CS146"/>
          <cell r="CT146"/>
          <cell r="CU146"/>
          <cell r="CV146">
            <v>7.4162234575524295E-4</v>
          </cell>
          <cell r="CW146">
            <v>7.4162234575524295E-4</v>
          </cell>
          <cell r="CX146">
            <v>7.4162234575524295E-4</v>
          </cell>
          <cell r="CY146">
            <v>7.4162234575524295E-4</v>
          </cell>
        </row>
        <row r="147">
          <cell r="B147" t="str">
            <v>Sales - % Norway</v>
          </cell>
          <cell r="C147" t="str">
            <v>SALES_NOR</v>
          </cell>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v>0</v>
          </cell>
          <cell r="BD147"/>
          <cell r="BE147"/>
          <cell r="BF147"/>
          <cell r="BG147"/>
          <cell r="BH147">
            <v>0</v>
          </cell>
          <cell r="BI147"/>
          <cell r="BJ147"/>
          <cell r="BK147"/>
          <cell r="BL147"/>
          <cell r="BM147">
            <v>0</v>
          </cell>
          <cell r="BN147"/>
          <cell r="BO147"/>
          <cell r="BP147"/>
          <cell r="BQ147"/>
          <cell r="BR147">
            <v>0</v>
          </cell>
          <cell r="BS147"/>
          <cell r="BT147"/>
          <cell r="BU147"/>
          <cell r="BV147"/>
          <cell r="BW147">
            <v>0</v>
          </cell>
          <cell r="BX147"/>
          <cell r="BY147"/>
          <cell r="BZ147"/>
          <cell r="CA147"/>
          <cell r="CB147">
            <v>0</v>
          </cell>
          <cell r="CC147"/>
          <cell r="CD147"/>
          <cell r="CE147"/>
          <cell r="CF147"/>
          <cell r="CG147">
            <v>0</v>
          </cell>
          <cell r="CH147"/>
          <cell r="CI147"/>
          <cell r="CJ147"/>
          <cell r="CK147"/>
          <cell r="CL147">
            <v>0</v>
          </cell>
          <cell r="CM147"/>
          <cell r="CN147"/>
          <cell r="CO147"/>
          <cell r="CP147"/>
          <cell r="CQ147">
            <v>0</v>
          </cell>
          <cell r="CR147"/>
          <cell r="CS147"/>
          <cell r="CT147"/>
          <cell r="CU147"/>
          <cell r="CV147">
            <v>0</v>
          </cell>
          <cell r="CW147">
            <v>0</v>
          </cell>
          <cell r="CX147">
            <v>0</v>
          </cell>
          <cell r="CY147">
            <v>0</v>
          </cell>
        </row>
        <row r="148">
          <cell r="B148" t="str">
            <v>Sales - % Portugal</v>
          </cell>
          <cell r="C148" t="str">
            <v>SALES_POR</v>
          </cell>
          <cell r="F148"/>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v>1.480742028926385E-4</v>
          </cell>
          <cell r="BD148"/>
          <cell r="BE148"/>
          <cell r="BF148"/>
          <cell r="BG148"/>
          <cell r="BH148">
            <v>1.3931488384828522E-4</v>
          </cell>
          <cell r="BI148"/>
          <cell r="BJ148"/>
          <cell r="BK148"/>
          <cell r="BL148"/>
          <cell r="BM148">
            <v>1.2972134394256498E-4</v>
          </cell>
          <cell r="BN148"/>
          <cell r="BO148"/>
          <cell r="BP148"/>
          <cell r="BQ148"/>
          <cell r="BR148">
            <v>1.3389244824939988E-4</v>
          </cell>
          <cell r="BS148"/>
          <cell r="BT148"/>
          <cell r="BU148"/>
          <cell r="BV148"/>
          <cell r="BW148">
            <v>1.0594604939360613E-4</v>
          </cell>
          <cell r="BX148"/>
          <cell r="BY148"/>
          <cell r="BZ148"/>
          <cell r="CA148"/>
          <cell r="CB148">
            <v>1.0594604939360613E-4</v>
          </cell>
          <cell r="CC148"/>
          <cell r="CD148"/>
          <cell r="CE148"/>
          <cell r="CF148"/>
          <cell r="CG148">
            <v>1.0594604939360613E-4</v>
          </cell>
          <cell r="CH148"/>
          <cell r="CI148"/>
          <cell r="CJ148"/>
          <cell r="CK148"/>
          <cell r="CL148">
            <v>1.0594604939360613E-4</v>
          </cell>
          <cell r="CM148"/>
          <cell r="CN148"/>
          <cell r="CO148"/>
          <cell r="CP148"/>
          <cell r="CQ148">
            <v>1.0594604939360613E-4</v>
          </cell>
          <cell r="CR148"/>
          <cell r="CS148"/>
          <cell r="CT148"/>
          <cell r="CU148"/>
          <cell r="CV148">
            <v>1.0594604939360613E-4</v>
          </cell>
          <cell r="CW148">
            <v>1.0594604939360613E-4</v>
          </cell>
          <cell r="CX148">
            <v>1.0594604939360613E-4</v>
          </cell>
          <cell r="CY148">
            <v>1.0594604939360613E-4</v>
          </cell>
        </row>
        <row r="149">
          <cell r="B149" t="str">
            <v>Sales - % Spain</v>
          </cell>
          <cell r="C149" t="str">
            <v>SALES_SPA</v>
          </cell>
          <cell r="F149"/>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v>1.1437677053824362E-2</v>
          </cell>
          <cell r="AY149"/>
          <cell r="AZ149"/>
          <cell r="BA149"/>
          <cell r="BB149"/>
          <cell r="BC149">
            <v>2.6137256559304104E-2</v>
          </cell>
          <cell r="BD149"/>
          <cell r="BE149"/>
          <cell r="BF149"/>
          <cell r="BG149"/>
          <cell r="BH149">
            <v>2.4591108988190339E-2</v>
          </cell>
          <cell r="BI149"/>
          <cell r="BJ149"/>
          <cell r="BK149"/>
          <cell r="BL149"/>
          <cell r="BM149">
            <v>2.2897709267446692E-2</v>
          </cell>
          <cell r="BN149"/>
          <cell r="BO149"/>
          <cell r="BP149"/>
          <cell r="BQ149"/>
          <cell r="BR149">
            <v>2.3633970015596105E-2</v>
          </cell>
          <cell r="BS149"/>
          <cell r="BT149"/>
          <cell r="BU149"/>
          <cell r="BV149"/>
          <cell r="BW149">
            <v>1.8701023002995049E-2</v>
          </cell>
          <cell r="BX149"/>
          <cell r="BY149"/>
          <cell r="BZ149"/>
          <cell r="CA149"/>
          <cell r="CB149">
            <v>1.8701023002995049E-2</v>
          </cell>
          <cell r="CC149"/>
          <cell r="CD149"/>
          <cell r="CE149"/>
          <cell r="CF149"/>
          <cell r="CG149">
            <v>1.8701023002995049E-2</v>
          </cell>
          <cell r="CH149"/>
          <cell r="CI149"/>
          <cell r="CJ149"/>
          <cell r="CK149"/>
          <cell r="CL149">
            <v>1.8701023002995049E-2</v>
          </cell>
          <cell r="CM149"/>
          <cell r="CN149"/>
          <cell r="CO149"/>
          <cell r="CP149"/>
          <cell r="CQ149">
            <v>1.8701023002995049E-2</v>
          </cell>
          <cell r="CR149"/>
          <cell r="CS149"/>
          <cell r="CT149"/>
          <cell r="CU149"/>
          <cell r="CV149">
            <v>1.8701023002995049E-2</v>
          </cell>
          <cell r="CW149">
            <v>1.8701023002995049E-2</v>
          </cell>
          <cell r="CX149">
            <v>1.8701023002995049E-2</v>
          </cell>
          <cell r="CY149">
            <v>1.8701023002995049E-2</v>
          </cell>
        </row>
        <row r="150">
          <cell r="B150" t="str">
            <v>Sales - % Sweden</v>
          </cell>
          <cell r="C150" t="str">
            <v>SALES_SWE</v>
          </cell>
          <cell r="F150"/>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v>0</v>
          </cell>
          <cell r="BD150"/>
          <cell r="BE150"/>
          <cell r="BF150"/>
          <cell r="BG150"/>
          <cell r="BH150">
            <v>0</v>
          </cell>
          <cell r="BI150"/>
          <cell r="BJ150"/>
          <cell r="BK150"/>
          <cell r="BL150"/>
          <cell r="BM150">
            <v>0</v>
          </cell>
          <cell r="BN150"/>
          <cell r="BO150"/>
          <cell r="BP150"/>
          <cell r="BQ150"/>
          <cell r="BR150">
            <v>0</v>
          </cell>
          <cell r="BS150"/>
          <cell r="BT150"/>
          <cell r="BU150"/>
          <cell r="BV150"/>
          <cell r="BW150">
            <v>0</v>
          </cell>
          <cell r="BX150"/>
          <cell r="BY150"/>
          <cell r="BZ150"/>
          <cell r="CA150"/>
          <cell r="CB150">
            <v>0</v>
          </cell>
          <cell r="CC150"/>
          <cell r="CD150"/>
          <cell r="CE150"/>
          <cell r="CF150"/>
          <cell r="CG150">
            <v>0</v>
          </cell>
          <cell r="CH150"/>
          <cell r="CI150"/>
          <cell r="CJ150"/>
          <cell r="CK150"/>
          <cell r="CL150">
            <v>0</v>
          </cell>
          <cell r="CM150"/>
          <cell r="CN150"/>
          <cell r="CO150"/>
          <cell r="CP150"/>
          <cell r="CQ150">
            <v>0</v>
          </cell>
          <cell r="CR150"/>
          <cell r="CS150"/>
          <cell r="CT150"/>
          <cell r="CU150"/>
          <cell r="CV150">
            <v>0</v>
          </cell>
          <cell r="CW150">
            <v>0</v>
          </cell>
          <cell r="CX150">
            <v>0</v>
          </cell>
          <cell r="CY150">
            <v>0</v>
          </cell>
        </row>
        <row r="151">
          <cell r="B151" t="str">
            <v>Sales - % Switzerland</v>
          </cell>
          <cell r="C151" t="str">
            <v>SALES_SWIT</v>
          </cell>
          <cell r="F151"/>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v>3.2576324636380467E-3</v>
          </cell>
          <cell r="BD151"/>
          <cell r="BE151"/>
          <cell r="BF151"/>
          <cell r="BG151"/>
          <cell r="BH151">
            <v>3.0649274446622747E-3</v>
          </cell>
          <cell r="BI151"/>
          <cell r="BJ151"/>
          <cell r="BK151"/>
          <cell r="BL151"/>
          <cell r="BM151">
            <v>2.8538695667364293E-3</v>
          </cell>
          <cell r="BN151"/>
          <cell r="BO151"/>
          <cell r="BP151"/>
          <cell r="BQ151"/>
          <cell r="BR151">
            <v>2.9456338614867973E-3</v>
          </cell>
          <cell r="BS151"/>
          <cell r="BT151"/>
          <cell r="BU151"/>
          <cell r="BV151"/>
          <cell r="BW151">
            <v>2.3308130866593348E-3</v>
          </cell>
          <cell r="BX151"/>
          <cell r="BY151"/>
          <cell r="BZ151"/>
          <cell r="CA151"/>
          <cell r="CB151">
            <v>2.3308130866593348E-3</v>
          </cell>
          <cell r="CC151"/>
          <cell r="CD151"/>
          <cell r="CE151"/>
          <cell r="CF151"/>
          <cell r="CG151">
            <v>2.3308130866593348E-3</v>
          </cell>
          <cell r="CH151"/>
          <cell r="CI151"/>
          <cell r="CJ151"/>
          <cell r="CK151"/>
          <cell r="CL151">
            <v>2.3308130866593348E-3</v>
          </cell>
          <cell r="CM151"/>
          <cell r="CN151"/>
          <cell r="CO151"/>
          <cell r="CP151"/>
          <cell r="CQ151">
            <v>2.3308130866593348E-3</v>
          </cell>
          <cell r="CR151"/>
          <cell r="CS151"/>
          <cell r="CT151"/>
          <cell r="CU151"/>
          <cell r="CV151">
            <v>2.3308130866593348E-3</v>
          </cell>
          <cell r="CW151">
            <v>2.3308130866593348E-3</v>
          </cell>
          <cell r="CX151">
            <v>2.3308130866593348E-3</v>
          </cell>
          <cell r="CY151">
            <v>2.3308130866593348E-3</v>
          </cell>
        </row>
        <row r="152">
          <cell r="B152" t="str">
            <v>Sales - % UK</v>
          </cell>
          <cell r="C152" t="str">
            <v>SALES_UK</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v>5.3851086809774538E-2</v>
          </cell>
          <cell r="AY152"/>
          <cell r="AZ152"/>
          <cell r="BA152"/>
          <cell r="BB152"/>
          <cell r="BC152">
            <v>6.1973133435992311E-2</v>
          </cell>
          <cell r="BD152"/>
          <cell r="BE152"/>
          <cell r="BF152"/>
          <cell r="BG152"/>
          <cell r="BH152">
            <v>5.8307117091891361E-2</v>
          </cell>
          <cell r="BI152"/>
          <cell r="BJ152"/>
          <cell r="BK152"/>
          <cell r="BL152"/>
          <cell r="BM152">
            <v>5.4291956334066506E-2</v>
          </cell>
          <cell r="BN152"/>
          <cell r="BO152"/>
          <cell r="BP152"/>
          <cell r="BQ152"/>
          <cell r="BR152">
            <v>5.6037678402686017E-2</v>
          </cell>
          <cell r="BS152"/>
          <cell r="BT152"/>
          <cell r="BU152"/>
          <cell r="BV152"/>
          <cell r="BW152">
            <v>4.4341340542935349E-2</v>
          </cell>
          <cell r="BX152"/>
          <cell r="BY152"/>
          <cell r="BZ152"/>
          <cell r="CA152"/>
          <cell r="CB152">
            <v>4.4341340542935349E-2</v>
          </cell>
          <cell r="CC152"/>
          <cell r="CD152"/>
          <cell r="CE152"/>
          <cell r="CF152"/>
          <cell r="CG152">
            <v>4.4341340542935349E-2</v>
          </cell>
          <cell r="CH152"/>
          <cell r="CI152"/>
          <cell r="CJ152"/>
          <cell r="CK152"/>
          <cell r="CL152">
            <v>4.4341340542935349E-2</v>
          </cell>
          <cell r="CM152"/>
          <cell r="CN152"/>
          <cell r="CO152"/>
          <cell r="CP152"/>
          <cell r="CQ152">
            <v>4.4341340542935349E-2</v>
          </cell>
          <cell r="CR152"/>
          <cell r="CS152"/>
          <cell r="CT152"/>
          <cell r="CU152"/>
          <cell r="CV152">
            <v>4.4341340542935349E-2</v>
          </cell>
          <cell r="CW152">
            <v>4.4341340542935349E-2</v>
          </cell>
          <cell r="CX152">
            <v>4.4341340542935349E-2</v>
          </cell>
          <cell r="CY152">
            <v>4.4341340542935349E-2</v>
          </cell>
        </row>
        <row r="153">
          <cell r="B153" t="str">
            <v>Sales - % Other Western Europe</v>
          </cell>
          <cell r="C153" t="str">
            <v>SALES_OTH_WEST_EURO</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v>3.0234710091098866E-2</v>
          </cell>
          <cell r="BD153"/>
          <cell r="BE153"/>
          <cell r="BF153"/>
          <cell r="BG153"/>
          <cell r="BH153">
            <v>2.8446177944864849E-2</v>
          </cell>
          <cell r="BI153"/>
          <cell r="BJ153"/>
          <cell r="BK153"/>
          <cell r="BL153"/>
          <cell r="BM153">
            <v>2.6487309403751401E-2</v>
          </cell>
          <cell r="BN153"/>
          <cell r="BO153"/>
          <cell r="BP153"/>
          <cell r="BQ153"/>
          <cell r="BR153">
            <v>2.7338991378148554E-2</v>
          </cell>
          <cell r="BS153"/>
          <cell r="BT153"/>
          <cell r="BU153"/>
          <cell r="BV153"/>
          <cell r="BW153">
            <v>2.1632722149687641E-2</v>
          </cell>
          <cell r="BX153"/>
          <cell r="BY153"/>
          <cell r="BZ153"/>
          <cell r="CA153"/>
          <cell r="CB153">
            <v>2.1632722149687641E-2</v>
          </cell>
          <cell r="CC153"/>
          <cell r="CD153"/>
          <cell r="CE153"/>
          <cell r="CF153"/>
          <cell r="CG153">
            <v>2.1632722149687641E-2</v>
          </cell>
          <cell r="CH153"/>
          <cell r="CI153"/>
          <cell r="CJ153"/>
          <cell r="CK153"/>
          <cell r="CL153">
            <v>2.1632722149687641E-2</v>
          </cell>
          <cell r="CM153"/>
          <cell r="CN153"/>
          <cell r="CO153"/>
          <cell r="CP153"/>
          <cell r="CQ153">
            <v>2.1632722149687641E-2</v>
          </cell>
          <cell r="CR153"/>
          <cell r="CS153"/>
          <cell r="CT153"/>
          <cell r="CU153"/>
          <cell r="CV153">
            <v>2.1632722149687641E-2</v>
          </cell>
          <cell r="CW153">
            <v>2.1632722149687641E-2</v>
          </cell>
          <cell r="CX153">
            <v>2.1632722149687641E-2</v>
          </cell>
          <cell r="CY153">
            <v>2.1632722149687641E-2</v>
          </cell>
        </row>
        <row r="154">
          <cell r="B154" t="str">
            <v>Sales - % Poland</v>
          </cell>
          <cell r="C154" t="str">
            <v>SALES_POLAND</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v>0</v>
          </cell>
          <cell r="BD154"/>
          <cell r="BE154"/>
          <cell r="BF154"/>
          <cell r="BG154"/>
          <cell r="BH154">
            <v>0</v>
          </cell>
          <cell r="BI154"/>
          <cell r="BJ154"/>
          <cell r="BK154"/>
          <cell r="BL154"/>
          <cell r="BM154">
            <v>0</v>
          </cell>
          <cell r="BN154"/>
          <cell r="BO154"/>
          <cell r="BP154"/>
          <cell r="BQ154"/>
          <cell r="BR154">
            <v>0</v>
          </cell>
          <cell r="BS154"/>
          <cell r="BT154"/>
          <cell r="BU154"/>
          <cell r="BV154"/>
          <cell r="BW154">
            <v>0</v>
          </cell>
          <cell r="BX154"/>
          <cell r="BY154"/>
          <cell r="BZ154"/>
          <cell r="CA154"/>
          <cell r="CB154">
            <v>0</v>
          </cell>
          <cell r="CC154"/>
          <cell r="CD154"/>
          <cell r="CE154"/>
          <cell r="CF154"/>
          <cell r="CG154">
            <v>0</v>
          </cell>
          <cell r="CH154"/>
          <cell r="CI154"/>
          <cell r="CJ154"/>
          <cell r="CK154"/>
          <cell r="CL154">
            <v>0</v>
          </cell>
          <cell r="CM154"/>
          <cell r="CN154"/>
          <cell r="CO154"/>
          <cell r="CP154"/>
          <cell r="CQ154">
            <v>0</v>
          </cell>
          <cell r="CR154"/>
          <cell r="CS154"/>
          <cell r="CT154"/>
          <cell r="CU154"/>
          <cell r="CV154">
            <v>0</v>
          </cell>
          <cell r="CW154">
            <v>0</v>
          </cell>
          <cell r="CX154">
            <v>0</v>
          </cell>
          <cell r="CY154">
            <v>0</v>
          </cell>
        </row>
        <row r="155">
          <cell r="B155" t="str">
            <v>Sales - % Russia</v>
          </cell>
          <cell r="C155" t="str">
            <v>SALES_RUSSIA</v>
          </cell>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v>1.2290158840088994E-2</v>
          </cell>
          <cell r="BD155"/>
          <cell r="BE155"/>
          <cell r="BF155"/>
          <cell r="BG155"/>
          <cell r="BH155">
            <v>1.1563135359407672E-2</v>
          </cell>
          <cell r="BI155"/>
          <cell r="BJ155"/>
          <cell r="BK155"/>
          <cell r="BL155"/>
          <cell r="BM155">
            <v>1.0766871547232892E-2</v>
          </cell>
          <cell r="BN155"/>
          <cell r="BO155"/>
          <cell r="BP155"/>
          <cell r="BQ155"/>
          <cell r="BR155">
            <v>1.1113073204700188E-2</v>
          </cell>
          <cell r="BS155"/>
          <cell r="BT155"/>
          <cell r="BU155"/>
          <cell r="BV155"/>
          <cell r="BW155">
            <v>8.7935220996693073E-3</v>
          </cell>
          <cell r="BX155"/>
          <cell r="BY155"/>
          <cell r="BZ155"/>
          <cell r="CA155"/>
          <cell r="CB155">
            <v>8.7935220996693073E-3</v>
          </cell>
          <cell r="CC155"/>
          <cell r="CD155"/>
          <cell r="CE155"/>
          <cell r="CF155"/>
          <cell r="CG155">
            <v>8.7935220996693073E-3</v>
          </cell>
          <cell r="CH155"/>
          <cell r="CI155"/>
          <cell r="CJ155"/>
          <cell r="CK155"/>
          <cell r="CL155">
            <v>8.7935220996693073E-3</v>
          </cell>
          <cell r="CM155"/>
          <cell r="CN155"/>
          <cell r="CO155"/>
          <cell r="CP155"/>
          <cell r="CQ155">
            <v>8.7935220996693073E-3</v>
          </cell>
          <cell r="CR155"/>
          <cell r="CS155"/>
          <cell r="CT155"/>
          <cell r="CU155"/>
          <cell r="CV155">
            <v>8.7935220996693073E-3</v>
          </cell>
          <cell r="CW155">
            <v>8.7935220996693073E-3</v>
          </cell>
          <cell r="CX155">
            <v>8.7935220996693073E-3</v>
          </cell>
          <cell r="CY155">
            <v>8.7935220996693073E-3</v>
          </cell>
        </row>
        <row r="156">
          <cell r="B156" t="str">
            <v>Sales - % Turkey</v>
          </cell>
          <cell r="C156" t="str">
            <v>SALES_TURKEY</v>
          </cell>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v>2.7634730538922153E-2</v>
          </cell>
          <cell r="BD156"/>
          <cell r="BE156"/>
          <cell r="BF156"/>
          <cell r="BG156"/>
          <cell r="BH156">
            <v>2.5999999999999999E-2</v>
          </cell>
          <cell r="BI156"/>
          <cell r="BJ156"/>
          <cell r="BK156"/>
          <cell r="BL156"/>
          <cell r="BM156">
            <v>2.420958083832335E-2</v>
          </cell>
          <cell r="BN156"/>
          <cell r="BO156"/>
          <cell r="BP156"/>
          <cell r="BQ156"/>
          <cell r="BR156">
            <v>2.4988023952095807E-2</v>
          </cell>
          <cell r="BS156"/>
          <cell r="BT156"/>
          <cell r="BU156"/>
          <cell r="BV156"/>
          <cell r="BW156">
            <v>1.9772455089820357E-2</v>
          </cell>
          <cell r="BX156"/>
          <cell r="BY156"/>
          <cell r="BZ156"/>
          <cell r="CA156"/>
          <cell r="CB156">
            <v>1.9772455089820357E-2</v>
          </cell>
          <cell r="CC156"/>
          <cell r="CD156"/>
          <cell r="CE156"/>
          <cell r="CF156"/>
          <cell r="CG156">
            <v>1.9772455089820357E-2</v>
          </cell>
          <cell r="CH156"/>
          <cell r="CI156"/>
          <cell r="CJ156"/>
          <cell r="CK156"/>
          <cell r="CL156">
            <v>1.9772455089820357E-2</v>
          </cell>
          <cell r="CM156"/>
          <cell r="CN156"/>
          <cell r="CO156"/>
          <cell r="CP156"/>
          <cell r="CQ156">
            <v>1.9772455089820357E-2</v>
          </cell>
          <cell r="CR156"/>
          <cell r="CS156"/>
          <cell r="CT156"/>
          <cell r="CU156"/>
          <cell r="CV156">
            <v>1.9772455089820357E-2</v>
          </cell>
          <cell r="CW156">
            <v>1.9772455089820357E-2</v>
          </cell>
          <cell r="CX156">
            <v>1.9772455089820357E-2</v>
          </cell>
          <cell r="CY156">
            <v>1.9772455089820357E-2</v>
          </cell>
        </row>
        <row r="157">
          <cell r="B157" t="str">
            <v>Sales - % Other CEE</v>
          </cell>
          <cell r="C157" t="str">
            <v>SALES_OTH_CEE</v>
          </cell>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v>3.0234710091098866E-2</v>
          </cell>
          <cell r="BD157"/>
          <cell r="BE157"/>
          <cell r="BF157"/>
          <cell r="BG157"/>
          <cell r="BH157">
            <v>2.8446177944864849E-2</v>
          </cell>
          <cell r="BI157"/>
          <cell r="BJ157"/>
          <cell r="BK157"/>
          <cell r="BL157"/>
          <cell r="BM157">
            <v>2.6487309403751401E-2</v>
          </cell>
          <cell r="BN157"/>
          <cell r="BO157"/>
          <cell r="BP157"/>
          <cell r="BQ157"/>
          <cell r="BR157">
            <v>2.7338991378148554E-2</v>
          </cell>
          <cell r="BS157"/>
          <cell r="BT157"/>
          <cell r="BU157"/>
          <cell r="BV157"/>
          <cell r="BW157">
            <v>2.1632722149687641E-2</v>
          </cell>
          <cell r="BX157"/>
          <cell r="BY157"/>
          <cell r="BZ157"/>
          <cell r="CA157"/>
          <cell r="CB157">
            <v>2.1632722149687641E-2</v>
          </cell>
          <cell r="CC157"/>
          <cell r="CD157"/>
          <cell r="CE157"/>
          <cell r="CF157"/>
          <cell r="CG157">
            <v>2.1632722149687641E-2</v>
          </cell>
          <cell r="CH157"/>
          <cell r="CI157"/>
          <cell r="CJ157"/>
          <cell r="CK157"/>
          <cell r="CL157">
            <v>2.1632722149687641E-2</v>
          </cell>
          <cell r="CM157"/>
          <cell r="CN157"/>
          <cell r="CO157"/>
          <cell r="CP157"/>
          <cell r="CQ157">
            <v>2.1632722149687641E-2</v>
          </cell>
          <cell r="CR157"/>
          <cell r="CS157"/>
          <cell r="CT157"/>
          <cell r="CU157"/>
          <cell r="CV157">
            <v>2.1632722149687641E-2</v>
          </cell>
          <cell r="CW157">
            <v>2.1632722149687641E-2</v>
          </cell>
          <cell r="CX157">
            <v>2.1632722149687641E-2</v>
          </cell>
          <cell r="CY157">
            <v>2.1632722149687641E-2</v>
          </cell>
        </row>
        <row r="158">
          <cell r="B158" t="str">
            <v>Sales - % Saudi Arabia</v>
          </cell>
          <cell r="C158" t="str">
            <v>SALES_SAUDI_ARABIA</v>
          </cell>
          <cell r="F158"/>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v>2.0836479829659894E-2</v>
          </cell>
          <cell r="BD158"/>
          <cell r="BE158"/>
          <cell r="BF158"/>
          <cell r="BG158"/>
          <cell r="BH158">
            <v>2.3331866635607185E-2</v>
          </cell>
          <cell r="BI158"/>
          <cell r="BJ158"/>
          <cell r="BK158"/>
          <cell r="BL158"/>
          <cell r="BM158">
            <v>2.9819872331070144E-2</v>
          </cell>
          <cell r="BN158"/>
          <cell r="BO158"/>
          <cell r="BP158"/>
          <cell r="BQ158"/>
          <cell r="BR158">
            <v>2.8073101566907042E-2</v>
          </cell>
          <cell r="BS158"/>
          <cell r="BT158"/>
          <cell r="BU158"/>
          <cell r="BV158"/>
          <cell r="BW158">
            <v>2.3082327955012458E-2</v>
          </cell>
          <cell r="BX158"/>
          <cell r="BY158"/>
          <cell r="BZ158"/>
          <cell r="CA158"/>
          <cell r="CB158">
            <v>2.3082327955012458E-2</v>
          </cell>
          <cell r="CC158"/>
          <cell r="CD158"/>
          <cell r="CE158"/>
          <cell r="CF158"/>
          <cell r="CG158">
            <v>2.3082327955012458E-2</v>
          </cell>
          <cell r="CH158"/>
          <cell r="CI158"/>
          <cell r="CJ158"/>
          <cell r="CK158"/>
          <cell r="CL158">
            <v>2.3082327955012458E-2</v>
          </cell>
          <cell r="CM158"/>
          <cell r="CN158"/>
          <cell r="CO158"/>
          <cell r="CP158"/>
          <cell r="CQ158">
            <v>2.3082327955012458E-2</v>
          </cell>
          <cell r="CR158"/>
          <cell r="CS158"/>
          <cell r="CT158"/>
          <cell r="CU158"/>
          <cell r="CV158">
            <v>2.3082327955012458E-2</v>
          </cell>
          <cell r="CW158">
            <v>2.3082327955012458E-2</v>
          </cell>
          <cell r="CX158">
            <v>2.3082327955012458E-2</v>
          </cell>
          <cell r="CY158">
            <v>2.3082327955012458E-2</v>
          </cell>
        </row>
        <row r="159">
          <cell r="B159" t="str">
            <v>Sales - % United Arab Emirates</v>
          </cell>
          <cell r="C159" t="str">
            <v>SALES_UAE</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v>4.195839088986307E-2</v>
          </cell>
          <cell r="BD159"/>
          <cell r="BE159"/>
          <cell r="BF159"/>
          <cell r="BG159"/>
          <cell r="BH159">
            <v>4.6983347882661043E-2</v>
          </cell>
          <cell r="BI159"/>
          <cell r="BJ159"/>
          <cell r="BK159"/>
          <cell r="BL159"/>
          <cell r="BM159">
            <v>6.0048236063935771E-2</v>
          </cell>
          <cell r="BN159"/>
          <cell r="BO159"/>
          <cell r="BP159"/>
          <cell r="BQ159"/>
          <cell r="BR159">
            <v>5.6530766168977196E-2</v>
          </cell>
          <cell r="BS159"/>
          <cell r="BT159"/>
          <cell r="BU159"/>
          <cell r="BV159"/>
          <cell r="BW159">
            <v>4.6480852183381251E-2</v>
          </cell>
          <cell r="BX159"/>
          <cell r="BY159"/>
          <cell r="BZ159"/>
          <cell r="CA159"/>
          <cell r="CB159">
            <v>4.6480852183381251E-2</v>
          </cell>
          <cell r="CC159"/>
          <cell r="CD159"/>
          <cell r="CE159"/>
          <cell r="CF159"/>
          <cell r="CG159">
            <v>4.6480852183381251E-2</v>
          </cell>
          <cell r="CH159"/>
          <cell r="CI159"/>
          <cell r="CJ159"/>
          <cell r="CK159"/>
          <cell r="CL159">
            <v>4.6480852183381251E-2</v>
          </cell>
          <cell r="CM159"/>
          <cell r="CN159"/>
          <cell r="CO159"/>
          <cell r="CP159"/>
          <cell r="CQ159">
            <v>4.6480852183381251E-2</v>
          </cell>
          <cell r="CR159"/>
          <cell r="CS159"/>
          <cell r="CT159"/>
          <cell r="CU159"/>
          <cell r="CV159">
            <v>4.6480852183381251E-2</v>
          </cell>
          <cell r="CW159">
            <v>4.6480852183381251E-2</v>
          </cell>
          <cell r="CX159">
            <v>4.6480852183381251E-2</v>
          </cell>
          <cell r="CY159">
            <v>4.6480852183381251E-2</v>
          </cell>
        </row>
        <row r="160">
          <cell r="B160" t="str">
            <v>Sales - % Other Middle East</v>
          </cell>
          <cell r="C160" t="str">
            <v>SALES_OTH_ME</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v>3.3110022743021203E-2</v>
          </cell>
          <cell r="BD160"/>
          <cell r="BE160"/>
          <cell r="BF160"/>
          <cell r="BG160"/>
          <cell r="BH160">
            <v>3.7075294927814161E-2</v>
          </cell>
          <cell r="BI160"/>
          <cell r="BJ160"/>
          <cell r="BK160"/>
          <cell r="BL160"/>
          <cell r="BM160">
            <v>4.7385002608275856E-2</v>
          </cell>
          <cell r="BN160"/>
          <cell r="BO160"/>
          <cell r="BP160"/>
          <cell r="BQ160"/>
          <cell r="BR160">
            <v>4.4609312078920785E-2</v>
          </cell>
          <cell r="BS160"/>
          <cell r="BT160"/>
          <cell r="BU160"/>
          <cell r="BV160"/>
          <cell r="BW160">
            <v>3.667876770933487E-2</v>
          </cell>
          <cell r="BX160"/>
          <cell r="BY160"/>
          <cell r="BZ160"/>
          <cell r="CA160"/>
          <cell r="CB160">
            <v>3.667876770933487E-2</v>
          </cell>
          <cell r="CC160"/>
          <cell r="CD160"/>
          <cell r="CE160"/>
          <cell r="CF160"/>
          <cell r="CG160">
            <v>3.667876770933487E-2</v>
          </cell>
          <cell r="CH160"/>
          <cell r="CI160"/>
          <cell r="CJ160"/>
          <cell r="CK160"/>
          <cell r="CL160">
            <v>3.667876770933487E-2</v>
          </cell>
          <cell r="CM160"/>
          <cell r="CN160"/>
          <cell r="CO160"/>
          <cell r="CP160"/>
          <cell r="CQ160">
            <v>3.667876770933487E-2</v>
          </cell>
          <cell r="CR160"/>
          <cell r="CS160"/>
          <cell r="CT160"/>
          <cell r="CU160"/>
          <cell r="CV160">
            <v>3.667876770933487E-2</v>
          </cell>
          <cell r="CW160">
            <v>3.667876770933487E-2</v>
          </cell>
          <cell r="CX160">
            <v>3.667876770933487E-2</v>
          </cell>
          <cell r="CY160">
            <v>3.667876770933487E-2</v>
          </cell>
        </row>
        <row r="161">
          <cell r="B161" t="str">
            <v>Sales - % Nigeria</v>
          </cell>
          <cell r="C161" t="str">
            <v>SALES_NIGERIA</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v>0</v>
          </cell>
          <cell r="BD161"/>
          <cell r="BE161"/>
          <cell r="BF161"/>
          <cell r="BG161"/>
          <cell r="BH161">
            <v>0</v>
          </cell>
          <cell r="BI161"/>
          <cell r="BJ161"/>
          <cell r="BK161"/>
          <cell r="BL161"/>
          <cell r="BM161">
            <v>0</v>
          </cell>
          <cell r="BN161"/>
          <cell r="BO161"/>
          <cell r="BP161"/>
          <cell r="BQ161"/>
          <cell r="BR161">
            <v>0</v>
          </cell>
          <cell r="BS161"/>
          <cell r="BT161"/>
          <cell r="BU161"/>
          <cell r="BV161"/>
          <cell r="BW161">
            <v>0</v>
          </cell>
          <cell r="BX161"/>
          <cell r="BY161"/>
          <cell r="BZ161"/>
          <cell r="CA161"/>
          <cell r="CB161">
            <v>0</v>
          </cell>
          <cell r="CC161"/>
          <cell r="CD161"/>
          <cell r="CE161"/>
          <cell r="CF161"/>
          <cell r="CG161">
            <v>0</v>
          </cell>
          <cell r="CH161"/>
          <cell r="CI161"/>
          <cell r="CJ161"/>
          <cell r="CK161"/>
          <cell r="CL161">
            <v>0</v>
          </cell>
          <cell r="CM161"/>
          <cell r="CN161"/>
          <cell r="CO161"/>
          <cell r="CP161"/>
          <cell r="CQ161">
            <v>0</v>
          </cell>
          <cell r="CR161"/>
          <cell r="CS161"/>
          <cell r="CT161"/>
          <cell r="CU161"/>
          <cell r="CV161">
            <v>0</v>
          </cell>
          <cell r="CW161">
            <v>0</v>
          </cell>
          <cell r="CX161">
            <v>0</v>
          </cell>
          <cell r="CY161">
            <v>0</v>
          </cell>
        </row>
        <row r="162">
          <cell r="B162" t="str">
            <v>Sales - % South Africa</v>
          </cell>
          <cell r="C162" t="str">
            <v>SALES_SO_AFRICA</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v>4.4202811715995331E-3</v>
          </cell>
          <cell r="BD162"/>
          <cell r="BE162"/>
          <cell r="BF162"/>
          <cell r="BG162"/>
          <cell r="BH162">
            <v>4.949656162210255E-3</v>
          </cell>
          <cell r="BI162"/>
          <cell r="BJ162"/>
          <cell r="BK162"/>
          <cell r="BL162"/>
          <cell r="BM162">
            <v>6.3260311377981333E-3</v>
          </cell>
          <cell r="BN162"/>
          <cell r="BO162"/>
          <cell r="BP162"/>
          <cell r="BQ162"/>
          <cell r="BR162">
            <v>5.9554686443706283E-3</v>
          </cell>
          <cell r="BS162"/>
          <cell r="BT162"/>
          <cell r="BU162"/>
          <cell r="BV162"/>
          <cell r="BW162">
            <v>4.8967186631491827E-3</v>
          </cell>
          <cell r="BX162"/>
          <cell r="BY162"/>
          <cell r="BZ162"/>
          <cell r="CA162"/>
          <cell r="CB162">
            <v>4.8967186631491827E-3</v>
          </cell>
          <cell r="CC162"/>
          <cell r="CD162"/>
          <cell r="CE162"/>
          <cell r="CF162"/>
          <cell r="CG162">
            <v>4.8967186631491827E-3</v>
          </cell>
          <cell r="CH162"/>
          <cell r="CI162"/>
          <cell r="CJ162"/>
          <cell r="CK162"/>
          <cell r="CL162">
            <v>4.8967186631491827E-3</v>
          </cell>
          <cell r="CM162"/>
          <cell r="CN162"/>
          <cell r="CO162"/>
          <cell r="CP162"/>
          <cell r="CQ162">
            <v>4.8967186631491827E-3</v>
          </cell>
          <cell r="CR162"/>
          <cell r="CS162"/>
          <cell r="CT162"/>
          <cell r="CU162"/>
          <cell r="CV162">
            <v>4.8967186631491827E-3</v>
          </cell>
          <cell r="CW162">
            <v>4.8967186631491827E-3</v>
          </cell>
          <cell r="CX162">
            <v>4.8967186631491827E-3</v>
          </cell>
          <cell r="CY162">
            <v>4.8967186631491827E-3</v>
          </cell>
        </row>
        <row r="163">
          <cell r="B163" t="str">
            <v>Sales - % Other Africa</v>
          </cell>
          <cell r="C163" t="str">
            <v>SALES_OTH_AFRICA</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v>1.0068418224198933E-2</v>
          </cell>
          <cell r="BD163"/>
          <cell r="BE163"/>
          <cell r="BF163"/>
          <cell r="BG163"/>
          <cell r="BH163">
            <v>1.1274216813923356E-2</v>
          </cell>
          <cell r="BI163"/>
          <cell r="BJ163"/>
          <cell r="BK163"/>
          <cell r="BL163"/>
          <cell r="BM163">
            <v>1.4409293147206856E-2</v>
          </cell>
          <cell r="BN163"/>
          <cell r="BO163"/>
          <cell r="BP163"/>
          <cell r="BQ163"/>
          <cell r="BR163">
            <v>1.3565234134399761E-2</v>
          </cell>
          <cell r="BS163"/>
          <cell r="BT163"/>
          <cell r="BU163"/>
          <cell r="BV163"/>
          <cell r="BW163">
            <v>1.1153636954950915E-2</v>
          </cell>
          <cell r="BX163"/>
          <cell r="BY163"/>
          <cell r="BZ163"/>
          <cell r="CA163"/>
          <cell r="CB163">
            <v>1.1153636954950915E-2</v>
          </cell>
          <cell r="CC163"/>
          <cell r="CD163"/>
          <cell r="CE163"/>
          <cell r="CF163"/>
          <cell r="CG163">
            <v>1.1153636954950915E-2</v>
          </cell>
          <cell r="CH163"/>
          <cell r="CI163"/>
          <cell r="CJ163"/>
          <cell r="CK163"/>
          <cell r="CL163">
            <v>1.1153636954950915E-2</v>
          </cell>
          <cell r="CM163"/>
          <cell r="CN163"/>
          <cell r="CO163"/>
          <cell r="CP163"/>
          <cell r="CQ163">
            <v>1.1153636954950915E-2</v>
          </cell>
          <cell r="CR163"/>
          <cell r="CS163"/>
          <cell r="CT163"/>
          <cell r="CU163"/>
          <cell r="CV163">
            <v>1.1153636954950915E-2</v>
          </cell>
          <cell r="CW163">
            <v>1.1153636954950915E-2</v>
          </cell>
          <cell r="CX163">
            <v>1.1153636954950915E-2</v>
          </cell>
          <cell r="CY163">
            <v>1.1153636954950915E-2</v>
          </cell>
        </row>
        <row r="164">
          <cell r="B164" t="str">
            <v>Sales - % Hong Kong</v>
          </cell>
          <cell r="C164" t="str">
            <v>SALES_HONG_KONG</v>
          </cell>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v>1.7682252758019594E-2</v>
          </cell>
          <cell r="BD164"/>
          <cell r="BE164"/>
          <cell r="BF164"/>
          <cell r="BG164"/>
          <cell r="BH164">
            <v>1.7092844332752273E-2</v>
          </cell>
          <cell r="BI164"/>
          <cell r="BJ164"/>
          <cell r="BK164"/>
          <cell r="BL164"/>
          <cell r="BM164">
            <v>1.5592531977526365E-2</v>
          </cell>
          <cell r="BN164"/>
          <cell r="BO164"/>
          <cell r="BP164"/>
          <cell r="BQ164"/>
          <cell r="BR164">
            <v>1.7146426916867481E-2</v>
          </cell>
          <cell r="BS164"/>
          <cell r="BT164"/>
          <cell r="BU164"/>
          <cell r="BV164"/>
          <cell r="BW164">
            <v>1.9932721290858442E-2</v>
          </cell>
          <cell r="BX164"/>
          <cell r="BY164"/>
          <cell r="BZ164"/>
          <cell r="CA164"/>
          <cell r="CB164">
            <v>1.9932721290858442E-2</v>
          </cell>
          <cell r="CC164"/>
          <cell r="CD164"/>
          <cell r="CE164"/>
          <cell r="CF164"/>
          <cell r="CG164">
            <v>1.9932721290858442E-2</v>
          </cell>
          <cell r="CH164"/>
          <cell r="CI164"/>
          <cell r="CJ164"/>
          <cell r="CK164"/>
          <cell r="CL164">
            <v>1.9932721290858442E-2</v>
          </cell>
          <cell r="CM164"/>
          <cell r="CN164"/>
          <cell r="CO164"/>
          <cell r="CP164"/>
          <cell r="CQ164">
            <v>1.9932721290858442E-2</v>
          </cell>
          <cell r="CR164"/>
          <cell r="CS164"/>
          <cell r="CT164"/>
          <cell r="CU164"/>
          <cell r="CV164">
            <v>1.9932721290858442E-2</v>
          </cell>
          <cell r="CW164">
            <v>1.9932721290858442E-2</v>
          </cell>
          <cell r="CX164">
            <v>1.9932721290858442E-2</v>
          </cell>
          <cell r="CY164">
            <v>1.9932721290858442E-2</v>
          </cell>
        </row>
        <row r="165">
          <cell r="B165" t="str">
            <v>Sales - % Japan</v>
          </cell>
          <cell r="C165" t="str">
            <v>SALES_JAPAN</v>
          </cell>
          <cell r="F165"/>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v>0.08</v>
          </cell>
          <cell r="AY165"/>
          <cell r="AZ165"/>
          <cell r="BA165"/>
          <cell r="BB165"/>
          <cell r="BC165">
            <v>1.2685094369883625E-2</v>
          </cell>
          <cell r="BD165"/>
          <cell r="BE165"/>
          <cell r="BF165"/>
          <cell r="BG165"/>
          <cell r="BH165">
            <v>1.2262257890887503E-2</v>
          </cell>
          <cell r="BI165"/>
          <cell r="BJ165"/>
          <cell r="BK165"/>
          <cell r="BL165"/>
          <cell r="BM165">
            <v>1.1185946853442831E-2</v>
          </cell>
          <cell r="BN165"/>
          <cell r="BO165"/>
          <cell r="BP165"/>
          <cell r="BQ165"/>
          <cell r="BR165">
            <v>1.2300697570796241E-2</v>
          </cell>
          <cell r="BS165"/>
          <cell r="BT165"/>
          <cell r="BU165"/>
          <cell r="BV165"/>
          <cell r="BW165">
            <v>1.4299560926050628E-2</v>
          </cell>
          <cell r="BX165"/>
          <cell r="BY165"/>
          <cell r="BZ165"/>
          <cell r="CA165"/>
          <cell r="CB165">
            <v>1.4299560926050628E-2</v>
          </cell>
          <cell r="CC165"/>
          <cell r="CD165"/>
          <cell r="CE165"/>
          <cell r="CF165"/>
          <cell r="CG165">
            <v>1.4299560926050628E-2</v>
          </cell>
          <cell r="CH165"/>
          <cell r="CI165"/>
          <cell r="CJ165"/>
          <cell r="CK165"/>
          <cell r="CL165">
            <v>1.4299560926050628E-2</v>
          </cell>
          <cell r="CM165"/>
          <cell r="CN165"/>
          <cell r="CO165"/>
          <cell r="CP165"/>
          <cell r="CQ165">
            <v>1.4299560926050628E-2</v>
          </cell>
          <cell r="CR165"/>
          <cell r="CS165"/>
          <cell r="CT165"/>
          <cell r="CU165"/>
          <cell r="CV165">
            <v>1.4299560926050628E-2</v>
          </cell>
          <cell r="CW165">
            <v>1.4299560926050628E-2</v>
          </cell>
          <cell r="CX165">
            <v>1.4299560926050628E-2</v>
          </cell>
          <cell r="CY165">
            <v>1.4299560926050628E-2</v>
          </cell>
        </row>
        <row r="166">
          <cell r="B166" t="str">
            <v>Sales - % Singapore</v>
          </cell>
          <cell r="C166" t="str">
            <v>SALES_SINGAPORE</v>
          </cell>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v>1.6529062360757449E-2</v>
          </cell>
          <cell r="BD166"/>
          <cell r="BE166"/>
          <cell r="BF166"/>
          <cell r="BG166"/>
          <cell r="BH166">
            <v>1.5978093615398866E-2</v>
          </cell>
          <cell r="BI166"/>
          <cell r="BJ166"/>
          <cell r="BK166"/>
          <cell r="BL166"/>
          <cell r="BM166">
            <v>1.4575627718122475E-2</v>
          </cell>
          <cell r="BN166"/>
          <cell r="BO166"/>
          <cell r="BP166"/>
          <cell r="BQ166"/>
          <cell r="BR166">
            <v>1.6028181683158737E-2</v>
          </cell>
          <cell r="BS166"/>
          <cell r="BT166"/>
          <cell r="BU166"/>
          <cell r="BV166"/>
          <cell r="BW166">
            <v>1.8632761206672031E-2</v>
          </cell>
          <cell r="BX166"/>
          <cell r="BY166"/>
          <cell r="BZ166"/>
          <cell r="CA166"/>
          <cell r="CB166">
            <v>1.8632761206672031E-2</v>
          </cell>
          <cell r="CC166"/>
          <cell r="CD166"/>
          <cell r="CE166"/>
          <cell r="CF166"/>
          <cell r="CG166">
            <v>1.8632761206672031E-2</v>
          </cell>
          <cell r="CH166"/>
          <cell r="CI166"/>
          <cell r="CJ166"/>
          <cell r="CK166"/>
          <cell r="CL166">
            <v>1.8632761206672031E-2</v>
          </cell>
          <cell r="CM166"/>
          <cell r="CN166"/>
          <cell r="CO166"/>
          <cell r="CP166"/>
          <cell r="CQ166">
            <v>1.8632761206672031E-2</v>
          </cell>
          <cell r="CR166"/>
          <cell r="CS166"/>
          <cell r="CT166"/>
          <cell r="CU166"/>
          <cell r="CV166">
            <v>1.8632761206672031E-2</v>
          </cell>
          <cell r="CW166">
            <v>1.8632761206672031E-2</v>
          </cell>
          <cell r="CX166">
            <v>1.8632761206672031E-2</v>
          </cell>
          <cell r="CY166">
            <v>1.8632761206672031E-2</v>
          </cell>
        </row>
        <row r="167">
          <cell r="B167" t="str">
            <v>Sales - % South Korea</v>
          </cell>
          <cell r="C167" t="str">
            <v>SALES_SK</v>
          </cell>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v>9.2255231780971805E-3</v>
          </cell>
          <cell r="BD167"/>
          <cell r="BE167"/>
          <cell r="BF167"/>
          <cell r="BG167"/>
          <cell r="BH167">
            <v>8.9180057388272733E-3</v>
          </cell>
          <cell r="BI167"/>
          <cell r="BJ167"/>
          <cell r="BK167"/>
          <cell r="BL167"/>
          <cell r="BM167">
            <v>8.1352340752311476E-3</v>
          </cell>
          <cell r="BN167"/>
          <cell r="BO167"/>
          <cell r="BP167"/>
          <cell r="BQ167"/>
          <cell r="BR167">
            <v>8.9459618696699911E-3</v>
          </cell>
          <cell r="BS167"/>
          <cell r="BT167"/>
          <cell r="BU167"/>
          <cell r="BV167"/>
          <cell r="BW167">
            <v>1.0399680673491363E-2</v>
          </cell>
          <cell r="BX167"/>
          <cell r="BY167"/>
          <cell r="BZ167"/>
          <cell r="CA167"/>
          <cell r="CB167">
            <v>1.0399680673491363E-2</v>
          </cell>
          <cell r="CC167"/>
          <cell r="CD167"/>
          <cell r="CE167"/>
          <cell r="CF167"/>
          <cell r="CG167">
            <v>1.0399680673491363E-2</v>
          </cell>
          <cell r="CH167"/>
          <cell r="CI167"/>
          <cell r="CJ167"/>
          <cell r="CK167"/>
          <cell r="CL167">
            <v>1.0399680673491363E-2</v>
          </cell>
          <cell r="CM167"/>
          <cell r="CN167"/>
          <cell r="CO167"/>
          <cell r="CP167"/>
          <cell r="CQ167">
            <v>1.0399680673491363E-2</v>
          </cell>
          <cell r="CR167"/>
          <cell r="CS167"/>
          <cell r="CT167"/>
          <cell r="CU167"/>
          <cell r="CV167">
            <v>1.0399680673491363E-2</v>
          </cell>
          <cell r="CW167">
            <v>1.0399680673491363E-2</v>
          </cell>
          <cell r="CX167">
            <v>1.0399680673491363E-2</v>
          </cell>
          <cell r="CY167">
            <v>1.0399680673491363E-2</v>
          </cell>
        </row>
        <row r="168">
          <cell r="B168" t="str">
            <v>Sales - % Taiwan</v>
          </cell>
          <cell r="C168" t="str">
            <v>SALES_TAIWAN</v>
          </cell>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v>8.4567295799224153E-3</v>
          </cell>
          <cell r="BD168"/>
          <cell r="BE168"/>
          <cell r="BF168"/>
          <cell r="BG168"/>
          <cell r="BH168">
            <v>8.1748385939250014E-3</v>
          </cell>
          <cell r="BI168"/>
          <cell r="BJ168"/>
          <cell r="BK168"/>
          <cell r="BL168"/>
          <cell r="BM168">
            <v>7.4572979022952193E-3</v>
          </cell>
          <cell r="BN168"/>
          <cell r="BO168"/>
          <cell r="BP168"/>
          <cell r="BQ168"/>
          <cell r="BR168">
            <v>8.200465047197493E-3</v>
          </cell>
          <cell r="BS168"/>
          <cell r="BT168"/>
          <cell r="BU168"/>
          <cell r="BV168"/>
          <cell r="BW168">
            <v>9.5330406173670841E-3</v>
          </cell>
          <cell r="BX168"/>
          <cell r="BY168"/>
          <cell r="BZ168"/>
          <cell r="CA168"/>
          <cell r="CB168">
            <v>9.5330406173670841E-3</v>
          </cell>
          <cell r="CC168"/>
          <cell r="CD168"/>
          <cell r="CE168"/>
          <cell r="CF168"/>
          <cell r="CG168">
            <v>9.5330406173670841E-3</v>
          </cell>
          <cell r="CH168"/>
          <cell r="CI168"/>
          <cell r="CJ168"/>
          <cell r="CK168"/>
          <cell r="CL168">
            <v>9.5330406173670841E-3</v>
          </cell>
          <cell r="CM168"/>
          <cell r="CN168"/>
          <cell r="CO168"/>
          <cell r="CP168"/>
          <cell r="CQ168">
            <v>9.5330406173670841E-3</v>
          </cell>
          <cell r="CR168"/>
          <cell r="CS168"/>
          <cell r="CT168"/>
          <cell r="CU168"/>
          <cell r="CV168">
            <v>9.5330406173670841E-3</v>
          </cell>
          <cell r="CW168">
            <v>9.5330406173670841E-3</v>
          </cell>
          <cell r="CX168">
            <v>9.5330406173670841E-3</v>
          </cell>
          <cell r="CY168">
            <v>9.5330406173670841E-3</v>
          </cell>
        </row>
        <row r="169">
          <cell r="B169" t="str">
            <v>Sales - % Other Developed Asia</v>
          </cell>
          <cell r="C169" t="str">
            <v>SALES_OTH_DEV_ASIA</v>
          </cell>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v>2.7964867133607067E-2</v>
          </cell>
          <cell r="BD169"/>
          <cell r="BE169"/>
          <cell r="BF169"/>
          <cell r="BG169"/>
          <cell r="BH169">
            <v>2.7032704895820162E-2</v>
          </cell>
          <cell r="BI169"/>
          <cell r="BJ169"/>
          <cell r="BK169"/>
          <cell r="BL169"/>
          <cell r="BM169">
            <v>2.4659928290544409E-2</v>
          </cell>
          <cell r="BN169"/>
          <cell r="BO169"/>
          <cell r="BP169"/>
          <cell r="BQ169"/>
          <cell r="BR169">
            <v>2.7117446917437154E-2</v>
          </cell>
          <cell r="BS169"/>
          <cell r="BT169"/>
          <cell r="BU169"/>
          <cell r="BV169"/>
          <cell r="BW169">
            <v>3.152403204152069E-2</v>
          </cell>
          <cell r="BX169"/>
          <cell r="BY169"/>
          <cell r="BZ169"/>
          <cell r="CA169"/>
          <cell r="CB169">
            <v>3.152403204152069E-2</v>
          </cell>
          <cell r="CC169"/>
          <cell r="CD169"/>
          <cell r="CE169"/>
          <cell r="CF169"/>
          <cell r="CG169">
            <v>3.152403204152069E-2</v>
          </cell>
          <cell r="CH169"/>
          <cell r="CI169"/>
          <cell r="CJ169"/>
          <cell r="CK169"/>
          <cell r="CL169">
            <v>3.152403204152069E-2</v>
          </cell>
          <cell r="CM169"/>
          <cell r="CN169"/>
          <cell r="CO169"/>
          <cell r="CP169"/>
          <cell r="CQ169">
            <v>3.152403204152069E-2</v>
          </cell>
          <cell r="CR169"/>
          <cell r="CS169"/>
          <cell r="CT169"/>
          <cell r="CU169"/>
          <cell r="CV169">
            <v>3.152403204152069E-2</v>
          </cell>
          <cell r="CW169">
            <v>3.152403204152069E-2</v>
          </cell>
          <cell r="CX169">
            <v>3.152403204152069E-2</v>
          </cell>
          <cell r="CY169">
            <v>3.152403204152069E-2</v>
          </cell>
        </row>
        <row r="170">
          <cell r="B170" t="str">
            <v>Sales - % China</v>
          </cell>
          <cell r="C170" t="str">
            <v>SALES_CHINA</v>
          </cell>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v>0.1</v>
          </cell>
          <cell r="AY170"/>
          <cell r="AZ170"/>
          <cell r="BA170"/>
          <cell r="BB170"/>
          <cell r="BC170">
            <v>0.14568638685411797</v>
          </cell>
          <cell r="BD170"/>
          <cell r="BE170"/>
          <cell r="BF170"/>
          <cell r="BG170"/>
          <cell r="BH170">
            <v>0.1408301739589807</v>
          </cell>
          <cell r="BI170"/>
          <cell r="BJ170"/>
          <cell r="BK170"/>
          <cell r="BL170"/>
          <cell r="BM170">
            <v>0.12846890477135856</v>
          </cell>
          <cell r="BN170"/>
          <cell r="BO170"/>
          <cell r="BP170"/>
          <cell r="BQ170"/>
          <cell r="BR170">
            <v>0.14127164785853863</v>
          </cell>
          <cell r="BS170"/>
          <cell r="BT170"/>
          <cell r="BU170"/>
          <cell r="BV170"/>
          <cell r="BW170">
            <v>0.16422829063555114</v>
          </cell>
          <cell r="BX170"/>
          <cell r="BY170"/>
          <cell r="BZ170"/>
          <cell r="CA170"/>
          <cell r="CB170">
            <v>0.16422829063555114</v>
          </cell>
          <cell r="CC170"/>
          <cell r="CD170"/>
          <cell r="CE170"/>
          <cell r="CF170"/>
          <cell r="CG170">
            <v>0.16422829063555114</v>
          </cell>
          <cell r="CH170"/>
          <cell r="CI170"/>
          <cell r="CJ170"/>
          <cell r="CK170"/>
          <cell r="CL170">
            <v>0.16422829063555114</v>
          </cell>
          <cell r="CM170"/>
          <cell r="CN170"/>
          <cell r="CO170"/>
          <cell r="CP170"/>
          <cell r="CQ170">
            <v>0.16422829063555114</v>
          </cell>
          <cell r="CR170"/>
          <cell r="CS170"/>
          <cell r="CT170"/>
          <cell r="CU170"/>
          <cell r="CV170">
            <v>0.16422829063555114</v>
          </cell>
          <cell r="CW170">
            <v>0.16422829063555114</v>
          </cell>
          <cell r="CX170">
            <v>0.16422829063555114</v>
          </cell>
          <cell r="CY170">
            <v>0.16422829063555114</v>
          </cell>
        </row>
        <row r="171">
          <cell r="B171" t="str">
            <v>Sales - % India</v>
          </cell>
          <cell r="C171" t="str">
            <v>SALES_INDIA</v>
          </cell>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v>0.06</v>
          </cell>
          <cell r="AY171"/>
          <cell r="AZ171"/>
          <cell r="BA171"/>
          <cell r="BB171"/>
          <cell r="BC171">
            <v>2.114182394980604E-2</v>
          </cell>
          <cell r="BD171"/>
          <cell r="BE171"/>
          <cell r="BF171"/>
          <cell r="BG171"/>
          <cell r="BH171">
            <v>2.0437096484812504E-2</v>
          </cell>
          <cell r="BI171"/>
          <cell r="BJ171"/>
          <cell r="BK171"/>
          <cell r="BL171"/>
          <cell r="BM171">
            <v>1.8643244755738052E-2</v>
          </cell>
          <cell r="BN171"/>
          <cell r="BO171"/>
          <cell r="BP171"/>
          <cell r="BQ171"/>
          <cell r="BR171">
            <v>2.0501162617993736E-2</v>
          </cell>
          <cell r="BS171"/>
          <cell r="BT171"/>
          <cell r="BU171"/>
          <cell r="BV171"/>
          <cell r="BW171">
            <v>2.3832601543417715E-2</v>
          </cell>
          <cell r="BX171"/>
          <cell r="BY171"/>
          <cell r="BZ171"/>
          <cell r="CA171"/>
          <cell r="CB171">
            <v>2.3832601543417715E-2</v>
          </cell>
          <cell r="CC171"/>
          <cell r="CD171"/>
          <cell r="CE171"/>
          <cell r="CF171"/>
          <cell r="CG171">
            <v>2.3832601543417715E-2</v>
          </cell>
          <cell r="CH171"/>
          <cell r="CI171"/>
          <cell r="CJ171"/>
          <cell r="CK171"/>
          <cell r="CL171">
            <v>2.3832601543417715E-2</v>
          </cell>
          <cell r="CM171"/>
          <cell r="CN171"/>
          <cell r="CO171"/>
          <cell r="CP171"/>
          <cell r="CQ171">
            <v>2.3832601543417715E-2</v>
          </cell>
          <cell r="CR171"/>
          <cell r="CS171"/>
          <cell r="CT171"/>
          <cell r="CU171"/>
          <cell r="CV171">
            <v>2.3832601543417715E-2</v>
          </cell>
          <cell r="CW171">
            <v>2.3832601543417715E-2</v>
          </cell>
          <cell r="CX171">
            <v>2.3832601543417715E-2</v>
          </cell>
          <cell r="CY171">
            <v>2.3832601543417715E-2</v>
          </cell>
        </row>
        <row r="172">
          <cell r="B172" t="str">
            <v>Sales - % Indonesia</v>
          </cell>
          <cell r="C172" t="str">
            <v>SALES_INDONESIA</v>
          </cell>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v>1.4991475164407918E-2</v>
          </cell>
          <cell r="BD172"/>
          <cell r="BE172"/>
          <cell r="BF172"/>
          <cell r="BG172"/>
          <cell r="BH172">
            <v>1.449175932559432E-2</v>
          </cell>
          <cell r="BI172"/>
          <cell r="BJ172"/>
          <cell r="BK172"/>
          <cell r="BL172"/>
          <cell r="BM172">
            <v>1.3219755372250617E-2</v>
          </cell>
          <cell r="BN172"/>
          <cell r="BO172"/>
          <cell r="BP172"/>
          <cell r="BQ172"/>
          <cell r="BR172">
            <v>1.4537188038213739E-2</v>
          </cell>
          <cell r="BS172"/>
          <cell r="BT172"/>
          <cell r="BU172"/>
          <cell r="BV172"/>
          <cell r="BW172">
            <v>1.689948109442347E-2</v>
          </cell>
          <cell r="BX172"/>
          <cell r="BY172"/>
          <cell r="BZ172"/>
          <cell r="CA172"/>
          <cell r="CB172">
            <v>1.689948109442347E-2</v>
          </cell>
          <cell r="CC172"/>
          <cell r="CD172"/>
          <cell r="CE172"/>
          <cell r="CF172"/>
          <cell r="CG172">
            <v>1.689948109442347E-2</v>
          </cell>
          <cell r="CH172"/>
          <cell r="CI172"/>
          <cell r="CJ172"/>
          <cell r="CK172"/>
          <cell r="CL172">
            <v>1.689948109442347E-2</v>
          </cell>
          <cell r="CM172"/>
          <cell r="CN172"/>
          <cell r="CO172"/>
          <cell r="CP172"/>
          <cell r="CQ172">
            <v>1.689948109442347E-2</v>
          </cell>
          <cell r="CR172"/>
          <cell r="CS172"/>
          <cell r="CT172"/>
          <cell r="CU172"/>
          <cell r="CV172">
            <v>1.689948109442347E-2</v>
          </cell>
          <cell r="CW172">
            <v>1.689948109442347E-2</v>
          </cell>
          <cell r="CX172">
            <v>1.689948109442347E-2</v>
          </cell>
          <cell r="CY172">
            <v>1.689948109442347E-2</v>
          </cell>
        </row>
        <row r="173">
          <cell r="B173" t="str">
            <v>Sales - % Thailand</v>
          </cell>
          <cell r="C173" t="str">
            <v>SALES_THAILAND</v>
          </cell>
          <cell r="F173"/>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v>1.3069491168971006E-2</v>
          </cell>
          <cell r="BD173"/>
          <cell r="BE173"/>
          <cell r="BF173"/>
          <cell r="BG173"/>
          <cell r="BH173">
            <v>1.2633841463338638E-2</v>
          </cell>
          <cell r="BI173"/>
          <cell r="BJ173"/>
          <cell r="BK173"/>
          <cell r="BL173"/>
          <cell r="BM173">
            <v>1.1524914939910794E-2</v>
          </cell>
          <cell r="BN173"/>
          <cell r="BO173"/>
          <cell r="BP173"/>
          <cell r="BQ173"/>
          <cell r="BR173">
            <v>1.2673445982032489E-2</v>
          </cell>
          <cell r="BS173"/>
          <cell r="BT173"/>
          <cell r="BU173"/>
          <cell r="BV173"/>
          <cell r="BW173">
            <v>1.4732880954112767E-2</v>
          </cell>
          <cell r="BX173"/>
          <cell r="BY173"/>
          <cell r="BZ173"/>
          <cell r="CA173"/>
          <cell r="CB173">
            <v>1.4732880954112767E-2</v>
          </cell>
          <cell r="CC173"/>
          <cell r="CD173"/>
          <cell r="CE173"/>
          <cell r="CF173"/>
          <cell r="CG173">
            <v>1.4732880954112767E-2</v>
          </cell>
          <cell r="CH173"/>
          <cell r="CI173"/>
          <cell r="CJ173"/>
          <cell r="CK173"/>
          <cell r="CL173">
            <v>1.4732880954112767E-2</v>
          </cell>
          <cell r="CM173"/>
          <cell r="CN173"/>
          <cell r="CO173"/>
          <cell r="CP173"/>
          <cell r="CQ173">
            <v>1.4732880954112767E-2</v>
          </cell>
          <cell r="CR173"/>
          <cell r="CS173"/>
          <cell r="CT173"/>
          <cell r="CU173"/>
          <cell r="CV173">
            <v>1.4732880954112767E-2</v>
          </cell>
          <cell r="CW173">
            <v>1.4732880954112767E-2</v>
          </cell>
          <cell r="CX173">
            <v>1.4732880954112767E-2</v>
          </cell>
          <cell r="CY173">
            <v>1.4732880954112767E-2</v>
          </cell>
        </row>
        <row r="174">
          <cell r="B174" t="str">
            <v>Sales - % Other Emerging Asia</v>
          </cell>
          <cell r="C174" t="str">
            <v>SALES_OTH_EMERG_ASIA</v>
          </cell>
          <cell r="F174"/>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v>2.7964867133607234E-2</v>
          </cell>
          <cell r="BD174"/>
          <cell r="BE174"/>
          <cell r="BF174"/>
          <cell r="BG174"/>
          <cell r="BH174">
            <v>2.7032704895820325E-2</v>
          </cell>
          <cell r="BI174"/>
          <cell r="BJ174"/>
          <cell r="BK174"/>
          <cell r="BL174"/>
          <cell r="BM174">
            <v>2.467082670799059E-2</v>
          </cell>
          <cell r="BN174"/>
          <cell r="BO174"/>
          <cell r="BP174"/>
          <cell r="BQ174"/>
          <cell r="BR174">
            <v>2.687229055829754E-2</v>
          </cell>
          <cell r="BS174"/>
          <cell r="BT174"/>
          <cell r="BU174"/>
          <cell r="BV174"/>
          <cell r="BW174">
            <v>3.0938468149321663E-2</v>
          </cell>
          <cell r="BX174"/>
          <cell r="BY174"/>
          <cell r="BZ174"/>
          <cell r="CA174"/>
          <cell r="CB174">
            <v>3.0938468149321663E-2</v>
          </cell>
          <cell r="CC174"/>
          <cell r="CD174"/>
          <cell r="CE174"/>
          <cell r="CF174"/>
          <cell r="CG174">
            <v>3.0938468149321663E-2</v>
          </cell>
          <cell r="CH174"/>
          <cell r="CI174"/>
          <cell r="CJ174"/>
          <cell r="CK174"/>
          <cell r="CL174">
            <v>3.0938468149321663E-2</v>
          </cell>
          <cell r="CM174"/>
          <cell r="CN174"/>
          <cell r="CO174"/>
          <cell r="CP174"/>
          <cell r="CQ174">
            <v>3.0938468149321663E-2</v>
          </cell>
          <cell r="CR174"/>
          <cell r="CS174"/>
          <cell r="CT174"/>
          <cell r="CU174"/>
          <cell r="CV174">
            <v>3.0938468149321663E-2</v>
          </cell>
          <cell r="CW174">
            <v>3.0938468149321663E-2</v>
          </cell>
          <cell r="CX174">
            <v>3.0938468149321663E-2</v>
          </cell>
          <cell r="CY174">
            <v>3.0938468149321663E-2</v>
          </cell>
        </row>
        <row r="175">
          <cell r="B175" t="str">
            <v>Sales - % Australia</v>
          </cell>
          <cell r="C175" t="str">
            <v>SALES_AUSTRA</v>
          </cell>
          <cell r="F175"/>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v>1.1916300771708859E-2</v>
          </cell>
          <cell r="BD175"/>
          <cell r="BE175"/>
          <cell r="BF175"/>
          <cell r="BG175"/>
          <cell r="BH175">
            <v>1.1519090745985229E-2</v>
          </cell>
          <cell r="BI175"/>
          <cell r="BJ175"/>
          <cell r="BK175"/>
          <cell r="BL175"/>
          <cell r="BM175">
            <v>1.0508010680506901E-2</v>
          </cell>
          <cell r="BN175"/>
          <cell r="BO175"/>
          <cell r="BP175"/>
          <cell r="BQ175"/>
          <cell r="BR175">
            <v>1.1555200748323741E-2</v>
          </cell>
          <cell r="BS175"/>
          <cell r="BT175"/>
          <cell r="BU175"/>
          <cell r="BV175"/>
          <cell r="BW175">
            <v>1.3432920869926347E-2</v>
          </cell>
          <cell r="BX175"/>
          <cell r="BY175"/>
          <cell r="BZ175"/>
          <cell r="CA175"/>
          <cell r="CB175">
            <v>1.3432920869926347E-2</v>
          </cell>
          <cell r="CC175"/>
          <cell r="CD175"/>
          <cell r="CE175"/>
          <cell r="CF175"/>
          <cell r="CG175">
            <v>1.3432920869926347E-2</v>
          </cell>
          <cell r="CH175"/>
          <cell r="CI175"/>
          <cell r="CJ175"/>
          <cell r="CK175"/>
          <cell r="CL175">
            <v>1.3432920869926347E-2</v>
          </cell>
          <cell r="CM175"/>
          <cell r="CN175"/>
          <cell r="CO175"/>
          <cell r="CP175"/>
          <cell r="CQ175">
            <v>1.3432920869926347E-2</v>
          </cell>
          <cell r="CR175"/>
          <cell r="CS175"/>
          <cell r="CT175"/>
          <cell r="CU175"/>
          <cell r="CV175">
            <v>1.3432920869926347E-2</v>
          </cell>
          <cell r="CW175">
            <v>1.3432920869926347E-2</v>
          </cell>
          <cell r="CX175">
            <v>1.3432920869926347E-2</v>
          </cell>
          <cell r="CY175">
            <v>1.3432920869926347E-2</v>
          </cell>
        </row>
        <row r="176">
          <cell r="B176" t="str">
            <v>Sales - % New Zealand</v>
          </cell>
          <cell r="C176" t="str">
            <v>SALES_NZ</v>
          </cell>
          <cell r="F176"/>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v>2.882975993155369E-3</v>
          </cell>
          <cell r="BD176"/>
          <cell r="BE176"/>
          <cell r="BF176"/>
          <cell r="BG176"/>
          <cell r="BH176">
            <v>2.7868767933835231E-3</v>
          </cell>
          <cell r="BI176"/>
          <cell r="BJ176"/>
          <cell r="BK176"/>
          <cell r="BL176"/>
          <cell r="BM176">
            <v>2.5422606485097339E-3</v>
          </cell>
          <cell r="BN176"/>
          <cell r="BO176"/>
          <cell r="BP176"/>
          <cell r="BQ176"/>
          <cell r="BR176">
            <v>2.7956130842718726E-3</v>
          </cell>
          <cell r="BS176"/>
          <cell r="BT176"/>
          <cell r="BU176"/>
          <cell r="BV176"/>
          <cell r="BW176">
            <v>3.2499002104660517E-3</v>
          </cell>
          <cell r="BX176"/>
          <cell r="BY176"/>
          <cell r="BZ176"/>
          <cell r="CA176"/>
          <cell r="CB176">
            <v>3.2499002104660517E-3</v>
          </cell>
          <cell r="CC176"/>
          <cell r="CD176"/>
          <cell r="CE176"/>
          <cell r="CF176"/>
          <cell r="CG176">
            <v>3.2499002104660517E-3</v>
          </cell>
          <cell r="CH176"/>
          <cell r="CI176"/>
          <cell r="CJ176"/>
          <cell r="CK176"/>
          <cell r="CL176">
            <v>3.2499002104660517E-3</v>
          </cell>
          <cell r="CM176"/>
          <cell r="CN176"/>
          <cell r="CO176"/>
          <cell r="CP176"/>
          <cell r="CQ176">
            <v>3.2499002104660517E-3</v>
          </cell>
          <cell r="CR176"/>
          <cell r="CS176"/>
          <cell r="CT176"/>
          <cell r="CU176"/>
          <cell r="CV176">
            <v>3.2499002104660517E-3</v>
          </cell>
          <cell r="CW176">
            <v>3.2499002104660517E-3</v>
          </cell>
          <cell r="CX176">
            <v>3.2499002104660517E-3</v>
          </cell>
          <cell r="CY176">
            <v>3.2499002104660517E-3</v>
          </cell>
        </row>
        <row r="177">
          <cell r="B177" t="str">
            <v>Sales - % Others</v>
          </cell>
          <cell r="C177" t="str">
            <v>SALES_OTHER</v>
          </cell>
          <cell r="F177"/>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v>1</v>
          </cell>
          <cell r="AY177"/>
          <cell r="AZ177"/>
          <cell r="BA177"/>
          <cell r="BB177"/>
          <cell r="BC177">
            <v>3.17118625852153E-5</v>
          </cell>
          <cell r="BD177"/>
          <cell r="BE177"/>
          <cell r="BF177"/>
          <cell r="BG177"/>
          <cell r="BH177">
            <v>0</v>
          </cell>
          <cell r="BI177"/>
          <cell r="BJ177"/>
          <cell r="BK177"/>
          <cell r="BL177"/>
          <cell r="BM177">
            <v>0</v>
          </cell>
          <cell r="BN177"/>
          <cell r="BO177"/>
          <cell r="BP177"/>
          <cell r="BQ177"/>
          <cell r="BR177">
            <v>0</v>
          </cell>
          <cell r="BS177"/>
          <cell r="BT177"/>
          <cell r="BU177"/>
          <cell r="BV177"/>
          <cell r="BW177">
            <v>0</v>
          </cell>
          <cell r="BX177"/>
          <cell r="BY177"/>
          <cell r="BZ177"/>
          <cell r="CA177"/>
          <cell r="CB177">
            <v>0</v>
          </cell>
          <cell r="CC177"/>
          <cell r="CD177"/>
          <cell r="CE177"/>
          <cell r="CF177"/>
          <cell r="CG177">
            <v>0</v>
          </cell>
          <cell r="CH177"/>
          <cell r="CI177"/>
          <cell r="CJ177"/>
          <cell r="CK177"/>
          <cell r="CL177">
            <v>0</v>
          </cell>
          <cell r="CM177"/>
          <cell r="CN177"/>
          <cell r="CO177"/>
          <cell r="CP177"/>
          <cell r="CQ177">
            <v>0</v>
          </cell>
          <cell r="CR177"/>
          <cell r="CS177"/>
          <cell r="CT177"/>
          <cell r="CU177"/>
          <cell r="CV177">
            <v>0</v>
          </cell>
          <cell r="CW177">
            <v>0</v>
          </cell>
          <cell r="CX177">
            <v>0</v>
          </cell>
          <cell r="CY177">
            <v>0</v>
          </cell>
        </row>
        <row r="178">
          <cell r="B178" t="str">
            <v>% of CoGS from U.S. (GS estimate)</v>
          </cell>
          <cell r="C178" t="str">
            <v>COGS_PCT_US</v>
          </cell>
          <cell r="F178"/>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v>0.63116844406173411</v>
          </cell>
          <cell r="BD178"/>
          <cell r="BE178"/>
          <cell r="BF178"/>
          <cell r="BG178"/>
          <cell r="BH178">
            <v>0.63116844406173411</v>
          </cell>
          <cell r="BI178"/>
          <cell r="BJ178"/>
          <cell r="BK178"/>
          <cell r="BL178"/>
          <cell r="BM178">
            <v>0.63116844406173411</v>
          </cell>
          <cell r="BN178"/>
          <cell r="BO178"/>
          <cell r="BP178"/>
          <cell r="BQ178"/>
          <cell r="BR178">
            <v>0.63116844406173411</v>
          </cell>
          <cell r="BS178"/>
          <cell r="BT178"/>
          <cell r="BU178"/>
          <cell r="BV178"/>
          <cell r="BW178">
            <v>0.63116844406173411</v>
          </cell>
          <cell r="BX178"/>
          <cell r="BY178"/>
          <cell r="BZ178"/>
          <cell r="CA178"/>
          <cell r="CB178">
            <v>0.63116844406173411</v>
          </cell>
          <cell r="CC178"/>
          <cell r="CD178"/>
          <cell r="CE178"/>
          <cell r="CF178"/>
          <cell r="CG178">
            <v>0.63116844406173411</v>
          </cell>
          <cell r="CH178"/>
          <cell r="CI178"/>
          <cell r="CJ178"/>
          <cell r="CK178"/>
          <cell r="CL178">
            <v>0.63116844406173411</v>
          </cell>
          <cell r="CM178"/>
          <cell r="CN178"/>
          <cell r="CO178"/>
          <cell r="CP178"/>
          <cell r="CQ178">
            <v>0.63116844406173411</v>
          </cell>
          <cell r="CR178"/>
          <cell r="CS178"/>
          <cell r="CT178"/>
          <cell r="CU178"/>
          <cell r="CV178">
            <v>0.63116844406173411</v>
          </cell>
          <cell r="CW178">
            <v>0.63116844406173411</v>
          </cell>
          <cell r="CX178">
            <v>0.63116844406173411</v>
          </cell>
          <cell r="CY178">
            <v>0.63116844406173411</v>
          </cell>
        </row>
        <row r="179">
          <cell r="B179" t="str">
            <v>% of CoGS from non-U.S. (GS estimate)</v>
          </cell>
          <cell r="C179" t="str">
            <v>COGS_PCT_ROW</v>
          </cell>
          <cell r="F179"/>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v>0.36883155593826589</v>
          </cell>
          <cell r="BD179"/>
          <cell r="BE179"/>
          <cell r="BF179"/>
          <cell r="BG179"/>
          <cell r="BH179">
            <v>0.36883155593826589</v>
          </cell>
          <cell r="BI179"/>
          <cell r="BJ179"/>
          <cell r="BK179"/>
          <cell r="BL179"/>
          <cell r="BM179">
            <v>0.36883155593826589</v>
          </cell>
          <cell r="BN179"/>
          <cell r="BO179"/>
          <cell r="BP179"/>
          <cell r="BQ179"/>
          <cell r="BR179">
            <v>0.36883155593826589</v>
          </cell>
          <cell r="BS179"/>
          <cell r="BT179"/>
          <cell r="BU179"/>
          <cell r="BV179"/>
          <cell r="BW179">
            <v>0.36883155593826589</v>
          </cell>
          <cell r="BX179"/>
          <cell r="BY179"/>
          <cell r="BZ179"/>
          <cell r="CA179"/>
          <cell r="CB179">
            <v>0.36883155593826589</v>
          </cell>
          <cell r="CC179"/>
          <cell r="CD179"/>
          <cell r="CE179"/>
          <cell r="CF179"/>
          <cell r="CG179">
            <v>0.36883155593826589</v>
          </cell>
          <cell r="CH179"/>
          <cell r="CI179"/>
          <cell r="CJ179"/>
          <cell r="CK179"/>
          <cell r="CL179">
            <v>0.36883155593826589</v>
          </cell>
          <cell r="CM179"/>
          <cell r="CN179"/>
          <cell r="CO179"/>
          <cell r="CP179"/>
          <cell r="CQ179">
            <v>0.36883155593826589</v>
          </cell>
          <cell r="CR179"/>
          <cell r="CS179"/>
          <cell r="CT179"/>
          <cell r="CU179"/>
          <cell r="CV179">
            <v>0.36883155593826589</v>
          </cell>
          <cell r="CW179">
            <v>0.36883155593826589</v>
          </cell>
          <cell r="CX179">
            <v>0.36883155593826589</v>
          </cell>
          <cell r="CY179">
            <v>0.36883155593826589</v>
          </cell>
        </row>
        <row r="180">
          <cell r="B180" t="str">
            <v>% of SG&amp;A from U.S. (GS estimate)</v>
          </cell>
          <cell r="C180" t="str">
            <v>SGA_PCT_US</v>
          </cell>
          <cell r="F180"/>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v>2.0655468830084789E-2</v>
          </cell>
          <cell r="BD180"/>
          <cell r="BE180"/>
          <cell r="BF180"/>
          <cell r="BG180"/>
          <cell r="BH180">
            <v>2.0655468830084789E-2</v>
          </cell>
          <cell r="BI180"/>
          <cell r="BJ180"/>
          <cell r="BK180"/>
          <cell r="BL180"/>
          <cell r="BM180">
            <v>2.0655468830084789E-2</v>
          </cell>
          <cell r="BN180"/>
          <cell r="BO180"/>
          <cell r="BP180"/>
          <cell r="BQ180"/>
          <cell r="BR180">
            <v>2.0655468830084789E-2</v>
          </cell>
          <cell r="BS180"/>
          <cell r="BT180"/>
          <cell r="BU180"/>
          <cell r="BV180"/>
          <cell r="BW180">
            <v>2.0655468830084789E-2</v>
          </cell>
          <cell r="BX180"/>
          <cell r="BY180"/>
          <cell r="BZ180"/>
          <cell r="CA180"/>
          <cell r="CB180">
            <v>2.0655468830084789E-2</v>
          </cell>
          <cell r="CC180"/>
          <cell r="CD180"/>
          <cell r="CE180"/>
          <cell r="CF180"/>
          <cell r="CG180">
            <v>2.0655468830084789E-2</v>
          </cell>
          <cell r="CH180"/>
          <cell r="CI180"/>
          <cell r="CJ180"/>
          <cell r="CK180"/>
          <cell r="CL180">
            <v>2.0655468830084789E-2</v>
          </cell>
          <cell r="CM180"/>
          <cell r="CN180"/>
          <cell r="CO180"/>
          <cell r="CP180"/>
          <cell r="CQ180">
            <v>2.0655468830084789E-2</v>
          </cell>
          <cell r="CR180"/>
          <cell r="CS180"/>
          <cell r="CT180"/>
          <cell r="CU180"/>
          <cell r="CV180">
            <v>2.0655468830084789E-2</v>
          </cell>
          <cell r="CW180">
            <v>2.0655468830084789E-2</v>
          </cell>
          <cell r="CX180">
            <v>2.0655468830084789E-2</v>
          </cell>
          <cell r="CY180">
            <v>2.0655468830084789E-2</v>
          </cell>
        </row>
        <row r="181">
          <cell r="B181" t="str">
            <v>% of SG&amp;A from non-U.S. (GS estimate)</v>
          </cell>
          <cell r="C181" t="str">
            <v>SGA_PCT_ROW</v>
          </cell>
          <cell r="F181"/>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v>0.97934453116991516</v>
          </cell>
          <cell r="BD181"/>
          <cell r="BE181"/>
          <cell r="BF181"/>
          <cell r="BG181"/>
          <cell r="BH181">
            <v>0.97934453116991516</v>
          </cell>
          <cell r="BI181"/>
          <cell r="BJ181"/>
          <cell r="BK181"/>
          <cell r="BL181"/>
          <cell r="BM181">
            <v>0.97934453116991516</v>
          </cell>
          <cell r="BN181"/>
          <cell r="BO181"/>
          <cell r="BP181"/>
          <cell r="BQ181"/>
          <cell r="BR181">
            <v>0.97934453116991516</v>
          </cell>
          <cell r="BS181"/>
          <cell r="BT181"/>
          <cell r="BU181"/>
          <cell r="BV181"/>
          <cell r="BW181">
            <v>0.97934453116991516</v>
          </cell>
          <cell r="BX181"/>
          <cell r="BY181"/>
          <cell r="BZ181"/>
          <cell r="CA181"/>
          <cell r="CB181">
            <v>0.97934453116991516</v>
          </cell>
          <cell r="CC181"/>
          <cell r="CD181"/>
          <cell r="CE181"/>
          <cell r="CF181"/>
          <cell r="CG181">
            <v>0.97934453116991516</v>
          </cell>
          <cell r="CH181"/>
          <cell r="CI181"/>
          <cell r="CJ181"/>
          <cell r="CK181"/>
          <cell r="CL181">
            <v>0.97934453116991516</v>
          </cell>
          <cell r="CM181"/>
          <cell r="CN181"/>
          <cell r="CO181"/>
          <cell r="CP181"/>
          <cell r="CQ181">
            <v>0.97934453116991516</v>
          </cell>
          <cell r="CR181"/>
          <cell r="CS181"/>
          <cell r="CT181"/>
          <cell r="CU181"/>
          <cell r="CV181">
            <v>0.97934453116991516</v>
          </cell>
          <cell r="CW181">
            <v>0.97934453116991516</v>
          </cell>
          <cell r="CX181">
            <v>0.97934453116991516</v>
          </cell>
          <cell r="CY181">
            <v>0.97934453116991516</v>
          </cell>
        </row>
        <row r="182">
          <cell r="B182" t="str">
            <v>Sales -% Consumer (C)</v>
          </cell>
          <cell r="C182" t="str">
            <v>SALES_CONS</v>
          </cell>
          <cell r="F182"/>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v>0</v>
          </cell>
          <cell r="AY182"/>
          <cell r="AZ182"/>
          <cell r="BA182"/>
          <cell r="BB182"/>
          <cell r="BC182">
            <v>0</v>
          </cell>
          <cell r="BD182"/>
          <cell r="BE182"/>
          <cell r="BF182"/>
          <cell r="BG182"/>
          <cell r="BH182">
            <v>0</v>
          </cell>
          <cell r="BI182"/>
          <cell r="BJ182"/>
          <cell r="BK182"/>
          <cell r="BL182"/>
          <cell r="BM182">
            <v>0</v>
          </cell>
          <cell r="BN182"/>
          <cell r="BO182"/>
          <cell r="BP182"/>
          <cell r="BQ182"/>
          <cell r="BR182">
            <v>0</v>
          </cell>
          <cell r="BS182"/>
          <cell r="BT182"/>
          <cell r="BU182"/>
          <cell r="BV182"/>
          <cell r="BW182">
            <v>0</v>
          </cell>
          <cell r="BX182"/>
          <cell r="BY182"/>
          <cell r="BZ182"/>
          <cell r="CA182"/>
          <cell r="CB182">
            <v>0</v>
          </cell>
          <cell r="CC182"/>
          <cell r="CD182"/>
          <cell r="CE182"/>
          <cell r="CF182"/>
          <cell r="CG182">
            <v>0</v>
          </cell>
          <cell r="CH182"/>
          <cell r="CI182"/>
          <cell r="CJ182"/>
          <cell r="CK182"/>
          <cell r="CL182">
            <v>0</v>
          </cell>
          <cell r="CM182"/>
          <cell r="CN182"/>
          <cell r="CO182"/>
          <cell r="CP182"/>
          <cell r="CQ182">
            <v>0</v>
          </cell>
          <cell r="CR182"/>
          <cell r="CS182"/>
          <cell r="CT182"/>
          <cell r="CU182"/>
          <cell r="CV182">
            <v>0</v>
          </cell>
          <cell r="CW182">
            <v>0</v>
          </cell>
          <cell r="CX182">
            <v>0</v>
          </cell>
          <cell r="CY182">
            <v>0</v>
          </cell>
        </row>
        <row r="183">
          <cell r="B183" t="str">
            <v>Sales -% Industry (I)</v>
          </cell>
          <cell r="C183" t="str">
            <v>SALES_IND</v>
          </cell>
          <cell r="F183"/>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v>0.8</v>
          </cell>
          <cell r="AY183"/>
          <cell r="AZ183"/>
          <cell r="BA183"/>
          <cell r="BB183"/>
          <cell r="BC183">
            <v>0.70348150398271903</v>
          </cell>
          <cell r="BD183"/>
          <cell r="BE183"/>
          <cell r="BF183"/>
          <cell r="BG183"/>
          <cell r="BH183">
            <v>0.73173784856620494</v>
          </cell>
          <cell r="BI183"/>
          <cell r="BJ183"/>
          <cell r="BK183"/>
          <cell r="BL183"/>
          <cell r="BM183">
            <v>0.74440651667959656</v>
          </cell>
          <cell r="BN183"/>
          <cell r="BO183"/>
          <cell r="BP183"/>
          <cell r="BQ183"/>
          <cell r="BR183">
            <v>0.77200702903230645</v>
          </cell>
          <cell r="BS183"/>
          <cell r="BT183"/>
          <cell r="BU183"/>
          <cell r="BV183"/>
          <cell r="BW183">
            <v>0.790381383904459</v>
          </cell>
          <cell r="BX183"/>
          <cell r="BY183"/>
          <cell r="BZ183"/>
          <cell r="CA183"/>
          <cell r="CB183">
            <v>0.790381383904459</v>
          </cell>
          <cell r="CC183"/>
          <cell r="CD183"/>
          <cell r="CE183"/>
          <cell r="CF183"/>
          <cell r="CG183">
            <v>0.790381383904459</v>
          </cell>
          <cell r="CH183"/>
          <cell r="CI183"/>
          <cell r="CJ183"/>
          <cell r="CK183"/>
          <cell r="CL183">
            <v>0.790381383904459</v>
          </cell>
          <cell r="CM183"/>
          <cell r="CN183"/>
          <cell r="CO183"/>
          <cell r="CP183"/>
          <cell r="CQ183">
            <v>0.790381383904459</v>
          </cell>
          <cell r="CR183"/>
          <cell r="CS183"/>
          <cell r="CT183"/>
          <cell r="CU183"/>
          <cell r="CV183">
            <v>0.790381383904459</v>
          </cell>
          <cell r="CW183">
            <v>0.790381383904459</v>
          </cell>
          <cell r="CX183">
            <v>0.790381383904459</v>
          </cell>
          <cell r="CY183">
            <v>0.790381383904459</v>
          </cell>
        </row>
        <row r="184">
          <cell r="B184" t="str">
            <v>Sales -% Government (G)</v>
          </cell>
          <cell r="C184" t="str">
            <v>SALES_GOV</v>
          </cell>
          <cell r="F184"/>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v>0.2</v>
          </cell>
          <cell r="AY184"/>
          <cell r="AZ184"/>
          <cell r="BA184"/>
          <cell r="BB184"/>
          <cell r="BC184">
            <v>0.29651849601728097</v>
          </cell>
          <cell r="BD184"/>
          <cell r="BE184"/>
          <cell r="BF184"/>
          <cell r="BG184"/>
          <cell r="BH184">
            <v>0.26826215143379506</v>
          </cell>
          <cell r="BI184"/>
          <cell r="BJ184"/>
          <cell r="BK184"/>
          <cell r="BL184"/>
          <cell r="BM184">
            <v>0.25559348332040344</v>
          </cell>
          <cell r="BN184"/>
          <cell r="BO184"/>
          <cell r="BP184"/>
          <cell r="BQ184"/>
          <cell r="BR184">
            <v>0.2279929709676935</v>
          </cell>
          <cell r="BS184"/>
          <cell r="BT184"/>
          <cell r="BU184"/>
          <cell r="BV184"/>
          <cell r="BW184">
            <v>0.20961861609554103</v>
          </cell>
          <cell r="BX184"/>
          <cell r="BY184"/>
          <cell r="BZ184"/>
          <cell r="CA184"/>
          <cell r="CB184">
            <v>0.20961861609554103</v>
          </cell>
          <cell r="CC184"/>
          <cell r="CD184"/>
          <cell r="CE184"/>
          <cell r="CF184"/>
          <cell r="CG184">
            <v>0.20961861609554103</v>
          </cell>
          <cell r="CH184"/>
          <cell r="CI184"/>
          <cell r="CJ184"/>
          <cell r="CK184"/>
          <cell r="CL184">
            <v>0.20961861609554103</v>
          </cell>
          <cell r="CM184"/>
          <cell r="CN184"/>
          <cell r="CO184"/>
          <cell r="CP184"/>
          <cell r="CQ184">
            <v>0.20961861609554103</v>
          </cell>
          <cell r="CR184"/>
          <cell r="CS184"/>
          <cell r="CT184"/>
          <cell r="CU184"/>
          <cell r="CV184">
            <v>0.20961861609554103</v>
          </cell>
          <cell r="CW184">
            <v>0.20961861609554103</v>
          </cell>
          <cell r="CX184">
            <v>0.20961861609554103</v>
          </cell>
          <cell r="CY184">
            <v>0.20961861609554103</v>
          </cell>
        </row>
        <row r="185">
          <cell r="B185" t="str">
            <v>Sales - % Industry Sub-Segment: Financial Services</v>
          </cell>
          <cell r="C185" t="str">
            <v>SALES_FINAN</v>
          </cell>
          <cell r="F185"/>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v>0</v>
          </cell>
          <cell r="AY185"/>
          <cell r="AZ185"/>
          <cell r="BA185"/>
          <cell r="BB185"/>
          <cell r="BC185">
            <v>0</v>
          </cell>
          <cell r="BD185"/>
          <cell r="BE185"/>
          <cell r="BF185"/>
          <cell r="BG185"/>
          <cell r="BH185">
            <v>0</v>
          </cell>
          <cell r="BI185"/>
          <cell r="BJ185"/>
          <cell r="BK185"/>
          <cell r="BL185"/>
          <cell r="BM185">
            <v>0</v>
          </cell>
          <cell r="BN185"/>
          <cell r="BO185"/>
          <cell r="BP185"/>
          <cell r="BQ185"/>
          <cell r="BR185">
            <v>0</v>
          </cell>
          <cell r="BS185"/>
          <cell r="BT185"/>
          <cell r="BU185"/>
          <cell r="BV185"/>
          <cell r="BW185">
            <v>0</v>
          </cell>
          <cell r="BX185"/>
          <cell r="BY185"/>
          <cell r="BZ185"/>
          <cell r="CA185"/>
          <cell r="CB185">
            <v>0</v>
          </cell>
          <cell r="CC185"/>
          <cell r="CD185"/>
          <cell r="CE185"/>
          <cell r="CF185"/>
          <cell r="CG185">
            <v>0</v>
          </cell>
          <cell r="CH185"/>
          <cell r="CI185"/>
          <cell r="CJ185"/>
          <cell r="CK185"/>
          <cell r="CL185">
            <v>0</v>
          </cell>
          <cell r="CM185"/>
          <cell r="CN185"/>
          <cell r="CO185"/>
          <cell r="CP185"/>
          <cell r="CQ185">
            <v>0</v>
          </cell>
          <cell r="CR185"/>
          <cell r="CS185"/>
          <cell r="CT185"/>
          <cell r="CU185"/>
          <cell r="CV185">
            <v>0</v>
          </cell>
          <cell r="CW185">
            <v>0</v>
          </cell>
          <cell r="CX185">
            <v>0</v>
          </cell>
          <cell r="CY185">
            <v>0</v>
          </cell>
        </row>
        <row r="186">
          <cell r="B186" t="str">
            <v>Sales - % Industry Sub-Segment: Oil &amp; Gas</v>
          </cell>
          <cell r="C186" t="str">
            <v>SALES_OIL_GAS</v>
          </cell>
          <cell r="F186"/>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v>1.3283464965573106E-2</v>
          </cell>
          <cell r="BD186"/>
          <cell r="BE186"/>
          <cell r="BF186"/>
          <cell r="BG186"/>
          <cell r="BH186">
            <v>1.3432049149276102E-2</v>
          </cell>
          <cell r="BI186"/>
          <cell r="BJ186"/>
          <cell r="BK186"/>
          <cell r="BL186"/>
          <cell r="BM186">
            <v>1.3161365399534523E-2</v>
          </cell>
          <cell r="BN186"/>
          <cell r="BO186"/>
          <cell r="BP186"/>
          <cell r="BQ186"/>
          <cell r="BR186">
            <v>1.2488547783902314E-2</v>
          </cell>
          <cell r="BS186"/>
          <cell r="BT186"/>
          <cell r="BU186"/>
          <cell r="BV186"/>
          <cell r="BW186">
            <v>1.2488547783902314E-2</v>
          </cell>
          <cell r="BX186"/>
          <cell r="BY186"/>
          <cell r="BZ186"/>
          <cell r="CA186"/>
          <cell r="CB186">
            <v>1.2488547783902314E-2</v>
          </cell>
          <cell r="CC186"/>
          <cell r="CD186"/>
          <cell r="CE186"/>
          <cell r="CF186"/>
          <cell r="CG186">
            <v>1.2488547783902314E-2</v>
          </cell>
          <cell r="CH186"/>
          <cell r="CI186"/>
          <cell r="CJ186"/>
          <cell r="CK186"/>
          <cell r="CL186">
            <v>1.2488547783902314E-2</v>
          </cell>
          <cell r="CM186"/>
          <cell r="CN186"/>
          <cell r="CO186"/>
          <cell r="CP186"/>
          <cell r="CQ186">
            <v>1.2488547783902314E-2</v>
          </cell>
          <cell r="CR186"/>
          <cell r="CS186"/>
          <cell r="CT186"/>
          <cell r="CU186"/>
          <cell r="CV186">
            <v>1.2488547783902314E-2</v>
          </cell>
          <cell r="CW186">
            <v>1.2488547783902314E-2</v>
          </cell>
          <cell r="CX186">
            <v>1.2488547783902314E-2</v>
          </cell>
          <cell r="CY186">
            <v>1.2488547783902314E-2</v>
          </cell>
        </row>
        <row r="187">
          <cell r="A187" t="str">
            <v>Commodities Exposure - Sales</v>
          </cell>
          <cell r="B187"/>
          <cell r="C187"/>
          <cell r="D187"/>
        </row>
        <row r="188">
          <cell r="B188" t="str">
            <v>Sales - % Other commodity</v>
          </cell>
          <cell r="C188" t="str">
            <v>SALES_OTH_COMMODITY</v>
          </cell>
          <cell r="F188"/>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cell r="CO188"/>
          <cell r="CP188"/>
          <cell r="CQ188"/>
          <cell r="CR188"/>
          <cell r="CS188"/>
          <cell r="CT188"/>
          <cell r="CU188"/>
          <cell r="CV188"/>
          <cell r="CW188"/>
          <cell r="CX188"/>
          <cell r="CY188"/>
        </row>
        <row r="189">
          <cell r="B189" t="str">
            <v>Sales - % Other (Non-Commodity) sales sources</v>
          </cell>
          <cell r="C189" t="str">
            <v>SALES_OTH_SALES_SOURCES</v>
          </cell>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cell r="CO189"/>
          <cell r="CP189"/>
          <cell r="CQ189"/>
          <cell r="CR189"/>
          <cell r="CS189"/>
          <cell r="CT189"/>
          <cell r="CU189"/>
          <cell r="CV189"/>
          <cell r="CW189"/>
          <cell r="CX189"/>
          <cell r="CY189"/>
        </row>
        <row r="190">
          <cell r="A190" t="str">
            <v>Commodities Exposure - Expense</v>
          </cell>
          <cell r="B190"/>
          <cell r="C190"/>
          <cell r="D190"/>
        </row>
        <row r="191">
          <cell r="B191" t="str">
            <v>Expense - % Oil/Petrol/Fuel</v>
          </cell>
          <cell r="C191" t="str">
            <v>EXP_OIL_PETRO_FUEL</v>
          </cell>
          <cell r="F191"/>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v>0</v>
          </cell>
          <cell r="BD191"/>
          <cell r="BE191"/>
          <cell r="BF191"/>
          <cell r="BG191"/>
          <cell r="BH191">
            <v>0</v>
          </cell>
          <cell r="BI191"/>
          <cell r="BJ191"/>
          <cell r="BK191"/>
          <cell r="BL191"/>
          <cell r="BM191">
            <v>0</v>
          </cell>
          <cell r="BN191"/>
          <cell r="BO191"/>
          <cell r="BP191"/>
          <cell r="BQ191"/>
          <cell r="BR191">
            <v>0</v>
          </cell>
          <cell r="BS191"/>
          <cell r="BT191"/>
          <cell r="BU191"/>
          <cell r="BV191"/>
          <cell r="BW191">
            <v>0</v>
          </cell>
          <cell r="BX191"/>
          <cell r="BY191"/>
          <cell r="BZ191"/>
          <cell r="CA191"/>
          <cell r="CB191">
            <v>0</v>
          </cell>
          <cell r="CC191"/>
          <cell r="CD191"/>
          <cell r="CE191"/>
          <cell r="CF191"/>
          <cell r="CG191">
            <v>0</v>
          </cell>
          <cell r="CH191"/>
          <cell r="CI191"/>
          <cell r="CJ191"/>
          <cell r="CK191"/>
          <cell r="CL191">
            <v>0</v>
          </cell>
          <cell r="CM191"/>
          <cell r="CN191"/>
          <cell r="CO191"/>
          <cell r="CP191"/>
          <cell r="CQ191">
            <v>0</v>
          </cell>
          <cell r="CR191"/>
          <cell r="CS191"/>
          <cell r="CT191"/>
          <cell r="CU191"/>
          <cell r="CV191">
            <v>0</v>
          </cell>
          <cell r="CW191">
            <v>0</v>
          </cell>
          <cell r="CX191">
            <v>0</v>
          </cell>
          <cell r="CY191">
            <v>0</v>
          </cell>
        </row>
        <row r="192">
          <cell r="B192" t="str">
            <v>Expense - % Oil derivatives/NGLs/plastics</v>
          </cell>
          <cell r="C192" t="str">
            <v>EXP_OIL_DERIV_NGLS_PLASTICS</v>
          </cell>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v>0</v>
          </cell>
          <cell r="BD192"/>
          <cell r="BE192"/>
          <cell r="BF192"/>
          <cell r="BG192"/>
          <cell r="BH192">
            <v>0</v>
          </cell>
          <cell r="BI192"/>
          <cell r="BJ192"/>
          <cell r="BK192"/>
          <cell r="BL192"/>
          <cell r="BM192">
            <v>0</v>
          </cell>
          <cell r="BN192"/>
          <cell r="BO192"/>
          <cell r="BP192"/>
          <cell r="BQ192"/>
          <cell r="BR192">
            <v>0</v>
          </cell>
          <cell r="BS192"/>
          <cell r="BT192"/>
          <cell r="BU192"/>
          <cell r="BV192"/>
          <cell r="BW192">
            <v>0</v>
          </cell>
          <cell r="BX192"/>
          <cell r="BY192"/>
          <cell r="BZ192"/>
          <cell r="CA192"/>
          <cell r="CB192">
            <v>0</v>
          </cell>
          <cell r="CC192"/>
          <cell r="CD192"/>
          <cell r="CE192"/>
          <cell r="CF192"/>
          <cell r="CG192">
            <v>0</v>
          </cell>
          <cell r="CH192"/>
          <cell r="CI192"/>
          <cell r="CJ192"/>
          <cell r="CK192"/>
          <cell r="CL192">
            <v>0</v>
          </cell>
          <cell r="CM192"/>
          <cell r="CN192"/>
          <cell r="CO192"/>
          <cell r="CP192"/>
          <cell r="CQ192">
            <v>0</v>
          </cell>
          <cell r="CR192"/>
          <cell r="CS192"/>
          <cell r="CT192"/>
          <cell r="CU192"/>
          <cell r="CV192">
            <v>0</v>
          </cell>
          <cell r="CW192">
            <v>0</v>
          </cell>
          <cell r="CX192">
            <v>0</v>
          </cell>
          <cell r="CY192">
            <v>0</v>
          </cell>
        </row>
        <row r="193">
          <cell r="B193" t="str">
            <v>Expense - % Nat Gas</v>
          </cell>
          <cell r="C193" t="str">
            <v>EXP_NAT_GAS</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cell r="CO193"/>
          <cell r="CP193"/>
          <cell r="CQ193"/>
          <cell r="CR193"/>
          <cell r="CS193"/>
          <cell r="CT193"/>
          <cell r="CU193"/>
          <cell r="CV193"/>
          <cell r="CW193"/>
          <cell r="CX193"/>
          <cell r="CY193"/>
        </row>
        <row r="194">
          <cell r="B194" t="str">
            <v>Expense - % Gold</v>
          </cell>
          <cell r="C194" t="str">
            <v>EXP_GOLD</v>
          </cell>
          <cell r="F194"/>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cell r="CO194"/>
          <cell r="CP194"/>
          <cell r="CQ194"/>
          <cell r="CR194"/>
          <cell r="CS194"/>
          <cell r="CT194"/>
          <cell r="CU194"/>
          <cell r="CV194"/>
          <cell r="CW194"/>
          <cell r="CX194"/>
          <cell r="CY194"/>
        </row>
        <row r="195">
          <cell r="B195" t="str">
            <v>Expense - % Copper</v>
          </cell>
          <cell r="C195" t="str">
            <v>EXP_COPPER</v>
          </cell>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cell r="CO195"/>
          <cell r="CP195"/>
          <cell r="CQ195"/>
          <cell r="CR195"/>
          <cell r="CS195"/>
          <cell r="CT195"/>
          <cell r="CU195"/>
          <cell r="CV195"/>
          <cell r="CW195"/>
          <cell r="CX195"/>
          <cell r="CY195"/>
        </row>
        <row r="196">
          <cell r="B196" t="str">
            <v>Expense - % Silver</v>
          </cell>
          <cell r="C196" t="str">
            <v>EXP_SILVER</v>
          </cell>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cell r="CO196"/>
          <cell r="CP196"/>
          <cell r="CQ196"/>
          <cell r="CR196"/>
          <cell r="CS196"/>
          <cell r="CT196"/>
          <cell r="CU196"/>
          <cell r="CV196"/>
          <cell r="CW196"/>
          <cell r="CX196"/>
          <cell r="CY196"/>
        </row>
        <row r="197">
          <cell r="B197" t="str">
            <v>Expense - % Platinum</v>
          </cell>
          <cell r="C197" t="str">
            <v>EXP_PLATINUM</v>
          </cell>
          <cell r="F197"/>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cell r="CO197"/>
          <cell r="CP197"/>
          <cell r="CQ197"/>
          <cell r="CR197"/>
          <cell r="CS197"/>
          <cell r="CT197"/>
          <cell r="CU197"/>
          <cell r="CV197"/>
          <cell r="CW197"/>
          <cell r="CX197"/>
          <cell r="CY197"/>
        </row>
        <row r="198">
          <cell r="B198" t="str">
            <v>Expense - % Palladium</v>
          </cell>
          <cell r="C198" t="str">
            <v>EXP_PALLADIUM</v>
          </cell>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cell r="CO198"/>
          <cell r="CP198"/>
          <cell r="CQ198"/>
          <cell r="CR198"/>
          <cell r="CS198"/>
          <cell r="CT198"/>
          <cell r="CU198"/>
          <cell r="CV198"/>
          <cell r="CW198"/>
          <cell r="CX198"/>
          <cell r="CY198"/>
        </row>
        <row r="199">
          <cell r="B199" t="str">
            <v>Expense - % Aluminium</v>
          </cell>
          <cell r="C199" t="str">
            <v>EXP_ALUMINIUM</v>
          </cell>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cell r="CO199"/>
          <cell r="CP199"/>
          <cell r="CQ199"/>
          <cell r="CR199"/>
          <cell r="CS199"/>
          <cell r="CT199"/>
          <cell r="CU199"/>
          <cell r="CV199"/>
          <cell r="CW199"/>
          <cell r="CX199"/>
          <cell r="CY199"/>
        </row>
        <row r="200">
          <cell r="B200" t="str">
            <v>Expense - % Nickel</v>
          </cell>
          <cell r="C200" t="str">
            <v>EXP_NICKEL</v>
          </cell>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cell r="AP200"/>
          <cell r="AQ200"/>
          <cell r="AR200"/>
          <cell r="AS200"/>
          <cell r="AT200"/>
          <cell r="AU200"/>
          <cell r="AV200"/>
          <cell r="AW200"/>
          <cell r="AX200"/>
          <cell r="AY200"/>
          <cell r="AZ200"/>
          <cell r="BA200"/>
          <cell r="BB200"/>
          <cell r="BC200"/>
          <cell r="BD200"/>
          <cell r="BE200"/>
          <cell r="BF200"/>
          <cell r="BG200"/>
          <cell r="BH200"/>
          <cell r="BI200"/>
          <cell r="BJ200"/>
          <cell r="BK200"/>
          <cell r="BL200"/>
          <cell r="BM200"/>
          <cell r="BN200"/>
          <cell r="BO200"/>
          <cell r="BP200"/>
          <cell r="BQ200"/>
          <cell r="BR200"/>
          <cell r="BS200"/>
          <cell r="BT200"/>
          <cell r="BU200"/>
          <cell r="BV200"/>
          <cell r="BW200"/>
          <cell r="BX200"/>
          <cell r="BY200"/>
          <cell r="BZ200"/>
          <cell r="CA200"/>
          <cell r="CB200"/>
          <cell r="CC200"/>
          <cell r="CD200"/>
          <cell r="CE200"/>
          <cell r="CF200"/>
          <cell r="CG200"/>
          <cell r="CH200"/>
          <cell r="CI200"/>
          <cell r="CJ200"/>
          <cell r="CK200"/>
          <cell r="CL200"/>
          <cell r="CM200"/>
          <cell r="CN200"/>
          <cell r="CO200"/>
          <cell r="CP200"/>
          <cell r="CQ200"/>
          <cell r="CR200"/>
          <cell r="CS200"/>
          <cell r="CT200"/>
          <cell r="CU200"/>
          <cell r="CV200"/>
          <cell r="CW200"/>
          <cell r="CX200"/>
          <cell r="CY200"/>
        </row>
        <row r="201">
          <cell r="B201" t="str">
            <v>Expense - % Zinc</v>
          </cell>
          <cell r="C201" t="str">
            <v>EXP_ZINC</v>
          </cell>
          <cell r="F201"/>
          <cell r="G201"/>
          <cell r="H201"/>
          <cell r="I201"/>
          <cell r="J201"/>
          <cell r="K201"/>
          <cell r="L201"/>
          <cell r="M201"/>
          <cell r="N201"/>
          <cell r="O201"/>
          <cell r="P201"/>
          <cell r="Q201"/>
          <cell r="R201"/>
          <cell r="S201"/>
          <cell r="T201"/>
          <cell r="U201"/>
          <cell r="V201"/>
          <cell r="W201"/>
          <cell r="X201"/>
          <cell r="Y201"/>
          <cell r="Z201"/>
          <cell r="AA201"/>
          <cell r="AB201"/>
          <cell r="AC201"/>
          <cell r="AD201"/>
          <cell r="AE201"/>
          <cell r="AF201"/>
          <cell r="AG201"/>
          <cell r="AH201"/>
          <cell r="AI201"/>
          <cell r="AJ201"/>
          <cell r="AK201"/>
          <cell r="AL201"/>
          <cell r="AM201"/>
          <cell r="AN201"/>
          <cell r="AO201"/>
          <cell r="AP201"/>
          <cell r="AQ201"/>
          <cell r="AR201"/>
          <cell r="AS201"/>
          <cell r="AT201"/>
          <cell r="AU201"/>
          <cell r="AV201"/>
          <cell r="AW201"/>
          <cell r="AX201"/>
          <cell r="AY201"/>
          <cell r="AZ201"/>
          <cell r="BA201"/>
          <cell r="BB201"/>
          <cell r="BC201"/>
          <cell r="BD201"/>
          <cell r="BE201"/>
          <cell r="BF201"/>
          <cell r="BG201"/>
          <cell r="BH201"/>
          <cell r="BI201"/>
          <cell r="BJ201"/>
          <cell r="BK201"/>
          <cell r="BL201"/>
          <cell r="BM201"/>
          <cell r="BN201"/>
          <cell r="BO201"/>
          <cell r="BP201"/>
          <cell r="BQ201"/>
          <cell r="BR201"/>
          <cell r="BS201"/>
          <cell r="BT201"/>
          <cell r="BU201"/>
          <cell r="BV201"/>
          <cell r="BW201"/>
          <cell r="BX201"/>
          <cell r="BY201"/>
          <cell r="BZ201"/>
          <cell r="CA201"/>
          <cell r="CB201"/>
          <cell r="CC201"/>
          <cell r="CD201"/>
          <cell r="CE201"/>
          <cell r="CF201"/>
          <cell r="CG201"/>
          <cell r="CH201"/>
          <cell r="CI201"/>
          <cell r="CJ201"/>
          <cell r="CK201"/>
          <cell r="CL201"/>
          <cell r="CM201"/>
          <cell r="CN201"/>
          <cell r="CO201"/>
          <cell r="CP201"/>
          <cell r="CQ201"/>
          <cell r="CR201"/>
          <cell r="CS201"/>
          <cell r="CT201"/>
          <cell r="CU201"/>
          <cell r="CV201"/>
          <cell r="CW201"/>
          <cell r="CX201"/>
          <cell r="CY201"/>
        </row>
        <row r="202">
          <cell r="B202" t="str">
            <v>Expense - % Steel</v>
          </cell>
          <cell r="C202" t="str">
            <v>EXP_STEEL</v>
          </cell>
          <cell r="F202"/>
          <cell r="G202"/>
          <cell r="H202"/>
          <cell r="I202"/>
          <cell r="J202"/>
          <cell r="K202"/>
          <cell r="L202"/>
          <cell r="M202"/>
          <cell r="N202"/>
          <cell r="O202"/>
          <cell r="P202"/>
          <cell r="Q202"/>
          <cell r="R202"/>
          <cell r="S202"/>
          <cell r="T202"/>
          <cell r="U202"/>
          <cell r="V202"/>
          <cell r="W202"/>
          <cell r="X202"/>
          <cell r="Y202"/>
          <cell r="Z202"/>
          <cell r="AA202"/>
          <cell r="AB202"/>
          <cell r="AC202"/>
          <cell r="AD202"/>
          <cell r="AE202"/>
          <cell r="AF202"/>
          <cell r="AG202"/>
          <cell r="AH202"/>
          <cell r="AI202"/>
          <cell r="AJ202"/>
          <cell r="AK202"/>
          <cell r="AL202"/>
          <cell r="AM202"/>
          <cell r="AN202"/>
          <cell r="AO202"/>
          <cell r="AP202"/>
          <cell r="AQ202"/>
          <cell r="AR202"/>
          <cell r="AS202"/>
          <cell r="AT202"/>
          <cell r="AU202"/>
          <cell r="AV202"/>
          <cell r="AW202"/>
          <cell r="AX202"/>
          <cell r="AY202"/>
          <cell r="AZ202"/>
          <cell r="BA202"/>
          <cell r="BB202"/>
          <cell r="BC202"/>
          <cell r="BD202"/>
          <cell r="BE202"/>
          <cell r="BF202"/>
          <cell r="BG202"/>
          <cell r="BH202"/>
          <cell r="BI202"/>
          <cell r="BJ202"/>
          <cell r="BK202"/>
          <cell r="BL202"/>
          <cell r="BM202"/>
          <cell r="BN202"/>
          <cell r="BO202"/>
          <cell r="BP202"/>
          <cell r="BQ202"/>
          <cell r="BR202"/>
          <cell r="BS202"/>
          <cell r="BT202"/>
          <cell r="BU202"/>
          <cell r="BV202"/>
          <cell r="BW202"/>
          <cell r="BX202"/>
          <cell r="BY202"/>
          <cell r="BZ202"/>
          <cell r="CA202"/>
          <cell r="CB202"/>
          <cell r="CC202"/>
          <cell r="CD202"/>
          <cell r="CE202"/>
          <cell r="CF202"/>
          <cell r="CG202"/>
          <cell r="CH202"/>
          <cell r="CI202"/>
          <cell r="CJ202"/>
          <cell r="CK202"/>
          <cell r="CL202"/>
          <cell r="CM202"/>
          <cell r="CN202"/>
          <cell r="CO202"/>
          <cell r="CP202"/>
          <cell r="CQ202"/>
          <cell r="CR202"/>
          <cell r="CS202"/>
          <cell r="CT202"/>
          <cell r="CU202"/>
          <cell r="CV202"/>
          <cell r="CW202"/>
          <cell r="CX202"/>
          <cell r="CY202"/>
        </row>
        <row r="203">
          <cell r="B203" t="str">
            <v>Expense - % Glass</v>
          </cell>
          <cell r="C203" t="str">
            <v>EXP_GLASS</v>
          </cell>
          <cell r="F203"/>
          <cell r="G203"/>
          <cell r="H203"/>
          <cell r="I203"/>
          <cell r="J203"/>
          <cell r="K203"/>
          <cell r="L203"/>
          <cell r="M203"/>
          <cell r="N203"/>
          <cell r="O203"/>
          <cell r="P203"/>
          <cell r="Q203"/>
          <cell r="R203"/>
          <cell r="S203"/>
          <cell r="T203"/>
          <cell r="U203"/>
          <cell r="V203"/>
          <cell r="W203"/>
          <cell r="X203"/>
          <cell r="Y203"/>
          <cell r="Z203"/>
          <cell r="AA203"/>
          <cell r="AB203"/>
          <cell r="AC203"/>
          <cell r="AD203"/>
          <cell r="AE203"/>
          <cell r="AF203"/>
          <cell r="AG203"/>
          <cell r="AH203"/>
          <cell r="AI203"/>
          <cell r="AJ203"/>
          <cell r="AK203"/>
          <cell r="AL203"/>
          <cell r="AM203"/>
          <cell r="AN203"/>
          <cell r="AO203"/>
          <cell r="AP203"/>
          <cell r="AQ203"/>
          <cell r="AR203"/>
          <cell r="AS203"/>
          <cell r="AT203"/>
          <cell r="AU203"/>
          <cell r="AV203"/>
          <cell r="AW203"/>
          <cell r="AX203"/>
          <cell r="AY203"/>
          <cell r="AZ203"/>
          <cell r="BA203"/>
          <cell r="BB203"/>
          <cell r="BC203"/>
          <cell r="BD203"/>
          <cell r="BE203"/>
          <cell r="BF203"/>
          <cell r="BG203"/>
          <cell r="BH203"/>
          <cell r="BI203"/>
          <cell r="BJ203"/>
          <cell r="BK203"/>
          <cell r="BL203"/>
          <cell r="BM203"/>
          <cell r="BN203"/>
          <cell r="BO203"/>
          <cell r="BP203"/>
          <cell r="BQ203"/>
          <cell r="BR203"/>
          <cell r="BS203"/>
          <cell r="BT203"/>
          <cell r="BU203"/>
          <cell r="BV203"/>
          <cell r="BW203"/>
          <cell r="BX203"/>
          <cell r="BY203"/>
          <cell r="BZ203"/>
          <cell r="CA203"/>
          <cell r="CB203"/>
          <cell r="CC203"/>
          <cell r="CD203"/>
          <cell r="CE203"/>
          <cell r="CF203"/>
          <cell r="CG203"/>
          <cell r="CH203"/>
          <cell r="CI203"/>
          <cell r="CJ203"/>
          <cell r="CK203"/>
          <cell r="CL203"/>
          <cell r="CM203"/>
          <cell r="CN203"/>
          <cell r="CO203"/>
          <cell r="CP203"/>
          <cell r="CQ203"/>
          <cell r="CR203"/>
          <cell r="CS203"/>
          <cell r="CT203"/>
          <cell r="CU203"/>
          <cell r="CV203"/>
          <cell r="CW203"/>
          <cell r="CX203"/>
          <cell r="CY203"/>
        </row>
        <row r="204">
          <cell r="B204" t="str">
            <v>Expense - % Rubber</v>
          </cell>
          <cell r="C204" t="str">
            <v>EXP_RUBBER</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cell r="AP204"/>
          <cell r="AQ204"/>
          <cell r="AR204"/>
          <cell r="AS204"/>
          <cell r="AT204"/>
          <cell r="AU204"/>
          <cell r="AV204"/>
          <cell r="AW204"/>
          <cell r="AX204"/>
          <cell r="AY204"/>
          <cell r="AZ204"/>
          <cell r="BA204"/>
          <cell r="BB204"/>
          <cell r="BC204"/>
          <cell r="BD204"/>
          <cell r="BE204"/>
          <cell r="BF204"/>
          <cell r="BG204"/>
          <cell r="BH204"/>
          <cell r="BI204"/>
          <cell r="BJ204"/>
          <cell r="BK204"/>
          <cell r="BL204"/>
          <cell r="BM204"/>
          <cell r="BN204"/>
          <cell r="BO204"/>
          <cell r="BP204"/>
          <cell r="BQ204"/>
          <cell r="BR204"/>
          <cell r="BS204"/>
          <cell r="BT204"/>
          <cell r="BU204"/>
          <cell r="BV204"/>
          <cell r="BW204"/>
          <cell r="BX204"/>
          <cell r="BY204"/>
          <cell r="BZ204"/>
          <cell r="CA204"/>
          <cell r="CB204"/>
          <cell r="CC204"/>
          <cell r="CD204"/>
          <cell r="CE204"/>
          <cell r="CF204"/>
          <cell r="CG204"/>
          <cell r="CH204"/>
          <cell r="CI204"/>
          <cell r="CJ204"/>
          <cell r="CK204"/>
          <cell r="CL204"/>
          <cell r="CM204"/>
          <cell r="CN204"/>
          <cell r="CO204"/>
          <cell r="CP204"/>
          <cell r="CQ204"/>
          <cell r="CR204"/>
          <cell r="CS204"/>
          <cell r="CT204"/>
          <cell r="CU204"/>
          <cell r="CV204"/>
          <cell r="CW204"/>
          <cell r="CX204"/>
          <cell r="CY204"/>
        </row>
        <row r="205">
          <cell r="B205" t="str">
            <v>Expense - % Water</v>
          </cell>
          <cell r="C205" t="str">
            <v>EXP_WATER</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cell r="AP205"/>
          <cell r="AQ205"/>
          <cell r="AR205"/>
          <cell r="AS205"/>
          <cell r="AT205"/>
          <cell r="AU205"/>
          <cell r="AV205"/>
          <cell r="AW205"/>
          <cell r="AX205"/>
          <cell r="AY205"/>
          <cell r="AZ205"/>
          <cell r="BA205"/>
          <cell r="BB205"/>
          <cell r="BC205"/>
          <cell r="BD205"/>
          <cell r="BE205"/>
          <cell r="BF205"/>
          <cell r="BG205"/>
          <cell r="BH205"/>
          <cell r="BI205"/>
          <cell r="BJ205"/>
          <cell r="BK205"/>
          <cell r="BL205"/>
          <cell r="BM205"/>
          <cell r="BN205"/>
          <cell r="BO205"/>
          <cell r="BP205"/>
          <cell r="BQ205"/>
          <cell r="BR205"/>
          <cell r="BS205"/>
          <cell r="BT205"/>
          <cell r="BU205"/>
          <cell r="BV205"/>
          <cell r="BW205"/>
          <cell r="BX205"/>
          <cell r="BY205"/>
          <cell r="BZ205"/>
          <cell r="CA205"/>
          <cell r="CB205"/>
          <cell r="CC205"/>
          <cell r="CD205"/>
          <cell r="CE205"/>
          <cell r="CF205"/>
          <cell r="CG205"/>
          <cell r="CH205"/>
          <cell r="CI205"/>
          <cell r="CJ205"/>
          <cell r="CK205"/>
          <cell r="CL205"/>
          <cell r="CM205"/>
          <cell r="CN205"/>
          <cell r="CO205"/>
          <cell r="CP205"/>
          <cell r="CQ205"/>
          <cell r="CR205"/>
          <cell r="CS205"/>
          <cell r="CT205"/>
          <cell r="CU205"/>
          <cell r="CV205"/>
          <cell r="CW205"/>
          <cell r="CX205"/>
          <cell r="CY205"/>
        </row>
        <row r="206">
          <cell r="B206" t="str">
            <v>Expense - % Other commodity</v>
          </cell>
          <cell r="C206" t="str">
            <v>EXP_OTH_COMMODITY</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cell r="AP206"/>
          <cell r="AQ206"/>
          <cell r="AR206"/>
          <cell r="AS206"/>
          <cell r="AT206"/>
          <cell r="AU206"/>
          <cell r="AV206"/>
          <cell r="AW206"/>
          <cell r="AX206"/>
          <cell r="AY206"/>
          <cell r="AZ206"/>
          <cell r="BA206"/>
          <cell r="BB206"/>
          <cell r="BC206"/>
          <cell r="BD206"/>
          <cell r="BE206"/>
          <cell r="BF206"/>
          <cell r="BG206"/>
          <cell r="BH206"/>
          <cell r="BI206"/>
          <cell r="BJ206"/>
          <cell r="BK206"/>
          <cell r="BL206"/>
          <cell r="BM206"/>
          <cell r="BN206"/>
          <cell r="BO206"/>
          <cell r="BP206"/>
          <cell r="BQ206"/>
          <cell r="BR206"/>
          <cell r="BS206"/>
          <cell r="BT206"/>
          <cell r="BU206"/>
          <cell r="BV206"/>
          <cell r="BW206"/>
          <cell r="BX206"/>
          <cell r="BY206"/>
          <cell r="BZ206"/>
          <cell r="CA206"/>
          <cell r="CB206"/>
          <cell r="CC206"/>
          <cell r="CD206"/>
          <cell r="CE206"/>
          <cell r="CF206"/>
          <cell r="CG206"/>
          <cell r="CH206"/>
          <cell r="CI206"/>
          <cell r="CJ206"/>
          <cell r="CK206"/>
          <cell r="CL206"/>
          <cell r="CM206"/>
          <cell r="CN206"/>
          <cell r="CO206"/>
          <cell r="CP206"/>
          <cell r="CQ206"/>
          <cell r="CR206"/>
          <cell r="CS206"/>
          <cell r="CT206"/>
          <cell r="CU206"/>
          <cell r="CV206"/>
          <cell r="CW206"/>
          <cell r="CX206"/>
          <cell r="CY206"/>
        </row>
        <row r="207">
          <cell r="B207" t="str">
            <v>Expense - % Other (Non-Commodity) cost</v>
          </cell>
          <cell r="C207" t="str">
            <v>EXP_OTH_COST</v>
          </cell>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cell r="AP207"/>
          <cell r="AQ207"/>
          <cell r="AR207"/>
          <cell r="AS207"/>
          <cell r="AT207"/>
          <cell r="AU207"/>
          <cell r="AV207"/>
          <cell r="AW207"/>
          <cell r="AX207"/>
          <cell r="AY207"/>
          <cell r="AZ207"/>
          <cell r="BA207"/>
          <cell r="BB207"/>
          <cell r="BC207"/>
          <cell r="BD207"/>
          <cell r="BE207"/>
          <cell r="BF207"/>
          <cell r="BG207"/>
          <cell r="BH207"/>
          <cell r="BI207"/>
          <cell r="BJ207"/>
          <cell r="BK207"/>
          <cell r="BL207"/>
          <cell r="BM207"/>
          <cell r="BN207"/>
          <cell r="BO207"/>
          <cell r="BP207"/>
          <cell r="BQ207"/>
          <cell r="BR207"/>
          <cell r="BS207"/>
          <cell r="BT207"/>
          <cell r="BU207"/>
          <cell r="BV207"/>
          <cell r="BW207"/>
          <cell r="BX207"/>
          <cell r="BY207"/>
          <cell r="BZ207"/>
          <cell r="CA207"/>
          <cell r="CB207"/>
          <cell r="CC207"/>
          <cell r="CD207"/>
          <cell r="CE207"/>
          <cell r="CF207"/>
          <cell r="CG207"/>
          <cell r="CH207"/>
          <cell r="CI207"/>
          <cell r="CJ207"/>
          <cell r="CK207"/>
          <cell r="CL207"/>
          <cell r="CM207"/>
          <cell r="CN207"/>
          <cell r="CO207"/>
          <cell r="CP207"/>
          <cell r="CQ207"/>
          <cell r="CR207"/>
          <cell r="CS207"/>
          <cell r="CT207"/>
          <cell r="CU207"/>
          <cell r="CV207"/>
          <cell r="CW207"/>
          <cell r="CX207"/>
          <cell r="CY207"/>
        </row>
        <row r="208">
          <cell r="A208" t="str">
            <v>FX Exposure - Sales</v>
          </cell>
          <cell r="B208"/>
          <cell r="C208"/>
          <cell r="D208"/>
        </row>
        <row r="209">
          <cell r="B209" t="str">
            <v>Sales - % FX: British Pounds/Pence</v>
          </cell>
          <cell r="C209" t="str">
            <v>SALES_FX_GPB</v>
          </cell>
          <cell r="F209"/>
          <cell r="G209"/>
          <cell r="H209"/>
          <cell r="I209"/>
          <cell r="J209"/>
          <cell r="K209"/>
          <cell r="L209"/>
          <cell r="M209"/>
          <cell r="N209"/>
          <cell r="O209"/>
          <cell r="P209"/>
          <cell r="Q209"/>
          <cell r="R209"/>
          <cell r="S209"/>
          <cell r="T209"/>
          <cell r="U209"/>
          <cell r="V209"/>
          <cell r="W209"/>
          <cell r="X209"/>
          <cell r="Y209"/>
          <cell r="Z209"/>
          <cell r="AA209"/>
          <cell r="AB209"/>
          <cell r="AC209"/>
          <cell r="AD209"/>
          <cell r="AE209"/>
          <cell r="AF209"/>
          <cell r="AG209"/>
          <cell r="AH209"/>
          <cell r="AI209"/>
          <cell r="AJ209"/>
          <cell r="AK209"/>
          <cell r="AL209"/>
          <cell r="AM209"/>
          <cell r="AN209"/>
          <cell r="AO209"/>
          <cell r="AP209"/>
          <cell r="AQ209"/>
          <cell r="AR209"/>
          <cell r="AS209"/>
          <cell r="AT209"/>
          <cell r="AU209"/>
          <cell r="AV209"/>
          <cell r="AW209"/>
          <cell r="AX209">
            <v>7.1249999999999994E-2</v>
          </cell>
          <cell r="AY209"/>
          <cell r="AZ209"/>
          <cell r="BA209"/>
          <cell r="BB209"/>
          <cell r="BC209">
            <v>7.124999999999998E-2</v>
          </cell>
          <cell r="BD209"/>
          <cell r="BE209"/>
          <cell r="BF209"/>
          <cell r="BG209"/>
          <cell r="BH209">
            <v>6.9423977544800189E-2</v>
          </cell>
          <cell r="BI209"/>
          <cell r="BJ209"/>
          <cell r="BK209"/>
          <cell r="BL209"/>
          <cell r="BM209">
            <v>6.9423977544800189E-2</v>
          </cell>
          <cell r="BN209"/>
          <cell r="BO209"/>
          <cell r="BP209"/>
          <cell r="BQ209"/>
          <cell r="BR209">
            <v>6.9423977544800189E-2</v>
          </cell>
          <cell r="BS209">
            <v>6.9423977544800189E-2</v>
          </cell>
          <cell r="BT209">
            <v>6.9423977544800189E-2</v>
          </cell>
          <cell r="BU209">
            <v>6.9423977544800189E-2</v>
          </cell>
          <cell r="BV209">
            <v>6.9423977544800189E-2</v>
          </cell>
          <cell r="BW209">
            <v>6.9423977544800189E-2</v>
          </cell>
          <cell r="BX209">
            <v>6.9423977544800189E-2</v>
          </cell>
          <cell r="BY209">
            <v>6.9423977544800189E-2</v>
          </cell>
          <cell r="BZ209">
            <v>6.9423977544800189E-2</v>
          </cell>
          <cell r="CA209">
            <v>6.9423977544800189E-2</v>
          </cell>
          <cell r="CB209">
            <v>6.9423977544800189E-2</v>
          </cell>
          <cell r="CC209"/>
          <cell r="CD209"/>
          <cell r="CE209"/>
          <cell r="CF209"/>
          <cell r="CG209"/>
          <cell r="CH209"/>
          <cell r="CI209"/>
          <cell r="CJ209"/>
          <cell r="CK209"/>
          <cell r="CL209"/>
          <cell r="CM209"/>
          <cell r="CN209"/>
          <cell r="CO209"/>
          <cell r="CP209"/>
          <cell r="CQ209"/>
          <cell r="CR209"/>
          <cell r="CS209"/>
          <cell r="CT209"/>
          <cell r="CU209"/>
          <cell r="CV209"/>
          <cell r="CW209"/>
          <cell r="CX209"/>
          <cell r="CY209"/>
        </row>
        <row r="210">
          <cell r="B210" t="str">
            <v>Sales - % FX: Euro</v>
          </cell>
          <cell r="C210" t="str">
            <v>SALES_FX_EUR</v>
          </cell>
          <cell r="F210"/>
          <cell r="G210"/>
          <cell r="H210"/>
          <cell r="I210"/>
          <cell r="J210"/>
          <cell r="K210"/>
          <cell r="L210"/>
          <cell r="M210"/>
          <cell r="N210"/>
          <cell r="O210"/>
          <cell r="P210"/>
          <cell r="Q210"/>
          <cell r="R210"/>
          <cell r="S210"/>
          <cell r="T210"/>
          <cell r="U210"/>
          <cell r="V210"/>
          <cell r="W210"/>
          <cell r="X210"/>
          <cell r="Y210"/>
          <cell r="Z210"/>
          <cell r="AA210"/>
          <cell r="AB210"/>
          <cell r="AC210"/>
          <cell r="AD210"/>
          <cell r="AE210"/>
          <cell r="AF210"/>
          <cell r="AG210"/>
          <cell r="AH210"/>
          <cell r="AI210"/>
          <cell r="AJ210"/>
          <cell r="AK210"/>
          <cell r="AL210"/>
          <cell r="AM210"/>
          <cell r="AN210"/>
          <cell r="AO210"/>
          <cell r="AP210"/>
          <cell r="AQ210"/>
          <cell r="AR210"/>
          <cell r="AS210"/>
          <cell r="AT210"/>
          <cell r="AU210"/>
          <cell r="AV210"/>
          <cell r="AW210"/>
          <cell r="AX210">
            <v>0.40374999999999994</v>
          </cell>
          <cell r="AY210"/>
          <cell r="AZ210"/>
          <cell r="BA210"/>
          <cell r="BB210"/>
          <cell r="BC210">
            <v>0.40374999999999989</v>
          </cell>
          <cell r="BD210"/>
          <cell r="BE210"/>
          <cell r="BF210"/>
          <cell r="BG210"/>
          <cell r="BH210">
            <v>0.39340253942053438</v>
          </cell>
          <cell r="BI210"/>
          <cell r="BJ210"/>
          <cell r="BK210"/>
          <cell r="BL210"/>
          <cell r="BM210">
            <v>0.39340253942053438</v>
          </cell>
          <cell r="BN210"/>
          <cell r="BO210"/>
          <cell r="BP210"/>
          <cell r="BQ210"/>
          <cell r="BR210">
            <v>0.39340253942053438</v>
          </cell>
          <cell r="BS210">
            <v>0.39340253942053438</v>
          </cell>
          <cell r="BT210">
            <v>0.39340253942053438</v>
          </cell>
          <cell r="BU210">
            <v>0.39340253942053438</v>
          </cell>
          <cell r="BV210">
            <v>0.39340253942053438</v>
          </cell>
          <cell r="BW210">
            <v>0.39340253942053438</v>
          </cell>
          <cell r="BX210">
            <v>0.39340253942053438</v>
          </cell>
          <cell r="BY210">
            <v>0.39340253942053438</v>
          </cell>
          <cell r="BZ210">
            <v>0.39340253942053438</v>
          </cell>
          <cell r="CA210">
            <v>0.39340253942053438</v>
          </cell>
          <cell r="CB210">
            <v>0.39340253942053438</v>
          </cell>
          <cell r="CC210"/>
          <cell r="CD210"/>
          <cell r="CE210"/>
          <cell r="CF210"/>
          <cell r="CG210"/>
          <cell r="CH210"/>
          <cell r="CI210"/>
          <cell r="CJ210"/>
          <cell r="CK210"/>
          <cell r="CL210"/>
          <cell r="CM210"/>
          <cell r="CN210"/>
          <cell r="CO210"/>
          <cell r="CP210"/>
          <cell r="CQ210"/>
          <cell r="CR210"/>
          <cell r="CS210"/>
          <cell r="CT210"/>
          <cell r="CU210"/>
          <cell r="CV210"/>
          <cell r="CW210"/>
          <cell r="CX210"/>
          <cell r="CY210"/>
        </row>
        <row r="211">
          <cell r="B211" t="str">
            <v>Sales - % FX: New Russian Ruble</v>
          </cell>
          <cell r="C211" t="str">
            <v>SALES_FX_RUB</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cell r="AP211"/>
          <cell r="AQ211"/>
          <cell r="AR211"/>
          <cell r="AS211"/>
          <cell r="AT211"/>
          <cell r="AU211"/>
          <cell r="AV211"/>
          <cell r="AW211"/>
          <cell r="AX211">
            <v>0</v>
          </cell>
          <cell r="AY211"/>
          <cell r="AZ211"/>
          <cell r="BA211"/>
          <cell r="BB211"/>
          <cell r="BC211">
            <v>0</v>
          </cell>
          <cell r="BD211"/>
          <cell r="BE211"/>
          <cell r="BF211"/>
          <cell r="BG211"/>
          <cell r="BH211">
            <v>0</v>
          </cell>
          <cell r="BI211"/>
          <cell r="BJ211"/>
          <cell r="BK211"/>
          <cell r="BL211"/>
          <cell r="BM211">
            <v>0</v>
          </cell>
          <cell r="BN211"/>
          <cell r="BO211"/>
          <cell r="BP211"/>
          <cell r="BQ211"/>
          <cell r="BR211">
            <v>0</v>
          </cell>
          <cell r="BS211">
            <v>0</v>
          </cell>
          <cell r="BT211">
            <v>0</v>
          </cell>
          <cell r="BU211">
            <v>0</v>
          </cell>
          <cell r="BV211">
            <v>0</v>
          </cell>
          <cell r="BW211">
            <v>0</v>
          </cell>
          <cell r="BX211">
            <v>0</v>
          </cell>
          <cell r="BY211">
            <v>0</v>
          </cell>
          <cell r="BZ211">
            <v>0</v>
          </cell>
          <cell r="CA211">
            <v>0</v>
          </cell>
          <cell r="CB211">
            <v>0</v>
          </cell>
          <cell r="CC211"/>
          <cell r="CD211"/>
          <cell r="CE211"/>
          <cell r="CF211"/>
          <cell r="CG211"/>
          <cell r="CH211"/>
          <cell r="CI211"/>
          <cell r="CJ211"/>
          <cell r="CK211"/>
          <cell r="CL211"/>
          <cell r="CM211"/>
          <cell r="CN211"/>
          <cell r="CO211"/>
          <cell r="CP211"/>
          <cell r="CQ211"/>
          <cell r="CR211"/>
          <cell r="CS211"/>
          <cell r="CT211"/>
          <cell r="CU211"/>
          <cell r="CV211"/>
          <cell r="CW211"/>
          <cell r="CX211"/>
          <cell r="CY211"/>
        </row>
        <row r="212">
          <cell r="B212" t="str">
            <v>Sales - % FX: U.S. Dollar</v>
          </cell>
          <cell r="C212" t="str">
            <v>SALES_FX_USD</v>
          </cell>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cell r="AP212"/>
          <cell r="AQ212"/>
          <cell r="AR212"/>
          <cell r="AS212"/>
          <cell r="AT212"/>
          <cell r="AU212"/>
          <cell r="AV212"/>
          <cell r="AW212"/>
          <cell r="AX212">
            <v>0.52500000000000013</v>
          </cell>
          <cell r="AY212"/>
          <cell r="AZ212"/>
          <cell r="BA212"/>
          <cell r="BB212"/>
          <cell r="BC212">
            <v>0.52500000000000013</v>
          </cell>
          <cell r="BD212"/>
          <cell r="BE212"/>
          <cell r="BF212"/>
          <cell r="BG212"/>
          <cell r="BH212">
            <v>0.5371734830346655</v>
          </cell>
          <cell r="BI212"/>
          <cell r="BJ212"/>
          <cell r="BK212"/>
          <cell r="BL212"/>
          <cell r="BM212">
            <v>0.5371734830346655</v>
          </cell>
          <cell r="BN212"/>
          <cell r="BO212"/>
          <cell r="BP212"/>
          <cell r="BQ212"/>
          <cell r="BR212">
            <v>0.5371734830346655</v>
          </cell>
          <cell r="BS212">
            <v>0.5371734830346655</v>
          </cell>
          <cell r="BT212">
            <v>0.5371734830346655</v>
          </cell>
          <cell r="BU212">
            <v>0.5371734830346655</v>
          </cell>
          <cell r="BV212">
            <v>0.5371734830346655</v>
          </cell>
          <cell r="BW212">
            <v>0.5371734830346655</v>
          </cell>
          <cell r="BX212">
            <v>0.5371734830346655</v>
          </cell>
          <cell r="BY212">
            <v>0.5371734830346655</v>
          </cell>
          <cell r="BZ212">
            <v>0.5371734830346655</v>
          </cell>
          <cell r="CA212">
            <v>0.5371734830346655</v>
          </cell>
          <cell r="CB212">
            <v>0.5371734830346655</v>
          </cell>
          <cell r="CC212"/>
          <cell r="CD212"/>
          <cell r="CE212"/>
          <cell r="CF212"/>
          <cell r="CG212"/>
          <cell r="CH212"/>
          <cell r="CI212"/>
          <cell r="CJ212"/>
          <cell r="CK212"/>
          <cell r="CL212"/>
          <cell r="CM212"/>
          <cell r="CN212"/>
          <cell r="CO212"/>
          <cell r="CP212"/>
          <cell r="CQ212"/>
          <cell r="CR212"/>
          <cell r="CS212"/>
          <cell r="CT212"/>
          <cell r="CU212"/>
          <cell r="CV212"/>
          <cell r="CW212"/>
          <cell r="CX212"/>
          <cell r="CY212"/>
        </row>
        <row r="213">
          <cell r="B213" t="str">
            <v>Sales - % FX: Brazilian Real</v>
          </cell>
          <cell r="C213" t="str">
            <v>SALES_FX_BRL</v>
          </cell>
          <cell r="F213"/>
          <cell r="G213"/>
          <cell r="H213"/>
          <cell r="I213"/>
          <cell r="J213"/>
          <cell r="K213"/>
          <cell r="L213"/>
          <cell r="M213"/>
          <cell r="N213"/>
          <cell r="O213"/>
          <cell r="P213"/>
          <cell r="Q213"/>
          <cell r="R213"/>
          <cell r="S213"/>
          <cell r="T213"/>
          <cell r="U213"/>
          <cell r="V213"/>
          <cell r="W213"/>
          <cell r="X213"/>
          <cell r="Y213"/>
          <cell r="Z213"/>
          <cell r="AA213"/>
          <cell r="AB213"/>
          <cell r="AC213"/>
          <cell r="AD213"/>
          <cell r="AE213"/>
          <cell r="AF213"/>
          <cell r="AG213"/>
          <cell r="AH213"/>
          <cell r="AI213"/>
          <cell r="AJ213"/>
          <cell r="AK213"/>
          <cell r="AL213"/>
          <cell r="AM213"/>
          <cell r="AN213"/>
          <cell r="AO213"/>
          <cell r="AP213"/>
          <cell r="AQ213"/>
          <cell r="AR213"/>
          <cell r="AS213"/>
          <cell r="AT213"/>
          <cell r="AU213"/>
          <cell r="AV213"/>
          <cell r="AW213"/>
          <cell r="AX213">
            <v>0</v>
          </cell>
          <cell r="AY213"/>
          <cell r="AZ213"/>
          <cell r="BA213"/>
          <cell r="BB213"/>
          <cell r="BC213">
            <v>0</v>
          </cell>
          <cell r="BD213"/>
          <cell r="BE213"/>
          <cell r="BF213"/>
          <cell r="BG213"/>
          <cell r="BH213">
            <v>0</v>
          </cell>
          <cell r="BI213"/>
          <cell r="BJ213"/>
          <cell r="BK213"/>
          <cell r="BL213"/>
          <cell r="BM213">
            <v>0</v>
          </cell>
          <cell r="BN213"/>
          <cell r="BO213"/>
          <cell r="BP213"/>
          <cell r="BQ213"/>
          <cell r="BR213">
            <v>0</v>
          </cell>
          <cell r="BS213">
            <v>0</v>
          </cell>
          <cell r="BT213">
            <v>0</v>
          </cell>
          <cell r="BU213">
            <v>0</v>
          </cell>
          <cell r="BV213">
            <v>0</v>
          </cell>
          <cell r="BW213">
            <v>0</v>
          </cell>
          <cell r="BX213">
            <v>0</v>
          </cell>
          <cell r="BY213">
            <v>0</v>
          </cell>
          <cell r="BZ213">
            <v>0</v>
          </cell>
          <cell r="CA213">
            <v>0</v>
          </cell>
          <cell r="CB213">
            <v>0</v>
          </cell>
          <cell r="CC213"/>
          <cell r="CD213"/>
          <cell r="CE213"/>
          <cell r="CF213"/>
          <cell r="CG213"/>
          <cell r="CH213"/>
          <cell r="CI213"/>
          <cell r="CJ213"/>
          <cell r="CK213"/>
          <cell r="CL213"/>
          <cell r="CM213"/>
          <cell r="CN213"/>
          <cell r="CO213"/>
          <cell r="CP213"/>
          <cell r="CQ213"/>
          <cell r="CR213"/>
          <cell r="CS213"/>
          <cell r="CT213"/>
          <cell r="CU213"/>
          <cell r="CV213"/>
          <cell r="CW213"/>
          <cell r="CX213"/>
          <cell r="CY213"/>
        </row>
        <row r="214">
          <cell r="B214" t="str">
            <v>Sales - % FX: Japanese Yen</v>
          </cell>
          <cell r="C214" t="str">
            <v>SALES_FX_YEN</v>
          </cell>
          <cell r="F214"/>
          <cell r="G214"/>
          <cell r="H214"/>
          <cell r="I214"/>
          <cell r="J214"/>
          <cell r="K214"/>
          <cell r="L214"/>
          <cell r="M214"/>
          <cell r="N214"/>
          <cell r="O214"/>
          <cell r="P214"/>
          <cell r="Q214"/>
          <cell r="R214"/>
          <cell r="S214"/>
          <cell r="T214"/>
          <cell r="U214"/>
          <cell r="V214"/>
          <cell r="W214"/>
          <cell r="X214"/>
          <cell r="Y214"/>
          <cell r="Z214"/>
          <cell r="AA214"/>
          <cell r="AB214"/>
          <cell r="AC214"/>
          <cell r="AD214"/>
          <cell r="AE214"/>
          <cell r="AF214"/>
          <cell r="AG214"/>
          <cell r="AH214"/>
          <cell r="AI214"/>
          <cell r="AJ214"/>
          <cell r="AK214"/>
          <cell r="AL214"/>
          <cell r="AM214"/>
          <cell r="AN214"/>
          <cell r="AO214"/>
          <cell r="AP214"/>
          <cell r="AQ214"/>
          <cell r="AR214"/>
          <cell r="AS214"/>
          <cell r="AT214"/>
          <cell r="AU214"/>
          <cell r="AV214"/>
          <cell r="AW214"/>
          <cell r="AX214">
            <v>0</v>
          </cell>
          <cell r="AY214"/>
          <cell r="AZ214"/>
          <cell r="BA214"/>
          <cell r="BB214"/>
          <cell r="BC214">
            <v>0</v>
          </cell>
          <cell r="BD214"/>
          <cell r="BE214"/>
          <cell r="BF214"/>
          <cell r="BG214"/>
          <cell r="BH214">
            <v>0</v>
          </cell>
          <cell r="BI214"/>
          <cell r="BJ214"/>
          <cell r="BK214"/>
          <cell r="BL214"/>
          <cell r="BM214">
            <v>0</v>
          </cell>
          <cell r="BN214"/>
          <cell r="BO214"/>
          <cell r="BP214"/>
          <cell r="BQ214"/>
          <cell r="BR214">
            <v>0</v>
          </cell>
          <cell r="BS214">
            <v>0</v>
          </cell>
          <cell r="BT214">
            <v>0</v>
          </cell>
          <cell r="BU214">
            <v>0</v>
          </cell>
          <cell r="BV214">
            <v>0</v>
          </cell>
          <cell r="BW214">
            <v>0</v>
          </cell>
          <cell r="BX214">
            <v>0</v>
          </cell>
          <cell r="BY214">
            <v>0</v>
          </cell>
          <cell r="BZ214">
            <v>0</v>
          </cell>
          <cell r="CA214">
            <v>0</v>
          </cell>
          <cell r="CB214">
            <v>0</v>
          </cell>
          <cell r="CC214"/>
          <cell r="CD214"/>
          <cell r="CE214"/>
          <cell r="CF214"/>
          <cell r="CG214"/>
          <cell r="CH214"/>
          <cell r="CI214"/>
          <cell r="CJ214"/>
          <cell r="CK214"/>
          <cell r="CL214"/>
          <cell r="CM214"/>
          <cell r="CN214"/>
          <cell r="CO214"/>
          <cell r="CP214"/>
          <cell r="CQ214"/>
          <cell r="CR214"/>
          <cell r="CS214"/>
          <cell r="CT214"/>
          <cell r="CU214"/>
          <cell r="CV214"/>
          <cell r="CW214"/>
          <cell r="CX214"/>
          <cell r="CY214"/>
        </row>
        <row r="215">
          <cell r="B215" t="str">
            <v>Sales - % FX: Chinese Renminbi</v>
          </cell>
          <cell r="C215" t="str">
            <v>SALES_FX_CNY</v>
          </cell>
          <cell r="F215"/>
          <cell r="G215"/>
          <cell r="H215"/>
          <cell r="I215"/>
          <cell r="J215"/>
          <cell r="K215"/>
          <cell r="L215"/>
          <cell r="M215"/>
          <cell r="N215"/>
          <cell r="O215"/>
          <cell r="P215"/>
          <cell r="Q215"/>
          <cell r="R215"/>
          <cell r="S215"/>
          <cell r="T215"/>
          <cell r="U215"/>
          <cell r="V215"/>
          <cell r="W215"/>
          <cell r="X215"/>
          <cell r="Y215"/>
          <cell r="Z215"/>
          <cell r="AA215"/>
          <cell r="AB215"/>
          <cell r="AC215"/>
          <cell r="AD215"/>
          <cell r="AE215"/>
          <cell r="AF215"/>
          <cell r="AG215"/>
          <cell r="AH215"/>
          <cell r="AI215"/>
          <cell r="AJ215"/>
          <cell r="AK215"/>
          <cell r="AL215"/>
          <cell r="AM215"/>
          <cell r="AN215"/>
          <cell r="AO215"/>
          <cell r="AP215"/>
          <cell r="AQ215"/>
          <cell r="AR215"/>
          <cell r="AS215"/>
          <cell r="AT215"/>
          <cell r="AU215"/>
          <cell r="AV215"/>
          <cell r="AW215"/>
          <cell r="AX215">
            <v>0</v>
          </cell>
          <cell r="AY215"/>
          <cell r="AZ215"/>
          <cell r="BA215"/>
          <cell r="BB215"/>
          <cell r="BC215">
            <v>0</v>
          </cell>
          <cell r="BD215"/>
          <cell r="BE215"/>
          <cell r="BF215"/>
          <cell r="BG215"/>
          <cell r="BH215">
            <v>0</v>
          </cell>
          <cell r="BI215"/>
          <cell r="BJ215"/>
          <cell r="BK215"/>
          <cell r="BL215"/>
          <cell r="BM215">
            <v>0</v>
          </cell>
          <cell r="BN215"/>
          <cell r="BO215"/>
          <cell r="BP215"/>
          <cell r="BQ215"/>
          <cell r="BR215">
            <v>0</v>
          </cell>
          <cell r="BS215">
            <v>0</v>
          </cell>
          <cell r="BT215">
            <v>0</v>
          </cell>
          <cell r="BU215">
            <v>0</v>
          </cell>
          <cell r="BV215">
            <v>0</v>
          </cell>
          <cell r="BW215">
            <v>0</v>
          </cell>
          <cell r="BX215">
            <v>0</v>
          </cell>
          <cell r="BY215">
            <v>0</v>
          </cell>
          <cell r="BZ215">
            <v>0</v>
          </cell>
          <cell r="CA215">
            <v>0</v>
          </cell>
          <cell r="CB215">
            <v>0</v>
          </cell>
          <cell r="CC215"/>
          <cell r="CD215"/>
          <cell r="CE215"/>
          <cell r="CF215"/>
          <cell r="CG215"/>
          <cell r="CH215"/>
          <cell r="CI215"/>
          <cell r="CJ215"/>
          <cell r="CK215"/>
          <cell r="CL215"/>
          <cell r="CM215"/>
          <cell r="CN215"/>
          <cell r="CO215"/>
          <cell r="CP215"/>
          <cell r="CQ215"/>
          <cell r="CR215"/>
          <cell r="CS215"/>
          <cell r="CT215"/>
          <cell r="CU215"/>
          <cell r="CV215"/>
          <cell r="CW215"/>
          <cell r="CX215"/>
          <cell r="CY215"/>
        </row>
        <row r="216">
          <cell r="B216" t="str">
            <v>Sales - % FX: Indian Rupee</v>
          </cell>
          <cell r="C216" t="str">
            <v>SALES_FX_INR</v>
          </cell>
          <cell r="F216"/>
          <cell r="G216"/>
          <cell r="H216"/>
          <cell r="I216"/>
          <cell r="J216"/>
          <cell r="K216"/>
          <cell r="L216"/>
          <cell r="M216"/>
          <cell r="N216"/>
          <cell r="O216"/>
          <cell r="P216"/>
          <cell r="Q216"/>
          <cell r="R216"/>
          <cell r="S216"/>
          <cell r="T216"/>
          <cell r="U216"/>
          <cell r="V216"/>
          <cell r="W216"/>
          <cell r="X216"/>
          <cell r="Y216"/>
          <cell r="Z216"/>
          <cell r="AA216"/>
          <cell r="AB216"/>
          <cell r="AC216"/>
          <cell r="AD216"/>
          <cell r="AE216"/>
          <cell r="AF216"/>
          <cell r="AG216"/>
          <cell r="AH216"/>
          <cell r="AI216"/>
          <cell r="AJ216"/>
          <cell r="AK216"/>
          <cell r="AL216"/>
          <cell r="AM216"/>
          <cell r="AN216"/>
          <cell r="AO216"/>
          <cell r="AP216"/>
          <cell r="AQ216"/>
          <cell r="AR216"/>
          <cell r="AS216"/>
          <cell r="AT216"/>
          <cell r="AU216"/>
          <cell r="AV216"/>
          <cell r="AW216"/>
          <cell r="AX216">
            <v>0</v>
          </cell>
          <cell r="AY216"/>
          <cell r="AZ216"/>
          <cell r="BA216"/>
          <cell r="BB216"/>
          <cell r="BC216">
            <v>0</v>
          </cell>
          <cell r="BD216"/>
          <cell r="BE216"/>
          <cell r="BF216"/>
          <cell r="BG216"/>
          <cell r="BH216">
            <v>0</v>
          </cell>
          <cell r="BI216"/>
          <cell r="BJ216"/>
          <cell r="BK216"/>
          <cell r="BL216"/>
          <cell r="BM216">
            <v>0</v>
          </cell>
          <cell r="BN216"/>
          <cell r="BO216"/>
          <cell r="BP216"/>
          <cell r="BQ216"/>
          <cell r="BR216">
            <v>0</v>
          </cell>
          <cell r="BS216">
            <v>0</v>
          </cell>
          <cell r="BT216">
            <v>0</v>
          </cell>
          <cell r="BU216">
            <v>0</v>
          </cell>
          <cell r="BV216">
            <v>0</v>
          </cell>
          <cell r="BW216">
            <v>0</v>
          </cell>
          <cell r="BX216">
            <v>0</v>
          </cell>
          <cell r="BY216">
            <v>0</v>
          </cell>
          <cell r="BZ216">
            <v>0</v>
          </cell>
          <cell r="CA216">
            <v>0</v>
          </cell>
          <cell r="CB216">
            <v>0</v>
          </cell>
          <cell r="CC216"/>
          <cell r="CD216"/>
          <cell r="CE216"/>
          <cell r="CF216"/>
          <cell r="CG216"/>
          <cell r="CH216"/>
          <cell r="CI216"/>
          <cell r="CJ216"/>
          <cell r="CK216"/>
          <cell r="CL216"/>
          <cell r="CM216"/>
          <cell r="CN216"/>
          <cell r="CO216"/>
          <cell r="CP216"/>
          <cell r="CQ216"/>
          <cell r="CR216"/>
          <cell r="CS216"/>
          <cell r="CT216"/>
          <cell r="CU216"/>
          <cell r="CV216"/>
          <cell r="CW216"/>
          <cell r="CX216"/>
          <cell r="CY216"/>
        </row>
        <row r="217">
          <cell r="B217" t="str">
            <v>Sales - % FX: South African Rand</v>
          </cell>
          <cell r="C217" t="str">
            <v>SALES_FX_ZAR</v>
          </cell>
          <cell r="F217"/>
          <cell r="G217"/>
          <cell r="H217"/>
          <cell r="I217"/>
          <cell r="J217"/>
          <cell r="K217"/>
          <cell r="L217"/>
          <cell r="M217"/>
          <cell r="N217"/>
          <cell r="O217"/>
          <cell r="P217"/>
          <cell r="Q217"/>
          <cell r="R217"/>
          <cell r="S217"/>
          <cell r="T217"/>
          <cell r="U217"/>
          <cell r="V217"/>
          <cell r="W217"/>
          <cell r="X217"/>
          <cell r="Y217"/>
          <cell r="Z217"/>
          <cell r="AA217"/>
          <cell r="AB217"/>
          <cell r="AC217"/>
          <cell r="AD217"/>
          <cell r="AE217"/>
          <cell r="AF217"/>
          <cell r="AG217"/>
          <cell r="AH217"/>
          <cell r="AI217"/>
          <cell r="AJ217"/>
          <cell r="AK217"/>
          <cell r="AL217"/>
          <cell r="AM217"/>
          <cell r="AN217"/>
          <cell r="AO217"/>
          <cell r="AP217"/>
          <cell r="AQ217"/>
          <cell r="AR217"/>
          <cell r="AS217"/>
          <cell r="AT217"/>
          <cell r="AU217"/>
          <cell r="AV217"/>
          <cell r="AW217"/>
          <cell r="AX217">
            <v>0</v>
          </cell>
          <cell r="AY217"/>
          <cell r="AZ217"/>
          <cell r="BA217"/>
          <cell r="BB217"/>
          <cell r="BC217">
            <v>0</v>
          </cell>
          <cell r="BD217"/>
          <cell r="BE217"/>
          <cell r="BF217"/>
          <cell r="BG217"/>
          <cell r="BH217">
            <v>0</v>
          </cell>
          <cell r="BI217"/>
          <cell r="BJ217"/>
          <cell r="BK217"/>
          <cell r="BL217"/>
          <cell r="BM217">
            <v>0</v>
          </cell>
          <cell r="BN217"/>
          <cell r="BO217"/>
          <cell r="BP217"/>
          <cell r="BQ217"/>
          <cell r="BR217">
            <v>0</v>
          </cell>
          <cell r="BS217">
            <v>0</v>
          </cell>
          <cell r="BT217">
            <v>0</v>
          </cell>
          <cell r="BU217">
            <v>0</v>
          </cell>
          <cell r="BV217">
            <v>0</v>
          </cell>
          <cell r="BW217">
            <v>0</v>
          </cell>
          <cell r="BX217">
            <v>0</v>
          </cell>
          <cell r="BY217">
            <v>0</v>
          </cell>
          <cell r="BZ217">
            <v>0</v>
          </cell>
          <cell r="CA217">
            <v>0</v>
          </cell>
          <cell r="CB217">
            <v>0</v>
          </cell>
          <cell r="CC217"/>
          <cell r="CD217"/>
          <cell r="CE217"/>
          <cell r="CF217"/>
          <cell r="CG217"/>
          <cell r="CH217"/>
          <cell r="CI217"/>
          <cell r="CJ217"/>
          <cell r="CK217"/>
          <cell r="CL217"/>
          <cell r="CM217"/>
          <cell r="CN217"/>
          <cell r="CO217"/>
          <cell r="CP217"/>
          <cell r="CQ217"/>
          <cell r="CR217"/>
          <cell r="CS217"/>
          <cell r="CT217"/>
          <cell r="CU217"/>
          <cell r="CV217"/>
          <cell r="CW217"/>
          <cell r="CX217"/>
          <cell r="CY217"/>
        </row>
        <row r="218">
          <cell r="B218" t="str">
            <v>Sales - % FX: Nigerian Naira</v>
          </cell>
          <cell r="C218" t="str">
            <v>SALES_FX_NGN</v>
          </cell>
          <cell r="F218"/>
          <cell r="G218"/>
          <cell r="H218"/>
          <cell r="I218"/>
          <cell r="J218"/>
          <cell r="K218"/>
          <cell r="L218"/>
          <cell r="M218"/>
          <cell r="N218"/>
          <cell r="O218"/>
          <cell r="P218"/>
          <cell r="Q218"/>
          <cell r="R218"/>
          <cell r="S218"/>
          <cell r="T218"/>
          <cell r="U218"/>
          <cell r="V218"/>
          <cell r="W218"/>
          <cell r="X218"/>
          <cell r="Y218"/>
          <cell r="Z218"/>
          <cell r="AA218"/>
          <cell r="AB218"/>
          <cell r="AC218"/>
          <cell r="AD218"/>
          <cell r="AE218"/>
          <cell r="AF218"/>
          <cell r="AG218"/>
          <cell r="AH218"/>
          <cell r="AI218"/>
          <cell r="AJ218"/>
          <cell r="AK218"/>
          <cell r="AL218"/>
          <cell r="AM218"/>
          <cell r="AN218"/>
          <cell r="AO218"/>
          <cell r="AP218"/>
          <cell r="AQ218"/>
          <cell r="AR218"/>
          <cell r="AS218"/>
          <cell r="AT218"/>
          <cell r="AU218"/>
          <cell r="AV218"/>
          <cell r="AW218"/>
          <cell r="AX218">
            <v>0</v>
          </cell>
          <cell r="AY218"/>
          <cell r="AZ218"/>
          <cell r="BA218"/>
          <cell r="BB218"/>
          <cell r="BC218">
            <v>0</v>
          </cell>
          <cell r="BD218"/>
          <cell r="BE218"/>
          <cell r="BF218"/>
          <cell r="BG218"/>
          <cell r="BH218">
            <v>0</v>
          </cell>
          <cell r="BI218"/>
          <cell r="BJ218"/>
          <cell r="BK218"/>
          <cell r="BL218"/>
          <cell r="BM218">
            <v>0</v>
          </cell>
          <cell r="BN218"/>
          <cell r="BO218"/>
          <cell r="BP218"/>
          <cell r="BQ218"/>
          <cell r="BR218">
            <v>0</v>
          </cell>
          <cell r="BS218">
            <v>0</v>
          </cell>
          <cell r="BT218">
            <v>0</v>
          </cell>
          <cell r="BU218">
            <v>0</v>
          </cell>
          <cell r="BV218">
            <v>0</v>
          </cell>
          <cell r="BW218">
            <v>0</v>
          </cell>
          <cell r="BX218">
            <v>0</v>
          </cell>
          <cell r="BY218">
            <v>0</v>
          </cell>
          <cell r="BZ218">
            <v>0</v>
          </cell>
          <cell r="CA218">
            <v>0</v>
          </cell>
          <cell r="CB218">
            <v>0</v>
          </cell>
          <cell r="CC218"/>
          <cell r="CD218"/>
          <cell r="CE218"/>
          <cell r="CF218"/>
          <cell r="CG218"/>
          <cell r="CH218"/>
          <cell r="CI218"/>
          <cell r="CJ218"/>
          <cell r="CK218"/>
          <cell r="CL218"/>
          <cell r="CM218"/>
          <cell r="CN218"/>
          <cell r="CO218"/>
          <cell r="CP218"/>
          <cell r="CQ218"/>
          <cell r="CR218"/>
          <cell r="CS218"/>
          <cell r="CT218"/>
          <cell r="CU218"/>
          <cell r="CV218"/>
          <cell r="CW218"/>
          <cell r="CX218"/>
          <cell r="CY218"/>
        </row>
        <row r="219">
          <cell r="B219" t="str">
            <v>Sales - % FX: Swiss Franc</v>
          </cell>
          <cell r="C219" t="str">
            <v>SALES_FX_CHF</v>
          </cell>
          <cell r="F219"/>
          <cell r="G219"/>
          <cell r="H219"/>
          <cell r="I219"/>
          <cell r="J219"/>
          <cell r="K219"/>
          <cell r="L219"/>
          <cell r="M219"/>
          <cell r="N219"/>
          <cell r="O219"/>
          <cell r="P219"/>
          <cell r="Q219"/>
          <cell r="R219"/>
          <cell r="S219"/>
          <cell r="T219"/>
          <cell r="U219"/>
          <cell r="V219"/>
          <cell r="W219"/>
          <cell r="X219"/>
          <cell r="Y219"/>
          <cell r="Z219"/>
          <cell r="AA219"/>
          <cell r="AB219"/>
          <cell r="AC219"/>
          <cell r="AD219"/>
          <cell r="AE219"/>
          <cell r="AF219"/>
          <cell r="AG219"/>
          <cell r="AH219"/>
          <cell r="AI219"/>
          <cell r="AJ219"/>
          <cell r="AK219"/>
          <cell r="AL219"/>
          <cell r="AM219"/>
          <cell r="AN219"/>
          <cell r="AO219"/>
          <cell r="AP219"/>
          <cell r="AQ219"/>
          <cell r="AR219"/>
          <cell r="AS219"/>
          <cell r="AT219"/>
          <cell r="AU219"/>
          <cell r="AV219"/>
          <cell r="AW219"/>
          <cell r="AX219">
            <v>0</v>
          </cell>
          <cell r="AY219"/>
          <cell r="AZ219"/>
          <cell r="BA219"/>
          <cell r="BB219"/>
          <cell r="BC219">
            <v>0</v>
          </cell>
          <cell r="BD219"/>
          <cell r="BE219"/>
          <cell r="BF219"/>
          <cell r="BG219"/>
          <cell r="BH219">
            <v>0</v>
          </cell>
          <cell r="BI219"/>
          <cell r="BJ219"/>
          <cell r="BK219"/>
          <cell r="BL219"/>
          <cell r="BM219">
            <v>0</v>
          </cell>
          <cell r="BN219"/>
          <cell r="BO219"/>
          <cell r="BP219"/>
          <cell r="BQ219"/>
          <cell r="BR219">
            <v>0</v>
          </cell>
          <cell r="BS219">
            <v>0</v>
          </cell>
          <cell r="BT219">
            <v>0</v>
          </cell>
          <cell r="BU219">
            <v>0</v>
          </cell>
          <cell r="BV219">
            <v>0</v>
          </cell>
          <cell r="BW219">
            <v>0</v>
          </cell>
          <cell r="BX219">
            <v>0</v>
          </cell>
          <cell r="BY219">
            <v>0</v>
          </cell>
          <cell r="BZ219">
            <v>0</v>
          </cell>
          <cell r="CA219">
            <v>0</v>
          </cell>
          <cell r="CB219">
            <v>0</v>
          </cell>
          <cell r="CC219"/>
          <cell r="CD219"/>
          <cell r="CE219"/>
          <cell r="CF219"/>
          <cell r="CG219"/>
          <cell r="CH219"/>
          <cell r="CI219"/>
          <cell r="CJ219"/>
          <cell r="CK219"/>
          <cell r="CL219"/>
          <cell r="CM219"/>
          <cell r="CN219"/>
          <cell r="CO219"/>
          <cell r="CP219"/>
          <cell r="CQ219"/>
          <cell r="CR219"/>
          <cell r="CS219"/>
          <cell r="CT219"/>
          <cell r="CU219"/>
          <cell r="CV219"/>
          <cell r="CW219"/>
          <cell r="CX219"/>
          <cell r="CY219"/>
        </row>
        <row r="220">
          <cell r="B220" t="str">
            <v>Sales - % FX: UAE Dirham</v>
          </cell>
          <cell r="C220" t="str">
            <v>SALES_FX_AED</v>
          </cell>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cell r="AP220"/>
          <cell r="AQ220"/>
          <cell r="AR220"/>
          <cell r="AS220"/>
          <cell r="AT220"/>
          <cell r="AU220"/>
          <cell r="AV220"/>
          <cell r="AW220"/>
          <cell r="AX220">
            <v>0</v>
          </cell>
          <cell r="AY220"/>
          <cell r="AZ220"/>
          <cell r="BA220"/>
          <cell r="BB220"/>
          <cell r="BC220">
            <v>0</v>
          </cell>
          <cell r="BD220"/>
          <cell r="BE220"/>
          <cell r="BF220"/>
          <cell r="BG220"/>
          <cell r="BH220">
            <v>0</v>
          </cell>
          <cell r="BI220"/>
          <cell r="BJ220"/>
          <cell r="BK220"/>
          <cell r="BL220"/>
          <cell r="BM220">
            <v>0</v>
          </cell>
          <cell r="BN220"/>
          <cell r="BO220"/>
          <cell r="BP220"/>
          <cell r="BQ220"/>
          <cell r="BR220">
            <v>0</v>
          </cell>
          <cell r="BS220">
            <v>0</v>
          </cell>
          <cell r="BT220">
            <v>0</v>
          </cell>
          <cell r="BU220">
            <v>0</v>
          </cell>
          <cell r="BV220">
            <v>0</v>
          </cell>
          <cell r="BW220">
            <v>0</v>
          </cell>
          <cell r="BX220">
            <v>0</v>
          </cell>
          <cell r="BY220">
            <v>0</v>
          </cell>
          <cell r="BZ220">
            <v>0</v>
          </cell>
          <cell r="CA220">
            <v>0</v>
          </cell>
          <cell r="CB220">
            <v>0</v>
          </cell>
          <cell r="CC220"/>
          <cell r="CD220"/>
          <cell r="CE220"/>
          <cell r="CF220"/>
          <cell r="CG220"/>
          <cell r="CH220"/>
          <cell r="CI220"/>
          <cell r="CJ220"/>
          <cell r="CK220"/>
          <cell r="CL220"/>
          <cell r="CM220"/>
          <cell r="CN220"/>
          <cell r="CO220"/>
          <cell r="CP220"/>
          <cell r="CQ220"/>
          <cell r="CR220"/>
          <cell r="CS220"/>
          <cell r="CT220"/>
          <cell r="CU220"/>
          <cell r="CV220"/>
          <cell r="CW220"/>
          <cell r="CX220"/>
          <cell r="CY220"/>
        </row>
        <row r="221">
          <cell r="B221" t="str">
            <v>Sales - % FX: New Turkish Lira</v>
          </cell>
          <cell r="C221" t="str">
            <v>SALES_FX_TRY</v>
          </cell>
          <cell r="F221"/>
          <cell r="G221"/>
          <cell r="H221"/>
          <cell r="I221"/>
          <cell r="J221"/>
          <cell r="K221"/>
          <cell r="L221"/>
          <cell r="M221"/>
          <cell r="N221"/>
          <cell r="O221"/>
          <cell r="P221"/>
          <cell r="Q221"/>
          <cell r="R221"/>
          <cell r="S221"/>
          <cell r="T221"/>
          <cell r="U221"/>
          <cell r="V221"/>
          <cell r="W221"/>
          <cell r="X221"/>
          <cell r="Y221"/>
          <cell r="Z221"/>
          <cell r="AA221"/>
          <cell r="AB221"/>
          <cell r="AC221"/>
          <cell r="AD221"/>
          <cell r="AE221"/>
          <cell r="AF221"/>
          <cell r="AG221"/>
          <cell r="AH221"/>
          <cell r="AI221"/>
          <cell r="AJ221"/>
          <cell r="AK221"/>
          <cell r="AL221"/>
          <cell r="AM221"/>
          <cell r="AN221"/>
          <cell r="AO221"/>
          <cell r="AP221"/>
          <cell r="AQ221"/>
          <cell r="AR221"/>
          <cell r="AS221"/>
          <cell r="AT221"/>
          <cell r="AU221"/>
          <cell r="AV221"/>
          <cell r="AW221"/>
          <cell r="AX221">
            <v>0</v>
          </cell>
          <cell r="AY221"/>
          <cell r="AZ221"/>
          <cell r="BA221"/>
          <cell r="BB221"/>
          <cell r="BC221">
            <v>0</v>
          </cell>
          <cell r="BD221"/>
          <cell r="BE221"/>
          <cell r="BF221"/>
          <cell r="BG221"/>
          <cell r="BH221">
            <v>0</v>
          </cell>
          <cell r="BI221"/>
          <cell r="BJ221"/>
          <cell r="BK221"/>
          <cell r="BL221"/>
          <cell r="BM221">
            <v>0</v>
          </cell>
          <cell r="BN221"/>
          <cell r="BO221"/>
          <cell r="BP221"/>
          <cell r="BQ221"/>
          <cell r="BR221">
            <v>0</v>
          </cell>
          <cell r="BS221">
            <v>0</v>
          </cell>
          <cell r="BT221">
            <v>0</v>
          </cell>
          <cell r="BU221">
            <v>0</v>
          </cell>
          <cell r="BV221">
            <v>0</v>
          </cell>
          <cell r="BW221">
            <v>0</v>
          </cell>
          <cell r="BX221">
            <v>0</v>
          </cell>
          <cell r="BY221">
            <v>0</v>
          </cell>
          <cell r="BZ221">
            <v>0</v>
          </cell>
          <cell r="CA221">
            <v>0</v>
          </cell>
          <cell r="CB221">
            <v>0</v>
          </cell>
          <cell r="CC221"/>
          <cell r="CD221"/>
          <cell r="CE221"/>
          <cell r="CF221"/>
          <cell r="CG221"/>
          <cell r="CH221"/>
          <cell r="CI221"/>
          <cell r="CJ221"/>
          <cell r="CK221"/>
          <cell r="CL221"/>
          <cell r="CM221"/>
          <cell r="CN221"/>
          <cell r="CO221"/>
          <cell r="CP221"/>
          <cell r="CQ221"/>
          <cell r="CR221"/>
          <cell r="CS221"/>
          <cell r="CT221"/>
          <cell r="CU221"/>
          <cell r="CV221"/>
          <cell r="CW221"/>
          <cell r="CX221"/>
          <cell r="CY221"/>
        </row>
        <row r="222">
          <cell r="B222" t="str">
            <v>Sales - % FX: Other Currency</v>
          </cell>
          <cell r="C222" t="str">
            <v>SALES_FX_OTH</v>
          </cell>
          <cell r="F222"/>
          <cell r="G222"/>
          <cell r="H222"/>
          <cell r="I222"/>
          <cell r="J222"/>
          <cell r="K222"/>
          <cell r="L222"/>
          <cell r="M222"/>
          <cell r="N222"/>
          <cell r="O222"/>
          <cell r="P222"/>
          <cell r="Q222"/>
          <cell r="R222"/>
          <cell r="S222"/>
          <cell r="T222"/>
          <cell r="U222"/>
          <cell r="V222"/>
          <cell r="W222"/>
          <cell r="X222"/>
          <cell r="Y222"/>
          <cell r="Z222"/>
          <cell r="AA222"/>
          <cell r="AB222"/>
          <cell r="AC222"/>
          <cell r="AD222"/>
          <cell r="AE222"/>
          <cell r="AF222"/>
          <cell r="AG222"/>
          <cell r="AH222"/>
          <cell r="AI222"/>
          <cell r="AJ222"/>
          <cell r="AK222"/>
          <cell r="AL222"/>
          <cell r="AM222"/>
          <cell r="AN222"/>
          <cell r="AO222"/>
          <cell r="AP222"/>
          <cell r="AQ222"/>
          <cell r="AR222"/>
          <cell r="AS222"/>
          <cell r="AT222"/>
          <cell r="AU222"/>
          <cell r="AV222"/>
          <cell r="AW222"/>
          <cell r="AX222">
            <v>0</v>
          </cell>
          <cell r="AY222"/>
          <cell r="AZ222"/>
          <cell r="BA222"/>
          <cell r="BB222"/>
          <cell r="BC222">
            <v>0</v>
          </cell>
          <cell r="BD222"/>
          <cell r="BE222"/>
          <cell r="BF222"/>
          <cell r="BG222"/>
          <cell r="BH222">
            <v>0</v>
          </cell>
          <cell r="BI222"/>
          <cell r="BJ222"/>
          <cell r="BK222"/>
          <cell r="BL222"/>
          <cell r="BM222">
            <v>0</v>
          </cell>
          <cell r="BN222"/>
          <cell r="BO222"/>
          <cell r="BP222"/>
          <cell r="BQ222"/>
          <cell r="BR222">
            <v>0</v>
          </cell>
          <cell r="BS222">
            <v>0</v>
          </cell>
          <cell r="BT222">
            <v>0</v>
          </cell>
          <cell r="BU222">
            <v>0</v>
          </cell>
          <cell r="BV222">
            <v>0</v>
          </cell>
          <cell r="BW222">
            <v>0</v>
          </cell>
          <cell r="BX222">
            <v>0</v>
          </cell>
          <cell r="BY222">
            <v>0</v>
          </cell>
          <cell r="BZ222">
            <v>0</v>
          </cell>
          <cell r="CA222">
            <v>0</v>
          </cell>
          <cell r="CB222">
            <v>0</v>
          </cell>
          <cell r="CC222"/>
          <cell r="CD222"/>
          <cell r="CE222"/>
          <cell r="CF222"/>
          <cell r="CG222"/>
          <cell r="CH222"/>
          <cell r="CI222"/>
          <cell r="CJ222"/>
          <cell r="CK222"/>
          <cell r="CL222"/>
          <cell r="CM222"/>
          <cell r="CN222"/>
          <cell r="CO222"/>
          <cell r="CP222"/>
          <cell r="CQ222"/>
          <cell r="CR222"/>
          <cell r="CS222"/>
          <cell r="CT222"/>
          <cell r="CU222"/>
          <cell r="CV222"/>
          <cell r="CW222"/>
          <cell r="CX222"/>
          <cell r="CY222"/>
        </row>
        <row r="223">
          <cell r="A223" t="str">
            <v>Items to be removed</v>
          </cell>
          <cell r="B223"/>
          <cell r="C223"/>
          <cell r="D223"/>
        </row>
        <row r="224">
          <cell r="B224" t="str">
            <v>Sales - Total % Americas</v>
          </cell>
          <cell r="C224" t="str">
            <v>SALES_TOT_AM</v>
          </cell>
          <cell r="F224"/>
          <cell r="G224"/>
          <cell r="H224"/>
          <cell r="I224"/>
          <cell r="J224"/>
          <cell r="K224"/>
          <cell r="L224"/>
          <cell r="M224"/>
          <cell r="N224"/>
          <cell r="O224"/>
          <cell r="P224"/>
          <cell r="Q224"/>
          <cell r="R224"/>
          <cell r="S224"/>
          <cell r="T224"/>
          <cell r="U224"/>
          <cell r="V224"/>
          <cell r="W224"/>
          <cell r="X224"/>
          <cell r="Y224"/>
          <cell r="Z224"/>
          <cell r="AA224"/>
          <cell r="AB224"/>
          <cell r="AC224"/>
          <cell r="AD224"/>
          <cell r="AE224"/>
          <cell r="AF224"/>
          <cell r="AG224"/>
          <cell r="AH224"/>
          <cell r="AI224"/>
          <cell r="AJ224"/>
          <cell r="AK224"/>
          <cell r="AL224"/>
          <cell r="AM224"/>
          <cell r="AN224"/>
          <cell r="AO224"/>
          <cell r="AP224"/>
          <cell r="AQ224"/>
          <cell r="AR224"/>
          <cell r="AS224"/>
          <cell r="AT224"/>
          <cell r="AU224"/>
          <cell r="AV224"/>
          <cell r="AW224"/>
          <cell r="AX224"/>
          <cell r="AY224"/>
          <cell r="AZ224"/>
          <cell r="BA224"/>
          <cell r="BB224"/>
          <cell r="BC224"/>
          <cell r="BD224"/>
          <cell r="BE224"/>
          <cell r="BF224"/>
          <cell r="BG224"/>
          <cell r="BH224"/>
          <cell r="BI224"/>
          <cell r="BJ224"/>
          <cell r="BK224"/>
          <cell r="BL224"/>
          <cell r="BM224"/>
          <cell r="BN224"/>
          <cell r="BO224"/>
          <cell r="BP224"/>
          <cell r="BQ224"/>
          <cell r="BR224"/>
          <cell r="BS224"/>
          <cell r="BT224"/>
          <cell r="BU224"/>
          <cell r="BV224"/>
          <cell r="BW224"/>
          <cell r="BX224"/>
          <cell r="BY224"/>
          <cell r="BZ224"/>
          <cell r="CA224"/>
          <cell r="CB224"/>
          <cell r="CC224"/>
          <cell r="CD224"/>
          <cell r="CE224"/>
          <cell r="CF224"/>
          <cell r="CG224"/>
          <cell r="CH224"/>
          <cell r="CI224"/>
          <cell r="CJ224"/>
          <cell r="CK224"/>
          <cell r="CL224"/>
          <cell r="CM224"/>
          <cell r="CN224"/>
          <cell r="CO224"/>
          <cell r="CP224"/>
          <cell r="CQ224"/>
          <cell r="CR224"/>
          <cell r="CS224"/>
          <cell r="CT224"/>
          <cell r="CU224"/>
          <cell r="CV224"/>
          <cell r="CW224"/>
          <cell r="CX224"/>
          <cell r="CY224"/>
        </row>
        <row r="225">
          <cell r="B225" t="str">
            <v>Sales - % Other Americas</v>
          </cell>
          <cell r="C225" t="str">
            <v>SALES_OTH_AM</v>
          </cell>
          <cell r="F225"/>
          <cell r="G225"/>
          <cell r="H225"/>
          <cell r="I225"/>
          <cell r="J225"/>
          <cell r="K225"/>
          <cell r="L225"/>
          <cell r="M225"/>
          <cell r="N225"/>
          <cell r="O225"/>
          <cell r="P225"/>
          <cell r="Q225"/>
          <cell r="R225"/>
          <cell r="S225"/>
          <cell r="T225"/>
          <cell r="U225"/>
          <cell r="V225"/>
          <cell r="W225"/>
          <cell r="X225"/>
          <cell r="Y225"/>
          <cell r="Z225"/>
          <cell r="AA225"/>
          <cell r="AB225"/>
          <cell r="AC225"/>
          <cell r="AD225"/>
          <cell r="AE225"/>
          <cell r="AF225"/>
          <cell r="AG225"/>
          <cell r="AH225"/>
          <cell r="AI225"/>
          <cell r="AJ225"/>
          <cell r="AK225"/>
          <cell r="AL225"/>
          <cell r="AM225"/>
          <cell r="AN225"/>
          <cell r="AO225"/>
          <cell r="AP225"/>
          <cell r="AQ225"/>
          <cell r="AR225"/>
          <cell r="AS225"/>
          <cell r="AT225"/>
          <cell r="AU225"/>
          <cell r="AV225"/>
          <cell r="AW225"/>
          <cell r="AX225"/>
          <cell r="AY225"/>
          <cell r="AZ225"/>
          <cell r="BA225"/>
          <cell r="BB225"/>
          <cell r="BC225"/>
          <cell r="BD225"/>
          <cell r="BE225"/>
          <cell r="BF225"/>
          <cell r="BG225"/>
          <cell r="BH225"/>
          <cell r="BI225"/>
          <cell r="BJ225"/>
          <cell r="BK225"/>
          <cell r="BL225"/>
          <cell r="BM225"/>
          <cell r="BN225"/>
          <cell r="BO225"/>
          <cell r="BP225"/>
          <cell r="BQ225"/>
          <cell r="BR225"/>
          <cell r="BS225"/>
          <cell r="BT225"/>
          <cell r="BU225"/>
          <cell r="BV225"/>
          <cell r="BW225"/>
          <cell r="BX225"/>
          <cell r="BY225"/>
          <cell r="BZ225"/>
          <cell r="CA225"/>
          <cell r="CB225"/>
          <cell r="CC225"/>
          <cell r="CD225"/>
          <cell r="CE225"/>
          <cell r="CF225"/>
          <cell r="CG225"/>
          <cell r="CH225"/>
          <cell r="CI225"/>
          <cell r="CJ225"/>
          <cell r="CK225"/>
          <cell r="CL225"/>
          <cell r="CM225"/>
          <cell r="CN225"/>
          <cell r="CO225"/>
          <cell r="CP225"/>
          <cell r="CQ225"/>
          <cell r="CR225"/>
          <cell r="CS225"/>
          <cell r="CT225"/>
          <cell r="CU225"/>
          <cell r="CV225"/>
          <cell r="CW225"/>
          <cell r="CX225"/>
          <cell r="CY225"/>
        </row>
        <row r="226">
          <cell r="B226" t="str">
            <v>Sales - Total % EMEA</v>
          </cell>
          <cell r="C226" t="str">
            <v>SALES_TOT_EMEA</v>
          </cell>
          <cell r="F226"/>
          <cell r="G226"/>
          <cell r="H226"/>
          <cell r="I226"/>
          <cell r="J226"/>
          <cell r="K226"/>
          <cell r="L226"/>
          <cell r="M226"/>
          <cell r="N226"/>
          <cell r="O226"/>
          <cell r="P226"/>
          <cell r="Q226"/>
          <cell r="R226"/>
          <cell r="S226"/>
          <cell r="T226"/>
          <cell r="U226"/>
          <cell r="V226"/>
          <cell r="W226"/>
          <cell r="X226"/>
          <cell r="Y226"/>
          <cell r="Z226"/>
          <cell r="AA226"/>
          <cell r="AB226"/>
          <cell r="AC226"/>
          <cell r="AD226"/>
          <cell r="AE226"/>
          <cell r="AF226"/>
          <cell r="AG226"/>
          <cell r="AH226"/>
          <cell r="AI226"/>
          <cell r="AJ226"/>
          <cell r="AK226"/>
          <cell r="AL226"/>
          <cell r="AM226"/>
          <cell r="AN226"/>
          <cell r="AO226"/>
          <cell r="AP226"/>
          <cell r="AQ226"/>
          <cell r="AR226"/>
          <cell r="AS226"/>
          <cell r="AT226"/>
          <cell r="AU226"/>
          <cell r="AV226"/>
          <cell r="AW226"/>
          <cell r="AX226"/>
          <cell r="AY226"/>
          <cell r="AZ226"/>
          <cell r="BA226"/>
          <cell r="BB226"/>
          <cell r="BC226"/>
          <cell r="BD226"/>
          <cell r="BE226"/>
          <cell r="BF226"/>
          <cell r="BG226"/>
          <cell r="BH226"/>
          <cell r="BI226"/>
          <cell r="BJ226"/>
          <cell r="BK226"/>
          <cell r="BL226"/>
          <cell r="BM226"/>
          <cell r="BN226"/>
          <cell r="BO226"/>
          <cell r="BP226"/>
          <cell r="BQ226"/>
          <cell r="BR226"/>
          <cell r="BS226"/>
          <cell r="BT226"/>
          <cell r="BU226"/>
          <cell r="BV226"/>
          <cell r="BW226"/>
          <cell r="BX226"/>
          <cell r="BY226"/>
          <cell r="BZ226"/>
          <cell r="CA226"/>
          <cell r="CB226"/>
          <cell r="CC226"/>
          <cell r="CD226"/>
          <cell r="CE226"/>
          <cell r="CF226"/>
          <cell r="CG226"/>
          <cell r="CH226"/>
          <cell r="CI226"/>
          <cell r="CJ226"/>
          <cell r="CK226"/>
          <cell r="CL226"/>
          <cell r="CM226"/>
          <cell r="CN226"/>
          <cell r="CO226"/>
          <cell r="CP226"/>
          <cell r="CQ226"/>
          <cell r="CR226"/>
          <cell r="CS226"/>
          <cell r="CT226"/>
          <cell r="CU226"/>
          <cell r="CV226"/>
          <cell r="CW226"/>
          <cell r="CX226"/>
          <cell r="CY226"/>
        </row>
        <row r="227">
          <cell r="B227" t="str">
            <v>Sales - % Western Europe-Ex UK</v>
          </cell>
          <cell r="C227" t="str">
            <v>SALES_EU_EX_UK</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cell r="AP227"/>
          <cell r="AQ227"/>
          <cell r="AR227"/>
          <cell r="AS227"/>
          <cell r="AT227"/>
          <cell r="AU227"/>
          <cell r="AV227"/>
          <cell r="AW227"/>
          <cell r="AX227"/>
          <cell r="AY227"/>
          <cell r="AZ227"/>
          <cell r="BA227"/>
          <cell r="BB227"/>
          <cell r="BC227"/>
          <cell r="BD227"/>
          <cell r="BE227"/>
          <cell r="BF227"/>
          <cell r="BG227"/>
          <cell r="BH227"/>
          <cell r="BI227"/>
          <cell r="BJ227"/>
          <cell r="BK227"/>
          <cell r="BL227"/>
          <cell r="BM227"/>
          <cell r="BN227"/>
          <cell r="BO227"/>
          <cell r="BP227"/>
          <cell r="BQ227"/>
          <cell r="BR227"/>
          <cell r="BS227"/>
          <cell r="BT227"/>
          <cell r="BU227"/>
          <cell r="BV227"/>
          <cell r="BW227"/>
          <cell r="BX227"/>
          <cell r="BY227"/>
          <cell r="BZ227"/>
          <cell r="CA227"/>
          <cell r="CB227"/>
          <cell r="CC227"/>
          <cell r="CD227"/>
          <cell r="CE227"/>
          <cell r="CF227"/>
          <cell r="CG227"/>
          <cell r="CH227"/>
          <cell r="CI227"/>
          <cell r="CJ227"/>
          <cell r="CK227"/>
          <cell r="CL227"/>
          <cell r="CM227"/>
          <cell r="CN227"/>
          <cell r="CO227"/>
          <cell r="CP227"/>
          <cell r="CQ227"/>
          <cell r="CR227"/>
          <cell r="CS227"/>
          <cell r="CT227"/>
          <cell r="CU227"/>
          <cell r="CV227"/>
          <cell r="CW227"/>
          <cell r="CX227"/>
          <cell r="CY227"/>
        </row>
        <row r="228">
          <cell r="B228" t="str">
            <v>Sales - % Other Western Europe-Ex UK</v>
          </cell>
          <cell r="C228" t="str">
            <v>SALES_OTH_EU_EX_UK</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cell r="AP228"/>
          <cell r="AQ228"/>
          <cell r="AR228"/>
          <cell r="AS228"/>
          <cell r="AT228"/>
          <cell r="AU228"/>
          <cell r="AV228"/>
          <cell r="AW228"/>
          <cell r="AX228"/>
          <cell r="AY228"/>
          <cell r="AZ228"/>
          <cell r="BA228"/>
          <cell r="BB228"/>
          <cell r="BC228"/>
          <cell r="BD228"/>
          <cell r="BE228"/>
          <cell r="BF228"/>
          <cell r="BG228"/>
          <cell r="BH228"/>
          <cell r="BI228"/>
          <cell r="BJ228"/>
          <cell r="BK228"/>
          <cell r="BL228"/>
          <cell r="BM228"/>
          <cell r="BN228"/>
          <cell r="BO228"/>
          <cell r="BP228"/>
          <cell r="BQ228"/>
          <cell r="BR228"/>
          <cell r="BS228"/>
          <cell r="BT228"/>
          <cell r="BU228"/>
          <cell r="BV228"/>
          <cell r="BW228"/>
          <cell r="BX228"/>
          <cell r="BY228"/>
          <cell r="BZ228"/>
          <cell r="CA228"/>
          <cell r="CB228"/>
          <cell r="CC228"/>
          <cell r="CD228"/>
          <cell r="CE228"/>
          <cell r="CF228"/>
          <cell r="CG228"/>
          <cell r="CH228"/>
          <cell r="CI228"/>
          <cell r="CJ228"/>
          <cell r="CK228"/>
          <cell r="CL228"/>
          <cell r="CM228"/>
          <cell r="CN228"/>
          <cell r="CO228"/>
          <cell r="CP228"/>
          <cell r="CQ228"/>
          <cell r="CR228"/>
          <cell r="CS228"/>
          <cell r="CT228"/>
          <cell r="CU228"/>
          <cell r="CV228"/>
          <cell r="CW228"/>
          <cell r="CX228"/>
          <cell r="CY228"/>
        </row>
        <row r="229">
          <cell r="B229" t="str">
            <v>Sales - % Central &amp; Eastern Europe</v>
          </cell>
          <cell r="C229" t="str">
            <v>SALES_CEE</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cell r="AP229"/>
          <cell r="AQ229"/>
          <cell r="AR229"/>
          <cell r="AS229"/>
          <cell r="AT229"/>
          <cell r="AU229"/>
          <cell r="AV229"/>
          <cell r="AW229"/>
          <cell r="AX229"/>
          <cell r="AY229"/>
          <cell r="AZ229"/>
          <cell r="BA229"/>
          <cell r="BB229"/>
          <cell r="BC229"/>
          <cell r="BD229"/>
          <cell r="BE229"/>
          <cell r="BF229"/>
          <cell r="BG229"/>
          <cell r="BH229"/>
          <cell r="BI229"/>
          <cell r="BJ229"/>
          <cell r="BK229"/>
          <cell r="BL229"/>
          <cell r="BM229"/>
          <cell r="BN229"/>
          <cell r="BO229"/>
          <cell r="BP229"/>
          <cell r="BQ229"/>
          <cell r="BR229"/>
          <cell r="BS229"/>
          <cell r="BT229"/>
          <cell r="BU229"/>
          <cell r="BV229"/>
          <cell r="BW229"/>
          <cell r="BX229"/>
          <cell r="BY229"/>
          <cell r="BZ229"/>
          <cell r="CA229"/>
          <cell r="CB229"/>
          <cell r="CC229"/>
          <cell r="CD229"/>
          <cell r="CE229"/>
          <cell r="CF229"/>
          <cell r="CG229"/>
          <cell r="CH229"/>
          <cell r="CI229"/>
          <cell r="CJ229"/>
          <cell r="CK229"/>
          <cell r="CL229"/>
          <cell r="CM229"/>
          <cell r="CN229"/>
          <cell r="CO229"/>
          <cell r="CP229"/>
          <cell r="CQ229"/>
          <cell r="CR229"/>
          <cell r="CS229"/>
          <cell r="CT229"/>
          <cell r="CU229"/>
          <cell r="CV229"/>
          <cell r="CW229"/>
          <cell r="CX229"/>
          <cell r="CY229"/>
        </row>
        <row r="230">
          <cell r="B230" t="str">
            <v>Sales - % Middle East</v>
          </cell>
          <cell r="C230" t="str">
            <v>SALES_ME</v>
          </cell>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cell r="AP230"/>
          <cell r="AQ230"/>
          <cell r="AR230"/>
          <cell r="AS230"/>
          <cell r="AT230"/>
          <cell r="AU230"/>
          <cell r="AV230"/>
          <cell r="AW230"/>
          <cell r="AX230"/>
          <cell r="AY230"/>
          <cell r="AZ230"/>
          <cell r="BA230"/>
          <cell r="BB230"/>
          <cell r="BC230"/>
          <cell r="BD230"/>
          <cell r="BE230"/>
          <cell r="BF230"/>
          <cell r="BG230"/>
          <cell r="BH230"/>
          <cell r="BI230"/>
          <cell r="BJ230"/>
          <cell r="BK230"/>
          <cell r="BL230"/>
          <cell r="BM230"/>
          <cell r="BN230"/>
          <cell r="BO230"/>
          <cell r="BP230"/>
          <cell r="BQ230"/>
          <cell r="BR230"/>
          <cell r="BS230"/>
          <cell r="BT230"/>
          <cell r="BU230"/>
          <cell r="BV230"/>
          <cell r="BW230"/>
          <cell r="BX230"/>
          <cell r="BY230"/>
          <cell r="BZ230"/>
          <cell r="CA230"/>
          <cell r="CB230"/>
          <cell r="CC230"/>
          <cell r="CD230"/>
          <cell r="CE230"/>
          <cell r="CF230"/>
          <cell r="CG230"/>
          <cell r="CH230"/>
          <cell r="CI230"/>
          <cell r="CJ230"/>
          <cell r="CK230"/>
          <cell r="CL230"/>
          <cell r="CM230"/>
          <cell r="CN230"/>
          <cell r="CO230"/>
          <cell r="CP230"/>
          <cell r="CQ230"/>
          <cell r="CR230"/>
          <cell r="CS230"/>
          <cell r="CT230"/>
          <cell r="CU230"/>
          <cell r="CV230"/>
          <cell r="CW230"/>
          <cell r="CX230"/>
          <cell r="CY230"/>
        </row>
        <row r="231">
          <cell r="B231" t="str">
            <v>Sales - % Total Africa</v>
          </cell>
          <cell r="C231" t="str">
            <v>SALES_TOT_AFRICA</v>
          </cell>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cell r="AP231"/>
          <cell r="AQ231"/>
          <cell r="AR231"/>
          <cell r="AS231"/>
          <cell r="AT231"/>
          <cell r="AU231"/>
          <cell r="AV231"/>
          <cell r="AW231"/>
          <cell r="AX231"/>
          <cell r="AY231"/>
          <cell r="AZ231"/>
          <cell r="BA231"/>
          <cell r="BB231"/>
          <cell r="BC231"/>
          <cell r="BD231"/>
          <cell r="BE231"/>
          <cell r="BF231"/>
          <cell r="BG231"/>
          <cell r="BH231"/>
          <cell r="BI231"/>
          <cell r="BJ231"/>
          <cell r="BK231"/>
          <cell r="BL231"/>
          <cell r="BM231"/>
          <cell r="BN231"/>
          <cell r="BO231"/>
          <cell r="BP231"/>
          <cell r="BQ231"/>
          <cell r="BR231"/>
          <cell r="BS231"/>
          <cell r="BT231"/>
          <cell r="BU231"/>
          <cell r="BV231"/>
          <cell r="BW231"/>
          <cell r="BX231"/>
          <cell r="BY231"/>
          <cell r="BZ231"/>
          <cell r="CA231"/>
          <cell r="CB231"/>
          <cell r="CC231"/>
          <cell r="CD231"/>
          <cell r="CE231"/>
          <cell r="CF231"/>
          <cell r="CG231"/>
          <cell r="CH231"/>
          <cell r="CI231"/>
          <cell r="CJ231"/>
          <cell r="CK231"/>
          <cell r="CL231"/>
          <cell r="CM231"/>
          <cell r="CN231"/>
          <cell r="CO231"/>
          <cell r="CP231"/>
          <cell r="CQ231"/>
          <cell r="CR231"/>
          <cell r="CS231"/>
          <cell r="CT231"/>
          <cell r="CU231"/>
          <cell r="CV231"/>
          <cell r="CW231"/>
          <cell r="CX231"/>
          <cell r="CY231"/>
        </row>
        <row r="232">
          <cell r="B232" t="str">
            <v>Sales - % Other EMEA</v>
          </cell>
          <cell r="C232" t="str">
            <v>SALES_OTH_EMEA</v>
          </cell>
          <cell r="F232"/>
          <cell r="G232"/>
          <cell r="H232"/>
          <cell r="I232"/>
          <cell r="J232"/>
          <cell r="K232"/>
          <cell r="L232"/>
          <cell r="M232"/>
          <cell r="N232"/>
          <cell r="O232"/>
          <cell r="P232"/>
          <cell r="Q232"/>
          <cell r="R232"/>
          <cell r="S232"/>
          <cell r="T232"/>
          <cell r="U232"/>
          <cell r="V232"/>
          <cell r="W232"/>
          <cell r="X232"/>
          <cell r="Y232"/>
          <cell r="Z232"/>
          <cell r="AA232"/>
          <cell r="AB232"/>
          <cell r="AC232"/>
          <cell r="AD232"/>
          <cell r="AE232"/>
          <cell r="AF232"/>
          <cell r="AG232"/>
          <cell r="AH232"/>
          <cell r="AI232"/>
          <cell r="AJ232"/>
          <cell r="AK232"/>
          <cell r="AL232"/>
          <cell r="AM232"/>
          <cell r="AN232"/>
          <cell r="AO232"/>
          <cell r="AP232"/>
          <cell r="AQ232"/>
          <cell r="AR232"/>
          <cell r="AS232"/>
          <cell r="AT232"/>
          <cell r="AU232"/>
          <cell r="AV232"/>
          <cell r="AW232"/>
          <cell r="AX232"/>
          <cell r="AY232"/>
          <cell r="AZ232"/>
          <cell r="BA232"/>
          <cell r="BB232"/>
          <cell r="BC232"/>
          <cell r="BD232"/>
          <cell r="BE232"/>
          <cell r="BF232"/>
          <cell r="BG232"/>
          <cell r="BH232"/>
          <cell r="BI232"/>
          <cell r="BJ232"/>
          <cell r="BK232"/>
          <cell r="BL232"/>
          <cell r="BM232"/>
          <cell r="BN232"/>
          <cell r="BO232"/>
          <cell r="BP232"/>
          <cell r="BQ232"/>
          <cell r="BR232"/>
          <cell r="BS232"/>
          <cell r="BT232"/>
          <cell r="BU232"/>
          <cell r="BV232"/>
          <cell r="BW232"/>
          <cell r="BX232"/>
          <cell r="BY232"/>
          <cell r="BZ232"/>
          <cell r="CA232"/>
          <cell r="CB232"/>
          <cell r="CC232"/>
          <cell r="CD232"/>
          <cell r="CE232"/>
          <cell r="CF232"/>
          <cell r="CG232"/>
          <cell r="CH232"/>
          <cell r="CI232"/>
          <cell r="CJ232"/>
          <cell r="CK232"/>
          <cell r="CL232"/>
          <cell r="CM232"/>
          <cell r="CN232"/>
          <cell r="CO232"/>
          <cell r="CP232"/>
          <cell r="CQ232"/>
          <cell r="CR232"/>
          <cell r="CS232"/>
          <cell r="CT232"/>
          <cell r="CU232"/>
          <cell r="CV232"/>
          <cell r="CW232"/>
          <cell r="CX232"/>
          <cell r="CY232"/>
        </row>
        <row r="233">
          <cell r="B233" t="str">
            <v>Sales - Total % Asia (incl Australia &amp; New Zealand)</v>
          </cell>
          <cell r="C233" t="str">
            <v>SALES_TOT_ASIA</v>
          </cell>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cell r="AP233"/>
          <cell r="AQ233"/>
          <cell r="AR233"/>
          <cell r="AS233"/>
          <cell r="AT233"/>
          <cell r="AU233"/>
          <cell r="AV233"/>
          <cell r="AW233"/>
          <cell r="AX233"/>
          <cell r="AY233"/>
          <cell r="AZ233"/>
          <cell r="BA233"/>
          <cell r="BB233"/>
          <cell r="BC233"/>
          <cell r="BD233"/>
          <cell r="BE233"/>
          <cell r="BF233"/>
          <cell r="BG233"/>
          <cell r="BH233"/>
          <cell r="BI233"/>
          <cell r="BJ233"/>
          <cell r="BK233"/>
          <cell r="BL233"/>
          <cell r="BM233"/>
          <cell r="BN233"/>
          <cell r="BO233"/>
          <cell r="BP233"/>
          <cell r="BQ233"/>
          <cell r="BR233"/>
          <cell r="BS233"/>
          <cell r="BT233"/>
          <cell r="BU233"/>
          <cell r="BV233"/>
          <cell r="BW233"/>
          <cell r="BX233"/>
          <cell r="BY233"/>
          <cell r="BZ233"/>
          <cell r="CA233"/>
          <cell r="CB233"/>
          <cell r="CC233"/>
          <cell r="CD233"/>
          <cell r="CE233"/>
          <cell r="CF233"/>
          <cell r="CG233"/>
          <cell r="CH233"/>
          <cell r="CI233"/>
          <cell r="CJ233"/>
          <cell r="CK233"/>
          <cell r="CL233"/>
          <cell r="CM233"/>
          <cell r="CN233"/>
          <cell r="CO233"/>
          <cell r="CP233"/>
          <cell r="CQ233"/>
          <cell r="CR233"/>
          <cell r="CS233"/>
          <cell r="CT233"/>
          <cell r="CU233"/>
          <cell r="CV233"/>
          <cell r="CW233"/>
          <cell r="CX233"/>
          <cell r="CY233"/>
        </row>
        <row r="234">
          <cell r="B234" t="str">
            <v>Sales - % Other Asia</v>
          </cell>
          <cell r="C234" t="str">
            <v>SALES_OTH_AEJ</v>
          </cell>
          <cell r="F234"/>
          <cell r="G234"/>
          <cell r="H234"/>
          <cell r="I234"/>
          <cell r="J234"/>
          <cell r="K234"/>
          <cell r="L234"/>
          <cell r="M234"/>
          <cell r="N234"/>
          <cell r="O234"/>
          <cell r="P234"/>
          <cell r="Q234"/>
          <cell r="R234"/>
          <cell r="S234"/>
          <cell r="T234"/>
          <cell r="U234"/>
          <cell r="V234"/>
          <cell r="W234"/>
          <cell r="X234"/>
          <cell r="Y234"/>
          <cell r="Z234"/>
          <cell r="AA234"/>
          <cell r="AB234"/>
          <cell r="AC234"/>
          <cell r="AD234"/>
          <cell r="AE234"/>
          <cell r="AF234"/>
          <cell r="AG234"/>
          <cell r="AH234"/>
          <cell r="AI234"/>
          <cell r="AJ234"/>
          <cell r="AK234"/>
          <cell r="AL234"/>
          <cell r="AM234"/>
          <cell r="AN234"/>
          <cell r="AO234"/>
          <cell r="AP234"/>
          <cell r="AQ234"/>
          <cell r="AR234"/>
          <cell r="AS234"/>
          <cell r="AT234"/>
          <cell r="AU234"/>
          <cell r="AV234"/>
          <cell r="AW234"/>
          <cell r="AX234"/>
          <cell r="AY234"/>
          <cell r="AZ234"/>
          <cell r="BA234"/>
          <cell r="BB234"/>
          <cell r="BC234"/>
          <cell r="BD234"/>
          <cell r="BE234"/>
          <cell r="BF234"/>
          <cell r="BG234"/>
          <cell r="BH234"/>
          <cell r="BI234"/>
          <cell r="BJ234"/>
          <cell r="BK234"/>
          <cell r="BL234"/>
          <cell r="BM234"/>
          <cell r="BN234"/>
          <cell r="BO234"/>
          <cell r="BP234"/>
          <cell r="BQ234"/>
          <cell r="BR234"/>
          <cell r="BS234"/>
          <cell r="BT234"/>
          <cell r="BU234"/>
          <cell r="BV234"/>
          <cell r="BW234"/>
          <cell r="BX234"/>
          <cell r="BY234"/>
          <cell r="BZ234"/>
          <cell r="CA234"/>
          <cell r="CB234"/>
          <cell r="CC234"/>
          <cell r="CD234"/>
          <cell r="CE234"/>
          <cell r="CF234"/>
          <cell r="CG234"/>
          <cell r="CH234"/>
          <cell r="CI234"/>
          <cell r="CJ234"/>
          <cell r="CK234"/>
          <cell r="CL234"/>
          <cell r="CM234"/>
          <cell r="CN234"/>
          <cell r="CO234"/>
          <cell r="CP234"/>
          <cell r="CQ234"/>
          <cell r="CR234"/>
          <cell r="CS234"/>
          <cell r="CT234"/>
          <cell r="CU234"/>
          <cell r="CV234"/>
          <cell r="CW234"/>
          <cell r="CX234"/>
          <cell r="CY234"/>
        </row>
        <row r="235">
          <cell r="B235" t="str">
            <v>Indirect Sales - % Brazil</v>
          </cell>
          <cell r="C235" t="str">
            <v>IND_SALES_BRAZIL</v>
          </cell>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cell r="AP235"/>
          <cell r="AQ235"/>
          <cell r="AR235"/>
          <cell r="AS235"/>
          <cell r="AT235"/>
          <cell r="AU235"/>
          <cell r="AV235"/>
          <cell r="AW235"/>
          <cell r="AX235"/>
          <cell r="AY235"/>
          <cell r="AZ235"/>
          <cell r="BA235"/>
          <cell r="BB235"/>
          <cell r="BC235"/>
          <cell r="BD235"/>
          <cell r="BE235"/>
          <cell r="BF235"/>
          <cell r="BG235"/>
          <cell r="BH235"/>
          <cell r="BI235"/>
          <cell r="BJ235"/>
          <cell r="BK235"/>
          <cell r="BL235"/>
          <cell r="BM235"/>
          <cell r="BN235"/>
          <cell r="BO235"/>
          <cell r="BP235"/>
          <cell r="BQ235"/>
          <cell r="BR235"/>
          <cell r="BS235"/>
          <cell r="BT235"/>
          <cell r="BU235"/>
          <cell r="BV235"/>
          <cell r="BW235"/>
          <cell r="BX235"/>
          <cell r="BY235"/>
          <cell r="BZ235"/>
          <cell r="CA235"/>
          <cell r="CB235"/>
          <cell r="CC235"/>
          <cell r="CD235"/>
          <cell r="CE235"/>
          <cell r="CF235"/>
          <cell r="CG235"/>
          <cell r="CH235"/>
          <cell r="CI235"/>
          <cell r="CJ235"/>
          <cell r="CK235"/>
          <cell r="CL235"/>
          <cell r="CM235"/>
          <cell r="CN235"/>
          <cell r="CO235"/>
          <cell r="CP235"/>
          <cell r="CQ235"/>
          <cell r="CR235"/>
          <cell r="CS235"/>
          <cell r="CT235"/>
          <cell r="CU235"/>
          <cell r="CV235"/>
          <cell r="CW235"/>
          <cell r="CX235"/>
          <cell r="CY235"/>
        </row>
        <row r="236">
          <cell r="B236" t="str">
            <v>Indirect Sales - % United States</v>
          </cell>
          <cell r="C236" t="str">
            <v>IND_SALES_US</v>
          </cell>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cell r="AP236"/>
          <cell r="AQ236"/>
          <cell r="AR236"/>
          <cell r="AS236"/>
          <cell r="AT236"/>
          <cell r="AU236"/>
          <cell r="AV236"/>
          <cell r="AW236"/>
          <cell r="AX236"/>
          <cell r="AY236"/>
          <cell r="AZ236"/>
          <cell r="BA236"/>
          <cell r="BB236"/>
          <cell r="BC236"/>
          <cell r="BD236"/>
          <cell r="BE236"/>
          <cell r="BF236"/>
          <cell r="BG236"/>
          <cell r="BH236"/>
          <cell r="BI236"/>
          <cell r="BJ236"/>
          <cell r="BK236"/>
          <cell r="BL236"/>
          <cell r="BM236"/>
          <cell r="BN236"/>
          <cell r="BO236"/>
          <cell r="BP236"/>
          <cell r="BQ236"/>
          <cell r="BR236"/>
          <cell r="BS236"/>
          <cell r="BT236"/>
          <cell r="BU236"/>
          <cell r="BV236"/>
          <cell r="BW236"/>
          <cell r="BX236"/>
          <cell r="BY236"/>
          <cell r="BZ236"/>
          <cell r="CA236"/>
          <cell r="CB236"/>
          <cell r="CC236"/>
          <cell r="CD236"/>
          <cell r="CE236"/>
          <cell r="CF236"/>
          <cell r="CG236"/>
          <cell r="CH236"/>
          <cell r="CI236"/>
          <cell r="CJ236"/>
          <cell r="CK236"/>
          <cell r="CL236"/>
          <cell r="CM236"/>
          <cell r="CN236"/>
          <cell r="CO236"/>
          <cell r="CP236"/>
          <cell r="CQ236"/>
          <cell r="CR236"/>
          <cell r="CS236"/>
          <cell r="CT236"/>
          <cell r="CU236"/>
          <cell r="CV236"/>
          <cell r="CW236"/>
          <cell r="CX236"/>
          <cell r="CY236"/>
        </row>
        <row r="237">
          <cell r="B237" t="str">
            <v>Indirect Sales - % Other Americas</v>
          </cell>
          <cell r="C237" t="str">
            <v>IND_SALES_OTH_AM</v>
          </cell>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cell r="AP237"/>
          <cell r="AQ237"/>
          <cell r="AR237"/>
          <cell r="AS237"/>
          <cell r="AT237"/>
          <cell r="AU237"/>
          <cell r="AV237"/>
          <cell r="AW237"/>
          <cell r="AX237"/>
          <cell r="AY237"/>
          <cell r="AZ237"/>
          <cell r="BA237"/>
          <cell r="BB237"/>
          <cell r="BC237"/>
          <cell r="BD237"/>
          <cell r="BE237"/>
          <cell r="BF237"/>
          <cell r="BG237"/>
          <cell r="BH237"/>
          <cell r="BI237"/>
          <cell r="BJ237"/>
          <cell r="BK237"/>
          <cell r="BL237"/>
          <cell r="BM237"/>
          <cell r="BN237"/>
          <cell r="BO237"/>
          <cell r="BP237"/>
          <cell r="BQ237"/>
          <cell r="BR237"/>
          <cell r="BS237"/>
          <cell r="BT237"/>
          <cell r="BU237"/>
          <cell r="BV237"/>
          <cell r="BW237"/>
          <cell r="BX237"/>
          <cell r="BY237"/>
          <cell r="BZ237"/>
          <cell r="CA237"/>
          <cell r="CB237"/>
          <cell r="CC237"/>
          <cell r="CD237"/>
          <cell r="CE237"/>
          <cell r="CF237"/>
          <cell r="CG237"/>
          <cell r="CH237"/>
          <cell r="CI237"/>
          <cell r="CJ237"/>
          <cell r="CK237"/>
          <cell r="CL237"/>
          <cell r="CM237"/>
          <cell r="CN237"/>
          <cell r="CO237"/>
          <cell r="CP237"/>
          <cell r="CQ237"/>
          <cell r="CR237"/>
          <cell r="CS237"/>
          <cell r="CT237"/>
          <cell r="CU237"/>
          <cell r="CV237"/>
          <cell r="CW237"/>
          <cell r="CX237"/>
          <cell r="CY237"/>
        </row>
        <row r="238">
          <cell r="B238" t="str">
            <v>Indirect Sales - Total % Americas</v>
          </cell>
          <cell r="C238" t="str">
            <v>IND_SALES_TOT_AM</v>
          </cell>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cell r="AP238"/>
          <cell r="AQ238"/>
          <cell r="AR238"/>
          <cell r="AS238"/>
          <cell r="AT238"/>
          <cell r="AU238"/>
          <cell r="AV238"/>
          <cell r="AW238"/>
          <cell r="AX238"/>
          <cell r="AY238"/>
          <cell r="AZ238"/>
          <cell r="BA238"/>
          <cell r="BB238"/>
          <cell r="BC238"/>
          <cell r="BD238"/>
          <cell r="BE238"/>
          <cell r="BF238"/>
          <cell r="BG238"/>
          <cell r="BH238"/>
          <cell r="BI238"/>
          <cell r="BJ238"/>
          <cell r="BK238"/>
          <cell r="BL238"/>
          <cell r="BM238"/>
          <cell r="BN238"/>
          <cell r="BO238"/>
          <cell r="BP238"/>
          <cell r="BQ238"/>
          <cell r="BR238"/>
          <cell r="BS238"/>
          <cell r="BT238"/>
          <cell r="BU238"/>
          <cell r="BV238"/>
          <cell r="BW238"/>
          <cell r="BX238"/>
          <cell r="BY238"/>
          <cell r="BZ238"/>
          <cell r="CA238"/>
          <cell r="CB238"/>
          <cell r="CC238"/>
          <cell r="CD238"/>
          <cell r="CE238"/>
          <cell r="CF238"/>
          <cell r="CG238"/>
          <cell r="CH238"/>
          <cell r="CI238"/>
          <cell r="CJ238"/>
          <cell r="CK238"/>
          <cell r="CL238"/>
          <cell r="CM238"/>
          <cell r="CN238"/>
          <cell r="CO238"/>
          <cell r="CP238"/>
          <cell r="CQ238"/>
          <cell r="CR238"/>
          <cell r="CS238"/>
          <cell r="CT238"/>
          <cell r="CU238"/>
          <cell r="CV238"/>
          <cell r="CW238"/>
          <cell r="CX238"/>
          <cell r="CY238"/>
        </row>
        <row r="239">
          <cell r="B239" t="str">
            <v>Indirect Sales - % France</v>
          </cell>
          <cell r="C239" t="str">
            <v>IND_SALES_FRA</v>
          </cell>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cell r="AP239"/>
          <cell r="AQ239"/>
          <cell r="AR239"/>
          <cell r="AS239"/>
          <cell r="AT239"/>
          <cell r="AU239"/>
          <cell r="AV239"/>
          <cell r="AW239"/>
          <cell r="AX239"/>
          <cell r="AY239"/>
          <cell r="AZ239"/>
          <cell r="BA239"/>
          <cell r="BB239"/>
          <cell r="BC239"/>
          <cell r="BD239"/>
          <cell r="BE239"/>
          <cell r="BF239"/>
          <cell r="BG239"/>
          <cell r="BH239"/>
          <cell r="BI239"/>
          <cell r="BJ239"/>
          <cell r="BK239"/>
          <cell r="BL239"/>
          <cell r="BM239"/>
          <cell r="BN239"/>
          <cell r="BO239"/>
          <cell r="BP239"/>
          <cell r="BQ239"/>
          <cell r="BR239"/>
          <cell r="BS239"/>
          <cell r="BT239"/>
          <cell r="BU239"/>
          <cell r="BV239"/>
          <cell r="BW239"/>
          <cell r="BX239"/>
          <cell r="BY239"/>
          <cell r="BZ239"/>
          <cell r="CA239"/>
          <cell r="CB239"/>
          <cell r="CC239"/>
          <cell r="CD239"/>
          <cell r="CE239"/>
          <cell r="CF239"/>
          <cell r="CG239"/>
          <cell r="CH239"/>
          <cell r="CI239"/>
          <cell r="CJ239"/>
          <cell r="CK239"/>
          <cell r="CL239"/>
          <cell r="CM239"/>
          <cell r="CN239"/>
          <cell r="CO239"/>
          <cell r="CP239"/>
          <cell r="CQ239"/>
          <cell r="CR239"/>
          <cell r="CS239"/>
          <cell r="CT239"/>
          <cell r="CU239"/>
          <cell r="CV239"/>
          <cell r="CW239"/>
          <cell r="CX239"/>
          <cell r="CY239"/>
        </row>
        <row r="240">
          <cell r="B240" t="str">
            <v>Indirect Sales - % Germany</v>
          </cell>
          <cell r="C240" t="str">
            <v>IND_SALES_GER</v>
          </cell>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cell r="AP240"/>
          <cell r="AQ240"/>
          <cell r="AR240"/>
          <cell r="AS240"/>
          <cell r="AT240"/>
          <cell r="AU240"/>
          <cell r="AV240"/>
          <cell r="AW240"/>
          <cell r="AX240"/>
          <cell r="AY240"/>
          <cell r="AZ240"/>
          <cell r="BA240"/>
          <cell r="BB240"/>
          <cell r="BC240"/>
          <cell r="BD240"/>
          <cell r="BE240"/>
          <cell r="BF240"/>
          <cell r="BG240"/>
          <cell r="BH240"/>
          <cell r="BI240"/>
          <cell r="BJ240"/>
          <cell r="BK240"/>
          <cell r="BL240"/>
          <cell r="BM240"/>
          <cell r="BN240"/>
          <cell r="BO240"/>
          <cell r="BP240"/>
          <cell r="BQ240"/>
          <cell r="BR240"/>
          <cell r="BS240"/>
          <cell r="BT240"/>
          <cell r="BU240"/>
          <cell r="BV240"/>
          <cell r="BW240"/>
          <cell r="BX240"/>
          <cell r="BY240"/>
          <cell r="BZ240"/>
          <cell r="CA240"/>
          <cell r="CB240"/>
          <cell r="CC240"/>
          <cell r="CD240"/>
          <cell r="CE240"/>
          <cell r="CF240"/>
          <cell r="CG240"/>
          <cell r="CH240"/>
          <cell r="CI240"/>
          <cell r="CJ240"/>
          <cell r="CK240"/>
          <cell r="CL240"/>
          <cell r="CM240"/>
          <cell r="CN240"/>
          <cell r="CO240"/>
          <cell r="CP240"/>
          <cell r="CQ240"/>
          <cell r="CR240"/>
          <cell r="CS240"/>
          <cell r="CT240"/>
          <cell r="CU240"/>
          <cell r="CV240"/>
          <cell r="CW240"/>
          <cell r="CX240"/>
          <cell r="CY240"/>
        </row>
        <row r="241">
          <cell r="B241" t="str">
            <v>Indirect Sales - % Italy</v>
          </cell>
          <cell r="C241" t="str">
            <v>IND_SALES_ITA</v>
          </cell>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cell r="AP241"/>
          <cell r="AQ241"/>
          <cell r="AR241"/>
          <cell r="AS241"/>
          <cell r="AT241"/>
          <cell r="AU241"/>
          <cell r="AV241"/>
          <cell r="AW241"/>
          <cell r="AX241"/>
          <cell r="AY241"/>
          <cell r="AZ241"/>
          <cell r="BA241"/>
          <cell r="BB241"/>
          <cell r="BC241"/>
          <cell r="BD241"/>
          <cell r="BE241"/>
          <cell r="BF241"/>
          <cell r="BG241"/>
          <cell r="BH241"/>
          <cell r="BI241"/>
          <cell r="BJ241"/>
          <cell r="BK241"/>
          <cell r="BL241"/>
          <cell r="BM241"/>
          <cell r="BN241"/>
          <cell r="BO241"/>
          <cell r="BP241"/>
          <cell r="BQ241"/>
          <cell r="BR241"/>
          <cell r="BS241"/>
          <cell r="BT241"/>
          <cell r="BU241"/>
          <cell r="BV241"/>
          <cell r="BW241"/>
          <cell r="BX241"/>
          <cell r="BY241"/>
          <cell r="BZ241"/>
          <cell r="CA241"/>
          <cell r="CB241"/>
          <cell r="CC241"/>
          <cell r="CD241"/>
          <cell r="CE241"/>
          <cell r="CF241"/>
          <cell r="CG241"/>
          <cell r="CH241"/>
          <cell r="CI241"/>
          <cell r="CJ241"/>
          <cell r="CK241"/>
          <cell r="CL241"/>
          <cell r="CM241"/>
          <cell r="CN241"/>
          <cell r="CO241"/>
          <cell r="CP241"/>
          <cell r="CQ241"/>
          <cell r="CR241"/>
          <cell r="CS241"/>
          <cell r="CT241"/>
          <cell r="CU241"/>
          <cell r="CV241"/>
          <cell r="CW241"/>
          <cell r="CX241"/>
          <cell r="CY241"/>
        </row>
        <row r="242">
          <cell r="B242" t="str">
            <v>Indirect Sales - % Spain</v>
          </cell>
          <cell r="C242" t="str">
            <v>IND_SALES_SPA</v>
          </cell>
          <cell r="F242"/>
          <cell r="G242"/>
          <cell r="H242"/>
          <cell r="I242"/>
          <cell r="J242"/>
          <cell r="K242"/>
          <cell r="L242"/>
          <cell r="M242"/>
          <cell r="N242"/>
          <cell r="O242"/>
          <cell r="P242"/>
          <cell r="Q242"/>
          <cell r="R242"/>
          <cell r="S242"/>
          <cell r="T242"/>
          <cell r="U242"/>
          <cell r="V242"/>
          <cell r="W242"/>
          <cell r="X242"/>
          <cell r="Y242"/>
          <cell r="Z242"/>
          <cell r="AA242"/>
          <cell r="AB242"/>
          <cell r="AC242"/>
          <cell r="AD242"/>
          <cell r="AE242"/>
          <cell r="AF242"/>
          <cell r="AG242"/>
          <cell r="AH242"/>
          <cell r="AI242"/>
          <cell r="AJ242"/>
          <cell r="AK242"/>
          <cell r="AL242"/>
          <cell r="AM242"/>
          <cell r="AN242"/>
          <cell r="AO242"/>
          <cell r="AP242"/>
          <cell r="AQ242"/>
          <cell r="AR242"/>
          <cell r="AS242"/>
          <cell r="AT242"/>
          <cell r="AU242"/>
          <cell r="AV242"/>
          <cell r="AW242"/>
          <cell r="AX242"/>
          <cell r="AY242"/>
          <cell r="AZ242"/>
          <cell r="BA242"/>
          <cell r="BB242"/>
          <cell r="BC242"/>
          <cell r="BD242"/>
          <cell r="BE242"/>
          <cell r="BF242"/>
          <cell r="BG242"/>
          <cell r="BH242"/>
          <cell r="BI242"/>
          <cell r="BJ242"/>
          <cell r="BK242"/>
          <cell r="BL242"/>
          <cell r="BM242"/>
          <cell r="BN242"/>
          <cell r="BO242"/>
          <cell r="BP242"/>
          <cell r="BQ242"/>
          <cell r="BR242"/>
          <cell r="BS242"/>
          <cell r="BT242"/>
          <cell r="BU242"/>
          <cell r="BV242"/>
          <cell r="BW242"/>
          <cell r="BX242"/>
          <cell r="BY242"/>
          <cell r="BZ242"/>
          <cell r="CA242"/>
          <cell r="CB242"/>
          <cell r="CC242"/>
          <cell r="CD242"/>
          <cell r="CE242"/>
          <cell r="CF242"/>
          <cell r="CG242"/>
          <cell r="CH242"/>
          <cell r="CI242"/>
          <cell r="CJ242"/>
          <cell r="CK242"/>
          <cell r="CL242"/>
          <cell r="CM242"/>
          <cell r="CN242"/>
          <cell r="CO242"/>
          <cell r="CP242"/>
          <cell r="CQ242"/>
          <cell r="CR242"/>
          <cell r="CS242"/>
          <cell r="CT242"/>
          <cell r="CU242"/>
          <cell r="CV242"/>
          <cell r="CW242"/>
          <cell r="CX242"/>
          <cell r="CY242"/>
        </row>
        <row r="243">
          <cell r="B243" t="str">
            <v>Indirect Sales - % UK</v>
          </cell>
          <cell r="C243" t="str">
            <v>IND_SALES_UK</v>
          </cell>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cell r="AP243"/>
          <cell r="AQ243"/>
          <cell r="AR243"/>
          <cell r="AS243"/>
          <cell r="AT243"/>
          <cell r="AU243"/>
          <cell r="AV243"/>
          <cell r="AW243"/>
          <cell r="AX243"/>
          <cell r="AY243"/>
          <cell r="AZ243"/>
          <cell r="BA243"/>
          <cell r="BB243"/>
          <cell r="BC243"/>
          <cell r="BD243"/>
          <cell r="BE243"/>
          <cell r="BF243"/>
          <cell r="BG243"/>
          <cell r="BH243"/>
          <cell r="BI243"/>
          <cell r="BJ243"/>
          <cell r="BK243"/>
          <cell r="BL243"/>
          <cell r="BM243"/>
          <cell r="BN243"/>
          <cell r="BO243"/>
          <cell r="BP243"/>
          <cell r="BQ243"/>
          <cell r="BR243"/>
          <cell r="BS243"/>
          <cell r="BT243"/>
          <cell r="BU243"/>
          <cell r="BV243"/>
          <cell r="BW243"/>
          <cell r="BX243"/>
          <cell r="BY243"/>
          <cell r="BZ243"/>
          <cell r="CA243"/>
          <cell r="CB243"/>
          <cell r="CC243"/>
          <cell r="CD243"/>
          <cell r="CE243"/>
          <cell r="CF243"/>
          <cell r="CG243"/>
          <cell r="CH243"/>
          <cell r="CI243"/>
          <cell r="CJ243"/>
          <cell r="CK243"/>
          <cell r="CL243"/>
          <cell r="CM243"/>
          <cell r="CN243"/>
          <cell r="CO243"/>
          <cell r="CP243"/>
          <cell r="CQ243"/>
          <cell r="CR243"/>
          <cell r="CS243"/>
          <cell r="CT243"/>
          <cell r="CU243"/>
          <cell r="CV243"/>
          <cell r="CW243"/>
          <cell r="CX243"/>
          <cell r="CY243"/>
        </row>
        <row r="244">
          <cell r="B244" t="str">
            <v>Indirect Sales - % Western Europe-Ex UK</v>
          </cell>
          <cell r="C244" t="str">
            <v>IND_SALES_EU_EX_UK</v>
          </cell>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cell r="AP244"/>
          <cell r="AQ244"/>
          <cell r="AR244"/>
          <cell r="AS244"/>
          <cell r="AT244"/>
          <cell r="AU244"/>
          <cell r="AV244"/>
          <cell r="AW244"/>
          <cell r="AX244"/>
          <cell r="AY244"/>
          <cell r="AZ244"/>
          <cell r="BA244"/>
          <cell r="BB244"/>
          <cell r="BC244"/>
          <cell r="BD244"/>
          <cell r="BE244"/>
          <cell r="BF244"/>
          <cell r="BG244"/>
          <cell r="BH244"/>
          <cell r="BI244"/>
          <cell r="BJ244"/>
          <cell r="BK244"/>
          <cell r="BL244"/>
          <cell r="BM244"/>
          <cell r="BN244"/>
          <cell r="BO244"/>
          <cell r="BP244"/>
          <cell r="BQ244"/>
          <cell r="BR244"/>
          <cell r="BS244"/>
          <cell r="BT244"/>
          <cell r="BU244"/>
          <cell r="BV244"/>
          <cell r="BW244"/>
          <cell r="BX244"/>
          <cell r="BY244"/>
          <cell r="BZ244"/>
          <cell r="CA244"/>
          <cell r="CB244"/>
          <cell r="CC244"/>
          <cell r="CD244"/>
          <cell r="CE244"/>
          <cell r="CF244"/>
          <cell r="CG244"/>
          <cell r="CH244"/>
          <cell r="CI244"/>
          <cell r="CJ244"/>
          <cell r="CK244"/>
          <cell r="CL244"/>
          <cell r="CM244"/>
          <cell r="CN244"/>
          <cell r="CO244"/>
          <cell r="CP244"/>
          <cell r="CQ244"/>
          <cell r="CR244"/>
          <cell r="CS244"/>
          <cell r="CT244"/>
          <cell r="CU244"/>
          <cell r="CV244"/>
          <cell r="CW244"/>
          <cell r="CX244"/>
          <cell r="CY244"/>
        </row>
        <row r="245">
          <cell r="B245" t="str">
            <v>Indirect Sales - % Other Western Europe-Ex UK</v>
          </cell>
          <cell r="C245" t="str">
            <v>IND_SALES_OTH_EU_EX_UK</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cell r="AP245"/>
          <cell r="AQ245"/>
          <cell r="AR245"/>
          <cell r="AS245"/>
          <cell r="AT245"/>
          <cell r="AU245"/>
          <cell r="AV245"/>
          <cell r="AW245"/>
          <cell r="AX245"/>
          <cell r="AY245"/>
          <cell r="AZ245"/>
          <cell r="BA245"/>
          <cell r="BB245"/>
          <cell r="BC245"/>
          <cell r="BD245"/>
          <cell r="BE245"/>
          <cell r="BF245"/>
          <cell r="BG245"/>
          <cell r="BH245"/>
          <cell r="BI245"/>
          <cell r="BJ245"/>
          <cell r="BK245"/>
          <cell r="BL245"/>
          <cell r="BM245"/>
          <cell r="BN245"/>
          <cell r="BO245"/>
          <cell r="BP245"/>
          <cell r="BQ245"/>
          <cell r="BR245"/>
          <cell r="BS245"/>
          <cell r="BT245"/>
          <cell r="BU245"/>
          <cell r="BV245"/>
          <cell r="BW245"/>
          <cell r="BX245"/>
          <cell r="BY245"/>
          <cell r="BZ245"/>
          <cell r="CA245"/>
          <cell r="CB245"/>
          <cell r="CC245"/>
          <cell r="CD245"/>
          <cell r="CE245"/>
          <cell r="CF245"/>
          <cell r="CG245"/>
          <cell r="CH245"/>
          <cell r="CI245"/>
          <cell r="CJ245"/>
          <cell r="CK245"/>
          <cell r="CL245"/>
          <cell r="CM245"/>
          <cell r="CN245"/>
          <cell r="CO245"/>
          <cell r="CP245"/>
          <cell r="CQ245"/>
          <cell r="CR245"/>
          <cell r="CS245"/>
          <cell r="CT245"/>
          <cell r="CU245"/>
          <cell r="CV245"/>
          <cell r="CW245"/>
          <cell r="CX245"/>
          <cell r="CY245"/>
        </row>
        <row r="246">
          <cell r="B246" t="str">
            <v>Indirect Sales - % Russia</v>
          </cell>
          <cell r="C246" t="str">
            <v>IND_SALES_RUSSIA</v>
          </cell>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cell r="AP246"/>
          <cell r="AQ246"/>
          <cell r="AR246"/>
          <cell r="AS246"/>
          <cell r="AT246"/>
          <cell r="AU246"/>
          <cell r="AV246"/>
          <cell r="AW246"/>
          <cell r="AX246"/>
          <cell r="AY246"/>
          <cell r="AZ246"/>
          <cell r="BA246"/>
          <cell r="BB246"/>
          <cell r="BC246"/>
          <cell r="BD246"/>
          <cell r="BE246"/>
          <cell r="BF246"/>
          <cell r="BG246"/>
          <cell r="BH246"/>
          <cell r="BI246"/>
          <cell r="BJ246"/>
          <cell r="BK246"/>
          <cell r="BL246"/>
          <cell r="BM246"/>
          <cell r="BN246"/>
          <cell r="BO246"/>
          <cell r="BP246"/>
          <cell r="BQ246"/>
          <cell r="BR246"/>
          <cell r="BS246"/>
          <cell r="BT246"/>
          <cell r="BU246"/>
          <cell r="BV246"/>
          <cell r="BW246"/>
          <cell r="BX246"/>
          <cell r="BY246"/>
          <cell r="BZ246"/>
          <cell r="CA246"/>
          <cell r="CB246"/>
          <cell r="CC246"/>
          <cell r="CD246"/>
          <cell r="CE246"/>
          <cell r="CF246"/>
          <cell r="CG246"/>
          <cell r="CH246"/>
          <cell r="CI246"/>
          <cell r="CJ246"/>
          <cell r="CK246"/>
          <cell r="CL246"/>
          <cell r="CM246"/>
          <cell r="CN246"/>
          <cell r="CO246"/>
          <cell r="CP246"/>
          <cell r="CQ246"/>
          <cell r="CR246"/>
          <cell r="CS246"/>
          <cell r="CT246"/>
          <cell r="CU246"/>
          <cell r="CV246"/>
          <cell r="CW246"/>
          <cell r="CX246"/>
          <cell r="CY246"/>
        </row>
        <row r="247">
          <cell r="B247" t="str">
            <v>Indirect Sales - % Central &amp; Eastern Europe</v>
          </cell>
          <cell r="C247" t="str">
            <v>IND_SALES_CEE</v>
          </cell>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cell r="AP247"/>
          <cell r="AQ247"/>
          <cell r="AR247"/>
          <cell r="AS247"/>
          <cell r="AT247"/>
          <cell r="AU247"/>
          <cell r="AV247"/>
          <cell r="AW247"/>
          <cell r="AX247"/>
          <cell r="AY247"/>
          <cell r="AZ247"/>
          <cell r="BA247"/>
          <cell r="BB247"/>
          <cell r="BC247"/>
          <cell r="BD247"/>
          <cell r="BE247"/>
          <cell r="BF247"/>
          <cell r="BG247"/>
          <cell r="BH247"/>
          <cell r="BI247"/>
          <cell r="BJ247"/>
          <cell r="BK247"/>
          <cell r="BL247"/>
          <cell r="BM247"/>
          <cell r="BN247"/>
          <cell r="BO247"/>
          <cell r="BP247"/>
          <cell r="BQ247"/>
          <cell r="BR247"/>
          <cell r="BS247"/>
          <cell r="BT247"/>
          <cell r="BU247"/>
          <cell r="BV247"/>
          <cell r="BW247"/>
          <cell r="BX247"/>
          <cell r="BY247"/>
          <cell r="BZ247"/>
          <cell r="CA247"/>
          <cell r="CB247"/>
          <cell r="CC247"/>
          <cell r="CD247"/>
          <cell r="CE247"/>
          <cell r="CF247"/>
          <cell r="CG247"/>
          <cell r="CH247"/>
          <cell r="CI247"/>
          <cell r="CJ247"/>
          <cell r="CK247"/>
          <cell r="CL247"/>
          <cell r="CM247"/>
          <cell r="CN247"/>
          <cell r="CO247"/>
          <cell r="CP247"/>
          <cell r="CQ247"/>
          <cell r="CR247"/>
          <cell r="CS247"/>
          <cell r="CT247"/>
          <cell r="CU247"/>
          <cell r="CV247"/>
          <cell r="CW247"/>
          <cell r="CX247"/>
          <cell r="CY247"/>
        </row>
        <row r="248">
          <cell r="B248" t="str">
            <v>Indirect Sales - % Other EMEA</v>
          </cell>
          <cell r="C248" t="str">
            <v>IND_SALES_OTH_EMEA</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cell r="AP248"/>
          <cell r="AQ248"/>
          <cell r="AR248"/>
          <cell r="AS248"/>
          <cell r="AT248"/>
          <cell r="AU248"/>
          <cell r="AV248"/>
          <cell r="AW248"/>
          <cell r="AX248"/>
          <cell r="AY248"/>
          <cell r="AZ248"/>
          <cell r="BA248"/>
          <cell r="BB248"/>
          <cell r="BC248"/>
          <cell r="BD248"/>
          <cell r="BE248"/>
          <cell r="BF248"/>
          <cell r="BG248"/>
          <cell r="BH248"/>
          <cell r="BI248"/>
          <cell r="BJ248"/>
          <cell r="BK248"/>
          <cell r="BL248"/>
          <cell r="BM248"/>
          <cell r="BN248"/>
          <cell r="BO248"/>
          <cell r="BP248"/>
          <cell r="BQ248"/>
          <cell r="BR248"/>
          <cell r="BS248"/>
          <cell r="BT248"/>
          <cell r="BU248"/>
          <cell r="BV248"/>
          <cell r="BW248"/>
          <cell r="BX248"/>
          <cell r="BY248"/>
          <cell r="BZ248"/>
          <cell r="CA248"/>
          <cell r="CB248"/>
          <cell r="CC248"/>
          <cell r="CD248"/>
          <cell r="CE248"/>
          <cell r="CF248"/>
          <cell r="CG248"/>
          <cell r="CH248"/>
          <cell r="CI248"/>
          <cell r="CJ248"/>
          <cell r="CK248"/>
          <cell r="CL248"/>
          <cell r="CM248"/>
          <cell r="CN248"/>
          <cell r="CO248"/>
          <cell r="CP248"/>
          <cell r="CQ248"/>
          <cell r="CR248"/>
          <cell r="CS248"/>
          <cell r="CT248"/>
          <cell r="CU248"/>
          <cell r="CV248"/>
          <cell r="CW248"/>
          <cell r="CX248"/>
          <cell r="CY248"/>
        </row>
        <row r="249">
          <cell r="B249" t="str">
            <v>Indirect Sales - Total % EMEA</v>
          </cell>
          <cell r="C249" t="str">
            <v>IND_SALES_TOT_EMEA</v>
          </cell>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cell r="AP249"/>
          <cell r="AQ249"/>
          <cell r="AR249"/>
          <cell r="AS249"/>
          <cell r="AT249"/>
          <cell r="AU249"/>
          <cell r="AV249"/>
          <cell r="AW249"/>
          <cell r="AX249"/>
          <cell r="AY249"/>
          <cell r="AZ249"/>
          <cell r="BA249"/>
          <cell r="BB249"/>
          <cell r="BC249"/>
          <cell r="BD249"/>
          <cell r="BE249"/>
          <cell r="BF249"/>
          <cell r="BG249"/>
          <cell r="BH249"/>
          <cell r="BI249"/>
          <cell r="BJ249"/>
          <cell r="BK249"/>
          <cell r="BL249"/>
          <cell r="BM249"/>
          <cell r="BN249"/>
          <cell r="BO249"/>
          <cell r="BP249"/>
          <cell r="BQ249"/>
          <cell r="BR249"/>
          <cell r="BS249"/>
          <cell r="BT249"/>
          <cell r="BU249"/>
          <cell r="BV249"/>
          <cell r="BW249"/>
          <cell r="BX249"/>
          <cell r="BY249"/>
          <cell r="BZ249"/>
          <cell r="CA249"/>
          <cell r="CB249"/>
          <cell r="CC249"/>
          <cell r="CD249"/>
          <cell r="CE249"/>
          <cell r="CF249"/>
          <cell r="CG249"/>
          <cell r="CH249"/>
          <cell r="CI249"/>
          <cell r="CJ249"/>
          <cell r="CK249"/>
          <cell r="CL249"/>
          <cell r="CM249"/>
          <cell r="CN249"/>
          <cell r="CO249"/>
          <cell r="CP249"/>
          <cell r="CQ249"/>
          <cell r="CR249"/>
          <cell r="CS249"/>
          <cell r="CT249"/>
          <cell r="CU249"/>
          <cell r="CV249"/>
          <cell r="CW249"/>
          <cell r="CX249"/>
          <cell r="CY249"/>
        </row>
        <row r="250">
          <cell r="B250" t="str">
            <v>Indirect Sales - % Middle East</v>
          </cell>
          <cell r="C250" t="str">
            <v>IND_SALES_ME</v>
          </cell>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cell r="AP250"/>
          <cell r="AQ250"/>
          <cell r="AR250"/>
          <cell r="AS250"/>
          <cell r="AT250"/>
          <cell r="AU250"/>
          <cell r="AV250"/>
          <cell r="AW250"/>
          <cell r="AX250"/>
          <cell r="AY250"/>
          <cell r="AZ250"/>
          <cell r="BA250"/>
          <cell r="BB250"/>
          <cell r="BC250"/>
          <cell r="BD250"/>
          <cell r="BE250"/>
          <cell r="BF250"/>
          <cell r="BG250"/>
          <cell r="BH250"/>
          <cell r="BI250"/>
          <cell r="BJ250"/>
          <cell r="BK250"/>
          <cell r="BL250"/>
          <cell r="BM250"/>
          <cell r="BN250"/>
          <cell r="BO250"/>
          <cell r="BP250"/>
          <cell r="BQ250"/>
          <cell r="BR250"/>
          <cell r="BS250"/>
          <cell r="BT250"/>
          <cell r="BU250"/>
          <cell r="BV250"/>
          <cell r="BW250"/>
          <cell r="BX250"/>
          <cell r="BY250"/>
          <cell r="BZ250"/>
          <cell r="CA250"/>
          <cell r="CB250"/>
          <cell r="CC250"/>
          <cell r="CD250"/>
          <cell r="CE250"/>
          <cell r="CF250"/>
          <cell r="CG250"/>
          <cell r="CH250"/>
          <cell r="CI250"/>
          <cell r="CJ250"/>
          <cell r="CK250"/>
          <cell r="CL250"/>
          <cell r="CM250"/>
          <cell r="CN250"/>
          <cell r="CO250"/>
          <cell r="CP250"/>
          <cell r="CQ250"/>
          <cell r="CR250"/>
          <cell r="CS250"/>
          <cell r="CT250"/>
          <cell r="CU250"/>
          <cell r="CV250"/>
          <cell r="CW250"/>
          <cell r="CX250"/>
          <cell r="CY250"/>
        </row>
        <row r="251">
          <cell r="B251" t="str">
            <v>Indirect sales - % Nigeria</v>
          </cell>
          <cell r="C251" t="str">
            <v>IND_SALES_NIGERIA</v>
          </cell>
          <cell r="F251"/>
          <cell r="G251"/>
          <cell r="H251"/>
          <cell r="I251"/>
          <cell r="J251"/>
          <cell r="K251"/>
          <cell r="L251"/>
          <cell r="M251"/>
          <cell r="N251"/>
          <cell r="O251"/>
          <cell r="P251"/>
          <cell r="Q251"/>
          <cell r="R251"/>
          <cell r="S251"/>
          <cell r="T251"/>
          <cell r="U251"/>
          <cell r="V251"/>
          <cell r="W251"/>
          <cell r="X251"/>
          <cell r="Y251"/>
          <cell r="Z251"/>
          <cell r="AA251"/>
          <cell r="AB251"/>
          <cell r="AC251"/>
          <cell r="AD251"/>
          <cell r="AE251"/>
          <cell r="AF251"/>
          <cell r="AG251"/>
          <cell r="AH251"/>
          <cell r="AI251"/>
          <cell r="AJ251"/>
          <cell r="AK251"/>
          <cell r="AL251"/>
          <cell r="AM251"/>
          <cell r="AN251"/>
          <cell r="AO251"/>
          <cell r="AP251"/>
          <cell r="AQ251"/>
          <cell r="AR251"/>
          <cell r="AS251"/>
          <cell r="AT251"/>
          <cell r="AU251"/>
          <cell r="AV251"/>
          <cell r="AW251"/>
          <cell r="AX251"/>
          <cell r="AY251"/>
          <cell r="AZ251"/>
          <cell r="BA251"/>
          <cell r="BB251"/>
          <cell r="BC251"/>
          <cell r="BD251"/>
          <cell r="BE251"/>
          <cell r="BF251"/>
          <cell r="BG251"/>
          <cell r="BH251"/>
          <cell r="BI251"/>
          <cell r="BJ251"/>
          <cell r="BK251"/>
          <cell r="BL251"/>
          <cell r="BM251"/>
          <cell r="BN251"/>
          <cell r="BO251"/>
          <cell r="BP251"/>
          <cell r="BQ251"/>
          <cell r="BR251"/>
          <cell r="BS251"/>
          <cell r="BT251"/>
          <cell r="BU251"/>
          <cell r="BV251"/>
          <cell r="BW251"/>
          <cell r="BX251"/>
          <cell r="BY251"/>
          <cell r="BZ251"/>
          <cell r="CA251"/>
          <cell r="CB251"/>
          <cell r="CC251"/>
          <cell r="CD251"/>
          <cell r="CE251"/>
          <cell r="CF251"/>
          <cell r="CG251"/>
          <cell r="CH251"/>
          <cell r="CI251"/>
          <cell r="CJ251"/>
          <cell r="CK251"/>
          <cell r="CL251"/>
          <cell r="CM251"/>
          <cell r="CN251"/>
          <cell r="CO251"/>
          <cell r="CP251"/>
          <cell r="CQ251"/>
          <cell r="CR251"/>
          <cell r="CS251"/>
          <cell r="CT251"/>
          <cell r="CU251"/>
          <cell r="CV251"/>
          <cell r="CW251"/>
          <cell r="CX251"/>
          <cell r="CY251"/>
        </row>
        <row r="252">
          <cell r="B252" t="str">
            <v>Indirect sales - % South Africa</v>
          </cell>
          <cell r="C252" t="str">
            <v>IND_SALES_SO_AFRICA</v>
          </cell>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cell r="AP252"/>
          <cell r="AQ252"/>
          <cell r="AR252"/>
          <cell r="AS252"/>
          <cell r="AT252"/>
          <cell r="AU252"/>
          <cell r="AV252"/>
          <cell r="AW252"/>
          <cell r="AX252"/>
          <cell r="AY252"/>
          <cell r="AZ252"/>
          <cell r="BA252"/>
          <cell r="BB252"/>
          <cell r="BC252"/>
          <cell r="BD252"/>
          <cell r="BE252"/>
          <cell r="BF252"/>
          <cell r="BG252"/>
          <cell r="BH252"/>
          <cell r="BI252"/>
          <cell r="BJ252"/>
          <cell r="BK252"/>
          <cell r="BL252"/>
          <cell r="BM252"/>
          <cell r="BN252"/>
          <cell r="BO252"/>
          <cell r="BP252"/>
          <cell r="BQ252"/>
          <cell r="BR252"/>
          <cell r="BS252"/>
          <cell r="BT252"/>
          <cell r="BU252"/>
          <cell r="BV252"/>
          <cell r="BW252"/>
          <cell r="BX252"/>
          <cell r="BY252"/>
          <cell r="BZ252"/>
          <cell r="CA252"/>
          <cell r="CB252"/>
          <cell r="CC252"/>
          <cell r="CD252"/>
          <cell r="CE252"/>
          <cell r="CF252"/>
          <cell r="CG252"/>
          <cell r="CH252"/>
          <cell r="CI252"/>
          <cell r="CJ252"/>
          <cell r="CK252"/>
          <cell r="CL252"/>
          <cell r="CM252"/>
          <cell r="CN252"/>
          <cell r="CO252"/>
          <cell r="CP252"/>
          <cell r="CQ252"/>
          <cell r="CR252"/>
          <cell r="CS252"/>
          <cell r="CT252"/>
          <cell r="CU252"/>
          <cell r="CV252"/>
          <cell r="CW252"/>
          <cell r="CX252"/>
          <cell r="CY252"/>
        </row>
        <row r="253">
          <cell r="B253" t="str">
            <v>Indirect sales - % Other Africa</v>
          </cell>
          <cell r="C253" t="str">
            <v>IND_SALES_OTH_AFRICA</v>
          </cell>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cell r="AP253"/>
          <cell r="AQ253"/>
          <cell r="AR253"/>
          <cell r="AS253"/>
          <cell r="AT253"/>
          <cell r="AU253"/>
          <cell r="AV253"/>
          <cell r="AW253"/>
          <cell r="AX253"/>
          <cell r="AY253"/>
          <cell r="AZ253"/>
          <cell r="BA253"/>
          <cell r="BB253"/>
          <cell r="BC253"/>
          <cell r="BD253"/>
          <cell r="BE253"/>
          <cell r="BF253"/>
          <cell r="BG253"/>
          <cell r="BH253"/>
          <cell r="BI253"/>
          <cell r="BJ253"/>
          <cell r="BK253"/>
          <cell r="BL253"/>
          <cell r="BM253"/>
          <cell r="BN253"/>
          <cell r="BO253"/>
          <cell r="BP253"/>
          <cell r="BQ253"/>
          <cell r="BR253"/>
          <cell r="BS253"/>
          <cell r="BT253"/>
          <cell r="BU253"/>
          <cell r="BV253"/>
          <cell r="BW253"/>
          <cell r="BX253"/>
          <cell r="BY253"/>
          <cell r="BZ253"/>
          <cell r="CA253"/>
          <cell r="CB253"/>
          <cell r="CC253"/>
          <cell r="CD253"/>
          <cell r="CE253"/>
          <cell r="CF253"/>
          <cell r="CG253"/>
          <cell r="CH253"/>
          <cell r="CI253"/>
          <cell r="CJ253"/>
          <cell r="CK253"/>
          <cell r="CL253"/>
          <cell r="CM253"/>
          <cell r="CN253"/>
          <cell r="CO253"/>
          <cell r="CP253"/>
          <cell r="CQ253"/>
          <cell r="CR253"/>
          <cell r="CS253"/>
          <cell r="CT253"/>
          <cell r="CU253"/>
          <cell r="CV253"/>
          <cell r="CW253"/>
          <cell r="CX253"/>
          <cell r="CY253"/>
        </row>
        <row r="254">
          <cell r="B254" t="str">
            <v>Indirect sales - % Total Africa</v>
          </cell>
          <cell r="C254" t="str">
            <v>IND_SALES_TOT_AFRICA</v>
          </cell>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cell r="AP254"/>
          <cell r="AQ254"/>
          <cell r="AR254"/>
          <cell r="AS254"/>
          <cell r="AT254"/>
          <cell r="AU254"/>
          <cell r="AV254"/>
          <cell r="AW254"/>
          <cell r="AX254"/>
          <cell r="AY254"/>
          <cell r="AZ254"/>
          <cell r="BA254"/>
          <cell r="BB254"/>
          <cell r="BC254"/>
          <cell r="BD254"/>
          <cell r="BE254"/>
          <cell r="BF254"/>
          <cell r="BG254"/>
          <cell r="BH254"/>
          <cell r="BI254"/>
          <cell r="BJ254"/>
          <cell r="BK254"/>
          <cell r="BL254"/>
          <cell r="BM254"/>
          <cell r="BN254"/>
          <cell r="BO254"/>
          <cell r="BP254"/>
          <cell r="BQ254"/>
          <cell r="BR254"/>
          <cell r="BS254"/>
          <cell r="BT254"/>
          <cell r="BU254"/>
          <cell r="BV254"/>
          <cell r="BW254"/>
          <cell r="BX254"/>
          <cell r="BY254"/>
          <cell r="BZ254"/>
          <cell r="CA254"/>
          <cell r="CB254"/>
          <cell r="CC254"/>
          <cell r="CD254"/>
          <cell r="CE254"/>
          <cell r="CF254"/>
          <cell r="CG254"/>
          <cell r="CH254"/>
          <cell r="CI254"/>
          <cell r="CJ254"/>
          <cell r="CK254"/>
          <cell r="CL254"/>
          <cell r="CM254"/>
          <cell r="CN254"/>
          <cell r="CO254"/>
          <cell r="CP254"/>
          <cell r="CQ254"/>
          <cell r="CR254"/>
          <cell r="CS254"/>
          <cell r="CT254"/>
          <cell r="CU254"/>
          <cell r="CV254"/>
          <cell r="CW254"/>
          <cell r="CX254"/>
          <cell r="CY254"/>
        </row>
        <row r="255">
          <cell r="B255" t="str">
            <v>Indirect Sales - % China</v>
          </cell>
          <cell r="C255" t="str">
            <v>IND_SALES_CHINA</v>
          </cell>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cell r="AP255"/>
          <cell r="AQ255"/>
          <cell r="AR255"/>
          <cell r="AS255"/>
          <cell r="AT255"/>
          <cell r="AU255"/>
          <cell r="AV255"/>
          <cell r="AW255"/>
          <cell r="AX255"/>
          <cell r="AY255"/>
          <cell r="AZ255"/>
          <cell r="BA255"/>
          <cell r="BB255"/>
          <cell r="BC255"/>
          <cell r="BD255"/>
          <cell r="BE255"/>
          <cell r="BF255"/>
          <cell r="BG255"/>
          <cell r="BH255"/>
          <cell r="BI255"/>
          <cell r="BJ255"/>
          <cell r="BK255"/>
          <cell r="BL255"/>
          <cell r="BM255"/>
          <cell r="BN255"/>
          <cell r="BO255"/>
          <cell r="BP255"/>
          <cell r="BQ255"/>
          <cell r="BR255"/>
          <cell r="BS255"/>
          <cell r="BT255"/>
          <cell r="BU255"/>
          <cell r="BV255"/>
          <cell r="BW255"/>
          <cell r="BX255"/>
          <cell r="BY255"/>
          <cell r="BZ255"/>
          <cell r="CA255"/>
          <cell r="CB255"/>
          <cell r="CC255"/>
          <cell r="CD255"/>
          <cell r="CE255"/>
          <cell r="CF255"/>
          <cell r="CG255"/>
          <cell r="CH255"/>
          <cell r="CI255"/>
          <cell r="CJ255"/>
          <cell r="CK255"/>
          <cell r="CL255"/>
          <cell r="CM255"/>
          <cell r="CN255"/>
          <cell r="CO255"/>
          <cell r="CP255"/>
          <cell r="CQ255"/>
          <cell r="CR255"/>
          <cell r="CS255"/>
          <cell r="CT255"/>
          <cell r="CU255"/>
          <cell r="CV255"/>
          <cell r="CW255"/>
          <cell r="CX255"/>
          <cell r="CY255"/>
        </row>
        <row r="256">
          <cell r="B256" t="str">
            <v>Indirect Sales - % India</v>
          </cell>
          <cell r="C256" t="str">
            <v>IND_SALES_INDIA</v>
          </cell>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cell r="AP256"/>
          <cell r="AQ256"/>
          <cell r="AR256"/>
          <cell r="AS256"/>
          <cell r="AT256"/>
          <cell r="AU256"/>
          <cell r="AV256"/>
          <cell r="AW256"/>
          <cell r="AX256"/>
          <cell r="AY256"/>
          <cell r="AZ256"/>
          <cell r="BA256"/>
          <cell r="BB256"/>
          <cell r="BC256"/>
          <cell r="BD256"/>
          <cell r="BE256"/>
          <cell r="BF256"/>
          <cell r="BG256"/>
          <cell r="BH256"/>
          <cell r="BI256"/>
          <cell r="BJ256"/>
          <cell r="BK256"/>
          <cell r="BL256"/>
          <cell r="BM256"/>
          <cell r="BN256"/>
          <cell r="BO256"/>
          <cell r="BP256"/>
          <cell r="BQ256"/>
          <cell r="BR256"/>
          <cell r="BS256"/>
          <cell r="BT256"/>
          <cell r="BU256"/>
          <cell r="BV256"/>
          <cell r="BW256"/>
          <cell r="BX256"/>
          <cell r="BY256"/>
          <cell r="BZ256"/>
          <cell r="CA256"/>
          <cell r="CB256"/>
          <cell r="CC256"/>
          <cell r="CD256"/>
          <cell r="CE256"/>
          <cell r="CF256"/>
          <cell r="CG256"/>
          <cell r="CH256"/>
          <cell r="CI256"/>
          <cell r="CJ256"/>
          <cell r="CK256"/>
          <cell r="CL256"/>
          <cell r="CM256"/>
          <cell r="CN256"/>
          <cell r="CO256"/>
          <cell r="CP256"/>
          <cell r="CQ256"/>
          <cell r="CR256"/>
          <cell r="CS256"/>
          <cell r="CT256"/>
          <cell r="CU256"/>
          <cell r="CV256"/>
          <cell r="CW256"/>
          <cell r="CX256"/>
          <cell r="CY256"/>
        </row>
        <row r="257">
          <cell r="B257" t="str">
            <v>Indirect Sales - % Japan</v>
          </cell>
          <cell r="C257" t="str">
            <v>IND_SALES_JAPAN</v>
          </cell>
          <cell r="F257"/>
          <cell r="G257"/>
          <cell r="H257"/>
          <cell r="I257"/>
          <cell r="J257"/>
          <cell r="K257"/>
          <cell r="L257"/>
          <cell r="M257"/>
          <cell r="N257"/>
          <cell r="O257"/>
          <cell r="P257"/>
          <cell r="Q257"/>
          <cell r="R257"/>
          <cell r="S257"/>
          <cell r="T257"/>
          <cell r="U257"/>
          <cell r="V257"/>
          <cell r="W257"/>
          <cell r="X257"/>
          <cell r="Y257"/>
          <cell r="Z257"/>
          <cell r="AA257"/>
          <cell r="AB257"/>
          <cell r="AC257"/>
          <cell r="AD257"/>
          <cell r="AE257"/>
          <cell r="AF257"/>
          <cell r="AG257"/>
          <cell r="AH257"/>
          <cell r="AI257"/>
          <cell r="AJ257"/>
          <cell r="AK257"/>
          <cell r="AL257"/>
          <cell r="AM257"/>
          <cell r="AN257"/>
          <cell r="AO257"/>
          <cell r="AP257"/>
          <cell r="AQ257"/>
          <cell r="AR257"/>
          <cell r="AS257"/>
          <cell r="AT257"/>
          <cell r="AU257"/>
          <cell r="AV257"/>
          <cell r="AW257"/>
          <cell r="AX257"/>
          <cell r="AY257"/>
          <cell r="AZ257"/>
          <cell r="BA257"/>
          <cell r="BB257"/>
          <cell r="BC257"/>
          <cell r="BD257"/>
          <cell r="BE257"/>
          <cell r="BF257"/>
          <cell r="BG257"/>
          <cell r="BH257"/>
          <cell r="BI257"/>
          <cell r="BJ257"/>
          <cell r="BK257"/>
          <cell r="BL257"/>
          <cell r="BM257"/>
          <cell r="BN257"/>
          <cell r="BO257"/>
          <cell r="BP257"/>
          <cell r="BQ257"/>
          <cell r="BR257"/>
          <cell r="BS257"/>
          <cell r="BT257"/>
          <cell r="BU257"/>
          <cell r="BV257"/>
          <cell r="BW257"/>
          <cell r="BX257"/>
          <cell r="BY257"/>
          <cell r="BZ257"/>
          <cell r="CA257"/>
          <cell r="CB257"/>
          <cell r="CC257"/>
          <cell r="CD257"/>
          <cell r="CE257"/>
          <cell r="CF257"/>
          <cell r="CG257"/>
          <cell r="CH257"/>
          <cell r="CI257"/>
          <cell r="CJ257"/>
          <cell r="CK257"/>
          <cell r="CL257"/>
          <cell r="CM257"/>
          <cell r="CN257"/>
          <cell r="CO257"/>
          <cell r="CP257"/>
          <cell r="CQ257"/>
          <cell r="CR257"/>
          <cell r="CS257"/>
          <cell r="CT257"/>
          <cell r="CU257"/>
          <cell r="CV257"/>
          <cell r="CW257"/>
          <cell r="CX257"/>
          <cell r="CY257"/>
        </row>
        <row r="258">
          <cell r="B258" t="str">
            <v>Indirect Sales - % Other Asia</v>
          </cell>
          <cell r="C258" t="str">
            <v>IND_SALES_OTH_AEJ</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cell r="AP258"/>
          <cell r="AQ258"/>
          <cell r="AR258"/>
          <cell r="AS258"/>
          <cell r="AT258"/>
          <cell r="AU258"/>
          <cell r="AV258"/>
          <cell r="AW258"/>
          <cell r="AX258"/>
          <cell r="AY258"/>
          <cell r="AZ258"/>
          <cell r="BA258"/>
          <cell r="BB258"/>
          <cell r="BC258"/>
          <cell r="BD258"/>
          <cell r="BE258"/>
          <cell r="BF258"/>
          <cell r="BG258"/>
          <cell r="BH258"/>
          <cell r="BI258"/>
          <cell r="BJ258"/>
          <cell r="BK258"/>
          <cell r="BL258"/>
          <cell r="BM258"/>
          <cell r="BN258"/>
          <cell r="BO258"/>
          <cell r="BP258"/>
          <cell r="BQ258"/>
          <cell r="BR258"/>
          <cell r="BS258"/>
          <cell r="BT258"/>
          <cell r="BU258"/>
          <cell r="BV258"/>
          <cell r="BW258"/>
          <cell r="BX258"/>
          <cell r="BY258"/>
          <cell r="BZ258"/>
          <cell r="CA258"/>
          <cell r="CB258"/>
          <cell r="CC258"/>
          <cell r="CD258"/>
          <cell r="CE258"/>
          <cell r="CF258"/>
          <cell r="CG258"/>
          <cell r="CH258"/>
          <cell r="CI258"/>
          <cell r="CJ258"/>
          <cell r="CK258"/>
          <cell r="CL258"/>
          <cell r="CM258"/>
          <cell r="CN258"/>
          <cell r="CO258"/>
          <cell r="CP258"/>
          <cell r="CQ258"/>
          <cell r="CR258"/>
          <cell r="CS258"/>
          <cell r="CT258"/>
          <cell r="CU258"/>
          <cell r="CV258"/>
          <cell r="CW258"/>
          <cell r="CX258"/>
          <cell r="CY258"/>
        </row>
        <row r="259">
          <cell r="B259" t="str">
            <v>Indirect Sales - Total % Asia (incl Australia &amp; New Zealand)</v>
          </cell>
          <cell r="C259" t="str">
            <v>IND_SALES_TOT_ASIA</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cell r="AP259"/>
          <cell r="AQ259"/>
          <cell r="AR259"/>
          <cell r="AS259"/>
          <cell r="AT259"/>
          <cell r="AU259"/>
          <cell r="AV259"/>
          <cell r="AW259"/>
          <cell r="AX259"/>
          <cell r="AY259"/>
          <cell r="AZ259"/>
          <cell r="BA259"/>
          <cell r="BB259"/>
          <cell r="BC259"/>
          <cell r="BD259"/>
          <cell r="BE259"/>
          <cell r="BF259"/>
          <cell r="BG259"/>
          <cell r="BH259"/>
          <cell r="BI259"/>
          <cell r="BJ259"/>
          <cell r="BK259"/>
          <cell r="BL259"/>
          <cell r="BM259"/>
          <cell r="BN259"/>
          <cell r="BO259"/>
          <cell r="BP259"/>
          <cell r="BQ259"/>
          <cell r="BR259"/>
          <cell r="BS259"/>
          <cell r="BT259"/>
          <cell r="BU259"/>
          <cell r="BV259"/>
          <cell r="BW259"/>
          <cell r="BX259"/>
          <cell r="BY259"/>
          <cell r="BZ259"/>
          <cell r="CA259"/>
          <cell r="CB259"/>
          <cell r="CC259"/>
          <cell r="CD259"/>
          <cell r="CE259"/>
          <cell r="CF259"/>
          <cell r="CG259"/>
          <cell r="CH259"/>
          <cell r="CI259"/>
          <cell r="CJ259"/>
          <cell r="CK259"/>
          <cell r="CL259"/>
          <cell r="CM259"/>
          <cell r="CN259"/>
          <cell r="CO259"/>
          <cell r="CP259"/>
          <cell r="CQ259"/>
          <cell r="CR259"/>
          <cell r="CS259"/>
          <cell r="CT259"/>
          <cell r="CU259"/>
          <cell r="CV259"/>
          <cell r="CW259"/>
          <cell r="CX259"/>
          <cell r="CY259"/>
        </row>
        <row r="260">
          <cell r="B260" t="str">
            <v>Indirect Sales - % Others</v>
          </cell>
          <cell r="C260" t="str">
            <v>IND_SALES_OTHER</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cell r="AP260"/>
          <cell r="AQ260"/>
          <cell r="AR260"/>
          <cell r="AS260"/>
          <cell r="AT260"/>
          <cell r="AU260"/>
          <cell r="AV260"/>
          <cell r="AW260"/>
          <cell r="AX260"/>
          <cell r="AY260"/>
          <cell r="AZ260"/>
          <cell r="BA260"/>
          <cell r="BB260"/>
          <cell r="BC260"/>
          <cell r="BD260"/>
          <cell r="BE260"/>
          <cell r="BF260"/>
          <cell r="BG260"/>
          <cell r="BH260"/>
          <cell r="BI260"/>
          <cell r="BJ260"/>
          <cell r="BK260"/>
          <cell r="BL260"/>
          <cell r="BM260"/>
          <cell r="BN260"/>
          <cell r="BO260"/>
          <cell r="BP260"/>
          <cell r="BQ260"/>
          <cell r="BR260"/>
          <cell r="BS260"/>
          <cell r="BT260"/>
          <cell r="BU260"/>
          <cell r="BV260"/>
          <cell r="BW260"/>
          <cell r="BX260"/>
          <cell r="BY260"/>
          <cell r="BZ260"/>
          <cell r="CA260"/>
          <cell r="CB260"/>
          <cell r="CC260"/>
          <cell r="CD260"/>
          <cell r="CE260"/>
          <cell r="CF260"/>
          <cell r="CG260"/>
          <cell r="CH260"/>
          <cell r="CI260"/>
          <cell r="CJ260"/>
          <cell r="CK260"/>
          <cell r="CL260"/>
          <cell r="CM260"/>
          <cell r="CN260"/>
          <cell r="CO260"/>
          <cell r="CP260"/>
          <cell r="CQ260"/>
          <cell r="CR260"/>
          <cell r="CS260"/>
          <cell r="CT260"/>
          <cell r="CU260"/>
          <cell r="CV260"/>
          <cell r="CW260"/>
          <cell r="CX260"/>
          <cell r="CY260"/>
        </row>
        <row r="261">
          <cell r="B261" t="str">
            <v>Indirect Sales -% Consumer (C)</v>
          </cell>
          <cell r="C261" t="str">
            <v>IND_SALES_CONS</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cell r="AP261"/>
          <cell r="AQ261"/>
          <cell r="AR261"/>
          <cell r="AS261"/>
          <cell r="AT261"/>
          <cell r="AU261"/>
          <cell r="AV261"/>
          <cell r="AW261"/>
          <cell r="AX261"/>
          <cell r="AY261"/>
          <cell r="AZ261"/>
          <cell r="BA261"/>
          <cell r="BB261"/>
          <cell r="BC261"/>
          <cell r="BD261"/>
          <cell r="BE261"/>
          <cell r="BF261"/>
          <cell r="BG261"/>
          <cell r="BH261"/>
          <cell r="BI261"/>
          <cell r="BJ261"/>
          <cell r="BK261"/>
          <cell r="BL261"/>
          <cell r="BM261"/>
          <cell r="BN261"/>
          <cell r="BO261"/>
          <cell r="BP261"/>
          <cell r="BQ261"/>
          <cell r="BR261"/>
          <cell r="BS261"/>
          <cell r="BT261"/>
          <cell r="BU261"/>
          <cell r="BV261"/>
          <cell r="BW261"/>
          <cell r="BX261"/>
          <cell r="BY261"/>
          <cell r="BZ261"/>
          <cell r="CA261"/>
          <cell r="CB261"/>
          <cell r="CC261"/>
          <cell r="CD261"/>
          <cell r="CE261"/>
          <cell r="CF261"/>
          <cell r="CG261"/>
          <cell r="CH261"/>
          <cell r="CI261"/>
          <cell r="CJ261"/>
          <cell r="CK261"/>
          <cell r="CL261"/>
          <cell r="CM261"/>
          <cell r="CN261"/>
          <cell r="CO261"/>
          <cell r="CP261"/>
          <cell r="CQ261"/>
          <cell r="CR261"/>
          <cell r="CS261"/>
          <cell r="CT261"/>
          <cell r="CU261"/>
          <cell r="CV261"/>
          <cell r="CW261"/>
          <cell r="CX261"/>
          <cell r="CY261"/>
        </row>
        <row r="262">
          <cell r="B262" t="str">
            <v>Indirect Sales -% Industry (I)</v>
          </cell>
          <cell r="C262" t="str">
            <v>IND_SALES_IND</v>
          </cell>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cell r="AP262"/>
          <cell r="AQ262"/>
          <cell r="AR262"/>
          <cell r="AS262"/>
          <cell r="AT262"/>
          <cell r="AU262"/>
          <cell r="AV262"/>
          <cell r="AW262"/>
          <cell r="AX262"/>
          <cell r="AY262"/>
          <cell r="AZ262"/>
          <cell r="BA262"/>
          <cell r="BB262"/>
          <cell r="BC262"/>
          <cell r="BD262"/>
          <cell r="BE262"/>
          <cell r="BF262"/>
          <cell r="BG262"/>
          <cell r="BH262"/>
          <cell r="BI262"/>
          <cell r="BJ262"/>
          <cell r="BK262"/>
          <cell r="BL262"/>
          <cell r="BM262"/>
          <cell r="BN262"/>
          <cell r="BO262"/>
          <cell r="BP262"/>
          <cell r="BQ262"/>
          <cell r="BR262"/>
          <cell r="BS262"/>
          <cell r="BT262"/>
          <cell r="BU262"/>
          <cell r="BV262"/>
          <cell r="BW262"/>
          <cell r="BX262"/>
          <cell r="BY262"/>
          <cell r="BZ262"/>
          <cell r="CA262"/>
          <cell r="CB262"/>
          <cell r="CC262"/>
          <cell r="CD262"/>
          <cell r="CE262"/>
          <cell r="CF262"/>
          <cell r="CG262"/>
          <cell r="CH262"/>
          <cell r="CI262"/>
          <cell r="CJ262"/>
          <cell r="CK262"/>
          <cell r="CL262"/>
          <cell r="CM262"/>
          <cell r="CN262"/>
          <cell r="CO262"/>
          <cell r="CP262"/>
          <cell r="CQ262"/>
          <cell r="CR262"/>
          <cell r="CS262"/>
          <cell r="CT262"/>
          <cell r="CU262"/>
          <cell r="CV262"/>
          <cell r="CW262"/>
          <cell r="CX262"/>
          <cell r="CY262"/>
        </row>
        <row r="263">
          <cell r="B263" t="str">
            <v>Indirect Sales -% Government (G)</v>
          </cell>
          <cell r="C263" t="str">
            <v>IND_SALES_GOV</v>
          </cell>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cell r="AP263"/>
          <cell r="AQ263"/>
          <cell r="AR263"/>
          <cell r="AS263"/>
          <cell r="AT263"/>
          <cell r="AU263"/>
          <cell r="AV263"/>
          <cell r="AW263"/>
          <cell r="AX263"/>
          <cell r="AY263"/>
          <cell r="AZ263"/>
          <cell r="BA263"/>
          <cell r="BB263"/>
          <cell r="BC263"/>
          <cell r="BD263"/>
          <cell r="BE263"/>
          <cell r="BF263"/>
          <cell r="BG263"/>
          <cell r="BH263"/>
          <cell r="BI263"/>
          <cell r="BJ263"/>
          <cell r="BK263"/>
          <cell r="BL263"/>
          <cell r="BM263"/>
          <cell r="BN263"/>
          <cell r="BO263"/>
          <cell r="BP263"/>
          <cell r="BQ263"/>
          <cell r="BR263"/>
          <cell r="BS263"/>
          <cell r="BT263"/>
          <cell r="BU263"/>
          <cell r="BV263"/>
          <cell r="BW263"/>
          <cell r="BX263"/>
          <cell r="BY263"/>
          <cell r="BZ263"/>
          <cell r="CA263"/>
          <cell r="CB263"/>
          <cell r="CC263"/>
          <cell r="CD263"/>
          <cell r="CE263"/>
          <cell r="CF263"/>
          <cell r="CG263"/>
          <cell r="CH263"/>
          <cell r="CI263"/>
          <cell r="CJ263"/>
          <cell r="CK263"/>
          <cell r="CL263"/>
          <cell r="CM263"/>
          <cell r="CN263"/>
          <cell r="CO263"/>
          <cell r="CP263"/>
          <cell r="CQ263"/>
          <cell r="CR263"/>
          <cell r="CS263"/>
          <cell r="CT263"/>
          <cell r="CU263"/>
          <cell r="CV263"/>
          <cell r="CW263"/>
          <cell r="CX263"/>
          <cell r="CY263"/>
        </row>
        <row r="264">
          <cell r="B264" t="str">
            <v>Indirect Sales -% Industry Sub-Segment: Financial Services</v>
          </cell>
          <cell r="C264" t="str">
            <v>IND_SALES_FINAN</v>
          </cell>
          <cell r="F264"/>
          <cell r="G264"/>
          <cell r="H264"/>
          <cell r="I264"/>
          <cell r="J264"/>
          <cell r="K264"/>
          <cell r="L264"/>
          <cell r="M264"/>
          <cell r="N264"/>
          <cell r="O264"/>
          <cell r="P264"/>
          <cell r="Q264"/>
          <cell r="R264"/>
          <cell r="S264"/>
          <cell r="T264"/>
          <cell r="U264"/>
          <cell r="V264"/>
          <cell r="W264"/>
          <cell r="X264"/>
          <cell r="Y264"/>
          <cell r="Z264"/>
          <cell r="AA264"/>
          <cell r="AB264"/>
          <cell r="AC264"/>
          <cell r="AD264"/>
          <cell r="AE264"/>
          <cell r="AF264"/>
          <cell r="AG264"/>
          <cell r="AH264"/>
          <cell r="AI264"/>
          <cell r="AJ264"/>
          <cell r="AK264"/>
          <cell r="AL264"/>
          <cell r="AM264"/>
          <cell r="AN264"/>
          <cell r="AO264"/>
          <cell r="AP264"/>
          <cell r="AQ264"/>
          <cell r="AR264"/>
          <cell r="AS264"/>
          <cell r="AT264"/>
          <cell r="AU264"/>
          <cell r="AV264"/>
          <cell r="AW264"/>
          <cell r="AX264"/>
          <cell r="AY264"/>
          <cell r="AZ264"/>
          <cell r="BA264"/>
          <cell r="BB264"/>
          <cell r="BC264"/>
          <cell r="BD264"/>
          <cell r="BE264"/>
          <cell r="BF264"/>
          <cell r="BG264"/>
          <cell r="BH264"/>
          <cell r="BI264"/>
          <cell r="BJ264"/>
          <cell r="BK264"/>
          <cell r="BL264"/>
          <cell r="BM264"/>
          <cell r="BN264"/>
          <cell r="BO264"/>
          <cell r="BP264"/>
          <cell r="BQ264"/>
          <cell r="BR264"/>
          <cell r="BS264"/>
          <cell r="BT264"/>
          <cell r="BU264"/>
          <cell r="BV264"/>
          <cell r="BW264"/>
          <cell r="BX264"/>
          <cell r="BY264"/>
          <cell r="BZ264"/>
          <cell r="CA264"/>
          <cell r="CB264"/>
          <cell r="CC264"/>
          <cell r="CD264"/>
          <cell r="CE264"/>
          <cell r="CF264"/>
          <cell r="CG264"/>
          <cell r="CH264"/>
          <cell r="CI264"/>
          <cell r="CJ264"/>
          <cell r="CK264"/>
          <cell r="CL264"/>
          <cell r="CM264"/>
          <cell r="CN264"/>
          <cell r="CO264"/>
          <cell r="CP264"/>
          <cell r="CQ264"/>
          <cell r="CR264"/>
          <cell r="CS264"/>
          <cell r="CT264"/>
          <cell r="CU264"/>
          <cell r="CV264"/>
          <cell r="CW264"/>
          <cell r="CX264"/>
          <cell r="CY264"/>
        </row>
        <row r="265">
          <cell r="A265" t="str">
            <v>Security: Airbus</v>
          </cell>
          <cell r="B265"/>
          <cell r="C265"/>
          <cell r="D265"/>
        </row>
        <row r="266">
          <cell r="A266" t="str">
            <v>Reference Data</v>
          </cell>
          <cell r="B266"/>
          <cell r="C266"/>
          <cell r="D266"/>
        </row>
        <row r="267">
          <cell r="B267" t="str">
            <v>Ticker</v>
          </cell>
          <cell r="C267" t="str">
            <v>Ticker</v>
          </cell>
          <cell r="E267" t="str">
            <v>AIR.PA</v>
          </cell>
        </row>
        <row r="268">
          <cell r="B268" t="str">
            <v>Security Name</v>
          </cell>
          <cell r="C268" t="str">
            <v>Security Name</v>
          </cell>
          <cell r="E268" t="str">
            <v>Airbus</v>
          </cell>
        </row>
        <row r="269">
          <cell r="B269" t="str">
            <v>Interim Type</v>
          </cell>
          <cell r="C269" t="str">
            <v>Interim Type</v>
          </cell>
          <cell r="E269" t="str">
            <v>Q</v>
          </cell>
        </row>
        <row r="270">
          <cell r="B270" t="str">
            <v>Publishing Currency</v>
          </cell>
          <cell r="C270" t="str">
            <v>PUB_CURRENCY_ISO</v>
          </cell>
          <cell r="E270" t="str">
            <v>EUR</v>
          </cell>
        </row>
        <row r="271">
          <cell r="B271" t="str">
            <v>Pricing Currency</v>
          </cell>
          <cell r="C271" t="str">
            <v>PRICE_CURRENCY_ISO</v>
          </cell>
          <cell r="E271" t="str">
            <v>EUR</v>
          </cell>
        </row>
        <row r="272">
          <cell r="B272" t="str">
            <v>Reporting Currency</v>
          </cell>
          <cell r="C272" t="str">
            <v>CURRENCY_ISO</v>
          </cell>
          <cell r="E272" t="str">
            <v>EUR</v>
          </cell>
        </row>
        <row r="273">
          <cell r="A273" t="str">
            <v>General Information</v>
          </cell>
          <cell r="B273"/>
          <cell r="C273"/>
          <cell r="D273"/>
        </row>
        <row r="274">
          <cell r="B274" t="str">
            <v>Pan Europe Investment List</v>
          </cell>
          <cell r="C274" t="str">
            <v>EURO_LIST</v>
          </cell>
          <cell r="E274" t="str">
            <v>Buy</v>
          </cell>
        </row>
        <row r="275">
          <cell r="B275" t="str">
            <v>Pan Europe Conviction List</v>
          </cell>
          <cell r="C275" t="str">
            <v>EURO_CONVICTION</v>
          </cell>
          <cell r="E275" t="str">
            <v>Buy</v>
          </cell>
        </row>
        <row r="276">
          <cell r="B276" t="str">
            <v>Legal rating</v>
          </cell>
          <cell r="C276" t="str">
            <v>LEGAL_RATING</v>
          </cell>
          <cell r="E276"/>
        </row>
        <row r="277">
          <cell r="B277" t="str">
            <v>Target price</v>
          </cell>
          <cell r="C277" t="str">
            <v>TARGET_PRICE</v>
          </cell>
          <cell r="D277" t="str">
            <v>EUR</v>
          </cell>
          <cell r="E277">
            <v>84</v>
          </cell>
        </row>
        <row r="278">
          <cell r="B278" t="str">
            <v>Target price period</v>
          </cell>
          <cell r="C278" t="str">
            <v>TP_PERIOD</v>
          </cell>
          <cell r="E278" t="str">
            <v>12 months</v>
          </cell>
        </row>
        <row r="279">
          <cell r="B279" t="str">
            <v>Fundamental value</v>
          </cell>
          <cell r="C279" t="str">
            <v>TARGET_PRICE_FUNDAMENTAL</v>
          </cell>
          <cell r="D279" t="str">
            <v>EUR</v>
          </cell>
          <cell r="E279"/>
        </row>
        <row r="280">
          <cell r="B280" t="str">
            <v>M&amp;A value</v>
          </cell>
          <cell r="C280" t="str">
            <v>TARGET_PRICE_MA</v>
          </cell>
          <cell r="D280" t="str">
            <v>EUR</v>
          </cell>
          <cell r="E280"/>
        </row>
        <row r="281">
          <cell r="B281" t="str">
            <v>Current shares outstanding (mn)</v>
          </cell>
          <cell r="C281" t="str">
            <v>NUM_SH</v>
          </cell>
          <cell r="E281">
            <v>773.79883700000005</v>
          </cell>
        </row>
        <row r="282">
          <cell r="B282" t="str">
            <v>Free float</v>
          </cell>
          <cell r="C282" t="str">
            <v>FREE_FLOAT</v>
          </cell>
          <cell r="E282">
            <v>0.47</v>
          </cell>
        </row>
        <row r="283">
          <cell r="B283" t="str">
            <v>DaimlerChrysler</v>
          </cell>
          <cell r="C283" t="str">
            <v>ACT1</v>
          </cell>
          <cell r="E283">
            <v>0.22500000000000001</v>
          </cell>
        </row>
        <row r="284">
          <cell r="B284" t="str">
            <v>SOGEADE (Lagardere, French State, Institutions)</v>
          </cell>
          <cell r="C284" t="str">
            <v>ACT2</v>
          </cell>
          <cell r="E284">
            <v>0.25</v>
          </cell>
        </row>
        <row r="285">
          <cell r="B285" t="str">
            <v>SEPI (Spain)</v>
          </cell>
          <cell r="C285" t="str">
            <v>ACT3</v>
          </cell>
          <cell r="E285">
            <v>0.05</v>
          </cell>
        </row>
        <row r="286">
          <cell r="A286" t="str">
            <v>Publishing Items</v>
          </cell>
          <cell r="B286"/>
          <cell r="C286"/>
          <cell r="D286"/>
        </row>
        <row r="287">
          <cell r="B287" t="str">
            <v>Book value per share, BVPS (Pub)</v>
          </cell>
          <cell r="C287" t="str">
            <v>BVPS_PUB</v>
          </cell>
          <cell r="D287" t="str">
            <v>EUR</v>
          </cell>
          <cell r="F287">
            <v>12.698882038866888</v>
          </cell>
          <cell r="G287">
            <v>12.206250999219192</v>
          </cell>
          <cell r="H287">
            <v>15.937185142273556</v>
          </cell>
          <cell r="I287">
            <v>20.162124807939811</v>
          </cell>
          <cell r="J287">
            <v>21.228183051609257</v>
          </cell>
          <cell r="K287"/>
          <cell r="L287"/>
          <cell r="M287"/>
          <cell r="N287"/>
          <cell r="O287">
            <v>17.219048930783995</v>
          </cell>
          <cell r="P287"/>
          <cell r="Q287"/>
          <cell r="R287"/>
          <cell r="S287"/>
          <cell r="T287">
            <v>16.261236255562469</v>
          </cell>
          <cell r="U287"/>
          <cell r="V287"/>
          <cell r="W287"/>
          <cell r="X287"/>
          <cell r="Y287">
            <v>16.298767317255059</v>
          </cell>
          <cell r="Z287"/>
          <cell r="AA287"/>
          <cell r="AB287"/>
          <cell r="AC287"/>
          <cell r="AD287">
            <v>13.658351354882742</v>
          </cell>
          <cell r="AE287"/>
          <cell r="AF287"/>
          <cell r="AG287"/>
          <cell r="AH287"/>
          <cell r="AI287">
            <v>13.011013723697403</v>
          </cell>
          <cell r="AJ287"/>
          <cell r="AK287"/>
          <cell r="AL287"/>
          <cell r="AM287"/>
          <cell r="AN287">
            <v>10.905480006663778</v>
          </cell>
          <cell r="AO287"/>
          <cell r="AP287"/>
          <cell r="AQ287"/>
          <cell r="AR287"/>
          <cell r="AS287">
            <v>10.892209990859801</v>
          </cell>
          <cell r="AT287"/>
          <cell r="AU287"/>
          <cell r="AV287"/>
          <cell r="AW287"/>
          <cell r="AX287">
            <v>12.69621181945339</v>
          </cell>
          <cell r="AY287"/>
          <cell r="AZ287"/>
          <cell r="BA287"/>
          <cell r="BB287"/>
          <cell r="BC287">
            <v>13.894587304522521</v>
          </cell>
          <cell r="BD287"/>
          <cell r="BE287"/>
          <cell r="BF287"/>
          <cell r="BG287"/>
          <cell r="BH287">
            <v>9.0183131849941933</v>
          </cell>
          <cell r="BI287"/>
          <cell r="BJ287"/>
          <cell r="BK287"/>
          <cell r="BL287"/>
          <cell r="BM287">
            <v>7.5939915661557347</v>
          </cell>
          <cell r="BN287"/>
          <cell r="BO287"/>
          <cell r="BP287"/>
          <cell r="BQ287"/>
          <cell r="BR287">
            <v>4.7260345003594262</v>
          </cell>
          <cell r="BS287"/>
          <cell r="BT287"/>
          <cell r="BU287"/>
          <cell r="BV287"/>
          <cell r="BW287">
            <v>17.250543945914494</v>
          </cell>
          <cell r="BX287"/>
          <cell r="BY287"/>
          <cell r="BZ287"/>
          <cell r="CA287"/>
          <cell r="CB287">
            <v>12.544378431666848</v>
          </cell>
          <cell r="CC287"/>
          <cell r="CD287"/>
          <cell r="CE287"/>
          <cell r="CF287"/>
          <cell r="CG287">
            <v>7.6894382424331189</v>
          </cell>
          <cell r="CH287"/>
          <cell r="CI287"/>
          <cell r="CJ287"/>
          <cell r="CK287"/>
          <cell r="CL287">
            <v>9.4302231027057495</v>
          </cell>
          <cell r="CM287"/>
          <cell r="CN287"/>
          <cell r="CO287"/>
          <cell r="CP287"/>
          <cell r="CQ287">
            <v>12.203540006866897</v>
          </cell>
          <cell r="CR287"/>
          <cell r="CS287"/>
          <cell r="CT287"/>
          <cell r="CU287"/>
          <cell r="CV287">
            <v>16.915821389800097</v>
          </cell>
          <cell r="CW287">
            <v>20.911453868847623</v>
          </cell>
          <cell r="CX287">
            <v>22.486768204276601</v>
          </cell>
          <cell r="CY287">
            <v>26.17020865835692</v>
          </cell>
        </row>
        <row r="288">
          <cell r="B288" t="str">
            <v>DPS, dividend per share (Pub)</v>
          </cell>
          <cell r="C288" t="str">
            <v>DPS_PUB</v>
          </cell>
          <cell r="D288" t="str">
            <v>EUR</v>
          </cell>
          <cell r="F288">
            <v>0.5</v>
          </cell>
          <cell r="G288">
            <v>0.5</v>
          </cell>
          <cell r="H288">
            <v>0.3</v>
          </cell>
          <cell r="I288">
            <v>0.4</v>
          </cell>
          <cell r="J288">
            <v>0.5</v>
          </cell>
          <cell r="K288"/>
          <cell r="L288"/>
          <cell r="M288"/>
          <cell r="N288"/>
          <cell r="O288">
            <v>0.65</v>
          </cell>
          <cell r="P288"/>
          <cell r="Q288"/>
          <cell r="R288"/>
          <cell r="S288"/>
          <cell r="T288">
            <v>0.12122194257528124</v>
          </cell>
          <cell r="U288"/>
          <cell r="V288"/>
          <cell r="W288"/>
          <cell r="X288"/>
          <cell r="Y288">
            <v>0.1207777257275585</v>
          </cell>
          <cell r="Z288"/>
          <cell r="AA288"/>
          <cell r="AB288"/>
          <cell r="AC288"/>
          <cell r="AD288">
            <v>0.20074876787252804</v>
          </cell>
          <cell r="AE288"/>
          <cell r="AF288"/>
          <cell r="AG288"/>
          <cell r="AH288"/>
          <cell r="AI288">
            <v>0</v>
          </cell>
          <cell r="AJ288"/>
          <cell r="AK288"/>
          <cell r="AL288"/>
          <cell r="AM288"/>
          <cell r="AN288">
            <v>0.21956514434862032</v>
          </cell>
          <cell r="AO288"/>
          <cell r="AP288"/>
          <cell r="AQ288"/>
          <cell r="AR288"/>
          <cell r="AS288">
            <v>0.45414977250025601</v>
          </cell>
          <cell r="AT288"/>
          <cell r="AU288"/>
          <cell r="AV288"/>
          <cell r="AW288"/>
          <cell r="AX288">
            <v>0.6</v>
          </cell>
          <cell r="AY288"/>
          <cell r="AZ288"/>
          <cell r="BA288"/>
          <cell r="BB288"/>
          <cell r="BC288">
            <v>0.75</v>
          </cell>
          <cell r="BD288"/>
          <cell r="BE288"/>
          <cell r="BF288"/>
          <cell r="BG288"/>
          <cell r="BH288">
            <v>1.2</v>
          </cell>
          <cell r="BI288"/>
          <cell r="BJ288"/>
          <cell r="BK288"/>
          <cell r="BL288"/>
          <cell r="BM288">
            <v>1.3</v>
          </cell>
          <cell r="BN288"/>
          <cell r="BO288"/>
          <cell r="BP288"/>
          <cell r="BQ288"/>
          <cell r="BR288">
            <v>1.35</v>
          </cell>
          <cell r="BS288"/>
          <cell r="BT288"/>
          <cell r="BU288"/>
          <cell r="BV288"/>
          <cell r="BW288">
            <v>1.5</v>
          </cell>
          <cell r="BX288"/>
          <cell r="BY288"/>
          <cell r="BZ288"/>
          <cell r="CA288"/>
          <cell r="CB288">
            <v>1.65</v>
          </cell>
          <cell r="CC288"/>
          <cell r="CD288"/>
          <cell r="CE288"/>
          <cell r="CF288"/>
          <cell r="CG288">
            <v>0</v>
          </cell>
          <cell r="CH288"/>
          <cell r="CI288"/>
          <cell r="CJ288"/>
          <cell r="CK288"/>
          <cell r="CL288">
            <v>1.65</v>
          </cell>
          <cell r="CM288"/>
          <cell r="CN288"/>
          <cell r="CO288"/>
          <cell r="CP288"/>
          <cell r="CQ288">
            <v>1.2883870131273405</v>
          </cell>
          <cell r="CR288"/>
          <cell r="CS288"/>
          <cell r="CT288"/>
          <cell r="CU288"/>
          <cell r="CV288">
            <v>2.9038140527277623</v>
          </cell>
          <cell r="CW288">
            <v>3.3483771133200104</v>
          </cell>
          <cell r="CX288">
            <v>3.7732143486721719</v>
          </cell>
          <cell r="CY288">
            <v>5.0628792476954345</v>
          </cell>
        </row>
        <row r="289">
          <cell r="B289" t="str">
            <v>Special dividend per share</v>
          </cell>
          <cell r="C289" t="str">
            <v>DPS_SPECIAL_PUB</v>
          </cell>
          <cell r="D289" t="str">
            <v>EUR</v>
          </cell>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cell r="AP289"/>
          <cell r="AQ289"/>
          <cell r="AR289"/>
          <cell r="AS289"/>
          <cell r="AT289"/>
          <cell r="AU289"/>
          <cell r="AV289"/>
          <cell r="AW289"/>
          <cell r="AX289"/>
          <cell r="AY289"/>
          <cell r="AZ289"/>
          <cell r="BA289"/>
          <cell r="BB289"/>
          <cell r="BC289"/>
          <cell r="BD289"/>
          <cell r="BE289"/>
          <cell r="BF289"/>
          <cell r="BG289"/>
          <cell r="BH289"/>
          <cell r="BI289"/>
          <cell r="BJ289"/>
          <cell r="BK289"/>
          <cell r="BL289"/>
          <cell r="BM289"/>
          <cell r="BN289"/>
          <cell r="BO289"/>
          <cell r="BP289"/>
          <cell r="BQ289"/>
          <cell r="BR289"/>
          <cell r="BS289"/>
          <cell r="BT289"/>
          <cell r="BU289"/>
          <cell r="BV289"/>
          <cell r="BW289"/>
          <cell r="BX289"/>
          <cell r="BY289"/>
          <cell r="BZ289"/>
          <cell r="CA289"/>
          <cell r="CB289"/>
          <cell r="CC289"/>
          <cell r="CD289"/>
          <cell r="CE289"/>
          <cell r="CF289"/>
          <cell r="CG289"/>
          <cell r="CH289"/>
          <cell r="CI289"/>
          <cell r="CJ289"/>
          <cell r="CK289"/>
          <cell r="CL289"/>
          <cell r="CM289"/>
          <cell r="CN289"/>
          <cell r="CO289"/>
          <cell r="CP289"/>
          <cell r="CQ289"/>
          <cell r="CR289"/>
          <cell r="CS289"/>
          <cell r="CT289"/>
          <cell r="CU289"/>
          <cell r="CV289"/>
          <cell r="CW289"/>
          <cell r="CX289"/>
          <cell r="CY289"/>
        </row>
        <row r="290">
          <cell r="B290" t="str">
            <v>EBITDA (Pub)</v>
          </cell>
          <cell r="C290" t="str">
            <v>EBITDA_PUB</v>
          </cell>
          <cell r="D290" t="str">
            <v>EUR</v>
          </cell>
          <cell r="F290">
            <v>2334</v>
          </cell>
          <cell r="G290">
            <v>3213</v>
          </cell>
          <cell r="H290">
            <v>3031</v>
          </cell>
          <cell r="I290">
            <v>3137</v>
          </cell>
          <cell r="J290">
            <v>3853</v>
          </cell>
          <cell r="K290"/>
          <cell r="L290"/>
          <cell r="M290"/>
          <cell r="N290"/>
          <cell r="O290">
            <v>4369</v>
          </cell>
          <cell r="P290"/>
          <cell r="Q290"/>
          <cell r="R290"/>
          <cell r="S290"/>
          <cell r="T290">
            <v>5126</v>
          </cell>
          <cell r="U290"/>
          <cell r="V290"/>
          <cell r="W290"/>
          <cell r="X290"/>
          <cell r="Y290">
            <v>5325</v>
          </cell>
          <cell r="Z290"/>
          <cell r="AA290"/>
          <cell r="AB290"/>
          <cell r="AC290"/>
          <cell r="AD290">
            <v>4945</v>
          </cell>
          <cell r="AE290"/>
          <cell r="AF290"/>
          <cell r="AG290"/>
          <cell r="AH290"/>
          <cell r="AI290">
            <v>3918</v>
          </cell>
          <cell r="AJ290"/>
          <cell r="AK290"/>
          <cell r="AL290"/>
          <cell r="AM290"/>
          <cell r="AN290">
            <v>2879</v>
          </cell>
          <cell r="AO290"/>
          <cell r="AP290"/>
          <cell r="AQ290"/>
          <cell r="AR290"/>
          <cell r="AS290">
            <v>3596</v>
          </cell>
          <cell r="AT290"/>
          <cell r="AU290"/>
          <cell r="AV290"/>
          <cell r="AW290"/>
          <cell r="AX290">
            <v>4962</v>
          </cell>
          <cell r="AY290"/>
          <cell r="AZ290"/>
          <cell r="BA290"/>
          <cell r="BB290"/>
          <cell r="BC290">
            <v>5488</v>
          </cell>
          <cell r="BD290">
            <v>1161</v>
          </cell>
          <cell r="BE290">
            <v>1542</v>
          </cell>
          <cell r="BF290">
            <v>1321</v>
          </cell>
          <cell r="BG290">
            <v>2143</v>
          </cell>
          <cell r="BH290">
            <v>6167</v>
          </cell>
          <cell r="BI290">
            <v>1167</v>
          </cell>
          <cell r="BJ290">
            <v>1782</v>
          </cell>
          <cell r="BK290">
            <v>1483</v>
          </cell>
          <cell r="BL290">
            <v>2142</v>
          </cell>
          <cell r="BM290">
            <v>6574</v>
          </cell>
          <cell r="BN290">
            <v>1010</v>
          </cell>
          <cell r="BO290">
            <v>1742</v>
          </cell>
          <cell r="BP290">
            <v>1250</v>
          </cell>
          <cell r="BQ290">
            <v>2247</v>
          </cell>
          <cell r="BR290">
            <v>6249</v>
          </cell>
          <cell r="BS290">
            <v>791</v>
          </cell>
          <cell r="BT290">
            <v>1394</v>
          </cell>
          <cell r="BU290">
            <v>1214</v>
          </cell>
          <cell r="BV290">
            <v>3152</v>
          </cell>
          <cell r="BW290">
            <v>6551</v>
          </cell>
          <cell r="BX290"/>
          <cell r="BY290"/>
          <cell r="BZ290"/>
          <cell r="CA290"/>
          <cell r="CB290">
            <v>8278</v>
          </cell>
          <cell r="CC290"/>
          <cell r="CD290"/>
          <cell r="CE290"/>
          <cell r="CF290"/>
          <cell r="CG290">
            <v>9873</v>
          </cell>
          <cell r="CH290"/>
          <cell r="CI290"/>
          <cell r="CJ290"/>
          <cell r="CK290"/>
          <cell r="CL290">
            <v>4181.3959436260175</v>
          </cell>
          <cell r="CM290"/>
          <cell r="CN290"/>
          <cell r="CO290"/>
          <cell r="CP290"/>
          <cell r="CQ290">
            <v>7047.4934378223379</v>
          </cell>
          <cell r="CR290"/>
          <cell r="CS290"/>
          <cell r="CT290"/>
          <cell r="CU290"/>
          <cell r="CV290">
            <v>8637.1884795542137</v>
          </cell>
          <cell r="CW290">
            <v>9645.8576429737022</v>
          </cell>
          <cell r="CX290">
            <v>10217.083202555368</v>
          </cell>
          <cell r="CY290">
            <v>12362.453506054941</v>
          </cell>
        </row>
        <row r="291">
          <cell r="B291" t="str">
            <v>EPS (Pub)</v>
          </cell>
          <cell r="C291" t="str">
            <v>EPS_PUB</v>
          </cell>
          <cell r="D291" t="str">
            <v>EUR</v>
          </cell>
          <cell r="F291">
            <v>0.46413708790366726</v>
          </cell>
          <cell r="G291">
            <v>1.0021109001598161</v>
          </cell>
          <cell r="H291">
            <v>0.86554568551591382</v>
          </cell>
          <cell r="I291">
            <v>0.96010147860621731</v>
          </cell>
          <cell r="J291">
            <v>1.4381393443047095</v>
          </cell>
          <cell r="K291"/>
          <cell r="L291"/>
          <cell r="M291"/>
          <cell r="N291"/>
          <cell r="O291">
            <v>2.2259013837355588</v>
          </cell>
          <cell r="P291"/>
          <cell r="Q291"/>
          <cell r="R291"/>
          <cell r="S291"/>
          <cell r="T291">
            <v>4.1940292709550908</v>
          </cell>
          <cell r="U291"/>
          <cell r="V291"/>
          <cell r="W291"/>
          <cell r="X291"/>
          <cell r="Y291">
            <v>3.8960155031085626</v>
          </cell>
          <cell r="Z291"/>
          <cell r="AA291"/>
          <cell r="AB291"/>
          <cell r="AC291"/>
          <cell r="AD291">
            <v>2.6184083118188379</v>
          </cell>
          <cell r="AE291"/>
          <cell r="AF291"/>
          <cell r="AG291"/>
          <cell r="AH291"/>
          <cell r="AI291">
            <v>2.1588279059347943</v>
          </cell>
          <cell r="AJ291"/>
          <cell r="AK291"/>
          <cell r="AL291"/>
          <cell r="AM291"/>
          <cell r="AN291">
            <v>0.7808131256891947</v>
          </cell>
          <cell r="AO291"/>
          <cell r="AP291"/>
          <cell r="AQ291"/>
          <cell r="AR291"/>
          <cell r="AS291">
            <v>1.3870644813219204</v>
          </cell>
          <cell r="AT291"/>
          <cell r="AU291"/>
          <cell r="AV291"/>
          <cell r="AW291"/>
          <cell r="AX291">
            <v>2.2053306505577503</v>
          </cell>
          <cell r="AY291"/>
          <cell r="AZ291"/>
          <cell r="BA291"/>
          <cell r="BB291"/>
          <cell r="BC291">
            <v>2.8215690866326724</v>
          </cell>
          <cell r="BD291">
            <v>0.52889159059860957</v>
          </cell>
          <cell r="BE291">
            <v>0.85215985619433865</v>
          </cell>
          <cell r="BF291">
            <v>0.60477257590733591</v>
          </cell>
          <cell r="BG291">
            <v>1.3783222638419483</v>
          </cell>
          <cell r="BH291">
            <v>3.3641462865422325</v>
          </cell>
          <cell r="BI291">
            <v>0.44733093003877816</v>
          </cell>
          <cell r="BJ291">
            <v>1.0227477491067036</v>
          </cell>
          <cell r="BK291">
            <v>0.7024248611353785</v>
          </cell>
          <cell r="BL291">
            <v>1.2375372585342945</v>
          </cell>
          <cell r="BM291">
            <v>3.4100407988151549</v>
          </cell>
          <cell r="BN291">
            <v>0.37086996454927412</v>
          </cell>
          <cell r="BO291">
            <v>1.9010477578975125</v>
          </cell>
          <cell r="BP291">
            <v>-0.5366937947404109</v>
          </cell>
          <cell r="BQ291">
            <v>1.575714106179555</v>
          </cell>
          <cell r="BR291">
            <v>3.3109380338859307</v>
          </cell>
          <cell r="BS291">
            <v>0.12035271903366954</v>
          </cell>
          <cell r="BT291">
            <v>0.7047643472953472</v>
          </cell>
          <cell r="BU291">
            <v>0.55611338326250348</v>
          </cell>
          <cell r="BV291">
            <v>2.2839285727798835</v>
          </cell>
          <cell r="BW291">
            <v>3.6651590223714039</v>
          </cell>
          <cell r="BX291">
            <v>-6.0823417146048046E-2</v>
          </cell>
          <cell r="BY291">
            <v>1.020823417146048</v>
          </cell>
          <cell r="BZ291">
            <v>1.3529675695564465</v>
          </cell>
          <cell r="CA291">
            <v>3.3258105181457123</v>
          </cell>
          <cell r="CB291">
            <v>5.6387780877021587</v>
          </cell>
          <cell r="CC291">
            <v>0.46665663750222097</v>
          </cell>
          <cell r="CD291">
            <v>1.7879890283479827</v>
          </cell>
          <cell r="CE291">
            <v>1.4948960342607251</v>
          </cell>
          <cell r="CF291">
            <v>1.9245559084058281</v>
          </cell>
          <cell r="CG291">
            <v>5.6740976085167567</v>
          </cell>
          <cell r="CH291">
            <v>0.22625626316643679</v>
          </cell>
          <cell r="CI291">
            <v>-2.0996373702404982</v>
          </cell>
          <cell r="CJ291">
            <v>-1.7595208234908137</v>
          </cell>
          <cell r="CK291">
            <v>5.3736867908375068</v>
          </cell>
          <cell r="CL291">
            <v>1.740784860272631</v>
          </cell>
          <cell r="CM291">
            <v>0.5626350899683662</v>
          </cell>
          <cell r="CN291">
            <v>-5.1642124357962516</v>
          </cell>
          <cell r="CO291">
            <v>-4.321902858054</v>
          </cell>
          <cell r="CP291">
            <v>13.230972933680022</v>
          </cell>
          <cell r="CQ291">
            <v>4.2946233770911357</v>
          </cell>
          <cell r="CR291">
            <v>0.76026039193974193</v>
          </cell>
          <cell r="CS291">
            <v>-6.9781395446190384</v>
          </cell>
          <cell r="CT291">
            <v>-5.8399691369664932</v>
          </cell>
          <cell r="CU291">
            <v>17.878345747808318</v>
          </cell>
          <cell r="CV291">
            <v>5.8076281054555254</v>
          </cell>
          <cell r="CW291">
            <v>6.6967542266400208</v>
          </cell>
          <cell r="CX291">
            <v>7.5464286973443437</v>
          </cell>
          <cell r="CY291">
            <v>10.125758495390869</v>
          </cell>
        </row>
        <row r="292">
          <cell r="B292" t="str">
            <v>EV adjustment (Pub)</v>
          </cell>
          <cell r="C292" t="str">
            <v>EV_ADJ_PUB</v>
          </cell>
          <cell r="D292" t="str">
            <v>EUR</v>
          </cell>
          <cell r="F292">
            <v>4294</v>
          </cell>
          <cell r="G292">
            <v>5364</v>
          </cell>
          <cell r="H292">
            <v>4816</v>
          </cell>
          <cell r="I292">
            <v>5140</v>
          </cell>
          <cell r="J292">
            <v>7390</v>
          </cell>
          <cell r="K292"/>
          <cell r="L292"/>
          <cell r="M292"/>
          <cell r="N292"/>
          <cell r="O292">
            <v>9233</v>
          </cell>
          <cell r="P292"/>
          <cell r="Q292"/>
          <cell r="R292"/>
          <cell r="S292"/>
          <cell r="T292">
            <v>4750.1719545194146</v>
          </cell>
          <cell r="U292"/>
          <cell r="V292"/>
          <cell r="W292"/>
          <cell r="X292"/>
          <cell r="Y292">
            <v>8623.466763587272</v>
          </cell>
          <cell r="Z292"/>
          <cell r="AA292"/>
          <cell r="AB292"/>
          <cell r="AC292"/>
          <cell r="AD292">
            <v>9392.9676665205388</v>
          </cell>
          <cell r="AE292"/>
          <cell r="AF292"/>
          <cell r="AG292"/>
          <cell r="AH292"/>
          <cell r="AI292">
            <v>12898.409962494567</v>
          </cell>
          <cell r="AJ292"/>
          <cell r="AK292"/>
          <cell r="AL292"/>
          <cell r="AM292"/>
          <cell r="AN292">
            <v>15329.869253794099</v>
          </cell>
          <cell r="AO292"/>
          <cell r="AP292"/>
          <cell r="AQ292"/>
          <cell r="AR292"/>
          <cell r="AS292">
            <v>13568.215482884127</v>
          </cell>
          <cell r="AT292"/>
          <cell r="AU292"/>
          <cell r="AV292"/>
          <cell r="AW292"/>
          <cell r="AX292">
            <v>13479.722310165895</v>
          </cell>
          <cell r="AY292"/>
          <cell r="AZ292"/>
          <cell r="BA292"/>
          <cell r="BB292"/>
          <cell r="BC292">
            <v>11091.409780159865</v>
          </cell>
          <cell r="BD292"/>
          <cell r="BE292"/>
          <cell r="BF292"/>
          <cell r="BG292"/>
          <cell r="BH292">
            <v>7911.9438322263595</v>
          </cell>
          <cell r="BI292"/>
          <cell r="BJ292"/>
          <cell r="BK292"/>
          <cell r="BL292"/>
          <cell r="BM292">
            <v>8198.3619344434283</v>
          </cell>
          <cell r="BN292"/>
          <cell r="BO292"/>
          <cell r="BP292"/>
          <cell r="BQ292"/>
          <cell r="BR292">
            <v>7373.6233633169268</v>
          </cell>
          <cell r="BS292"/>
          <cell r="BT292"/>
          <cell r="BU292"/>
          <cell r="BV292"/>
          <cell r="BW292">
            <v>4958.1298315597842</v>
          </cell>
          <cell r="BX292"/>
          <cell r="BY292"/>
          <cell r="BZ292"/>
          <cell r="CA292"/>
          <cell r="CB292">
            <v>4996.2832066182227</v>
          </cell>
          <cell r="CC292"/>
          <cell r="CD292"/>
          <cell r="CE292"/>
          <cell r="CF292"/>
          <cell r="CG292">
            <v>4928.2496917472799</v>
          </cell>
          <cell r="CH292"/>
          <cell r="CI292"/>
          <cell r="CJ292"/>
          <cell r="CK292"/>
          <cell r="CL292">
            <v>2969.9546920145417</v>
          </cell>
          <cell r="CM292"/>
          <cell r="CN292"/>
          <cell r="CO292"/>
          <cell r="CP292"/>
          <cell r="CQ292">
            <v>3595.3180234212459</v>
          </cell>
          <cell r="CR292"/>
          <cell r="CS292"/>
          <cell r="CT292"/>
          <cell r="CU292"/>
          <cell r="CV292">
            <v>4163.5658502218512</v>
          </cell>
          <cell r="CW292">
            <v>4059.614650086985</v>
          </cell>
          <cell r="CX292">
            <v>3908.766916480035</v>
          </cell>
          <cell r="CY292">
            <v>3677.8233546028332</v>
          </cell>
        </row>
        <row r="293">
          <cell r="B293" t="str">
            <v>Net debt (Pub)</v>
          </cell>
          <cell r="C293" t="str">
            <v>NET_DEBT_PUB</v>
          </cell>
          <cell r="D293" t="str">
            <v>EUR</v>
          </cell>
          <cell r="F293">
            <v>-2143</v>
          </cell>
          <cell r="G293">
            <v>-1533</v>
          </cell>
          <cell r="H293">
            <v>-1224</v>
          </cell>
          <cell r="I293">
            <v>-3105</v>
          </cell>
          <cell r="J293">
            <v>-4058</v>
          </cell>
          <cell r="K293"/>
          <cell r="L293"/>
          <cell r="M293"/>
          <cell r="N293"/>
          <cell r="O293">
            <v>-5489</v>
          </cell>
          <cell r="P293"/>
          <cell r="Q293"/>
          <cell r="R293"/>
          <cell r="S293"/>
          <cell r="T293">
            <v>-4229</v>
          </cell>
          <cell r="U293"/>
          <cell r="V293"/>
          <cell r="W293"/>
          <cell r="X293"/>
          <cell r="Y293">
            <v>-7024</v>
          </cell>
          <cell r="Z293"/>
          <cell r="AA293"/>
          <cell r="AB293"/>
          <cell r="AC293"/>
          <cell r="AD293">
            <v>-9193</v>
          </cell>
          <cell r="AE293"/>
          <cell r="AF293"/>
          <cell r="AG293"/>
          <cell r="AH293"/>
          <cell r="AI293">
            <v>-9797</v>
          </cell>
          <cell r="AJ293"/>
          <cell r="AK293"/>
          <cell r="AL293"/>
          <cell r="AM293"/>
          <cell r="AN293">
            <v>-11918</v>
          </cell>
          <cell r="AO293"/>
          <cell r="AP293"/>
          <cell r="AQ293"/>
          <cell r="AR293"/>
          <cell r="AS293">
            <v>-11681</v>
          </cell>
          <cell r="AT293"/>
          <cell r="AU293"/>
          <cell r="AV293"/>
          <cell r="AW293"/>
          <cell r="AX293">
            <v>-12292</v>
          </cell>
          <cell r="AY293"/>
          <cell r="AZ293"/>
          <cell r="BA293"/>
          <cell r="BB293"/>
          <cell r="BC293">
            <v>-9054</v>
          </cell>
          <cell r="BD293"/>
          <cell r="BE293"/>
          <cell r="BF293"/>
          <cell r="BG293"/>
          <cell r="BH293">
            <v>-9092</v>
          </cell>
          <cell r="BI293"/>
          <cell r="BJ293"/>
          <cell r="BK293"/>
          <cell r="BL293"/>
          <cell r="BM293">
            <v>-10003</v>
          </cell>
          <cell r="BN293"/>
          <cell r="BO293"/>
          <cell r="BP293"/>
          <cell r="BQ293"/>
          <cell r="BR293">
            <v>-11113</v>
          </cell>
          <cell r="BS293"/>
          <cell r="BT293"/>
          <cell r="BU293"/>
          <cell r="BV293"/>
          <cell r="BW293">
            <v>-13391</v>
          </cell>
          <cell r="BX293"/>
          <cell r="BY293"/>
          <cell r="BZ293"/>
          <cell r="CA293"/>
          <cell r="CB293">
            <v>-13281</v>
          </cell>
          <cell r="CC293"/>
          <cell r="CD293"/>
          <cell r="CE293"/>
          <cell r="CF293"/>
          <cell r="CG293">
            <v>-12534</v>
          </cell>
          <cell r="CH293"/>
          <cell r="CI293"/>
          <cell r="CJ293"/>
          <cell r="CK293"/>
          <cell r="CL293">
            <v>2688.7879588809719</v>
          </cell>
          <cell r="CM293"/>
          <cell r="CN293"/>
          <cell r="CO293"/>
          <cell r="CP293"/>
          <cell r="CQ293">
            <v>-597.45019953864539</v>
          </cell>
          <cell r="CR293"/>
          <cell r="CS293"/>
          <cell r="CT293"/>
          <cell r="CU293"/>
          <cell r="CV293">
            <v>-7953.0544071775184</v>
          </cell>
          <cell r="CW293">
            <v>-10430.639895978122</v>
          </cell>
          <cell r="CX293">
            <v>-10151.07183617448</v>
          </cell>
          <cell r="CY293">
            <v>-11605.929546715612</v>
          </cell>
        </row>
        <row r="294">
          <cell r="B294" t="str">
            <v>Net Debt (ex leases) (Pub)</v>
          </cell>
          <cell r="C294" t="str">
            <v>NET_DEBT_EX_LEASES_PUB</v>
          </cell>
          <cell r="D294" t="str">
            <v>EUR</v>
          </cell>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cell r="AP294"/>
          <cell r="AQ294"/>
          <cell r="AR294"/>
          <cell r="AS294"/>
          <cell r="AT294"/>
          <cell r="AU294"/>
          <cell r="AV294"/>
          <cell r="AW294"/>
          <cell r="AX294"/>
          <cell r="AY294"/>
          <cell r="AZ294"/>
          <cell r="BA294"/>
          <cell r="BB294"/>
          <cell r="BC294"/>
          <cell r="BD294"/>
          <cell r="BE294"/>
          <cell r="BF294"/>
          <cell r="BG294"/>
          <cell r="BH294"/>
          <cell r="BI294"/>
          <cell r="BJ294"/>
          <cell r="BK294"/>
          <cell r="BL294"/>
          <cell r="BM294"/>
          <cell r="BN294"/>
          <cell r="BO294"/>
          <cell r="BP294"/>
          <cell r="BQ294"/>
          <cell r="BR294"/>
          <cell r="BS294"/>
          <cell r="BT294"/>
          <cell r="BU294"/>
          <cell r="BV294"/>
          <cell r="BW294"/>
          <cell r="BX294"/>
          <cell r="BY294"/>
          <cell r="BZ294"/>
          <cell r="CA294"/>
          <cell r="CB294"/>
          <cell r="CC294"/>
          <cell r="CD294"/>
          <cell r="CE294"/>
          <cell r="CF294"/>
          <cell r="CG294"/>
          <cell r="CH294"/>
          <cell r="CI294"/>
          <cell r="CJ294"/>
          <cell r="CK294"/>
          <cell r="CL294"/>
          <cell r="CM294"/>
          <cell r="CN294"/>
          <cell r="CO294"/>
          <cell r="CP294"/>
          <cell r="CQ294"/>
          <cell r="CR294"/>
          <cell r="CS294"/>
          <cell r="CT294"/>
          <cell r="CU294"/>
          <cell r="CV294"/>
          <cell r="CW294"/>
          <cell r="CX294"/>
          <cell r="CY294"/>
        </row>
        <row r="295">
          <cell r="B295" t="str">
            <v>Consensus equivalent net debt</v>
          </cell>
          <cell r="C295" t="str">
            <v>CEEE_NDEBT</v>
          </cell>
          <cell r="D295" t="str">
            <v>EUR</v>
          </cell>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cell r="AP295"/>
          <cell r="AQ295"/>
          <cell r="AR295"/>
          <cell r="AS295"/>
          <cell r="AT295"/>
          <cell r="AU295"/>
          <cell r="AV295"/>
          <cell r="AW295"/>
          <cell r="AX295"/>
          <cell r="AY295"/>
          <cell r="AZ295"/>
          <cell r="BA295"/>
          <cell r="BB295"/>
          <cell r="BC295"/>
          <cell r="BD295"/>
          <cell r="BE295"/>
          <cell r="BF295"/>
          <cell r="BG295"/>
          <cell r="BH295"/>
          <cell r="BI295"/>
          <cell r="BJ295"/>
          <cell r="BK295"/>
          <cell r="BL295"/>
          <cell r="BM295"/>
          <cell r="BN295"/>
          <cell r="BO295"/>
          <cell r="BP295"/>
          <cell r="BQ295"/>
          <cell r="BR295"/>
          <cell r="BS295"/>
          <cell r="BT295"/>
          <cell r="BU295"/>
          <cell r="BV295"/>
          <cell r="BW295"/>
          <cell r="BX295"/>
          <cell r="BY295"/>
          <cell r="BZ295"/>
          <cell r="CA295"/>
          <cell r="CB295"/>
          <cell r="CC295"/>
          <cell r="CD295"/>
          <cell r="CE295"/>
          <cell r="CF295"/>
          <cell r="CG295"/>
          <cell r="CH295"/>
          <cell r="CI295"/>
          <cell r="CJ295"/>
          <cell r="CK295"/>
          <cell r="CL295"/>
          <cell r="CM295"/>
          <cell r="CN295"/>
          <cell r="CO295"/>
          <cell r="CP295"/>
          <cell r="CQ295"/>
          <cell r="CR295"/>
          <cell r="CS295"/>
          <cell r="CT295"/>
          <cell r="CU295"/>
          <cell r="CV295"/>
          <cell r="CW295"/>
          <cell r="CX295"/>
          <cell r="CY295"/>
        </row>
        <row r="296">
          <cell r="B296" t="str">
            <v>Net income (Pub)</v>
          </cell>
          <cell r="C296" t="str">
            <v>NI_PUB</v>
          </cell>
          <cell r="D296" t="str">
            <v>EUR</v>
          </cell>
          <cell r="F296">
            <v>179</v>
          </cell>
          <cell r="G296">
            <v>809</v>
          </cell>
          <cell r="H296">
            <v>696</v>
          </cell>
          <cell r="I296">
            <v>769</v>
          </cell>
          <cell r="J296">
            <v>1152</v>
          </cell>
          <cell r="K296"/>
          <cell r="L296"/>
          <cell r="M296"/>
          <cell r="N296"/>
          <cell r="O296">
            <v>1769</v>
          </cell>
          <cell r="P296"/>
          <cell r="Q296"/>
          <cell r="R296"/>
          <cell r="S296"/>
          <cell r="T296">
            <v>3356</v>
          </cell>
          <cell r="U296"/>
          <cell r="V296"/>
          <cell r="W296"/>
          <cell r="X296"/>
          <cell r="Y296">
            <v>3129</v>
          </cell>
          <cell r="Z296"/>
          <cell r="AA296"/>
          <cell r="AB296"/>
          <cell r="AC296"/>
          <cell r="AD296">
            <v>2113</v>
          </cell>
          <cell r="AE296"/>
          <cell r="AF296"/>
          <cell r="AG296"/>
          <cell r="AH296"/>
          <cell r="AI296">
            <v>1748</v>
          </cell>
          <cell r="AJ296"/>
          <cell r="AK296"/>
          <cell r="AL296"/>
          <cell r="AM296"/>
          <cell r="AN296">
            <v>633</v>
          </cell>
          <cell r="AO296"/>
          <cell r="AP296"/>
          <cell r="AQ296"/>
          <cell r="AR296"/>
          <cell r="AS296">
            <v>1127</v>
          </cell>
          <cell r="AT296"/>
          <cell r="AU296"/>
          <cell r="AV296"/>
          <cell r="AW296"/>
          <cell r="AX296">
            <v>1807</v>
          </cell>
          <cell r="AY296"/>
          <cell r="AZ296"/>
          <cell r="BA296"/>
          <cell r="BB296"/>
          <cell r="BC296">
            <v>2236</v>
          </cell>
          <cell r="BD296">
            <v>413</v>
          </cell>
          <cell r="BE296">
            <v>676</v>
          </cell>
          <cell r="BF296">
            <v>474</v>
          </cell>
          <cell r="BG296">
            <v>1071</v>
          </cell>
          <cell r="BH296">
            <v>2634</v>
          </cell>
          <cell r="BI296">
            <v>351</v>
          </cell>
          <cell r="BJ296">
            <v>804</v>
          </cell>
          <cell r="BK296">
            <v>553</v>
          </cell>
          <cell r="BL296">
            <v>971</v>
          </cell>
          <cell r="BM296">
            <v>2679</v>
          </cell>
          <cell r="BN296">
            <v>288</v>
          </cell>
          <cell r="BO296">
            <v>1473</v>
          </cell>
          <cell r="BP296">
            <v>-416</v>
          </cell>
          <cell r="BQ296">
            <v>1217</v>
          </cell>
          <cell r="BR296">
            <v>2562</v>
          </cell>
          <cell r="BS296">
            <v>93</v>
          </cell>
          <cell r="BT296">
            <v>545</v>
          </cell>
          <cell r="BU296">
            <v>430</v>
          </cell>
          <cell r="BV296">
            <v>1768</v>
          </cell>
          <cell r="BW296">
            <v>2836</v>
          </cell>
          <cell r="BX296"/>
          <cell r="BY296"/>
          <cell r="BZ296"/>
          <cell r="CA296"/>
          <cell r="CB296">
            <v>4371</v>
          </cell>
          <cell r="CC296"/>
          <cell r="CD296"/>
          <cell r="CE296"/>
          <cell r="CF296"/>
          <cell r="CG296">
            <v>4409</v>
          </cell>
          <cell r="CH296"/>
          <cell r="CI296"/>
          <cell r="CJ296"/>
          <cell r="CK296"/>
          <cell r="CL296">
            <v>1352.659220634795</v>
          </cell>
          <cell r="CM296"/>
          <cell r="CN296"/>
          <cell r="CO296"/>
          <cell r="CP296"/>
          <cell r="CQ296">
            <v>3337.0935390983764</v>
          </cell>
          <cell r="CR296"/>
          <cell r="CS296"/>
          <cell r="CT296"/>
          <cell r="CU296"/>
          <cell r="CV296">
            <v>4512.7585183799702</v>
          </cell>
          <cell r="CW296">
            <v>5203.6449533292616</v>
          </cell>
          <cell r="CX296">
            <v>5570.6820892219948</v>
          </cell>
          <cell r="CY296">
            <v>7081.3061490607333</v>
          </cell>
        </row>
        <row r="297">
          <cell r="B297" t="str">
            <v>EBIT, operating profit (Pub)</v>
          </cell>
          <cell r="C297" t="str">
            <v>EBIT_PUB</v>
          </cell>
          <cell r="D297" t="str">
            <v>EUR</v>
          </cell>
          <cell r="F297">
            <v>1399</v>
          </cell>
          <cell r="G297">
            <v>1694</v>
          </cell>
          <cell r="H297">
            <v>1426</v>
          </cell>
          <cell r="I297">
            <v>1543</v>
          </cell>
          <cell r="J297">
            <v>2444</v>
          </cell>
          <cell r="K297"/>
          <cell r="L297"/>
          <cell r="M297"/>
          <cell r="N297"/>
          <cell r="O297">
            <v>2852</v>
          </cell>
          <cell r="P297"/>
          <cell r="Q297"/>
          <cell r="R297"/>
          <cell r="S297"/>
          <cell r="T297">
            <v>3556</v>
          </cell>
          <cell r="U297"/>
          <cell r="V297"/>
          <cell r="W297"/>
          <cell r="X297"/>
          <cell r="Y297">
            <v>3614</v>
          </cell>
          <cell r="Z297"/>
          <cell r="AA297"/>
          <cell r="AB297"/>
          <cell r="AC297"/>
          <cell r="AD297">
            <v>3330</v>
          </cell>
          <cell r="AE297"/>
          <cell r="AF297"/>
          <cell r="AG297"/>
          <cell r="AH297"/>
          <cell r="AI297">
            <v>2148</v>
          </cell>
          <cell r="AJ297"/>
          <cell r="AK297"/>
          <cell r="AL297"/>
          <cell r="AM297"/>
          <cell r="AN297">
            <v>1341</v>
          </cell>
          <cell r="AO297"/>
          <cell r="AP297"/>
          <cell r="AQ297"/>
          <cell r="AR297"/>
          <cell r="AS297">
            <v>1794</v>
          </cell>
          <cell r="AT297"/>
          <cell r="AU297"/>
          <cell r="AV297"/>
          <cell r="AW297"/>
          <cell r="AX297">
            <v>2964</v>
          </cell>
          <cell r="AY297"/>
          <cell r="AZ297"/>
          <cell r="BA297"/>
          <cell r="BB297"/>
          <cell r="BC297">
            <v>3574</v>
          </cell>
          <cell r="BD297">
            <v>700</v>
          </cell>
          <cell r="BE297">
            <v>1069</v>
          </cell>
          <cell r="BF297">
            <v>821</v>
          </cell>
          <cell r="BG297">
            <v>1476</v>
          </cell>
          <cell r="BH297">
            <v>4066</v>
          </cell>
          <cell r="BI297">
            <v>651</v>
          </cell>
          <cell r="BJ297">
            <v>1232</v>
          </cell>
          <cell r="BK297">
            <v>921</v>
          </cell>
          <cell r="BL297">
            <v>1328</v>
          </cell>
          <cell r="BM297">
            <v>4132</v>
          </cell>
          <cell r="BN297">
            <v>501</v>
          </cell>
          <cell r="BO297">
            <v>1183</v>
          </cell>
          <cell r="BP297">
            <v>731</v>
          </cell>
          <cell r="BQ297">
            <v>1540</v>
          </cell>
          <cell r="BR297">
            <v>3955</v>
          </cell>
          <cell r="BS297">
            <v>240</v>
          </cell>
          <cell r="BT297">
            <v>859</v>
          </cell>
          <cell r="BU297">
            <v>697</v>
          </cell>
          <cell r="BV297">
            <v>2457</v>
          </cell>
          <cell r="BW297">
            <v>4253</v>
          </cell>
          <cell r="BX297"/>
          <cell r="BY297"/>
          <cell r="BZ297"/>
          <cell r="CA297"/>
          <cell r="CB297">
            <v>5834</v>
          </cell>
          <cell r="CC297"/>
          <cell r="CD297"/>
          <cell r="CE297"/>
          <cell r="CF297"/>
          <cell r="CG297">
            <v>6946</v>
          </cell>
          <cell r="CH297"/>
          <cell r="CI297"/>
          <cell r="CJ297"/>
          <cell r="CK297"/>
          <cell r="CL297">
            <v>2056.5186269091619</v>
          </cell>
          <cell r="CM297"/>
          <cell r="CN297"/>
          <cell r="CO297"/>
          <cell r="CP297"/>
          <cell r="CQ297">
            <v>4851.6855785429716</v>
          </cell>
          <cell r="CR297"/>
          <cell r="CS297"/>
          <cell r="CT297"/>
          <cell r="CU297"/>
          <cell r="CV297">
            <v>6407.9433641860333</v>
          </cell>
          <cell r="CW297">
            <v>7338.5022334341947</v>
          </cell>
          <cell r="CX297">
            <v>7835.4639713445713</v>
          </cell>
          <cell r="CY297">
            <v>9898.9775955011628</v>
          </cell>
        </row>
        <row r="298">
          <cell r="B298" t="str">
            <v>Pre-tax profit (Pub)</v>
          </cell>
          <cell r="C298" t="str">
            <v>PTP_PUB</v>
          </cell>
          <cell r="D298" t="str">
            <v>EUR</v>
          </cell>
          <cell r="F298">
            <v>-27</v>
          </cell>
          <cell r="G298">
            <v>1523</v>
          </cell>
          <cell r="H298">
            <v>1366</v>
          </cell>
          <cell r="I298">
            <v>1488</v>
          </cell>
          <cell r="J298">
            <v>2114</v>
          </cell>
          <cell r="K298"/>
          <cell r="L298"/>
          <cell r="M298"/>
          <cell r="N298"/>
          <cell r="O298">
            <v>2675</v>
          </cell>
          <cell r="P298"/>
          <cell r="Q298"/>
          <cell r="R298"/>
          <cell r="S298"/>
          <cell r="T298">
            <v>3312</v>
          </cell>
          <cell r="U298"/>
          <cell r="V298"/>
          <cell r="W298"/>
          <cell r="X298"/>
          <cell r="Y298">
            <v>2877</v>
          </cell>
          <cell r="Z298"/>
          <cell r="AA298"/>
          <cell r="AB298"/>
          <cell r="AC298"/>
          <cell r="AD298">
            <v>2858</v>
          </cell>
          <cell r="AE298"/>
          <cell r="AF298"/>
          <cell r="AG298"/>
          <cell r="AH298"/>
          <cell r="AI298">
            <v>1556</v>
          </cell>
          <cell r="AJ298"/>
          <cell r="AK298"/>
          <cell r="AL298"/>
          <cell r="AM298"/>
          <cell r="AN298">
            <v>929</v>
          </cell>
          <cell r="AO298"/>
          <cell r="AP298"/>
          <cell r="AQ298"/>
          <cell r="AR298"/>
          <cell r="AS298">
            <v>1515</v>
          </cell>
          <cell r="AT298"/>
          <cell r="AU298"/>
          <cell r="AV298"/>
          <cell r="AW298"/>
          <cell r="AX298">
            <v>2499</v>
          </cell>
          <cell r="AY298"/>
          <cell r="AZ298"/>
          <cell r="BA298"/>
          <cell r="BB298"/>
          <cell r="BC298">
            <v>3074</v>
          </cell>
          <cell r="BD298">
            <v>565</v>
          </cell>
          <cell r="BE298">
            <v>923</v>
          </cell>
          <cell r="BF298">
            <v>668</v>
          </cell>
          <cell r="BG298">
            <v>1473</v>
          </cell>
          <cell r="BH298">
            <v>3629</v>
          </cell>
          <cell r="BI298">
            <v>514</v>
          </cell>
          <cell r="BJ298">
            <v>1125</v>
          </cell>
          <cell r="BK298">
            <v>785</v>
          </cell>
          <cell r="BL298">
            <v>1239</v>
          </cell>
          <cell r="BM298">
            <v>3663</v>
          </cell>
          <cell r="BN298">
            <v>410</v>
          </cell>
          <cell r="BO298">
            <v>1126</v>
          </cell>
          <cell r="BP298">
            <v>610</v>
          </cell>
          <cell r="BQ298">
            <v>1469</v>
          </cell>
          <cell r="BR298">
            <v>3615</v>
          </cell>
          <cell r="BS298">
            <v>131</v>
          </cell>
          <cell r="BT298">
            <v>757</v>
          </cell>
          <cell r="BU298">
            <v>597</v>
          </cell>
          <cell r="BV298">
            <v>2379</v>
          </cell>
          <cell r="BW298">
            <v>3864</v>
          </cell>
          <cell r="BX298"/>
          <cell r="BY298"/>
          <cell r="BZ298"/>
          <cell r="CA298"/>
          <cell r="CB298">
            <v>5602</v>
          </cell>
          <cell r="CC298"/>
          <cell r="CD298"/>
          <cell r="CE298"/>
          <cell r="CF298"/>
          <cell r="CG298">
            <v>6835</v>
          </cell>
          <cell r="CH298"/>
          <cell r="CI298"/>
          <cell r="CJ298"/>
          <cell r="CK298"/>
          <cell r="CL298">
            <v>1892.5822508816598</v>
          </cell>
          <cell r="CM298"/>
          <cell r="CN298"/>
          <cell r="CO298"/>
          <cell r="CP298"/>
          <cell r="CQ298">
            <v>4648.741026525523</v>
          </cell>
          <cell r="CR298"/>
          <cell r="CS298"/>
          <cell r="CT298"/>
          <cell r="CU298"/>
          <cell r="CV298">
            <v>6281.609053305514</v>
          </cell>
          <cell r="CW298">
            <v>7241.1735462906418</v>
          </cell>
          <cell r="CX298">
            <v>7750.9473461416601</v>
          </cell>
          <cell r="CY298">
            <v>9849.036318139908</v>
          </cell>
        </row>
        <row r="299">
          <cell r="B299" t="str">
            <v>Sales, revenue (Pub)</v>
          </cell>
          <cell r="C299" t="str">
            <v>REVS_PUB</v>
          </cell>
          <cell r="D299" t="str">
            <v>EUR</v>
          </cell>
          <cell r="F299">
            <v>24208</v>
          </cell>
          <cell r="G299">
            <v>30798</v>
          </cell>
          <cell r="H299">
            <v>29901</v>
          </cell>
          <cell r="I299">
            <v>30133</v>
          </cell>
          <cell r="J299">
            <v>31761</v>
          </cell>
          <cell r="K299"/>
          <cell r="L299"/>
          <cell r="M299"/>
          <cell r="N299"/>
          <cell r="O299">
            <v>34206</v>
          </cell>
          <cell r="P299"/>
          <cell r="Q299"/>
          <cell r="R299"/>
          <cell r="S299"/>
          <cell r="T299">
            <v>39434</v>
          </cell>
          <cell r="U299"/>
          <cell r="V299"/>
          <cell r="W299"/>
          <cell r="X299"/>
          <cell r="Y299">
            <v>39123</v>
          </cell>
          <cell r="Z299"/>
          <cell r="AA299"/>
          <cell r="AB299"/>
          <cell r="AC299"/>
          <cell r="AD299">
            <v>43265</v>
          </cell>
          <cell r="AE299"/>
          <cell r="AF299"/>
          <cell r="AG299"/>
          <cell r="AH299"/>
          <cell r="AI299">
            <v>42822</v>
          </cell>
          <cell r="AJ299"/>
          <cell r="AK299"/>
          <cell r="AL299"/>
          <cell r="AM299"/>
          <cell r="AN299">
            <v>45752</v>
          </cell>
          <cell r="AO299"/>
          <cell r="AP299"/>
          <cell r="AQ299"/>
          <cell r="AR299"/>
          <cell r="AS299">
            <v>49128</v>
          </cell>
          <cell r="AT299"/>
          <cell r="AU299"/>
          <cell r="AV299"/>
          <cell r="AW299"/>
          <cell r="AX299">
            <v>56480</v>
          </cell>
          <cell r="AY299"/>
          <cell r="AZ299"/>
          <cell r="BA299"/>
          <cell r="BB299"/>
          <cell r="BC299">
            <v>59256</v>
          </cell>
          <cell r="BD299">
            <v>12648</v>
          </cell>
          <cell r="BE299">
            <v>14552</v>
          </cell>
          <cell r="BF299">
            <v>13297</v>
          </cell>
          <cell r="BG299">
            <v>20216</v>
          </cell>
          <cell r="BH299">
            <v>60713</v>
          </cell>
          <cell r="BI299">
            <v>12078</v>
          </cell>
          <cell r="BJ299">
            <v>16815</v>
          </cell>
          <cell r="BK299">
            <v>14072</v>
          </cell>
          <cell r="BL299">
            <v>21485</v>
          </cell>
          <cell r="BM299">
            <v>64450</v>
          </cell>
          <cell r="BN299">
            <v>12183</v>
          </cell>
          <cell r="BO299">
            <v>16572</v>
          </cell>
          <cell r="BP299">
            <v>13950</v>
          </cell>
          <cell r="BQ299">
            <v>23876</v>
          </cell>
          <cell r="BR299">
            <v>66581</v>
          </cell>
          <cell r="BS299">
            <v>12988</v>
          </cell>
          <cell r="BT299">
            <v>15721</v>
          </cell>
          <cell r="BU299">
            <v>14244</v>
          </cell>
          <cell r="BV299">
            <v>23699</v>
          </cell>
          <cell r="BW299">
            <v>66652</v>
          </cell>
          <cell r="BX299">
            <v>10119</v>
          </cell>
          <cell r="BY299">
            <v>14851</v>
          </cell>
          <cell r="BZ299">
            <v>15451</v>
          </cell>
          <cell r="CA299">
            <v>23286</v>
          </cell>
          <cell r="CB299">
            <v>63707</v>
          </cell>
          <cell r="CC299">
            <v>12549</v>
          </cell>
          <cell r="CD299">
            <v>18317</v>
          </cell>
          <cell r="CE299">
            <v>15302</v>
          </cell>
          <cell r="CF299">
            <v>24310</v>
          </cell>
          <cell r="CG299">
            <v>70478</v>
          </cell>
          <cell r="CH299">
            <v>10631</v>
          </cell>
          <cell r="CI299">
            <v>8046.931963725945</v>
          </cell>
          <cell r="CJ299">
            <v>10104.124017463218</v>
          </cell>
          <cell r="CK299">
            <v>17482.857377150693</v>
          </cell>
          <cell r="CL299">
            <v>46264.913358339858</v>
          </cell>
          <cell r="CM299">
            <v>12219.56466005863</v>
          </cell>
          <cell r="CN299">
            <v>14027.954233963395</v>
          </cell>
          <cell r="CO299">
            <v>13879.109179557743</v>
          </cell>
          <cell r="CP299">
            <v>15949.880592385794</v>
          </cell>
          <cell r="CQ299">
            <v>56076.508665965564</v>
          </cell>
          <cell r="CR299">
            <v>13334.467291800225</v>
          </cell>
          <cell r="CS299">
            <v>15337.416336745528</v>
          </cell>
          <cell r="CT299">
            <v>15185.999672534195</v>
          </cell>
          <cell r="CU299">
            <v>17492.690017130088</v>
          </cell>
          <cell r="CV299">
            <v>61350.57331821003</v>
          </cell>
          <cell r="CW299">
            <v>67035.072594766258</v>
          </cell>
          <cell r="CX299">
            <v>70275.21565641879</v>
          </cell>
          <cell r="CY299">
            <v>72608.670191223442</v>
          </cell>
        </row>
        <row r="300">
          <cell r="B300" t="str">
            <v>Total shareholders' equity (Pub)</v>
          </cell>
          <cell r="C300" t="str">
            <v>EQ_PUB</v>
          </cell>
          <cell r="D300" t="str">
            <v>EUR</v>
          </cell>
          <cell r="F300">
            <v>10471</v>
          </cell>
          <cell r="G300">
            <v>10436</v>
          </cell>
          <cell r="H300">
            <v>14126</v>
          </cell>
          <cell r="I300">
            <v>18328</v>
          </cell>
          <cell r="J300">
            <v>19343</v>
          </cell>
          <cell r="K300"/>
          <cell r="L300"/>
          <cell r="M300"/>
          <cell r="N300"/>
          <cell r="O300">
            <v>13902</v>
          </cell>
          <cell r="P300"/>
          <cell r="Q300"/>
          <cell r="R300"/>
          <cell r="S300"/>
          <cell r="T300">
            <v>13152</v>
          </cell>
          <cell r="U300"/>
          <cell r="V300"/>
          <cell r="W300"/>
          <cell r="X300"/>
          <cell r="Y300">
            <v>13175</v>
          </cell>
          <cell r="Z300"/>
          <cell r="AA300"/>
          <cell r="AB300"/>
          <cell r="AC300"/>
          <cell r="AD300">
            <v>11126</v>
          </cell>
          <cell r="AE300"/>
          <cell r="AF300"/>
          <cell r="AG300"/>
          <cell r="AH300"/>
          <cell r="AI300">
            <v>10641</v>
          </cell>
          <cell r="AJ300"/>
          <cell r="AK300"/>
          <cell r="AL300"/>
          <cell r="AM300"/>
          <cell r="AN300">
            <v>8936</v>
          </cell>
          <cell r="AO300"/>
          <cell r="AP300"/>
          <cell r="AQ300"/>
          <cell r="AR300"/>
          <cell r="AS300">
            <v>8865</v>
          </cell>
          <cell r="AT300"/>
          <cell r="AU300"/>
          <cell r="AV300"/>
          <cell r="AW300"/>
          <cell r="AX300">
            <v>10420</v>
          </cell>
          <cell r="AY300"/>
          <cell r="AZ300"/>
          <cell r="BA300"/>
          <cell r="BB300"/>
          <cell r="BC300">
            <v>11054</v>
          </cell>
          <cell r="BD300"/>
          <cell r="BE300"/>
          <cell r="BF300"/>
          <cell r="BG300"/>
          <cell r="BH300">
            <v>7079</v>
          </cell>
          <cell r="BI300"/>
          <cell r="BJ300"/>
          <cell r="BK300"/>
          <cell r="BL300"/>
          <cell r="BM300">
            <v>5973</v>
          </cell>
          <cell r="BN300"/>
          <cell r="BO300"/>
          <cell r="BP300"/>
          <cell r="BQ300"/>
          <cell r="BR300">
            <v>3652</v>
          </cell>
          <cell r="BS300"/>
          <cell r="BT300"/>
          <cell r="BU300"/>
          <cell r="BV300"/>
          <cell r="BW300">
            <v>13351</v>
          </cell>
          <cell r="BX300"/>
          <cell r="BY300"/>
          <cell r="BZ300"/>
          <cell r="CA300"/>
          <cell r="CB300">
            <v>9719</v>
          </cell>
          <cell r="CC300"/>
          <cell r="CD300"/>
          <cell r="CE300"/>
          <cell r="CF300"/>
          <cell r="CG300">
            <v>5990</v>
          </cell>
          <cell r="CH300"/>
          <cell r="CI300"/>
          <cell r="CJ300"/>
          <cell r="CK300"/>
          <cell r="CL300">
            <v>7352.659220634795</v>
          </cell>
          <cell r="CM300"/>
          <cell r="CN300"/>
          <cell r="CO300"/>
          <cell r="CP300"/>
          <cell r="CQ300">
            <v>9517.6369940331715</v>
          </cell>
          <cell r="CR300"/>
          <cell r="CS300"/>
          <cell r="CT300"/>
          <cell r="CU300"/>
          <cell r="CV300">
            <v>13189.26745068363</v>
          </cell>
          <cell r="CW300">
            <v>16304.033144822908</v>
          </cell>
          <cell r="CX300">
            <v>16664.459413713503</v>
          </cell>
          <cell r="CY300">
            <v>18376.765697748029</v>
          </cell>
        </row>
        <row r="301">
          <cell r="A301" t="str">
            <v>Income Statement</v>
          </cell>
          <cell r="B301"/>
          <cell r="C301"/>
          <cell r="D301"/>
        </row>
        <row r="302">
          <cell r="B302" t="str">
            <v>Provision for income tax</v>
          </cell>
          <cell r="C302" t="str">
            <v>PROV_INC_TAX</v>
          </cell>
          <cell r="D302" t="str">
            <v>EUR</v>
          </cell>
          <cell r="F302">
            <v>220</v>
          </cell>
          <cell r="G302">
            <v>-828</v>
          </cell>
          <cell r="H302">
            <v>-541</v>
          </cell>
          <cell r="I302">
            <v>-557</v>
          </cell>
          <cell r="J302">
            <v>-742</v>
          </cell>
          <cell r="K302"/>
          <cell r="L302"/>
          <cell r="M302"/>
          <cell r="N302"/>
          <cell r="O302">
            <v>-872</v>
          </cell>
          <cell r="P302"/>
          <cell r="Q302"/>
          <cell r="R302"/>
          <cell r="S302"/>
          <cell r="T302">
            <v>60</v>
          </cell>
          <cell r="U302"/>
          <cell r="V302"/>
          <cell r="W302"/>
          <cell r="X302"/>
          <cell r="Y302">
            <v>261</v>
          </cell>
          <cell r="Z302"/>
          <cell r="AA302"/>
          <cell r="AB302"/>
          <cell r="AC302"/>
          <cell r="AD302">
            <v>-720</v>
          </cell>
          <cell r="AE302"/>
          <cell r="AF302"/>
          <cell r="AG302"/>
          <cell r="AH302"/>
          <cell r="AI302">
            <v>203</v>
          </cell>
          <cell r="AJ302"/>
          <cell r="AK302"/>
          <cell r="AL302"/>
          <cell r="AM302"/>
          <cell r="AN302">
            <v>-277</v>
          </cell>
          <cell r="AO302"/>
          <cell r="AP302"/>
          <cell r="AQ302"/>
          <cell r="AR302"/>
          <cell r="AS302">
            <v>-384</v>
          </cell>
          <cell r="AT302"/>
          <cell r="AU302"/>
          <cell r="AV302"/>
          <cell r="AW302"/>
          <cell r="AX302">
            <v>-691</v>
          </cell>
          <cell r="AY302"/>
          <cell r="AZ302"/>
          <cell r="BA302"/>
          <cell r="BB302"/>
          <cell r="BC302">
            <v>-828</v>
          </cell>
          <cell r="BD302"/>
          <cell r="BE302"/>
          <cell r="BF302"/>
          <cell r="BG302"/>
          <cell r="BH302">
            <v>-988</v>
          </cell>
          <cell r="BI302"/>
          <cell r="BJ302"/>
          <cell r="BK302"/>
          <cell r="BL302"/>
          <cell r="BM302">
            <v>-982</v>
          </cell>
          <cell r="BN302"/>
          <cell r="BO302"/>
          <cell r="BP302"/>
          <cell r="BQ302"/>
          <cell r="BR302">
            <v>-1048</v>
          </cell>
          <cell r="BS302"/>
          <cell r="BT302"/>
          <cell r="BU302"/>
          <cell r="BV302"/>
          <cell r="BW302">
            <v>-1024</v>
          </cell>
          <cell r="BX302"/>
          <cell r="BY302"/>
          <cell r="BZ302"/>
          <cell r="CA302"/>
          <cell r="CB302">
            <v>-1274</v>
          </cell>
          <cell r="CC302"/>
          <cell r="CD302"/>
          <cell r="CE302"/>
          <cell r="CF302"/>
          <cell r="CG302">
            <v>-2389</v>
          </cell>
          <cell r="CH302"/>
          <cell r="CI302"/>
          <cell r="CJ302"/>
          <cell r="CK302"/>
          <cell r="CL302">
            <v>-529.92303024686476</v>
          </cell>
          <cell r="CM302"/>
          <cell r="CN302"/>
          <cell r="CO302"/>
          <cell r="CP302"/>
          <cell r="CQ302">
            <v>-1301.6474874271466</v>
          </cell>
          <cell r="CR302"/>
          <cell r="CS302"/>
          <cell r="CT302"/>
          <cell r="CU302"/>
          <cell r="CV302">
            <v>-1758.850534925544</v>
          </cell>
          <cell r="CW302">
            <v>-2027.5285929613799</v>
          </cell>
          <cell r="CX302">
            <v>-2170.2652569196648</v>
          </cell>
          <cell r="CY302">
            <v>-2757.7301690791746</v>
          </cell>
        </row>
        <row r="303">
          <cell r="B303" t="str">
            <v>Minority interest</v>
          </cell>
          <cell r="C303" t="str">
            <v>INC_MINORITY</v>
          </cell>
          <cell r="D303" t="str">
            <v>EUR</v>
          </cell>
          <cell r="F303">
            <v>-14</v>
          </cell>
          <cell r="G303">
            <v>114</v>
          </cell>
          <cell r="H303">
            <v>-129</v>
          </cell>
          <cell r="I303">
            <v>-162</v>
          </cell>
          <cell r="J303">
            <v>-220</v>
          </cell>
          <cell r="K303"/>
          <cell r="L303"/>
          <cell r="M303"/>
          <cell r="N303"/>
          <cell r="O303">
            <v>-34</v>
          </cell>
          <cell r="P303"/>
          <cell r="Q303"/>
          <cell r="R303"/>
          <cell r="S303"/>
          <cell r="T303">
            <v>-16</v>
          </cell>
          <cell r="U303"/>
          <cell r="V303"/>
          <cell r="W303"/>
          <cell r="X303"/>
          <cell r="Y303">
            <v>-9</v>
          </cell>
          <cell r="Z303"/>
          <cell r="AA303"/>
          <cell r="AB303"/>
          <cell r="AC303"/>
          <cell r="AD303">
            <v>-25</v>
          </cell>
          <cell r="AE303"/>
          <cell r="AF303"/>
          <cell r="AG303"/>
          <cell r="AH303"/>
          <cell r="AI303">
            <v>-11</v>
          </cell>
          <cell r="AJ303"/>
          <cell r="AK303"/>
          <cell r="AL303"/>
          <cell r="AM303"/>
          <cell r="AN303">
            <v>-19</v>
          </cell>
          <cell r="AO303"/>
          <cell r="AP303"/>
          <cell r="AQ303"/>
          <cell r="AR303"/>
          <cell r="AS303">
            <v>-4</v>
          </cell>
          <cell r="AT303"/>
          <cell r="AU303"/>
          <cell r="AV303"/>
          <cell r="AW303"/>
          <cell r="AX303">
            <v>-1</v>
          </cell>
          <cell r="AY303"/>
          <cell r="AZ303"/>
          <cell r="BA303"/>
          <cell r="BB303"/>
          <cell r="BC303">
            <v>-10</v>
          </cell>
          <cell r="BD303"/>
          <cell r="BE303"/>
          <cell r="BF303"/>
          <cell r="BG303"/>
          <cell r="BH303">
            <v>-7</v>
          </cell>
          <cell r="BI303"/>
          <cell r="BJ303"/>
          <cell r="BK303"/>
          <cell r="BL303"/>
          <cell r="BM303">
            <v>-2</v>
          </cell>
          <cell r="BN303"/>
          <cell r="BO303"/>
          <cell r="BP303"/>
          <cell r="BQ303"/>
          <cell r="BR303">
            <v>-5</v>
          </cell>
          <cell r="BS303"/>
          <cell r="BT303"/>
          <cell r="BU303"/>
          <cell r="BV303"/>
          <cell r="BW303">
            <v>-4</v>
          </cell>
          <cell r="BX303"/>
          <cell r="BY303"/>
          <cell r="BZ303"/>
          <cell r="CA303"/>
          <cell r="CB303">
            <v>43</v>
          </cell>
          <cell r="CC303"/>
          <cell r="CD303"/>
          <cell r="CE303"/>
          <cell r="CF303"/>
          <cell r="CG303">
            <v>-37</v>
          </cell>
          <cell r="CH303"/>
          <cell r="CI303"/>
          <cell r="CJ303"/>
          <cell r="CK303"/>
          <cell r="CL303">
            <v>-10</v>
          </cell>
          <cell r="CM303"/>
          <cell r="CN303"/>
          <cell r="CO303"/>
          <cell r="CP303"/>
          <cell r="CQ303">
            <v>-10</v>
          </cell>
          <cell r="CR303"/>
          <cell r="CS303"/>
          <cell r="CT303"/>
          <cell r="CU303"/>
          <cell r="CV303">
            <v>-10</v>
          </cell>
          <cell r="CW303">
            <v>-10</v>
          </cell>
          <cell r="CX303">
            <v>-10</v>
          </cell>
          <cell r="CY303">
            <v>-10</v>
          </cell>
        </row>
        <row r="304">
          <cell r="B304" t="str">
            <v>Net income (pre-preferred dividends)</v>
          </cell>
          <cell r="C304" t="str">
            <v>NI_PRE_PREF</v>
          </cell>
          <cell r="D304" t="str">
            <v>EUR</v>
          </cell>
          <cell r="F304">
            <v>179</v>
          </cell>
          <cell r="G304">
            <v>809</v>
          </cell>
          <cell r="H304">
            <v>696</v>
          </cell>
          <cell r="I304">
            <v>769</v>
          </cell>
          <cell r="J304">
            <v>1152</v>
          </cell>
          <cell r="K304"/>
          <cell r="L304"/>
          <cell r="M304"/>
          <cell r="N304"/>
          <cell r="O304">
            <v>1769</v>
          </cell>
          <cell r="P304"/>
          <cell r="Q304"/>
          <cell r="R304"/>
          <cell r="S304"/>
          <cell r="T304">
            <v>3356</v>
          </cell>
          <cell r="U304"/>
          <cell r="V304"/>
          <cell r="W304"/>
          <cell r="X304"/>
          <cell r="Y304">
            <v>3129</v>
          </cell>
          <cell r="Z304"/>
          <cell r="AA304"/>
          <cell r="AB304"/>
          <cell r="AC304"/>
          <cell r="AD304">
            <v>2113</v>
          </cell>
          <cell r="AE304"/>
          <cell r="AF304"/>
          <cell r="AG304"/>
          <cell r="AH304"/>
          <cell r="AI304">
            <v>1748</v>
          </cell>
          <cell r="AJ304"/>
          <cell r="AK304"/>
          <cell r="AL304"/>
          <cell r="AM304"/>
          <cell r="AN304">
            <v>674</v>
          </cell>
          <cell r="AO304"/>
          <cell r="AP304"/>
          <cell r="AQ304"/>
          <cell r="AR304"/>
          <cell r="AS304">
            <v>1186</v>
          </cell>
          <cell r="AT304"/>
          <cell r="AU304"/>
          <cell r="AV304"/>
          <cell r="AW304"/>
          <cell r="AX304">
            <v>1819</v>
          </cell>
          <cell r="AY304"/>
          <cell r="AZ304"/>
          <cell r="BA304"/>
          <cell r="BB304"/>
          <cell r="BC304">
            <v>2106</v>
          </cell>
          <cell r="BD304"/>
          <cell r="BE304"/>
          <cell r="BF304"/>
          <cell r="BG304"/>
          <cell r="BH304">
            <v>2293</v>
          </cell>
          <cell r="BI304"/>
          <cell r="BJ304"/>
          <cell r="BK304"/>
          <cell r="BL304"/>
          <cell r="BM304">
            <v>2461</v>
          </cell>
          <cell r="BN304"/>
          <cell r="BO304"/>
          <cell r="BP304"/>
          <cell r="BQ304"/>
          <cell r="BR304">
            <v>1935</v>
          </cell>
          <cell r="BS304"/>
          <cell r="BT304"/>
          <cell r="BU304"/>
          <cell r="BV304"/>
          <cell r="BW304">
            <v>4374</v>
          </cell>
          <cell r="BX304"/>
          <cell r="BY304"/>
          <cell r="BZ304"/>
          <cell r="CA304"/>
          <cell r="CB304">
            <v>3840</v>
          </cell>
          <cell r="CC304"/>
          <cell r="CD304"/>
          <cell r="CE304"/>
          <cell r="CF304"/>
          <cell r="CG304">
            <v>4245</v>
          </cell>
          <cell r="CH304"/>
          <cell r="CI304"/>
          <cell r="CJ304"/>
          <cell r="CK304"/>
          <cell r="CL304">
            <v>1352.659220634795</v>
          </cell>
          <cell r="CM304"/>
          <cell r="CN304"/>
          <cell r="CO304"/>
          <cell r="CP304"/>
          <cell r="CQ304">
            <v>3337.0935390983764</v>
          </cell>
          <cell r="CR304"/>
          <cell r="CS304"/>
          <cell r="CT304"/>
          <cell r="CU304"/>
          <cell r="CV304">
            <v>4512.7585183799702</v>
          </cell>
          <cell r="CW304">
            <v>5203.6449533292616</v>
          </cell>
          <cell r="CX304">
            <v>5570.6820892219948</v>
          </cell>
          <cell r="CY304">
            <v>7081.3061490607333</v>
          </cell>
        </row>
        <row r="305">
          <cell r="B305" t="str">
            <v>Preferred dividends</v>
          </cell>
          <cell r="C305" t="str">
            <v>PREF_DIV</v>
          </cell>
          <cell r="D305" t="str">
            <v>EUR</v>
          </cell>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cell r="AP305"/>
          <cell r="AQ305"/>
          <cell r="AR305"/>
          <cell r="AS305"/>
          <cell r="AT305"/>
          <cell r="AU305"/>
          <cell r="AV305"/>
          <cell r="AW305"/>
          <cell r="AX305"/>
          <cell r="AY305"/>
          <cell r="AZ305"/>
          <cell r="BA305"/>
          <cell r="BB305"/>
          <cell r="BC305"/>
          <cell r="BD305"/>
          <cell r="BE305"/>
          <cell r="BF305"/>
          <cell r="BG305"/>
          <cell r="BH305"/>
          <cell r="BI305"/>
          <cell r="BJ305"/>
          <cell r="BK305"/>
          <cell r="BL305"/>
          <cell r="BM305"/>
          <cell r="BN305"/>
          <cell r="BO305"/>
          <cell r="BP305"/>
          <cell r="BQ305"/>
          <cell r="BR305"/>
          <cell r="BS305"/>
          <cell r="BT305"/>
          <cell r="BU305"/>
          <cell r="BV305"/>
          <cell r="BW305"/>
          <cell r="BX305"/>
          <cell r="BY305"/>
          <cell r="BZ305"/>
          <cell r="CA305"/>
          <cell r="CB305"/>
          <cell r="CC305"/>
          <cell r="CD305"/>
          <cell r="CE305"/>
          <cell r="CF305"/>
          <cell r="CG305"/>
          <cell r="CH305"/>
          <cell r="CI305"/>
          <cell r="CJ305"/>
          <cell r="CK305"/>
          <cell r="CL305"/>
          <cell r="CM305"/>
          <cell r="CN305"/>
          <cell r="CO305"/>
          <cell r="CP305"/>
          <cell r="CQ305"/>
          <cell r="CR305"/>
          <cell r="CS305"/>
          <cell r="CT305"/>
          <cell r="CU305"/>
          <cell r="CV305"/>
          <cell r="CW305"/>
          <cell r="CX305"/>
          <cell r="CY305"/>
        </row>
        <row r="306">
          <cell r="B306" t="str">
            <v>Net income (pre-exceptionals)</v>
          </cell>
          <cell r="C306" t="str">
            <v>NET_EARNING</v>
          </cell>
          <cell r="D306" t="str">
            <v>EUR</v>
          </cell>
          <cell r="F306">
            <v>179</v>
          </cell>
          <cell r="G306">
            <v>809</v>
          </cell>
          <cell r="H306">
            <v>696</v>
          </cell>
          <cell r="I306">
            <v>769</v>
          </cell>
          <cell r="J306">
            <v>1152</v>
          </cell>
          <cell r="K306"/>
          <cell r="L306"/>
          <cell r="M306"/>
          <cell r="N306"/>
          <cell r="O306">
            <v>1769</v>
          </cell>
          <cell r="P306"/>
          <cell r="Q306"/>
          <cell r="R306"/>
          <cell r="S306"/>
          <cell r="T306">
            <v>3356</v>
          </cell>
          <cell r="U306"/>
          <cell r="V306"/>
          <cell r="W306"/>
          <cell r="X306"/>
          <cell r="Y306">
            <v>3129</v>
          </cell>
          <cell r="Z306"/>
          <cell r="AA306"/>
          <cell r="AB306"/>
          <cell r="AC306"/>
          <cell r="AD306">
            <v>2113</v>
          </cell>
          <cell r="AE306"/>
          <cell r="AF306"/>
          <cell r="AG306"/>
          <cell r="AH306"/>
          <cell r="AI306">
            <v>1748</v>
          </cell>
          <cell r="AJ306"/>
          <cell r="AK306"/>
          <cell r="AL306"/>
          <cell r="AM306"/>
          <cell r="AN306">
            <v>674</v>
          </cell>
          <cell r="AO306"/>
          <cell r="AP306"/>
          <cell r="AQ306"/>
          <cell r="AR306"/>
          <cell r="AS306">
            <v>1186</v>
          </cell>
          <cell r="AT306"/>
          <cell r="AU306"/>
          <cell r="AV306"/>
          <cell r="AW306"/>
          <cell r="AX306">
            <v>1819</v>
          </cell>
          <cell r="AY306"/>
          <cell r="AZ306"/>
          <cell r="BA306"/>
          <cell r="BB306"/>
          <cell r="BC306">
            <v>2106</v>
          </cell>
          <cell r="BD306"/>
          <cell r="BE306"/>
          <cell r="BF306"/>
          <cell r="BG306"/>
          <cell r="BH306">
            <v>2293</v>
          </cell>
          <cell r="BI306"/>
          <cell r="BJ306"/>
          <cell r="BK306"/>
          <cell r="BL306"/>
          <cell r="BM306">
            <v>2461</v>
          </cell>
          <cell r="BN306"/>
          <cell r="BO306"/>
          <cell r="BP306"/>
          <cell r="BQ306"/>
          <cell r="BR306">
            <v>1935</v>
          </cell>
          <cell r="BS306"/>
          <cell r="BT306"/>
          <cell r="BU306"/>
          <cell r="BV306"/>
          <cell r="BW306">
            <v>4374</v>
          </cell>
          <cell r="BX306"/>
          <cell r="BY306"/>
          <cell r="BZ306"/>
          <cell r="CA306"/>
          <cell r="CB306">
            <v>3840</v>
          </cell>
          <cell r="CC306"/>
          <cell r="CD306"/>
          <cell r="CE306"/>
          <cell r="CF306"/>
          <cell r="CG306">
            <v>4245</v>
          </cell>
          <cell r="CH306"/>
          <cell r="CI306"/>
          <cell r="CJ306"/>
          <cell r="CK306"/>
          <cell r="CL306">
            <v>1352.659220634795</v>
          </cell>
          <cell r="CM306"/>
          <cell r="CN306"/>
          <cell r="CO306"/>
          <cell r="CP306"/>
          <cell r="CQ306">
            <v>3337.0935390983764</v>
          </cell>
          <cell r="CR306"/>
          <cell r="CS306"/>
          <cell r="CT306"/>
          <cell r="CU306"/>
          <cell r="CV306">
            <v>4512.7585183799702</v>
          </cell>
          <cell r="CW306">
            <v>5203.6449533292616</v>
          </cell>
          <cell r="CX306">
            <v>5570.6820892219948</v>
          </cell>
          <cell r="CY306">
            <v>7081.3061490607333</v>
          </cell>
        </row>
        <row r="307">
          <cell r="B307" t="str">
            <v>Post-tax exceptionals</v>
          </cell>
          <cell r="C307" t="str">
            <v>TAX_EXC</v>
          </cell>
          <cell r="D307" t="str">
            <v>EUR</v>
          </cell>
          <cell r="F307"/>
          <cell r="G307"/>
          <cell r="H307"/>
          <cell r="I307"/>
          <cell r="J307"/>
          <cell r="K307"/>
          <cell r="L307"/>
          <cell r="M307"/>
          <cell r="N307"/>
          <cell r="O307"/>
          <cell r="P307"/>
          <cell r="Q307"/>
          <cell r="R307"/>
          <cell r="S307"/>
          <cell r="T307"/>
          <cell r="U307"/>
          <cell r="V307"/>
          <cell r="W307"/>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cell r="AW307"/>
          <cell r="AX307"/>
          <cell r="AY307"/>
          <cell r="AZ307"/>
          <cell r="BA307"/>
          <cell r="BB307"/>
          <cell r="BC307"/>
          <cell r="BD307"/>
          <cell r="BE307"/>
          <cell r="BF307"/>
          <cell r="BG307"/>
          <cell r="BH307"/>
          <cell r="BI307"/>
          <cell r="BJ307"/>
          <cell r="BK307"/>
          <cell r="BL307"/>
          <cell r="BM307"/>
          <cell r="BN307"/>
          <cell r="BO307"/>
          <cell r="BP307"/>
          <cell r="BQ307"/>
          <cell r="BR307"/>
          <cell r="BS307"/>
          <cell r="BT307"/>
          <cell r="BU307"/>
          <cell r="BV307"/>
          <cell r="BW307"/>
          <cell r="BX307"/>
          <cell r="BY307"/>
          <cell r="BZ307"/>
          <cell r="CA307"/>
          <cell r="CB307"/>
          <cell r="CC307"/>
          <cell r="CD307"/>
          <cell r="CE307"/>
          <cell r="CF307"/>
          <cell r="CG307"/>
          <cell r="CH307"/>
          <cell r="CI307"/>
          <cell r="CJ307"/>
          <cell r="CK307"/>
          <cell r="CL307"/>
          <cell r="CM307"/>
          <cell r="CN307"/>
          <cell r="CO307"/>
          <cell r="CP307"/>
          <cell r="CQ307"/>
          <cell r="CR307"/>
          <cell r="CS307"/>
          <cell r="CT307"/>
          <cell r="CU307"/>
          <cell r="CV307"/>
          <cell r="CW307"/>
          <cell r="CX307"/>
          <cell r="CY307"/>
        </row>
        <row r="308">
          <cell r="B308" t="str">
            <v>Net income (post-exceptionals)</v>
          </cell>
          <cell r="C308" t="str">
            <v>NET_INC</v>
          </cell>
          <cell r="D308" t="str">
            <v>EUR</v>
          </cell>
          <cell r="F308">
            <v>179</v>
          </cell>
          <cell r="G308">
            <v>809</v>
          </cell>
          <cell r="H308">
            <v>696</v>
          </cell>
          <cell r="I308">
            <v>769</v>
          </cell>
          <cell r="J308">
            <v>1152</v>
          </cell>
          <cell r="K308"/>
          <cell r="L308"/>
          <cell r="M308"/>
          <cell r="N308"/>
          <cell r="O308">
            <v>1769</v>
          </cell>
          <cell r="P308"/>
          <cell r="Q308"/>
          <cell r="R308"/>
          <cell r="S308"/>
          <cell r="T308">
            <v>3356</v>
          </cell>
          <cell r="U308"/>
          <cell r="V308"/>
          <cell r="W308"/>
          <cell r="X308"/>
          <cell r="Y308">
            <v>3129</v>
          </cell>
          <cell r="Z308"/>
          <cell r="AA308"/>
          <cell r="AB308"/>
          <cell r="AC308"/>
          <cell r="AD308">
            <v>2113</v>
          </cell>
          <cell r="AE308"/>
          <cell r="AF308"/>
          <cell r="AG308"/>
          <cell r="AH308"/>
          <cell r="AI308">
            <v>1748</v>
          </cell>
          <cell r="AJ308"/>
          <cell r="AK308"/>
          <cell r="AL308"/>
          <cell r="AM308"/>
          <cell r="AN308">
            <v>674</v>
          </cell>
          <cell r="AO308"/>
          <cell r="AP308"/>
          <cell r="AQ308"/>
          <cell r="AR308"/>
          <cell r="AS308">
            <v>1186</v>
          </cell>
          <cell r="AT308"/>
          <cell r="AU308"/>
          <cell r="AV308"/>
          <cell r="AW308"/>
          <cell r="AX308">
            <v>1819</v>
          </cell>
          <cell r="AY308"/>
          <cell r="AZ308"/>
          <cell r="BA308"/>
          <cell r="BB308"/>
          <cell r="BC308">
            <v>2106</v>
          </cell>
          <cell r="BD308"/>
          <cell r="BE308"/>
          <cell r="BF308"/>
          <cell r="BG308"/>
          <cell r="BH308">
            <v>2293</v>
          </cell>
          <cell r="BI308"/>
          <cell r="BJ308"/>
          <cell r="BK308"/>
          <cell r="BL308"/>
          <cell r="BM308">
            <v>2461</v>
          </cell>
          <cell r="BN308"/>
          <cell r="BO308"/>
          <cell r="BP308"/>
          <cell r="BQ308"/>
          <cell r="BR308">
            <v>1935</v>
          </cell>
          <cell r="BS308"/>
          <cell r="BT308"/>
          <cell r="BU308"/>
          <cell r="BV308"/>
          <cell r="BW308">
            <v>4374</v>
          </cell>
          <cell r="BX308"/>
          <cell r="BY308"/>
          <cell r="BZ308"/>
          <cell r="CA308"/>
          <cell r="CB308">
            <v>3840</v>
          </cell>
          <cell r="CC308"/>
          <cell r="CD308"/>
          <cell r="CE308"/>
          <cell r="CF308"/>
          <cell r="CG308">
            <v>4245</v>
          </cell>
          <cell r="CH308"/>
          <cell r="CI308"/>
          <cell r="CJ308"/>
          <cell r="CK308"/>
          <cell r="CL308">
            <v>1352.659220634795</v>
          </cell>
          <cell r="CM308"/>
          <cell r="CN308"/>
          <cell r="CO308"/>
          <cell r="CP308"/>
          <cell r="CQ308">
            <v>3337.0935390983764</v>
          </cell>
          <cell r="CR308"/>
          <cell r="CS308"/>
          <cell r="CT308"/>
          <cell r="CU308"/>
          <cell r="CV308">
            <v>4512.7585183799702</v>
          </cell>
          <cell r="CW308">
            <v>5203.6449533292616</v>
          </cell>
          <cell r="CX308">
            <v>5570.6820892219948</v>
          </cell>
          <cell r="CY308">
            <v>7081.3061490607333</v>
          </cell>
        </row>
        <row r="309">
          <cell r="B309" t="str">
            <v>EPS (pre-exceptionals, basic)</v>
          </cell>
          <cell r="C309" t="str">
            <v>EPS</v>
          </cell>
          <cell r="D309" t="str">
            <v>EUR</v>
          </cell>
          <cell r="F309">
            <v>0.46413708790366726</v>
          </cell>
          <cell r="G309">
            <v>1.0021109001598161</v>
          </cell>
          <cell r="H309">
            <v>0.86554568551591382</v>
          </cell>
          <cell r="I309">
            <v>0.96010147860621731</v>
          </cell>
          <cell r="J309">
            <v>1.4381393443047095</v>
          </cell>
          <cell r="K309"/>
          <cell r="L309"/>
          <cell r="M309"/>
          <cell r="N309"/>
          <cell r="O309">
            <v>2.2259013837355588</v>
          </cell>
          <cell r="P309"/>
          <cell r="Q309"/>
          <cell r="R309"/>
          <cell r="S309"/>
          <cell r="T309">
            <v>4.1940292709550908</v>
          </cell>
          <cell r="U309"/>
          <cell r="V309"/>
          <cell r="W309"/>
          <cell r="X309"/>
          <cell r="Y309">
            <v>3.8960155031085626</v>
          </cell>
          <cell r="Z309"/>
          <cell r="AA309"/>
          <cell r="AB309"/>
          <cell r="AC309"/>
          <cell r="AD309">
            <v>2.6184083118188379</v>
          </cell>
          <cell r="AE309"/>
          <cell r="AF309"/>
          <cell r="AG309"/>
          <cell r="AH309"/>
          <cell r="AI309">
            <v>2.1588279059347943</v>
          </cell>
          <cell r="AJ309"/>
          <cell r="AK309"/>
          <cell r="AL309"/>
          <cell r="AM309"/>
          <cell r="AN309">
            <v>0.83138711961219158</v>
          </cell>
          <cell r="AO309"/>
          <cell r="AP309"/>
          <cell r="AQ309"/>
          <cell r="AR309"/>
          <cell r="AS309">
            <v>1.4596792145943189</v>
          </cell>
          <cell r="AT309"/>
          <cell r="AU309"/>
          <cell r="AV309"/>
          <cell r="AW309"/>
          <cell r="AX309">
            <v>2.219975901142528</v>
          </cell>
          <cell r="AY309"/>
          <cell r="AZ309"/>
          <cell r="BA309"/>
          <cell r="BB309"/>
          <cell r="BC309">
            <v>2.6575243722935635</v>
          </cell>
          <cell r="BD309"/>
          <cell r="BE309"/>
          <cell r="BF309"/>
          <cell r="BG309"/>
          <cell r="BH309">
            <v>2.9286208940931431</v>
          </cell>
          <cell r="BI309"/>
          <cell r="BJ309"/>
          <cell r="BK309"/>
          <cell r="BL309"/>
          <cell r="BM309">
            <v>3.1325533429951831</v>
          </cell>
          <cell r="BN309"/>
          <cell r="BO309"/>
          <cell r="BP309"/>
          <cell r="BQ309"/>
          <cell r="BR309">
            <v>2.5006499202065871</v>
          </cell>
          <cell r="BS309"/>
          <cell r="BT309"/>
          <cell r="BU309"/>
          <cell r="BV309"/>
          <cell r="BW309">
            <v>5.6528228363372781</v>
          </cell>
          <cell r="BX309"/>
          <cell r="BY309"/>
          <cell r="BZ309"/>
          <cell r="CA309"/>
          <cell r="CB309">
            <v>4.953765238338204</v>
          </cell>
          <cell r="CC309"/>
          <cell r="CD309"/>
          <cell r="CE309"/>
          <cell r="CF309"/>
          <cell r="CG309">
            <v>5.46304022412194</v>
          </cell>
          <cell r="CH309"/>
          <cell r="CI309"/>
          <cell r="CJ309"/>
          <cell r="CK309"/>
          <cell r="CL309">
            <v>1.740784860272631</v>
          </cell>
          <cell r="CM309"/>
          <cell r="CN309"/>
          <cell r="CO309"/>
          <cell r="CP309"/>
          <cell r="CQ309">
            <v>4.2946233770911357</v>
          </cell>
          <cell r="CR309"/>
          <cell r="CS309"/>
          <cell r="CT309"/>
          <cell r="CU309"/>
          <cell r="CV309">
            <v>5.8076281054555254</v>
          </cell>
          <cell r="CW309">
            <v>6.6967542266400208</v>
          </cell>
          <cell r="CX309">
            <v>7.5464286973443437</v>
          </cell>
          <cell r="CY309">
            <v>10.125758495390869</v>
          </cell>
        </row>
        <row r="310">
          <cell r="B310" t="str">
            <v>EPS (pre-exceptionals, diluted)</v>
          </cell>
          <cell r="C310" t="str">
            <v>EPS_FUL_DIL</v>
          </cell>
          <cell r="D310" t="str">
            <v>EUR</v>
          </cell>
          <cell r="F310">
            <v>0.46413708790366726</v>
          </cell>
          <cell r="G310">
            <v>1.0021109001598161</v>
          </cell>
          <cell r="H310">
            <v>0.86554568551591382</v>
          </cell>
          <cell r="I310">
            <v>0.96010147860621731</v>
          </cell>
          <cell r="J310">
            <v>1.4326881470993453</v>
          </cell>
          <cell r="K310"/>
          <cell r="L310"/>
          <cell r="M310"/>
          <cell r="N310"/>
          <cell r="O310">
            <v>2.2106521484696526</v>
          </cell>
          <cell r="P310"/>
          <cell r="Q310"/>
          <cell r="R310"/>
          <cell r="S310"/>
          <cell r="T310">
            <v>4.172491167811561</v>
          </cell>
          <cell r="U310"/>
          <cell r="V310"/>
          <cell r="W310"/>
          <cell r="X310"/>
          <cell r="Y310">
            <v>3.8843103606384051</v>
          </cell>
          <cell r="Z310"/>
          <cell r="AA310"/>
          <cell r="AB310"/>
          <cell r="AC310"/>
          <cell r="AD310">
            <v>2.6164041616690521</v>
          </cell>
          <cell r="AE310"/>
          <cell r="AF310"/>
          <cell r="AG310"/>
          <cell r="AH310"/>
          <cell r="AI310">
            <v>2.1548586108075507</v>
          </cell>
          <cell r="AJ310"/>
          <cell r="AK310"/>
          <cell r="AL310"/>
          <cell r="AM310"/>
          <cell r="AN310">
            <v>0.83113841065101146</v>
          </cell>
          <cell r="AO310"/>
          <cell r="AP310"/>
          <cell r="AQ310"/>
          <cell r="AR310"/>
          <cell r="AS310">
            <v>1.4575362089108621</v>
          </cell>
          <cell r="AT310"/>
          <cell r="AU310"/>
          <cell r="AV310"/>
          <cell r="AW310"/>
          <cell r="AX310">
            <v>2.2168005841911791</v>
          </cell>
          <cell r="AY310"/>
          <cell r="AZ310"/>
          <cell r="BA310"/>
          <cell r="BB310"/>
          <cell r="BC310">
            <v>2.6519660540487404</v>
          </cell>
          <cell r="BD310"/>
          <cell r="BE310"/>
          <cell r="BF310"/>
          <cell r="BG310"/>
          <cell r="BH310">
            <v>2.9241639851830001</v>
          </cell>
          <cell r="BI310"/>
          <cell r="BJ310"/>
          <cell r="BK310"/>
          <cell r="BL310"/>
          <cell r="BM310">
            <v>3.1211479908502651</v>
          </cell>
          <cell r="BN310"/>
          <cell r="BO310"/>
          <cell r="BP310"/>
          <cell r="BQ310"/>
          <cell r="BR310">
            <v>2.4836042522867845</v>
          </cell>
          <cell r="BS310"/>
          <cell r="BT310"/>
          <cell r="BU310"/>
          <cell r="BV310"/>
          <cell r="BW310">
            <v>5.6142891045880052</v>
          </cell>
          <cell r="BX310"/>
          <cell r="BY310"/>
          <cell r="BZ310"/>
          <cell r="CA310"/>
          <cell r="CB310">
            <v>4.9200571559964779</v>
          </cell>
          <cell r="CC310"/>
          <cell r="CD310"/>
          <cell r="CE310"/>
          <cell r="CF310"/>
          <cell r="CG310">
            <v>5.4259557052457508</v>
          </cell>
          <cell r="CH310"/>
          <cell r="CI310"/>
          <cell r="CJ310"/>
          <cell r="CK310"/>
          <cell r="CL310">
            <v>1.7289679659497379</v>
          </cell>
          <cell r="CM310"/>
          <cell r="CN310"/>
          <cell r="CO310"/>
          <cell r="CP310"/>
          <cell r="CQ310">
            <v>4.2654703715923601</v>
          </cell>
          <cell r="CR310"/>
          <cell r="CS310"/>
          <cell r="CT310"/>
          <cell r="CU310"/>
          <cell r="CV310">
            <v>5.7682044356184123</v>
          </cell>
          <cell r="CW310">
            <v>6.6512949405394979</v>
          </cell>
          <cell r="CX310">
            <v>7.4925246986829732</v>
          </cell>
          <cell r="CY310">
            <v>10.04944244907918</v>
          </cell>
        </row>
        <row r="311">
          <cell r="B311" t="str">
            <v>EPS (post-exceptionals, basic)</v>
          </cell>
          <cell r="C311" t="str">
            <v>EPS_POST_BASIC</v>
          </cell>
          <cell r="D311" t="str">
            <v>EUR</v>
          </cell>
          <cell r="F311">
            <v>0.46413708790366726</v>
          </cell>
          <cell r="G311">
            <v>1.0021109001598161</v>
          </cell>
          <cell r="H311">
            <v>0.86554568551591382</v>
          </cell>
          <cell r="I311">
            <v>0.96010147860621731</v>
          </cell>
          <cell r="J311">
            <v>1.4381393443047095</v>
          </cell>
          <cell r="K311"/>
          <cell r="L311"/>
          <cell r="M311"/>
          <cell r="N311"/>
          <cell r="O311">
            <v>2.2259013837355588</v>
          </cell>
          <cell r="P311"/>
          <cell r="Q311"/>
          <cell r="R311"/>
          <cell r="S311"/>
          <cell r="T311">
            <v>4.1940292709550908</v>
          </cell>
          <cell r="U311"/>
          <cell r="V311"/>
          <cell r="W311"/>
          <cell r="X311"/>
          <cell r="Y311">
            <v>3.8960155031085626</v>
          </cell>
          <cell r="Z311"/>
          <cell r="AA311"/>
          <cell r="AB311"/>
          <cell r="AC311"/>
          <cell r="AD311">
            <v>2.6184083118188379</v>
          </cell>
          <cell r="AE311"/>
          <cell r="AF311"/>
          <cell r="AG311"/>
          <cell r="AH311"/>
          <cell r="AI311">
            <v>2.1588279059347943</v>
          </cell>
          <cell r="AJ311"/>
          <cell r="AK311"/>
          <cell r="AL311"/>
          <cell r="AM311"/>
          <cell r="AN311">
            <v>0.83138711961219158</v>
          </cell>
          <cell r="AO311"/>
          <cell r="AP311"/>
          <cell r="AQ311"/>
          <cell r="AR311"/>
          <cell r="AS311">
            <v>1.4596792145943189</v>
          </cell>
          <cell r="AT311"/>
          <cell r="AU311"/>
          <cell r="AV311"/>
          <cell r="AW311"/>
          <cell r="AX311">
            <v>2.219975901142528</v>
          </cell>
          <cell r="AY311"/>
          <cell r="AZ311"/>
          <cell r="BA311"/>
          <cell r="BB311"/>
          <cell r="BC311">
            <v>2.6575243722935635</v>
          </cell>
          <cell r="BD311"/>
          <cell r="BE311"/>
          <cell r="BF311"/>
          <cell r="BG311"/>
          <cell r="BH311">
            <v>2.9286208940931431</v>
          </cell>
          <cell r="BI311"/>
          <cell r="BJ311"/>
          <cell r="BK311"/>
          <cell r="BL311"/>
          <cell r="BM311">
            <v>3.1325533429951831</v>
          </cell>
          <cell r="BN311"/>
          <cell r="BO311"/>
          <cell r="BP311"/>
          <cell r="BQ311"/>
          <cell r="BR311">
            <v>2.5006499202065871</v>
          </cell>
          <cell r="BS311"/>
          <cell r="BT311"/>
          <cell r="BU311"/>
          <cell r="BV311"/>
          <cell r="BW311">
            <v>5.6528228363372781</v>
          </cell>
          <cell r="BX311"/>
          <cell r="BY311"/>
          <cell r="BZ311"/>
          <cell r="CA311"/>
          <cell r="CB311">
            <v>4.953765238338204</v>
          </cell>
          <cell r="CC311"/>
          <cell r="CD311"/>
          <cell r="CE311"/>
          <cell r="CF311"/>
          <cell r="CG311">
            <v>5.46304022412194</v>
          </cell>
          <cell r="CH311"/>
          <cell r="CI311"/>
          <cell r="CJ311"/>
          <cell r="CK311"/>
          <cell r="CL311">
            <v>1.740784860272631</v>
          </cell>
          <cell r="CM311"/>
          <cell r="CN311"/>
          <cell r="CO311"/>
          <cell r="CP311"/>
          <cell r="CQ311">
            <v>4.2946233770911357</v>
          </cell>
          <cell r="CR311"/>
          <cell r="CS311"/>
          <cell r="CT311"/>
          <cell r="CU311"/>
          <cell r="CV311">
            <v>5.8076281054555254</v>
          </cell>
          <cell r="CW311">
            <v>6.6967542266400208</v>
          </cell>
          <cell r="CX311">
            <v>7.5464286973443437</v>
          </cell>
          <cell r="CY311">
            <v>10.125758495390869</v>
          </cell>
        </row>
        <row r="312">
          <cell r="B312" t="str">
            <v>EPS (post-exceptionals, diluted)</v>
          </cell>
          <cell r="C312" t="str">
            <v>FULLY_DIL_EPS</v>
          </cell>
          <cell r="D312" t="str">
            <v>EUR</v>
          </cell>
          <cell r="F312">
            <v>0.46413708790366726</v>
          </cell>
          <cell r="G312">
            <v>1.0021109001598161</v>
          </cell>
          <cell r="H312">
            <v>0.86554568551591382</v>
          </cell>
          <cell r="I312">
            <v>0.96010147860621731</v>
          </cell>
          <cell r="J312">
            <v>1.4326881470993453</v>
          </cell>
          <cell r="K312"/>
          <cell r="L312"/>
          <cell r="M312"/>
          <cell r="N312"/>
          <cell r="O312">
            <v>2.2106521484696526</v>
          </cell>
          <cell r="P312"/>
          <cell r="Q312"/>
          <cell r="R312"/>
          <cell r="S312"/>
          <cell r="T312">
            <v>4.172491167811561</v>
          </cell>
          <cell r="U312"/>
          <cell r="V312"/>
          <cell r="W312"/>
          <cell r="X312"/>
          <cell r="Y312">
            <v>3.8843103606384051</v>
          </cell>
          <cell r="Z312"/>
          <cell r="AA312"/>
          <cell r="AB312"/>
          <cell r="AC312"/>
          <cell r="AD312">
            <v>2.6164041616690521</v>
          </cell>
          <cell r="AE312"/>
          <cell r="AF312"/>
          <cell r="AG312"/>
          <cell r="AH312"/>
          <cell r="AI312">
            <v>2.1548586108075507</v>
          </cell>
          <cell r="AJ312"/>
          <cell r="AK312"/>
          <cell r="AL312"/>
          <cell r="AM312"/>
          <cell r="AN312">
            <v>0.83113841065101146</v>
          </cell>
          <cell r="AO312"/>
          <cell r="AP312"/>
          <cell r="AQ312"/>
          <cell r="AR312"/>
          <cell r="AS312">
            <v>1.4575362089108621</v>
          </cell>
          <cell r="AT312"/>
          <cell r="AU312"/>
          <cell r="AV312"/>
          <cell r="AW312"/>
          <cell r="AX312">
            <v>2.2168005841911791</v>
          </cell>
          <cell r="AY312"/>
          <cell r="AZ312"/>
          <cell r="BA312"/>
          <cell r="BB312"/>
          <cell r="BC312">
            <v>2.6519660540487404</v>
          </cell>
          <cell r="BD312"/>
          <cell r="BE312"/>
          <cell r="BF312"/>
          <cell r="BG312"/>
          <cell r="BH312">
            <v>2.9241639851830001</v>
          </cell>
          <cell r="BI312"/>
          <cell r="BJ312"/>
          <cell r="BK312"/>
          <cell r="BL312"/>
          <cell r="BM312">
            <v>3.1211479908502651</v>
          </cell>
          <cell r="BN312"/>
          <cell r="BO312"/>
          <cell r="BP312"/>
          <cell r="BQ312"/>
          <cell r="BR312">
            <v>2.4836042522867845</v>
          </cell>
          <cell r="BS312"/>
          <cell r="BT312"/>
          <cell r="BU312"/>
          <cell r="BV312"/>
          <cell r="BW312">
            <v>5.6142891045880052</v>
          </cell>
          <cell r="BX312"/>
          <cell r="BY312"/>
          <cell r="BZ312"/>
          <cell r="CA312"/>
          <cell r="CB312">
            <v>4.9200571559964779</v>
          </cell>
          <cell r="CC312"/>
          <cell r="CD312"/>
          <cell r="CE312"/>
          <cell r="CF312"/>
          <cell r="CG312">
            <v>5.4259557052457508</v>
          </cell>
          <cell r="CH312"/>
          <cell r="CI312"/>
          <cell r="CJ312"/>
          <cell r="CK312"/>
          <cell r="CL312">
            <v>1.7289679659497379</v>
          </cell>
          <cell r="CM312"/>
          <cell r="CN312"/>
          <cell r="CO312"/>
          <cell r="CP312"/>
          <cell r="CQ312">
            <v>4.2654703715923601</v>
          </cell>
          <cell r="CR312"/>
          <cell r="CS312"/>
          <cell r="CT312"/>
          <cell r="CU312"/>
          <cell r="CV312">
            <v>5.7682044356184123</v>
          </cell>
          <cell r="CW312">
            <v>6.6512949405394979</v>
          </cell>
          <cell r="CX312">
            <v>7.4925246986829732</v>
          </cell>
          <cell r="CY312">
            <v>10.04944244907918</v>
          </cell>
        </row>
        <row r="313">
          <cell r="B313" t="str">
            <v>Common dividends paid</v>
          </cell>
          <cell r="C313" t="str">
            <v>COMMON_DIV_PAID</v>
          </cell>
          <cell r="D313" t="str">
            <v>EUR</v>
          </cell>
          <cell r="F313">
            <v>-403.57883349999997</v>
          </cell>
          <cell r="G313">
            <v>-404.58778050000001</v>
          </cell>
          <cell r="H313">
            <v>-240.28709999999998</v>
          </cell>
          <cell r="I313">
            <v>-320.38289920000005</v>
          </cell>
          <cell r="J313">
            <v>-399.775147</v>
          </cell>
          <cell r="K313"/>
          <cell r="L313"/>
          <cell r="M313"/>
          <cell r="N313"/>
          <cell r="O313">
            <v>-518.14127690000009</v>
          </cell>
          <cell r="P313"/>
          <cell r="Q313"/>
          <cell r="R313"/>
          <cell r="S313"/>
          <cell r="T313">
            <v>-9.7000000000000003E-2</v>
          </cell>
          <cell r="U313"/>
          <cell r="V313"/>
          <cell r="W313"/>
          <cell r="X313"/>
          <cell r="Y313">
            <v>-9.7000000000000003E-2</v>
          </cell>
          <cell r="Z313"/>
          <cell r="AA313"/>
          <cell r="AB313"/>
          <cell r="AC313"/>
          <cell r="AD313">
            <v>-0.16200000000000001</v>
          </cell>
          <cell r="AE313"/>
          <cell r="AF313"/>
          <cell r="AG313"/>
          <cell r="AH313"/>
          <cell r="AI313">
            <v>0</v>
          </cell>
          <cell r="AJ313"/>
          <cell r="AK313"/>
          <cell r="AL313"/>
          <cell r="AM313"/>
          <cell r="AN313">
            <v>-0.17799999999999999</v>
          </cell>
          <cell r="AO313"/>
          <cell r="AP313"/>
          <cell r="AQ313"/>
          <cell r="AR313"/>
          <cell r="AS313">
            <v>-0.36899999999999994</v>
          </cell>
          <cell r="AT313"/>
          <cell r="AU313"/>
          <cell r="AV313"/>
          <cell r="AW313"/>
          <cell r="AX313">
            <v>-0.49162695839999992</v>
          </cell>
          <cell r="AY313"/>
          <cell r="AZ313"/>
          <cell r="BA313"/>
          <cell r="BB313"/>
          <cell r="BC313">
            <v>-0.59435014649999995</v>
          </cell>
          <cell r="BD313"/>
          <cell r="BE313"/>
          <cell r="BF313"/>
          <cell r="BG313"/>
          <cell r="BH313">
            <v>-0.93955486199999994</v>
          </cell>
          <cell r="BI313"/>
          <cell r="BJ313"/>
          <cell r="BK313"/>
          <cell r="BL313"/>
          <cell r="BM313">
            <v>-1.0213074287000001</v>
          </cell>
          <cell r="BN313"/>
          <cell r="BO313"/>
          <cell r="BP313"/>
          <cell r="BQ313"/>
          <cell r="BR313">
            <v>-1.0446284299500002</v>
          </cell>
          <cell r="BS313"/>
          <cell r="BT313"/>
          <cell r="BU313"/>
          <cell r="BV313"/>
          <cell r="BW313">
            <v>-1.1606590530000001</v>
          </cell>
          <cell r="BX313"/>
          <cell r="BY313"/>
          <cell r="BZ313"/>
          <cell r="CA313"/>
          <cell r="CB313">
            <v>-1.27902710265</v>
          </cell>
          <cell r="CC313"/>
          <cell r="CD313"/>
          <cell r="CE313"/>
          <cell r="CF313"/>
          <cell r="CG313">
            <v>0</v>
          </cell>
          <cell r="CH313"/>
          <cell r="CI313"/>
          <cell r="CJ313"/>
          <cell r="CK313"/>
          <cell r="CL313">
            <v>-1.2821157657</v>
          </cell>
          <cell r="CM313"/>
          <cell r="CN313"/>
          <cell r="CO313"/>
          <cell r="CP313"/>
          <cell r="CQ313">
            <v>-1.0011280617295129</v>
          </cell>
          <cell r="CR313"/>
          <cell r="CS313"/>
          <cell r="CT313"/>
          <cell r="CU313"/>
          <cell r="CV313">
            <v>-2.2563792591899849</v>
          </cell>
          <cell r="CW313">
            <v>-2.6018224766646307</v>
          </cell>
          <cell r="CX313">
            <v>-2.7853410446109974</v>
          </cell>
          <cell r="CY313">
            <v>-3.5406530745303666</v>
          </cell>
        </row>
        <row r="314">
          <cell r="B314" t="str">
            <v>DPS, dividend per share</v>
          </cell>
          <cell r="C314" t="str">
            <v>DPS</v>
          </cell>
          <cell r="D314" t="str">
            <v>EUR</v>
          </cell>
          <cell r="F314">
            <v>0.5</v>
          </cell>
          <cell r="G314">
            <v>0.5</v>
          </cell>
          <cell r="H314">
            <v>0.3</v>
          </cell>
          <cell r="I314">
            <v>0.4</v>
          </cell>
          <cell r="J314">
            <v>0.5</v>
          </cell>
          <cell r="K314"/>
          <cell r="L314"/>
          <cell r="M314"/>
          <cell r="N314"/>
          <cell r="O314">
            <v>0.65</v>
          </cell>
          <cell r="P314"/>
          <cell r="Q314"/>
          <cell r="R314"/>
          <cell r="S314"/>
          <cell r="T314">
            <v>0.12122194257528124</v>
          </cell>
          <cell r="U314"/>
          <cell r="V314"/>
          <cell r="W314"/>
          <cell r="X314"/>
          <cell r="Y314">
            <v>0.1207777257275585</v>
          </cell>
          <cell r="Z314"/>
          <cell r="AA314"/>
          <cell r="AB314"/>
          <cell r="AC314"/>
          <cell r="AD314">
            <v>0.20074876787252804</v>
          </cell>
          <cell r="AE314"/>
          <cell r="AF314"/>
          <cell r="AG314"/>
          <cell r="AH314"/>
          <cell r="AI314">
            <v>0</v>
          </cell>
          <cell r="AJ314"/>
          <cell r="AK314"/>
          <cell r="AL314"/>
          <cell r="AM314"/>
          <cell r="AN314">
            <v>0.21956514434862032</v>
          </cell>
          <cell r="AO314"/>
          <cell r="AP314"/>
          <cell r="AQ314"/>
          <cell r="AR314"/>
          <cell r="AS314">
            <v>0.45414977250025601</v>
          </cell>
          <cell r="AT314"/>
          <cell r="AU314"/>
          <cell r="AV314"/>
          <cell r="AW314"/>
          <cell r="AX314">
            <v>0.6</v>
          </cell>
          <cell r="AY314"/>
          <cell r="AZ314"/>
          <cell r="BA314"/>
          <cell r="BB314"/>
          <cell r="BC314">
            <v>0.75</v>
          </cell>
          <cell r="BD314"/>
          <cell r="BE314"/>
          <cell r="BF314"/>
          <cell r="BG314"/>
          <cell r="BH314">
            <v>1.2</v>
          </cell>
          <cell r="BI314"/>
          <cell r="BJ314"/>
          <cell r="BK314"/>
          <cell r="BL314"/>
          <cell r="BM314">
            <v>1.3</v>
          </cell>
          <cell r="BN314"/>
          <cell r="BO314"/>
          <cell r="BP314"/>
          <cell r="BQ314"/>
          <cell r="BR314">
            <v>1.35</v>
          </cell>
          <cell r="BS314"/>
          <cell r="BT314"/>
          <cell r="BU314"/>
          <cell r="BV314"/>
          <cell r="BW314">
            <v>1.5</v>
          </cell>
          <cell r="BX314"/>
          <cell r="BY314"/>
          <cell r="BZ314"/>
          <cell r="CA314"/>
          <cell r="CB314">
            <v>1.65</v>
          </cell>
          <cell r="CC314"/>
          <cell r="CD314"/>
          <cell r="CE314"/>
          <cell r="CF314"/>
          <cell r="CG314">
            <v>0</v>
          </cell>
          <cell r="CH314"/>
          <cell r="CI314"/>
          <cell r="CJ314"/>
          <cell r="CK314"/>
          <cell r="CL314">
            <v>1.65</v>
          </cell>
          <cell r="CM314"/>
          <cell r="CN314"/>
          <cell r="CO314"/>
          <cell r="CP314"/>
          <cell r="CQ314">
            <v>1.2883870131273405</v>
          </cell>
          <cell r="CR314"/>
          <cell r="CS314"/>
          <cell r="CT314"/>
          <cell r="CU314"/>
          <cell r="CV314">
            <v>2.9038140527277623</v>
          </cell>
          <cell r="CW314">
            <v>3.3483771133200104</v>
          </cell>
          <cell r="CX314">
            <v>3.7732143486721719</v>
          </cell>
          <cell r="CY314">
            <v>5.0628792476954345</v>
          </cell>
        </row>
        <row r="315">
          <cell r="B315" t="str">
            <v>Weighted average shares outstanding, basic</v>
          </cell>
          <cell r="C315" t="str">
            <v>SH</v>
          </cell>
          <cell r="F315">
            <v>385.66191900000001</v>
          </cell>
          <cell r="G315">
            <v>807.29587900000001</v>
          </cell>
          <cell r="H315">
            <v>804.11699999999996</v>
          </cell>
          <cell r="I315">
            <v>800.95699999999999</v>
          </cell>
          <cell r="J315">
            <v>801.03503499999999</v>
          </cell>
          <cell r="K315"/>
          <cell r="L315"/>
          <cell r="M315"/>
          <cell r="N315"/>
          <cell r="O315">
            <v>794.73422000000005</v>
          </cell>
          <cell r="P315"/>
          <cell r="Q315"/>
          <cell r="R315"/>
          <cell r="S315"/>
          <cell r="T315">
            <v>800.18516399999999</v>
          </cell>
          <cell r="U315"/>
          <cell r="V315"/>
          <cell r="W315"/>
          <cell r="X315"/>
          <cell r="Y315">
            <v>803.12822100000005</v>
          </cell>
          <cell r="Z315"/>
          <cell r="AA315"/>
          <cell r="AB315"/>
          <cell r="AC315"/>
          <cell r="AD315">
            <v>806.97880099999998</v>
          </cell>
          <cell r="AE315"/>
          <cell r="AF315"/>
          <cell r="AG315"/>
          <cell r="AH315"/>
          <cell r="AI315">
            <v>809.69863100000009</v>
          </cell>
          <cell r="AJ315"/>
          <cell r="AK315"/>
          <cell r="AL315"/>
          <cell r="AM315"/>
          <cell r="AN315">
            <v>810.69333900000004</v>
          </cell>
          <cell r="AO315"/>
          <cell r="AP315"/>
          <cell r="AQ315"/>
          <cell r="AR315"/>
          <cell r="AS315">
            <v>812.5072879999999</v>
          </cell>
          <cell r="AT315"/>
          <cell r="AU315"/>
          <cell r="AV315"/>
          <cell r="AW315"/>
          <cell r="AX315">
            <v>819.37826399999994</v>
          </cell>
          <cell r="AY315"/>
          <cell r="AZ315"/>
          <cell r="BA315"/>
          <cell r="BB315"/>
          <cell r="BC315">
            <v>792.46686199999999</v>
          </cell>
          <cell r="BD315">
            <v>780.87836399999992</v>
          </cell>
          <cell r="BE315">
            <v>782.01286600000003</v>
          </cell>
          <cell r="BF315">
            <v>782.54668200000003</v>
          </cell>
          <cell r="BG315">
            <v>782.96238500000004</v>
          </cell>
          <cell r="BH315">
            <v>782.96238500000004</v>
          </cell>
          <cell r="BI315">
            <v>784.65399200000002</v>
          </cell>
          <cell r="BJ315">
            <v>786.11759419880025</v>
          </cell>
          <cell r="BK315">
            <v>787.27281820029452</v>
          </cell>
          <cell r="BL315">
            <v>784.62284129532065</v>
          </cell>
          <cell r="BM315">
            <v>785.62109900000007</v>
          </cell>
          <cell r="BN315">
            <v>776.552505</v>
          </cell>
          <cell r="BO315">
            <v>775.11609799999997</v>
          </cell>
          <cell r="BP315">
            <v>775.11609799999997</v>
          </cell>
          <cell r="BQ315">
            <v>775.11609799999997</v>
          </cell>
          <cell r="BR315">
            <v>773.79883700000005</v>
          </cell>
          <cell r="BS315">
            <v>772.72869900000001</v>
          </cell>
          <cell r="BT315">
            <v>773.223614</v>
          </cell>
          <cell r="BU315">
            <v>773.223614</v>
          </cell>
          <cell r="BV315">
            <v>773.223614</v>
          </cell>
          <cell r="BW315">
            <v>773.77270200000009</v>
          </cell>
          <cell r="BX315"/>
          <cell r="BY315"/>
          <cell r="BZ315"/>
          <cell r="CA315"/>
          <cell r="CB315">
            <v>775.16794100000004</v>
          </cell>
          <cell r="CC315"/>
          <cell r="CD315"/>
          <cell r="CE315"/>
          <cell r="CF315"/>
          <cell r="CG315">
            <v>777.03985799999998</v>
          </cell>
          <cell r="CH315"/>
          <cell r="CI315"/>
          <cell r="CJ315"/>
          <cell r="CK315"/>
          <cell r="CL315">
            <v>777.03985799999998</v>
          </cell>
          <cell r="CM315"/>
          <cell r="CN315"/>
          <cell r="CO315"/>
          <cell r="CP315"/>
          <cell r="CQ315">
            <v>777.03985799999998</v>
          </cell>
          <cell r="CR315"/>
          <cell r="CS315"/>
          <cell r="CT315"/>
          <cell r="CU315"/>
          <cell r="CV315">
            <v>777.03985799999998</v>
          </cell>
          <cell r="CW315">
            <v>777.03985799999998</v>
          </cell>
          <cell r="CX315">
            <v>738.18786509999995</v>
          </cell>
          <cell r="CY315">
            <v>699.33587220000004</v>
          </cell>
        </row>
        <row r="316">
          <cell r="B316" t="str">
            <v>Diluted average shares outstanding (mn)</v>
          </cell>
          <cell r="C316" t="str">
            <v>DILUTE_SHARES</v>
          </cell>
          <cell r="F316">
            <v>385.66191900000001</v>
          </cell>
          <cell r="G316">
            <v>807.29587900000001</v>
          </cell>
          <cell r="H316">
            <v>804.11699999999996</v>
          </cell>
          <cell r="I316">
            <v>800.95699999999999</v>
          </cell>
          <cell r="J316">
            <v>804.08287199999995</v>
          </cell>
          <cell r="K316"/>
          <cell r="L316"/>
          <cell r="M316"/>
          <cell r="N316"/>
          <cell r="O316">
            <v>800.21635300000003</v>
          </cell>
          <cell r="P316"/>
          <cell r="Q316"/>
          <cell r="R316"/>
          <cell r="S316"/>
          <cell r="T316">
            <v>804.31566299999997</v>
          </cell>
          <cell r="U316"/>
          <cell r="V316"/>
          <cell r="W316"/>
          <cell r="X316"/>
          <cell r="Y316">
            <v>805.5484009999999</v>
          </cell>
          <cell r="Z316"/>
          <cell r="AA316"/>
          <cell r="AB316"/>
          <cell r="AC316"/>
          <cell r="AD316">
            <v>807.59694200000001</v>
          </cell>
          <cell r="AE316"/>
          <cell r="AF316"/>
          <cell r="AG316"/>
          <cell r="AH316"/>
          <cell r="AI316">
            <v>811.190113</v>
          </cell>
          <cell r="AJ316"/>
          <cell r="AK316"/>
          <cell r="AL316"/>
          <cell r="AM316"/>
          <cell r="AN316">
            <v>810.9359300000001</v>
          </cell>
          <cell r="AO316"/>
          <cell r="AP316"/>
          <cell r="AQ316"/>
          <cell r="AR316"/>
          <cell r="AS316">
            <v>813.70191199999999</v>
          </cell>
          <cell r="AT316"/>
          <cell r="AU316"/>
          <cell r="AV316"/>
          <cell r="AW316"/>
          <cell r="AX316">
            <v>820.55193099999997</v>
          </cell>
          <cell r="AY316"/>
          <cell r="AZ316"/>
          <cell r="BA316"/>
          <cell r="BB316"/>
          <cell r="BC316">
            <v>794.12781200000006</v>
          </cell>
          <cell r="BD316"/>
          <cell r="BE316"/>
          <cell r="BF316"/>
          <cell r="BG316"/>
          <cell r="BH316">
            <v>784.1557489999999</v>
          </cell>
          <cell r="BI316"/>
          <cell r="BJ316"/>
          <cell r="BK316"/>
          <cell r="BL316"/>
          <cell r="BM316">
            <v>788.49192900000003</v>
          </cell>
          <cell r="BN316"/>
          <cell r="BO316"/>
          <cell r="BP316"/>
          <cell r="BQ316"/>
          <cell r="BR316">
            <v>779.10963399999991</v>
          </cell>
          <cell r="BS316"/>
          <cell r="BT316"/>
          <cell r="BU316"/>
          <cell r="BV316"/>
          <cell r="BW316">
            <v>779.08349899999996</v>
          </cell>
          <cell r="BX316"/>
          <cell r="BY316"/>
          <cell r="BZ316"/>
          <cell r="CA316"/>
          <cell r="CB316">
            <v>780.47873799999991</v>
          </cell>
          <cell r="CC316"/>
          <cell r="CD316"/>
          <cell r="CE316"/>
          <cell r="CF316"/>
          <cell r="CG316">
            <v>782.35065499999996</v>
          </cell>
          <cell r="CH316"/>
          <cell r="CI316"/>
          <cell r="CJ316"/>
          <cell r="CK316"/>
          <cell r="CL316">
            <v>782.35065499999996</v>
          </cell>
          <cell r="CM316"/>
          <cell r="CN316"/>
          <cell r="CO316"/>
          <cell r="CP316"/>
          <cell r="CQ316">
            <v>782.35065499999996</v>
          </cell>
          <cell r="CR316"/>
          <cell r="CS316"/>
          <cell r="CT316"/>
          <cell r="CU316"/>
          <cell r="CV316">
            <v>782.35065499999996</v>
          </cell>
          <cell r="CW316">
            <v>782.35065499999996</v>
          </cell>
          <cell r="CX316">
            <v>743.49866209999982</v>
          </cell>
          <cell r="CY316">
            <v>704.64666919999991</v>
          </cell>
        </row>
        <row r="317">
          <cell r="B317" t="str">
            <v>Period-end shares outstanding</v>
          </cell>
          <cell r="C317" t="str">
            <v>NON_OP_ADD</v>
          </cell>
          <cell r="F317">
            <v>807.15766699999995</v>
          </cell>
          <cell r="G317">
            <v>809.17556100000002</v>
          </cell>
          <cell r="H317">
            <v>800.95699999999999</v>
          </cell>
          <cell r="I317">
            <v>800.95724800000005</v>
          </cell>
          <cell r="J317">
            <v>799.55029400000001</v>
          </cell>
          <cell r="K317"/>
          <cell r="L317"/>
          <cell r="M317"/>
          <cell r="N317"/>
          <cell r="O317">
            <v>797.14042600000005</v>
          </cell>
          <cell r="P317"/>
          <cell r="Q317"/>
          <cell r="R317"/>
          <cell r="S317"/>
          <cell r="T317">
            <v>800.18516399999999</v>
          </cell>
          <cell r="U317"/>
          <cell r="V317"/>
          <cell r="W317"/>
          <cell r="X317"/>
          <cell r="Y317">
            <v>803.12822100000005</v>
          </cell>
          <cell r="Z317"/>
          <cell r="AA317"/>
          <cell r="AB317"/>
          <cell r="AC317"/>
          <cell r="AD317">
            <v>806.97880099999998</v>
          </cell>
          <cell r="AE317"/>
          <cell r="AF317"/>
          <cell r="AG317"/>
          <cell r="AH317"/>
          <cell r="AI317">
            <v>809.69863100000009</v>
          </cell>
          <cell r="AJ317"/>
          <cell r="AK317"/>
          <cell r="AL317"/>
          <cell r="AM317"/>
          <cell r="AN317">
            <v>810.69333900000004</v>
          </cell>
          <cell r="AO317"/>
          <cell r="AP317"/>
          <cell r="AQ317"/>
          <cell r="AR317"/>
          <cell r="AS317">
            <v>812.5072879999999</v>
          </cell>
          <cell r="AT317"/>
          <cell r="AU317"/>
          <cell r="AV317"/>
          <cell r="AW317"/>
          <cell r="AX317">
            <v>819.37826399999994</v>
          </cell>
          <cell r="AY317"/>
          <cell r="AZ317"/>
          <cell r="BA317"/>
          <cell r="BB317"/>
          <cell r="BC317">
            <v>792.46686199999999</v>
          </cell>
          <cell r="BD317"/>
          <cell r="BE317"/>
          <cell r="BF317"/>
          <cell r="BG317"/>
          <cell r="BH317">
            <v>782.96238500000004</v>
          </cell>
          <cell r="BI317"/>
          <cell r="BJ317"/>
          <cell r="BK317"/>
          <cell r="BL317"/>
          <cell r="BM317">
            <v>785.62109900000007</v>
          </cell>
          <cell r="BN317"/>
          <cell r="BO317"/>
          <cell r="BP317"/>
          <cell r="BQ317"/>
          <cell r="BR317">
            <v>773.79883700000005</v>
          </cell>
          <cell r="BS317"/>
          <cell r="BT317"/>
          <cell r="BU317"/>
          <cell r="BV317"/>
          <cell r="BW317">
            <v>773.77270200000009</v>
          </cell>
          <cell r="BX317"/>
          <cell r="BY317"/>
          <cell r="BZ317"/>
          <cell r="CA317"/>
          <cell r="CB317">
            <v>775.16794100000004</v>
          </cell>
          <cell r="CC317"/>
          <cell r="CD317"/>
          <cell r="CE317"/>
          <cell r="CF317"/>
          <cell r="CG317">
            <v>777.03985799999998</v>
          </cell>
          <cell r="CH317"/>
          <cell r="CI317"/>
          <cell r="CJ317"/>
          <cell r="CK317"/>
          <cell r="CL317">
            <v>777.03985799999998</v>
          </cell>
          <cell r="CM317"/>
          <cell r="CN317"/>
          <cell r="CO317"/>
          <cell r="CP317"/>
          <cell r="CQ317">
            <v>777.03985799999998</v>
          </cell>
          <cell r="CR317"/>
          <cell r="CS317"/>
          <cell r="CT317"/>
          <cell r="CU317"/>
          <cell r="CV317">
            <v>777.03985799999998</v>
          </cell>
          <cell r="CW317">
            <v>777.03985799999998</v>
          </cell>
          <cell r="CX317">
            <v>738.18786509999995</v>
          </cell>
          <cell r="CY317">
            <v>699.33587220000004</v>
          </cell>
        </row>
        <row r="318">
          <cell r="A318" t="str">
            <v>Additional Income Statement Items</v>
          </cell>
          <cell r="B318"/>
          <cell r="C318"/>
          <cell r="D318"/>
        </row>
        <row r="319">
          <cell r="B319" t="str">
            <v>Organic net income (excl. acquisitions)</v>
          </cell>
          <cell r="C319" t="str">
            <v>ORG_NI</v>
          </cell>
          <cell r="D319" t="str">
            <v>EUR</v>
          </cell>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cell r="AP319"/>
          <cell r="AQ319"/>
          <cell r="AR319"/>
          <cell r="AS319"/>
          <cell r="AT319"/>
          <cell r="AU319"/>
          <cell r="AV319"/>
          <cell r="AW319"/>
          <cell r="AX319"/>
          <cell r="AY319"/>
          <cell r="AZ319"/>
          <cell r="BA319"/>
          <cell r="BB319"/>
          <cell r="BC319"/>
          <cell r="BD319"/>
          <cell r="BE319"/>
          <cell r="BF319"/>
          <cell r="BG319"/>
          <cell r="BH319"/>
          <cell r="BI319"/>
          <cell r="BJ319"/>
          <cell r="BK319"/>
          <cell r="BL319"/>
          <cell r="BM319"/>
          <cell r="BN319"/>
          <cell r="BO319"/>
          <cell r="BP319"/>
          <cell r="BQ319"/>
          <cell r="BR319"/>
          <cell r="BS319"/>
          <cell r="BT319"/>
          <cell r="BU319"/>
          <cell r="BV319"/>
          <cell r="BW319"/>
          <cell r="BX319"/>
          <cell r="BY319"/>
          <cell r="BZ319"/>
          <cell r="CA319"/>
          <cell r="CB319"/>
          <cell r="CC319"/>
          <cell r="CD319"/>
          <cell r="CE319"/>
          <cell r="CF319"/>
          <cell r="CG319"/>
          <cell r="CH319"/>
          <cell r="CI319"/>
          <cell r="CJ319"/>
          <cell r="CK319"/>
          <cell r="CL319"/>
          <cell r="CM319"/>
          <cell r="CN319"/>
          <cell r="CO319"/>
          <cell r="CP319"/>
          <cell r="CQ319"/>
          <cell r="CR319"/>
          <cell r="CS319"/>
          <cell r="CT319"/>
          <cell r="CU319"/>
          <cell r="CV319"/>
          <cell r="CW319"/>
          <cell r="CX319"/>
          <cell r="CY319"/>
        </row>
        <row r="320">
          <cell r="B320" t="str">
            <v>Organic EPS (excl. acquisitions)</v>
          </cell>
          <cell r="C320" t="str">
            <v>ORG_EPS</v>
          </cell>
          <cell r="D320" t="str">
            <v>EUR</v>
          </cell>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cell r="AP320"/>
          <cell r="AQ320"/>
          <cell r="AR320"/>
          <cell r="AS320"/>
          <cell r="AT320"/>
          <cell r="AU320"/>
          <cell r="AV320"/>
          <cell r="AW320"/>
          <cell r="AX320"/>
          <cell r="AY320"/>
          <cell r="AZ320"/>
          <cell r="BA320"/>
          <cell r="BB320"/>
          <cell r="BC320"/>
          <cell r="BD320"/>
          <cell r="BE320"/>
          <cell r="BF320"/>
          <cell r="BG320"/>
          <cell r="BH320"/>
          <cell r="BI320"/>
          <cell r="BJ320"/>
          <cell r="BK320"/>
          <cell r="BL320"/>
          <cell r="BM320"/>
          <cell r="BN320"/>
          <cell r="BO320"/>
          <cell r="BP320"/>
          <cell r="BQ320"/>
          <cell r="BR320"/>
          <cell r="BS320"/>
          <cell r="BT320"/>
          <cell r="BU320"/>
          <cell r="BV320"/>
          <cell r="BW320"/>
          <cell r="BX320"/>
          <cell r="BY320"/>
          <cell r="BZ320"/>
          <cell r="CA320"/>
          <cell r="CB320"/>
          <cell r="CC320"/>
          <cell r="CD320"/>
          <cell r="CE320"/>
          <cell r="CF320"/>
          <cell r="CG320"/>
          <cell r="CH320"/>
          <cell r="CI320"/>
          <cell r="CJ320"/>
          <cell r="CK320"/>
          <cell r="CL320"/>
          <cell r="CM320"/>
          <cell r="CN320"/>
          <cell r="CO320"/>
          <cell r="CP320"/>
          <cell r="CQ320"/>
          <cell r="CR320"/>
          <cell r="CS320"/>
          <cell r="CT320"/>
          <cell r="CU320"/>
          <cell r="CV320"/>
          <cell r="CW320"/>
          <cell r="CX320"/>
          <cell r="CY320"/>
        </row>
        <row r="321">
          <cell r="B321" t="str">
            <v>Marginal tax rate</v>
          </cell>
          <cell r="C321" t="str">
            <v>MARGIN_TAX_RATE</v>
          </cell>
          <cell r="F321">
            <v>0.36</v>
          </cell>
          <cell r="G321">
            <v>0.54366382140512148</v>
          </cell>
          <cell r="H321">
            <v>0.39604685212298685</v>
          </cell>
          <cell r="I321">
            <v>0.37432795698924731</v>
          </cell>
          <cell r="J321">
            <v>0.35099337748344372</v>
          </cell>
          <cell r="K321"/>
          <cell r="L321"/>
          <cell r="M321"/>
          <cell r="N321"/>
          <cell r="O321">
            <v>0.32598130841121498</v>
          </cell>
          <cell r="P321"/>
          <cell r="Q321"/>
          <cell r="R321"/>
          <cell r="S321"/>
          <cell r="T321">
            <v>1.8115942028985508E-2</v>
          </cell>
          <cell r="U321"/>
          <cell r="V321"/>
          <cell r="W321"/>
          <cell r="X321"/>
          <cell r="Y321">
            <v>9.0719499478623566E-2</v>
          </cell>
          <cell r="Z321"/>
          <cell r="AA321"/>
          <cell r="AB321"/>
          <cell r="AC321"/>
          <cell r="AD321">
            <v>0.25192442267319803</v>
          </cell>
          <cell r="AE321"/>
          <cell r="AF321"/>
          <cell r="AG321"/>
          <cell r="AH321"/>
          <cell r="AI321">
            <v>0.13046272493573266</v>
          </cell>
          <cell r="AJ321"/>
          <cell r="AK321"/>
          <cell r="AL321"/>
          <cell r="AM321"/>
          <cell r="AN321">
            <v>0.29817007534983853</v>
          </cell>
          <cell r="AO321"/>
          <cell r="AP321"/>
          <cell r="AQ321"/>
          <cell r="AR321"/>
          <cell r="AS321">
            <v>0.25346534653465347</v>
          </cell>
          <cell r="AT321"/>
          <cell r="AU321"/>
          <cell r="AV321"/>
          <cell r="AW321"/>
          <cell r="AX321">
            <v>0.27651060424169666</v>
          </cell>
          <cell r="AY321"/>
          <cell r="AZ321"/>
          <cell r="BA321"/>
          <cell r="BB321"/>
          <cell r="BC321">
            <v>0.26935588809368899</v>
          </cell>
          <cell r="BD321"/>
          <cell r="BE321"/>
          <cell r="BF321"/>
          <cell r="BG321"/>
          <cell r="BH321">
            <v>0.27225130890052357</v>
          </cell>
          <cell r="BI321"/>
          <cell r="BJ321"/>
          <cell r="BK321"/>
          <cell r="BL321"/>
          <cell r="BM321">
            <v>0.26808626808626806</v>
          </cell>
          <cell r="BN321"/>
          <cell r="BO321"/>
          <cell r="BP321"/>
          <cell r="BQ321"/>
          <cell r="BR321">
            <v>0.28990318118948827</v>
          </cell>
          <cell r="BS321"/>
          <cell r="BT321"/>
          <cell r="BU321"/>
          <cell r="BV321"/>
          <cell r="BW321">
            <v>0.26501035196687373</v>
          </cell>
          <cell r="BX321"/>
          <cell r="BY321"/>
          <cell r="BZ321"/>
          <cell r="CA321"/>
          <cell r="CB321">
            <v>0.22741877900749732</v>
          </cell>
          <cell r="CC321"/>
          <cell r="CD321"/>
          <cell r="CE321"/>
          <cell r="CF321"/>
          <cell r="CG321">
            <v>0.34952450621799563</v>
          </cell>
          <cell r="CH321"/>
          <cell r="CI321"/>
          <cell r="CJ321"/>
          <cell r="CK321"/>
          <cell r="CL321">
            <v>0.28000000000000003</v>
          </cell>
          <cell r="CM321"/>
          <cell r="CN321"/>
          <cell r="CO321"/>
          <cell r="CP321"/>
          <cell r="CQ321">
            <v>0.28000000000000003</v>
          </cell>
          <cell r="CR321"/>
          <cell r="CS321"/>
          <cell r="CT321"/>
          <cell r="CU321"/>
          <cell r="CV321">
            <v>0.28000000000000003</v>
          </cell>
          <cell r="CW321">
            <v>0.28000000000000003</v>
          </cell>
          <cell r="CX321">
            <v>0.27999999999999997</v>
          </cell>
          <cell r="CY321">
            <v>0.28000000000000003</v>
          </cell>
        </row>
        <row r="322">
          <cell r="A322" t="str">
            <v>Balance Sheet</v>
          </cell>
          <cell r="B322"/>
          <cell r="C322"/>
          <cell r="D322"/>
        </row>
        <row r="323">
          <cell r="B323" t="str">
            <v>BVPS, book value per share</v>
          </cell>
          <cell r="C323" t="str">
            <v>BVPS</v>
          </cell>
          <cell r="D323" t="str">
            <v>EUR</v>
          </cell>
          <cell r="F323">
            <v>12.698882038866888</v>
          </cell>
          <cell r="G323">
            <v>12.206250999219192</v>
          </cell>
          <cell r="H323">
            <v>15.937185142273556</v>
          </cell>
          <cell r="I323">
            <v>20.162124807939811</v>
          </cell>
          <cell r="J323">
            <v>21.228183051609257</v>
          </cell>
          <cell r="K323"/>
          <cell r="L323"/>
          <cell r="M323"/>
          <cell r="N323"/>
          <cell r="O323">
            <v>17.219048930783995</v>
          </cell>
          <cell r="P323"/>
          <cell r="Q323"/>
          <cell r="R323"/>
          <cell r="S323"/>
          <cell r="T323">
            <v>16.261236255562469</v>
          </cell>
          <cell r="U323"/>
          <cell r="V323"/>
          <cell r="W323"/>
          <cell r="X323"/>
          <cell r="Y323">
            <v>16.298767317255059</v>
          </cell>
          <cell r="Z323"/>
          <cell r="AA323"/>
          <cell r="AB323"/>
          <cell r="AC323"/>
          <cell r="AD323">
            <v>13.658351354882742</v>
          </cell>
          <cell r="AE323"/>
          <cell r="AF323"/>
          <cell r="AG323"/>
          <cell r="AH323"/>
          <cell r="AI323">
            <v>13.011013723697403</v>
          </cell>
          <cell r="AJ323"/>
          <cell r="AK323"/>
          <cell r="AL323"/>
          <cell r="AM323"/>
          <cell r="AN323">
            <v>10.905480006663778</v>
          </cell>
          <cell r="AO323"/>
          <cell r="AP323"/>
          <cell r="AQ323"/>
          <cell r="AR323"/>
          <cell r="AS323">
            <v>10.892209990859801</v>
          </cell>
          <cell r="AT323"/>
          <cell r="AU323"/>
          <cell r="AV323"/>
          <cell r="AW323"/>
          <cell r="AX323">
            <v>12.69621181945339</v>
          </cell>
          <cell r="AY323"/>
          <cell r="AZ323"/>
          <cell r="BA323"/>
          <cell r="BB323"/>
          <cell r="BC323">
            <v>13.894587304522521</v>
          </cell>
          <cell r="BD323"/>
          <cell r="BE323"/>
          <cell r="BF323"/>
          <cell r="BG323"/>
          <cell r="BH323">
            <v>9.0183131849941933</v>
          </cell>
          <cell r="BI323"/>
          <cell r="BJ323"/>
          <cell r="BK323"/>
          <cell r="BL323"/>
          <cell r="BM323">
            <v>7.5939915661557347</v>
          </cell>
          <cell r="BN323"/>
          <cell r="BO323"/>
          <cell r="BP323"/>
          <cell r="BQ323"/>
          <cell r="BR323">
            <v>4.7260345003594262</v>
          </cell>
          <cell r="BS323"/>
          <cell r="BT323"/>
          <cell r="BU323"/>
          <cell r="BV323"/>
          <cell r="BW323">
            <v>17.250543945914494</v>
          </cell>
          <cell r="BX323"/>
          <cell r="BY323"/>
          <cell r="BZ323"/>
          <cell r="CA323"/>
          <cell r="CB323">
            <v>12.544378431666848</v>
          </cell>
          <cell r="CC323"/>
          <cell r="CD323"/>
          <cell r="CE323"/>
          <cell r="CF323"/>
          <cell r="CG323">
            <v>7.6894382424331189</v>
          </cell>
          <cell r="CH323"/>
          <cell r="CI323"/>
          <cell r="CJ323"/>
          <cell r="CK323"/>
          <cell r="CL323">
            <v>9.4302231027057495</v>
          </cell>
          <cell r="CM323"/>
          <cell r="CN323"/>
          <cell r="CO323"/>
          <cell r="CP323"/>
          <cell r="CQ323">
            <v>12.203540006866897</v>
          </cell>
          <cell r="CR323"/>
          <cell r="CS323"/>
          <cell r="CT323"/>
          <cell r="CU323"/>
          <cell r="CV323">
            <v>16.915821389800097</v>
          </cell>
          <cell r="CW323">
            <v>20.911453868847623</v>
          </cell>
          <cell r="CX323">
            <v>22.486768204276601</v>
          </cell>
          <cell r="CY323">
            <v>26.17020865835692</v>
          </cell>
        </row>
        <row r="324">
          <cell r="A324" t="str">
            <v>Cash Flow Statement</v>
          </cell>
          <cell r="B324"/>
          <cell r="C324"/>
          <cell r="D324"/>
        </row>
        <row r="325">
          <cell r="B325" t="str">
            <v>Net income (pre-preferred dividends)</v>
          </cell>
          <cell r="C325" t="str">
            <v>CF_NI_PRE_PREF</v>
          </cell>
          <cell r="D325" t="str">
            <v>EUR</v>
          </cell>
          <cell r="F325">
            <v>179</v>
          </cell>
          <cell r="G325">
            <v>809</v>
          </cell>
          <cell r="H325">
            <v>696</v>
          </cell>
          <cell r="I325">
            <v>769</v>
          </cell>
          <cell r="J325">
            <v>1152</v>
          </cell>
          <cell r="K325"/>
          <cell r="L325"/>
          <cell r="M325"/>
          <cell r="N325"/>
          <cell r="O325">
            <v>1769</v>
          </cell>
          <cell r="P325"/>
          <cell r="Q325"/>
          <cell r="R325"/>
          <cell r="S325"/>
          <cell r="T325">
            <v>3356</v>
          </cell>
          <cell r="U325"/>
          <cell r="V325"/>
          <cell r="W325"/>
          <cell r="X325"/>
          <cell r="Y325">
            <v>3129</v>
          </cell>
          <cell r="Z325"/>
          <cell r="AA325"/>
          <cell r="AB325"/>
          <cell r="AC325"/>
          <cell r="AD325">
            <v>2113</v>
          </cell>
          <cell r="AE325"/>
          <cell r="AF325"/>
          <cell r="AG325"/>
          <cell r="AH325"/>
          <cell r="AI325">
            <v>1748</v>
          </cell>
          <cell r="AJ325"/>
          <cell r="AK325"/>
          <cell r="AL325"/>
          <cell r="AM325"/>
          <cell r="AN325">
            <v>674</v>
          </cell>
          <cell r="AO325"/>
          <cell r="AP325"/>
          <cell r="AQ325"/>
          <cell r="AR325"/>
          <cell r="AS325">
            <v>1186</v>
          </cell>
          <cell r="AT325"/>
          <cell r="AU325"/>
          <cell r="AV325"/>
          <cell r="AW325"/>
          <cell r="AX325">
            <v>1819</v>
          </cell>
          <cell r="AY325"/>
          <cell r="AZ325"/>
          <cell r="BA325"/>
          <cell r="BB325"/>
          <cell r="BC325">
            <v>2106</v>
          </cell>
          <cell r="BD325"/>
          <cell r="BE325"/>
          <cell r="BF325"/>
          <cell r="BG325"/>
          <cell r="BH325">
            <v>2293</v>
          </cell>
          <cell r="BI325"/>
          <cell r="BJ325"/>
          <cell r="BK325"/>
          <cell r="BL325"/>
          <cell r="BM325">
            <v>2461</v>
          </cell>
          <cell r="BN325"/>
          <cell r="BO325"/>
          <cell r="BP325"/>
          <cell r="BQ325"/>
          <cell r="BR325">
            <v>1935</v>
          </cell>
          <cell r="BS325"/>
          <cell r="BT325"/>
          <cell r="BU325"/>
          <cell r="BV325"/>
          <cell r="BW325">
            <v>4374</v>
          </cell>
          <cell r="BX325"/>
          <cell r="BY325"/>
          <cell r="BZ325"/>
          <cell r="CA325"/>
          <cell r="CB325">
            <v>3840</v>
          </cell>
          <cell r="CC325"/>
          <cell r="CD325"/>
          <cell r="CE325"/>
          <cell r="CF325"/>
          <cell r="CG325">
            <v>4245</v>
          </cell>
          <cell r="CH325"/>
          <cell r="CI325"/>
          <cell r="CJ325"/>
          <cell r="CK325"/>
          <cell r="CL325">
            <v>1352.659220634795</v>
          </cell>
          <cell r="CM325"/>
          <cell r="CN325"/>
          <cell r="CO325"/>
          <cell r="CP325"/>
          <cell r="CQ325">
            <v>3337.0935390983764</v>
          </cell>
          <cell r="CR325"/>
          <cell r="CS325"/>
          <cell r="CT325"/>
          <cell r="CU325"/>
          <cell r="CV325">
            <v>4512.7585183799702</v>
          </cell>
          <cell r="CW325">
            <v>5203.6449533292616</v>
          </cell>
          <cell r="CX325">
            <v>5570.6820892219948</v>
          </cell>
          <cell r="CY325">
            <v>7081.3061490607333</v>
          </cell>
        </row>
        <row r="326">
          <cell r="A326" t="str">
            <v>Other Items</v>
          </cell>
          <cell r="B326"/>
          <cell r="C326"/>
          <cell r="D326"/>
        </row>
        <row r="327">
          <cell r="B327" t="str">
            <v>Beta</v>
          </cell>
          <cell r="C327" t="str">
            <v>BETA_ANALYST</v>
          </cell>
          <cell r="E327"/>
        </row>
        <row r="328">
          <cell r="B328" t="str">
            <v>Market equity risk premium</v>
          </cell>
          <cell r="C328" t="str">
            <v>MKT_EQ_RISK_PREM</v>
          </cell>
          <cell r="E328"/>
        </row>
        <row r="329">
          <cell r="B329" t="str">
            <v>Risk-free rate</v>
          </cell>
          <cell r="C329" t="str">
            <v>RISK_FR_RATE</v>
          </cell>
          <cell r="E329"/>
        </row>
      </sheetData>
      <sheetData sheetId="5"/>
      <sheetData sheetId="6"/>
      <sheetData sheetId="7"/>
      <sheetData sheetId="8"/>
      <sheetData sheetId="9">
        <row r="67">
          <cell r="P67">
            <v>46264.913358339858</v>
          </cell>
        </row>
      </sheetData>
      <sheetData sheetId="10"/>
      <sheetData sheetId="11"/>
      <sheetData sheetId="12"/>
      <sheetData sheetId="13">
        <row r="104">
          <cell r="O104">
            <v>4</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SAND.ST"/>
      <sheetName val="SAND.ST_Live_Sheet"/>
      <sheetName val="SAND.ST_Validation_Sheet"/>
      <sheetName val="SAND.ST_Annotation_Sheet"/>
      <sheetName val="Cover Page"/>
      <sheetName val="Sandvik snapshot"/>
      <sheetName val="SAND.ST_Exchange_Sheet"/>
      <sheetName val="Core &gt;&gt;"/>
      <sheetName val="OpMod"/>
      <sheetName val="Interim"/>
      <sheetName val="Acq &amp; Disp"/>
      <sheetName val="SOTP"/>
      <sheetName val="Reverse SOTP"/>
      <sheetName val="10 Yr Val"/>
      <sheetName val="ROIC"/>
      <sheetName val="Normalization"/>
      <sheetName val="Analysis &gt;&gt;"/>
      <sheetName val="PPI"/>
      <sheetName val="New vs Old"/>
      <sheetName val="GS vs. consensus"/>
      <sheetName val="Charts"/>
      <sheetName val="Q Out NEW"/>
      <sheetName val="Output"/>
      <sheetName val="Mining scenario"/>
      <sheetName val="Bottom up"/>
      <sheetName val="Bridges"/>
      <sheetName val="Client tabs"/>
      <sheetName val="Sheet1"/>
    </sheetNames>
    <sheetDataSet>
      <sheetData sheetId="0"/>
      <sheetData sheetId="1">
        <row r="1">
          <cell r="A1" t="str">
            <v>Issuer: Sandvik</v>
          </cell>
          <cell r="C1">
            <v>414493439</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v>2006</v>
          </cell>
          <cell r="W1">
            <v>2007</v>
          </cell>
          <cell r="X1">
            <v>2008</v>
          </cell>
          <cell r="Y1">
            <v>2009</v>
          </cell>
          <cell r="Z1">
            <v>2010</v>
          </cell>
          <cell r="AA1">
            <v>2011</v>
          </cell>
          <cell r="AB1">
            <v>2012</v>
          </cell>
          <cell r="AC1">
            <v>2013</v>
          </cell>
          <cell r="AD1">
            <v>2014</v>
          </cell>
          <cell r="AE1">
            <v>2015</v>
          </cell>
          <cell r="AF1">
            <v>2016</v>
          </cell>
          <cell r="AG1">
            <v>2017</v>
          </cell>
          <cell r="AH1">
            <v>2018</v>
          </cell>
          <cell r="AI1">
            <v>2019</v>
          </cell>
          <cell r="AJ1">
            <v>2020</v>
          </cell>
          <cell r="AK1">
            <v>2021</v>
          </cell>
          <cell r="AL1">
            <v>2022</v>
          </cell>
          <cell r="AM1">
            <v>2023</v>
          </cell>
          <cell r="AN1">
            <v>2024</v>
          </cell>
          <cell r="AO1">
            <v>2025</v>
          </cell>
          <cell r="AP1">
            <v>2026</v>
          </cell>
          <cell r="AR1" t="str">
            <v>2004 Q1</v>
          </cell>
          <cell r="AS1" t="str">
            <v>2004 Q2</v>
          </cell>
          <cell r="AT1" t="str">
            <v>2004 Q3</v>
          </cell>
          <cell r="AU1" t="str">
            <v>2004 Q4</v>
          </cell>
          <cell r="AV1" t="str">
            <v>2005 Q1</v>
          </cell>
          <cell r="AW1" t="str">
            <v>2005 Q2</v>
          </cell>
          <cell r="AX1" t="str">
            <v>2005 Q3</v>
          </cell>
          <cell r="AY1" t="str">
            <v>2005 Q4</v>
          </cell>
          <cell r="AZ1" t="str">
            <v>2006 Q1</v>
          </cell>
          <cell r="BA1" t="str">
            <v>2006 Q2</v>
          </cell>
          <cell r="BB1" t="str">
            <v>2006 Q3</v>
          </cell>
          <cell r="BC1" t="str">
            <v>2006 Q4</v>
          </cell>
          <cell r="BD1" t="str">
            <v>2007 Q1</v>
          </cell>
          <cell r="BE1" t="str">
            <v>2007 Q2</v>
          </cell>
          <cell r="BF1" t="str">
            <v>2007 Q3</v>
          </cell>
          <cell r="BG1" t="str">
            <v>2007 Q4</v>
          </cell>
          <cell r="BH1" t="str">
            <v>2008 Q1</v>
          </cell>
          <cell r="BI1" t="str">
            <v>2008 Q2</v>
          </cell>
          <cell r="BJ1" t="str">
            <v>2008 Q3</v>
          </cell>
          <cell r="BK1" t="str">
            <v>2008 Q4</v>
          </cell>
          <cell r="BL1" t="str">
            <v>2009 Q1</v>
          </cell>
          <cell r="BM1" t="str">
            <v>2009 Q2</v>
          </cell>
          <cell r="BN1" t="str">
            <v>2009 Q3</v>
          </cell>
          <cell r="BO1" t="str">
            <v>2009 Q4</v>
          </cell>
          <cell r="BP1" t="str">
            <v>2010 Q1</v>
          </cell>
          <cell r="BQ1" t="str">
            <v>2010 Q2</v>
          </cell>
          <cell r="BR1" t="str">
            <v>2010 Q3</v>
          </cell>
          <cell r="BS1" t="str">
            <v>2010 Q4</v>
          </cell>
          <cell r="BT1" t="str">
            <v>2011 Q1</v>
          </cell>
          <cell r="BU1" t="str">
            <v>2011 Q2</v>
          </cell>
          <cell r="BV1" t="str">
            <v>2011 Q3</v>
          </cell>
          <cell r="BW1" t="str">
            <v>2011 Q4</v>
          </cell>
          <cell r="BX1" t="str">
            <v>2012 Q1</v>
          </cell>
          <cell r="BY1" t="str">
            <v>2012 Q2</v>
          </cell>
          <cell r="BZ1" t="str">
            <v>2012 Q3</v>
          </cell>
          <cell r="CA1" t="str">
            <v>2012 Q4</v>
          </cell>
          <cell r="CB1" t="str">
            <v>2013 Q1</v>
          </cell>
          <cell r="CC1" t="str">
            <v>2013 Q2</v>
          </cell>
          <cell r="CD1" t="str">
            <v>2013 Q3</v>
          </cell>
          <cell r="CE1" t="str">
            <v>2013 Q4</v>
          </cell>
          <cell r="CF1" t="str">
            <v>2014 Q1</v>
          </cell>
          <cell r="CG1" t="str">
            <v>2014 Q2</v>
          </cell>
          <cell r="CH1" t="str">
            <v>2014 Q3</v>
          </cell>
          <cell r="CI1" t="str">
            <v>2014 Q4</v>
          </cell>
          <cell r="CJ1" t="str">
            <v>2015 Q1</v>
          </cell>
          <cell r="CK1" t="str">
            <v>2015 Q2</v>
          </cell>
          <cell r="CL1" t="str">
            <v>2015 Q3</v>
          </cell>
          <cell r="CM1" t="str">
            <v>2015 Q4</v>
          </cell>
          <cell r="CN1" t="str">
            <v>2016 Q1</v>
          </cell>
          <cell r="CO1" t="str">
            <v>2016 Q2</v>
          </cell>
          <cell r="CP1" t="str">
            <v>2016 Q3</v>
          </cell>
          <cell r="CQ1" t="str">
            <v>2016 Q4</v>
          </cell>
          <cell r="CR1" t="str">
            <v>2017 Q1</v>
          </cell>
          <cell r="CS1" t="str">
            <v>2017 Q2</v>
          </cell>
          <cell r="CT1" t="str">
            <v>2017 Q3</v>
          </cell>
          <cell r="CU1" t="str">
            <v>2017 Q4</v>
          </cell>
          <cell r="CV1" t="str">
            <v>2018 Q1</v>
          </cell>
          <cell r="CW1" t="str">
            <v>2018 Q2</v>
          </cell>
          <cell r="CX1" t="str">
            <v>2018 Q3</v>
          </cell>
          <cell r="CY1" t="str">
            <v>2018 Q4</v>
          </cell>
          <cell r="CZ1" t="str">
            <v>2019 Q1</v>
          </cell>
          <cell r="DA1" t="str">
            <v>2019 Q2</v>
          </cell>
          <cell r="DB1" t="str">
            <v>2019 Q3</v>
          </cell>
          <cell r="DC1" t="str">
            <v>2019 Q4</v>
          </cell>
          <cell r="DD1" t="str">
            <v>2020 Q1</v>
          </cell>
          <cell r="DE1" t="str">
            <v>2020 Q2</v>
          </cell>
          <cell r="DF1" t="str">
            <v>2020 Q3</v>
          </cell>
          <cell r="DG1" t="str">
            <v>2020 Q4</v>
          </cell>
          <cell r="DH1" t="str">
            <v>2021 Q1</v>
          </cell>
          <cell r="DI1" t="str">
            <v>2021 Q2</v>
          </cell>
          <cell r="DJ1" t="str">
            <v>2021 Q3</v>
          </cell>
          <cell r="DK1" t="str">
            <v>2021 Q4</v>
          </cell>
          <cell r="DL1" t="str">
            <v>2022 Q1</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Estimate</v>
          </cell>
          <cell r="AM2" t="str">
            <v>Estimate</v>
          </cell>
          <cell r="AN2" t="str">
            <v>Estimate</v>
          </cell>
          <cell r="AO2" t="str">
            <v>Estimate</v>
          </cell>
          <cell r="AP2" t="str">
            <v>Estimate</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Actual</v>
          </cell>
          <cell r="CJ2" t="str">
            <v>Actual</v>
          </cell>
          <cell r="CK2" t="str">
            <v>Actual</v>
          </cell>
          <cell r="CL2" t="str">
            <v>Actual</v>
          </cell>
          <cell r="CM2" t="str">
            <v>Actual</v>
          </cell>
          <cell r="CN2" t="str">
            <v>Actual</v>
          </cell>
          <cell r="CO2" t="str">
            <v>Actual</v>
          </cell>
          <cell r="CP2" t="str">
            <v>Actual</v>
          </cell>
          <cell r="CQ2" t="str">
            <v>Actual</v>
          </cell>
          <cell r="CR2" t="str">
            <v>Actual</v>
          </cell>
          <cell r="CS2" t="str">
            <v>Actual</v>
          </cell>
          <cell r="CT2" t="str">
            <v>Actual</v>
          </cell>
          <cell r="CU2" t="str">
            <v>Actual</v>
          </cell>
          <cell r="CV2" t="str">
            <v>Actual</v>
          </cell>
          <cell r="CW2" t="str">
            <v>Actual</v>
          </cell>
          <cell r="CX2" t="str">
            <v>Actual</v>
          </cell>
          <cell r="CY2" t="str">
            <v>Actual</v>
          </cell>
          <cell r="CZ2" t="str">
            <v>Actual</v>
          </cell>
          <cell r="DA2" t="str">
            <v>Actual</v>
          </cell>
          <cell r="DB2" t="str">
            <v>Actual</v>
          </cell>
          <cell r="DC2" t="str">
            <v>Actual</v>
          </cell>
          <cell r="DD2" t="str">
            <v>Actual</v>
          </cell>
          <cell r="DE2" t="str">
            <v>Actual</v>
          </cell>
          <cell r="DF2" t="str">
            <v>Actual</v>
          </cell>
          <cell r="DG2" t="str">
            <v>Actual</v>
          </cell>
          <cell r="DH2" t="str">
            <v>Actual</v>
          </cell>
          <cell r="DI2" t="str">
            <v>Actual</v>
          </cell>
          <cell r="DJ2" t="str">
            <v>Actual</v>
          </cell>
          <cell r="DK2" t="str">
            <v>Actual</v>
          </cell>
          <cell r="DL2" t="str">
            <v>Actual</v>
          </cell>
        </row>
        <row r="3">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38717</v>
          </cell>
          <cell r="V3">
            <v>39082</v>
          </cell>
          <cell r="W3">
            <v>39447</v>
          </cell>
          <cell r="X3">
            <v>39813</v>
          </cell>
          <cell r="Y3">
            <v>40178</v>
          </cell>
          <cell r="Z3">
            <v>40543</v>
          </cell>
          <cell r="AA3">
            <v>40908</v>
          </cell>
          <cell r="AB3">
            <v>41274</v>
          </cell>
          <cell r="AC3">
            <v>41639</v>
          </cell>
          <cell r="AD3">
            <v>42004</v>
          </cell>
          <cell r="AE3">
            <v>42369</v>
          </cell>
          <cell r="AF3">
            <v>42735</v>
          </cell>
          <cell r="AG3">
            <v>43100</v>
          </cell>
          <cell r="AH3">
            <v>43465</v>
          </cell>
          <cell r="AI3">
            <v>43830</v>
          </cell>
          <cell r="AJ3">
            <v>44196</v>
          </cell>
          <cell r="AK3">
            <v>44561</v>
          </cell>
          <cell r="AL3">
            <v>44926</v>
          </cell>
          <cell r="AM3">
            <v>45291</v>
          </cell>
          <cell r="AN3">
            <v>45657</v>
          </cell>
          <cell r="AO3">
            <v>46022</v>
          </cell>
          <cell r="AP3">
            <v>46387</v>
          </cell>
          <cell r="AR3">
            <v>38077</v>
          </cell>
          <cell r="AS3">
            <v>38168</v>
          </cell>
          <cell r="AT3">
            <v>38260</v>
          </cell>
          <cell r="AU3">
            <v>38352</v>
          </cell>
          <cell r="AV3">
            <v>38442</v>
          </cell>
          <cell r="AW3">
            <v>38533</v>
          </cell>
          <cell r="AX3">
            <v>38625</v>
          </cell>
          <cell r="AY3">
            <v>38717</v>
          </cell>
          <cell r="AZ3">
            <v>38807</v>
          </cell>
          <cell r="BA3">
            <v>38898</v>
          </cell>
          <cell r="BB3">
            <v>38990</v>
          </cell>
          <cell r="BC3">
            <v>39082</v>
          </cell>
          <cell r="BD3">
            <v>39172</v>
          </cell>
          <cell r="BE3">
            <v>39263</v>
          </cell>
          <cell r="BF3">
            <v>39355</v>
          </cell>
          <cell r="BG3">
            <v>39447</v>
          </cell>
          <cell r="BH3">
            <v>39538</v>
          </cell>
          <cell r="BI3">
            <v>39629</v>
          </cell>
          <cell r="BJ3">
            <v>39721</v>
          </cell>
          <cell r="BK3">
            <v>39813</v>
          </cell>
          <cell r="BL3">
            <v>39903</v>
          </cell>
          <cell r="BM3">
            <v>39994</v>
          </cell>
          <cell r="BN3">
            <v>40086</v>
          </cell>
          <cell r="BO3">
            <v>40178</v>
          </cell>
          <cell r="BP3">
            <v>40268</v>
          </cell>
          <cell r="BQ3">
            <v>40359</v>
          </cell>
          <cell r="BR3">
            <v>40451</v>
          </cell>
          <cell r="BS3">
            <v>40543</v>
          </cell>
          <cell r="BT3">
            <v>40633</v>
          </cell>
          <cell r="BU3">
            <v>40724</v>
          </cell>
          <cell r="BV3">
            <v>40816</v>
          </cell>
          <cell r="BW3">
            <v>40908</v>
          </cell>
          <cell r="BX3">
            <v>40999</v>
          </cell>
          <cell r="BY3">
            <v>41090</v>
          </cell>
          <cell r="BZ3">
            <v>41182</v>
          </cell>
          <cell r="CA3">
            <v>41274</v>
          </cell>
          <cell r="CB3">
            <v>41364</v>
          </cell>
          <cell r="CC3">
            <v>41455</v>
          </cell>
          <cell r="CD3">
            <v>41547</v>
          </cell>
          <cell r="CE3">
            <v>41639</v>
          </cell>
          <cell r="CF3">
            <v>41729</v>
          </cell>
          <cell r="CG3">
            <v>41820</v>
          </cell>
          <cell r="CH3">
            <v>41912</v>
          </cell>
          <cell r="CI3">
            <v>42004</v>
          </cell>
          <cell r="CJ3">
            <v>42094</v>
          </cell>
          <cell r="CK3">
            <v>42185</v>
          </cell>
          <cell r="CL3">
            <v>42277</v>
          </cell>
          <cell r="CM3">
            <v>42369</v>
          </cell>
          <cell r="CN3">
            <v>42460</v>
          </cell>
          <cell r="CO3">
            <v>42551</v>
          </cell>
          <cell r="CP3">
            <v>42643</v>
          </cell>
          <cell r="CQ3">
            <v>42735</v>
          </cell>
          <cell r="CR3">
            <v>42825</v>
          </cell>
          <cell r="CS3">
            <v>42916</v>
          </cell>
          <cell r="CT3">
            <v>43008</v>
          </cell>
          <cell r="CU3">
            <v>43100</v>
          </cell>
          <cell r="CV3">
            <v>43190</v>
          </cell>
          <cell r="CW3">
            <v>43281</v>
          </cell>
          <cell r="CX3">
            <v>43373</v>
          </cell>
          <cell r="CY3">
            <v>43465</v>
          </cell>
          <cell r="CZ3">
            <v>43555</v>
          </cell>
          <cell r="DA3">
            <v>43646</v>
          </cell>
          <cell r="DB3">
            <v>43738</v>
          </cell>
          <cell r="DC3">
            <v>43830</v>
          </cell>
          <cell r="DD3">
            <v>43921</v>
          </cell>
          <cell r="DE3">
            <v>44012</v>
          </cell>
          <cell r="DF3">
            <v>44104</v>
          </cell>
          <cell r="DG3">
            <v>44196</v>
          </cell>
          <cell r="DH3">
            <v>44286</v>
          </cell>
          <cell r="DI3">
            <v>44377</v>
          </cell>
          <cell r="DJ3">
            <v>44469</v>
          </cell>
          <cell r="DK3">
            <v>44561</v>
          </cell>
          <cell r="DL3">
            <v>44651</v>
          </cell>
        </row>
        <row r="4">
          <cell r="A4" t="str">
            <v>Issuer: Sandvik</v>
          </cell>
          <cell r="B4" t="str">
            <v>15Z639</v>
          </cell>
        </row>
        <row r="5">
          <cell r="A5" t="str">
            <v>Reference Data</v>
          </cell>
        </row>
        <row r="6">
          <cell r="B6" t="str">
            <v>Issuer Name</v>
          </cell>
          <cell r="C6" t="str">
            <v>Issuer Name</v>
          </cell>
          <cell r="E6" t="str">
            <v>Sandvik</v>
          </cell>
        </row>
        <row r="7">
          <cell r="B7" t="str">
            <v>Reporting Currency</v>
          </cell>
          <cell r="C7" t="str">
            <v>CURRENCY_ISO</v>
          </cell>
          <cell r="E7" t="str">
            <v>SEK</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D11" t="str">
            <v>SEK</v>
          </cell>
          <cell r="F11">
            <v>16629</v>
          </cell>
          <cell r="G11">
            <v>16940</v>
          </cell>
          <cell r="H11">
            <v>16008</v>
          </cell>
          <cell r="I11">
            <v>19407</v>
          </cell>
          <cell r="J11">
            <v>22698</v>
          </cell>
          <cell r="K11">
            <v>29700</v>
          </cell>
          <cell r="L11">
            <v>28265</v>
          </cell>
          <cell r="M11">
            <v>34119</v>
          </cell>
          <cell r="N11">
            <v>42400</v>
          </cell>
          <cell r="O11">
            <v>39300</v>
          </cell>
          <cell r="P11">
            <v>43750</v>
          </cell>
          <cell r="Q11">
            <v>48900</v>
          </cell>
          <cell r="R11">
            <v>48700</v>
          </cell>
          <cell r="S11">
            <v>48810</v>
          </cell>
          <cell r="T11">
            <v>54610</v>
          </cell>
          <cell r="U11">
            <v>63370</v>
          </cell>
          <cell r="V11">
            <v>72289</v>
          </cell>
          <cell r="W11">
            <v>86338</v>
          </cell>
          <cell r="X11">
            <v>92654</v>
          </cell>
          <cell r="Y11">
            <v>71937</v>
          </cell>
          <cell r="Z11">
            <v>82654</v>
          </cell>
          <cell r="AA11">
            <v>94084</v>
          </cell>
          <cell r="AB11">
            <v>98529</v>
          </cell>
          <cell r="AC11">
            <v>87328</v>
          </cell>
          <cell r="AD11">
            <v>88821</v>
          </cell>
          <cell r="AE11">
            <v>85845</v>
          </cell>
          <cell r="AF11">
            <v>81553</v>
          </cell>
          <cell r="AG11">
            <v>90905</v>
          </cell>
          <cell r="AH11">
            <v>100072</v>
          </cell>
          <cell r="AI11">
            <v>103238</v>
          </cell>
          <cell r="AJ11">
            <v>86404</v>
          </cell>
          <cell r="AK11">
            <v>99105</v>
          </cell>
          <cell r="AL11">
            <v>111143.28128539999</v>
          </cell>
          <cell r="AM11">
            <v>120645.670245264</v>
          </cell>
          <cell r="AN11">
            <v>130160.517830326</v>
          </cell>
          <cell r="AO11">
            <v>139495.48499683</v>
          </cell>
          <cell r="AP11">
            <v>147541.19114304299</v>
          </cell>
          <cell r="AR11">
            <v>12680</v>
          </cell>
          <cell r="AS11">
            <v>13980</v>
          </cell>
          <cell r="AT11">
            <v>13570</v>
          </cell>
          <cell r="AU11">
            <v>14380</v>
          </cell>
          <cell r="AV11">
            <v>14194</v>
          </cell>
          <cell r="AW11">
            <v>16150</v>
          </cell>
          <cell r="AX11">
            <v>15554</v>
          </cell>
          <cell r="AY11">
            <v>17473</v>
          </cell>
          <cell r="AZ11">
            <v>17481</v>
          </cell>
          <cell r="BA11">
            <v>17851</v>
          </cell>
          <cell r="BB11">
            <v>17587</v>
          </cell>
          <cell r="BC11">
            <v>19370</v>
          </cell>
          <cell r="BD11">
            <v>20409</v>
          </cell>
          <cell r="BE11">
            <v>22002</v>
          </cell>
          <cell r="BF11">
            <v>21216</v>
          </cell>
          <cell r="BG11">
            <v>22711</v>
          </cell>
          <cell r="BH11">
            <v>21990</v>
          </cell>
          <cell r="BI11">
            <v>24016</v>
          </cell>
          <cell r="BJ11">
            <v>22478</v>
          </cell>
          <cell r="BK11">
            <v>24171</v>
          </cell>
          <cell r="BL11">
            <v>19136</v>
          </cell>
          <cell r="BM11">
            <v>18011</v>
          </cell>
          <cell r="BN11">
            <v>16578</v>
          </cell>
          <cell r="BO11">
            <v>18211</v>
          </cell>
          <cell r="BP11">
            <v>18534</v>
          </cell>
          <cell r="BQ11">
            <v>20603</v>
          </cell>
          <cell r="BR11">
            <v>20241</v>
          </cell>
          <cell r="BS11">
            <v>23276</v>
          </cell>
          <cell r="BT11">
            <v>22030.002854806298</v>
          </cell>
          <cell r="BU11">
            <v>23421.483948991299</v>
          </cell>
          <cell r="BV11">
            <v>23528.099552305299</v>
          </cell>
          <cell r="BW11">
            <v>25104.469084739601</v>
          </cell>
          <cell r="BX11">
            <v>24838</v>
          </cell>
          <cell r="BY11">
            <v>25939</v>
          </cell>
          <cell r="BZ11">
            <v>23424</v>
          </cell>
          <cell r="CA11">
            <v>24328</v>
          </cell>
          <cell r="CB11">
            <v>22098</v>
          </cell>
          <cell r="CC11">
            <v>23043</v>
          </cell>
          <cell r="CD11">
            <v>20416</v>
          </cell>
          <cell r="CE11">
            <v>21770</v>
          </cell>
          <cell r="CF11">
            <v>19284</v>
          </cell>
          <cell r="CG11">
            <v>20632</v>
          </cell>
          <cell r="CH11">
            <v>20901</v>
          </cell>
          <cell r="CI11">
            <v>21699</v>
          </cell>
          <cell r="CJ11">
            <v>21955</v>
          </cell>
          <cell r="CK11">
            <v>22196</v>
          </cell>
          <cell r="CL11">
            <v>20741</v>
          </cell>
          <cell r="CM11">
            <v>20934</v>
          </cell>
          <cell r="CN11">
            <v>19695</v>
          </cell>
          <cell r="CO11">
            <v>20315</v>
          </cell>
          <cell r="CP11">
            <v>19708</v>
          </cell>
          <cell r="CQ11">
            <v>21814</v>
          </cell>
          <cell r="CR11">
            <v>21767</v>
          </cell>
          <cell r="CS11">
            <v>23552</v>
          </cell>
          <cell r="CT11">
            <v>21649</v>
          </cell>
          <cell r="CU11">
            <v>23936</v>
          </cell>
          <cell r="CV11">
            <v>23685</v>
          </cell>
          <cell r="CW11">
            <v>25717</v>
          </cell>
          <cell r="CX11">
            <v>23850</v>
          </cell>
          <cell r="CY11">
            <v>25502</v>
          </cell>
          <cell r="CZ11">
            <v>25026</v>
          </cell>
          <cell r="DA11">
            <v>26467</v>
          </cell>
          <cell r="DB11">
            <v>25163</v>
          </cell>
          <cell r="DC11">
            <v>26583</v>
          </cell>
          <cell r="DD11">
            <v>23620</v>
          </cell>
          <cell r="DE11">
            <v>20231</v>
          </cell>
          <cell r="DF11">
            <v>20146</v>
          </cell>
          <cell r="DG11">
            <v>22407</v>
          </cell>
          <cell r="DH11">
            <v>21693</v>
          </cell>
          <cell r="DI11">
            <v>23461</v>
          </cell>
          <cell r="DJ11">
            <v>24825</v>
          </cell>
          <cell r="DK11">
            <v>29126</v>
          </cell>
          <cell r="DL11">
            <v>24922</v>
          </cell>
        </row>
        <row r="12">
          <cell r="B12" t="str">
            <v>Cost of goods sold, COGS</v>
          </cell>
          <cell r="C12" t="str">
            <v>COST_GD_SD</v>
          </cell>
          <cell r="D12" t="str">
            <v>SEK</v>
          </cell>
          <cell r="F12">
            <v>0</v>
          </cell>
          <cell r="G12">
            <v>0</v>
          </cell>
          <cell r="H12">
            <v>0</v>
          </cell>
          <cell r="I12">
            <v>0</v>
          </cell>
          <cell r="J12">
            <v>0</v>
          </cell>
          <cell r="K12">
            <v>-23435</v>
          </cell>
          <cell r="L12">
            <v>-18255</v>
          </cell>
          <cell r="M12">
            <v>-21426</v>
          </cell>
          <cell r="N12">
            <v>-27217</v>
          </cell>
          <cell r="O12">
            <v>-27922</v>
          </cell>
          <cell r="P12">
            <v>-29154</v>
          </cell>
          <cell r="Q12">
            <v>-33288</v>
          </cell>
          <cell r="R12">
            <v>-33013</v>
          </cell>
          <cell r="S12">
            <v>-32457</v>
          </cell>
          <cell r="T12">
            <v>-35923</v>
          </cell>
          <cell r="U12">
            <v>-41631</v>
          </cell>
          <cell r="V12">
            <v>-46948</v>
          </cell>
          <cell r="W12">
            <v>-55857</v>
          </cell>
          <cell r="X12">
            <v>-60916</v>
          </cell>
          <cell r="Y12">
            <v>-49851</v>
          </cell>
          <cell r="Z12">
            <v>-52331</v>
          </cell>
          <cell r="AA12">
            <v>-54964</v>
          </cell>
          <cell r="AB12">
            <v>-61526</v>
          </cell>
          <cell r="AC12">
            <v>-54468</v>
          </cell>
          <cell r="AD12">
            <v>-57177.999995001803</v>
          </cell>
          <cell r="AE12">
            <v>-48584.2</v>
          </cell>
          <cell r="AF12">
            <v>-49866</v>
          </cell>
          <cell r="AG12">
            <v>-61143</v>
          </cell>
          <cell r="AH12">
            <v>-59145</v>
          </cell>
          <cell r="AI12">
            <v>-49989</v>
          </cell>
          <cell r="AJ12">
            <v>-47467</v>
          </cell>
          <cell r="AK12">
            <v>-61554.18</v>
          </cell>
          <cell r="AL12">
            <v>-62350.386447667697</v>
          </cell>
          <cell r="AM12">
            <v>-71399.206189546501</v>
          </cell>
          <cell r="AN12">
            <v>-78049.918361911798</v>
          </cell>
          <cell r="AO12">
            <v>-83946.430264394294</v>
          </cell>
          <cell r="AP12">
            <v>-89386.415032634395</v>
          </cell>
        </row>
        <row r="13">
          <cell r="B13" t="str">
            <v>SG&amp;A, selling, general and admin. expense</v>
          </cell>
          <cell r="C13" t="str">
            <v>SEL_GL_AD</v>
          </cell>
          <cell r="D13" t="str">
            <v>SEK</v>
          </cell>
          <cell r="F13">
            <v>0</v>
          </cell>
          <cell r="G13">
            <v>0</v>
          </cell>
          <cell r="H13">
            <v>0</v>
          </cell>
          <cell r="I13">
            <v>0</v>
          </cell>
          <cell r="J13">
            <v>0</v>
          </cell>
          <cell r="K13">
            <v>-1071</v>
          </cell>
          <cell r="L13">
            <v>-5974</v>
          </cell>
          <cell r="M13">
            <v>-6126</v>
          </cell>
          <cell r="N13">
            <v>-7685</v>
          </cell>
          <cell r="O13">
            <v>-7371</v>
          </cell>
          <cell r="P13">
            <v>-7734</v>
          </cell>
          <cell r="Q13">
            <v>-7897</v>
          </cell>
          <cell r="R13">
            <v>-8729</v>
          </cell>
          <cell r="S13">
            <v>-8820</v>
          </cell>
          <cell r="T13">
            <v>-10078</v>
          </cell>
          <cell r="U13">
            <v>-11001</v>
          </cell>
          <cell r="V13">
            <v>-11866</v>
          </cell>
          <cell r="W13">
            <v>-14476</v>
          </cell>
          <cell r="X13">
            <v>-16811</v>
          </cell>
          <cell r="Y13">
            <v>-16041</v>
          </cell>
          <cell r="Z13">
            <v>-16143</v>
          </cell>
          <cell r="AA13">
            <v>-19511</v>
          </cell>
          <cell r="AB13">
            <v>-18297</v>
          </cell>
          <cell r="AC13">
            <v>-17474</v>
          </cell>
          <cell r="AD13">
            <v>-18586</v>
          </cell>
          <cell r="AE13">
            <v>-20195</v>
          </cell>
          <cell r="AF13">
            <v>-17707</v>
          </cell>
          <cell r="AG13">
            <v>-18773</v>
          </cell>
          <cell r="AH13">
            <v>-19557</v>
          </cell>
          <cell r="AI13">
            <v>-21589</v>
          </cell>
          <cell r="AJ13">
            <v>-16214</v>
          </cell>
          <cell r="AK13">
            <v>-17711</v>
          </cell>
          <cell r="AL13">
            <v>-21000</v>
          </cell>
          <cell r="AM13">
            <v>-20473</v>
          </cell>
          <cell r="AN13">
            <v>-22088</v>
          </cell>
          <cell r="AO13">
            <v>-23672</v>
          </cell>
          <cell r="AP13">
            <v>-25037</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row>
        <row r="14">
          <cell r="B14" t="str">
            <v>Total operating expense</v>
          </cell>
          <cell r="C14" t="str">
            <v>OP_COST</v>
          </cell>
          <cell r="D14" t="str">
            <v>SEK</v>
          </cell>
          <cell r="F14">
            <v>0</v>
          </cell>
          <cell r="G14">
            <v>0</v>
          </cell>
          <cell r="H14">
            <v>0</v>
          </cell>
          <cell r="I14">
            <v>0</v>
          </cell>
          <cell r="J14">
            <v>0</v>
          </cell>
          <cell r="K14">
            <v>-24506</v>
          </cell>
          <cell r="L14">
            <v>-24229</v>
          </cell>
          <cell r="M14">
            <v>-27552</v>
          </cell>
          <cell r="N14">
            <v>-34902</v>
          </cell>
          <cell r="O14">
            <v>-35293</v>
          </cell>
          <cell r="P14">
            <v>-36888</v>
          </cell>
          <cell r="Q14">
            <v>-41185</v>
          </cell>
          <cell r="R14">
            <v>-41742</v>
          </cell>
          <cell r="S14">
            <v>-41277</v>
          </cell>
          <cell r="T14">
            <v>-46001</v>
          </cell>
          <cell r="U14">
            <v>-52632</v>
          </cell>
          <cell r="V14">
            <v>-58814</v>
          </cell>
          <cell r="W14">
            <v>-70333</v>
          </cell>
          <cell r="X14">
            <v>-77727</v>
          </cell>
          <cell r="Y14">
            <v>-65892</v>
          </cell>
          <cell r="Z14">
            <v>-68474</v>
          </cell>
          <cell r="AA14">
            <v>-74475</v>
          </cell>
          <cell r="AB14">
            <v>-79823</v>
          </cell>
          <cell r="AC14">
            <v>-71942</v>
          </cell>
          <cell r="AD14">
            <v>-75763.999995001795</v>
          </cell>
          <cell r="AE14">
            <v>-68779.199999999997</v>
          </cell>
          <cell r="AF14">
            <v>-67573</v>
          </cell>
          <cell r="AG14">
            <v>-79916</v>
          </cell>
          <cell r="AH14">
            <v>-78702</v>
          </cell>
          <cell r="AI14">
            <v>-71578</v>
          </cell>
          <cell r="AJ14">
            <v>-63681</v>
          </cell>
          <cell r="AK14">
            <v>-79265.179999999993</v>
          </cell>
          <cell r="AL14">
            <v>-83350.386447667697</v>
          </cell>
          <cell r="AM14">
            <v>-91872.206189546501</v>
          </cell>
          <cell r="AN14">
            <v>-100137.918361912</v>
          </cell>
          <cell r="AO14">
            <v>-107618.430264394</v>
          </cell>
          <cell r="AP14">
            <v>-114423.415032634</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row>
        <row r="15">
          <cell r="B15" t="str">
            <v>R&amp;D expense</v>
          </cell>
          <cell r="C15" t="str">
            <v>RD_EXP</v>
          </cell>
          <cell r="D15" t="str">
            <v>SEK</v>
          </cell>
          <cell r="F15">
            <v>0</v>
          </cell>
          <cell r="G15">
            <v>0</v>
          </cell>
          <cell r="H15">
            <v>0</v>
          </cell>
          <cell r="I15">
            <v>0</v>
          </cell>
          <cell r="J15">
            <v>0</v>
          </cell>
          <cell r="K15">
            <v>0</v>
          </cell>
          <cell r="L15">
            <v>0</v>
          </cell>
          <cell r="M15">
            <v>-985</v>
          </cell>
          <cell r="N15">
            <v>-1070</v>
          </cell>
          <cell r="O15">
            <v>-1114</v>
          </cell>
          <cell r="P15">
            <v>-1158</v>
          </cell>
          <cell r="Q15">
            <v>-1391</v>
          </cell>
          <cell r="R15">
            <v>-1444</v>
          </cell>
          <cell r="S15">
            <v>-1552</v>
          </cell>
          <cell r="T15">
            <v>-1294</v>
          </cell>
          <cell r="U15">
            <v>-1412</v>
          </cell>
          <cell r="V15">
            <v>-1583</v>
          </cell>
          <cell r="W15">
            <v>-1818</v>
          </cell>
          <cell r="X15">
            <v>-2014</v>
          </cell>
          <cell r="Y15">
            <v>-2007</v>
          </cell>
          <cell r="Z15">
            <v>-2106</v>
          </cell>
          <cell r="AA15">
            <v>-2421</v>
          </cell>
          <cell r="AB15">
            <v>-2572</v>
          </cell>
          <cell r="AC15">
            <v>-2661</v>
          </cell>
          <cell r="AD15">
            <v>-2629</v>
          </cell>
          <cell r="AE15">
            <v>-3001</v>
          </cell>
          <cell r="AF15">
            <v>-3075</v>
          </cell>
          <cell r="AG15">
            <v>-3163</v>
          </cell>
          <cell r="AH15">
            <v>-3535</v>
          </cell>
          <cell r="AI15">
            <v>-3674</v>
          </cell>
          <cell r="AJ15">
            <v>-3429</v>
          </cell>
          <cell r="AK15">
            <v>-3682</v>
          </cell>
          <cell r="AL15">
            <v>-4445.7312514159803</v>
          </cell>
          <cell r="AM15">
            <v>-4825.82680981057</v>
          </cell>
          <cell r="AN15">
            <v>-5206.4207132130496</v>
          </cell>
          <cell r="AO15">
            <v>-5579.8193998732104</v>
          </cell>
          <cell r="AP15">
            <v>-5901.6476457217204</v>
          </cell>
        </row>
        <row r="16">
          <cell r="B16" t="str">
            <v>Other operating income/(expense) (incl. leases)</v>
          </cell>
          <cell r="C16" t="str">
            <v>OTH_OP_INC_EXP</v>
          </cell>
          <cell r="D16" t="str">
            <v>SEK</v>
          </cell>
          <cell r="F16">
            <v>0</v>
          </cell>
          <cell r="G16">
            <v>0</v>
          </cell>
          <cell r="H16">
            <v>0</v>
          </cell>
          <cell r="I16">
            <v>0</v>
          </cell>
          <cell r="J16">
            <v>0</v>
          </cell>
          <cell r="K16">
            <v>0</v>
          </cell>
          <cell r="L16">
            <v>59</v>
          </cell>
          <cell r="M16">
            <v>-612</v>
          </cell>
          <cell r="N16">
            <v>-1033</v>
          </cell>
          <cell r="O16">
            <v>1532</v>
          </cell>
          <cell r="P16">
            <v>463</v>
          </cell>
          <cell r="Q16">
            <v>-46</v>
          </cell>
          <cell r="R16">
            <v>257</v>
          </cell>
          <cell r="S16">
            <v>-414</v>
          </cell>
          <cell r="T16">
            <v>263</v>
          </cell>
          <cell r="U16">
            <v>206</v>
          </cell>
          <cell r="V16">
            <v>176</v>
          </cell>
          <cell r="W16">
            <v>207</v>
          </cell>
          <cell r="X16">
            <v>181</v>
          </cell>
          <cell r="Y16">
            <v>-2940</v>
          </cell>
          <cell r="Z16">
            <v>-645</v>
          </cell>
          <cell r="AA16">
            <v>-3670</v>
          </cell>
          <cell r="AB16">
            <v>-1494</v>
          </cell>
          <cell r="AC16">
            <v>-1897</v>
          </cell>
          <cell r="AD16">
            <v>-300.00000249909999</v>
          </cell>
          <cell r="AE16">
            <v>-3470.4</v>
          </cell>
          <cell r="AF16">
            <v>113</v>
          </cell>
          <cell r="AG16">
            <v>6086</v>
          </cell>
          <cell r="AH16">
            <v>789</v>
          </cell>
          <cell r="AI16">
            <v>-8768</v>
          </cell>
          <cell r="AJ16">
            <v>-4731</v>
          </cell>
          <cell r="AK16">
            <v>516.57999999999799</v>
          </cell>
          <cell r="AL16">
            <v>-2343</v>
          </cell>
          <cell r="AM16">
            <v>-884</v>
          </cell>
          <cell r="AN16">
            <v>-200</v>
          </cell>
          <cell r="AO16">
            <v>-200</v>
          </cell>
          <cell r="AP16">
            <v>-200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row>
        <row r="17">
          <cell r="B17" t="str">
            <v>Total operating expense (incl. D&amp;A)</v>
          </cell>
          <cell r="C17" t="str">
            <v>TOT_OPS_EXP_DDA</v>
          </cell>
          <cell r="D17" t="str">
            <v>SEK</v>
          </cell>
          <cell r="F17">
            <v>0</v>
          </cell>
          <cell r="G17">
            <v>0</v>
          </cell>
          <cell r="H17">
            <v>0</v>
          </cell>
          <cell r="I17">
            <v>0</v>
          </cell>
          <cell r="J17">
            <v>0</v>
          </cell>
          <cell r="K17">
            <v>-24506</v>
          </cell>
          <cell r="L17">
            <v>-24170</v>
          </cell>
          <cell r="M17">
            <v>-29149</v>
          </cell>
          <cell r="N17">
            <v>-37005</v>
          </cell>
          <cell r="O17">
            <v>-34875</v>
          </cell>
          <cell r="P17">
            <v>-37583</v>
          </cell>
          <cell r="Q17">
            <v>-42622</v>
          </cell>
          <cell r="R17">
            <v>-42929</v>
          </cell>
          <cell r="S17">
            <v>-43243</v>
          </cell>
          <cell r="T17">
            <v>-47032</v>
          </cell>
          <cell r="U17">
            <v>-53838</v>
          </cell>
          <cell r="V17">
            <v>-60221</v>
          </cell>
          <cell r="W17">
            <v>-71944</v>
          </cell>
          <cell r="X17">
            <v>-79560</v>
          </cell>
          <cell r="Y17">
            <v>-70839</v>
          </cell>
          <cell r="Z17">
            <v>-71225</v>
          </cell>
          <cell r="AA17">
            <v>-80566</v>
          </cell>
          <cell r="AB17">
            <v>-83889</v>
          </cell>
          <cell r="AC17">
            <v>-76500</v>
          </cell>
          <cell r="AD17">
            <v>-78692.999997500898</v>
          </cell>
          <cell r="AE17">
            <v>-75250.600000000006</v>
          </cell>
          <cell r="AF17">
            <v>-70535</v>
          </cell>
          <cell r="AG17">
            <v>-76993</v>
          </cell>
          <cell r="AH17">
            <v>-81448</v>
          </cell>
          <cell r="AI17">
            <v>-84020</v>
          </cell>
          <cell r="AJ17">
            <v>-71841</v>
          </cell>
          <cell r="AK17">
            <v>-82430.600000000006</v>
          </cell>
          <cell r="AL17">
            <v>-90139.117699083596</v>
          </cell>
          <cell r="AM17">
            <v>-97582.032999357107</v>
          </cell>
          <cell r="AN17">
            <v>-105544.339075125</v>
          </cell>
          <cell r="AO17">
            <v>-113398.24966426801</v>
          </cell>
          <cell r="AP17">
            <v>-120525.062678356</v>
          </cell>
        </row>
        <row r="18">
          <cell r="B18" t="str">
            <v>Total operating expense (excl. D&amp;A)</v>
          </cell>
          <cell r="C18" t="str">
            <v>TOT_OPS_EXP</v>
          </cell>
          <cell r="D18" t="str">
            <v>SEK</v>
          </cell>
          <cell r="F18">
            <v>0</v>
          </cell>
          <cell r="G18">
            <v>0</v>
          </cell>
          <cell r="H18">
            <v>0</v>
          </cell>
          <cell r="I18">
            <v>0</v>
          </cell>
          <cell r="J18">
            <v>0</v>
          </cell>
          <cell r="K18">
            <v>-23435</v>
          </cell>
          <cell r="L18">
            <v>-23011</v>
          </cell>
          <cell r="M18">
            <v>-27663</v>
          </cell>
          <cell r="N18">
            <v>-34906</v>
          </cell>
          <cell r="O18">
            <v>-32602</v>
          </cell>
          <cell r="P18">
            <v>-35247</v>
          </cell>
          <cell r="Q18">
            <v>-40176</v>
          </cell>
          <cell r="R18">
            <v>-40233</v>
          </cell>
          <cell r="S18">
            <v>-39897</v>
          </cell>
          <cell r="T18">
            <v>-44453</v>
          </cell>
          <cell r="U18">
            <v>-51125</v>
          </cell>
          <cell r="V18">
            <v>-57245</v>
          </cell>
          <cell r="W18">
            <v>-68867</v>
          </cell>
          <cell r="X18">
            <v>-76079</v>
          </cell>
          <cell r="Y18">
            <v>-66790</v>
          </cell>
          <cell r="Z18">
            <v>-67243</v>
          </cell>
          <cell r="AA18">
            <v>-76698</v>
          </cell>
          <cell r="AB18">
            <v>-79567</v>
          </cell>
          <cell r="AC18">
            <v>-71810</v>
          </cell>
          <cell r="AD18">
            <v>-74547.999997500898</v>
          </cell>
          <cell r="AE18">
            <v>-69929.600000000006</v>
          </cell>
          <cell r="AF18">
            <v>-65820</v>
          </cell>
          <cell r="AG18">
            <v>-72057</v>
          </cell>
          <cell r="AH18">
            <v>-77040</v>
          </cell>
          <cell r="AI18">
            <v>-73943</v>
          </cell>
          <cell r="AJ18">
            <v>-65877</v>
          </cell>
          <cell r="AK18">
            <v>-76435.600000000006</v>
          </cell>
          <cell r="AL18">
            <v>-83158.416966475197</v>
          </cell>
          <cell r="AM18">
            <v>-91138.345377721096</v>
          </cell>
          <cell r="AN18">
            <v>-98592.463256755596</v>
          </cell>
          <cell r="AO18">
            <v>-105947.79306585999</v>
          </cell>
          <cell r="AP18">
            <v>-112644.884756371</v>
          </cell>
        </row>
        <row r="19">
          <cell r="B19" t="str">
            <v>EBITDA</v>
          </cell>
          <cell r="C19" t="str">
            <v>EBITDA_CALC</v>
          </cell>
          <cell r="D19" t="str">
            <v>SEK</v>
          </cell>
          <cell r="F19">
            <v>0</v>
          </cell>
          <cell r="G19">
            <v>0</v>
          </cell>
          <cell r="H19">
            <v>0</v>
          </cell>
          <cell r="I19">
            <v>0</v>
          </cell>
          <cell r="J19">
            <v>0</v>
          </cell>
          <cell r="K19">
            <v>6265</v>
          </cell>
          <cell r="L19">
            <v>5254</v>
          </cell>
          <cell r="M19">
            <v>6456</v>
          </cell>
          <cell r="N19">
            <v>7494</v>
          </cell>
          <cell r="O19">
            <v>6698</v>
          </cell>
          <cell r="P19">
            <v>8503</v>
          </cell>
          <cell r="Q19">
            <v>8724</v>
          </cell>
          <cell r="R19">
            <v>8467</v>
          </cell>
          <cell r="S19">
            <v>8913</v>
          </cell>
          <cell r="T19">
            <v>10157</v>
          </cell>
          <cell r="U19">
            <v>12245</v>
          </cell>
          <cell r="V19">
            <v>15044</v>
          </cell>
          <cell r="W19">
            <v>17471</v>
          </cell>
          <cell r="X19">
            <v>16575</v>
          </cell>
          <cell r="Y19">
            <v>5147</v>
          </cell>
          <cell r="Z19">
            <v>15411</v>
          </cell>
          <cell r="AA19">
            <v>17386</v>
          </cell>
          <cell r="AB19">
            <v>18962</v>
          </cell>
          <cell r="AC19">
            <v>15518</v>
          </cell>
          <cell r="AD19">
            <v>14273.0000024991</v>
          </cell>
          <cell r="AE19">
            <v>15915.4</v>
          </cell>
          <cell r="AF19">
            <v>15733</v>
          </cell>
          <cell r="AG19">
            <v>18848</v>
          </cell>
          <cell r="AH19">
            <v>23032</v>
          </cell>
          <cell r="AI19">
            <v>29295</v>
          </cell>
          <cell r="AJ19">
            <v>20527</v>
          </cell>
          <cell r="AK19">
            <v>22669.4</v>
          </cell>
          <cell r="AL19">
            <v>27984.864318924301</v>
          </cell>
          <cell r="AM19">
            <v>29507.324867543099</v>
          </cell>
          <cell r="AN19">
            <v>31568.0545735706</v>
          </cell>
          <cell r="AO19">
            <v>33547.691930970803</v>
          </cell>
          <cell r="AP19">
            <v>34896.3063866722</v>
          </cell>
        </row>
        <row r="20">
          <cell r="B20" t="str">
            <v>Depreciation</v>
          </cell>
          <cell r="C20" t="str">
            <v>DEPREC</v>
          </cell>
          <cell r="D20" t="str">
            <v>SEK</v>
          </cell>
          <cell r="F20">
            <v>0</v>
          </cell>
          <cell r="G20">
            <v>0</v>
          </cell>
          <cell r="H20">
            <v>0</v>
          </cell>
          <cell r="I20">
            <v>0</v>
          </cell>
          <cell r="J20">
            <v>0</v>
          </cell>
          <cell r="K20">
            <v>-1071</v>
          </cell>
          <cell r="L20">
            <v>-1159</v>
          </cell>
          <cell r="M20">
            <v>-1486</v>
          </cell>
          <cell r="N20">
            <v>-2099</v>
          </cell>
          <cell r="O20">
            <v>-2273</v>
          </cell>
          <cell r="P20">
            <v>-2336</v>
          </cell>
          <cell r="Q20">
            <v>-2446</v>
          </cell>
          <cell r="R20">
            <v>-2696</v>
          </cell>
          <cell r="S20">
            <v>-3346</v>
          </cell>
          <cell r="T20">
            <v>-2579</v>
          </cell>
          <cell r="U20">
            <v>-2713</v>
          </cell>
          <cell r="V20">
            <v>-2976</v>
          </cell>
          <cell r="W20">
            <v>-3077</v>
          </cell>
          <cell r="X20">
            <v>-3481</v>
          </cell>
          <cell r="Y20">
            <v>-4049</v>
          </cell>
          <cell r="Z20">
            <v>-3982</v>
          </cell>
          <cell r="AA20">
            <v>-3868</v>
          </cell>
          <cell r="AB20">
            <v>-4322</v>
          </cell>
          <cell r="AC20">
            <v>-4690</v>
          </cell>
          <cell r="AD20">
            <v>-4145</v>
          </cell>
          <cell r="AE20">
            <v>-5321</v>
          </cell>
          <cell r="AF20">
            <v>-4715</v>
          </cell>
          <cell r="AG20">
            <v>-4936</v>
          </cell>
          <cell r="AH20">
            <v>-4408</v>
          </cell>
          <cell r="AI20">
            <v>-10077</v>
          </cell>
          <cell r="AJ20">
            <v>-5964</v>
          </cell>
          <cell r="AK20">
            <v>-5995</v>
          </cell>
          <cell r="AL20">
            <v>-6980.7007326084104</v>
          </cell>
          <cell r="AM20">
            <v>-6443.6876216359697</v>
          </cell>
          <cell r="AN20">
            <v>-6951.8758183692298</v>
          </cell>
          <cell r="AO20">
            <v>-7450.45659840797</v>
          </cell>
          <cell r="AP20">
            <v>-7880.1779219853197</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row>
        <row r="21">
          <cell r="B21" t="str">
            <v>Amortization</v>
          </cell>
          <cell r="C21" t="str">
            <v>GOODWILL_AMORT</v>
          </cell>
          <cell r="D21" t="str">
            <v>SEK</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row>
        <row r="22">
          <cell r="B22" t="str">
            <v>EBIT, operating profit</v>
          </cell>
          <cell r="C22" t="str">
            <v>EBIT</v>
          </cell>
          <cell r="D22" t="str">
            <v>SEK</v>
          </cell>
          <cell r="F22">
            <v>0</v>
          </cell>
          <cell r="G22">
            <v>0</v>
          </cell>
          <cell r="H22">
            <v>0</v>
          </cell>
          <cell r="I22">
            <v>0</v>
          </cell>
          <cell r="J22">
            <v>0</v>
          </cell>
          <cell r="K22">
            <v>5194</v>
          </cell>
          <cell r="L22">
            <v>4095</v>
          </cell>
          <cell r="M22">
            <v>4970</v>
          </cell>
          <cell r="N22">
            <v>5395</v>
          </cell>
          <cell r="O22">
            <v>4425</v>
          </cell>
          <cell r="P22">
            <v>6167</v>
          </cell>
          <cell r="Q22">
            <v>6278</v>
          </cell>
          <cell r="R22">
            <v>5771</v>
          </cell>
          <cell r="S22">
            <v>5567</v>
          </cell>
          <cell r="T22">
            <v>7578</v>
          </cell>
          <cell r="U22">
            <v>9532</v>
          </cell>
          <cell r="V22">
            <v>12068</v>
          </cell>
          <cell r="W22">
            <v>14394</v>
          </cell>
          <cell r="X22">
            <v>13094</v>
          </cell>
          <cell r="Y22">
            <v>1098</v>
          </cell>
          <cell r="Z22">
            <v>11429</v>
          </cell>
          <cell r="AA22">
            <v>13518</v>
          </cell>
          <cell r="AB22">
            <v>14640</v>
          </cell>
          <cell r="AC22">
            <v>10828</v>
          </cell>
          <cell r="AD22">
            <v>10128.0000024991</v>
          </cell>
          <cell r="AE22">
            <v>10594.4</v>
          </cell>
          <cell r="AF22">
            <v>11018</v>
          </cell>
          <cell r="AG22">
            <v>13912</v>
          </cell>
          <cell r="AH22">
            <v>18624</v>
          </cell>
          <cell r="AI22">
            <v>19218</v>
          </cell>
          <cell r="AJ22">
            <v>14563</v>
          </cell>
          <cell r="AK22">
            <v>16674.400000000001</v>
          </cell>
          <cell r="AL22">
            <v>21004.163586315899</v>
          </cell>
          <cell r="AM22">
            <v>23063.637245907099</v>
          </cell>
          <cell r="AN22">
            <v>24616.178755201399</v>
          </cell>
          <cell r="AO22">
            <v>26097.235332562799</v>
          </cell>
          <cell r="AP22">
            <v>27016.128464686899</v>
          </cell>
          <cell r="AR22">
            <v>1560</v>
          </cell>
          <cell r="AS22">
            <v>1952</v>
          </cell>
          <cell r="AT22">
            <v>1887</v>
          </cell>
          <cell r="AU22">
            <v>2079</v>
          </cell>
          <cell r="AV22">
            <v>2041</v>
          </cell>
          <cell r="AW22">
            <v>2425</v>
          </cell>
          <cell r="AX22">
            <v>2261</v>
          </cell>
          <cell r="AY22">
            <v>2805</v>
          </cell>
          <cell r="AZ22">
            <v>2953</v>
          </cell>
          <cell r="BA22">
            <v>3043</v>
          </cell>
          <cell r="BB22">
            <v>2854</v>
          </cell>
          <cell r="BC22">
            <v>3365</v>
          </cell>
          <cell r="BD22">
            <v>3538</v>
          </cell>
          <cell r="BE22">
            <v>4093</v>
          </cell>
          <cell r="BF22">
            <v>3663</v>
          </cell>
          <cell r="BG22">
            <v>3200</v>
          </cell>
          <cell r="BH22">
            <v>3190</v>
          </cell>
          <cell r="BI22">
            <v>3783</v>
          </cell>
          <cell r="BJ22">
            <v>3586</v>
          </cell>
          <cell r="BK22">
            <v>2535</v>
          </cell>
          <cell r="BL22">
            <v>275</v>
          </cell>
          <cell r="BM22">
            <v>-585</v>
          </cell>
          <cell r="BN22">
            <v>401</v>
          </cell>
          <cell r="BO22">
            <v>1008</v>
          </cell>
          <cell r="BP22">
            <v>1897</v>
          </cell>
          <cell r="BQ22">
            <v>3471</v>
          </cell>
          <cell r="BR22">
            <v>2732</v>
          </cell>
          <cell r="BS22">
            <v>3329</v>
          </cell>
          <cell r="BT22">
            <v>3271.0028548062601</v>
          </cell>
          <cell r="BU22">
            <v>3562.4839489913402</v>
          </cell>
          <cell r="BV22">
            <v>3378.0995523053102</v>
          </cell>
          <cell r="BW22">
            <v>3306.46908473964</v>
          </cell>
          <cell r="BX22">
            <v>3919</v>
          </cell>
          <cell r="BY22">
            <v>4362</v>
          </cell>
          <cell r="BZ22">
            <v>3325</v>
          </cell>
          <cell r="CA22">
            <v>3054</v>
          </cell>
          <cell r="CB22">
            <v>2697</v>
          </cell>
          <cell r="CC22">
            <v>3211</v>
          </cell>
          <cell r="CD22">
            <v>2531</v>
          </cell>
          <cell r="CE22">
            <v>2390</v>
          </cell>
          <cell r="CF22">
            <v>979.2</v>
          </cell>
          <cell r="CG22">
            <v>1212.2</v>
          </cell>
          <cell r="CH22">
            <v>774.2</v>
          </cell>
          <cell r="CI22">
            <v>857.4</v>
          </cell>
          <cell r="CJ22">
            <v>2977</v>
          </cell>
          <cell r="CK22">
            <v>2977</v>
          </cell>
          <cell r="CL22">
            <v>2325</v>
          </cell>
          <cell r="CM22">
            <v>2315.4</v>
          </cell>
          <cell r="CN22">
            <v>2413</v>
          </cell>
          <cell r="CO22">
            <v>2705</v>
          </cell>
          <cell r="CP22">
            <v>2623</v>
          </cell>
          <cell r="CQ22">
            <v>3277</v>
          </cell>
          <cell r="CR22">
            <v>3494</v>
          </cell>
          <cell r="CS22">
            <v>3718</v>
          </cell>
          <cell r="CT22">
            <v>3338</v>
          </cell>
          <cell r="CU22">
            <v>4063</v>
          </cell>
          <cell r="CV22">
            <v>4271</v>
          </cell>
          <cell r="CW22">
            <v>5067</v>
          </cell>
          <cell r="CX22">
            <v>4587</v>
          </cell>
          <cell r="CY22">
            <v>4699</v>
          </cell>
          <cell r="CZ22">
            <v>4567</v>
          </cell>
          <cell r="DA22">
            <v>4968</v>
          </cell>
          <cell r="DB22">
            <v>4617</v>
          </cell>
          <cell r="DC22">
            <v>5067</v>
          </cell>
          <cell r="DD22">
            <v>3727</v>
          </cell>
          <cell r="DE22">
            <v>2837</v>
          </cell>
          <cell r="DF22">
            <v>3494</v>
          </cell>
          <cell r="DG22">
            <v>4505</v>
          </cell>
          <cell r="DH22">
            <v>3833.36</v>
          </cell>
          <cell r="DI22">
            <v>4101.4799999999996</v>
          </cell>
          <cell r="DJ22">
            <v>4070.32</v>
          </cell>
          <cell r="DK22">
            <v>4669.24</v>
          </cell>
          <cell r="DL22">
            <v>4730</v>
          </cell>
        </row>
        <row r="23">
          <cell r="B23" t="str">
            <v>Interest income</v>
          </cell>
          <cell r="C23" t="str">
            <v>INT_INC_IND</v>
          </cell>
          <cell r="D23" t="str">
            <v>SEK</v>
          </cell>
          <cell r="F23">
            <v>0</v>
          </cell>
          <cell r="G23">
            <v>0</v>
          </cell>
          <cell r="H23">
            <v>0</v>
          </cell>
          <cell r="I23">
            <v>0</v>
          </cell>
          <cell r="J23">
            <v>0</v>
          </cell>
          <cell r="K23">
            <v>692</v>
          </cell>
          <cell r="L23">
            <v>614</v>
          </cell>
          <cell r="M23">
            <v>253</v>
          </cell>
          <cell r="N23">
            <v>130</v>
          </cell>
          <cell r="O23">
            <v>0</v>
          </cell>
          <cell r="P23">
            <v>61</v>
          </cell>
          <cell r="Q23">
            <v>79</v>
          </cell>
          <cell r="R23">
            <v>44</v>
          </cell>
          <cell r="S23">
            <v>44</v>
          </cell>
          <cell r="T23">
            <v>120</v>
          </cell>
          <cell r="U23">
            <v>374</v>
          </cell>
          <cell r="V23">
            <v>334</v>
          </cell>
          <cell r="W23">
            <v>377</v>
          </cell>
          <cell r="X23">
            <v>375</v>
          </cell>
          <cell r="Y23">
            <v>438</v>
          </cell>
          <cell r="Z23">
            <v>377</v>
          </cell>
          <cell r="AA23">
            <v>265</v>
          </cell>
          <cell r="AB23">
            <v>435</v>
          </cell>
          <cell r="AC23">
            <v>209</v>
          </cell>
          <cell r="AD23">
            <v>163</v>
          </cell>
          <cell r="AE23">
            <v>173</v>
          </cell>
          <cell r="AF23">
            <v>191</v>
          </cell>
          <cell r="AG23">
            <v>191</v>
          </cell>
          <cell r="AH23">
            <v>374</v>
          </cell>
          <cell r="AI23">
            <v>492</v>
          </cell>
          <cell r="AJ23">
            <v>1164</v>
          </cell>
          <cell r="AK23">
            <v>877</v>
          </cell>
          <cell r="AL23">
            <v>800</v>
          </cell>
          <cell r="AM23">
            <v>1000</v>
          </cell>
          <cell r="AN23">
            <v>1000</v>
          </cell>
          <cell r="AO23">
            <v>1000</v>
          </cell>
          <cell r="AP23">
            <v>1000</v>
          </cell>
        </row>
        <row r="24">
          <cell r="B24" t="str">
            <v>Interest expense</v>
          </cell>
          <cell r="C24" t="str">
            <v>INT_EXP_IND</v>
          </cell>
          <cell r="D24" t="str">
            <v>SEK</v>
          </cell>
          <cell r="F24">
            <v>0</v>
          </cell>
          <cell r="G24">
            <v>0</v>
          </cell>
          <cell r="H24">
            <v>0</v>
          </cell>
          <cell r="I24">
            <v>0</v>
          </cell>
          <cell r="J24">
            <v>0</v>
          </cell>
          <cell r="K24">
            <v>-266</v>
          </cell>
          <cell r="L24">
            <v>-256</v>
          </cell>
          <cell r="M24">
            <v>-418</v>
          </cell>
          <cell r="N24">
            <v>-790</v>
          </cell>
          <cell r="O24">
            <v>-585</v>
          </cell>
          <cell r="P24">
            <v>-584</v>
          </cell>
          <cell r="Q24">
            <v>-576</v>
          </cell>
          <cell r="R24">
            <v>-752</v>
          </cell>
          <cell r="S24">
            <v>-824</v>
          </cell>
          <cell r="T24">
            <v>-821</v>
          </cell>
          <cell r="U24">
            <v>-1087</v>
          </cell>
          <cell r="V24">
            <v>-1289</v>
          </cell>
          <cell r="W24">
            <v>-1774</v>
          </cell>
          <cell r="X24">
            <v>-2592</v>
          </cell>
          <cell r="Y24">
            <v>-2060</v>
          </cell>
          <cell r="Z24">
            <v>-1617</v>
          </cell>
          <cell r="AA24">
            <v>-1969</v>
          </cell>
          <cell r="AB24">
            <v>-1974</v>
          </cell>
          <cell r="AC24">
            <v>-1885</v>
          </cell>
          <cell r="AD24">
            <v>-2019</v>
          </cell>
          <cell r="AE24">
            <v>-2136</v>
          </cell>
          <cell r="AF24">
            <v>-1843</v>
          </cell>
          <cell r="AG24">
            <v>-1271</v>
          </cell>
          <cell r="AH24">
            <v>-1169</v>
          </cell>
          <cell r="AI24">
            <v>-1728</v>
          </cell>
          <cell r="AJ24">
            <v>-1110</v>
          </cell>
          <cell r="AK24">
            <v>-1071</v>
          </cell>
          <cell r="AL24">
            <v>-1465.88</v>
          </cell>
          <cell r="AM24">
            <v>-1653.48</v>
          </cell>
          <cell r="AN24">
            <v>-1653.48</v>
          </cell>
          <cell r="AO24">
            <v>-1653.48</v>
          </cell>
          <cell r="AP24">
            <v>-1653.48</v>
          </cell>
        </row>
        <row r="25">
          <cell r="B25" t="str">
            <v>Net interest income/(expense)</v>
          </cell>
          <cell r="C25" t="str">
            <v>NET_INT_EXP</v>
          </cell>
          <cell r="D25" t="str">
            <v>SEK</v>
          </cell>
          <cell r="F25">
            <v>0</v>
          </cell>
          <cell r="G25">
            <v>0</v>
          </cell>
          <cell r="H25">
            <v>0</v>
          </cell>
          <cell r="I25">
            <v>0</v>
          </cell>
          <cell r="J25">
            <v>0</v>
          </cell>
          <cell r="K25">
            <v>426</v>
          </cell>
          <cell r="L25">
            <v>358</v>
          </cell>
          <cell r="M25">
            <v>-165</v>
          </cell>
          <cell r="N25">
            <v>-660</v>
          </cell>
          <cell r="O25">
            <v>-585</v>
          </cell>
          <cell r="P25">
            <v>-523</v>
          </cell>
          <cell r="Q25">
            <v>-497</v>
          </cell>
          <cell r="R25">
            <v>-708</v>
          </cell>
          <cell r="S25">
            <v>-780</v>
          </cell>
          <cell r="T25">
            <v>-701</v>
          </cell>
          <cell r="U25">
            <v>-713</v>
          </cell>
          <cell r="V25">
            <v>-955</v>
          </cell>
          <cell r="W25">
            <v>-1397</v>
          </cell>
          <cell r="X25">
            <v>-2217</v>
          </cell>
          <cell r="Y25">
            <v>-1622</v>
          </cell>
          <cell r="Z25">
            <v>-1240</v>
          </cell>
          <cell r="AA25">
            <v>-1704</v>
          </cell>
          <cell r="AB25">
            <v>-1539</v>
          </cell>
          <cell r="AC25">
            <v>-1676</v>
          </cell>
          <cell r="AD25">
            <v>-1856</v>
          </cell>
          <cell r="AE25">
            <v>-1963</v>
          </cell>
          <cell r="AF25">
            <v>-1652</v>
          </cell>
          <cell r="AG25">
            <v>-1080</v>
          </cell>
          <cell r="AH25">
            <v>-795</v>
          </cell>
          <cell r="AI25">
            <v>-1236</v>
          </cell>
          <cell r="AJ25">
            <v>54</v>
          </cell>
          <cell r="AK25">
            <v>-194</v>
          </cell>
          <cell r="AL25">
            <v>-665.88</v>
          </cell>
          <cell r="AM25">
            <v>-653.48</v>
          </cell>
          <cell r="AN25">
            <v>-653.48</v>
          </cell>
          <cell r="AO25">
            <v>-653.48</v>
          </cell>
          <cell r="AP25">
            <v>-653.48</v>
          </cell>
        </row>
        <row r="26">
          <cell r="B26" t="str">
            <v>Income/(loss) from unconsolidated subs &amp; associates</v>
          </cell>
          <cell r="C26" t="str">
            <v>ASSOCIATE</v>
          </cell>
          <cell r="D26" t="str">
            <v>SEK</v>
          </cell>
          <cell r="F26">
            <v>0</v>
          </cell>
          <cell r="G26">
            <v>0</v>
          </cell>
          <cell r="H26">
            <v>0</v>
          </cell>
          <cell r="I26">
            <v>0</v>
          </cell>
          <cell r="J26">
            <v>0</v>
          </cell>
          <cell r="K26">
            <v>196</v>
          </cell>
          <cell r="L26">
            <v>172</v>
          </cell>
          <cell r="M26">
            <v>300</v>
          </cell>
          <cell r="N26">
            <v>0</v>
          </cell>
          <cell r="O26">
            <v>0</v>
          </cell>
          <cell r="P26">
            <v>0</v>
          </cell>
          <cell r="Q26">
            <v>0</v>
          </cell>
          <cell r="R26">
            <v>0</v>
          </cell>
          <cell r="S26">
            <v>0</v>
          </cell>
          <cell r="T26">
            <v>122</v>
          </cell>
          <cell r="U26">
            <v>89</v>
          </cell>
          <cell r="V26">
            <v>136</v>
          </cell>
          <cell r="W26">
            <v>119</v>
          </cell>
          <cell r="X26">
            <v>46</v>
          </cell>
          <cell r="Y26">
            <v>0</v>
          </cell>
          <cell r="Z26">
            <v>0</v>
          </cell>
          <cell r="AA26">
            <v>0</v>
          </cell>
          <cell r="AB26">
            <v>0</v>
          </cell>
          <cell r="AC26">
            <v>0</v>
          </cell>
          <cell r="AD26">
            <v>24</v>
          </cell>
          <cell r="AE26">
            <v>8</v>
          </cell>
          <cell r="AF26">
            <v>16</v>
          </cell>
          <cell r="AG26">
            <v>56</v>
          </cell>
          <cell r="AH26">
            <v>45</v>
          </cell>
          <cell r="AI26">
            <v>9</v>
          </cell>
          <cell r="AJ26">
            <v>6</v>
          </cell>
          <cell r="AK26">
            <v>-4</v>
          </cell>
          <cell r="AL26">
            <v>0</v>
          </cell>
          <cell r="AM26">
            <v>0</v>
          </cell>
          <cell r="AN26">
            <v>0</v>
          </cell>
          <cell r="AO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row>
        <row r="27">
          <cell r="B27" t="str">
            <v>Profit/(loss) on disposals of assets, pre-tax</v>
          </cell>
          <cell r="C27" t="str">
            <v>PROFIT_ON_DISP</v>
          </cell>
          <cell r="D27" t="str">
            <v>SEK</v>
          </cell>
          <cell r="F27">
            <v>0</v>
          </cell>
          <cell r="G27">
            <v>0</v>
          </cell>
          <cell r="H27">
            <v>0</v>
          </cell>
          <cell r="I27">
            <v>0</v>
          </cell>
          <cell r="J27">
            <v>0</v>
          </cell>
          <cell r="K27">
            <v>0</v>
          </cell>
          <cell r="L27">
            <v>0</v>
          </cell>
          <cell r="M27">
            <v>0</v>
          </cell>
          <cell r="N27">
            <v>0</v>
          </cell>
          <cell r="R27">
            <v>0</v>
          </cell>
          <cell r="S27">
            <v>0</v>
          </cell>
          <cell r="T27">
            <v>0</v>
          </cell>
          <cell r="U27">
            <v>0</v>
          </cell>
          <cell r="V27">
            <v>0</v>
          </cell>
          <cell r="W27">
            <v>0</v>
          </cell>
          <cell r="X27">
            <v>0</v>
          </cell>
          <cell r="Y27">
            <v>0</v>
          </cell>
          <cell r="Z27">
            <v>0</v>
          </cell>
          <cell r="AA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row>
        <row r="28">
          <cell r="B28" t="str">
            <v>Other non-ops income/(expense)</v>
          </cell>
          <cell r="C28" t="str">
            <v>OTH_COST_INC</v>
          </cell>
          <cell r="D28" t="str">
            <v>SEK</v>
          </cell>
          <cell r="X28">
            <v>0</v>
          </cell>
          <cell r="Y28">
            <v>0</v>
          </cell>
          <cell r="Z28">
            <v>0</v>
          </cell>
          <cell r="AA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row>
        <row r="29">
          <cell r="B29" t="str">
            <v>Pre-tax profit</v>
          </cell>
          <cell r="C29" t="str">
            <v>PT_PROF</v>
          </cell>
          <cell r="D29" t="str">
            <v>SEK</v>
          </cell>
          <cell r="F29">
            <v>0</v>
          </cell>
          <cell r="G29">
            <v>0</v>
          </cell>
          <cell r="H29">
            <v>0</v>
          </cell>
          <cell r="I29">
            <v>0</v>
          </cell>
          <cell r="J29">
            <v>0</v>
          </cell>
          <cell r="K29">
            <v>5816</v>
          </cell>
          <cell r="L29">
            <v>4625</v>
          </cell>
          <cell r="M29">
            <v>5105</v>
          </cell>
          <cell r="N29">
            <v>4735</v>
          </cell>
          <cell r="O29">
            <v>3840</v>
          </cell>
          <cell r="P29">
            <v>5644</v>
          </cell>
          <cell r="Q29">
            <v>5781</v>
          </cell>
          <cell r="R29">
            <v>5063</v>
          </cell>
          <cell r="S29">
            <v>4787</v>
          </cell>
          <cell r="T29">
            <v>6999</v>
          </cell>
          <cell r="U29">
            <v>8908</v>
          </cell>
          <cell r="V29">
            <v>11249</v>
          </cell>
          <cell r="W29">
            <v>13116</v>
          </cell>
          <cell r="X29">
            <v>10923</v>
          </cell>
          <cell r="Y29">
            <v>-524</v>
          </cell>
          <cell r="Z29">
            <v>10189</v>
          </cell>
          <cell r="AA29">
            <v>11814</v>
          </cell>
          <cell r="AB29">
            <v>13101</v>
          </cell>
          <cell r="AC29">
            <v>9152</v>
          </cell>
          <cell r="AD29">
            <v>8296.0000024991004</v>
          </cell>
          <cell r="AE29">
            <v>8639.4</v>
          </cell>
          <cell r="AF29">
            <v>9382</v>
          </cell>
          <cell r="AG29">
            <v>12888</v>
          </cell>
          <cell r="AH29">
            <v>17874</v>
          </cell>
          <cell r="AI29">
            <v>17991</v>
          </cell>
          <cell r="AJ29">
            <v>14623</v>
          </cell>
          <cell r="AK29">
            <v>16476.400000000001</v>
          </cell>
          <cell r="AL29">
            <v>20338.283586315902</v>
          </cell>
          <cell r="AM29">
            <v>22410.157245907099</v>
          </cell>
          <cell r="AN29">
            <v>23962.6987552014</v>
          </cell>
          <cell r="AO29">
            <v>25443.7553325628</v>
          </cell>
          <cell r="AP29">
            <v>26362.648464686899</v>
          </cell>
        </row>
        <row r="30">
          <cell r="A30" t="str">
            <v>Additional Income Statement Items</v>
          </cell>
        </row>
        <row r="31">
          <cell r="B31" t="str">
            <v>Organic revenues (excl. acquisitions)</v>
          </cell>
          <cell r="C31" t="str">
            <v>ORG_REV</v>
          </cell>
          <cell r="D31" t="str">
            <v>SEK</v>
          </cell>
        </row>
        <row r="32">
          <cell r="B32" t="str">
            <v>Organic sales growth (excl. acquisitions)</v>
          </cell>
          <cell r="C32" t="str">
            <v>ORG_REV_GRTH</v>
          </cell>
          <cell r="L32">
            <v>0</v>
          </cell>
          <cell r="M32">
            <v>0.04</v>
          </cell>
          <cell r="N32">
            <v>0.01</v>
          </cell>
          <cell r="O32">
            <v>-0.08</v>
          </cell>
          <cell r="P32">
            <v>0.12</v>
          </cell>
          <cell r="Q32">
            <v>0.03</v>
          </cell>
          <cell r="R32">
            <v>-7.0000000000000007E-2</v>
          </cell>
          <cell r="S32">
            <v>0.05</v>
          </cell>
          <cell r="T32">
            <v>0.15</v>
          </cell>
          <cell r="U32">
            <v>0.14000000000000001</v>
          </cell>
          <cell r="V32">
            <v>0.14000000000000001</v>
          </cell>
          <cell r="W32">
            <v>0.18</v>
          </cell>
          <cell r="X32">
            <v>0.05</v>
          </cell>
          <cell r="Y32">
            <v>-0.26</v>
          </cell>
          <cell r="Z32">
            <v>0.169316949011</v>
          </cell>
          <cell r="AA32">
            <v>0.20284496040399999</v>
          </cell>
          <cell r="AB32">
            <v>5.1735321012999998E-2</v>
          </cell>
          <cell r="AC32">
            <v>-5.8935237341E-2</v>
          </cell>
          <cell r="AD32">
            <v>-2.3129869689999999E-2</v>
          </cell>
          <cell r="AE32">
            <v>-4.3398136975000001E-2</v>
          </cell>
          <cell r="AF32">
            <v>-3.6366617376999998E-2</v>
          </cell>
          <cell r="AG32">
            <v>0.14449021801299999</v>
          </cell>
          <cell r="AH32">
            <v>0.116106574539</v>
          </cell>
          <cell r="AI32">
            <v>-3.7527975799999998E-3</v>
          </cell>
          <cell r="AJ32">
            <v>-0.110875153</v>
          </cell>
          <cell r="AK32">
            <v>0.15371421084600001</v>
          </cell>
          <cell r="AL32">
            <v>9.7882757294999997E-2</v>
          </cell>
          <cell r="AM32">
            <v>6.6083226233999995E-2</v>
          </cell>
          <cell r="AN32">
            <v>5.8761161009000001E-2</v>
          </cell>
          <cell r="AO32">
            <v>5.1062909189E-2</v>
          </cell>
          <cell r="AP32">
            <v>3.6400887775000002E-2</v>
          </cell>
          <cell r="AV32">
            <v>0.14000000000000001</v>
          </cell>
          <cell r="AW32">
            <v>0.17</v>
          </cell>
          <cell r="AX32">
            <v>0.12</v>
          </cell>
          <cell r="AY32">
            <v>0.11</v>
          </cell>
          <cell r="AZ32">
            <v>0.15</v>
          </cell>
          <cell r="BA32">
            <v>0.08</v>
          </cell>
          <cell r="BB32">
            <v>0.15</v>
          </cell>
          <cell r="BC32">
            <v>0.17</v>
          </cell>
          <cell r="BD32">
            <v>0.21</v>
          </cell>
          <cell r="BE32">
            <v>0.21</v>
          </cell>
          <cell r="BF32">
            <v>0.16</v>
          </cell>
          <cell r="BG32">
            <v>0.14000000000000001</v>
          </cell>
          <cell r="BH32">
            <v>0.05</v>
          </cell>
          <cell r="BI32">
            <v>0.12</v>
          </cell>
          <cell r="BJ32">
            <v>7.0000000000000007E-2</v>
          </cell>
          <cell r="BK32">
            <v>-0.01</v>
          </cell>
          <cell r="BL32">
            <v>-0.25</v>
          </cell>
          <cell r="BM32">
            <v>-0.35</v>
          </cell>
          <cell r="BN32">
            <v>-0.32</v>
          </cell>
          <cell r="BO32">
            <v>-0.26</v>
          </cell>
          <cell r="BP32">
            <v>0</v>
          </cell>
          <cell r="BQ32">
            <v>0.15</v>
          </cell>
          <cell r="BR32">
            <v>0.21</v>
          </cell>
          <cell r="BS32">
            <v>0.31</v>
          </cell>
          <cell r="BT32">
            <v>0.27</v>
          </cell>
          <cell r="BU32">
            <v>0.24</v>
          </cell>
          <cell r="BV32">
            <v>0.22</v>
          </cell>
          <cell r="BW32">
            <v>0.09</v>
          </cell>
          <cell r="BX32">
            <v>0.10160243121699999</v>
          </cell>
          <cell r="BY32">
            <v>8.9761868992000005E-2</v>
          </cell>
          <cell r="BZ32">
            <v>3.3247239051000001E-2</v>
          </cell>
          <cell r="CA32">
            <v>7.6433177959999996E-3</v>
          </cell>
          <cell r="CB32">
            <v>-3.1633786939E-2</v>
          </cell>
          <cell r="CC32">
            <v>-5.5794363699000003E-2</v>
          </cell>
          <cell r="CD32">
            <v>-8.0239071038000001E-2</v>
          </cell>
          <cell r="CE32">
            <v>-6.9645675764999998E-2</v>
          </cell>
          <cell r="CF32">
            <v>-4.2469434100000002E-2</v>
          </cell>
          <cell r="CG32">
            <v>-5.3426065699999997E-2</v>
          </cell>
          <cell r="CH32">
            <v>1.04187849E-2</v>
          </cell>
          <cell r="CI32">
            <v>-2.8932317999999999E-3</v>
          </cell>
          <cell r="CJ32">
            <v>-1.7717918400000001E-2</v>
          </cell>
          <cell r="CK32">
            <v>-4.0770021500000003E-2</v>
          </cell>
          <cell r="CL32">
            <v>-5.5667872E-2</v>
          </cell>
          <cell r="CM32">
            <v>-5.5843151971000003E-2</v>
          </cell>
          <cell r="CN32">
            <v>-6.1363491663000001E-2</v>
          </cell>
          <cell r="CO32">
            <v>-3.2852857908999999E-2</v>
          </cell>
          <cell r="CP32">
            <v>-4.6735140389E-2</v>
          </cell>
          <cell r="CQ32">
            <v>-3.5896674750000002E-3</v>
          </cell>
          <cell r="CR32">
            <v>5.2154838709999998E-2</v>
          </cell>
          <cell r="CS32">
            <v>0.09</v>
          </cell>
          <cell r="CT32">
            <v>0.12</v>
          </cell>
          <cell r="CU32">
            <v>0.15</v>
          </cell>
          <cell r="CV32">
            <v>0.14000000000000001</v>
          </cell>
          <cell r="CW32">
            <v>0.124468486263</v>
          </cell>
          <cell r="CX32">
            <v>0.113866536299</v>
          </cell>
          <cell r="CY32">
            <v>9.2718853362999995E-2</v>
          </cell>
          <cell r="CZ32">
            <v>2.6786574946000001E-2</v>
          </cell>
          <cell r="DA32">
            <v>-3.642501921E-3</v>
          </cell>
          <cell r="DB32">
            <v>-1.2348008386E-2</v>
          </cell>
          <cell r="DC32">
            <v>-2.6059132616999998E-2</v>
          </cell>
          <cell r="DD32">
            <v>-7.0000000000000007E-2</v>
          </cell>
          <cell r="DE32">
            <v>-0.203915039741</v>
          </cell>
          <cell r="DF32">
            <v>-0.11074171820000001</v>
          </cell>
          <cell r="DG32">
            <v>-5.8531726200000002E-2</v>
          </cell>
          <cell r="DH32">
            <v>3.3643621104000002E-2</v>
          </cell>
          <cell r="DI32">
            <v>0.26956261950299998</v>
          </cell>
          <cell r="DJ32">
            <v>0.14546349942100001</v>
          </cell>
          <cell r="DK32">
            <v>0.160930845456</v>
          </cell>
          <cell r="DL32">
            <v>8.9366398617999998E-2</v>
          </cell>
        </row>
        <row r="33">
          <cell r="B33" t="str">
            <v>Growth from acquisitions</v>
          </cell>
          <cell r="C33" t="str">
            <v>ACQ_GRTH</v>
          </cell>
          <cell r="L33">
            <v>0.02</v>
          </cell>
          <cell r="M33">
            <v>0.107111268353</v>
          </cell>
          <cell r="N33">
            <v>0.222709340836</v>
          </cell>
          <cell r="O33">
            <v>-1.3113207547000001E-2</v>
          </cell>
          <cell r="P33">
            <v>-3.6768447837E-2</v>
          </cell>
          <cell r="Q33">
            <v>7.7142857140000002E-3</v>
          </cell>
          <cell r="R33">
            <v>0.09</v>
          </cell>
          <cell r="S33">
            <v>0.02</v>
          </cell>
          <cell r="T33">
            <v>-0.01</v>
          </cell>
          <cell r="U33">
            <v>-0.01</v>
          </cell>
          <cell r="V33">
            <v>0.01</v>
          </cell>
          <cell r="W33">
            <v>0.03</v>
          </cell>
          <cell r="X33">
            <v>0.02</v>
          </cell>
          <cell r="Y33">
            <v>4.1876227690000002E-3</v>
          </cell>
          <cell r="Z33">
            <v>5.163823901E-3</v>
          </cell>
          <cell r="AA33">
            <v>2.8160609550000001E-3</v>
          </cell>
          <cell r="AB33">
            <v>0</v>
          </cell>
          <cell r="AC33">
            <v>0</v>
          </cell>
          <cell r="AD33">
            <v>2.1471022708000002E-2</v>
          </cell>
          <cell r="AE33">
            <v>-8.7947670029999998E-3</v>
          </cell>
          <cell r="AF33">
            <v>0</v>
          </cell>
          <cell r="AG33">
            <v>0</v>
          </cell>
          <cell r="AH33">
            <v>1.7652274350000001E-3</v>
          </cell>
          <cell r="AI33">
            <v>8.5409666250000002E-3</v>
          </cell>
          <cell r="AJ33">
            <v>2.6904821869999998E-3</v>
          </cell>
          <cell r="AK33">
            <v>7.3775219062999997E-2</v>
          </cell>
          <cell r="AL33">
            <v>9.9094690526999998E-2</v>
          </cell>
          <cell r="AM33">
            <v>1.9413520396999999E-2</v>
          </cell>
          <cell r="AN33">
            <v>2.0104890011999998E-2</v>
          </cell>
          <cell r="AO33">
            <v>2.0655975478999999E-2</v>
          </cell>
          <cell r="AP33">
            <v>2.1276291858E-2</v>
          </cell>
          <cell r="AV33">
            <v>0</v>
          </cell>
          <cell r="AW33">
            <v>0</v>
          </cell>
          <cell r="AX33">
            <v>0</v>
          </cell>
          <cell r="AY33">
            <v>0</v>
          </cell>
          <cell r="AZ33">
            <v>0</v>
          </cell>
          <cell r="BA33">
            <v>0.01</v>
          </cell>
          <cell r="BB33">
            <v>0.02</v>
          </cell>
          <cell r="BC33">
            <v>0.02</v>
          </cell>
          <cell r="BD33">
            <v>0.01</v>
          </cell>
          <cell r="BE33">
            <v>0.04</v>
          </cell>
          <cell r="BF33">
            <v>0.05</v>
          </cell>
          <cell r="BG33">
            <v>0.04</v>
          </cell>
          <cell r="BH33">
            <v>0.04</v>
          </cell>
          <cell r="BI33">
            <v>0.04</v>
          </cell>
          <cell r="BJ33">
            <v>0.01</v>
          </cell>
          <cell r="BK33">
            <v>0</v>
          </cell>
          <cell r="BL33">
            <v>0</v>
          </cell>
          <cell r="BM33">
            <v>0</v>
          </cell>
          <cell r="BN33">
            <v>0</v>
          </cell>
          <cell r="BO33">
            <v>0.01</v>
          </cell>
          <cell r="BP33">
            <v>0.01</v>
          </cell>
          <cell r="BQ33">
            <v>0.01</v>
          </cell>
          <cell r="BR33">
            <v>0</v>
          </cell>
          <cell r="BS33">
            <v>0</v>
          </cell>
          <cell r="BT33">
            <v>0</v>
          </cell>
          <cell r="BU33">
            <v>0</v>
          </cell>
          <cell r="BV33">
            <v>0</v>
          </cell>
          <cell r="BW33">
            <v>0.01</v>
          </cell>
          <cell r="BX33">
            <v>0</v>
          </cell>
          <cell r="BY33">
            <v>0</v>
          </cell>
          <cell r="BZ33">
            <v>0</v>
          </cell>
          <cell r="CA33">
            <v>0</v>
          </cell>
          <cell r="CB33">
            <v>-1.2480876077E-2</v>
          </cell>
          <cell r="CC33">
            <v>-8.0959173450000001E-3</v>
          </cell>
          <cell r="CD33">
            <v>0</v>
          </cell>
          <cell r="CE33">
            <v>-2.0552449849999999E-3</v>
          </cell>
          <cell r="CF33">
            <v>-6.7879446100000003E-4</v>
          </cell>
          <cell r="CG33">
            <v>1.6924879572999998E-2</v>
          </cell>
          <cell r="CH33">
            <v>4.6532131661000002E-2</v>
          </cell>
          <cell r="CI33">
            <v>2.5264124943E-2</v>
          </cell>
          <cell r="CJ33">
            <v>1.9334163037000002E-2</v>
          </cell>
          <cell r="CK33">
            <v>8.3879410620000001E-3</v>
          </cell>
          <cell r="CL33">
            <v>-1.4295966699999999E-2</v>
          </cell>
          <cell r="CM33">
            <v>-6.6685100699999996E-4</v>
          </cell>
          <cell r="CN33">
            <v>0</v>
          </cell>
          <cell r="CO33">
            <v>0</v>
          </cell>
          <cell r="CP33">
            <v>0</v>
          </cell>
          <cell r="CQ33">
            <v>0</v>
          </cell>
          <cell r="CR33">
            <v>0</v>
          </cell>
          <cell r="CS33">
            <v>0</v>
          </cell>
          <cell r="CT33">
            <v>0</v>
          </cell>
          <cell r="CU33">
            <v>0</v>
          </cell>
          <cell r="CV33">
            <v>-1.50457114E-3</v>
          </cell>
          <cell r="CW33">
            <v>-4.7830332879999996E-3</v>
          </cell>
          <cell r="CX33">
            <v>-0.05</v>
          </cell>
          <cell r="CY33">
            <v>-0.04</v>
          </cell>
          <cell r="CZ33">
            <v>-0.03</v>
          </cell>
          <cell r="DA33">
            <v>1.1677489597999999E-2</v>
          </cell>
          <cell r="DB33">
            <v>5.7937106920000004E-3</v>
          </cell>
          <cell r="DC33">
            <v>8.4934514939999997E-3</v>
          </cell>
          <cell r="DD33">
            <v>0</v>
          </cell>
          <cell r="DE33">
            <v>-0.02</v>
          </cell>
          <cell r="DF33">
            <v>-0.02</v>
          </cell>
          <cell r="DG33">
            <v>-0.02</v>
          </cell>
          <cell r="DH33">
            <v>8.9151015809999998E-3</v>
          </cell>
          <cell r="DI33">
            <v>1.2460564053999999E-2</v>
          </cell>
          <cell r="DJ33">
            <v>0.114504634994</v>
          </cell>
          <cell r="DK33">
            <v>0.147623866751</v>
          </cell>
          <cell r="DL33">
            <v>0.17612553294800001</v>
          </cell>
        </row>
        <row r="34">
          <cell r="B34" t="str">
            <v>Growth from foreign exchange</v>
          </cell>
          <cell r="C34" t="str">
            <v>FOREX_GRTH</v>
          </cell>
          <cell r="L34">
            <v>-7.0000000000000007E-2</v>
          </cell>
          <cell r="M34">
            <v>0.06</v>
          </cell>
          <cell r="N34">
            <v>0.01</v>
          </cell>
          <cell r="O34">
            <v>0.02</v>
          </cell>
          <cell r="P34">
            <v>0.03</v>
          </cell>
          <cell r="Q34">
            <v>0.08</v>
          </cell>
          <cell r="R34">
            <v>-0.02</v>
          </cell>
          <cell r="S34">
            <v>-7.0000000000000007E-2</v>
          </cell>
          <cell r="T34">
            <v>-0.02</v>
          </cell>
          <cell r="U34">
            <v>0.03</v>
          </cell>
          <cell r="V34">
            <v>-0.01</v>
          </cell>
          <cell r="W34">
            <v>-0.02</v>
          </cell>
          <cell r="X34">
            <v>0</v>
          </cell>
          <cell r="Y34">
            <v>3.2217065641999998E-2</v>
          </cell>
          <cell r="Z34">
            <v>3.4293896E-4</v>
          </cell>
          <cell r="AA34">
            <v>-5.6007139525999998E-2</v>
          </cell>
          <cell r="AB34">
            <v>0.01</v>
          </cell>
          <cell r="AC34">
            <v>-4.5164367850999997E-2</v>
          </cell>
          <cell r="AD34">
            <v>2.2100839374000002E-2</v>
          </cell>
          <cell r="AE34">
            <v>7.5739977700999994E-2</v>
          </cell>
          <cell r="AF34">
            <v>-1.7826698727E-2</v>
          </cell>
          <cell r="AG34">
            <v>-0.04</v>
          </cell>
          <cell r="AH34">
            <v>2.3580150487999999E-2</v>
          </cell>
          <cell r="AI34">
            <v>4.3335774452999999E-2</v>
          </cell>
          <cell r="AJ34">
            <v>-5.6863396523000001E-2</v>
          </cell>
          <cell r="AK34">
            <v>-1.7067884038000001E-2</v>
          </cell>
          <cell r="AL34">
            <v>5.4541383604000002E-2</v>
          </cell>
          <cell r="AM34">
            <v>0</v>
          </cell>
          <cell r="AN34">
            <v>0</v>
          </cell>
          <cell r="AO34">
            <v>0</v>
          </cell>
          <cell r="AP34">
            <v>0</v>
          </cell>
          <cell r="AV34">
            <v>0</v>
          </cell>
          <cell r="AW34">
            <v>0</v>
          </cell>
          <cell r="AX34">
            <v>0</v>
          </cell>
          <cell r="AY34">
            <v>0</v>
          </cell>
          <cell r="AZ34">
            <v>0.08</v>
          </cell>
          <cell r="BA34">
            <v>0.02</v>
          </cell>
          <cell r="BB34">
            <v>-0.03</v>
          </cell>
          <cell r="BC34">
            <v>-7.0000000000000007E-2</v>
          </cell>
          <cell r="BD34">
            <v>-0.05</v>
          </cell>
          <cell r="BE34">
            <v>-0.02</v>
          </cell>
          <cell r="BF34">
            <v>-0.01</v>
          </cell>
          <cell r="BG34">
            <v>-0.01</v>
          </cell>
          <cell r="BH34">
            <v>-0.02</v>
          </cell>
          <cell r="BI34">
            <v>-0.03</v>
          </cell>
          <cell r="BJ34">
            <v>-0.02</v>
          </cell>
          <cell r="BK34">
            <v>7.0000000000000007E-2</v>
          </cell>
          <cell r="BL34">
            <v>0.12</v>
          </cell>
          <cell r="BM34">
            <v>0.16</v>
          </cell>
          <cell r="BN34">
            <v>7.0000000000000007E-2</v>
          </cell>
          <cell r="BO34">
            <v>-0.01</v>
          </cell>
          <cell r="BP34">
            <v>-0.04</v>
          </cell>
          <cell r="BQ34">
            <v>-0.02</v>
          </cell>
          <cell r="BR34">
            <v>0.01</v>
          </cell>
          <cell r="BS34">
            <v>-0.03</v>
          </cell>
          <cell r="BT34">
            <v>-7.0000000000000007E-2</v>
          </cell>
          <cell r="BU34">
            <v>-0.09</v>
          </cell>
          <cell r="BV34">
            <v>-0.05</v>
          </cell>
          <cell r="BW34">
            <v>-0.02</v>
          </cell>
          <cell r="BX34">
            <v>0.02</v>
          </cell>
          <cell r="BY34">
            <v>0.03</v>
          </cell>
          <cell r="BZ34">
            <v>-0.03</v>
          </cell>
          <cell r="CA34">
            <v>-0.03</v>
          </cell>
          <cell r="CB34">
            <v>-5.3144375553999999E-2</v>
          </cell>
          <cell r="CC34">
            <v>-5.0888623309E-2</v>
          </cell>
          <cell r="CD34">
            <v>-4.2264344262E-2</v>
          </cell>
          <cell r="CE34">
            <v>-3.3706017757000002E-2</v>
          </cell>
          <cell r="CF34">
            <v>-2.2626482034999999E-2</v>
          </cell>
          <cell r="CG34">
            <v>-1.301913813E-3</v>
          </cell>
          <cell r="CH34">
            <v>4.9960815047E-2</v>
          </cell>
          <cell r="CI34">
            <v>6.6146072577000004E-2</v>
          </cell>
          <cell r="CJ34">
            <v>0.124954366314</v>
          </cell>
          <cell r="CK34">
            <v>0.103399088794</v>
          </cell>
          <cell r="CL34">
            <v>5.8376632696999997E-2</v>
          </cell>
          <cell r="CM34">
            <v>2.2428683349E-2</v>
          </cell>
          <cell r="CN34">
            <v>-4.6057748113999999E-2</v>
          </cell>
          <cell r="CO34">
            <v>-5.9389770384999999E-2</v>
          </cell>
          <cell r="CP34">
            <v>-4.2215416030000003E-3</v>
          </cell>
          <cell r="CQ34">
            <v>4.2370208882999999E-2</v>
          </cell>
          <cell r="CR34">
            <v>5.2319354839E-2</v>
          </cell>
          <cell r="CS34">
            <v>0.06</v>
          </cell>
          <cell r="CT34">
            <v>-0.02</v>
          </cell>
          <cell r="CU34">
            <v>-0.04</v>
          </cell>
          <cell r="CV34">
            <v>-1.6900353746000001E-2</v>
          </cell>
          <cell r="CW34">
            <v>1.3148777174000001E-2</v>
          </cell>
          <cell r="CX34">
            <v>0.06</v>
          </cell>
          <cell r="CY34">
            <v>3.7716410428000002E-2</v>
          </cell>
          <cell r="CZ34">
            <v>0.06</v>
          </cell>
          <cell r="DA34">
            <v>3.6964264883000003E-2</v>
          </cell>
          <cell r="DB34">
            <v>3.8597903564000002E-2</v>
          </cell>
          <cell r="DC34">
            <v>4.2573915770999997E-2</v>
          </cell>
          <cell r="DD34">
            <v>1.9853752097999999E-2</v>
          </cell>
          <cell r="DE34">
            <v>-2.1009559074000001E-2</v>
          </cell>
          <cell r="DF34">
            <v>-7.9219091522999996E-2</v>
          </cell>
          <cell r="DG34">
            <v>-8.7643982997000006E-2</v>
          </cell>
          <cell r="DH34">
            <v>-9.4218821963999999E-2</v>
          </cell>
          <cell r="DI34">
            <v>-6.0560468451E-2</v>
          </cell>
          <cell r="DJ34">
            <v>6.2224797200000005E-4</v>
          </cell>
          <cell r="DK34">
            <v>2.0470166561000001E-2</v>
          </cell>
          <cell r="DL34">
            <v>7.0520805224000005E-2</v>
          </cell>
        </row>
        <row r="35">
          <cell r="B35" t="str">
            <v>Operating lease cost</v>
          </cell>
          <cell r="C35" t="str">
            <v>LEASE_PAY</v>
          </cell>
          <cell r="D35" t="str">
            <v>SEK</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row>
        <row r="36">
          <cell r="B36" t="str">
            <v>Lease payments (deemed interest portion)</v>
          </cell>
          <cell r="C36" t="str">
            <v>LEASE_DEEM_INT</v>
          </cell>
          <cell r="D36" t="str">
            <v>SEK</v>
          </cell>
        </row>
        <row r="37">
          <cell r="B37" t="str">
            <v>Lease payments (deemed depreciation portion)</v>
          </cell>
          <cell r="C37" t="str">
            <v>LEASE_DEEM_DEPR</v>
          </cell>
          <cell r="D37" t="str">
            <v>SEK</v>
          </cell>
        </row>
        <row r="38">
          <cell r="B38" t="str">
            <v>Gross interest charge</v>
          </cell>
          <cell r="C38" t="str">
            <v>NET_INT_CH</v>
          </cell>
          <cell r="D38" t="str">
            <v>SEK</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row>
        <row r="39">
          <cell r="B39" t="str">
            <v>Income from associates (operating)</v>
          </cell>
          <cell r="C39" t="str">
            <v>ASSOCIATE_OP</v>
          </cell>
          <cell r="D39" t="str">
            <v>SEK</v>
          </cell>
          <cell r="F39">
            <v>0</v>
          </cell>
          <cell r="G39">
            <v>0</v>
          </cell>
          <cell r="H39">
            <v>0</v>
          </cell>
          <cell r="I39">
            <v>0</v>
          </cell>
          <cell r="J39">
            <v>0</v>
          </cell>
          <cell r="K39">
            <v>196</v>
          </cell>
          <cell r="L39">
            <v>172</v>
          </cell>
          <cell r="M39">
            <v>300</v>
          </cell>
          <cell r="N39">
            <v>0</v>
          </cell>
          <cell r="O39">
            <v>0</v>
          </cell>
          <cell r="P39">
            <v>0</v>
          </cell>
          <cell r="Q39">
            <v>0</v>
          </cell>
          <cell r="R39">
            <v>0</v>
          </cell>
          <cell r="S39">
            <v>0</v>
          </cell>
          <cell r="T39">
            <v>122</v>
          </cell>
          <cell r="U39">
            <v>89</v>
          </cell>
          <cell r="V39">
            <v>136</v>
          </cell>
          <cell r="W39">
            <v>119</v>
          </cell>
          <cell r="X39">
            <v>46</v>
          </cell>
          <cell r="Y39">
            <v>0</v>
          </cell>
          <cell r="Z39">
            <v>0</v>
          </cell>
          <cell r="AA39">
            <v>0</v>
          </cell>
          <cell r="AB39">
            <v>0</v>
          </cell>
          <cell r="AC39">
            <v>0</v>
          </cell>
          <cell r="AD39">
            <v>24</v>
          </cell>
          <cell r="AE39">
            <v>8</v>
          </cell>
          <cell r="AF39">
            <v>16</v>
          </cell>
          <cell r="AG39">
            <v>56</v>
          </cell>
          <cell r="AH39">
            <v>45</v>
          </cell>
          <cell r="AI39">
            <v>9</v>
          </cell>
          <cell r="AJ39">
            <v>6</v>
          </cell>
          <cell r="AK39">
            <v>-4</v>
          </cell>
          <cell r="AL39">
            <v>0</v>
          </cell>
          <cell r="AM39">
            <v>0</v>
          </cell>
          <cell r="AN39">
            <v>0</v>
          </cell>
          <cell r="AO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row>
        <row r="40">
          <cell r="B40" t="str">
            <v>Goodwill amortization</v>
          </cell>
          <cell r="C40" t="str">
            <v>GW_AMORT</v>
          </cell>
          <cell r="D40" t="str">
            <v>SEK</v>
          </cell>
        </row>
        <row r="41">
          <cell r="B41" t="str">
            <v>Other intangible amortization</v>
          </cell>
          <cell r="C41" t="str">
            <v>OTH_INT_AMORT</v>
          </cell>
          <cell r="D41" t="str">
            <v>SEK</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row>
        <row r="42">
          <cell r="B42" t="str">
            <v>Depreciation ROU assets   (applicable to IFRS cos.)</v>
          </cell>
          <cell r="C42" t="str">
            <v>DEPR_ROU_ASSETS</v>
          </cell>
          <cell r="D42" t="str">
            <v>SEK</v>
          </cell>
        </row>
        <row r="43">
          <cell r="B43" t="str">
            <v>Lease interest charge  (applicable to IFRS cos.)</v>
          </cell>
          <cell r="C43" t="str">
            <v>LEASE_INT_CHG</v>
          </cell>
          <cell r="D43" t="str">
            <v>SEK</v>
          </cell>
        </row>
        <row r="44">
          <cell r="B44" t="str">
            <v>Lease standard adopted (US GAAP ASC 842/ IFRS 16)</v>
          </cell>
          <cell r="C44" t="str">
            <v>LEASE_ADOPT</v>
          </cell>
          <cell r="E44" t="str">
            <v>Y</v>
          </cell>
        </row>
        <row r="45">
          <cell r="A45" t="str">
            <v>Balance Sheet</v>
          </cell>
        </row>
        <row r="46">
          <cell r="B46" t="str">
            <v>Cash &amp; cash equivalents</v>
          </cell>
          <cell r="C46" t="str">
            <v>CASH_EQ</v>
          </cell>
          <cell r="D46" t="str">
            <v>SEK</v>
          </cell>
          <cell r="M46">
            <v>2494</v>
          </cell>
          <cell r="N46">
            <v>1800</v>
          </cell>
          <cell r="O46">
            <v>2369</v>
          </cell>
          <cell r="P46">
            <v>2097</v>
          </cell>
          <cell r="Q46">
            <v>2258</v>
          </cell>
          <cell r="R46">
            <v>2175</v>
          </cell>
          <cell r="S46">
            <v>1972</v>
          </cell>
          <cell r="T46">
            <v>1720</v>
          </cell>
          <cell r="U46">
            <v>1559</v>
          </cell>
          <cell r="V46">
            <v>1745</v>
          </cell>
          <cell r="W46">
            <v>2006</v>
          </cell>
          <cell r="X46">
            <v>4998</v>
          </cell>
          <cell r="Y46">
            <v>7506</v>
          </cell>
          <cell r="Z46">
            <v>4783</v>
          </cell>
          <cell r="AA46">
            <v>5592</v>
          </cell>
          <cell r="AB46">
            <v>13829</v>
          </cell>
          <cell r="AC46">
            <v>5076</v>
          </cell>
          <cell r="AD46">
            <v>6327</v>
          </cell>
          <cell r="AE46">
            <v>6376</v>
          </cell>
          <cell r="AF46">
            <v>8818</v>
          </cell>
          <cell r="AG46">
            <v>12724</v>
          </cell>
          <cell r="AH46">
            <v>18089</v>
          </cell>
          <cell r="AI46">
            <v>16987</v>
          </cell>
          <cell r="AJ46">
            <v>23752</v>
          </cell>
          <cell r="AK46">
            <v>13585</v>
          </cell>
          <cell r="AL46">
            <v>6097.1962467317198</v>
          </cell>
          <cell r="AM46">
            <v>11164.0618346151</v>
          </cell>
          <cell r="AN46">
            <v>10595.1417244106</v>
          </cell>
          <cell r="AO46">
            <v>8249.6612202158994</v>
          </cell>
          <cell r="AP46">
            <v>8568.8401437641405</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row>
        <row r="47">
          <cell r="B47" t="str">
            <v>Accounts receivable</v>
          </cell>
          <cell r="C47" t="str">
            <v>DEBTORS</v>
          </cell>
          <cell r="D47" t="str">
            <v>SEK</v>
          </cell>
          <cell r="M47">
            <v>8350</v>
          </cell>
          <cell r="N47">
            <v>8629</v>
          </cell>
          <cell r="O47">
            <v>8038</v>
          </cell>
          <cell r="P47">
            <v>9090</v>
          </cell>
          <cell r="Q47">
            <v>9847</v>
          </cell>
          <cell r="R47">
            <v>9649</v>
          </cell>
          <cell r="S47">
            <v>9252</v>
          </cell>
          <cell r="T47">
            <v>9939</v>
          </cell>
          <cell r="U47">
            <v>11777</v>
          </cell>
          <cell r="V47">
            <v>12574</v>
          </cell>
          <cell r="W47">
            <v>15228</v>
          </cell>
          <cell r="X47">
            <v>15930</v>
          </cell>
          <cell r="Y47">
            <v>11587</v>
          </cell>
          <cell r="Z47">
            <v>12738</v>
          </cell>
          <cell r="AA47">
            <v>14563</v>
          </cell>
          <cell r="AB47">
            <v>13579</v>
          </cell>
          <cell r="AC47">
            <v>12682</v>
          </cell>
          <cell r="AD47">
            <v>13840</v>
          </cell>
          <cell r="AE47">
            <v>11955.594016110501</v>
          </cell>
          <cell r="AF47">
            <v>13301</v>
          </cell>
          <cell r="AG47">
            <v>13239</v>
          </cell>
          <cell r="AH47">
            <v>15378</v>
          </cell>
          <cell r="AI47">
            <v>14878</v>
          </cell>
          <cell r="AJ47">
            <v>12369</v>
          </cell>
          <cell r="AK47">
            <v>17341</v>
          </cell>
          <cell r="AL47">
            <v>17248.287915050099</v>
          </cell>
          <cell r="AM47">
            <v>16705.226201736801</v>
          </cell>
          <cell r="AN47">
            <v>18370.096510727901</v>
          </cell>
          <cell r="AO47">
            <v>20003.492057212399</v>
          </cell>
          <cell r="AP47">
            <v>21411.297821618598</v>
          </cell>
        </row>
        <row r="48">
          <cell r="B48" t="str">
            <v>Inventory</v>
          </cell>
          <cell r="C48" t="str">
            <v>STOCKS</v>
          </cell>
          <cell r="D48" t="str">
            <v>SEK</v>
          </cell>
          <cell r="M48">
            <v>10039</v>
          </cell>
          <cell r="N48">
            <v>10350</v>
          </cell>
          <cell r="O48">
            <v>10040</v>
          </cell>
          <cell r="P48">
            <v>11508</v>
          </cell>
          <cell r="Q48">
            <v>12953</v>
          </cell>
          <cell r="R48">
            <v>12849</v>
          </cell>
          <cell r="S48">
            <v>12147</v>
          </cell>
          <cell r="T48">
            <v>13459</v>
          </cell>
          <cell r="U48">
            <v>16440</v>
          </cell>
          <cell r="V48">
            <v>18738</v>
          </cell>
          <cell r="W48">
            <v>25301</v>
          </cell>
          <cell r="X48">
            <v>28614</v>
          </cell>
          <cell r="Y48">
            <v>19842</v>
          </cell>
          <cell r="Z48">
            <v>21420</v>
          </cell>
          <cell r="AA48">
            <v>26077</v>
          </cell>
          <cell r="AB48">
            <v>25508</v>
          </cell>
          <cell r="AC48">
            <v>23318</v>
          </cell>
          <cell r="AD48">
            <v>24056</v>
          </cell>
          <cell r="AE48">
            <v>21522</v>
          </cell>
          <cell r="AF48">
            <v>20977</v>
          </cell>
          <cell r="AG48">
            <v>21389</v>
          </cell>
          <cell r="AH48">
            <v>24609</v>
          </cell>
          <cell r="AI48">
            <v>24243</v>
          </cell>
          <cell r="AJ48">
            <v>21473</v>
          </cell>
          <cell r="AK48">
            <v>29910</v>
          </cell>
          <cell r="AL48">
            <v>33118.761659929201</v>
          </cell>
          <cell r="AM48">
            <v>30284.877121658101</v>
          </cell>
          <cell r="AN48">
            <v>32631.251521801001</v>
          </cell>
          <cell r="AO48">
            <v>34827.613918433097</v>
          </cell>
          <cell r="AP48">
            <v>36543.848337312797</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row>
        <row r="49">
          <cell r="B49" t="str">
            <v>Other current assets</v>
          </cell>
          <cell r="C49" t="str">
            <v>OTH_CUR_ASS</v>
          </cell>
          <cell r="D49" t="str">
            <v>SEK</v>
          </cell>
          <cell r="M49">
            <v>1697</v>
          </cell>
          <cell r="N49">
            <v>1366</v>
          </cell>
          <cell r="O49">
            <v>1431</v>
          </cell>
          <cell r="P49">
            <v>2057</v>
          </cell>
          <cell r="Q49">
            <v>1986</v>
          </cell>
          <cell r="R49">
            <v>2426</v>
          </cell>
          <cell r="S49">
            <v>2674</v>
          </cell>
          <cell r="T49">
            <v>3593</v>
          </cell>
          <cell r="U49">
            <v>3954</v>
          </cell>
          <cell r="V49">
            <v>5263</v>
          </cell>
          <cell r="W49">
            <v>6801</v>
          </cell>
          <cell r="X49">
            <v>10738</v>
          </cell>
          <cell r="Y49">
            <v>6286</v>
          </cell>
          <cell r="Z49">
            <v>6590</v>
          </cell>
          <cell r="AA49">
            <v>8163</v>
          </cell>
          <cell r="AB49">
            <v>7932</v>
          </cell>
          <cell r="AC49">
            <v>7454</v>
          </cell>
          <cell r="AD49">
            <v>7885</v>
          </cell>
          <cell r="AE49">
            <v>8930.40598388953</v>
          </cell>
          <cell r="AF49">
            <v>6419</v>
          </cell>
          <cell r="AG49">
            <v>10913</v>
          </cell>
          <cell r="AH49">
            <v>6999</v>
          </cell>
          <cell r="AI49">
            <v>8942</v>
          </cell>
          <cell r="AJ49">
            <v>6379</v>
          </cell>
          <cell r="AK49">
            <v>9537</v>
          </cell>
          <cell r="AL49">
            <v>9537</v>
          </cell>
          <cell r="AM49">
            <v>9537</v>
          </cell>
          <cell r="AN49">
            <v>9537</v>
          </cell>
          <cell r="AO49">
            <v>9537</v>
          </cell>
          <cell r="AP49">
            <v>9536.9999999999909</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row>
        <row r="50">
          <cell r="B50" t="str">
            <v>Total current assets</v>
          </cell>
          <cell r="C50" t="str">
            <v>CUR_ASS</v>
          </cell>
          <cell r="D50" t="str">
            <v>SEK</v>
          </cell>
          <cell r="M50">
            <v>22580</v>
          </cell>
          <cell r="N50">
            <v>22145</v>
          </cell>
          <cell r="O50">
            <v>21878</v>
          </cell>
          <cell r="P50">
            <v>24752</v>
          </cell>
          <cell r="Q50">
            <v>27044</v>
          </cell>
          <cell r="R50">
            <v>27099</v>
          </cell>
          <cell r="S50">
            <v>26045</v>
          </cell>
          <cell r="T50">
            <v>28711</v>
          </cell>
          <cell r="U50">
            <v>33730</v>
          </cell>
          <cell r="V50">
            <v>38320</v>
          </cell>
          <cell r="W50">
            <v>49336</v>
          </cell>
          <cell r="X50">
            <v>60280</v>
          </cell>
          <cell r="Y50">
            <v>45221</v>
          </cell>
          <cell r="Z50">
            <v>45531</v>
          </cell>
          <cell r="AA50">
            <v>54395</v>
          </cell>
          <cell r="AB50">
            <v>60848</v>
          </cell>
          <cell r="AC50">
            <v>48530</v>
          </cell>
          <cell r="AD50">
            <v>52108</v>
          </cell>
          <cell r="AE50">
            <v>48784</v>
          </cell>
          <cell r="AF50">
            <v>49515</v>
          </cell>
          <cell r="AG50">
            <v>58265</v>
          </cell>
          <cell r="AH50">
            <v>65075</v>
          </cell>
          <cell r="AI50">
            <v>64973</v>
          </cell>
          <cell r="AJ50">
            <v>63973</v>
          </cell>
          <cell r="AK50">
            <v>70373</v>
          </cell>
          <cell r="AL50">
            <v>66001.245821711098</v>
          </cell>
          <cell r="AM50">
            <v>67691.165158010102</v>
          </cell>
          <cell r="AN50">
            <v>71133.489756939496</v>
          </cell>
          <cell r="AO50">
            <v>72617.767195861394</v>
          </cell>
          <cell r="AP50">
            <v>76060.986302695499</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row>
        <row r="51">
          <cell r="B51" t="str">
            <v>Gross fixed assets, PP&amp;E</v>
          </cell>
          <cell r="C51" t="str">
            <v>GR_FIX_ASS</v>
          </cell>
          <cell r="D51" t="str">
            <v>SEK</v>
          </cell>
          <cell r="M51">
            <v>26107</v>
          </cell>
          <cell r="N51">
            <v>28938</v>
          </cell>
          <cell r="O51">
            <v>28213</v>
          </cell>
          <cell r="P51">
            <v>30382</v>
          </cell>
          <cell r="Q51">
            <v>33401</v>
          </cell>
          <cell r="R51">
            <v>34898</v>
          </cell>
          <cell r="S51">
            <v>34684</v>
          </cell>
          <cell r="T51">
            <v>35408</v>
          </cell>
          <cell r="U51">
            <v>39176</v>
          </cell>
          <cell r="V51">
            <v>39864</v>
          </cell>
          <cell r="W51">
            <v>44523</v>
          </cell>
          <cell r="X51">
            <v>53137</v>
          </cell>
          <cell r="Y51">
            <v>55452</v>
          </cell>
          <cell r="Z51">
            <v>54957</v>
          </cell>
          <cell r="AA51">
            <v>57418</v>
          </cell>
          <cell r="AB51">
            <v>58563</v>
          </cell>
          <cell r="AC51">
            <v>60299</v>
          </cell>
          <cell r="AD51">
            <v>65638</v>
          </cell>
          <cell r="AE51">
            <v>65857</v>
          </cell>
          <cell r="AF51">
            <v>70739</v>
          </cell>
          <cell r="AG51">
            <v>73365</v>
          </cell>
          <cell r="AH51">
            <v>78874</v>
          </cell>
          <cell r="AI51">
            <v>84859</v>
          </cell>
          <cell r="AJ51">
            <v>67702</v>
          </cell>
          <cell r="AK51">
            <v>71801</v>
          </cell>
          <cell r="AL51">
            <v>70118.0767750378</v>
          </cell>
          <cell r="AM51">
            <v>76341.441561551197</v>
          </cell>
          <cell r="AN51">
            <v>83553.638415581096</v>
          </cell>
          <cell r="AO51">
            <v>91283.085983982703</v>
          </cell>
          <cell r="AP51">
            <v>99458.346288254106</v>
          </cell>
        </row>
        <row r="52">
          <cell r="B52" t="str">
            <v>Accumulated depreciation</v>
          </cell>
          <cell r="C52" t="str">
            <v>ACC_DDA</v>
          </cell>
          <cell r="D52" t="str">
            <v>SEK</v>
          </cell>
          <cell r="M52">
            <v>-13371</v>
          </cell>
          <cell r="N52">
            <v>-14796</v>
          </cell>
          <cell r="O52">
            <v>-14965</v>
          </cell>
          <cell r="P52">
            <v>-16457</v>
          </cell>
          <cell r="Q52">
            <v>-18244</v>
          </cell>
          <cell r="R52">
            <v>-19641</v>
          </cell>
          <cell r="S52">
            <v>-19692</v>
          </cell>
          <cell r="T52">
            <v>-20338</v>
          </cell>
          <cell r="U52">
            <v>-22489</v>
          </cell>
          <cell r="V52">
            <v>-22187</v>
          </cell>
          <cell r="W52">
            <v>-23628</v>
          </cell>
          <cell r="X52">
            <v>-27014</v>
          </cell>
          <cell r="Y52">
            <v>-28933</v>
          </cell>
          <cell r="Z52">
            <v>-29705</v>
          </cell>
          <cell r="AA52">
            <v>-31716</v>
          </cell>
          <cell r="AB52">
            <v>-33047</v>
          </cell>
          <cell r="AC52">
            <v>-35044</v>
          </cell>
          <cell r="AD52">
            <v>-38029</v>
          </cell>
          <cell r="AE52">
            <v>-39526</v>
          </cell>
          <cell r="AF52">
            <v>-44030</v>
          </cell>
          <cell r="AG52">
            <v>-48966</v>
          </cell>
          <cell r="AH52">
            <v>-53512</v>
          </cell>
          <cell r="AI52">
            <v>-59216</v>
          </cell>
          <cell r="AJ52">
            <v>-43727</v>
          </cell>
          <cell r="AK52">
            <v>-45725</v>
          </cell>
          <cell r="AL52">
            <v>-52705.700732608399</v>
          </cell>
          <cell r="AM52">
            <v>-59149.388354244402</v>
          </cell>
          <cell r="AN52">
            <v>-66101.264172613606</v>
          </cell>
          <cell r="AO52">
            <v>-73551.720771021603</v>
          </cell>
          <cell r="AP52">
            <v>-81431.898693006893</v>
          </cell>
        </row>
        <row r="53">
          <cell r="B53" t="str">
            <v>Net PP&amp;E</v>
          </cell>
          <cell r="C53" t="str">
            <v>NET_FIX_ASS</v>
          </cell>
          <cell r="D53" t="str">
            <v>SEK</v>
          </cell>
          <cell r="M53">
            <v>12736</v>
          </cell>
          <cell r="N53">
            <v>14142</v>
          </cell>
          <cell r="O53">
            <v>13248</v>
          </cell>
          <cell r="P53">
            <v>13925</v>
          </cell>
          <cell r="Q53">
            <v>15157</v>
          </cell>
          <cell r="R53">
            <v>15257</v>
          </cell>
          <cell r="S53">
            <v>14992</v>
          </cell>
          <cell r="T53">
            <v>15070</v>
          </cell>
          <cell r="U53">
            <v>16687</v>
          </cell>
          <cell r="V53">
            <v>17677</v>
          </cell>
          <cell r="W53">
            <v>20895</v>
          </cell>
          <cell r="X53">
            <v>26123</v>
          </cell>
          <cell r="Y53">
            <v>26519</v>
          </cell>
          <cell r="Z53">
            <v>25252</v>
          </cell>
          <cell r="AA53">
            <v>25702</v>
          </cell>
          <cell r="AB53">
            <v>25516</v>
          </cell>
          <cell r="AC53">
            <v>25255</v>
          </cell>
          <cell r="AD53">
            <v>27609</v>
          </cell>
          <cell r="AE53">
            <v>26331</v>
          </cell>
          <cell r="AF53">
            <v>26709</v>
          </cell>
          <cell r="AG53">
            <v>24399</v>
          </cell>
          <cell r="AH53">
            <v>25362</v>
          </cell>
          <cell r="AI53">
            <v>25643</v>
          </cell>
          <cell r="AJ53">
            <v>23975</v>
          </cell>
          <cell r="AK53">
            <v>26076</v>
          </cell>
          <cell r="AL53">
            <v>17412.376042429401</v>
          </cell>
          <cell r="AM53">
            <v>17192.053207306799</v>
          </cell>
          <cell r="AN53">
            <v>17452.374242967398</v>
          </cell>
          <cell r="AO53">
            <v>17731.3652129611</v>
          </cell>
          <cell r="AP53">
            <v>18026.447595247198</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row>
        <row r="54">
          <cell r="B54" t="str">
            <v>Gross intangibles</v>
          </cell>
          <cell r="C54" t="str">
            <v>GR_INTANG</v>
          </cell>
          <cell r="D54" t="str">
            <v>SEK</v>
          </cell>
          <cell r="M54">
            <v>4890</v>
          </cell>
          <cell r="N54">
            <v>5689</v>
          </cell>
          <cell r="O54">
            <v>5768</v>
          </cell>
          <cell r="P54">
            <v>6334</v>
          </cell>
          <cell r="Q54">
            <v>7055</v>
          </cell>
          <cell r="R54">
            <v>8469</v>
          </cell>
          <cell r="S54">
            <v>8238</v>
          </cell>
          <cell r="T54">
            <v>5515</v>
          </cell>
          <cell r="U54">
            <v>6425</v>
          </cell>
          <cell r="V54">
            <v>7076</v>
          </cell>
          <cell r="W54">
            <v>12665</v>
          </cell>
          <cell r="X54">
            <v>14218</v>
          </cell>
          <cell r="Y54">
            <v>16562</v>
          </cell>
          <cell r="Z54">
            <v>15906</v>
          </cell>
          <cell r="AA54">
            <v>14744</v>
          </cell>
          <cell r="AB54">
            <v>14583</v>
          </cell>
          <cell r="AC54">
            <v>15709</v>
          </cell>
          <cell r="AD54">
            <v>22936</v>
          </cell>
          <cell r="AE54">
            <v>23733</v>
          </cell>
          <cell r="AF54">
            <v>24660</v>
          </cell>
          <cell r="AG54">
            <v>22796</v>
          </cell>
          <cell r="AH54">
            <v>27670</v>
          </cell>
          <cell r="AI54">
            <v>25494</v>
          </cell>
          <cell r="AJ54">
            <v>29747</v>
          </cell>
          <cell r="AK54">
            <v>57560</v>
          </cell>
          <cell r="AL54">
            <v>61240.9042978988</v>
          </cell>
          <cell r="AM54">
            <v>66168.784105955696</v>
          </cell>
          <cell r="AN54">
            <v>71727.725189782403</v>
          </cell>
          <cell r="AO54">
            <v>77906.301786583397</v>
          </cell>
          <cell r="AP54">
            <v>84749.5654432468</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row>
        <row r="55">
          <cell r="B55" t="str">
            <v>Accumulated amortization</v>
          </cell>
          <cell r="C55" t="str">
            <v>ACC_AMORT</v>
          </cell>
          <cell r="D55" t="str">
            <v>SEK</v>
          </cell>
          <cell r="F55">
            <v>0</v>
          </cell>
          <cell r="G55">
            <v>0</v>
          </cell>
          <cell r="H55">
            <v>0</v>
          </cell>
          <cell r="I55">
            <v>0</v>
          </cell>
          <cell r="J55">
            <v>0</v>
          </cell>
          <cell r="K55">
            <v>0</v>
          </cell>
          <cell r="M55">
            <v>-785</v>
          </cell>
          <cell r="N55">
            <v>-1087</v>
          </cell>
          <cell r="O55">
            <v>-1350</v>
          </cell>
          <cell r="P55">
            <v>-1814</v>
          </cell>
          <cell r="Q55">
            <v>-2244</v>
          </cell>
          <cell r="R55">
            <v>-2571</v>
          </cell>
          <cell r="S55">
            <v>-3378</v>
          </cell>
          <cell r="T55">
            <v>-376</v>
          </cell>
          <cell r="U55">
            <v>-551</v>
          </cell>
          <cell r="V55">
            <v>-825</v>
          </cell>
          <cell r="W55">
            <v>-1240</v>
          </cell>
          <cell r="X55">
            <v>-1746</v>
          </cell>
          <cell r="Y55">
            <v>-2425</v>
          </cell>
          <cell r="Z55">
            <v>-2713</v>
          </cell>
          <cell r="AA55">
            <v>-2937</v>
          </cell>
          <cell r="AB55">
            <v>-3160</v>
          </cell>
          <cell r="AC55">
            <v>-3762</v>
          </cell>
          <cell r="AD55">
            <v>-4613</v>
          </cell>
          <cell r="AE55">
            <v>-5420</v>
          </cell>
          <cell r="AF55">
            <v>-5420</v>
          </cell>
          <cell r="AG55">
            <v>-5420</v>
          </cell>
          <cell r="AH55">
            <v>-5420</v>
          </cell>
          <cell r="AI55">
            <v>-5420</v>
          </cell>
          <cell r="AJ55">
            <v>-8743</v>
          </cell>
          <cell r="AK55">
            <v>-9751</v>
          </cell>
          <cell r="AL55">
            <v>-9751</v>
          </cell>
          <cell r="AM55">
            <v>-9751</v>
          </cell>
          <cell r="AN55">
            <v>-9751</v>
          </cell>
          <cell r="AO55">
            <v>-9751</v>
          </cell>
          <cell r="AP55">
            <v>-9751</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row>
        <row r="56">
          <cell r="B56" t="str">
            <v>Net intangible assets</v>
          </cell>
          <cell r="C56" t="str">
            <v>NET_INTANG</v>
          </cell>
          <cell r="D56" t="str">
            <v>SEK</v>
          </cell>
          <cell r="M56">
            <v>4105</v>
          </cell>
          <cell r="N56">
            <v>4602</v>
          </cell>
          <cell r="O56">
            <v>4418</v>
          </cell>
          <cell r="P56">
            <v>4520</v>
          </cell>
          <cell r="Q56">
            <v>4811</v>
          </cell>
          <cell r="R56">
            <v>5898</v>
          </cell>
          <cell r="S56">
            <v>4860</v>
          </cell>
          <cell r="T56">
            <v>5139</v>
          </cell>
          <cell r="U56">
            <v>5874</v>
          </cell>
          <cell r="V56">
            <v>6251</v>
          </cell>
          <cell r="W56">
            <v>11425</v>
          </cell>
          <cell r="X56">
            <v>12472</v>
          </cell>
          <cell r="Y56">
            <v>14137</v>
          </cell>
          <cell r="Z56">
            <v>13193</v>
          </cell>
          <cell r="AA56">
            <v>11807</v>
          </cell>
          <cell r="AB56">
            <v>11423</v>
          </cell>
          <cell r="AC56">
            <v>11947</v>
          </cell>
          <cell r="AD56">
            <v>18323</v>
          </cell>
          <cell r="AE56">
            <v>18313</v>
          </cell>
          <cell r="AF56">
            <v>19240</v>
          </cell>
          <cell r="AG56">
            <v>17376</v>
          </cell>
          <cell r="AH56">
            <v>22250</v>
          </cell>
          <cell r="AI56">
            <v>20074</v>
          </cell>
          <cell r="AJ56">
            <v>21004</v>
          </cell>
          <cell r="AK56">
            <v>47809</v>
          </cell>
          <cell r="AL56">
            <v>51489.9042978988</v>
          </cell>
          <cell r="AM56">
            <v>56417.784105955703</v>
          </cell>
          <cell r="AN56">
            <v>61976.725189782403</v>
          </cell>
          <cell r="AO56">
            <v>68155.301786583397</v>
          </cell>
          <cell r="AP56">
            <v>74998.5654432468</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row>
        <row r="57">
          <cell r="B57" t="str">
            <v>Equity method investments</v>
          </cell>
          <cell r="C57" t="str">
            <v>FIX_ASS_INV</v>
          </cell>
          <cell r="D57" t="str">
            <v>SEK</v>
          </cell>
          <cell r="M57">
            <v>386</v>
          </cell>
          <cell r="N57">
            <v>371</v>
          </cell>
          <cell r="O57">
            <v>311</v>
          </cell>
          <cell r="P57">
            <v>330</v>
          </cell>
          <cell r="Q57">
            <v>359</v>
          </cell>
          <cell r="R57">
            <v>439</v>
          </cell>
          <cell r="S57">
            <v>342</v>
          </cell>
          <cell r="T57">
            <v>413</v>
          </cell>
          <cell r="U57">
            <v>484</v>
          </cell>
          <cell r="V57">
            <v>543</v>
          </cell>
          <cell r="W57">
            <v>348</v>
          </cell>
          <cell r="X57">
            <v>485</v>
          </cell>
          <cell r="Y57">
            <v>385</v>
          </cell>
          <cell r="Z57">
            <v>467</v>
          </cell>
          <cell r="AA57">
            <v>456</v>
          </cell>
          <cell r="AB57">
            <v>356</v>
          </cell>
          <cell r="AC57">
            <v>211</v>
          </cell>
          <cell r="AD57">
            <v>239</v>
          </cell>
          <cell r="AE57">
            <v>225.57627732818</v>
          </cell>
          <cell r="AF57">
            <v>246</v>
          </cell>
          <cell r="AG57">
            <v>269</v>
          </cell>
          <cell r="AH57">
            <v>0</v>
          </cell>
          <cell r="AI57">
            <v>292</v>
          </cell>
          <cell r="AJ57">
            <v>508</v>
          </cell>
          <cell r="AK57">
            <v>595</v>
          </cell>
          <cell r="AL57">
            <v>420.81333670118698</v>
          </cell>
          <cell r="AM57">
            <v>420.81333670118698</v>
          </cell>
          <cell r="AN57">
            <v>420.81333670118698</v>
          </cell>
          <cell r="AO57">
            <v>420.81333670118698</v>
          </cell>
          <cell r="AP57">
            <v>420.81333670118698</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row>
        <row r="58">
          <cell r="B58" t="str">
            <v>Investments in securities</v>
          </cell>
          <cell r="C58" t="str">
            <v>INV_SECUR</v>
          </cell>
          <cell r="D58" t="str">
            <v>SEK</v>
          </cell>
          <cell r="M58">
            <v>72</v>
          </cell>
          <cell r="N58">
            <v>64</v>
          </cell>
          <cell r="O58">
            <v>54</v>
          </cell>
          <cell r="P58">
            <v>41</v>
          </cell>
          <cell r="Q58">
            <v>920</v>
          </cell>
          <cell r="R58">
            <v>57</v>
          </cell>
          <cell r="S58">
            <v>28</v>
          </cell>
          <cell r="T58">
            <v>13</v>
          </cell>
          <cell r="U58">
            <v>91</v>
          </cell>
          <cell r="V58">
            <v>89</v>
          </cell>
          <cell r="W58">
            <v>79</v>
          </cell>
          <cell r="X58">
            <v>78</v>
          </cell>
          <cell r="Y58">
            <v>78</v>
          </cell>
          <cell r="Z58">
            <v>78</v>
          </cell>
          <cell r="AA58">
            <v>80</v>
          </cell>
          <cell r="AB58">
            <v>80</v>
          </cell>
          <cell r="AC58">
            <v>80</v>
          </cell>
          <cell r="AD58">
            <v>80</v>
          </cell>
          <cell r="AE58">
            <v>75.506703708177</v>
          </cell>
          <cell r="AF58">
            <v>82</v>
          </cell>
          <cell r="AG58">
            <v>83</v>
          </cell>
          <cell r="AH58">
            <v>119</v>
          </cell>
          <cell r="AI58">
            <v>83</v>
          </cell>
          <cell r="AJ58">
            <v>81</v>
          </cell>
          <cell r="AK58">
            <v>94</v>
          </cell>
          <cell r="AL58">
            <v>66.481434705734003</v>
          </cell>
          <cell r="AM58">
            <v>66.481434705734003</v>
          </cell>
          <cell r="AN58">
            <v>66.481434705734003</v>
          </cell>
          <cell r="AO58">
            <v>66.481434705734003</v>
          </cell>
          <cell r="AP58">
            <v>66.481434705734003</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row>
        <row r="59">
          <cell r="B59" t="str">
            <v>Other long-term assets</v>
          </cell>
          <cell r="C59" t="str">
            <v>OTH_LT_ASS</v>
          </cell>
          <cell r="D59" t="str">
            <v>SEK</v>
          </cell>
          <cell r="M59">
            <v>182</v>
          </cell>
          <cell r="N59">
            <v>282</v>
          </cell>
          <cell r="O59">
            <v>287</v>
          </cell>
          <cell r="P59">
            <v>340</v>
          </cell>
          <cell r="Q59">
            <v>1258</v>
          </cell>
          <cell r="R59">
            <v>1371</v>
          </cell>
          <cell r="S59">
            <v>2130</v>
          </cell>
          <cell r="T59">
            <v>2028</v>
          </cell>
          <cell r="U59">
            <v>2696</v>
          </cell>
          <cell r="V59">
            <v>3021</v>
          </cell>
          <cell r="W59">
            <v>3352</v>
          </cell>
          <cell r="X59">
            <v>3789</v>
          </cell>
          <cell r="Y59">
            <v>5235</v>
          </cell>
          <cell r="Z59">
            <v>5478</v>
          </cell>
          <cell r="AA59">
            <v>6299</v>
          </cell>
          <cell r="AB59">
            <v>5829</v>
          </cell>
          <cell r="AC59">
            <v>7859</v>
          </cell>
          <cell r="AD59">
            <v>7960</v>
          </cell>
          <cell r="AE59">
            <v>7512.9170189636397</v>
          </cell>
          <cell r="AF59">
            <v>7708</v>
          </cell>
          <cell r="AG59">
            <v>6412</v>
          </cell>
          <cell r="AH59">
            <v>5545</v>
          </cell>
          <cell r="AI59">
            <v>9358</v>
          </cell>
          <cell r="AJ59">
            <v>9587</v>
          </cell>
          <cell r="AK59">
            <v>10568</v>
          </cell>
          <cell r="AL59">
            <v>9162.7052285930804</v>
          </cell>
          <cell r="AM59">
            <v>9162.7052285930804</v>
          </cell>
          <cell r="AN59">
            <v>9162.7052285930804</v>
          </cell>
          <cell r="AO59">
            <v>9162.7052285930804</v>
          </cell>
          <cell r="AP59">
            <v>9162.7052285930804</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row>
        <row r="60">
          <cell r="B60" t="str">
            <v>Total assets</v>
          </cell>
          <cell r="C60" t="str">
            <v>TOT_ASSET</v>
          </cell>
          <cell r="D60" t="str">
            <v>SEK</v>
          </cell>
          <cell r="M60">
            <v>40061</v>
          </cell>
          <cell r="N60">
            <v>41606</v>
          </cell>
          <cell r="O60">
            <v>40196</v>
          </cell>
          <cell r="P60">
            <v>43908</v>
          </cell>
          <cell r="Q60">
            <v>49549</v>
          </cell>
          <cell r="R60">
            <v>50121</v>
          </cell>
          <cell r="S60">
            <v>48397</v>
          </cell>
          <cell r="T60">
            <v>51374</v>
          </cell>
          <cell r="U60">
            <v>59562</v>
          </cell>
          <cell r="V60">
            <v>65901</v>
          </cell>
          <cell r="W60">
            <v>85435</v>
          </cell>
          <cell r="X60">
            <v>103227</v>
          </cell>
          <cell r="Y60">
            <v>91575</v>
          </cell>
          <cell r="Z60">
            <v>89999</v>
          </cell>
          <cell r="AA60">
            <v>98739</v>
          </cell>
          <cell r="AB60">
            <v>104052</v>
          </cell>
          <cell r="AC60">
            <v>93882</v>
          </cell>
          <cell r="AD60">
            <v>106319</v>
          </cell>
          <cell r="AE60">
            <v>101242</v>
          </cell>
          <cell r="AF60">
            <v>103500</v>
          </cell>
          <cell r="AG60">
            <v>106804</v>
          </cell>
          <cell r="AH60">
            <v>118351</v>
          </cell>
          <cell r="AI60">
            <v>120423</v>
          </cell>
          <cell r="AJ60">
            <v>119128</v>
          </cell>
          <cell r="AK60">
            <v>155515</v>
          </cell>
          <cell r="AL60">
            <v>144553.52616203899</v>
          </cell>
          <cell r="AM60">
            <v>150951.00247127301</v>
          </cell>
          <cell r="AN60">
            <v>160212.589189689</v>
          </cell>
          <cell r="AO60">
            <v>168154.43419540601</v>
          </cell>
          <cell r="AP60">
            <v>178735.99934118899</v>
          </cell>
        </row>
        <row r="61">
          <cell r="B61" t="str">
            <v>Accounts payable</v>
          </cell>
          <cell r="C61" t="str">
            <v>ACC_PAY_GQ</v>
          </cell>
          <cell r="D61" t="str">
            <v>SEK</v>
          </cell>
          <cell r="M61">
            <v>2490</v>
          </cell>
          <cell r="N61">
            <v>2323</v>
          </cell>
          <cell r="O61">
            <v>2117</v>
          </cell>
          <cell r="P61">
            <v>2665</v>
          </cell>
          <cell r="Q61">
            <v>2733</v>
          </cell>
          <cell r="R61">
            <v>2603</v>
          </cell>
          <cell r="S61">
            <v>3002</v>
          </cell>
          <cell r="T61">
            <v>3731</v>
          </cell>
          <cell r="U61">
            <v>4723</v>
          </cell>
          <cell r="V61">
            <v>5921</v>
          </cell>
          <cell r="W61">
            <v>6777</v>
          </cell>
          <cell r="X61">
            <v>7000</v>
          </cell>
          <cell r="Y61">
            <v>4730</v>
          </cell>
          <cell r="Z61">
            <v>6889</v>
          </cell>
          <cell r="AA61">
            <v>8133</v>
          </cell>
          <cell r="AB61">
            <v>6585</v>
          </cell>
          <cell r="AC61">
            <v>6676</v>
          </cell>
          <cell r="AD61">
            <v>6762</v>
          </cell>
          <cell r="AE61">
            <v>6230.1676837599098</v>
          </cell>
          <cell r="AF61">
            <v>6286</v>
          </cell>
          <cell r="AG61">
            <v>7380</v>
          </cell>
          <cell r="AH61">
            <v>7776</v>
          </cell>
          <cell r="AI61">
            <v>7598</v>
          </cell>
          <cell r="AJ61">
            <v>6974</v>
          </cell>
          <cell r="AK61">
            <v>11907</v>
          </cell>
          <cell r="AL61">
            <v>12707.243817377601</v>
          </cell>
          <cell r="AM61">
            <v>11128.3509387096</v>
          </cell>
          <cell r="AN61">
            <v>10873.378994763199</v>
          </cell>
          <cell r="AO61">
            <v>9016.9660114769995</v>
          </cell>
          <cell r="AP61">
            <v>9660.6225031740105</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row>
        <row r="62">
          <cell r="B62" t="str">
            <v>Short-term debt</v>
          </cell>
          <cell r="C62" t="str">
            <v>SHORT_T_DEBT</v>
          </cell>
          <cell r="D62" t="str">
            <v>SEK</v>
          </cell>
          <cell r="M62">
            <v>6449</v>
          </cell>
          <cell r="N62">
            <v>6716</v>
          </cell>
          <cell r="O62">
            <v>3474</v>
          </cell>
          <cell r="P62">
            <v>3901</v>
          </cell>
          <cell r="Q62">
            <v>7306</v>
          </cell>
          <cell r="R62">
            <v>6192</v>
          </cell>
          <cell r="S62">
            <v>3001</v>
          </cell>
          <cell r="T62">
            <v>5006</v>
          </cell>
          <cell r="U62">
            <v>6059</v>
          </cell>
          <cell r="V62">
            <v>6780</v>
          </cell>
          <cell r="W62">
            <v>9158</v>
          </cell>
          <cell r="X62">
            <v>11324</v>
          </cell>
          <cell r="Y62">
            <v>3431</v>
          </cell>
          <cell r="Z62">
            <v>3109</v>
          </cell>
          <cell r="AA62">
            <v>4095</v>
          </cell>
          <cell r="AB62">
            <v>1008</v>
          </cell>
          <cell r="AC62">
            <v>2633</v>
          </cell>
          <cell r="AD62">
            <v>1798</v>
          </cell>
          <cell r="AE62">
            <v>3483.2474804031399</v>
          </cell>
          <cell r="AF62">
            <v>2883</v>
          </cell>
          <cell r="AG62">
            <v>404</v>
          </cell>
          <cell r="AH62">
            <v>2348</v>
          </cell>
          <cell r="AI62">
            <v>172</v>
          </cell>
          <cell r="AJ62">
            <v>206</v>
          </cell>
          <cell r="AK62">
            <v>8151</v>
          </cell>
          <cell r="AL62">
            <v>7615</v>
          </cell>
          <cell r="AM62">
            <v>7615</v>
          </cell>
          <cell r="AN62">
            <v>7615</v>
          </cell>
          <cell r="AO62">
            <v>7615</v>
          </cell>
          <cell r="AP62">
            <v>7615</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row>
        <row r="63">
          <cell r="B63" t="str">
            <v>Current lease liabilities (op lease: US GAAP)</v>
          </cell>
          <cell r="C63" t="str">
            <v>ST_LEASE_LIAB</v>
          </cell>
          <cell r="D63" t="str">
            <v>SEK</v>
          </cell>
          <cell r="AI63">
            <v>792</v>
          </cell>
          <cell r="AJ63">
            <v>795</v>
          </cell>
          <cell r="AK63">
            <v>975</v>
          </cell>
          <cell r="AL63">
            <v>975</v>
          </cell>
          <cell r="AM63">
            <v>975</v>
          </cell>
          <cell r="AN63">
            <v>975</v>
          </cell>
          <cell r="AO63">
            <v>975</v>
          </cell>
          <cell r="AP63">
            <v>975</v>
          </cell>
        </row>
        <row r="64">
          <cell r="B64" t="str">
            <v>Other current liabilities</v>
          </cell>
          <cell r="C64" t="str">
            <v>OTH_CUR_LIABS</v>
          </cell>
          <cell r="D64" t="str">
            <v>SEK</v>
          </cell>
          <cell r="M64">
            <v>6110</v>
          </cell>
          <cell r="N64">
            <v>5693</v>
          </cell>
          <cell r="O64">
            <v>5016</v>
          </cell>
          <cell r="P64">
            <v>5866</v>
          </cell>
          <cell r="Q64">
            <v>5815</v>
          </cell>
          <cell r="R64">
            <v>6247</v>
          </cell>
          <cell r="S64">
            <v>5260</v>
          </cell>
          <cell r="T64">
            <v>6512</v>
          </cell>
          <cell r="U64">
            <v>9531</v>
          </cell>
          <cell r="V64">
            <v>11445</v>
          </cell>
          <cell r="W64">
            <v>12824</v>
          </cell>
          <cell r="X64">
            <v>16945</v>
          </cell>
          <cell r="Y64">
            <v>16143</v>
          </cell>
          <cell r="Z64">
            <v>14635</v>
          </cell>
          <cell r="AA64">
            <v>19008</v>
          </cell>
          <cell r="AB64">
            <v>19206</v>
          </cell>
          <cell r="AC64">
            <v>19323</v>
          </cell>
          <cell r="AD64">
            <v>16077</v>
          </cell>
          <cell r="AE64">
            <v>17596.584835836999</v>
          </cell>
          <cell r="AF64">
            <v>16987</v>
          </cell>
          <cell r="AG64">
            <v>17323</v>
          </cell>
          <cell r="AH64">
            <v>16627</v>
          </cell>
          <cell r="AI64">
            <v>20829</v>
          </cell>
          <cell r="AJ64">
            <v>19972</v>
          </cell>
          <cell r="AK64">
            <v>21251</v>
          </cell>
          <cell r="AL64">
            <v>17731.072061767201</v>
          </cell>
          <cell r="AM64">
            <v>17731.072061767201</v>
          </cell>
          <cell r="AN64">
            <v>17731.072061767201</v>
          </cell>
          <cell r="AO64">
            <v>17731.072061767201</v>
          </cell>
          <cell r="AP64">
            <v>17731.072061767201</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row>
        <row r="65">
          <cell r="B65" t="str">
            <v>Total current liabilities</v>
          </cell>
          <cell r="C65" t="str">
            <v>SHORT_TERM_LIABS</v>
          </cell>
          <cell r="D65" t="str">
            <v>SEK</v>
          </cell>
          <cell r="M65">
            <v>15049</v>
          </cell>
          <cell r="N65">
            <v>14732</v>
          </cell>
          <cell r="O65">
            <v>10607</v>
          </cell>
          <cell r="P65">
            <v>12432</v>
          </cell>
          <cell r="Q65">
            <v>15854</v>
          </cell>
          <cell r="R65">
            <v>15042</v>
          </cell>
          <cell r="S65">
            <v>11263</v>
          </cell>
          <cell r="T65">
            <v>15249</v>
          </cell>
          <cell r="U65">
            <v>20313</v>
          </cell>
          <cell r="V65">
            <v>24146</v>
          </cell>
          <cell r="W65">
            <v>28759</v>
          </cell>
          <cell r="X65">
            <v>35269</v>
          </cell>
          <cell r="Y65">
            <v>24304</v>
          </cell>
          <cell r="Z65">
            <v>24633</v>
          </cell>
          <cell r="AA65">
            <v>31236</v>
          </cell>
          <cell r="AB65">
            <v>26799</v>
          </cell>
          <cell r="AC65">
            <v>28632</v>
          </cell>
          <cell r="AD65">
            <v>24637</v>
          </cell>
          <cell r="AE65">
            <v>27310</v>
          </cell>
          <cell r="AF65">
            <v>26156</v>
          </cell>
          <cell r="AG65">
            <v>25107</v>
          </cell>
          <cell r="AH65">
            <v>26751</v>
          </cell>
          <cell r="AI65">
            <v>29391</v>
          </cell>
          <cell r="AJ65">
            <v>27947</v>
          </cell>
          <cell r="AK65">
            <v>42284</v>
          </cell>
          <cell r="AL65">
            <v>39028.3158791448</v>
          </cell>
          <cell r="AM65">
            <v>37449.423000476898</v>
          </cell>
          <cell r="AN65">
            <v>37194.451056530401</v>
          </cell>
          <cell r="AO65">
            <v>35338.038073244199</v>
          </cell>
          <cell r="AP65">
            <v>35981.694564941201</v>
          </cell>
        </row>
        <row r="66">
          <cell r="B66" t="str">
            <v>Long-term  debt</v>
          </cell>
          <cell r="C66" t="str">
            <v>LT_DEBT</v>
          </cell>
          <cell r="D66" t="str">
            <v>SEK</v>
          </cell>
          <cell r="M66">
            <v>819</v>
          </cell>
          <cell r="N66">
            <v>1033</v>
          </cell>
          <cell r="O66">
            <v>2620</v>
          </cell>
          <cell r="P66">
            <v>2257</v>
          </cell>
          <cell r="Q66">
            <v>3152</v>
          </cell>
          <cell r="R66">
            <v>4917</v>
          </cell>
          <cell r="S66">
            <v>7304</v>
          </cell>
          <cell r="T66">
            <v>6011</v>
          </cell>
          <cell r="U66">
            <v>7451</v>
          </cell>
          <cell r="V66">
            <v>7190</v>
          </cell>
          <cell r="W66">
            <v>18377</v>
          </cell>
          <cell r="X66">
            <v>22579</v>
          </cell>
          <cell r="Y66">
            <v>29150</v>
          </cell>
          <cell r="Z66">
            <v>23420</v>
          </cell>
          <cell r="AA66">
            <v>24767</v>
          </cell>
          <cell r="AB66">
            <v>32263</v>
          </cell>
          <cell r="AC66">
            <v>23213</v>
          </cell>
          <cell r="AD66">
            <v>34390</v>
          </cell>
          <cell r="AE66">
            <v>29561.818664606799</v>
          </cell>
          <cell r="AF66">
            <v>26738</v>
          </cell>
          <cell r="AG66">
            <v>22833</v>
          </cell>
          <cell r="AH66">
            <v>21554</v>
          </cell>
          <cell r="AI66">
            <v>15170</v>
          </cell>
          <cell r="AJ66">
            <v>11366</v>
          </cell>
          <cell r="AK66">
            <v>20671</v>
          </cell>
          <cell r="AL66">
            <v>19943</v>
          </cell>
          <cell r="AM66">
            <v>19943</v>
          </cell>
          <cell r="AN66">
            <v>19943</v>
          </cell>
          <cell r="AO66">
            <v>19943</v>
          </cell>
          <cell r="AP66">
            <v>19943</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row>
        <row r="67">
          <cell r="B67" t="str">
            <v>Non-current lease liabilities (op lease: US GAAP)</v>
          </cell>
          <cell r="C67" t="str">
            <v>LT_LEASE_LIAB</v>
          </cell>
          <cell r="D67" t="str">
            <v>SEK</v>
          </cell>
          <cell r="AI67">
            <v>2448</v>
          </cell>
          <cell r="AJ67">
            <v>2170</v>
          </cell>
          <cell r="AK67">
            <v>2975</v>
          </cell>
          <cell r="AL67">
            <v>2975</v>
          </cell>
          <cell r="AM67">
            <v>2975</v>
          </cell>
          <cell r="AN67">
            <v>2975</v>
          </cell>
          <cell r="AO67">
            <v>2975</v>
          </cell>
          <cell r="AP67">
            <v>2975</v>
          </cell>
        </row>
        <row r="68">
          <cell r="B68" t="str">
            <v>Other long-term liabilities</v>
          </cell>
          <cell r="C68" t="str">
            <v>OTH_LT_CRED_GQ</v>
          </cell>
          <cell r="D68" t="str">
            <v>SEK</v>
          </cell>
          <cell r="M68">
            <v>5610</v>
          </cell>
          <cell r="N68">
            <v>6348</v>
          </cell>
          <cell r="O68">
            <v>5972</v>
          </cell>
          <cell r="P68">
            <v>5816</v>
          </cell>
          <cell r="Q68">
            <v>5604</v>
          </cell>
          <cell r="R68">
            <v>5993</v>
          </cell>
          <cell r="S68">
            <v>7544</v>
          </cell>
          <cell r="T68">
            <v>6563</v>
          </cell>
          <cell r="U68">
            <v>7291</v>
          </cell>
          <cell r="V68">
            <v>7367</v>
          </cell>
          <cell r="W68">
            <v>8476</v>
          </cell>
          <cell r="X68">
            <v>8654</v>
          </cell>
          <cell r="Y68">
            <v>8164</v>
          </cell>
          <cell r="Z68">
            <v>8133</v>
          </cell>
          <cell r="AA68">
            <v>8845</v>
          </cell>
          <cell r="AB68">
            <v>8758</v>
          </cell>
          <cell r="AC68">
            <v>8427</v>
          </cell>
          <cell r="AD68">
            <v>10620</v>
          </cell>
          <cell r="AE68">
            <v>10310.181335393199</v>
          </cell>
          <cell r="AF68">
            <v>11316</v>
          </cell>
          <cell r="AG68">
            <v>10093</v>
          </cell>
          <cell r="AH68">
            <v>11528</v>
          </cell>
          <cell r="AI68">
            <v>11556</v>
          </cell>
          <cell r="AJ68">
            <v>12563</v>
          </cell>
          <cell r="AK68">
            <v>12253</v>
          </cell>
          <cell r="AL68">
            <v>10697</v>
          </cell>
          <cell r="AM68">
            <v>10697</v>
          </cell>
          <cell r="AN68">
            <v>10697</v>
          </cell>
          <cell r="AO68">
            <v>10697</v>
          </cell>
          <cell r="AP68">
            <v>10697</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row>
        <row r="69">
          <cell r="B69" t="str">
            <v>Total long-term liabilities</v>
          </cell>
          <cell r="C69" t="str">
            <v>TOT_LT_LIAB</v>
          </cell>
          <cell r="D69" t="str">
            <v>SEK</v>
          </cell>
          <cell r="M69">
            <v>6429</v>
          </cell>
          <cell r="N69">
            <v>7381</v>
          </cell>
          <cell r="O69">
            <v>8592</v>
          </cell>
          <cell r="P69">
            <v>8073</v>
          </cell>
          <cell r="Q69">
            <v>8756</v>
          </cell>
          <cell r="R69">
            <v>10910</v>
          </cell>
          <cell r="S69">
            <v>14848</v>
          </cell>
          <cell r="T69">
            <v>12574</v>
          </cell>
          <cell r="U69">
            <v>14742</v>
          </cell>
          <cell r="V69">
            <v>14557</v>
          </cell>
          <cell r="W69">
            <v>26853</v>
          </cell>
          <cell r="X69">
            <v>31233</v>
          </cell>
          <cell r="Y69">
            <v>37314</v>
          </cell>
          <cell r="Z69">
            <v>31553</v>
          </cell>
          <cell r="AA69">
            <v>33612</v>
          </cell>
          <cell r="AB69">
            <v>41021</v>
          </cell>
          <cell r="AC69">
            <v>31640</v>
          </cell>
          <cell r="AD69">
            <v>45010</v>
          </cell>
          <cell r="AE69">
            <v>39872</v>
          </cell>
          <cell r="AF69">
            <v>38054</v>
          </cell>
          <cell r="AG69">
            <v>32926</v>
          </cell>
          <cell r="AH69">
            <v>33082</v>
          </cell>
          <cell r="AI69">
            <v>29174</v>
          </cell>
          <cell r="AJ69">
            <v>26099</v>
          </cell>
          <cell r="AK69">
            <v>35899</v>
          </cell>
          <cell r="AL69">
            <v>33615</v>
          </cell>
          <cell r="AM69">
            <v>33615</v>
          </cell>
          <cell r="AN69">
            <v>33615</v>
          </cell>
          <cell r="AO69">
            <v>33615</v>
          </cell>
          <cell r="AP69">
            <v>33615</v>
          </cell>
        </row>
        <row r="70">
          <cell r="B70" t="str">
            <v>Total liabilities</v>
          </cell>
          <cell r="C70" t="str">
            <v>TOT_LIAB</v>
          </cell>
          <cell r="D70" t="str">
            <v>SEK</v>
          </cell>
          <cell r="M70">
            <v>21478</v>
          </cell>
          <cell r="N70">
            <v>22113</v>
          </cell>
          <cell r="O70">
            <v>19199</v>
          </cell>
          <cell r="P70">
            <v>20505</v>
          </cell>
          <cell r="Q70">
            <v>24610</v>
          </cell>
          <cell r="R70">
            <v>25952</v>
          </cell>
          <cell r="S70">
            <v>26111</v>
          </cell>
          <cell r="T70">
            <v>27823</v>
          </cell>
          <cell r="U70">
            <v>35055</v>
          </cell>
          <cell r="V70">
            <v>38703</v>
          </cell>
          <cell r="W70">
            <v>55612</v>
          </cell>
          <cell r="X70">
            <v>66502</v>
          </cell>
          <cell r="Y70">
            <v>61618</v>
          </cell>
          <cell r="Z70">
            <v>56186</v>
          </cell>
          <cell r="AA70">
            <v>64848</v>
          </cell>
          <cell r="AB70">
            <v>67820</v>
          </cell>
          <cell r="AC70">
            <v>60272</v>
          </cell>
          <cell r="AD70">
            <v>69647</v>
          </cell>
          <cell r="AE70">
            <v>67182</v>
          </cell>
          <cell r="AF70">
            <v>64210</v>
          </cell>
          <cell r="AG70">
            <v>58033</v>
          </cell>
          <cell r="AH70">
            <v>59833</v>
          </cell>
          <cell r="AI70">
            <v>58565</v>
          </cell>
          <cell r="AJ70">
            <v>54046</v>
          </cell>
          <cell r="AK70">
            <v>78183</v>
          </cell>
          <cell r="AL70">
            <v>72643.315879144793</v>
          </cell>
          <cell r="AM70">
            <v>71064.423000476905</v>
          </cell>
          <cell r="AN70">
            <v>70809.451056530394</v>
          </cell>
          <cell r="AO70">
            <v>68953.038073244199</v>
          </cell>
          <cell r="AP70">
            <v>69596.694564941194</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row>
        <row r="71">
          <cell r="B71" t="str">
            <v>Preferred shares</v>
          </cell>
          <cell r="C71" t="str">
            <v>PREF_SH</v>
          </cell>
          <cell r="D71" t="str">
            <v>SEK</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row>
        <row r="72">
          <cell r="B72" t="str">
            <v>Total common equity</v>
          </cell>
          <cell r="C72" t="str">
            <v>ORD_SH_FUND</v>
          </cell>
          <cell r="D72" t="str">
            <v>SEK</v>
          </cell>
          <cell r="M72">
            <v>17414</v>
          </cell>
          <cell r="N72">
            <v>18621</v>
          </cell>
          <cell r="O72">
            <v>20109</v>
          </cell>
          <cell r="P72">
            <v>22472</v>
          </cell>
          <cell r="Q72">
            <v>23972</v>
          </cell>
          <cell r="R72">
            <v>23205</v>
          </cell>
          <cell r="S72">
            <v>21440</v>
          </cell>
          <cell r="T72">
            <v>22567</v>
          </cell>
          <cell r="U72">
            <v>23488</v>
          </cell>
          <cell r="V72">
            <v>26146</v>
          </cell>
          <cell r="W72">
            <v>28614</v>
          </cell>
          <cell r="X72">
            <v>35588</v>
          </cell>
          <cell r="Y72">
            <v>28987</v>
          </cell>
          <cell r="Z72">
            <v>32581</v>
          </cell>
          <cell r="AA72">
            <v>32490</v>
          </cell>
          <cell r="AB72">
            <v>36125</v>
          </cell>
          <cell r="AC72">
            <v>33510</v>
          </cell>
          <cell r="AD72">
            <v>36538</v>
          </cell>
          <cell r="AE72">
            <v>33926</v>
          </cell>
          <cell r="AF72">
            <v>39197</v>
          </cell>
          <cell r="AG72">
            <v>48743</v>
          </cell>
          <cell r="AH72">
            <v>58476</v>
          </cell>
          <cell r="AI72">
            <v>61844</v>
          </cell>
          <cell r="AJ72">
            <v>65081</v>
          </cell>
          <cell r="AK72">
            <v>77332</v>
          </cell>
          <cell r="AL72">
            <v>71910.210282894404</v>
          </cell>
          <cell r="AM72">
            <v>79886.579470795696</v>
          </cell>
          <cell r="AN72">
            <v>89403.138133158893</v>
          </cell>
          <cell r="AO72">
            <v>99201.396122161706</v>
          </cell>
          <cell r="AP72">
            <v>109139.304776248</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row>
        <row r="73">
          <cell r="B73" t="str">
            <v>Minority interest</v>
          </cell>
          <cell r="C73" t="str">
            <v>MINORITIES</v>
          </cell>
          <cell r="D73" t="str">
            <v>SEK</v>
          </cell>
          <cell r="M73">
            <v>1169</v>
          </cell>
          <cell r="N73">
            <v>872</v>
          </cell>
          <cell r="O73">
            <v>888</v>
          </cell>
          <cell r="P73">
            <v>931</v>
          </cell>
          <cell r="Q73">
            <v>967</v>
          </cell>
          <cell r="R73">
            <v>964</v>
          </cell>
          <cell r="S73">
            <v>846</v>
          </cell>
          <cell r="T73">
            <v>984</v>
          </cell>
          <cell r="U73">
            <v>1019</v>
          </cell>
          <cell r="V73">
            <v>1052</v>
          </cell>
          <cell r="W73">
            <v>1209</v>
          </cell>
          <cell r="X73">
            <v>1137</v>
          </cell>
          <cell r="Y73">
            <v>970</v>
          </cell>
          <cell r="Z73">
            <v>1232</v>
          </cell>
          <cell r="AA73">
            <v>1401</v>
          </cell>
          <cell r="AB73">
            <v>107</v>
          </cell>
          <cell r="AC73">
            <v>100</v>
          </cell>
          <cell r="AD73">
            <v>134</v>
          </cell>
          <cell r="AE73">
            <v>134</v>
          </cell>
          <cell r="AF73">
            <v>93</v>
          </cell>
          <cell r="AG73">
            <v>28</v>
          </cell>
          <cell r="AH73">
            <v>42</v>
          </cell>
          <cell r="AI73">
            <v>14</v>
          </cell>
          <cell r="AJ73">
            <v>1</v>
          </cell>
          <cell r="AK73">
            <v>0</v>
          </cell>
          <cell r="AL73">
            <v>0</v>
          </cell>
          <cell r="AM73">
            <v>0</v>
          </cell>
          <cell r="AN73">
            <v>0</v>
          </cell>
          <cell r="AO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row>
        <row r="74">
          <cell r="B74" t="str">
            <v>Total shareholders' equity</v>
          </cell>
          <cell r="C74" t="str">
            <v>EQ</v>
          </cell>
          <cell r="D74" t="str">
            <v>SEK</v>
          </cell>
          <cell r="M74">
            <v>18583</v>
          </cell>
          <cell r="N74">
            <v>19493</v>
          </cell>
          <cell r="O74">
            <v>20997</v>
          </cell>
          <cell r="P74">
            <v>23403</v>
          </cell>
          <cell r="Q74">
            <v>24939</v>
          </cell>
          <cell r="R74">
            <v>24169</v>
          </cell>
          <cell r="S74">
            <v>22286</v>
          </cell>
          <cell r="T74">
            <v>23551</v>
          </cell>
          <cell r="U74">
            <v>24507</v>
          </cell>
          <cell r="V74">
            <v>27198</v>
          </cell>
          <cell r="W74">
            <v>29823</v>
          </cell>
          <cell r="X74">
            <v>36725</v>
          </cell>
          <cell r="Y74">
            <v>29957</v>
          </cell>
          <cell r="Z74">
            <v>33813</v>
          </cell>
          <cell r="AA74">
            <v>33891</v>
          </cell>
          <cell r="AB74">
            <v>36232</v>
          </cell>
          <cell r="AC74">
            <v>33610</v>
          </cell>
          <cell r="AD74">
            <v>36672</v>
          </cell>
          <cell r="AE74">
            <v>34060</v>
          </cell>
          <cell r="AF74">
            <v>39290</v>
          </cell>
          <cell r="AG74">
            <v>48771</v>
          </cell>
          <cell r="AH74">
            <v>58518</v>
          </cell>
          <cell r="AI74">
            <v>61858</v>
          </cell>
          <cell r="AJ74">
            <v>65082</v>
          </cell>
          <cell r="AK74">
            <v>77332</v>
          </cell>
          <cell r="AL74">
            <v>71910.210282894404</v>
          </cell>
          <cell r="AM74">
            <v>79886.579470795696</v>
          </cell>
          <cell r="AN74">
            <v>89403.138133158893</v>
          </cell>
          <cell r="AO74">
            <v>99201.396122161706</v>
          </cell>
          <cell r="AP74">
            <v>109139.304776248</v>
          </cell>
        </row>
        <row r="75">
          <cell r="B75" t="str">
            <v>Total liabilities and equity</v>
          </cell>
          <cell r="C75" t="str">
            <v>TOT_LIAB_EQ</v>
          </cell>
          <cell r="D75" t="str">
            <v>SEK</v>
          </cell>
          <cell r="M75">
            <v>40061</v>
          </cell>
          <cell r="N75">
            <v>41606</v>
          </cell>
          <cell r="O75">
            <v>40196</v>
          </cell>
          <cell r="P75">
            <v>43908</v>
          </cell>
          <cell r="Q75">
            <v>49549</v>
          </cell>
          <cell r="R75">
            <v>50121</v>
          </cell>
          <cell r="S75">
            <v>48397</v>
          </cell>
          <cell r="T75">
            <v>51374</v>
          </cell>
          <cell r="U75">
            <v>59562</v>
          </cell>
          <cell r="V75">
            <v>65901</v>
          </cell>
          <cell r="W75">
            <v>85435</v>
          </cell>
          <cell r="X75">
            <v>103227</v>
          </cell>
          <cell r="Y75">
            <v>91575</v>
          </cell>
          <cell r="Z75">
            <v>89999</v>
          </cell>
          <cell r="AA75">
            <v>98739</v>
          </cell>
          <cell r="AB75">
            <v>104052</v>
          </cell>
          <cell r="AC75">
            <v>93882</v>
          </cell>
          <cell r="AD75">
            <v>106319</v>
          </cell>
          <cell r="AE75">
            <v>101242</v>
          </cell>
          <cell r="AF75">
            <v>103500</v>
          </cell>
          <cell r="AG75">
            <v>106804</v>
          </cell>
          <cell r="AH75">
            <v>118351</v>
          </cell>
          <cell r="AI75">
            <v>120423</v>
          </cell>
          <cell r="AJ75">
            <v>119128</v>
          </cell>
          <cell r="AK75">
            <v>155515</v>
          </cell>
          <cell r="AL75">
            <v>144553.52616203899</v>
          </cell>
          <cell r="AM75">
            <v>150951.00247127301</v>
          </cell>
          <cell r="AN75">
            <v>160212.589189689</v>
          </cell>
          <cell r="AO75">
            <v>168154.43419540601</v>
          </cell>
          <cell r="AP75">
            <v>178735.99934118899</v>
          </cell>
        </row>
        <row r="76">
          <cell r="A76" t="str">
            <v>Additional Balance Sheet Items</v>
          </cell>
        </row>
        <row r="77">
          <cell r="B77" t="str">
            <v>Total US$ debt (in US$)</v>
          </cell>
          <cell r="C77" t="str">
            <v>TOT_USD_DEBT</v>
          </cell>
          <cell r="AD77">
            <v>962.71188740084403</v>
          </cell>
          <cell r="AE77">
            <v>962.71188740084403</v>
          </cell>
          <cell r="AF77">
            <v>962.71188740084403</v>
          </cell>
          <cell r="AG77">
            <v>962.71188740084403</v>
          </cell>
          <cell r="AH77">
            <v>962.71188740084403</v>
          </cell>
          <cell r="AI77">
            <v>962.71188740084403</v>
          </cell>
        </row>
        <row r="78">
          <cell r="B78" t="str">
            <v>% US$ debt hedged (principal)</v>
          </cell>
          <cell r="C78" t="str">
            <v>TOT_PCT_USD_DEBT_HEDGED</v>
          </cell>
          <cell r="AD78">
            <v>0.5</v>
          </cell>
          <cell r="AE78">
            <v>0.5</v>
          </cell>
          <cell r="AF78">
            <v>0.5</v>
          </cell>
          <cell r="AG78">
            <v>0.5</v>
          </cell>
          <cell r="AH78">
            <v>0.5</v>
          </cell>
          <cell r="AI78">
            <v>0.5</v>
          </cell>
        </row>
        <row r="79">
          <cell r="B79" t="str">
            <v>% Floating debt (local currency debt)</v>
          </cell>
          <cell r="C79" t="str">
            <v>FLOATING_PCT_LOCAL_DEBT</v>
          </cell>
          <cell r="AD79">
            <v>0.8</v>
          </cell>
          <cell r="AE79">
            <v>0.8</v>
          </cell>
          <cell r="AF79">
            <v>0.8</v>
          </cell>
          <cell r="AG79">
            <v>0.8</v>
          </cell>
          <cell r="AH79">
            <v>0.8</v>
          </cell>
          <cell r="AI79">
            <v>0.8</v>
          </cell>
        </row>
        <row r="80">
          <cell r="B80" t="str">
            <v>% floating debt hedged (rates)</v>
          </cell>
          <cell r="C80" t="str">
            <v>FLOATING_PCT_LOCAL_DEBT_HEDGED</v>
          </cell>
          <cell r="AD80">
            <v>0.2</v>
          </cell>
          <cell r="AE80">
            <v>0.2</v>
          </cell>
          <cell r="AF80">
            <v>0.2</v>
          </cell>
          <cell r="AG80">
            <v>0.2</v>
          </cell>
          <cell r="AH80">
            <v>0.2</v>
          </cell>
          <cell r="AI80">
            <v>0.2</v>
          </cell>
        </row>
        <row r="81">
          <cell r="B81" t="str">
            <v>Net debt</v>
          </cell>
          <cell r="C81" t="str">
            <v>NET_DEBT</v>
          </cell>
          <cell r="D81" t="str">
            <v>SEK</v>
          </cell>
          <cell r="M81">
            <v>5550.9816213470804</v>
          </cell>
          <cell r="N81">
            <v>6839.20816599103</v>
          </cell>
          <cell r="O81">
            <v>4314.5839407819903</v>
          </cell>
          <cell r="P81">
            <v>5001.6343833181299</v>
          </cell>
          <cell r="Q81">
            <v>8430.1579680019604</v>
          </cell>
          <cell r="R81">
            <v>8057.4211288669003</v>
          </cell>
          <cell r="S81">
            <v>5715.4181754907404</v>
          </cell>
          <cell r="T81">
            <v>6496.8559899923803</v>
          </cell>
          <cell r="U81">
            <v>7773.34333468148</v>
          </cell>
          <cell r="V81">
            <v>15389.492245036199</v>
          </cell>
          <cell r="W81">
            <v>29119.734525343501</v>
          </cell>
          <cell r="X81">
            <v>33342.493543016797</v>
          </cell>
          <cell r="Y81">
            <v>30128.573350012699</v>
          </cell>
          <cell r="Z81">
            <v>25601.5196060911</v>
          </cell>
          <cell r="AA81">
            <v>28542.7364346918</v>
          </cell>
          <cell r="AB81">
            <v>24594.507717341199</v>
          </cell>
          <cell r="AC81">
            <v>27689.132986578101</v>
          </cell>
          <cell r="AD81">
            <v>33579</v>
          </cell>
          <cell r="AE81">
            <v>31221</v>
          </cell>
          <cell r="AF81">
            <v>31773</v>
          </cell>
          <cell r="AG81">
            <v>19086</v>
          </cell>
          <cell r="AH81">
            <v>14910</v>
          </cell>
          <cell r="AI81">
            <v>11131</v>
          </cell>
          <cell r="AJ81">
            <v>2646</v>
          </cell>
          <cell r="AK81">
            <v>26902</v>
          </cell>
          <cell r="AL81">
            <v>33061.803753268301</v>
          </cell>
          <cell r="AM81">
            <v>27994.9381653848</v>
          </cell>
          <cell r="AN81">
            <v>27994.9381653848</v>
          </cell>
          <cell r="AO81">
            <v>27994.9381653848</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row>
        <row r="82">
          <cell r="B82" t="str">
            <v>Capitalized operating leases (off-balance sheet)</v>
          </cell>
          <cell r="C82" t="str">
            <v>CAP_LEASES</v>
          </cell>
          <cell r="D82" t="str">
            <v>SEK</v>
          </cell>
          <cell r="F82">
            <v>0</v>
          </cell>
          <cell r="G82">
            <v>0</v>
          </cell>
          <cell r="H82">
            <v>640.67918246033196</v>
          </cell>
          <cell r="I82">
            <v>670.48504030323795</v>
          </cell>
          <cell r="J82">
            <v>756.96739058870003</v>
          </cell>
          <cell r="K82">
            <v>815.51175236787401</v>
          </cell>
          <cell r="L82">
            <v>878.13874283994403</v>
          </cell>
          <cell r="M82">
            <v>1068.9816213470799</v>
          </cell>
          <cell r="N82">
            <v>1110.20816599103</v>
          </cell>
          <cell r="O82">
            <v>1072.5839407819899</v>
          </cell>
          <cell r="P82">
            <v>1171.6343833181299</v>
          </cell>
          <cell r="Q82">
            <v>1322.1579680019599</v>
          </cell>
          <cell r="R82">
            <v>1337.4211288669001</v>
          </cell>
          <cell r="S82">
            <v>1291.4181754907399</v>
          </cell>
          <cell r="T82">
            <v>1370.85598999238</v>
          </cell>
          <cell r="U82">
            <v>1589.34333468148</v>
          </cell>
          <cell r="V82">
            <v>1758.4922450361601</v>
          </cell>
          <cell r="W82">
            <v>2279.7345253435401</v>
          </cell>
          <cell r="X82">
            <v>2754.4935430167702</v>
          </cell>
          <cell r="Y82">
            <v>2443.5733500126998</v>
          </cell>
          <cell r="Z82">
            <v>2401.5196060910998</v>
          </cell>
          <cell r="AA82">
            <v>2634.7364346918198</v>
          </cell>
          <cell r="AB82">
            <v>2776.5077173412101</v>
          </cell>
          <cell r="AC82">
            <v>2505.1329865781299</v>
          </cell>
          <cell r="AD82">
            <v>2837</v>
          </cell>
          <cell r="AE82">
            <v>3048</v>
          </cell>
          <cell r="AF82">
            <v>3194</v>
          </cell>
          <cell r="AG82">
            <v>3046</v>
          </cell>
          <cell r="AH82">
            <v>3353</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row>
        <row r="83">
          <cell r="B83" t="str">
            <v>Deferred income taxes</v>
          </cell>
          <cell r="C83" t="str">
            <v>DEF_INC_TAX</v>
          </cell>
          <cell r="D83" t="str">
            <v>SEK</v>
          </cell>
          <cell r="M83">
            <v>0</v>
          </cell>
          <cell r="N83">
            <v>0</v>
          </cell>
          <cell r="O83">
            <v>0</v>
          </cell>
          <cell r="P83">
            <v>0</v>
          </cell>
          <cell r="Q83">
            <v>-852</v>
          </cell>
          <cell r="R83">
            <v>-912</v>
          </cell>
          <cell r="S83">
            <v>-661</v>
          </cell>
          <cell r="T83">
            <v>-887</v>
          </cell>
          <cell r="U83">
            <v>-744</v>
          </cell>
          <cell r="V83">
            <v>-691</v>
          </cell>
          <cell r="W83">
            <v>-463</v>
          </cell>
          <cell r="X83">
            <v>-237</v>
          </cell>
          <cell r="Y83">
            <v>1268</v>
          </cell>
          <cell r="Z83">
            <v>1018</v>
          </cell>
          <cell r="AA83">
            <v>2114</v>
          </cell>
          <cell r="AB83">
            <v>1835</v>
          </cell>
          <cell r="AC83">
            <v>4953</v>
          </cell>
          <cell r="AD83">
            <v>4580</v>
          </cell>
          <cell r="AE83">
            <v>3914.26716982674</v>
          </cell>
          <cell r="AF83">
            <v>3798</v>
          </cell>
          <cell r="AG83">
            <v>2729</v>
          </cell>
          <cell r="AH83">
            <v>765</v>
          </cell>
          <cell r="AI83">
            <v>1498</v>
          </cell>
          <cell r="AJ83">
            <v>2039</v>
          </cell>
          <cell r="AK83">
            <v>470</v>
          </cell>
          <cell r="AL83">
            <v>1124.19573752103</v>
          </cell>
          <cell r="AM83">
            <v>1124.19573752103</v>
          </cell>
          <cell r="AN83">
            <v>1124.19573752103</v>
          </cell>
          <cell r="AO83">
            <v>1124.19573752103</v>
          </cell>
          <cell r="AP83">
            <v>1124.19573752103</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row>
        <row r="84">
          <cell r="B84" t="str">
            <v>Associates (mkt value) used in EV calculation</v>
          </cell>
          <cell r="C84" t="str">
            <v>MV_ASSOCIATES</v>
          </cell>
          <cell r="D84" t="str">
            <v>SEK</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row>
        <row r="85">
          <cell r="B85" t="str">
            <v>Net debt adjustment</v>
          </cell>
          <cell r="C85" t="str">
            <v>NET_DEBT_ADJ</v>
          </cell>
          <cell r="D85" t="str">
            <v>SEK</v>
          </cell>
          <cell r="F85">
            <v>0</v>
          </cell>
          <cell r="G85">
            <v>0</v>
          </cell>
          <cell r="H85">
            <v>0</v>
          </cell>
          <cell r="I85">
            <v>0</v>
          </cell>
          <cell r="J85">
            <v>0</v>
          </cell>
          <cell r="K85">
            <v>0</v>
          </cell>
          <cell r="L85">
            <v>0</v>
          </cell>
          <cell r="M85">
            <v>-292</v>
          </cell>
          <cell r="N85">
            <v>-220</v>
          </cell>
          <cell r="O85">
            <v>-483</v>
          </cell>
          <cell r="P85">
            <v>-231</v>
          </cell>
          <cell r="Q85">
            <v>-1092</v>
          </cell>
          <cell r="R85">
            <v>-2214</v>
          </cell>
          <cell r="S85">
            <v>-3909</v>
          </cell>
          <cell r="T85">
            <v>-4171</v>
          </cell>
          <cell r="U85">
            <v>-5767</v>
          </cell>
          <cell r="V85">
            <v>1406</v>
          </cell>
          <cell r="W85">
            <v>1311</v>
          </cell>
          <cell r="X85">
            <v>1683</v>
          </cell>
          <cell r="Y85">
            <v>2610</v>
          </cell>
          <cell r="Z85">
            <v>1454</v>
          </cell>
          <cell r="AA85">
            <v>2638</v>
          </cell>
          <cell r="AB85">
            <v>2376</v>
          </cell>
          <cell r="AC85">
            <v>4414</v>
          </cell>
          <cell r="AD85">
            <v>881</v>
          </cell>
          <cell r="AE85">
            <v>1503.9338549900899</v>
          </cell>
          <cell r="AF85">
            <v>7776</v>
          </cell>
          <cell r="AG85">
            <v>5527</v>
          </cell>
          <cell r="AH85">
            <v>5744</v>
          </cell>
          <cell r="AI85">
            <v>9536</v>
          </cell>
          <cell r="AJ85">
            <v>11861</v>
          </cell>
          <cell r="AK85">
            <v>7715</v>
          </cell>
          <cell r="AL85">
            <v>7651</v>
          </cell>
          <cell r="AM85">
            <v>7651</v>
          </cell>
          <cell r="AN85">
            <v>7082.0798897954501</v>
          </cell>
          <cell r="AO85">
            <v>4736.5993856007499</v>
          </cell>
          <cell r="AP85">
            <v>-22939.159856235899</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row>
        <row r="86">
          <cell r="B86" t="str">
            <v>Company borrowing margin</v>
          </cell>
          <cell r="C86" t="str">
            <v>CO_BOR_MARGIN</v>
          </cell>
          <cell r="M86">
            <v>0.02</v>
          </cell>
          <cell r="N86">
            <v>0.02</v>
          </cell>
          <cell r="O86">
            <v>0.02</v>
          </cell>
          <cell r="P86">
            <v>0.02</v>
          </cell>
          <cell r="Q86">
            <v>0.02</v>
          </cell>
          <cell r="R86">
            <v>0.02</v>
          </cell>
          <cell r="S86">
            <v>0.02</v>
          </cell>
          <cell r="T86">
            <v>0.02</v>
          </cell>
          <cell r="U86">
            <v>0.02</v>
          </cell>
          <cell r="V86">
            <v>0.02</v>
          </cell>
          <cell r="W86">
            <v>0.02</v>
          </cell>
          <cell r="X86">
            <v>0.02</v>
          </cell>
          <cell r="Y86">
            <v>0.02</v>
          </cell>
          <cell r="Z86">
            <v>0.02</v>
          </cell>
          <cell r="AA86">
            <v>0.02</v>
          </cell>
          <cell r="AB86">
            <v>0.02</v>
          </cell>
          <cell r="AC86">
            <v>0.02</v>
          </cell>
          <cell r="AD86">
            <v>0.02</v>
          </cell>
          <cell r="AE86">
            <v>0.02</v>
          </cell>
          <cell r="AF86">
            <v>0.02</v>
          </cell>
          <cell r="AG86">
            <v>0.02</v>
          </cell>
          <cell r="AH86">
            <v>0.02</v>
          </cell>
          <cell r="AI86">
            <v>0.02</v>
          </cell>
          <cell r="AJ86">
            <v>0.02</v>
          </cell>
          <cell r="AK86">
            <v>0.02</v>
          </cell>
          <cell r="AL86">
            <v>0.02</v>
          </cell>
          <cell r="AM86">
            <v>0.02</v>
          </cell>
          <cell r="AN86">
            <v>0.02</v>
          </cell>
          <cell r="AO86">
            <v>0.02</v>
          </cell>
          <cell r="AP86">
            <v>0.02</v>
          </cell>
        </row>
        <row r="87">
          <cell r="B87" t="str">
            <v>Unfunded pensions &amp; other provisions</v>
          </cell>
          <cell r="C87" t="str">
            <v>UNF_PENS</v>
          </cell>
          <cell r="D87" t="str">
            <v>SEK</v>
          </cell>
          <cell r="M87">
            <v>-2386</v>
          </cell>
          <cell r="N87">
            <v>-2463</v>
          </cell>
          <cell r="O87">
            <v>-2288</v>
          </cell>
          <cell r="P87">
            <v>-2583</v>
          </cell>
          <cell r="Q87">
            <v>-1764</v>
          </cell>
          <cell r="R87">
            <v>-2044</v>
          </cell>
          <cell r="S87">
            <v>-3659</v>
          </cell>
          <cell r="T87">
            <v>-3015</v>
          </cell>
          <cell r="U87">
            <v>-3538</v>
          </cell>
          <cell r="V87">
            <v>-3180</v>
          </cell>
          <cell r="W87">
            <v>-3100</v>
          </cell>
          <cell r="X87">
            <v>-2735</v>
          </cell>
          <cell r="Y87">
            <v>-2657</v>
          </cell>
          <cell r="Z87">
            <v>-2264</v>
          </cell>
          <cell r="AA87">
            <v>-2358</v>
          </cell>
          <cell r="AB87">
            <v>-2242</v>
          </cell>
          <cell r="AC87">
            <v>-5164</v>
          </cell>
          <cell r="AD87">
            <v>-7036</v>
          </cell>
          <cell r="AE87">
            <v>-5900</v>
          </cell>
          <cell r="AF87">
            <v>-5979</v>
          </cell>
          <cell r="AG87">
            <v>-4936</v>
          </cell>
          <cell r="AH87">
            <v>-5718</v>
          </cell>
          <cell r="AI87">
            <v>-7348</v>
          </cell>
          <cell r="AJ87">
            <v>-8509</v>
          </cell>
          <cell r="AK87">
            <v>-6137</v>
          </cell>
          <cell r="AL87">
            <v>-6137</v>
          </cell>
          <cell r="AM87">
            <v>-6137</v>
          </cell>
          <cell r="AN87">
            <v>-6137</v>
          </cell>
          <cell r="AO87">
            <v>-6137</v>
          </cell>
          <cell r="AP87">
            <v>-6137</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row>
        <row r="88">
          <cell r="B88" t="str">
            <v>Unfunded pension liabilities (off balance sheet)</v>
          </cell>
          <cell r="C88" t="str">
            <v>UNF_PENS_OFF</v>
          </cell>
          <cell r="D88" t="str">
            <v>SEK</v>
          </cell>
        </row>
        <row r="89">
          <cell r="B89" t="str">
            <v>Unfunded pension liabilities &amp; other, used in EV</v>
          </cell>
          <cell r="C89" t="str">
            <v>UNF_PENS_LIAB_OTH</v>
          </cell>
          <cell r="D89" t="str">
            <v>SEK</v>
          </cell>
          <cell r="M89">
            <v>2386</v>
          </cell>
          <cell r="N89">
            <v>2463</v>
          </cell>
          <cell r="O89">
            <v>2288</v>
          </cell>
          <cell r="P89">
            <v>2583</v>
          </cell>
          <cell r="Q89">
            <v>1764</v>
          </cell>
          <cell r="R89">
            <v>2044</v>
          </cell>
          <cell r="S89">
            <v>3659</v>
          </cell>
          <cell r="T89">
            <v>3015</v>
          </cell>
          <cell r="U89">
            <v>3538</v>
          </cell>
          <cell r="V89">
            <v>3180</v>
          </cell>
          <cell r="W89">
            <v>3100</v>
          </cell>
          <cell r="X89">
            <v>2735</v>
          </cell>
          <cell r="Y89">
            <v>2657</v>
          </cell>
          <cell r="Z89">
            <v>2264</v>
          </cell>
          <cell r="AA89">
            <v>2358</v>
          </cell>
          <cell r="AB89">
            <v>2242</v>
          </cell>
          <cell r="AC89">
            <v>5164</v>
          </cell>
          <cell r="AD89">
            <v>7036</v>
          </cell>
          <cell r="AE89">
            <v>5900</v>
          </cell>
          <cell r="AF89">
            <v>5979</v>
          </cell>
          <cell r="AG89">
            <v>4936</v>
          </cell>
          <cell r="AH89">
            <v>5718</v>
          </cell>
          <cell r="AI89">
            <v>7348</v>
          </cell>
          <cell r="AJ89">
            <v>8509</v>
          </cell>
          <cell r="AK89">
            <v>6137</v>
          </cell>
          <cell r="AL89">
            <v>6137</v>
          </cell>
          <cell r="AM89">
            <v>6137</v>
          </cell>
          <cell r="AN89">
            <v>6137</v>
          </cell>
          <cell r="AO89">
            <v>6137</v>
          </cell>
          <cell r="AP89">
            <v>6137</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row>
        <row r="90">
          <cell r="B90" t="str">
            <v>Adjustment for unfunded pensions &amp; goodwill</v>
          </cell>
          <cell r="C90" t="str">
            <v>ADJ_UNF_PENS_GOOD</v>
          </cell>
          <cell r="D90" t="str">
            <v>SEK</v>
          </cell>
        </row>
        <row r="91">
          <cell r="B91" t="str">
            <v>Other GCI adjustments</v>
          </cell>
          <cell r="C91" t="str">
            <v>OTH_GCI_ADJ</v>
          </cell>
          <cell r="D91" t="str">
            <v>SEK</v>
          </cell>
        </row>
        <row r="92">
          <cell r="B92" t="str">
            <v>GCI inflator</v>
          </cell>
          <cell r="C92" t="str">
            <v>GCI_INFL</v>
          </cell>
        </row>
        <row r="93">
          <cell r="B93" t="str">
            <v>Minority interest</v>
          </cell>
          <cell r="C93" t="str">
            <v>BAL_MINO_INT</v>
          </cell>
          <cell r="D93" t="str">
            <v>SEK</v>
          </cell>
          <cell r="M93">
            <v>1169</v>
          </cell>
          <cell r="N93">
            <v>872</v>
          </cell>
          <cell r="O93">
            <v>888</v>
          </cell>
          <cell r="P93">
            <v>931</v>
          </cell>
          <cell r="Q93">
            <v>967</v>
          </cell>
          <cell r="R93">
            <v>964</v>
          </cell>
          <cell r="S93">
            <v>846</v>
          </cell>
          <cell r="T93">
            <v>984</v>
          </cell>
          <cell r="U93">
            <v>1019</v>
          </cell>
          <cell r="V93">
            <v>1052</v>
          </cell>
          <cell r="W93">
            <v>1209</v>
          </cell>
          <cell r="X93">
            <v>1137</v>
          </cell>
          <cell r="Y93">
            <v>970</v>
          </cell>
          <cell r="Z93">
            <v>1232</v>
          </cell>
          <cell r="AA93">
            <v>1401</v>
          </cell>
          <cell r="AB93">
            <v>107</v>
          </cell>
          <cell r="AC93">
            <v>100</v>
          </cell>
          <cell r="AD93">
            <v>134</v>
          </cell>
          <cell r="AE93">
            <v>134</v>
          </cell>
          <cell r="AF93">
            <v>93</v>
          </cell>
          <cell r="AG93">
            <v>28</v>
          </cell>
          <cell r="AH93">
            <v>42</v>
          </cell>
          <cell r="AI93">
            <v>14</v>
          </cell>
          <cell r="AJ93">
            <v>1</v>
          </cell>
          <cell r="AK93">
            <v>0</v>
          </cell>
          <cell r="AL93">
            <v>0</v>
          </cell>
          <cell r="AM93">
            <v>0</v>
          </cell>
          <cell r="AN93">
            <v>0</v>
          </cell>
          <cell r="AO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row>
        <row r="94">
          <cell r="B94" t="str">
            <v>Right-of-use assets (op lease assets under US GAAP)</v>
          </cell>
          <cell r="C94" t="str">
            <v>ROU_ASSET</v>
          </cell>
          <cell r="D94" t="str">
            <v>SEK</v>
          </cell>
          <cell r="AI94">
            <v>3172</v>
          </cell>
          <cell r="AJ94">
            <v>2891</v>
          </cell>
          <cell r="AK94">
            <v>3840</v>
          </cell>
          <cell r="AL94">
            <v>3607</v>
          </cell>
          <cell r="AM94">
            <v>3607</v>
          </cell>
          <cell r="AN94">
            <v>3607</v>
          </cell>
          <cell r="AO94">
            <v>3607</v>
          </cell>
          <cell r="AP94">
            <v>3607</v>
          </cell>
        </row>
        <row r="95">
          <cell r="A95" t="str">
            <v>Cash Flow Statement</v>
          </cell>
        </row>
        <row r="96">
          <cell r="B96" t="str">
            <v>Minority interest add-back</v>
          </cell>
          <cell r="C96" t="str">
            <v>CF_INC_MINORITY</v>
          </cell>
          <cell r="D96" t="str">
            <v>SEK</v>
          </cell>
          <cell r="M96">
            <v>197</v>
          </cell>
          <cell r="N96">
            <v>165</v>
          </cell>
          <cell r="O96">
            <v>157</v>
          </cell>
          <cell r="P96">
            <v>211</v>
          </cell>
          <cell r="Q96">
            <v>206</v>
          </cell>
          <cell r="R96">
            <v>196</v>
          </cell>
          <cell r="S96">
            <v>187</v>
          </cell>
          <cell r="T96">
            <v>265</v>
          </cell>
          <cell r="U96">
            <v>371</v>
          </cell>
          <cell r="V96">
            <v>406</v>
          </cell>
          <cell r="W96">
            <v>478</v>
          </cell>
          <cell r="X96">
            <v>364</v>
          </cell>
          <cell r="Y96">
            <v>56</v>
          </cell>
          <cell r="Z96">
            <v>309</v>
          </cell>
          <cell r="AA96">
            <v>363</v>
          </cell>
          <cell r="AB96">
            <v>2</v>
          </cell>
          <cell r="AC96">
            <v>-5</v>
          </cell>
          <cell r="AD96">
            <v>-19</v>
          </cell>
          <cell r="AE96">
            <v>-53</v>
          </cell>
          <cell r="AF96">
            <v>-40</v>
          </cell>
          <cell r="AG96">
            <v>-14</v>
          </cell>
          <cell r="AH96">
            <v>-10</v>
          </cell>
          <cell r="AI96">
            <v>-16</v>
          </cell>
          <cell r="AJ96">
            <v>-14</v>
          </cell>
          <cell r="AK96">
            <v>23</v>
          </cell>
          <cell r="AL96">
            <v>55</v>
          </cell>
          <cell r="AM96">
            <v>59.702321064739003</v>
          </cell>
          <cell r="AN96">
            <v>64.410807363920995</v>
          </cell>
          <cell r="AO96">
            <v>69.030278628578998</v>
          </cell>
          <cell r="AP96">
            <v>73.011750409184003</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row>
        <row r="97">
          <cell r="B97" t="str">
            <v>Depreciation &amp; amortization add-back</v>
          </cell>
          <cell r="C97" t="str">
            <v>DEPR_AMORT</v>
          </cell>
          <cell r="D97" t="str">
            <v>SEK</v>
          </cell>
          <cell r="F97">
            <v>0</v>
          </cell>
          <cell r="M97">
            <v>1486</v>
          </cell>
          <cell r="N97">
            <v>2099</v>
          </cell>
          <cell r="O97">
            <v>2273</v>
          </cell>
          <cell r="P97">
            <v>2336</v>
          </cell>
          <cell r="Q97">
            <v>2446</v>
          </cell>
          <cell r="R97">
            <v>2696</v>
          </cell>
          <cell r="S97">
            <v>3346</v>
          </cell>
          <cell r="T97">
            <v>2579</v>
          </cell>
          <cell r="U97">
            <v>2713</v>
          </cell>
          <cell r="V97">
            <v>2976</v>
          </cell>
          <cell r="W97">
            <v>3077</v>
          </cell>
          <cell r="X97">
            <v>3481</v>
          </cell>
          <cell r="Y97">
            <v>4049</v>
          </cell>
          <cell r="Z97">
            <v>3982</v>
          </cell>
          <cell r="AA97">
            <v>3868</v>
          </cell>
          <cell r="AB97">
            <v>4322</v>
          </cell>
          <cell r="AC97">
            <v>4690</v>
          </cell>
          <cell r="AD97">
            <v>4145</v>
          </cell>
          <cell r="AE97">
            <v>5321</v>
          </cell>
          <cell r="AF97">
            <v>4715</v>
          </cell>
          <cell r="AG97">
            <v>4936</v>
          </cell>
          <cell r="AH97">
            <v>4408</v>
          </cell>
          <cell r="AI97">
            <v>10077</v>
          </cell>
          <cell r="AJ97">
            <v>5964</v>
          </cell>
          <cell r="AK97">
            <v>5995</v>
          </cell>
          <cell r="AL97">
            <v>6980.7007326084104</v>
          </cell>
          <cell r="AM97">
            <v>6443.6876216359697</v>
          </cell>
          <cell r="AN97">
            <v>6951.8758183692298</v>
          </cell>
          <cell r="AO97">
            <v>7450.45659840797</v>
          </cell>
          <cell r="AP97">
            <v>7880.1779219853197</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row>
        <row r="98">
          <cell r="B98" t="str">
            <v>(Increase)/decrease in working capital</v>
          </cell>
          <cell r="C98" t="str">
            <v>WORK_CAP</v>
          </cell>
          <cell r="D98" t="str">
            <v>SEK</v>
          </cell>
          <cell r="F98">
            <v>0</v>
          </cell>
          <cell r="M98">
            <v>456</v>
          </cell>
          <cell r="N98">
            <v>-1283</v>
          </cell>
          <cell r="O98">
            <v>-928</v>
          </cell>
          <cell r="P98">
            <v>-1105</v>
          </cell>
          <cell r="Q98">
            <v>-618</v>
          </cell>
          <cell r="R98">
            <v>1055</v>
          </cell>
          <cell r="S98">
            <v>678</v>
          </cell>
          <cell r="T98">
            <v>-2206</v>
          </cell>
          <cell r="U98">
            <v>-2287</v>
          </cell>
          <cell r="V98">
            <v>-2920</v>
          </cell>
          <cell r="W98">
            <v>-6567</v>
          </cell>
          <cell r="X98">
            <v>-1348</v>
          </cell>
          <cell r="Y98">
            <v>11632</v>
          </cell>
          <cell r="Z98">
            <v>48</v>
          </cell>
          <cell r="AA98">
            <v>-4730</v>
          </cell>
          <cell r="AB98">
            <v>-592</v>
          </cell>
          <cell r="AC98">
            <v>1672</v>
          </cell>
          <cell r="AD98">
            <v>487</v>
          </cell>
          <cell r="AE98">
            <v>3141</v>
          </cell>
          <cell r="AF98">
            <v>2009</v>
          </cell>
          <cell r="AG98">
            <v>-685</v>
          </cell>
          <cell r="AH98">
            <v>-3198</v>
          </cell>
          <cell r="AI98">
            <v>-447</v>
          </cell>
          <cell r="AJ98">
            <v>1994</v>
          </cell>
          <cell r="AK98">
            <v>-3713</v>
          </cell>
          <cell r="AL98">
            <v>-12294.7336958345</v>
          </cell>
          <cell r="AM98">
            <v>1798.0533729164499</v>
          </cell>
          <cell r="AN98">
            <v>-4266.2166530804197</v>
          </cell>
          <cell r="AO98">
            <v>-5686.1709264028204</v>
          </cell>
          <cell r="AP98">
            <v>-2480.38369158878</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row>
        <row r="99">
          <cell r="B99" t="str">
            <v>Other operating cash flow items</v>
          </cell>
          <cell r="C99" t="str">
            <v>OTH_OP_CF</v>
          </cell>
          <cell r="D99" t="str">
            <v>SEK</v>
          </cell>
          <cell r="F99">
            <v>0</v>
          </cell>
          <cell r="M99">
            <v>-780</v>
          </cell>
          <cell r="N99">
            <v>43</v>
          </cell>
          <cell r="O99">
            <v>-103</v>
          </cell>
          <cell r="P99">
            <v>-518</v>
          </cell>
          <cell r="Q99">
            <v>-804</v>
          </cell>
          <cell r="R99">
            <v>-193</v>
          </cell>
          <cell r="S99">
            <v>-1178</v>
          </cell>
          <cell r="T99">
            <v>-284</v>
          </cell>
          <cell r="U99">
            <v>359</v>
          </cell>
          <cell r="V99">
            <v>-129</v>
          </cell>
          <cell r="W99">
            <v>-747</v>
          </cell>
          <cell r="X99">
            <v>-644</v>
          </cell>
          <cell r="Y99">
            <v>-3283</v>
          </cell>
          <cell r="Z99">
            <v>939</v>
          </cell>
          <cell r="AA99">
            <v>-325</v>
          </cell>
          <cell r="AB99">
            <v>-546</v>
          </cell>
          <cell r="AC99">
            <v>-8152</v>
          </cell>
          <cell r="AD99">
            <v>-773.00000249909999</v>
          </cell>
          <cell r="AE99">
            <v>-2016.4</v>
          </cell>
          <cell r="AF99">
            <v>-1023</v>
          </cell>
          <cell r="AG99">
            <v>930</v>
          </cell>
          <cell r="AH99">
            <v>475</v>
          </cell>
          <cell r="AI99">
            <v>-6545</v>
          </cell>
          <cell r="AJ99">
            <v>-4650</v>
          </cell>
          <cell r="AK99">
            <v>-1573.4</v>
          </cell>
          <cell r="AL99">
            <v>1263.5659886037799</v>
          </cell>
          <cell r="AM99">
            <v>-1124</v>
          </cell>
          <cell r="AN99">
            <v>-600</v>
          </cell>
          <cell r="AO99">
            <v>-599.99999999999602</v>
          </cell>
          <cell r="AP99">
            <v>-599.99999999999602</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row>
        <row r="100">
          <cell r="B100" t="str">
            <v>Cash flow from operating activities</v>
          </cell>
          <cell r="C100" t="str">
            <v>CF_OPS</v>
          </cell>
          <cell r="D100" t="str">
            <v>SEK</v>
          </cell>
          <cell r="M100">
            <v>4984</v>
          </cell>
          <cell r="N100">
            <v>3919</v>
          </cell>
          <cell r="O100">
            <v>3394</v>
          </cell>
          <cell r="P100">
            <v>4476</v>
          </cell>
          <cell r="Q100">
            <v>5093</v>
          </cell>
          <cell r="R100">
            <v>7190</v>
          </cell>
          <cell r="S100">
            <v>6421</v>
          </cell>
          <cell r="T100">
            <v>5322</v>
          </cell>
          <cell r="U100">
            <v>7266</v>
          </cell>
          <cell r="V100">
            <v>8170</v>
          </cell>
          <cell r="W100">
            <v>5476</v>
          </cell>
          <cell r="X100">
            <v>9671</v>
          </cell>
          <cell r="Y100">
            <v>12750</v>
          </cell>
          <cell r="Z100">
            <v>12689</v>
          </cell>
          <cell r="AA100">
            <v>8309</v>
          </cell>
          <cell r="AB100">
            <v>12876</v>
          </cell>
          <cell r="AC100">
            <v>5617</v>
          </cell>
          <cell r="AD100">
            <v>9883</v>
          </cell>
          <cell r="AE100">
            <v>13220</v>
          </cell>
          <cell r="AF100">
            <v>12555</v>
          </cell>
          <cell r="AG100">
            <v>14286</v>
          </cell>
          <cell r="AH100">
            <v>14914</v>
          </cell>
          <cell r="AI100">
            <v>17654</v>
          </cell>
          <cell r="AJ100">
            <v>15414</v>
          </cell>
          <cell r="AK100">
            <v>13218</v>
          </cell>
          <cell r="AL100">
            <v>11836.5108196683</v>
          </cell>
          <cell r="AM100">
            <v>24530.882073900899</v>
          </cell>
          <cell r="AN100">
            <v>20536.9372067939</v>
          </cell>
          <cell r="AO100">
            <v>20755.977278078499</v>
          </cell>
          <cell r="AP100">
            <v>25099.0335482054</v>
          </cell>
        </row>
        <row r="101">
          <cell r="B101" t="str">
            <v>Capital expenditures, Capex</v>
          </cell>
          <cell r="C101" t="str">
            <v>CAPEX</v>
          </cell>
          <cell r="D101" t="str">
            <v>SEK</v>
          </cell>
          <cell r="F101">
            <v>0</v>
          </cell>
          <cell r="M101">
            <v>-786</v>
          </cell>
          <cell r="N101">
            <v>-2614</v>
          </cell>
          <cell r="O101">
            <v>-1556</v>
          </cell>
          <cell r="P101">
            <v>-1823</v>
          </cell>
          <cell r="Q101">
            <v>-2374</v>
          </cell>
          <cell r="R101">
            <v>-2135</v>
          </cell>
          <cell r="S101">
            <v>-2840</v>
          </cell>
          <cell r="T101">
            <v>-2770</v>
          </cell>
          <cell r="U101">
            <v>-3430</v>
          </cell>
          <cell r="V101">
            <v>-4133</v>
          </cell>
          <cell r="W101">
            <v>-4990</v>
          </cell>
          <cell r="X101">
            <v>-6788</v>
          </cell>
          <cell r="Y101">
            <v>-4212</v>
          </cell>
          <cell r="Z101">
            <v>-3327</v>
          </cell>
          <cell r="AA101">
            <v>-5122</v>
          </cell>
          <cell r="AB101">
            <v>-5133</v>
          </cell>
          <cell r="AC101">
            <v>-3486</v>
          </cell>
          <cell r="AD101">
            <v>-3590</v>
          </cell>
          <cell r="AE101">
            <v>-3014</v>
          </cell>
          <cell r="AF101">
            <v>-2498</v>
          </cell>
          <cell r="AG101">
            <v>-2371</v>
          </cell>
          <cell r="AH101">
            <v>-3101</v>
          </cell>
          <cell r="AI101">
            <v>-3075</v>
          </cell>
          <cell r="AJ101">
            <v>-2415</v>
          </cell>
          <cell r="AK101">
            <v>-2358</v>
          </cell>
          <cell r="AL101">
            <v>-3526.8551938411701</v>
          </cell>
          <cell r="AM101">
            <v>-3559.0472722352902</v>
          </cell>
          <cell r="AN101">
            <v>-4165.1365705704402</v>
          </cell>
          <cell r="AO101">
            <v>-4463.8555198985696</v>
          </cell>
          <cell r="AP101">
            <v>-4721.3181165773703</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row>
        <row r="102">
          <cell r="B102" t="str">
            <v>Acquisitions</v>
          </cell>
          <cell r="C102" t="str">
            <v>ACQ</v>
          </cell>
          <cell r="D102" t="str">
            <v>SEK</v>
          </cell>
          <cell r="F102">
            <v>0</v>
          </cell>
          <cell r="M102">
            <v>-4291</v>
          </cell>
          <cell r="N102">
            <v>-386</v>
          </cell>
          <cell r="O102">
            <v>-344</v>
          </cell>
          <cell r="P102">
            <v>-562</v>
          </cell>
          <cell r="Q102">
            <v>-1870</v>
          </cell>
          <cell r="R102">
            <v>-2570</v>
          </cell>
          <cell r="S102">
            <v>-107</v>
          </cell>
          <cell r="T102">
            <v>-311</v>
          </cell>
          <cell r="U102">
            <v>-285</v>
          </cell>
          <cell r="V102">
            <v>-1261</v>
          </cell>
          <cell r="W102">
            <v>-5856</v>
          </cell>
          <cell r="X102">
            <v>-954</v>
          </cell>
          <cell r="Y102">
            <v>-2036</v>
          </cell>
          <cell r="Z102">
            <v>-1216</v>
          </cell>
          <cell r="AA102">
            <v>-338</v>
          </cell>
          <cell r="AB102">
            <v>-39</v>
          </cell>
          <cell r="AC102">
            <v>-489</v>
          </cell>
          <cell r="AD102">
            <v>-2834</v>
          </cell>
          <cell r="AE102">
            <v>-7</v>
          </cell>
          <cell r="AF102">
            <v>-31</v>
          </cell>
          <cell r="AG102">
            <v>0</v>
          </cell>
          <cell r="AH102">
            <v>-4631</v>
          </cell>
          <cell r="AI102">
            <v>-1870</v>
          </cell>
          <cell r="AJ102">
            <v>-3274</v>
          </cell>
          <cell r="AK102">
            <v>-23578</v>
          </cell>
          <cell r="AL102">
            <v>-6050</v>
          </cell>
          <cell r="AM102">
            <v>-5352.7965246616404</v>
          </cell>
          <cell r="AN102">
            <v>-6017.3693038828997</v>
          </cell>
          <cell r="AO102">
            <v>-6669.8827774997098</v>
          </cell>
          <cell r="AP102">
            <v>-7362.9069922012304</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row>
        <row r="103">
          <cell r="B103" t="str">
            <v>Divestitures</v>
          </cell>
          <cell r="C103" t="str">
            <v>DIVEST</v>
          </cell>
          <cell r="D103" t="str">
            <v>SEK</v>
          </cell>
          <cell r="F103">
            <v>0</v>
          </cell>
          <cell r="M103">
            <v>0</v>
          </cell>
          <cell r="N103">
            <v>44</v>
          </cell>
          <cell r="O103">
            <v>3216</v>
          </cell>
          <cell r="P103">
            <v>0</v>
          </cell>
          <cell r="Q103">
            <v>371</v>
          </cell>
          <cell r="R103">
            <v>0</v>
          </cell>
          <cell r="S103">
            <v>181</v>
          </cell>
          <cell r="T103">
            <v>468</v>
          </cell>
          <cell r="U103">
            <v>31</v>
          </cell>
          <cell r="V103">
            <v>70</v>
          </cell>
          <cell r="W103">
            <v>363</v>
          </cell>
          <cell r="X103">
            <v>111</v>
          </cell>
          <cell r="Y103">
            <v>55</v>
          </cell>
          <cell r="Z103">
            <v>0</v>
          </cell>
          <cell r="AA103">
            <v>0</v>
          </cell>
          <cell r="AB103">
            <v>0</v>
          </cell>
          <cell r="AC103">
            <v>0</v>
          </cell>
          <cell r="AD103">
            <v>460</v>
          </cell>
          <cell r="AE103">
            <v>0</v>
          </cell>
          <cell r="AF103">
            <v>53</v>
          </cell>
          <cell r="AG103">
            <v>4642</v>
          </cell>
          <cell r="AH103">
            <v>4052</v>
          </cell>
          <cell r="AI103">
            <v>95</v>
          </cell>
          <cell r="AJ103">
            <v>778</v>
          </cell>
          <cell r="AK103">
            <v>423</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row>
        <row r="104">
          <cell r="B104" t="str">
            <v>Other investing cash flow items</v>
          </cell>
          <cell r="C104" t="str">
            <v>OTH_INV_CF</v>
          </cell>
          <cell r="D104" t="str">
            <v>SEK</v>
          </cell>
          <cell r="F104">
            <v>0</v>
          </cell>
          <cell r="G104">
            <v>0</v>
          </cell>
          <cell r="H104">
            <v>0</v>
          </cell>
          <cell r="I104">
            <v>0</v>
          </cell>
          <cell r="J104">
            <v>0</v>
          </cell>
          <cell r="K104">
            <v>0</v>
          </cell>
          <cell r="L104">
            <v>0</v>
          </cell>
          <cell r="M104">
            <v>-12</v>
          </cell>
          <cell r="N104">
            <v>0</v>
          </cell>
          <cell r="O104">
            <v>0</v>
          </cell>
          <cell r="P104">
            <v>-306</v>
          </cell>
          <cell r="Q104">
            <v>0</v>
          </cell>
          <cell r="R104">
            <v>-3</v>
          </cell>
          <cell r="S104">
            <v>0</v>
          </cell>
          <cell r="T104">
            <v>0</v>
          </cell>
          <cell r="U104">
            <v>0</v>
          </cell>
          <cell r="V104">
            <v>0</v>
          </cell>
          <cell r="W104">
            <v>0</v>
          </cell>
          <cell r="X104">
            <v>0</v>
          </cell>
          <cell r="Y104">
            <v>0</v>
          </cell>
          <cell r="Z104">
            <v>0</v>
          </cell>
          <cell r="AB104">
            <v>0</v>
          </cell>
          <cell r="AC104">
            <v>-549</v>
          </cell>
          <cell r="AD104">
            <v>-875</v>
          </cell>
          <cell r="AE104">
            <v>-889</v>
          </cell>
          <cell r="AF104">
            <v>-955</v>
          </cell>
          <cell r="AG104">
            <v>-823</v>
          </cell>
          <cell r="AH104">
            <v>-603</v>
          </cell>
          <cell r="AI104">
            <v>-634</v>
          </cell>
          <cell r="AJ104">
            <v>134</v>
          </cell>
          <cell r="AK104">
            <v>-679</v>
          </cell>
          <cell r="AL104">
            <v>-801.64526351053598</v>
          </cell>
          <cell r="AM104">
            <v>-781.53998584793396</v>
          </cell>
          <cell r="AN104">
            <v>-843.17695824700604</v>
          </cell>
          <cell r="AO104">
            <v>-903.64866926961497</v>
          </cell>
          <cell r="AP104">
            <v>-955.76857589257304</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row>
        <row r="105">
          <cell r="B105" t="str">
            <v>Cash flow from investing</v>
          </cell>
          <cell r="C105" t="str">
            <v>CF_INV</v>
          </cell>
          <cell r="D105" t="str">
            <v>SEK</v>
          </cell>
          <cell r="M105">
            <v>-5089</v>
          </cell>
          <cell r="N105">
            <v>-2956</v>
          </cell>
          <cell r="O105">
            <v>1316</v>
          </cell>
          <cell r="P105">
            <v>-2691</v>
          </cell>
          <cell r="Q105">
            <v>-3873</v>
          </cell>
          <cell r="R105">
            <v>-4708</v>
          </cell>
          <cell r="S105">
            <v>-2766</v>
          </cell>
          <cell r="T105">
            <v>-2613</v>
          </cell>
          <cell r="U105">
            <v>-3684</v>
          </cell>
          <cell r="V105">
            <v>-5324</v>
          </cell>
          <cell r="W105">
            <v>-10483</v>
          </cell>
          <cell r="X105">
            <v>-7631</v>
          </cell>
          <cell r="Y105">
            <v>-6193</v>
          </cell>
          <cell r="Z105">
            <v>-4543</v>
          </cell>
          <cell r="AA105">
            <v>-5460</v>
          </cell>
          <cell r="AB105">
            <v>-5172</v>
          </cell>
          <cell r="AC105">
            <v>-4524</v>
          </cell>
          <cell r="AD105">
            <v>-6839</v>
          </cell>
          <cell r="AE105">
            <v>-3910</v>
          </cell>
          <cell r="AF105">
            <v>-3431</v>
          </cell>
          <cell r="AG105">
            <v>1448</v>
          </cell>
          <cell r="AH105">
            <v>-4283</v>
          </cell>
          <cell r="AI105">
            <v>-5484</v>
          </cell>
          <cell r="AJ105">
            <v>-4777</v>
          </cell>
          <cell r="AK105">
            <v>-26192</v>
          </cell>
          <cell r="AL105">
            <v>-10378.5004573517</v>
          </cell>
          <cell r="AM105">
            <v>-9693.3837827448697</v>
          </cell>
          <cell r="AN105">
            <v>-11025.6828327004</v>
          </cell>
          <cell r="AO105">
            <v>-12037.3869666679</v>
          </cell>
          <cell r="AP105">
            <v>-13039.993684671201</v>
          </cell>
        </row>
        <row r="106">
          <cell r="B106" t="str">
            <v>Dividends paid</v>
          </cell>
          <cell r="C106" t="str">
            <v>DIV_PAID</v>
          </cell>
          <cell r="D106" t="str">
            <v>SEK</v>
          </cell>
          <cell r="F106">
            <v>0</v>
          </cell>
          <cell r="M106">
            <v>-1930</v>
          </cell>
          <cell r="N106">
            <v>-2199</v>
          </cell>
          <cell r="O106">
            <v>-1930</v>
          </cell>
          <cell r="P106">
            <v>-2266</v>
          </cell>
          <cell r="Q106">
            <v>-2554</v>
          </cell>
          <cell r="R106">
            <v>-2545</v>
          </cell>
          <cell r="S106">
            <v>-2659</v>
          </cell>
          <cell r="T106">
            <v>-2799</v>
          </cell>
          <cell r="U106">
            <v>-3012</v>
          </cell>
          <cell r="V106">
            <v>-3533</v>
          </cell>
          <cell r="W106">
            <v>-4207</v>
          </cell>
          <cell r="X106">
            <v>-5111</v>
          </cell>
          <cell r="Y106">
            <v>-3926</v>
          </cell>
          <cell r="Z106">
            <v>-1188</v>
          </cell>
          <cell r="AA106">
            <v>-3807</v>
          </cell>
          <cell r="AB106">
            <v>-4082</v>
          </cell>
          <cell r="AC106">
            <v>-4394</v>
          </cell>
          <cell r="AD106">
            <v>-4395</v>
          </cell>
          <cell r="AE106">
            <v>-4393</v>
          </cell>
          <cell r="AF106">
            <v>-3136</v>
          </cell>
          <cell r="AG106">
            <v>-3458</v>
          </cell>
          <cell r="AH106">
            <v>-4390</v>
          </cell>
          <cell r="AI106">
            <v>-5340</v>
          </cell>
          <cell r="AJ106">
            <v>0</v>
          </cell>
          <cell r="AK106">
            <v>-8140</v>
          </cell>
          <cell r="AL106">
            <v>-5958.3334999999997</v>
          </cell>
          <cell r="AM106">
            <v>-8152.7718914472098</v>
          </cell>
          <cell r="AN106">
            <v>-8334.7193791418704</v>
          </cell>
          <cell r="AO106">
            <v>-9193.4336170705592</v>
          </cell>
          <cell r="AP106">
            <v>-9761.3306637223905</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row>
        <row r="107">
          <cell r="B107" t="str">
            <v>Common stock issuance/(repurchase)</v>
          </cell>
          <cell r="C107" t="str">
            <v>SH_REPUR</v>
          </cell>
          <cell r="D107" t="str">
            <v>SEK</v>
          </cell>
          <cell r="F107">
            <v>0</v>
          </cell>
          <cell r="G107">
            <v>0</v>
          </cell>
          <cell r="H107">
            <v>0</v>
          </cell>
          <cell r="I107">
            <v>0</v>
          </cell>
          <cell r="J107">
            <v>0</v>
          </cell>
          <cell r="K107">
            <v>0</v>
          </cell>
          <cell r="L107">
            <v>0</v>
          </cell>
          <cell r="M107">
            <v>-4000</v>
          </cell>
          <cell r="N107">
            <v>0</v>
          </cell>
          <cell r="O107">
            <v>0</v>
          </cell>
          <cell r="P107">
            <v>0</v>
          </cell>
          <cell r="Q107">
            <v>-1660</v>
          </cell>
          <cell r="R107">
            <v>-230</v>
          </cell>
          <cell r="S107">
            <v>0</v>
          </cell>
          <cell r="T107">
            <v>-2048</v>
          </cell>
          <cell r="U107">
            <v>-3964</v>
          </cell>
          <cell r="V107">
            <v>0</v>
          </cell>
          <cell r="W107">
            <v>-3559</v>
          </cell>
          <cell r="X107">
            <v>0</v>
          </cell>
          <cell r="Y107">
            <v>0</v>
          </cell>
          <cell r="Z107">
            <v>0</v>
          </cell>
          <cell r="AA107">
            <v>0</v>
          </cell>
          <cell r="AB107">
            <v>0</v>
          </cell>
          <cell r="AC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row>
        <row r="108">
          <cell r="B108" t="str">
            <v>Increase/(decrease) in total debt</v>
          </cell>
          <cell r="C108" t="str">
            <v>CHG_LT_DEBT</v>
          </cell>
          <cell r="D108" t="str">
            <v>SEK</v>
          </cell>
          <cell r="F108">
            <v>0</v>
          </cell>
          <cell r="M108">
            <v>3137</v>
          </cell>
          <cell r="N108">
            <v>445</v>
          </cell>
          <cell r="O108">
            <v>-1958</v>
          </cell>
          <cell r="P108">
            <v>147</v>
          </cell>
          <cell r="Q108">
            <v>4137</v>
          </cell>
          <cell r="R108">
            <v>341</v>
          </cell>
          <cell r="S108">
            <v>-1100</v>
          </cell>
          <cell r="T108">
            <v>1814</v>
          </cell>
          <cell r="U108">
            <v>3087</v>
          </cell>
          <cell r="V108">
            <v>1124</v>
          </cell>
          <cell r="W108">
            <v>13052</v>
          </cell>
          <cell r="X108">
            <v>6542</v>
          </cell>
          <cell r="Y108">
            <v>-1565</v>
          </cell>
          <cell r="Z108">
            <v>-9257</v>
          </cell>
          <cell r="AA108">
            <v>2130</v>
          </cell>
          <cell r="AB108">
            <v>4571</v>
          </cell>
          <cell r="AC108">
            <v>-4871</v>
          </cell>
          <cell r="AD108">
            <v>2758</v>
          </cell>
          <cell r="AE108">
            <v>-3570</v>
          </cell>
          <cell r="AF108">
            <v>-3177</v>
          </cell>
          <cell r="AG108">
            <v>-8312</v>
          </cell>
          <cell r="AH108">
            <v>-859</v>
          </cell>
          <cell r="AI108">
            <v>-7073</v>
          </cell>
          <cell r="AJ108">
            <v>-2298</v>
          </cell>
          <cell r="AK108">
            <v>11652</v>
          </cell>
          <cell r="AL108">
            <v>0</v>
          </cell>
          <cell r="AM108">
            <v>0</v>
          </cell>
          <cell r="AN108">
            <v>0</v>
          </cell>
          <cell r="AO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row>
        <row r="109">
          <cell r="B109" t="str">
            <v>Lease principal payments  (applicable to IFRS cos.)</v>
          </cell>
          <cell r="C109" t="str">
            <v>LEASE_PRINCIPAL_CASH</v>
          </cell>
          <cell r="D109" t="str">
            <v>SEK</v>
          </cell>
          <cell r="AI109">
            <v>-945</v>
          </cell>
          <cell r="AJ109">
            <v>-1012</v>
          </cell>
          <cell r="AK109">
            <v>-1025</v>
          </cell>
          <cell r="AL109">
            <v>-1659.4806155848901</v>
          </cell>
          <cell r="AM109">
            <v>-1617.8608118254001</v>
          </cell>
          <cell r="AN109">
            <v>-1745.45510515618</v>
          </cell>
          <cell r="AO109">
            <v>-1870.63719853476</v>
          </cell>
          <cell r="AP109">
            <v>-1978.5302762635999</v>
          </cell>
        </row>
        <row r="110">
          <cell r="B110" t="str">
            <v>Other financing cash flow items</v>
          </cell>
          <cell r="C110" t="str">
            <v>OTH_FIN_CF</v>
          </cell>
          <cell r="D110" t="str">
            <v>SEK</v>
          </cell>
          <cell r="F110">
            <v>0</v>
          </cell>
          <cell r="G110">
            <v>0</v>
          </cell>
          <cell r="H110">
            <v>0</v>
          </cell>
          <cell r="I110">
            <v>0</v>
          </cell>
          <cell r="J110">
            <v>0</v>
          </cell>
          <cell r="K110">
            <v>0</v>
          </cell>
          <cell r="L110">
            <v>0</v>
          </cell>
          <cell r="M110">
            <v>-165</v>
          </cell>
          <cell r="N110">
            <v>97</v>
          </cell>
          <cell r="O110">
            <v>-253</v>
          </cell>
          <cell r="P110">
            <v>62</v>
          </cell>
          <cell r="Q110">
            <v>-982</v>
          </cell>
          <cell r="R110">
            <v>-131</v>
          </cell>
          <cell r="S110">
            <v>-99</v>
          </cell>
          <cell r="T110">
            <v>72</v>
          </cell>
          <cell r="U110">
            <v>146</v>
          </cell>
          <cell r="V110">
            <v>-251</v>
          </cell>
          <cell r="W110">
            <v>-18</v>
          </cell>
          <cell r="X110">
            <v>-479</v>
          </cell>
          <cell r="Y110">
            <v>1442</v>
          </cell>
          <cell r="Z110">
            <v>-424</v>
          </cell>
          <cell r="AA110">
            <v>-363</v>
          </cell>
          <cell r="AB110">
            <v>44</v>
          </cell>
          <cell r="AC110">
            <v>-581</v>
          </cell>
          <cell r="AD110">
            <v>-156</v>
          </cell>
          <cell r="AE110">
            <v>-1298</v>
          </cell>
          <cell r="AF110">
            <v>-369</v>
          </cell>
          <cell r="AG110">
            <v>-58</v>
          </cell>
          <cell r="AH110">
            <v>-17</v>
          </cell>
          <cell r="AI110">
            <v>86</v>
          </cell>
          <cell r="AJ110">
            <v>-1574</v>
          </cell>
          <cell r="AK110">
            <v>-705</v>
          </cell>
          <cell r="AL110">
            <v>-2987.4806155849001</v>
          </cell>
          <cell r="AM110">
            <v>-1617.8608118254001</v>
          </cell>
          <cell r="AN110">
            <v>-1745.45510515618</v>
          </cell>
          <cell r="AO110">
            <v>-1870.63719853476</v>
          </cell>
          <cell r="AP110">
            <v>-1978.5302762635999</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row>
        <row r="111">
          <cell r="B111" t="str">
            <v>Cash flow from financing</v>
          </cell>
          <cell r="C111" t="str">
            <v>CF_FIN</v>
          </cell>
          <cell r="D111" t="str">
            <v>SEK</v>
          </cell>
          <cell r="M111">
            <v>-2958</v>
          </cell>
          <cell r="N111">
            <v>-1657</v>
          </cell>
          <cell r="O111">
            <v>-4141</v>
          </cell>
          <cell r="P111">
            <v>-2057</v>
          </cell>
          <cell r="Q111">
            <v>-1059</v>
          </cell>
          <cell r="R111">
            <v>-2565</v>
          </cell>
          <cell r="S111">
            <v>-3858</v>
          </cell>
          <cell r="T111">
            <v>-2961</v>
          </cell>
          <cell r="U111">
            <v>-3743</v>
          </cell>
          <cell r="V111">
            <v>-2660</v>
          </cell>
          <cell r="W111">
            <v>5268</v>
          </cell>
          <cell r="X111">
            <v>952</v>
          </cell>
          <cell r="Y111">
            <v>-4049</v>
          </cell>
          <cell r="Z111">
            <v>-10869</v>
          </cell>
          <cell r="AA111">
            <v>-2040</v>
          </cell>
          <cell r="AB111">
            <v>533</v>
          </cell>
          <cell r="AC111">
            <v>-9846</v>
          </cell>
          <cell r="AD111">
            <v>-1793</v>
          </cell>
          <cell r="AE111">
            <v>-9261</v>
          </cell>
          <cell r="AF111">
            <v>-6682</v>
          </cell>
          <cell r="AG111">
            <v>-11828</v>
          </cell>
          <cell r="AH111">
            <v>-5266</v>
          </cell>
          <cell r="AI111">
            <v>-13272</v>
          </cell>
          <cell r="AJ111">
            <v>-3872</v>
          </cell>
          <cell r="AK111">
            <v>2807</v>
          </cell>
          <cell r="AL111">
            <v>-8945.8141155849007</v>
          </cell>
          <cell r="AM111">
            <v>-9770.6327032726003</v>
          </cell>
          <cell r="AN111">
            <v>-10080.174484298101</v>
          </cell>
          <cell r="AO111">
            <v>-11064.070815605301</v>
          </cell>
          <cell r="AP111">
            <v>-11739.860939986</v>
          </cell>
        </row>
        <row r="112">
          <cell r="B112" t="str">
            <v>Other items net cash flow</v>
          </cell>
          <cell r="C112" t="str">
            <v>OTH_ITEM_NCF</v>
          </cell>
          <cell r="D112" t="str">
            <v>SEK</v>
          </cell>
        </row>
        <row r="113">
          <cell r="B113" t="str">
            <v>Total cash flow</v>
          </cell>
          <cell r="C113" t="str">
            <v>TOT_CF</v>
          </cell>
          <cell r="D113" t="str">
            <v>SEK</v>
          </cell>
          <cell r="M113">
            <v>-3063</v>
          </cell>
          <cell r="N113">
            <v>-694</v>
          </cell>
          <cell r="O113">
            <v>569</v>
          </cell>
          <cell r="P113">
            <v>-272</v>
          </cell>
          <cell r="Q113">
            <v>161</v>
          </cell>
          <cell r="R113">
            <v>-83</v>
          </cell>
          <cell r="S113">
            <v>-203</v>
          </cell>
          <cell r="T113">
            <v>-252</v>
          </cell>
          <cell r="U113">
            <v>-161</v>
          </cell>
          <cell r="V113">
            <v>186</v>
          </cell>
          <cell r="W113">
            <v>261</v>
          </cell>
          <cell r="X113">
            <v>2992</v>
          </cell>
          <cell r="Y113">
            <v>2508</v>
          </cell>
          <cell r="Z113">
            <v>-2723</v>
          </cell>
          <cell r="AA113">
            <v>809</v>
          </cell>
          <cell r="AB113">
            <v>8237</v>
          </cell>
          <cell r="AC113">
            <v>-8753</v>
          </cell>
          <cell r="AD113">
            <v>1251</v>
          </cell>
          <cell r="AE113">
            <v>49</v>
          </cell>
          <cell r="AF113">
            <v>2442</v>
          </cell>
          <cell r="AG113">
            <v>3906</v>
          </cell>
          <cell r="AH113">
            <v>5365</v>
          </cell>
          <cell r="AI113">
            <v>-1102</v>
          </cell>
          <cell r="AJ113">
            <v>6765</v>
          </cell>
          <cell r="AK113">
            <v>-10167</v>
          </cell>
          <cell r="AL113">
            <v>-7487.8037532682802</v>
          </cell>
          <cell r="AM113">
            <v>5066.8655878834297</v>
          </cell>
          <cell r="AN113">
            <v>-568.920110204548</v>
          </cell>
          <cell r="AO113">
            <v>-2345.4805041947002</v>
          </cell>
          <cell r="AP113">
            <v>319.17892354824301</v>
          </cell>
        </row>
        <row r="114">
          <cell r="A114" t="str">
            <v>Additional Cash Flow Items</v>
          </cell>
        </row>
        <row r="115">
          <cell r="B115" t="str">
            <v>Associate and JV add-back</v>
          </cell>
          <cell r="C115" t="str">
            <v>ASSOC_JV_ADDBK</v>
          </cell>
          <cell r="D115" t="str">
            <v>SEK</v>
          </cell>
        </row>
        <row r="116">
          <cell r="B116" t="str">
            <v>Cash interest income/(expense)</v>
          </cell>
          <cell r="C116" t="str">
            <v>CASH_INT_INC_EXP</v>
          </cell>
          <cell r="D116" t="str">
            <v>SEK</v>
          </cell>
        </row>
        <row r="117">
          <cell r="B117" t="str">
            <v>Cash taxes paid</v>
          </cell>
          <cell r="C117" t="str">
            <v>CASH_TAX_PD</v>
          </cell>
          <cell r="D117" t="str">
            <v>SEK</v>
          </cell>
          <cell r="M117">
            <v>-905</v>
          </cell>
          <cell r="N117">
            <v>-759</v>
          </cell>
          <cell r="O117">
            <v>-1524</v>
          </cell>
          <cell r="P117">
            <v>-1688</v>
          </cell>
          <cell r="Q117">
            <v>-1762</v>
          </cell>
          <cell r="R117">
            <v>-1449</v>
          </cell>
          <cell r="S117">
            <v>-1577</v>
          </cell>
          <cell r="T117">
            <v>-1334</v>
          </cell>
          <cell r="U117">
            <v>-1828</v>
          </cell>
          <cell r="V117">
            <v>-2708</v>
          </cell>
          <cell r="W117">
            <v>-3404</v>
          </cell>
          <cell r="X117">
            <v>-2897</v>
          </cell>
          <cell r="Y117">
            <v>-870</v>
          </cell>
          <cell r="Z117">
            <v>-1056</v>
          </cell>
          <cell r="AA117">
            <v>-2587</v>
          </cell>
          <cell r="AB117">
            <v>-3056</v>
          </cell>
          <cell r="AC117">
            <v>-7816</v>
          </cell>
          <cell r="AD117">
            <v>-1899</v>
          </cell>
          <cell r="AE117">
            <v>-1939</v>
          </cell>
          <cell r="AF117">
            <v>-1650</v>
          </cell>
          <cell r="AG117">
            <v>-2466</v>
          </cell>
          <cell r="AH117">
            <v>-2978</v>
          </cell>
          <cell r="AI117">
            <v>-3598</v>
          </cell>
          <cell r="AJ117">
            <v>-3518</v>
          </cell>
          <cell r="AK117">
            <v>-4154</v>
          </cell>
          <cell r="AL117">
            <v>-4451.3057920252904</v>
          </cell>
          <cell r="AM117">
            <v>-4997.0161665586402</v>
          </cell>
          <cell r="AN117">
            <v>-5511.4207136963196</v>
          </cell>
          <cell r="AO117">
            <v>-5852.0637264894503</v>
          </cell>
          <cell r="AP117">
            <v>-6063.4091468779798</v>
          </cell>
        </row>
        <row r="118">
          <cell r="B118" t="str">
            <v>Profit/(loss) on sale of assets</v>
          </cell>
          <cell r="C118" t="str">
            <v>PL_SALE_ASSETS</v>
          </cell>
          <cell r="D118" t="str">
            <v>SEK</v>
          </cell>
        </row>
        <row r="119">
          <cell r="B119" t="str">
            <v>Other non-cash adjustments</v>
          </cell>
          <cell r="C119" t="str">
            <v>OTH_NONCASH_ADJ</v>
          </cell>
          <cell r="D119" t="str">
            <v>SEK</v>
          </cell>
        </row>
        <row r="120">
          <cell r="B120" t="str">
            <v>Other DACF adjustments</v>
          </cell>
          <cell r="C120" t="str">
            <v>OTH_DACF_ADJ</v>
          </cell>
          <cell r="D120" t="str">
            <v>SEK</v>
          </cell>
        </row>
        <row r="121">
          <cell r="B121" t="str">
            <v>Cash interest expense</v>
          </cell>
          <cell r="C121" t="str">
            <v>CASH_INT_EXP</v>
          </cell>
          <cell r="D121" t="str">
            <v>SEK</v>
          </cell>
        </row>
        <row r="122">
          <cell r="B122" t="str">
            <v>Cash tax expense</v>
          </cell>
          <cell r="C122" t="str">
            <v>CASH_TAX_EXP</v>
          </cell>
          <cell r="D122" t="str">
            <v>SEK</v>
          </cell>
          <cell r="M122">
            <v>-1283</v>
          </cell>
          <cell r="N122">
            <v>-1675</v>
          </cell>
          <cell r="O122">
            <v>-1688</v>
          </cell>
          <cell r="P122">
            <v>-1881</v>
          </cell>
          <cell r="Q122">
            <v>-1712</v>
          </cell>
          <cell r="R122">
            <v>-1431</v>
          </cell>
          <cell r="S122">
            <v>-1212</v>
          </cell>
          <cell r="T122">
            <v>-1766</v>
          </cell>
          <cell r="U122">
            <v>-2427</v>
          </cell>
          <cell r="V122">
            <v>-3006</v>
          </cell>
          <cell r="W122">
            <v>-3403</v>
          </cell>
          <cell r="X122">
            <v>-2741</v>
          </cell>
          <cell r="Y122">
            <v>876</v>
          </cell>
          <cell r="Z122">
            <v>-2469</v>
          </cell>
          <cell r="AA122">
            <v>-2318</v>
          </cell>
          <cell r="AB122">
            <v>-3409</v>
          </cell>
          <cell r="AC122">
            <v>-1745</v>
          </cell>
          <cell r="AD122">
            <v>-2272</v>
          </cell>
          <cell r="AE122">
            <v>-1865</v>
          </cell>
          <cell r="AF122">
            <v>-2528</v>
          </cell>
          <cell r="AG122">
            <v>-3783</v>
          </cell>
          <cell r="AH122">
            <v>-4645</v>
          </cell>
          <cell r="AI122">
            <v>-3422</v>
          </cell>
          <cell r="AJ122">
            <v>-2517</v>
          </cell>
          <cell r="AK122">
            <v>-3967</v>
          </cell>
          <cell r="AL122">
            <v>-4451.3057920252904</v>
          </cell>
          <cell r="AM122">
            <v>-4997.0161665586402</v>
          </cell>
          <cell r="AN122">
            <v>-5511.4207136963196</v>
          </cell>
          <cell r="AO122">
            <v>-5852.0637264894503</v>
          </cell>
          <cell r="AP122">
            <v>-6063.4091468779798</v>
          </cell>
        </row>
        <row r="123">
          <cell r="B123" t="str">
            <v>Dividends received from associates/JVs</v>
          </cell>
          <cell r="C123" t="str">
            <v>DIVDS_ASSOC_JV</v>
          </cell>
          <cell r="D123" t="str">
            <v>SEK</v>
          </cell>
        </row>
        <row r="124">
          <cell r="B124" t="str">
            <v>Capex maintenance</v>
          </cell>
          <cell r="C124" t="str">
            <v>CAPEX_MAINTENANCE</v>
          </cell>
          <cell r="D124" t="str">
            <v>SEK</v>
          </cell>
        </row>
        <row r="125">
          <cell r="B125" t="str">
            <v>Capex expansion</v>
          </cell>
          <cell r="C125" t="str">
            <v>CAPEX_EXPANSION</v>
          </cell>
          <cell r="D125" t="str">
            <v>SEK</v>
          </cell>
        </row>
        <row r="126">
          <cell r="B126" t="str">
            <v>Non-PP&amp;E capex</v>
          </cell>
          <cell r="C126" t="str">
            <v>NONPPE_CAPEX</v>
          </cell>
          <cell r="D126" t="str">
            <v>SEK</v>
          </cell>
        </row>
        <row r="127">
          <cell r="B127" t="str">
            <v>Dividends paid to minorities</v>
          </cell>
          <cell r="C127" t="str">
            <v>DIVDS_PD_MINORITIES</v>
          </cell>
          <cell r="D127" t="str">
            <v>SEK</v>
          </cell>
        </row>
        <row r="128">
          <cell r="A128" t="str">
            <v>Company Metrics</v>
          </cell>
        </row>
        <row r="129">
          <cell r="B129" t="str">
            <v>Group sales % - &gt;50% bigger than number 2</v>
          </cell>
          <cell r="C129" t="str">
            <v>GROUP_SALES_PCT_BIG_NO_TWO</v>
          </cell>
          <cell r="E129">
            <v>0.3</v>
          </cell>
        </row>
        <row r="130">
          <cell r="B130" t="str">
            <v>Group sales % -  number 1/shared number one</v>
          </cell>
          <cell r="C130" t="str">
            <v>GROUP_SALES_PCT_SHRD_NO_ONE</v>
          </cell>
          <cell r="E130">
            <v>0.34</v>
          </cell>
        </row>
        <row r="131">
          <cell r="B131" t="str">
            <v>Group sales % -  top 3</v>
          </cell>
          <cell r="C131" t="str">
            <v>GROUP_SALES_PCT_TOP_THREE</v>
          </cell>
          <cell r="E131">
            <v>0.24666666666699999</v>
          </cell>
        </row>
        <row r="132">
          <cell r="B132" t="str">
            <v>Aftermarket - % Global sales</v>
          </cell>
          <cell r="C132" t="str">
            <v>AMKT_PCT_GROUP_SALES</v>
          </cell>
          <cell r="AB132">
            <v>0.25</v>
          </cell>
          <cell r="AD132">
            <v>0.25</v>
          </cell>
        </row>
        <row r="133">
          <cell r="B133" t="str">
            <v>Distribution score</v>
          </cell>
          <cell r="C133" t="str">
            <v>DISTR_SCORE</v>
          </cell>
          <cell r="E133">
            <v>6</v>
          </cell>
        </row>
        <row r="134">
          <cell r="B134" t="str">
            <v>Structural growth outlook by product category</v>
          </cell>
          <cell r="C134" t="str">
            <v>STRCTL_GRTH_PROD_CTGRY</v>
          </cell>
          <cell r="E134">
            <v>3.6999999999999998E-2</v>
          </cell>
        </row>
        <row r="135">
          <cell r="B135" t="str">
            <v>Cyclical growth outlook by end market</v>
          </cell>
          <cell r="C135" t="str">
            <v>CYCL_GRTH_EMKT</v>
          </cell>
          <cell r="E135">
            <v>5</v>
          </cell>
        </row>
        <row r="136">
          <cell r="B136" t="str">
            <v>Cycle adjusted CROCI</v>
          </cell>
          <cell r="C136" t="str">
            <v>CYCL_ADJ_CROCI</v>
          </cell>
          <cell r="AB136">
            <v>0</v>
          </cell>
        </row>
        <row r="137">
          <cell r="B137" t="str">
            <v>Degree of customer concentration (High/Medium/Low)</v>
          </cell>
          <cell r="C137" t="str">
            <v>DGR_CUST_CONCTR</v>
          </cell>
          <cell r="AB137">
            <v>0</v>
          </cell>
        </row>
        <row r="138">
          <cell r="B138" t="str">
            <v>Sales % represented by project business</v>
          </cell>
          <cell r="C138" t="str">
            <v>SALES_PCT_PROJ_BUS</v>
          </cell>
          <cell r="AB138">
            <v>0</v>
          </cell>
        </row>
        <row r="139">
          <cell r="B139" t="str">
            <v>Sales % represented by service contracts or aftermarket/captive sales</v>
          </cell>
          <cell r="C139" t="str">
            <v>SALES_PCT_REC</v>
          </cell>
          <cell r="AB139">
            <v>0</v>
          </cell>
          <cell r="AD139">
            <v>0.186587577867</v>
          </cell>
          <cell r="AE139">
            <v>0.27579999999999999</v>
          </cell>
          <cell r="AH139">
            <v>0.26668498680899999</v>
          </cell>
        </row>
        <row r="140">
          <cell r="A140" t="str">
            <v>Other Items</v>
          </cell>
        </row>
        <row r="141">
          <cell r="B141" t="str">
            <v>Number of employees</v>
          </cell>
          <cell r="C141" t="str">
            <v>EMPLOYEES</v>
          </cell>
          <cell r="M141">
            <v>32.430999999999997</v>
          </cell>
          <cell r="N141">
            <v>37.963000000000001</v>
          </cell>
          <cell r="O141">
            <v>35.695</v>
          </cell>
          <cell r="P141">
            <v>34.305999999999997</v>
          </cell>
          <cell r="Q141">
            <v>34.795000000000002</v>
          </cell>
          <cell r="R141">
            <v>36.118000000000002</v>
          </cell>
          <cell r="S141">
            <v>37.137</v>
          </cell>
          <cell r="T141">
            <v>37.673000000000002</v>
          </cell>
          <cell r="U141">
            <v>39.015999999999998</v>
          </cell>
          <cell r="V141">
            <v>40.671999999999997</v>
          </cell>
          <cell r="W141">
            <v>44.423000000000002</v>
          </cell>
          <cell r="X141">
            <v>48.570999999999998</v>
          </cell>
          <cell r="Y141">
            <v>44.354999999999997</v>
          </cell>
          <cell r="Z141">
            <v>45.709000000000003</v>
          </cell>
          <cell r="AA141">
            <v>48.546999999999997</v>
          </cell>
          <cell r="AB141">
            <v>49.384999999999998</v>
          </cell>
          <cell r="AC141">
            <v>48.04</v>
          </cell>
          <cell r="AD141">
            <v>47.328000000000003</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cell r="AB169">
            <v>0</v>
          </cell>
          <cell r="AI169">
            <v>0.19511226486399999</v>
          </cell>
        </row>
        <row r="170">
          <cell r="B170" t="str">
            <v>Regional exposure as % of revenues - EMEA</v>
          </cell>
          <cell r="C170" t="str">
            <v>SALES_EXPOSURE_EMEA</v>
          </cell>
          <cell r="AB170">
            <v>0</v>
          </cell>
          <cell r="AI170">
            <v>0.33787497594299998</v>
          </cell>
        </row>
        <row r="171">
          <cell r="B171" t="str">
            <v>Regional exposure as % of revenues - APAC</v>
          </cell>
          <cell r="C171" t="str">
            <v>SALES_EXPOSURE_APAC</v>
          </cell>
          <cell r="AB171">
            <v>0</v>
          </cell>
          <cell r="AI171">
            <v>0.29126847085899998</v>
          </cell>
        </row>
        <row r="172">
          <cell r="B172" t="str">
            <v>Regional exposure as % of revenues - China</v>
          </cell>
          <cell r="C172" t="str">
            <v>SALES_EXPOSURE_CHINA</v>
          </cell>
          <cell r="AB172">
            <v>0</v>
          </cell>
          <cell r="AI172">
            <v>6.8811871597999993E-2</v>
          </cell>
        </row>
        <row r="173">
          <cell r="B173" t="str">
            <v>Regional exposure as % of revenues - ROW</v>
          </cell>
          <cell r="C173" t="str">
            <v>SALES_EXPOSURE_ROW</v>
          </cell>
          <cell r="AB173">
            <v>0</v>
          </cell>
        </row>
        <row r="174">
          <cell r="B174" t="str">
            <v>Regional exposure as % of revenues - Developed Markets</v>
          </cell>
          <cell r="C174" t="str">
            <v>SALES_EXPOSURE_DEV_MKT</v>
          </cell>
          <cell r="AB174">
            <v>0</v>
          </cell>
        </row>
        <row r="175">
          <cell r="B175" t="str">
            <v>Regional exposure as % of revenues - Emerging Markets</v>
          </cell>
          <cell r="C175" t="str">
            <v>SALES_EXPOSURE_EMER_MKT</v>
          </cell>
          <cell r="AB175">
            <v>0</v>
          </cell>
        </row>
        <row r="176">
          <cell r="A176" t="str">
            <v>End Markets</v>
          </cell>
        </row>
        <row r="177">
          <cell r="B177" t="str">
            <v>Sales to the construction end market - % Global</v>
          </cell>
          <cell r="C177" t="str">
            <v>SALES_CONSRT_EMKT_GLOBAL</v>
          </cell>
          <cell r="AB177">
            <v>0.11</v>
          </cell>
        </row>
        <row r="178">
          <cell r="B178" t="str">
            <v>Sales to the construction end market - % No. America</v>
          </cell>
          <cell r="C178" t="str">
            <v>SALES_CONSRT_EMKT_NO_AMERICA</v>
          </cell>
          <cell r="AB178">
            <v>1.6500000000000001E-2</v>
          </cell>
        </row>
        <row r="179">
          <cell r="B179" t="str">
            <v>Sales to the construction end market - % EAME</v>
          </cell>
          <cell r="C179" t="str">
            <v>SALES_CONSRT_EMKT_EAME</v>
          </cell>
          <cell r="AB179">
            <v>5.0599999999999999E-2</v>
          </cell>
        </row>
        <row r="180">
          <cell r="B180" t="str">
            <v>Sales to the construction end market - % So. America</v>
          </cell>
          <cell r="C180" t="str">
            <v>SALES_CONSRT_EMKT_SO_AMERICA</v>
          </cell>
          <cell r="AB180">
            <v>1.21E-2</v>
          </cell>
        </row>
        <row r="181">
          <cell r="B181" t="str">
            <v>Sales to the construction end market - % China</v>
          </cell>
          <cell r="C181" t="str">
            <v>SALES_CONSRT_EMKT_CHINA</v>
          </cell>
          <cell r="AB181">
            <v>8.0300000000000007E-3</v>
          </cell>
        </row>
        <row r="182">
          <cell r="B182" t="str">
            <v>Sales to the construction end market - % Asia ex-China</v>
          </cell>
          <cell r="C182" t="str">
            <v>SALES_CONSRT_EMKT_ASIAEXCHINA</v>
          </cell>
          <cell r="AB182">
            <v>2.2769999999999999E-2</v>
          </cell>
        </row>
        <row r="183">
          <cell r="B183" t="str">
            <v>Sales to the transmission &amp; distribution end market - % Global</v>
          </cell>
          <cell r="C183" t="str">
            <v>SALES_TRN_DIST_EMKT_GLOBAL</v>
          </cell>
          <cell r="AB183">
            <v>0</v>
          </cell>
        </row>
        <row r="184">
          <cell r="B184" t="str">
            <v>Sales to the transmission &amp; distribution end market - % No. America</v>
          </cell>
          <cell r="C184" t="str">
            <v>SALES_TRN_DIST_EMKT_NO_AMERICA</v>
          </cell>
          <cell r="AB184">
            <v>0</v>
          </cell>
        </row>
        <row r="185">
          <cell r="B185" t="str">
            <v>Sales to the transmission &amp; distribution end market - % EAME</v>
          </cell>
          <cell r="C185" t="str">
            <v>SALES_TRN_DIST_EMKT_EAME</v>
          </cell>
          <cell r="AB185">
            <v>0</v>
          </cell>
        </row>
        <row r="186">
          <cell r="B186" t="str">
            <v>Sales to the transmission &amp; distribution end market - % So. America</v>
          </cell>
          <cell r="C186" t="str">
            <v>SALES_TRN_DIST_EMKT_SO_AMERICA</v>
          </cell>
          <cell r="AB186">
            <v>0</v>
          </cell>
        </row>
        <row r="187">
          <cell r="B187" t="str">
            <v>Sales to the transmission &amp; distribution end market - % China</v>
          </cell>
          <cell r="C187" t="str">
            <v>SALES_TRN_DIST_EMKT_CHINA</v>
          </cell>
          <cell r="AB187">
            <v>0</v>
          </cell>
        </row>
        <row r="188">
          <cell r="B188" t="str">
            <v>Sales to the transmission &amp; distribution end market - % Asia ex-China</v>
          </cell>
          <cell r="C188" t="str">
            <v>SALES_TRN_DIST_EMKT_ASIAEXCHINA</v>
          </cell>
          <cell r="AB188">
            <v>0</v>
          </cell>
        </row>
        <row r="189">
          <cell r="B189" t="str">
            <v>Sales to the power generation end market - % Global</v>
          </cell>
          <cell r="C189" t="str">
            <v>SALES_PWR_GEN_EMKT_GLOBAL</v>
          </cell>
          <cell r="AB189">
            <v>0</v>
          </cell>
        </row>
        <row r="190">
          <cell r="B190" t="str">
            <v>Sales to the power generation end market - % No. America</v>
          </cell>
          <cell r="C190" t="str">
            <v>SALES_PWR_GEN_EMKT_NO_AMERICA</v>
          </cell>
          <cell r="AB190">
            <v>0</v>
          </cell>
        </row>
        <row r="191">
          <cell r="B191" t="str">
            <v>Sales to the power generation end market - % EAME</v>
          </cell>
          <cell r="C191" t="str">
            <v>SALES_PWR_GEN_EMKT_EAME</v>
          </cell>
          <cell r="AB191">
            <v>0</v>
          </cell>
        </row>
        <row r="192">
          <cell r="B192" t="str">
            <v>Sales to the power generation end market - % So. America</v>
          </cell>
          <cell r="C192" t="str">
            <v>SALES_PWR_GEN_EMKT_SO_AMERICA</v>
          </cell>
          <cell r="AB192">
            <v>0</v>
          </cell>
        </row>
        <row r="193">
          <cell r="B193" t="str">
            <v>Sales to the power generation end market - % China</v>
          </cell>
          <cell r="C193" t="str">
            <v>SALES_PWR_GEN_EMKT_CHINA</v>
          </cell>
          <cell r="AB193">
            <v>0</v>
          </cell>
        </row>
        <row r="194">
          <cell r="B194" t="str">
            <v>Sales to the power generation end market - % Asia ex-China</v>
          </cell>
          <cell r="C194" t="str">
            <v>SALES_PWR_GEN_EMKT_ASIAEXCHINA</v>
          </cell>
          <cell r="AB194">
            <v>0</v>
          </cell>
        </row>
        <row r="195">
          <cell r="B195" t="str">
            <v>Sales to the mining end market - % Global</v>
          </cell>
          <cell r="C195" t="str">
            <v>SALES_MINING_EMKT_GLOBAL</v>
          </cell>
          <cell r="AB195">
            <v>0.4</v>
          </cell>
        </row>
        <row r="196">
          <cell r="B196" t="str">
            <v>Sales to the mining end market - % No. America</v>
          </cell>
          <cell r="C196" t="str">
            <v>SALES_MINING_EMKT_NO_AMERICA</v>
          </cell>
          <cell r="AB196">
            <v>5.1999999999999998E-2</v>
          </cell>
        </row>
        <row r="197">
          <cell r="B197" t="str">
            <v>Sales to the mining end market - % EAME</v>
          </cell>
          <cell r="C197" t="str">
            <v>SALES_MINING_EMKT_EAME</v>
          </cell>
          <cell r="AB197">
            <v>0.124</v>
          </cell>
        </row>
        <row r="198">
          <cell r="B198" t="str">
            <v>Sales to the mining end market - % So. America</v>
          </cell>
          <cell r="C198" t="str">
            <v>SALES_MINING_EMKT_SO_AMERICA</v>
          </cell>
          <cell r="AB198">
            <v>0.06</v>
          </cell>
        </row>
        <row r="199">
          <cell r="B199" t="str">
            <v>Sales to the mining end market - % China</v>
          </cell>
          <cell r="C199" t="str">
            <v>SALES_MINING_EMKT_CHINA</v>
          </cell>
          <cell r="AB199">
            <v>2.92E-2</v>
          </cell>
        </row>
        <row r="200">
          <cell r="B200" t="str">
            <v>Sales to the mining end market - % Asia ex-China</v>
          </cell>
          <cell r="C200" t="str">
            <v>SALES_MINING_EMKT_ASIAEXCHINA</v>
          </cell>
          <cell r="AB200">
            <v>0.1348</v>
          </cell>
        </row>
        <row r="201">
          <cell r="B201" t="str">
            <v>Sales to the oil &amp; gas end market - % Global</v>
          </cell>
          <cell r="C201" t="str">
            <v>SALES_OIL_GAS_EMKT_GLOBAL</v>
          </cell>
          <cell r="AB201">
            <v>0</v>
          </cell>
        </row>
        <row r="202">
          <cell r="B202" t="str">
            <v>Sales to the oil &amp; gas end market - % No. America</v>
          </cell>
          <cell r="C202" t="str">
            <v>SALES_OIL_GAS_EMKT_NO_AMERICA</v>
          </cell>
          <cell r="AB202">
            <v>0</v>
          </cell>
        </row>
        <row r="203">
          <cell r="B203" t="str">
            <v>Sales to the oil &amp; gas end market - % EAME</v>
          </cell>
          <cell r="C203" t="str">
            <v>SALES_OIL_GAS_EMKT_EAME</v>
          </cell>
          <cell r="AB203">
            <v>0</v>
          </cell>
        </row>
        <row r="204">
          <cell r="B204" t="str">
            <v>Sales to the oil &amp; gas end market - % So. America</v>
          </cell>
          <cell r="C204" t="str">
            <v>SALES_OIL_GAS_EMKT_SO_AMERICA</v>
          </cell>
          <cell r="AB204">
            <v>0</v>
          </cell>
        </row>
        <row r="205">
          <cell r="B205" t="str">
            <v>Sales to the oil &amp; gas end market - % China</v>
          </cell>
          <cell r="C205" t="str">
            <v>SALES_OIL_GAS_EMKT_CHINA</v>
          </cell>
          <cell r="AB205">
            <v>0</v>
          </cell>
        </row>
        <row r="206">
          <cell r="B206" t="str">
            <v>Sales to the oil &amp; gas end market - % Asia ex-China</v>
          </cell>
          <cell r="C206" t="str">
            <v>SALES_OIL_GAS_EMKT_ASIAEXCHINA</v>
          </cell>
          <cell r="AB206">
            <v>0</v>
          </cell>
        </row>
        <row r="207">
          <cell r="B207" t="str">
            <v>Sales to the automotive end market - % Global</v>
          </cell>
          <cell r="C207" t="str">
            <v>SALES_AUTOMTV_EMKT_GLOBAL</v>
          </cell>
          <cell r="AB207">
            <v>0.1</v>
          </cell>
        </row>
        <row r="208">
          <cell r="B208" t="str">
            <v>Sales to the automotive end market - % No. America</v>
          </cell>
          <cell r="C208" t="str">
            <v>SALES_AUTOMTV_EMKT_NO_AMERICA</v>
          </cell>
          <cell r="AB208">
            <v>1.7999999999999999E-2</v>
          </cell>
        </row>
        <row r="209">
          <cell r="B209" t="str">
            <v>Sales to the automotive end market - % EAME</v>
          </cell>
          <cell r="C209" t="str">
            <v>SALES_AUTOMTV_EMKT_EAME</v>
          </cell>
          <cell r="AB209">
            <v>4.3999999999999997E-2</v>
          </cell>
        </row>
        <row r="210">
          <cell r="B210" t="str">
            <v>Sales to the automotive end market - % So. America</v>
          </cell>
          <cell r="C210" t="str">
            <v>SALES_AUTOMTV_EMKT_SO_AMERICA</v>
          </cell>
          <cell r="AB210">
            <v>8.9999999999999993E-3</v>
          </cell>
        </row>
        <row r="211">
          <cell r="B211" t="str">
            <v>Sales to the automotive end market - % China</v>
          </cell>
          <cell r="C211" t="str">
            <v>SALES_AUTOMTV_EMKT_CHINA</v>
          </cell>
          <cell r="AB211">
            <v>7.3000000000000001E-3</v>
          </cell>
        </row>
        <row r="212">
          <cell r="B212" t="str">
            <v>Sales to the automotive end market - % Asia ex-China</v>
          </cell>
          <cell r="C212" t="str">
            <v>SALES_AUTOMTV_EMKT_ASIAEXCHINA</v>
          </cell>
          <cell r="AB212">
            <v>2.1700000000000001E-2</v>
          </cell>
        </row>
        <row r="213">
          <cell r="B213" t="str">
            <v>Sales to the rail end market - % Global</v>
          </cell>
          <cell r="C213" t="str">
            <v>SALES_RAIL_EMKT_GLOBAL</v>
          </cell>
          <cell r="AB213">
            <v>0</v>
          </cell>
        </row>
        <row r="214">
          <cell r="B214" t="str">
            <v>Sales to the rail end market - % No. America</v>
          </cell>
          <cell r="C214" t="str">
            <v>SALES_RAIL_EMKT_NO_AMERICA</v>
          </cell>
          <cell r="AB214">
            <v>0</v>
          </cell>
        </row>
        <row r="215">
          <cell r="B215" t="str">
            <v>Sales to the rail end market - % EAME</v>
          </cell>
          <cell r="C215" t="str">
            <v>SALES_RAIL_EMKT_EAME</v>
          </cell>
          <cell r="AB215">
            <v>0</v>
          </cell>
        </row>
        <row r="216">
          <cell r="B216" t="str">
            <v>Sales to the rail end market - % So. America</v>
          </cell>
          <cell r="C216" t="str">
            <v>SALES_RAIL_EMKT_SO_AMERICA</v>
          </cell>
          <cell r="AB216">
            <v>0</v>
          </cell>
        </row>
        <row r="217">
          <cell r="B217" t="str">
            <v>Sales to the rail end market - % China</v>
          </cell>
          <cell r="C217" t="str">
            <v>SALES_RAIL_EMKT_CHINA</v>
          </cell>
          <cell r="AB217">
            <v>0</v>
          </cell>
        </row>
        <row r="218">
          <cell r="B218" t="str">
            <v>Sales to the rail end market - % Asia ex-China</v>
          </cell>
          <cell r="C218" t="str">
            <v>SALES_RAIL_EMKT_ASIAEXCHINA</v>
          </cell>
          <cell r="AB218">
            <v>0</v>
          </cell>
        </row>
        <row r="219">
          <cell r="B219" t="str">
            <v>Sales to the consumer end market - % Global</v>
          </cell>
          <cell r="C219" t="str">
            <v>SALES_CONS_EMKT_GLOBAL</v>
          </cell>
          <cell r="AB219">
            <v>0.03</v>
          </cell>
        </row>
        <row r="220">
          <cell r="B220" t="str">
            <v>Sales to the consumer end market - % No. America</v>
          </cell>
          <cell r="C220" t="str">
            <v>SALES_CONS_EMKT_NO_AMERICA</v>
          </cell>
          <cell r="AB220">
            <v>5.4000000000000003E-3</v>
          </cell>
        </row>
        <row r="221">
          <cell r="B221" t="str">
            <v>Sales to the consumer end market - % EAME</v>
          </cell>
          <cell r="C221" t="str">
            <v>SALES_CONS_EMKT_EAME</v>
          </cell>
          <cell r="AB221">
            <v>1.32E-2</v>
          </cell>
        </row>
        <row r="222">
          <cell r="B222" t="str">
            <v>Sales to the consumer end market - % So. America</v>
          </cell>
          <cell r="C222" t="str">
            <v>SALES_CONS_EMKT_SO_AMERICA</v>
          </cell>
          <cell r="AB222">
            <v>2.7000000000000001E-3</v>
          </cell>
        </row>
        <row r="223">
          <cell r="B223" t="str">
            <v>Sales to the consumer end market - % China</v>
          </cell>
          <cell r="C223" t="str">
            <v>SALES_CONS_EMKT_CHINA</v>
          </cell>
          <cell r="AB223">
            <v>2.1900000000000001E-3</v>
          </cell>
        </row>
        <row r="224">
          <cell r="B224" t="str">
            <v>Sales to the consumer end market - % Asia ex-China</v>
          </cell>
          <cell r="C224" t="str">
            <v>SALES_CONS_EMKT_ASIAEXCHINA</v>
          </cell>
          <cell r="AB224">
            <v>6.5100000000000002E-3</v>
          </cell>
        </row>
        <row r="225">
          <cell r="B225" t="str">
            <v>Sales to the tech end market - % Global</v>
          </cell>
          <cell r="C225" t="str">
            <v>SALES_TECH_EMKT_GLOBAL</v>
          </cell>
          <cell r="AB225">
            <v>0</v>
          </cell>
        </row>
        <row r="226">
          <cell r="B226" t="str">
            <v>Sales to the tech end market - % No. America</v>
          </cell>
          <cell r="C226" t="str">
            <v>SALES_TECH_EMKT_NO_AMERICA</v>
          </cell>
          <cell r="AB226">
            <v>0</v>
          </cell>
        </row>
        <row r="227">
          <cell r="B227" t="str">
            <v>Sales to the tech end market - % EAME</v>
          </cell>
          <cell r="C227" t="str">
            <v>SALES_TECH_EMKT_EAME</v>
          </cell>
          <cell r="AB227">
            <v>0</v>
          </cell>
        </row>
        <row r="228">
          <cell r="B228" t="str">
            <v>Sales to the tech end market - % So. America</v>
          </cell>
          <cell r="C228" t="str">
            <v>SALES_TECH_EMKT_SO_AMERICA</v>
          </cell>
          <cell r="AB228">
            <v>0</v>
          </cell>
        </row>
        <row r="229">
          <cell r="B229" t="str">
            <v>Sales to the tech end market - % China</v>
          </cell>
          <cell r="C229" t="str">
            <v>SALES_TECH_EMKT_CHINA</v>
          </cell>
          <cell r="AB229">
            <v>0</v>
          </cell>
        </row>
        <row r="230">
          <cell r="B230" t="str">
            <v>Sales to the tech end market - % Asia ex-China</v>
          </cell>
          <cell r="C230" t="str">
            <v>SALES_TECH_EMKT_ASIAEXCHINA</v>
          </cell>
          <cell r="AB230">
            <v>0</v>
          </cell>
        </row>
        <row r="231">
          <cell r="B231" t="str">
            <v>Sales to the agriculture end market - % Global</v>
          </cell>
          <cell r="C231" t="str">
            <v>SALES_AGRI_EMKT_GLOBAL</v>
          </cell>
          <cell r="AB231">
            <v>0</v>
          </cell>
        </row>
        <row r="232">
          <cell r="B232" t="str">
            <v>Sales to the agriculture end market - % No. America</v>
          </cell>
          <cell r="C232" t="str">
            <v>SALES_AGRI_EMKT_NO_AMERICA</v>
          </cell>
          <cell r="AB232">
            <v>0</v>
          </cell>
        </row>
        <row r="233">
          <cell r="B233" t="str">
            <v>Sales to the agriculture end market - % EAME</v>
          </cell>
          <cell r="C233" t="str">
            <v>SALES_AGRI_EMKT_EAME</v>
          </cell>
          <cell r="AB233">
            <v>0</v>
          </cell>
        </row>
        <row r="234">
          <cell r="B234" t="str">
            <v>Sales to the agriculture end market - % So. America</v>
          </cell>
          <cell r="C234" t="str">
            <v>SALES_AGRI_EMKT_SO_AMERICA</v>
          </cell>
          <cell r="AB234">
            <v>0</v>
          </cell>
        </row>
        <row r="235">
          <cell r="B235" t="str">
            <v>Sales to the agriculture end market - % China</v>
          </cell>
          <cell r="C235" t="str">
            <v>SALES_AGRI_EMKT_CHINA</v>
          </cell>
          <cell r="AB235">
            <v>0</v>
          </cell>
        </row>
        <row r="236">
          <cell r="B236" t="str">
            <v>Sales to the agriculture end market - % Asia ex-China</v>
          </cell>
          <cell r="C236" t="str">
            <v>SALES_AGRI_EMKT_ASIAEXCHINA</v>
          </cell>
          <cell r="AB236">
            <v>0</v>
          </cell>
        </row>
        <row r="237">
          <cell r="B237" t="str">
            <v>Sales to the general industrial end market - % Global</v>
          </cell>
          <cell r="C237" t="str">
            <v>SALES_GNRL_IND_EMKT_GLOBAL</v>
          </cell>
          <cell r="AB237">
            <v>0.36</v>
          </cell>
        </row>
        <row r="238">
          <cell r="B238" t="str">
            <v>Sales to the general industrial end market - % No. America</v>
          </cell>
          <cell r="C238" t="str">
            <v>SALES_GNRL_IND_EMKT_NO_AMERICA</v>
          </cell>
          <cell r="AB238">
            <v>6.4799999999999996E-2</v>
          </cell>
        </row>
        <row r="239">
          <cell r="B239" t="str">
            <v>Sales to the general industrial end market - % EAME</v>
          </cell>
          <cell r="C239" t="str">
            <v>SALES_GNRL_IND_EMKT_EAME</v>
          </cell>
          <cell r="AB239">
            <v>0.15840000000000001</v>
          </cell>
        </row>
        <row r="240">
          <cell r="B240" t="str">
            <v>Sales to the general industrial end market - % So. America</v>
          </cell>
          <cell r="C240" t="str">
            <v>SALES_GNRL_IND_EMKT_SO_AMERICA</v>
          </cell>
          <cell r="AB240">
            <v>3.2399999999999998E-2</v>
          </cell>
        </row>
        <row r="241">
          <cell r="B241" t="str">
            <v>Sales to the general industrial end market - % China</v>
          </cell>
          <cell r="C241" t="str">
            <v>SALES_GNRL_IND_EMKT_CHINA</v>
          </cell>
          <cell r="AB241">
            <v>2.6280000000000001E-2</v>
          </cell>
        </row>
        <row r="242">
          <cell r="B242" t="str">
            <v>Sales to the general industrial end market - % Asia ex-China</v>
          </cell>
          <cell r="C242" t="str">
            <v>SALES_GNRL_IND_EMKT_ASIAEXCHINA</v>
          </cell>
          <cell r="AB242">
            <v>7.8119999999999995E-2</v>
          </cell>
        </row>
        <row r="243">
          <cell r="B243" t="str">
            <v>Sales to the aftermarket end market - % Global</v>
          </cell>
          <cell r="C243" t="str">
            <v>SALES_AMKT_EMKT_GLOBAL</v>
          </cell>
          <cell r="AB243">
            <v>0.25</v>
          </cell>
          <cell r="AD243">
            <v>0.25</v>
          </cell>
        </row>
        <row r="244">
          <cell r="B244" t="str">
            <v>End market exposure as % of revenues - Aerospace</v>
          </cell>
          <cell r="C244" t="str">
            <v>SALES_EMKT_AEROSPC</v>
          </cell>
          <cell r="AB244">
            <v>0</v>
          </cell>
          <cell r="AE244">
            <v>0.05</v>
          </cell>
          <cell r="AF244">
            <v>0.06</v>
          </cell>
          <cell r="AG244">
            <v>0.06</v>
          </cell>
          <cell r="AH244">
            <v>0.06</v>
          </cell>
          <cell r="AI244">
            <v>7.0000000000000007E-2</v>
          </cell>
          <cell r="AJ244">
            <v>0.05</v>
          </cell>
          <cell r="AK244">
            <v>0.04</v>
          </cell>
        </row>
        <row r="245">
          <cell r="B245" t="str">
            <v>End market exposure as % of revenues - Agriculture</v>
          </cell>
          <cell r="C245" t="str">
            <v>SALES_EMRKT_AGRI</v>
          </cell>
        </row>
        <row r="246">
          <cell r="B246" t="str">
            <v>End market exposure as % of revenues - Chemicals</v>
          </cell>
          <cell r="C246" t="str">
            <v>SALES_EMRKT_CHEM</v>
          </cell>
        </row>
        <row r="247">
          <cell r="B247" t="str">
            <v>End market exposure as % of revenues - Consumer</v>
          </cell>
          <cell r="C247" t="str">
            <v>SALES_EMKT_CONS</v>
          </cell>
          <cell r="AB247">
            <v>0</v>
          </cell>
          <cell r="AE247">
            <v>0.03</v>
          </cell>
          <cell r="AF247">
            <v>0.03</v>
          </cell>
          <cell r="AG247">
            <v>0.02</v>
          </cell>
          <cell r="AH247">
            <v>2.5000000000000001E-2</v>
          </cell>
          <cell r="AI247">
            <v>0</v>
          </cell>
          <cell r="AJ247">
            <v>0</v>
          </cell>
          <cell r="AK247">
            <v>0</v>
          </cell>
        </row>
        <row r="248">
          <cell r="B248" t="str">
            <v>End market exposure as % of revenues - Electronics</v>
          </cell>
          <cell r="C248" t="str">
            <v>SALES_EMRKT_ELEC</v>
          </cell>
        </row>
        <row r="249">
          <cell r="B249" t="str">
            <v>End market exposure as % of revenues - General Industrial</v>
          </cell>
          <cell r="C249" t="str">
            <v>SALES_EMKT_GNRL_IND</v>
          </cell>
          <cell r="AB249">
            <v>0</v>
          </cell>
          <cell r="AE249">
            <v>0.26</v>
          </cell>
          <cell r="AF249">
            <v>0.26</v>
          </cell>
          <cell r="AG249">
            <v>0.28000000000000003</v>
          </cell>
          <cell r="AH249">
            <v>0.255</v>
          </cell>
          <cell r="AI249">
            <v>0.25</v>
          </cell>
          <cell r="AJ249">
            <v>0.26</v>
          </cell>
          <cell r="AK249">
            <v>0.3</v>
          </cell>
        </row>
        <row r="250">
          <cell r="B250" t="str">
            <v>End market exposure as % of revenues - Marine (ex. O&amp;G)</v>
          </cell>
          <cell r="C250" t="str">
            <v>SALES_EMRKT_MARINE</v>
          </cell>
        </row>
        <row r="251">
          <cell r="B251" t="str">
            <v>End market exposure as % of revenues - Not classified</v>
          </cell>
          <cell r="C251" t="str">
            <v>SALES_EMRKT_NC</v>
          </cell>
        </row>
        <row r="252">
          <cell r="B252" t="str">
            <v>End market exposure as % of revenues - Medical</v>
          </cell>
          <cell r="C252" t="str">
            <v>SALES_EMKT_MED</v>
          </cell>
        </row>
        <row r="253">
          <cell r="B253" t="str">
            <v>End market exposure as % of revenues - Mining</v>
          </cell>
          <cell r="C253" t="str">
            <v>SALES_EMKT_MINING</v>
          </cell>
          <cell r="AA253">
            <v>0.37</v>
          </cell>
          <cell r="AB253">
            <v>0.4</v>
          </cell>
          <cell r="AC253">
            <v>0.37</v>
          </cell>
          <cell r="AD253">
            <v>0.32</v>
          </cell>
          <cell r="AE253">
            <v>0.32</v>
          </cell>
          <cell r="AF253">
            <v>0.27</v>
          </cell>
          <cell r="AG253">
            <v>0.31</v>
          </cell>
          <cell r="AH253">
            <v>0.34</v>
          </cell>
          <cell r="AI253">
            <v>0.37</v>
          </cell>
          <cell r="AJ253">
            <v>0.4</v>
          </cell>
          <cell r="AK253">
            <v>0.41</v>
          </cell>
        </row>
        <row r="254">
          <cell r="B254" t="str">
            <v>End market exposure as % of revenues - Non-res construction</v>
          </cell>
          <cell r="C254" t="str">
            <v>SALES_EMKT_NRES_CONSRT</v>
          </cell>
          <cell r="AB254">
            <v>0</v>
          </cell>
          <cell r="AE254">
            <v>0.11</v>
          </cell>
          <cell r="AF254">
            <v>0.12</v>
          </cell>
          <cell r="AG254">
            <v>0.11</v>
          </cell>
          <cell r="AH254">
            <v>0.09</v>
          </cell>
          <cell r="AI254">
            <v>0.08</v>
          </cell>
          <cell r="AJ254">
            <v>0.08</v>
          </cell>
          <cell r="AK254">
            <v>0.09</v>
          </cell>
        </row>
        <row r="255">
          <cell r="B255" t="str">
            <v>End market exposure as % of revenues - O&amp;G</v>
          </cell>
          <cell r="C255" t="str">
            <v>SALES_EMKT_OIL_GAS</v>
          </cell>
          <cell r="AB255">
            <v>0</v>
          </cell>
          <cell r="AE255">
            <v>0.106</v>
          </cell>
          <cell r="AF255">
            <v>0.06</v>
          </cell>
          <cell r="AG255">
            <v>5.5E-2</v>
          </cell>
          <cell r="AH255">
            <v>5.5E-2</v>
          </cell>
          <cell r="AI255">
            <v>0.06</v>
          </cell>
          <cell r="AJ255">
            <v>0.05</v>
          </cell>
          <cell r="AK255">
            <v>0.04</v>
          </cell>
        </row>
        <row r="256">
          <cell r="B256" t="str">
            <v>End market exposure as % of revenues - Power Gen</v>
          </cell>
          <cell r="C256" t="str">
            <v>SALES_EMKT_PWR_GEN</v>
          </cell>
          <cell r="AB256">
            <v>0</v>
          </cell>
          <cell r="AE256">
            <v>3.4000000000000002E-2</v>
          </cell>
          <cell r="AF256">
            <v>0.06</v>
          </cell>
          <cell r="AG256">
            <v>5.5E-2</v>
          </cell>
          <cell r="AH256">
            <v>5.5E-2</v>
          </cell>
          <cell r="AI256">
            <v>0.06</v>
          </cell>
          <cell r="AJ256">
            <v>0.05</v>
          </cell>
          <cell r="AK256">
            <v>0.04</v>
          </cell>
        </row>
        <row r="257">
          <cell r="B257" t="str">
            <v>End market exposure as % of revenues - Pulp &amp; paper</v>
          </cell>
          <cell r="C257" t="str">
            <v>SALES_EMRKT_PULP</v>
          </cell>
          <cell r="AB257">
            <v>0</v>
          </cell>
          <cell r="AE257">
            <v>0.03</v>
          </cell>
          <cell r="AI257">
            <v>0</v>
          </cell>
          <cell r="AJ257">
            <v>0</v>
          </cell>
          <cell r="AK257">
            <v>0</v>
          </cell>
        </row>
        <row r="258">
          <cell r="B258" t="str">
            <v>End market exposure as % of revenues - Rail</v>
          </cell>
          <cell r="C258" t="str">
            <v>SALES_EMKT_RAIL</v>
          </cell>
          <cell r="AB258">
            <v>0</v>
          </cell>
        </row>
        <row r="259">
          <cell r="B259" t="str">
            <v>End market exposure as % of revenues - Res construction</v>
          </cell>
          <cell r="C259" t="str">
            <v>SALES_EMKT_RES_CONSRT</v>
          </cell>
          <cell r="AB259">
            <v>0</v>
          </cell>
        </row>
        <row r="260">
          <cell r="B260" t="str">
            <v>End market exposure as % of revenues - T&amp;D</v>
          </cell>
          <cell r="C260" t="str">
            <v>SALES_EMKT_TRN_DIST</v>
          </cell>
          <cell r="AB260">
            <v>0</v>
          </cell>
        </row>
        <row r="261">
          <cell r="B261" t="str">
            <v>End market exposure as % of revenues - Tech/telecom</v>
          </cell>
          <cell r="C261" t="str">
            <v>SALES_EMKT_TECH_TELCO</v>
          </cell>
          <cell r="AB261">
            <v>0</v>
          </cell>
        </row>
        <row r="262">
          <cell r="B262" t="str">
            <v>End market exposure as % of revenues - Vehicle</v>
          </cell>
          <cell r="C262" t="str">
            <v>SALES_EMKT_VHCLE</v>
          </cell>
          <cell r="AB262">
            <v>0</v>
          </cell>
          <cell r="AE262">
            <v>0.11</v>
          </cell>
          <cell r="AF262">
            <v>0.14000000000000001</v>
          </cell>
          <cell r="AG262">
            <v>0.13</v>
          </cell>
          <cell r="AH262">
            <v>0.12</v>
          </cell>
          <cell r="AI262">
            <v>0.11</v>
          </cell>
          <cell r="AJ262">
            <v>0.11</v>
          </cell>
          <cell r="AK262">
            <v>0.08</v>
          </cell>
        </row>
        <row r="263">
          <cell r="A263" t="str">
            <v>Geographical Breakdown</v>
          </cell>
        </row>
        <row r="264">
          <cell r="B264" t="str">
            <v>Sales - % Canada</v>
          </cell>
          <cell r="C264" t="str">
            <v>SALES_CANADA</v>
          </cell>
          <cell r="AC264">
            <v>6.1552963404000002E-2</v>
          </cell>
          <cell r="AD264">
            <v>2.7395102564999999E-2</v>
          </cell>
          <cell r="AE264">
            <v>2.9110606325E-2</v>
          </cell>
          <cell r="AF264">
            <v>2.7135727686000002E-2</v>
          </cell>
          <cell r="AG264">
            <v>3.4758386822999997E-2</v>
          </cell>
          <cell r="AH264">
            <v>3.6062799489E-2</v>
          </cell>
          <cell r="AI264">
            <v>4.2145334081999997E-2</v>
          </cell>
          <cell r="AJ264">
            <v>0.05</v>
          </cell>
          <cell r="AK264">
            <v>0.05</v>
          </cell>
          <cell r="AL264">
            <v>0.05</v>
          </cell>
          <cell r="AM264">
            <v>0.05</v>
          </cell>
          <cell r="AN264">
            <v>0.05</v>
          </cell>
          <cell r="AO264">
            <v>0.05</v>
          </cell>
          <cell r="AP264">
            <v>0.05</v>
          </cell>
        </row>
        <row r="265">
          <cell r="B265" t="str">
            <v>Sales - % United States</v>
          </cell>
          <cell r="C265" t="str">
            <v>SALES_US</v>
          </cell>
          <cell r="U265">
            <v>0.12307991715</v>
          </cell>
          <cell r="V265">
            <v>0.12307991715</v>
          </cell>
          <cell r="W265">
            <v>0.12307991715</v>
          </cell>
          <cell r="X265">
            <v>0.12307991715</v>
          </cell>
          <cell r="Y265">
            <v>0.12307991715</v>
          </cell>
          <cell r="Z265">
            <v>0.12137343625200001</v>
          </cell>
          <cell r="AA265">
            <v>0.117618298542</v>
          </cell>
          <cell r="AB265">
            <v>0.12479574541500001</v>
          </cell>
          <cell r="AC265">
            <v>0.148447036596</v>
          </cell>
          <cell r="AD265">
            <v>0.15525910847800001</v>
          </cell>
          <cell r="AE265">
            <v>0.15840177063300001</v>
          </cell>
          <cell r="AF265">
            <v>0.146542739078</v>
          </cell>
          <cell r="AG265">
            <v>0.274158565184</v>
          </cell>
          <cell r="AH265">
            <v>0.248135237797</v>
          </cell>
          <cell r="AI265">
            <v>0.15296693078099999</v>
          </cell>
          <cell r="AJ265">
            <v>0.17</v>
          </cell>
          <cell r="AK265">
            <v>0.17</v>
          </cell>
          <cell r="AL265">
            <v>0.17</v>
          </cell>
          <cell r="AM265">
            <v>0.17</v>
          </cell>
          <cell r="AN265">
            <v>0.17</v>
          </cell>
          <cell r="AO265">
            <v>0.17</v>
          </cell>
          <cell r="AP265">
            <v>0.17</v>
          </cell>
        </row>
        <row r="266">
          <cell r="B266" t="str">
            <v>Sales - % Other North Americas</v>
          </cell>
          <cell r="C266" t="str">
            <v>SALES_OTH_NO_AMER</v>
          </cell>
        </row>
        <row r="267">
          <cell r="B267" t="str">
            <v>Sales - % Argentina</v>
          </cell>
          <cell r="C267" t="str">
            <v>SALES_ARGENTINA</v>
          </cell>
        </row>
        <row r="268">
          <cell r="B268" t="str">
            <v>Sales - % Brazil</v>
          </cell>
          <cell r="C268" t="str">
            <v>SALES_BRAZIL</v>
          </cell>
          <cell r="U268">
            <v>3.2597967665999997E-2</v>
          </cell>
          <cell r="V268">
            <v>3.2597967665999997E-2</v>
          </cell>
          <cell r="W268">
            <v>3.2597967665999997E-2</v>
          </cell>
          <cell r="X268">
            <v>3.2597967665999997E-2</v>
          </cell>
          <cell r="Y268">
            <v>4.6651931551000003E-2</v>
          </cell>
          <cell r="Z268">
            <v>4.6204660392000003E-2</v>
          </cell>
          <cell r="AA268">
            <v>4.4991709535999999E-2</v>
          </cell>
          <cell r="AB268">
            <v>3.8770311278999998E-2</v>
          </cell>
          <cell r="AC268">
            <v>3.9423337577999998E-2</v>
          </cell>
          <cell r="AD268">
            <v>0</v>
          </cell>
          <cell r="AE268">
            <v>0</v>
          </cell>
          <cell r="AF268">
            <v>1.6664009907999999E-2</v>
          </cell>
          <cell r="AG268">
            <v>3.1818732315000001E-2</v>
          </cell>
          <cell r="AH268">
            <v>3.3597910363E-2</v>
          </cell>
          <cell r="AI268">
            <v>1.6592727484000001E-2</v>
          </cell>
          <cell r="AJ268">
            <v>0.01</v>
          </cell>
          <cell r="AK268">
            <v>0.01</v>
          </cell>
          <cell r="AL268">
            <v>0.01</v>
          </cell>
          <cell r="AM268">
            <v>0.01</v>
          </cell>
          <cell r="AN268">
            <v>0.01</v>
          </cell>
          <cell r="AO268">
            <v>0.01</v>
          </cell>
          <cell r="AP268">
            <v>0.01</v>
          </cell>
        </row>
        <row r="269">
          <cell r="B269" t="str">
            <v>Sales - % Chile</v>
          </cell>
          <cell r="C269" t="str">
            <v>SALES_CHILE</v>
          </cell>
          <cell r="AI269">
            <v>1.496541971E-2</v>
          </cell>
          <cell r="AJ269">
            <v>1.496541971E-2</v>
          </cell>
          <cell r="AK269">
            <v>1.496541971E-2</v>
          </cell>
          <cell r="AL269">
            <v>1.496541971E-2</v>
          </cell>
          <cell r="AM269">
            <v>1.496541971E-2</v>
          </cell>
          <cell r="AN269">
            <v>1.496541971E-2</v>
          </cell>
          <cell r="AO269">
            <v>1.496541971E-2</v>
          </cell>
          <cell r="AP269">
            <v>1.496541971E-2</v>
          </cell>
        </row>
        <row r="270">
          <cell r="B270" t="str">
            <v>Sales - % Colombia</v>
          </cell>
          <cell r="C270" t="str">
            <v>SALES_COLOMBIA</v>
          </cell>
        </row>
        <row r="271">
          <cell r="B271" t="str">
            <v>Sales - % Mexico</v>
          </cell>
          <cell r="C271" t="str">
            <v>SALES_MEXICO</v>
          </cell>
          <cell r="AD271">
            <v>2.149443253E-2</v>
          </cell>
          <cell r="AE271">
            <v>2.5592637894E-2</v>
          </cell>
          <cell r="AF271">
            <v>2.8889188626000002E-2</v>
          </cell>
          <cell r="AG271">
            <v>3.2666497847999999E-2</v>
          </cell>
          <cell r="AH271">
            <v>2.9247565002000001E-2</v>
          </cell>
          <cell r="AI271">
            <v>3.3495418354000002E-2</v>
          </cell>
          <cell r="AJ271">
            <v>0.02</v>
          </cell>
          <cell r="AK271">
            <v>0.02</v>
          </cell>
          <cell r="AL271">
            <v>0.02</v>
          </cell>
          <cell r="AM271">
            <v>0.02</v>
          </cell>
          <cell r="AN271">
            <v>0.02</v>
          </cell>
          <cell r="AO271">
            <v>0.02</v>
          </cell>
          <cell r="AP271">
            <v>0.02</v>
          </cell>
        </row>
        <row r="272">
          <cell r="B272" t="str">
            <v>Sales - % Venezuela</v>
          </cell>
          <cell r="C272" t="str">
            <v>SALES_VENEZUELA</v>
          </cell>
        </row>
        <row r="273">
          <cell r="B273" t="str">
            <v>Sales - % Other Latin Americas</v>
          </cell>
          <cell r="C273" t="str">
            <v>SALES_OTH_LATAM</v>
          </cell>
          <cell r="AC273">
            <v>3.0576662421999998E-2</v>
          </cell>
          <cell r="AD273">
            <v>0</v>
          </cell>
          <cell r="AE273">
            <v>0</v>
          </cell>
          <cell r="AF273">
            <v>0</v>
          </cell>
          <cell r="AG273">
            <v>0</v>
          </cell>
          <cell r="AH273">
            <v>0</v>
          </cell>
          <cell r="AI273">
            <v>0</v>
          </cell>
          <cell r="AJ273">
            <v>0</v>
          </cell>
          <cell r="AK273">
            <v>0</v>
          </cell>
          <cell r="AL273">
            <v>0</v>
          </cell>
          <cell r="AM273">
            <v>0</v>
          </cell>
          <cell r="AN273">
            <v>0</v>
          </cell>
          <cell r="AO273">
            <v>0</v>
          </cell>
        </row>
        <row r="274">
          <cell r="B274" t="str">
            <v>Sales - % Austria</v>
          </cell>
          <cell r="C274" t="str">
            <v>SALES_AUSTRIA</v>
          </cell>
          <cell r="AI274">
            <v>1.1991708479E-2</v>
          </cell>
          <cell r="AJ274">
            <v>1.1991708479E-2</v>
          </cell>
          <cell r="AK274">
            <v>1.1991708479E-2</v>
          </cell>
          <cell r="AL274">
            <v>1.1991708479E-2</v>
          </cell>
          <cell r="AM274">
            <v>1.1991708479E-2</v>
          </cell>
          <cell r="AN274">
            <v>1.1991708479E-2</v>
          </cell>
          <cell r="AO274">
            <v>1.1991708479E-2</v>
          </cell>
          <cell r="AP274">
            <v>1.1991708479E-2</v>
          </cell>
        </row>
        <row r="275">
          <cell r="B275" t="str">
            <v>Sales - % Belgium</v>
          </cell>
          <cell r="C275" t="str">
            <v>SALES_BEL</v>
          </cell>
        </row>
        <row r="276">
          <cell r="B276" t="str">
            <v>Sales - % France</v>
          </cell>
          <cell r="C276" t="str">
            <v>SALES_FRA</v>
          </cell>
          <cell r="U276">
            <v>3.9020253833E-2</v>
          </cell>
          <cell r="V276">
            <v>3.9020253833E-2</v>
          </cell>
          <cell r="W276">
            <v>3.9020253833E-2</v>
          </cell>
          <cell r="X276">
            <v>3.9020253833E-2</v>
          </cell>
          <cell r="Y276">
            <v>3.9020253833E-2</v>
          </cell>
          <cell r="Z276">
            <v>3.7384760567999997E-2</v>
          </cell>
          <cell r="AA276">
            <v>3.1971429785999997E-2</v>
          </cell>
          <cell r="AB276">
            <v>2.8032355956E-2</v>
          </cell>
          <cell r="AC276">
            <v>3.5564267847000001E-2</v>
          </cell>
          <cell r="AD276">
            <v>3.8105969732999997E-2</v>
          </cell>
          <cell r="AE276">
            <v>3.3012988526000001E-2</v>
          </cell>
          <cell r="AF276">
            <v>3.4811717532999997E-2</v>
          </cell>
          <cell r="AG276">
            <v>2.9847952701000002E-2</v>
          </cell>
          <cell r="AH276">
            <v>3.3000082776E-2</v>
          </cell>
          <cell r="AI276">
            <v>3.1916542357999997E-2</v>
          </cell>
          <cell r="AJ276">
            <v>0.04</v>
          </cell>
          <cell r="AK276">
            <v>0.04</v>
          </cell>
          <cell r="AL276">
            <v>0.04</v>
          </cell>
          <cell r="AM276">
            <v>0.04</v>
          </cell>
          <cell r="AN276">
            <v>0.04</v>
          </cell>
          <cell r="AO276">
            <v>0.04</v>
          </cell>
          <cell r="AP276">
            <v>0.04</v>
          </cell>
        </row>
        <row r="277">
          <cell r="B277" t="str">
            <v>Sales - % Germany</v>
          </cell>
          <cell r="C277" t="str">
            <v>SALES_GER</v>
          </cell>
          <cell r="U277">
            <v>7.8944076067000005E-2</v>
          </cell>
          <cell r="V277">
            <v>7.8944076067000005E-2</v>
          </cell>
          <cell r="W277">
            <v>7.8944076067000005E-2</v>
          </cell>
          <cell r="X277">
            <v>7.8944076067000005E-2</v>
          </cell>
          <cell r="Y277">
            <v>7.8944076067000005E-2</v>
          </cell>
          <cell r="Z277">
            <v>7.950008469E-2</v>
          </cell>
          <cell r="AA277">
            <v>8.1607924833000001E-2</v>
          </cell>
          <cell r="AB277">
            <v>7.0365070182E-2</v>
          </cell>
          <cell r="AC277">
            <v>7.7809553589000005E-2</v>
          </cell>
          <cell r="AD277">
            <v>8.2403402274999996E-2</v>
          </cell>
          <cell r="AE277">
            <v>8.1309336595000004E-2</v>
          </cell>
          <cell r="AF277">
            <v>8.2240996652000006E-2</v>
          </cell>
          <cell r="AG277">
            <v>6.8911226837999995E-2</v>
          </cell>
          <cell r="AH277">
            <v>6.7131439293E-2</v>
          </cell>
          <cell r="AI277">
            <v>6.8811871597999993E-2</v>
          </cell>
          <cell r="AJ277">
            <v>0.08</v>
          </cell>
          <cell r="AK277">
            <v>0.08</v>
          </cell>
          <cell r="AL277">
            <v>0.08</v>
          </cell>
          <cell r="AM277">
            <v>0.08</v>
          </cell>
          <cell r="AN277">
            <v>0.08</v>
          </cell>
          <cell r="AO277">
            <v>0.08</v>
          </cell>
          <cell r="AP277">
            <v>0.08</v>
          </cell>
        </row>
        <row r="278">
          <cell r="B278" t="str">
            <v>Sales - % Greece</v>
          </cell>
          <cell r="C278" t="str">
            <v>SALES_GRE</v>
          </cell>
        </row>
        <row r="279">
          <cell r="B279" t="str">
            <v>Sales - % Ireland</v>
          </cell>
          <cell r="C279" t="str">
            <v>SALES_IRE</v>
          </cell>
        </row>
        <row r="280">
          <cell r="B280" t="str">
            <v>Sales - % Italy</v>
          </cell>
          <cell r="C280" t="str">
            <v>SALES_ITA</v>
          </cell>
          <cell r="U280">
            <v>3.9409483298000002E-2</v>
          </cell>
          <cell r="V280">
            <v>3.9409483298000002E-2</v>
          </cell>
          <cell r="W280">
            <v>3.9409483298000002E-2</v>
          </cell>
          <cell r="X280">
            <v>3.9409483298000002E-2</v>
          </cell>
          <cell r="Y280">
            <v>2.5230409942000001E-2</v>
          </cell>
          <cell r="Z280">
            <v>2.8298690928000001E-2</v>
          </cell>
          <cell r="AA280">
            <v>3.1780111389999997E-2</v>
          </cell>
          <cell r="AB280">
            <v>3.7146423896000001E-2</v>
          </cell>
          <cell r="AC280">
            <v>3.6728641524000002E-2</v>
          </cell>
          <cell r="AD280">
            <v>3.9366071752999998E-2</v>
          </cell>
          <cell r="AE280">
            <v>3.7800687285000002E-2</v>
          </cell>
          <cell r="AF280">
            <v>4.3664855983000003E-2</v>
          </cell>
          <cell r="AG280">
            <v>4.0967994099000003E-2</v>
          </cell>
          <cell r="AH280">
            <v>3.510627535E-2</v>
          </cell>
          <cell r="AI280">
            <v>3.7069683643999998E-2</v>
          </cell>
          <cell r="AJ280">
            <v>0.05</v>
          </cell>
          <cell r="AK280">
            <v>0.05</v>
          </cell>
          <cell r="AL280">
            <v>0.05</v>
          </cell>
          <cell r="AM280">
            <v>0.05</v>
          </cell>
          <cell r="AN280">
            <v>0.05</v>
          </cell>
          <cell r="AO280">
            <v>0.05</v>
          </cell>
          <cell r="AP280">
            <v>0.05</v>
          </cell>
        </row>
        <row r="281">
          <cell r="B281" t="str">
            <v>Sales - % Netherlands</v>
          </cell>
          <cell r="C281" t="str">
            <v>SALES_NETH</v>
          </cell>
        </row>
        <row r="282">
          <cell r="B282" t="str">
            <v>Sales - % Norway</v>
          </cell>
          <cell r="C282" t="str">
            <v>SALES_NOR</v>
          </cell>
          <cell r="AI282">
            <v>1.2350103644E-2</v>
          </cell>
          <cell r="AJ282">
            <v>1.2350103644E-2</v>
          </cell>
          <cell r="AK282">
            <v>1.2350103644E-2</v>
          </cell>
          <cell r="AL282">
            <v>1.2350103644E-2</v>
          </cell>
          <cell r="AM282">
            <v>1.2350103644E-2</v>
          </cell>
          <cell r="AN282">
            <v>1.2350103644E-2</v>
          </cell>
          <cell r="AO282">
            <v>1.2350103644E-2</v>
          </cell>
          <cell r="AP282">
            <v>1.2350103644E-2</v>
          </cell>
        </row>
        <row r="283">
          <cell r="B283" t="str">
            <v>Sales - % Portugal</v>
          </cell>
          <cell r="C283" t="str">
            <v>SALES_POR</v>
          </cell>
        </row>
        <row r="284">
          <cell r="B284" t="str">
            <v>Sales - % Spain</v>
          </cell>
          <cell r="C284" t="str">
            <v>SALES_SPA</v>
          </cell>
          <cell r="AC284">
            <v>2.0813249999999998E-2</v>
          </cell>
          <cell r="AD284">
            <v>0</v>
          </cell>
          <cell r="AE284">
            <v>0</v>
          </cell>
          <cell r="AF284">
            <v>0</v>
          </cell>
          <cell r="AG284">
            <v>0</v>
          </cell>
          <cell r="AH284">
            <v>0</v>
          </cell>
          <cell r="AI284">
            <v>1.0441891552E-2</v>
          </cell>
          <cell r="AJ284">
            <v>1.0441891552E-2</v>
          </cell>
          <cell r="AK284">
            <v>1.0441891552E-2</v>
          </cell>
          <cell r="AL284">
            <v>1.0441891552E-2</v>
          </cell>
          <cell r="AM284">
            <v>1.0441891552E-2</v>
          </cell>
          <cell r="AN284">
            <v>1.0441891552E-2</v>
          </cell>
          <cell r="AO284">
            <v>1.0441891552E-2</v>
          </cell>
          <cell r="AP284">
            <v>1.0441891552E-2</v>
          </cell>
        </row>
        <row r="285">
          <cell r="B285" t="str">
            <v>Sales - % Sweden</v>
          </cell>
          <cell r="C285" t="str">
            <v>SALES_SWE</v>
          </cell>
          <cell r="AD285">
            <v>4.1280457514000002E-2</v>
          </cell>
          <cell r="AE285">
            <v>4.1062379870999997E-2</v>
          </cell>
          <cell r="AF285">
            <v>3.9103405148000002E-2</v>
          </cell>
          <cell r="AG285">
            <v>3.8942164775000003E-2</v>
          </cell>
          <cell r="AH285">
            <v>3.6338719913E-2</v>
          </cell>
          <cell r="AI285">
            <v>3.6338719913E-2</v>
          </cell>
          <cell r="AJ285">
            <v>3.6338719913E-2</v>
          </cell>
          <cell r="AK285">
            <v>3.6338719913E-2</v>
          </cell>
          <cell r="AL285">
            <v>3.6338719913E-2</v>
          </cell>
          <cell r="AM285">
            <v>3.6338719913E-2</v>
          </cell>
          <cell r="AN285">
            <v>3.6338719913E-2</v>
          </cell>
          <cell r="AO285">
            <v>3.6338719913E-2</v>
          </cell>
          <cell r="AP285">
            <v>3.6338719913E-2</v>
          </cell>
        </row>
        <row r="286">
          <cell r="B286" t="str">
            <v>Sales - % Switzerland</v>
          </cell>
          <cell r="C286" t="str">
            <v>SALES_SWIT</v>
          </cell>
        </row>
        <row r="287">
          <cell r="B287" t="str">
            <v>Sales - % UK</v>
          </cell>
          <cell r="C287" t="str">
            <v>SALES_UK</v>
          </cell>
          <cell r="U287">
            <v>2.9567538263000001E-2</v>
          </cell>
          <cell r="V287">
            <v>2.9567538263000001E-2</v>
          </cell>
          <cell r="W287">
            <v>2.9567538263000001E-2</v>
          </cell>
          <cell r="X287">
            <v>2.9567538263000001E-2</v>
          </cell>
          <cell r="Y287">
            <v>1.6458845935000001E-2</v>
          </cell>
          <cell r="Z287">
            <v>1.6684008032999999E-2</v>
          </cell>
          <cell r="AA287">
            <v>1.8983036436000002E-2</v>
          </cell>
          <cell r="AB287">
            <v>2.3170843101999999E-2</v>
          </cell>
          <cell r="AC287">
            <v>0</v>
          </cell>
          <cell r="AD287">
            <v>3.7076078658999999E-2</v>
          </cell>
          <cell r="AE287">
            <v>4.4254179044000003E-2</v>
          </cell>
          <cell r="AF287">
            <v>3.4627788063999999E-2</v>
          </cell>
          <cell r="AG287">
            <v>3.2127010690999998E-2</v>
          </cell>
          <cell r="AH287">
            <v>2.7766792057E-2</v>
          </cell>
          <cell r="AI287">
            <v>3.7670237703000001E-2</v>
          </cell>
          <cell r="AJ287">
            <v>3.7670237703000001E-2</v>
          </cell>
          <cell r="AK287">
            <v>3.7670237703000001E-2</v>
          </cell>
          <cell r="AL287">
            <v>3.7670237703000001E-2</v>
          </cell>
          <cell r="AM287">
            <v>3.7670237703000001E-2</v>
          </cell>
          <cell r="AN287">
            <v>3.7670237703000001E-2</v>
          </cell>
          <cell r="AO287">
            <v>3.7670237703000001E-2</v>
          </cell>
          <cell r="AP287">
            <v>3.7670237703000001E-2</v>
          </cell>
        </row>
        <row r="288">
          <cell r="B288" t="str">
            <v>Sales - % Other Western Europe</v>
          </cell>
          <cell r="C288" t="str">
            <v>SALES_OTH_WEST_EURO</v>
          </cell>
          <cell r="AC288">
            <v>0.14154387911300001</v>
          </cell>
          <cell r="AD288">
            <v>0</v>
          </cell>
          <cell r="AE288">
            <v>0</v>
          </cell>
          <cell r="AF288">
            <v>0</v>
          </cell>
          <cell r="AG288">
            <v>0</v>
          </cell>
          <cell r="AH288">
            <v>0</v>
          </cell>
          <cell r="AI288">
            <v>0</v>
          </cell>
          <cell r="AJ288">
            <v>0</v>
          </cell>
          <cell r="AK288">
            <v>0</v>
          </cell>
          <cell r="AL288">
            <v>0</v>
          </cell>
          <cell r="AM288">
            <v>0</v>
          </cell>
          <cell r="AN288">
            <v>0</v>
          </cell>
          <cell r="AO288">
            <v>0</v>
          </cell>
        </row>
        <row r="289">
          <cell r="B289" t="str">
            <v>Sales - % Poland</v>
          </cell>
          <cell r="C289" t="str">
            <v>SALES_POLAND</v>
          </cell>
          <cell r="AI289">
            <v>1.3454348204999999E-2</v>
          </cell>
          <cell r="AJ289">
            <v>1.3454348204999999E-2</v>
          </cell>
          <cell r="AK289">
            <v>1.3454348204999999E-2</v>
          </cell>
          <cell r="AL289">
            <v>1.3454348204999999E-2</v>
          </cell>
          <cell r="AM289">
            <v>1.3454348204999999E-2</v>
          </cell>
          <cell r="AN289">
            <v>1.3454348204999999E-2</v>
          </cell>
          <cell r="AO289">
            <v>1.3454348204999999E-2</v>
          </cell>
          <cell r="AP289">
            <v>1.3454348204999999E-2</v>
          </cell>
        </row>
        <row r="290">
          <cell r="B290" t="str">
            <v>Sales - % Russia</v>
          </cell>
          <cell r="C290" t="str">
            <v>SALES_RUSSIA</v>
          </cell>
          <cell r="U290">
            <v>2.5230409942000001E-2</v>
          </cell>
          <cell r="V290">
            <v>2.5230409942000001E-2</v>
          </cell>
          <cell r="W290">
            <v>2.5230409942000001E-2</v>
          </cell>
          <cell r="X290">
            <v>2.5230409942000001E-2</v>
          </cell>
          <cell r="Y290">
            <v>3.9409483298000002E-2</v>
          </cell>
          <cell r="Z290">
            <v>3.6453166210999997E-2</v>
          </cell>
          <cell r="AA290">
            <v>3.5659623315E-2</v>
          </cell>
          <cell r="AB290">
            <v>3.1432370165000001E-2</v>
          </cell>
          <cell r="AC290">
            <v>2.8770203963999999E-2</v>
          </cell>
          <cell r="AD290">
            <v>3.0702870367E-2</v>
          </cell>
          <cell r="AE290">
            <v>2.7374919914000002E-2</v>
          </cell>
          <cell r="AF290">
            <v>3.4235405197000003E-2</v>
          </cell>
          <cell r="AG290">
            <v>3.4769396765000002E-2</v>
          </cell>
          <cell r="AH290">
            <v>2.8530171898000001E-2</v>
          </cell>
          <cell r="AI290">
            <v>4.5322458784999999E-2</v>
          </cell>
          <cell r="AJ290">
            <v>4.5322458784999999E-2</v>
          </cell>
          <cell r="AK290">
            <v>4.5322458784999999E-2</v>
          </cell>
          <cell r="AL290">
            <v>4.5322458784999999E-2</v>
          </cell>
          <cell r="AM290">
            <v>4.5322458784999999E-2</v>
          </cell>
          <cell r="AN290">
            <v>4.5322458784999999E-2</v>
          </cell>
          <cell r="AO290">
            <v>4.5322458784999999E-2</v>
          </cell>
          <cell r="AP290">
            <v>4.5322458784999999E-2</v>
          </cell>
        </row>
        <row r="291">
          <cell r="B291" t="str">
            <v>Sales - % Turkey</v>
          </cell>
          <cell r="C291" t="str">
            <v>SALES_TURKEY</v>
          </cell>
          <cell r="AC291">
            <v>2.8770203963999999E-2</v>
          </cell>
          <cell r="AD291">
            <v>0</v>
          </cell>
          <cell r="AE291">
            <v>0</v>
          </cell>
          <cell r="AF291">
            <v>0</v>
          </cell>
          <cell r="AG291">
            <v>0</v>
          </cell>
          <cell r="AH291">
            <v>0</v>
          </cell>
          <cell r="AI291">
            <v>0</v>
          </cell>
          <cell r="AJ291">
            <v>0</v>
          </cell>
          <cell r="AK291">
            <v>0</v>
          </cell>
          <cell r="AL291">
            <v>0</v>
          </cell>
          <cell r="AM291">
            <v>0</v>
          </cell>
          <cell r="AN291">
            <v>0</v>
          </cell>
          <cell r="AO291">
            <v>0</v>
          </cell>
        </row>
        <row r="292">
          <cell r="B292" t="str">
            <v>Sales - % Other CEE</v>
          </cell>
          <cell r="C292" t="str">
            <v>SALES_OTH_CEE</v>
          </cell>
        </row>
        <row r="293">
          <cell r="B293" t="str">
            <v>Sales - % Saudi Arabia</v>
          </cell>
          <cell r="C293" t="str">
            <v>SALES_SAUDI_ARABIA</v>
          </cell>
          <cell r="AC293">
            <v>0.04</v>
          </cell>
          <cell r="AD293">
            <v>0</v>
          </cell>
          <cell r="AE293">
            <v>0</v>
          </cell>
          <cell r="AF293">
            <v>0</v>
          </cell>
          <cell r="AG293">
            <v>0</v>
          </cell>
          <cell r="AH293">
            <v>0</v>
          </cell>
          <cell r="AI293">
            <v>0</v>
          </cell>
          <cell r="AJ293">
            <v>0</v>
          </cell>
          <cell r="AK293">
            <v>0</v>
          </cell>
          <cell r="AL293">
            <v>0</v>
          </cell>
          <cell r="AM293">
            <v>0</v>
          </cell>
          <cell r="AN293">
            <v>0</v>
          </cell>
          <cell r="AO293">
            <v>0</v>
          </cell>
        </row>
        <row r="294">
          <cell r="B294" t="str">
            <v>Sales - % United Arab Emirates</v>
          </cell>
          <cell r="C294" t="str">
            <v>SALES_UAE</v>
          </cell>
          <cell r="AJ294">
            <v>0.03</v>
          </cell>
          <cell r="AK294">
            <v>0.03</v>
          </cell>
          <cell r="AL294">
            <v>0.03</v>
          </cell>
          <cell r="AM294">
            <v>0.03</v>
          </cell>
          <cell r="AN294">
            <v>0.03</v>
          </cell>
          <cell r="AO294">
            <v>0.03</v>
          </cell>
          <cell r="AP294">
            <v>0.03</v>
          </cell>
        </row>
        <row r="295">
          <cell r="B295" t="str">
            <v>Sales - % Other Middle East</v>
          </cell>
          <cell r="C295" t="str">
            <v>SALES_OTH_ME</v>
          </cell>
        </row>
        <row r="296">
          <cell r="B296" t="str">
            <v>Sales - % Nigeria</v>
          </cell>
          <cell r="C296" t="str">
            <v>SALES_NIGERIA</v>
          </cell>
          <cell r="AC296">
            <v>3.7626237038999998E-2</v>
          </cell>
          <cell r="AD296">
            <v>0</v>
          </cell>
          <cell r="AE296">
            <v>0</v>
          </cell>
          <cell r="AF296">
            <v>0</v>
          </cell>
          <cell r="AG296">
            <v>0</v>
          </cell>
          <cell r="AH296">
            <v>0</v>
          </cell>
          <cell r="AI296">
            <v>0</v>
          </cell>
          <cell r="AJ296">
            <v>0</v>
          </cell>
          <cell r="AK296">
            <v>0</v>
          </cell>
          <cell r="AL296">
            <v>0</v>
          </cell>
          <cell r="AM296">
            <v>0</v>
          </cell>
          <cell r="AN296">
            <v>0</v>
          </cell>
          <cell r="AO296">
            <v>0</v>
          </cell>
        </row>
        <row r="297">
          <cell r="B297" t="str">
            <v>Sales - % South Africa</v>
          </cell>
          <cell r="C297" t="str">
            <v>SALES_SO_AFRICA</v>
          </cell>
          <cell r="U297">
            <v>4.9585053588999999E-2</v>
          </cell>
          <cell r="V297">
            <v>4.9585053588999999E-2</v>
          </cell>
          <cell r="W297">
            <v>4.9585053588999999E-2</v>
          </cell>
          <cell r="X297">
            <v>4.9585053588999999E-2</v>
          </cell>
          <cell r="Y297">
            <v>2.3756898397000001E-2</v>
          </cell>
          <cell r="Z297">
            <v>2.822609916E-2</v>
          </cell>
          <cell r="AA297">
            <v>2.9176055440000001E-2</v>
          </cell>
          <cell r="AB297">
            <v>3.3533274467000003E-2</v>
          </cell>
          <cell r="AC297">
            <v>0</v>
          </cell>
          <cell r="AD297">
            <v>3.5791743908000002E-2</v>
          </cell>
          <cell r="AE297">
            <v>3.4702079328999998E-2</v>
          </cell>
          <cell r="AF297">
            <v>3.3548735178E-2</v>
          </cell>
          <cell r="AG297">
            <v>7.8688055313999999E-2</v>
          </cell>
          <cell r="AH297">
            <v>7.2806202690999994E-2</v>
          </cell>
          <cell r="AI297">
            <v>3.2507410062000003E-2</v>
          </cell>
          <cell r="AJ297">
            <v>0.06</v>
          </cell>
          <cell r="AK297">
            <v>0.06</v>
          </cell>
          <cell r="AL297">
            <v>0.06</v>
          </cell>
          <cell r="AM297">
            <v>0.06</v>
          </cell>
          <cell r="AN297">
            <v>0.06</v>
          </cell>
          <cell r="AO297">
            <v>0.06</v>
          </cell>
          <cell r="AP297">
            <v>0.06</v>
          </cell>
        </row>
        <row r="298">
          <cell r="B298" t="str">
            <v>Sales - % Other Africa</v>
          </cell>
          <cell r="C298" t="str">
            <v>SALES_OTH_AFRICA</v>
          </cell>
          <cell r="AC298">
            <v>2.2373762961E-2</v>
          </cell>
          <cell r="AD298">
            <v>0</v>
          </cell>
          <cell r="AE298">
            <v>0</v>
          </cell>
          <cell r="AF298">
            <v>0</v>
          </cell>
          <cell r="AG298">
            <v>0</v>
          </cell>
          <cell r="AH298">
            <v>0</v>
          </cell>
          <cell r="AI298">
            <v>0</v>
          </cell>
          <cell r="AJ298">
            <v>0</v>
          </cell>
          <cell r="AK298">
            <v>0</v>
          </cell>
          <cell r="AL298">
            <v>0</v>
          </cell>
          <cell r="AM298">
            <v>0</v>
          </cell>
          <cell r="AN298">
            <v>0</v>
          </cell>
          <cell r="AO298">
            <v>0</v>
          </cell>
        </row>
        <row r="299">
          <cell r="B299" t="str">
            <v>Sales - % Hong Kong</v>
          </cell>
          <cell r="C299" t="str">
            <v>SALES_HONG_KONG</v>
          </cell>
        </row>
        <row r="300">
          <cell r="B300" t="str">
            <v>Sales - % Japan</v>
          </cell>
          <cell r="C300" t="str">
            <v>SALES_JAPAN</v>
          </cell>
          <cell r="U300">
            <v>2.2186079486000002E-2</v>
          </cell>
          <cell r="V300">
            <v>2.2186079486000002E-2</v>
          </cell>
          <cell r="W300">
            <v>2.2186079486000002E-2</v>
          </cell>
          <cell r="X300">
            <v>2.2186079486000002E-2</v>
          </cell>
          <cell r="Y300">
            <v>2.2186079486000002E-2</v>
          </cell>
          <cell r="Z300">
            <v>2.5395020205E-2</v>
          </cell>
          <cell r="AA300">
            <v>2.4201777135000001E-2</v>
          </cell>
          <cell r="AB300">
            <v>2.3201290990000002E-2</v>
          </cell>
          <cell r="AC300">
            <v>1.9619617434000002E-2</v>
          </cell>
          <cell r="AD300">
            <v>2.1773108938E-2</v>
          </cell>
          <cell r="AE300">
            <v>2.4218067446999999E-2</v>
          </cell>
          <cell r="AF300">
            <v>2.6939536252000001E-2</v>
          </cell>
          <cell r="AG300">
            <v>1.6283704185000001E-2</v>
          </cell>
          <cell r="AH300">
            <v>1.4973281706E-2</v>
          </cell>
          <cell r="AI300">
            <v>2.1716809702E-2</v>
          </cell>
          <cell r="AJ300">
            <v>0.03</v>
          </cell>
          <cell r="AK300">
            <v>0.03</v>
          </cell>
          <cell r="AL300">
            <v>0.03</v>
          </cell>
          <cell r="AM300">
            <v>0.03</v>
          </cell>
          <cell r="AN300">
            <v>0.03</v>
          </cell>
          <cell r="AO300">
            <v>0.03</v>
          </cell>
          <cell r="AP300">
            <v>0.03</v>
          </cell>
        </row>
        <row r="301">
          <cell r="B301" t="str">
            <v>Sales - % Singapore</v>
          </cell>
          <cell r="C301" t="str">
            <v>SALES_SINGAPORE</v>
          </cell>
        </row>
        <row r="302">
          <cell r="B302" t="str">
            <v>Sales - % South Korea</v>
          </cell>
          <cell r="C302" t="str">
            <v>SALES_SK</v>
          </cell>
          <cell r="Y302">
            <v>0</v>
          </cell>
          <cell r="Z302">
            <v>0</v>
          </cell>
          <cell r="AI302">
            <v>1.1081191034E-2</v>
          </cell>
          <cell r="AJ302">
            <v>0.02</v>
          </cell>
          <cell r="AK302">
            <v>0.02</v>
          </cell>
          <cell r="AL302">
            <v>0.02</v>
          </cell>
          <cell r="AM302">
            <v>0.02</v>
          </cell>
          <cell r="AN302">
            <v>0.02</v>
          </cell>
          <cell r="AO302">
            <v>0.02</v>
          </cell>
          <cell r="AP302">
            <v>0.02</v>
          </cell>
        </row>
        <row r="303">
          <cell r="B303" t="str">
            <v>Sales - % Taiwan</v>
          </cell>
          <cell r="C303" t="str">
            <v>SALES_TAIWAN</v>
          </cell>
        </row>
        <row r="304">
          <cell r="B304" t="str">
            <v>Sales - % Other Developed Asia</v>
          </cell>
          <cell r="C304" t="str">
            <v>SALES_OTH_DEV_ASIA</v>
          </cell>
        </row>
        <row r="305">
          <cell r="B305" t="str">
            <v>Sales - % China</v>
          </cell>
          <cell r="C305" t="str">
            <v>SALES_CHINA</v>
          </cell>
          <cell r="U305">
            <v>6.7183785812999997E-2</v>
          </cell>
          <cell r="V305">
            <v>6.7183785812999997E-2</v>
          </cell>
          <cell r="W305">
            <v>6.7183785812999997E-2</v>
          </cell>
          <cell r="X305">
            <v>6.7183785812999997E-2</v>
          </cell>
          <cell r="Y305">
            <v>6.7183785812999997E-2</v>
          </cell>
          <cell r="Z305">
            <v>6.7522442954999998E-2</v>
          </cell>
          <cell r="AA305">
            <v>6.9735555461000007E-2</v>
          </cell>
          <cell r="AB305">
            <v>7.2506571669E-2</v>
          </cell>
          <cell r="AC305">
            <v>7.2429906542000003E-2</v>
          </cell>
          <cell r="AD305">
            <v>7.7968812474999996E-2</v>
          </cell>
          <cell r="AE305">
            <v>7.4622866795000006E-2</v>
          </cell>
          <cell r="AF305">
            <v>6.8286880923999996E-2</v>
          </cell>
          <cell r="AG305">
            <v>5.8341682539000003E-2</v>
          </cell>
          <cell r="AH305">
            <v>5.9000984116000001E-2</v>
          </cell>
          <cell r="AI305">
            <v>6.8811871597999993E-2</v>
          </cell>
          <cell r="AJ305">
            <v>0.08</v>
          </cell>
          <cell r="AK305">
            <v>0.08</v>
          </cell>
          <cell r="AL305">
            <v>0.08</v>
          </cell>
          <cell r="AM305">
            <v>0.08</v>
          </cell>
          <cell r="AN305">
            <v>0.08</v>
          </cell>
          <cell r="AO305">
            <v>0.08</v>
          </cell>
          <cell r="AP305">
            <v>0.08</v>
          </cell>
        </row>
        <row r="306">
          <cell r="B306" t="str">
            <v>Sales - % India</v>
          </cell>
          <cell r="C306" t="str">
            <v>SALES_INDIA</v>
          </cell>
          <cell r="U306">
            <v>2.5021894156999999E-2</v>
          </cell>
          <cell r="V306">
            <v>2.5021894156999999E-2</v>
          </cell>
          <cell r="W306">
            <v>2.5021894156999999E-2</v>
          </cell>
          <cell r="X306">
            <v>2.5021894156999999E-2</v>
          </cell>
          <cell r="Y306">
            <v>2.9567538263000001E-2</v>
          </cell>
          <cell r="Z306">
            <v>2.6798461055E-2</v>
          </cell>
          <cell r="AA306">
            <v>2.7284129075999999E-2</v>
          </cell>
          <cell r="AB306">
            <v>2.5413837549999999E-2</v>
          </cell>
          <cell r="AC306">
            <v>2.1148135208000001E-2</v>
          </cell>
          <cell r="AD306">
            <v>2.2657603625000002E-2</v>
          </cell>
          <cell r="AE306">
            <v>2.6792474808999999E-2</v>
          </cell>
          <cell r="AF306">
            <v>3.1390629406999999E-2</v>
          </cell>
          <cell r="AG306">
            <v>3.4670307286999998E-2</v>
          </cell>
          <cell r="AH306">
            <v>3.0342049353E-2</v>
          </cell>
          <cell r="AI306">
            <v>3.7670237703000001E-2</v>
          </cell>
          <cell r="AJ306">
            <v>0.04</v>
          </cell>
          <cell r="AK306">
            <v>0.04</v>
          </cell>
          <cell r="AL306">
            <v>0.04</v>
          </cell>
          <cell r="AM306">
            <v>0.04</v>
          </cell>
          <cell r="AN306">
            <v>0.04</v>
          </cell>
          <cell r="AO306">
            <v>0.04</v>
          </cell>
          <cell r="AP306">
            <v>0.04</v>
          </cell>
        </row>
        <row r="307">
          <cell r="B307" t="str">
            <v>Sales - % Indonesia</v>
          </cell>
          <cell r="C307" t="str">
            <v>SALES_INDONESIA</v>
          </cell>
          <cell r="AI307">
            <v>2.0447897092000001E-2</v>
          </cell>
          <cell r="AJ307">
            <v>0.03</v>
          </cell>
          <cell r="AK307">
            <v>0.03</v>
          </cell>
          <cell r="AL307">
            <v>0.03</v>
          </cell>
          <cell r="AM307">
            <v>0.03</v>
          </cell>
          <cell r="AN307">
            <v>0.03</v>
          </cell>
          <cell r="AO307">
            <v>0.03</v>
          </cell>
          <cell r="AP307">
            <v>0.03</v>
          </cell>
        </row>
        <row r="308">
          <cell r="B308" t="str">
            <v>Sales - % Thailand</v>
          </cell>
          <cell r="C308" t="str">
            <v>SALES_THAILAND</v>
          </cell>
        </row>
        <row r="309">
          <cell r="B309" t="str">
            <v>Sales - % Other Emerging Asia</v>
          </cell>
          <cell r="C309" t="str">
            <v>SALES_OTH_EMERG_ASIA</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B310" t="str">
            <v>Sales - % Australia</v>
          </cell>
          <cell r="C310" t="str">
            <v>SALES_AUSTRA</v>
          </cell>
          <cell r="AC310">
            <v>0.05</v>
          </cell>
          <cell r="AD310">
            <v>5.3057564852999999E-2</v>
          </cell>
          <cell r="AE310">
            <v>4.2227270079999997E-2</v>
          </cell>
          <cell r="AF310">
            <v>5.2554780326999999E-2</v>
          </cell>
          <cell r="AG310">
            <v>0.15298314377899999</v>
          </cell>
          <cell r="AH310">
            <v>0.13154046373</v>
          </cell>
          <cell r="AI310">
            <v>0.13154046373</v>
          </cell>
          <cell r="AJ310">
            <v>0.09</v>
          </cell>
          <cell r="AK310">
            <v>0.09</v>
          </cell>
          <cell r="AL310">
            <v>0.09</v>
          </cell>
          <cell r="AM310">
            <v>0.09</v>
          </cell>
          <cell r="AN310">
            <v>0.09</v>
          </cell>
          <cell r="AO310">
            <v>0.09</v>
          </cell>
          <cell r="AP310">
            <v>0.09</v>
          </cell>
        </row>
        <row r="311">
          <cell r="B311" t="str">
            <v>Sales - % New Zealand</v>
          </cell>
          <cell r="C311" t="str">
            <v>SALES_NZ</v>
          </cell>
        </row>
        <row r="312">
          <cell r="B312" t="str">
            <v>Sales - % Others</v>
          </cell>
          <cell r="C312" t="str">
            <v>SALES_OTHER</v>
          </cell>
          <cell r="AD312">
            <v>0.31566767232499998</v>
          </cell>
          <cell r="AE312">
            <v>0.319517735453</v>
          </cell>
          <cell r="AF312">
            <v>0.29936360403700002</v>
          </cell>
          <cell r="AG312">
            <v>4.0065178856999999E-2</v>
          </cell>
          <cell r="AH312">
            <v>0.11642002446499999</v>
          </cell>
          <cell r="AI312">
            <v>0.11069072278600001</v>
          </cell>
          <cell r="AJ312">
            <v>1.7465112009E-2</v>
          </cell>
          <cell r="AK312">
            <v>1.7465112009E-2</v>
          </cell>
          <cell r="AL312">
            <v>1.7465112009E-2</v>
          </cell>
          <cell r="AM312">
            <v>1.7465112009E-2</v>
          </cell>
          <cell r="AN312">
            <v>1.7465112009E-2</v>
          </cell>
          <cell r="AO312">
            <v>1.7465112009E-2</v>
          </cell>
          <cell r="AP312">
            <v>1.7465112009E-2</v>
          </cell>
        </row>
        <row r="313">
          <cell r="B313" t="str">
            <v>% of CoGS from U.S. (GS estimate)</v>
          </cell>
          <cell r="C313" t="str">
            <v>COGS_PCT_US</v>
          </cell>
          <cell r="AD313">
            <v>0.13078850856400001</v>
          </cell>
          <cell r="AE313">
            <v>0.13078850856400001</v>
          </cell>
          <cell r="AF313">
            <v>0.13078850856400001</v>
          </cell>
          <cell r="AG313">
            <v>0.13078850856400001</v>
          </cell>
          <cell r="AH313">
            <v>0.13078850856400001</v>
          </cell>
          <cell r="AI313">
            <v>0.13078850856400001</v>
          </cell>
          <cell r="AJ313">
            <v>0.13078850856400001</v>
          </cell>
          <cell r="AK313">
            <v>0.13078850856400001</v>
          </cell>
          <cell r="AL313">
            <v>0.13078850856400001</v>
          </cell>
          <cell r="AM313">
            <v>0.13078850856400001</v>
          </cell>
          <cell r="AN313">
            <v>0.13078850856400001</v>
          </cell>
          <cell r="AO313">
            <v>0.13078850856400001</v>
          </cell>
          <cell r="AP313">
            <v>0.13078850856400001</v>
          </cell>
        </row>
        <row r="314">
          <cell r="B314" t="str">
            <v>% of CoGS from non-U.S. (GS estimate)</v>
          </cell>
          <cell r="C314" t="str">
            <v>COGS_PCT_ROW</v>
          </cell>
          <cell r="AD314">
            <v>0.86921149143599996</v>
          </cell>
          <cell r="AE314">
            <v>0.86921149143599996</v>
          </cell>
          <cell r="AF314">
            <v>0.86921149143599996</v>
          </cell>
          <cell r="AG314">
            <v>0.86921149143599996</v>
          </cell>
          <cell r="AH314">
            <v>0.86921149143599996</v>
          </cell>
          <cell r="AI314">
            <v>0.86921149143599996</v>
          </cell>
          <cell r="AJ314">
            <v>0.86921149143599996</v>
          </cell>
          <cell r="AK314">
            <v>0.86921149143599996</v>
          </cell>
          <cell r="AL314">
            <v>0.86921149143599996</v>
          </cell>
          <cell r="AM314">
            <v>0.86921149143599996</v>
          </cell>
          <cell r="AN314">
            <v>0.86921149143599996</v>
          </cell>
          <cell r="AO314">
            <v>0.86921149143599996</v>
          </cell>
          <cell r="AP314">
            <v>0.86921149143599996</v>
          </cell>
        </row>
        <row r="315">
          <cell r="B315" t="str">
            <v>% of SG&amp;A from U.S. (GS estimate)</v>
          </cell>
          <cell r="C315" t="str">
            <v>SGA_PCT_US</v>
          </cell>
          <cell r="AD315">
            <v>0.148447036596</v>
          </cell>
          <cell r="AE315">
            <v>0.148447036596</v>
          </cell>
          <cell r="AF315">
            <v>0.148447036596</v>
          </cell>
          <cell r="AG315">
            <v>0.148447036596</v>
          </cell>
          <cell r="AH315">
            <v>0.148447036596</v>
          </cell>
          <cell r="AI315">
            <v>0.148447036596</v>
          </cell>
          <cell r="AJ315">
            <v>0.148447036596</v>
          </cell>
          <cell r="AK315">
            <v>0.148447036596</v>
          </cell>
          <cell r="AL315">
            <v>0.148447036596</v>
          </cell>
          <cell r="AM315">
            <v>0.148447036596</v>
          </cell>
          <cell r="AN315">
            <v>0.148447036596</v>
          </cell>
          <cell r="AO315">
            <v>0.148447036596</v>
          </cell>
          <cell r="AP315">
            <v>0.148447036596</v>
          </cell>
        </row>
        <row r="316">
          <cell r="B316" t="str">
            <v>% of SG&amp;A from non-U.S. (GS estimate)</v>
          </cell>
          <cell r="C316" t="str">
            <v>SGA_PCT_ROW</v>
          </cell>
          <cell r="AD316">
            <v>0.851552963404</v>
          </cell>
          <cell r="AE316">
            <v>0.851552963404</v>
          </cell>
          <cell r="AF316">
            <v>0.851552963404</v>
          </cell>
          <cell r="AG316">
            <v>0.851552963404</v>
          </cell>
          <cell r="AH316">
            <v>0.851552963404</v>
          </cell>
          <cell r="AI316">
            <v>0.851552963404</v>
          </cell>
          <cell r="AJ316">
            <v>0.851552963404</v>
          </cell>
          <cell r="AK316">
            <v>0.851552963404</v>
          </cell>
          <cell r="AL316">
            <v>0.851552963404</v>
          </cell>
          <cell r="AM316">
            <v>0.851552963404</v>
          </cell>
          <cell r="AN316">
            <v>0.851552963404</v>
          </cell>
          <cell r="AO316">
            <v>0.851552963404</v>
          </cell>
          <cell r="AP316">
            <v>0.851552963404</v>
          </cell>
        </row>
        <row r="317">
          <cell r="B317" t="str">
            <v>Sales -% Consumer (C)</v>
          </cell>
          <cell r="C317" t="str">
            <v>SALES_CONS</v>
          </cell>
          <cell r="Y317">
            <v>0.19</v>
          </cell>
          <cell r="Z317">
            <v>0.19</v>
          </cell>
          <cell r="AA317">
            <v>0.19</v>
          </cell>
          <cell r="AB317">
            <v>0.19</v>
          </cell>
          <cell r="AC317">
            <v>0.19</v>
          </cell>
          <cell r="AD317">
            <v>0.19</v>
          </cell>
          <cell r="AE317">
            <v>0.19</v>
          </cell>
          <cell r="AF317">
            <v>0.19</v>
          </cell>
          <cell r="AG317">
            <v>0.19</v>
          </cell>
          <cell r="AH317">
            <v>0.19</v>
          </cell>
          <cell r="AI317">
            <v>0.19</v>
          </cell>
          <cell r="AJ317">
            <v>0.19</v>
          </cell>
          <cell r="AK317">
            <v>0.19</v>
          </cell>
          <cell r="AL317">
            <v>0.19</v>
          </cell>
          <cell r="AM317">
            <v>0.19</v>
          </cell>
          <cell r="AN317">
            <v>0.19</v>
          </cell>
          <cell r="AO317">
            <v>0.19</v>
          </cell>
          <cell r="AP317">
            <v>0.19</v>
          </cell>
        </row>
        <row r="318">
          <cell r="B318" t="str">
            <v>Sales -% Industry (I)</v>
          </cell>
          <cell r="C318" t="str">
            <v>SALES_IND</v>
          </cell>
          <cell r="Y318">
            <v>0.81</v>
          </cell>
          <cell r="Z318">
            <v>0.81</v>
          </cell>
          <cell r="AA318">
            <v>0.81</v>
          </cell>
          <cell r="AB318">
            <v>0.81</v>
          </cell>
          <cell r="AC318">
            <v>0.81</v>
          </cell>
          <cell r="AD318">
            <v>0.81</v>
          </cell>
          <cell r="AE318">
            <v>0.81</v>
          </cell>
          <cell r="AF318">
            <v>0.81</v>
          </cell>
          <cell r="AG318">
            <v>0.81</v>
          </cell>
          <cell r="AH318">
            <v>0.81</v>
          </cell>
          <cell r="AI318">
            <v>0.81</v>
          </cell>
          <cell r="AJ318">
            <v>0.81</v>
          </cell>
          <cell r="AK318">
            <v>0.81</v>
          </cell>
          <cell r="AL318">
            <v>0.81</v>
          </cell>
          <cell r="AM318">
            <v>0.81</v>
          </cell>
          <cell r="AN318">
            <v>0.81</v>
          </cell>
          <cell r="AO318">
            <v>0.81</v>
          </cell>
          <cell r="AP318">
            <v>0.81</v>
          </cell>
        </row>
        <row r="319">
          <cell r="B319" t="str">
            <v>Sales -% Government (G)</v>
          </cell>
          <cell r="C319" t="str">
            <v>SALES_GOV</v>
          </cell>
          <cell r="Y319">
            <v>0</v>
          </cell>
          <cell r="Z319">
            <v>0</v>
          </cell>
          <cell r="AA319">
            <v>0</v>
          </cell>
          <cell r="AB319">
            <v>0</v>
          </cell>
          <cell r="AC319">
            <v>0</v>
          </cell>
          <cell r="AD319">
            <v>0</v>
          </cell>
          <cell r="AE319">
            <v>0</v>
          </cell>
          <cell r="AF319">
            <v>0</v>
          </cell>
          <cell r="AG319">
            <v>0</v>
          </cell>
          <cell r="AH319">
            <v>0</v>
          </cell>
          <cell r="AI319">
            <v>0</v>
          </cell>
          <cell r="AJ319">
            <v>0</v>
          </cell>
        </row>
        <row r="320">
          <cell r="B320" t="str">
            <v>Sales - % Industry Sub-Segment: Financial Services</v>
          </cell>
          <cell r="C320" t="str">
            <v>SALES_FINAN</v>
          </cell>
          <cell r="Y320">
            <v>0</v>
          </cell>
          <cell r="Z320">
            <v>0</v>
          </cell>
          <cell r="AA320">
            <v>0</v>
          </cell>
          <cell r="AB320">
            <v>0</v>
          </cell>
          <cell r="AC320">
            <v>0</v>
          </cell>
          <cell r="AD320">
            <v>0</v>
          </cell>
          <cell r="AE320">
            <v>0</v>
          </cell>
          <cell r="AF320">
            <v>0</v>
          </cell>
          <cell r="AG320">
            <v>0</v>
          </cell>
          <cell r="AH320">
            <v>0</v>
          </cell>
          <cell r="AI320">
            <v>0</v>
          </cell>
          <cell r="AJ320">
            <v>0</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cell r="AB323">
            <v>0</v>
          </cell>
        </row>
        <row r="324">
          <cell r="B324" t="str">
            <v>Sales - % Oil derivatives/NGLs/plastics</v>
          </cell>
          <cell r="C324" t="str">
            <v>SALES_OIL_DERIV_NGLS_PLASTICS</v>
          </cell>
          <cell r="AB324">
            <v>0</v>
          </cell>
        </row>
        <row r="325">
          <cell r="B325" t="str">
            <v>Sales - % Nat Gas</v>
          </cell>
          <cell r="C325" t="str">
            <v>SALES_NAT_GAS</v>
          </cell>
          <cell r="AB325">
            <v>0</v>
          </cell>
        </row>
        <row r="326">
          <cell r="B326" t="str">
            <v>Sales - % Gold</v>
          </cell>
          <cell r="C326" t="str">
            <v>SALES_GOLD</v>
          </cell>
          <cell r="AB326">
            <v>9.9900000000000003E-2</v>
          </cell>
        </row>
        <row r="327">
          <cell r="B327" t="str">
            <v>Sales - % Copper</v>
          </cell>
          <cell r="C327" t="str">
            <v>SALES_COPPER</v>
          </cell>
          <cell r="AB327">
            <v>9.6199999999999994E-2</v>
          </cell>
        </row>
        <row r="328">
          <cell r="B328" t="str">
            <v>Sales - % Silver</v>
          </cell>
          <cell r="C328" t="str">
            <v>SALES_SILVER</v>
          </cell>
          <cell r="AB328">
            <v>0</v>
          </cell>
        </row>
        <row r="329">
          <cell r="B329" t="str">
            <v>Sales - % Platinum</v>
          </cell>
          <cell r="C329" t="str">
            <v>SALES_PLATINUM</v>
          </cell>
          <cell r="AB329">
            <v>2.2200000000000001E-2</v>
          </cell>
        </row>
        <row r="330">
          <cell r="B330" t="str">
            <v>Sales - % Palladium</v>
          </cell>
          <cell r="C330" t="str">
            <v>SALES_PALLADIUM</v>
          </cell>
          <cell r="AB330">
            <v>0</v>
          </cell>
        </row>
        <row r="331">
          <cell r="B331" t="str">
            <v>Sales - % Aluminium</v>
          </cell>
          <cell r="C331" t="str">
            <v>SALES_ALUMINIUM</v>
          </cell>
          <cell r="AB331">
            <v>0</v>
          </cell>
        </row>
        <row r="332">
          <cell r="B332" t="str">
            <v>Sales - % Nickel</v>
          </cell>
          <cell r="C332" t="str">
            <v>SALES_NICKEL</v>
          </cell>
          <cell r="AB332">
            <v>0</v>
          </cell>
        </row>
        <row r="333">
          <cell r="B333" t="str">
            <v>Sales - % Zinc</v>
          </cell>
          <cell r="C333" t="str">
            <v>SALES_ZINC</v>
          </cell>
          <cell r="AB333">
            <v>0</v>
          </cell>
        </row>
        <row r="334">
          <cell r="B334" t="str">
            <v>Sales - % Steel</v>
          </cell>
          <cell r="C334" t="str">
            <v>SALES_STEEL</v>
          </cell>
          <cell r="AB334">
            <v>0</v>
          </cell>
        </row>
        <row r="335">
          <cell r="B335" t="str">
            <v>Sales - % Tin</v>
          </cell>
          <cell r="C335" t="str">
            <v>SALES_TIN</v>
          </cell>
          <cell r="AB335">
            <v>0</v>
          </cell>
        </row>
        <row r="336">
          <cell r="B336" t="str">
            <v>Sales - % Iron Ore</v>
          </cell>
          <cell r="C336" t="str">
            <v>SALES_IRON_ORE</v>
          </cell>
          <cell r="AB336">
            <v>6.2899999999999998E-2</v>
          </cell>
        </row>
        <row r="337">
          <cell r="B337" t="str">
            <v>Sales - % Ferrochrome</v>
          </cell>
          <cell r="C337" t="str">
            <v>SALES_FERROCHROME</v>
          </cell>
          <cell r="AB337">
            <v>0</v>
          </cell>
        </row>
        <row r="338">
          <cell r="B338" t="str">
            <v>Sales - % Diamonds</v>
          </cell>
          <cell r="C338" t="str">
            <v>SALES_DIAMONDS</v>
          </cell>
          <cell r="AB338">
            <v>0</v>
          </cell>
        </row>
        <row r="339">
          <cell r="B339" t="str">
            <v>Sales - % Coal: thermal</v>
          </cell>
          <cell r="C339" t="str">
            <v>SALES_COAL_THERMAL</v>
          </cell>
          <cell r="AB339">
            <v>4.07E-2</v>
          </cell>
        </row>
        <row r="340">
          <cell r="B340" t="str">
            <v>Sales - % Coal: Metallurgical</v>
          </cell>
          <cell r="C340" t="str">
            <v>SALES_COAL_MET</v>
          </cell>
          <cell r="AB340">
            <v>4.07E-2</v>
          </cell>
        </row>
        <row r="341">
          <cell r="B341" t="str">
            <v>Sales - % Paper/pulp</v>
          </cell>
          <cell r="C341" t="str">
            <v>SALES_PAPER_PULP</v>
          </cell>
          <cell r="AB341">
            <v>0</v>
          </cell>
        </row>
        <row r="342">
          <cell r="B342" t="str">
            <v>Sales - % Glass</v>
          </cell>
          <cell r="C342" t="str">
            <v>SALES_GLASS</v>
          </cell>
          <cell r="AB342">
            <v>0</v>
          </cell>
        </row>
        <row r="343">
          <cell r="B343" t="str">
            <v>Sales - % Cement</v>
          </cell>
          <cell r="C343" t="str">
            <v>SALES_CEMENT</v>
          </cell>
          <cell r="AB343">
            <v>0</v>
          </cell>
        </row>
        <row r="344">
          <cell r="B344" t="str">
            <v>Sales - % Palm oil</v>
          </cell>
          <cell r="C344" t="str">
            <v>SALES_PALM_OIL</v>
          </cell>
          <cell r="AB344">
            <v>0</v>
          </cell>
        </row>
        <row r="345">
          <cell r="B345" t="str">
            <v>Sales - % Other commodity</v>
          </cell>
          <cell r="C345" t="str">
            <v>SALES_OTH_COMMODITY</v>
          </cell>
          <cell r="AB345">
            <v>7.4000000000000003E-3</v>
          </cell>
        </row>
        <row r="346">
          <cell r="B346" t="str">
            <v>Sales - % Other (Non-Commodity) sales sources</v>
          </cell>
          <cell r="C346" t="str">
            <v>SALES_OTH_SALES_SOURCES</v>
          </cell>
          <cell r="AB346">
            <v>0.63</v>
          </cell>
        </row>
        <row r="347">
          <cell r="A347" t="str">
            <v>Commodities Exposure - Expense</v>
          </cell>
        </row>
        <row r="348">
          <cell r="B348" t="str">
            <v>Expense - % Oil/Petrol/Fuel</v>
          </cell>
          <cell r="C348" t="str">
            <v>EXP_OIL_PETRO_FUEL</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Expense - % Oil derivatives/NGLs/plastics</v>
          </cell>
          <cell r="C349" t="str">
            <v>EXP_OIL_DERIV_NGLS_PLASTICS</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Expense - % Nat Gas</v>
          </cell>
          <cell r="C350" t="str">
            <v>EXP_NAT_GAS</v>
          </cell>
          <cell r="AB350">
            <v>0</v>
          </cell>
        </row>
        <row r="351">
          <cell r="B351" t="str">
            <v>Expense - % Gold</v>
          </cell>
          <cell r="C351" t="str">
            <v>EXP_GOLD</v>
          </cell>
          <cell r="AB351">
            <v>0</v>
          </cell>
        </row>
        <row r="352">
          <cell r="B352" t="str">
            <v>Expense - % Copper</v>
          </cell>
          <cell r="C352" t="str">
            <v>EXP_COPPER</v>
          </cell>
          <cell r="AB352">
            <v>0</v>
          </cell>
        </row>
        <row r="353">
          <cell r="B353" t="str">
            <v>Expense - % Silver</v>
          </cell>
          <cell r="C353" t="str">
            <v>EXP_SILVER</v>
          </cell>
          <cell r="AB353">
            <v>0</v>
          </cell>
        </row>
        <row r="354">
          <cell r="B354" t="str">
            <v>Expense - % Platinum</v>
          </cell>
          <cell r="C354" t="str">
            <v>EXP_PLATINUM</v>
          </cell>
          <cell r="AB354">
            <v>0</v>
          </cell>
        </row>
        <row r="355">
          <cell r="B355" t="str">
            <v>Expense - % Palladium</v>
          </cell>
          <cell r="C355" t="str">
            <v>EXP_PALLADIUM</v>
          </cell>
          <cell r="AB355">
            <v>0</v>
          </cell>
        </row>
        <row r="356">
          <cell r="B356" t="str">
            <v>Expense - % Aluminium</v>
          </cell>
          <cell r="C356" t="str">
            <v>EXP_ALUMINIUM</v>
          </cell>
          <cell r="AB356">
            <v>0</v>
          </cell>
        </row>
        <row r="357">
          <cell r="B357" t="str">
            <v>Expense - % Nickel</v>
          </cell>
          <cell r="C357" t="str">
            <v>EXP_NICKEL</v>
          </cell>
          <cell r="AB357">
            <v>0</v>
          </cell>
        </row>
        <row r="358">
          <cell r="B358" t="str">
            <v>Expense - % Zinc</v>
          </cell>
          <cell r="C358" t="str">
            <v>EXP_ZINC</v>
          </cell>
          <cell r="AB358">
            <v>0</v>
          </cell>
        </row>
        <row r="359">
          <cell r="B359" t="str">
            <v>Expense - % Steel</v>
          </cell>
          <cell r="C359" t="str">
            <v>EXP_STEEL</v>
          </cell>
          <cell r="AB359">
            <v>0</v>
          </cell>
        </row>
        <row r="360">
          <cell r="B360" t="str">
            <v>Expense - % Tin</v>
          </cell>
          <cell r="C360" t="str">
            <v>EXP_TIN</v>
          </cell>
          <cell r="AB360">
            <v>0</v>
          </cell>
        </row>
        <row r="361">
          <cell r="B361" t="str">
            <v>Expense - % Iron Ore</v>
          </cell>
          <cell r="C361" t="str">
            <v>EXP_IRON_ORE</v>
          </cell>
          <cell r="AB361">
            <v>0</v>
          </cell>
        </row>
        <row r="362">
          <cell r="B362" t="str">
            <v>Expense - % Ferrochrome</v>
          </cell>
          <cell r="C362" t="str">
            <v>EXP_FERROCHROME</v>
          </cell>
          <cell r="AB362">
            <v>0</v>
          </cell>
        </row>
        <row r="363">
          <cell r="B363" t="str">
            <v>Expense - % Diamonds</v>
          </cell>
          <cell r="C363" t="str">
            <v>EXP_DIAMONDS</v>
          </cell>
          <cell r="AB363">
            <v>0</v>
          </cell>
        </row>
        <row r="364">
          <cell r="B364" t="str">
            <v>Expense - % Paper/pulp</v>
          </cell>
          <cell r="C364" t="str">
            <v>EXP_PAPER_PULP</v>
          </cell>
          <cell r="AB364">
            <v>0</v>
          </cell>
        </row>
        <row r="365">
          <cell r="B365" t="str">
            <v>Expense - % Lumber</v>
          </cell>
          <cell r="C365" t="str">
            <v>EXP_LUMBER</v>
          </cell>
          <cell r="AB365">
            <v>0</v>
          </cell>
        </row>
        <row r="366">
          <cell r="B366" t="str">
            <v>Expense - % Glass</v>
          </cell>
          <cell r="C366" t="str">
            <v>EXP_GLASS</v>
          </cell>
          <cell r="AB366">
            <v>0</v>
          </cell>
        </row>
        <row r="367">
          <cell r="B367" t="str">
            <v>Expense - % Cement</v>
          </cell>
          <cell r="C367" t="str">
            <v>EXP_CEMENT</v>
          </cell>
          <cell r="AB367">
            <v>0</v>
          </cell>
        </row>
        <row r="368">
          <cell r="B368" t="str">
            <v>Expense - % Rubber</v>
          </cell>
          <cell r="C368" t="str">
            <v>EXP_RUBBER</v>
          </cell>
          <cell r="AB368">
            <v>0</v>
          </cell>
        </row>
        <row r="369">
          <cell r="B369" t="str">
            <v>Expense - % Water</v>
          </cell>
          <cell r="C369" t="str">
            <v>EXP_WATER</v>
          </cell>
          <cell r="AB369">
            <v>0</v>
          </cell>
        </row>
        <row r="370">
          <cell r="B370" t="str">
            <v>Expense - % Other commodity</v>
          </cell>
          <cell r="C370" t="str">
            <v>EXP_OTH_COMMODITY</v>
          </cell>
          <cell r="AB370">
            <v>0</v>
          </cell>
        </row>
        <row r="371">
          <cell r="B371" t="str">
            <v>Expense - % Other (Non-Commodity) cost</v>
          </cell>
          <cell r="C371" t="str">
            <v>EXP_OTH_COST</v>
          </cell>
          <cell r="AB371">
            <v>1</v>
          </cell>
        </row>
        <row r="372">
          <cell r="A372" t="str">
            <v>FX Exposure - Sales</v>
          </cell>
        </row>
        <row r="373">
          <cell r="B373" t="str">
            <v>Sales - % FX: British Pounds/Pence</v>
          </cell>
          <cell r="C373" t="str">
            <v>SALES_FX_GPB</v>
          </cell>
        </row>
        <row r="374">
          <cell r="B374" t="str">
            <v>Sales - % FX: Euro</v>
          </cell>
          <cell r="C374" t="str">
            <v>SALES_FX_EUR</v>
          </cell>
          <cell r="N374">
            <v>0.55351415094300005</v>
          </cell>
          <cell r="O374">
            <v>0.54127226463099998</v>
          </cell>
          <cell r="P374">
            <v>0.51378285714299998</v>
          </cell>
          <cell r="Q374">
            <v>0.52709611451899996</v>
          </cell>
          <cell r="R374">
            <v>0.53899383983600002</v>
          </cell>
          <cell r="S374">
            <v>0.544171276378</v>
          </cell>
          <cell r="T374">
            <v>0.54193371177399996</v>
          </cell>
          <cell r="U374">
            <v>0.51637999053200001</v>
          </cell>
          <cell r="V374">
            <v>0.52422913582999997</v>
          </cell>
          <cell r="W374">
            <v>0.53765433528700002</v>
          </cell>
          <cell r="X374">
            <v>0.53599412869399998</v>
          </cell>
          <cell r="Y374">
            <v>0.49678899082599998</v>
          </cell>
          <cell r="Z374">
            <v>0.47860859044199999</v>
          </cell>
          <cell r="AA374">
            <v>0.48252625313500003</v>
          </cell>
          <cell r="AB374">
            <v>0.44282789838499997</v>
          </cell>
          <cell r="AC374">
            <v>0.47249292887700001</v>
          </cell>
          <cell r="AD374">
            <v>0.47473811139700001</v>
          </cell>
          <cell r="AE374">
            <v>0.47856438365100001</v>
          </cell>
          <cell r="AF374">
            <v>0.49471054485799998</v>
          </cell>
          <cell r="AG374">
            <v>0.49</v>
          </cell>
          <cell r="AH374">
            <v>0.47</v>
          </cell>
          <cell r="AI374">
            <v>0.46</v>
          </cell>
          <cell r="AJ374">
            <v>0.44239204657199999</v>
          </cell>
          <cell r="AK374">
            <v>0.43322166612899998</v>
          </cell>
          <cell r="AL374">
            <v>0.43322166612899998</v>
          </cell>
          <cell r="AM374">
            <v>0.43322166612899998</v>
          </cell>
          <cell r="AN374">
            <v>0.43322166612899998</v>
          </cell>
          <cell r="AO374">
            <v>0.43322166612899998</v>
          </cell>
          <cell r="AP374">
            <v>0.43322166612899998</v>
          </cell>
        </row>
        <row r="375">
          <cell r="B375" t="str">
            <v>Sales - % FX: New Russian Ruble</v>
          </cell>
          <cell r="C375" t="str">
            <v>SALES_FX_RUB</v>
          </cell>
        </row>
        <row r="376">
          <cell r="B376" t="str">
            <v>Sales - % FX: U.S. Dollar</v>
          </cell>
          <cell r="C376" t="str">
            <v>SALES_FX_USD</v>
          </cell>
          <cell r="O376">
            <v>0.25323155216299997</v>
          </cell>
          <cell r="P376">
            <v>0.25766857142900002</v>
          </cell>
          <cell r="Q376">
            <v>0.23605316973400001</v>
          </cell>
          <cell r="R376">
            <v>0.228459958932</v>
          </cell>
          <cell r="S376">
            <v>0.210407703339</v>
          </cell>
          <cell r="T376">
            <v>0.19503753891200001</v>
          </cell>
          <cell r="U376">
            <v>0.19951080953100001</v>
          </cell>
          <cell r="V376">
            <v>0.19250508376100001</v>
          </cell>
          <cell r="W376">
            <v>0.172589126456</v>
          </cell>
          <cell r="X376">
            <v>0.160025471108</v>
          </cell>
          <cell r="Y376">
            <v>0.16269113149799999</v>
          </cell>
          <cell r="Z376">
            <v>0.16625529340600001</v>
          </cell>
          <cell r="AA376">
            <v>0.16573487521800001</v>
          </cell>
          <cell r="AB376">
            <v>0.179816500726</v>
          </cell>
          <cell r="AC376">
            <v>0.179953164542</v>
          </cell>
          <cell r="AD376">
            <v>0.192826263434</v>
          </cell>
          <cell r="AE376">
            <v>0.20954788426500001</v>
          </cell>
          <cell r="AF376">
            <v>0.20168645975999999</v>
          </cell>
          <cell r="AG376">
            <v>0.2</v>
          </cell>
          <cell r="AH376">
            <v>0.21</v>
          </cell>
          <cell r="AI376">
            <v>0.23</v>
          </cell>
          <cell r="AJ376">
            <v>0.22039743990399999</v>
          </cell>
          <cell r="AK376">
            <v>0.21677227962500001</v>
          </cell>
          <cell r="AL376">
            <v>0.21677227962500001</v>
          </cell>
          <cell r="AM376">
            <v>0.21677227962500001</v>
          </cell>
          <cell r="AN376">
            <v>0.21677227962500001</v>
          </cell>
          <cell r="AO376">
            <v>0.21677227962500001</v>
          </cell>
          <cell r="AP376">
            <v>0.21677227962500001</v>
          </cell>
        </row>
        <row r="377">
          <cell r="B377" t="str">
            <v>Sales - % FX: Brazilian Real</v>
          </cell>
          <cell r="C377" t="str">
            <v>SALES_FX_BRL</v>
          </cell>
          <cell r="O377">
            <v>3.9389312976999998E-2</v>
          </cell>
          <cell r="P377">
            <v>4.3154285713999999E-2</v>
          </cell>
          <cell r="Q377">
            <v>4.1165644171999999E-2</v>
          </cell>
          <cell r="R377">
            <v>4.1437371663000003E-2</v>
          </cell>
          <cell r="S377">
            <v>4.1671788568000002E-2</v>
          </cell>
          <cell r="T377">
            <v>5.048525911E-2</v>
          </cell>
          <cell r="U377">
            <v>5.6051759508000003E-2</v>
          </cell>
          <cell r="V377">
            <v>6.0022963382999998E-2</v>
          </cell>
          <cell r="W377">
            <v>6.3066089091999997E-2</v>
          </cell>
          <cell r="X377">
            <v>6.4562781962999999E-2</v>
          </cell>
          <cell r="Y377">
            <v>6.3413956075E-2</v>
          </cell>
          <cell r="Z377">
            <v>7.4470659406999998E-2</v>
          </cell>
          <cell r="AA377">
            <v>8.1129628842000007E-2</v>
          </cell>
          <cell r="AB377">
            <v>8.2560870403999995E-2</v>
          </cell>
          <cell r="AC377">
            <v>8.0192609388000005E-2</v>
          </cell>
          <cell r="AD377">
            <v>7.7499787964000005E-2</v>
          </cell>
          <cell r="AE377">
            <v>6.4797515666999997E-2</v>
          </cell>
          <cell r="AF377">
            <v>5.0686364637999998E-2</v>
          </cell>
          <cell r="AG377">
            <v>0.05</v>
          </cell>
          <cell r="AH377">
            <v>0.05</v>
          </cell>
          <cell r="AI377">
            <v>0.05</v>
          </cell>
          <cell r="AJ377">
            <v>4.5368795065000002E-2</v>
          </cell>
          <cell r="AK377">
            <v>5.1975702292999998E-2</v>
          </cell>
          <cell r="AL377">
            <v>5.1975702292999998E-2</v>
          </cell>
          <cell r="AM377">
            <v>5.1975702292999998E-2</v>
          </cell>
          <cell r="AN377">
            <v>5.1975702292999998E-2</v>
          </cell>
          <cell r="AO377">
            <v>5.1975702292999998E-2</v>
          </cell>
          <cell r="AP377">
            <v>5.1975702292999998E-2</v>
          </cell>
        </row>
        <row r="378">
          <cell r="B378" t="str">
            <v>Sales - % FX: Japanese Yen</v>
          </cell>
          <cell r="C378" t="str">
            <v>SALES_FX_YEN</v>
          </cell>
        </row>
        <row r="379">
          <cell r="B379" t="str">
            <v>Sales - % FX: Chinese Renminbi</v>
          </cell>
          <cell r="C379" t="str">
            <v>SALES_FX_CNY</v>
          </cell>
          <cell r="O379">
            <v>0.11320610687</v>
          </cell>
          <cell r="P379">
            <v>0.13291428571399999</v>
          </cell>
          <cell r="Q379">
            <v>0.133496932515</v>
          </cell>
          <cell r="R379">
            <v>0.126221765914</v>
          </cell>
          <cell r="S379">
            <v>0.107232124565</v>
          </cell>
          <cell r="T379">
            <v>0.119941402674</v>
          </cell>
          <cell r="U379">
            <v>0.14825627268399999</v>
          </cell>
          <cell r="V379">
            <v>0.14123863935</v>
          </cell>
          <cell r="W379">
            <v>0.135178021265</v>
          </cell>
          <cell r="X379">
            <v>0.14735467437999999</v>
          </cell>
          <cell r="Y379">
            <v>0.17274117319999999</v>
          </cell>
          <cell r="Z379">
            <v>0.183327283727</v>
          </cell>
          <cell r="AA379">
            <v>0.17358955826700001</v>
          </cell>
          <cell r="AB379">
            <v>0.184794730485</v>
          </cell>
          <cell r="AC379">
            <v>0.184793248365</v>
          </cell>
          <cell r="AD379">
            <v>0.190195961995</v>
          </cell>
          <cell r="AE379">
            <v>0.19935104278400001</v>
          </cell>
          <cell r="AF379">
            <v>0.20070795879299999</v>
          </cell>
          <cell r="AG379">
            <v>0.2</v>
          </cell>
          <cell r="AH379">
            <v>0.2</v>
          </cell>
          <cell r="AI379">
            <v>0.19</v>
          </cell>
          <cell r="AJ379">
            <v>0.203708204576</v>
          </cell>
          <cell r="AK379">
            <v>0.20435098482399999</v>
          </cell>
          <cell r="AL379">
            <v>0.20435098482399999</v>
          </cell>
          <cell r="AM379">
            <v>0.20435098482399999</v>
          </cell>
          <cell r="AN379">
            <v>0.20435098482399999</v>
          </cell>
          <cell r="AO379">
            <v>0.20435098482399999</v>
          </cell>
          <cell r="AP379">
            <v>0.20435098482399999</v>
          </cell>
        </row>
        <row r="380">
          <cell r="B380" t="str">
            <v>Sales - % FX: Indian Rupee</v>
          </cell>
          <cell r="C380" t="str">
            <v>SALES_FX_INR</v>
          </cell>
        </row>
        <row r="381">
          <cell r="B381" t="str">
            <v>Sales - % FX: South African Rand</v>
          </cell>
          <cell r="C381" t="str">
            <v>SALES_FX_ZAR</v>
          </cell>
        </row>
        <row r="382">
          <cell r="B382" t="str">
            <v>Sales - % FX: Nigerian Naira</v>
          </cell>
          <cell r="C382" t="str">
            <v>SALES_FX_NGN</v>
          </cell>
        </row>
        <row r="383">
          <cell r="B383" t="str">
            <v>Sales - % FX: Swiss Franc</v>
          </cell>
          <cell r="C383" t="str">
            <v>SALES_FX_CHF</v>
          </cell>
        </row>
        <row r="384">
          <cell r="B384" t="str">
            <v>Sales - % FX: UAE Dirham</v>
          </cell>
          <cell r="C384" t="str">
            <v>SALES_FX_AED</v>
          </cell>
        </row>
        <row r="385">
          <cell r="B385" t="str">
            <v>Sales - % FX: New Turkish Lira</v>
          </cell>
          <cell r="C385" t="str">
            <v>SALES_FX_TRY</v>
          </cell>
        </row>
        <row r="386">
          <cell r="B386" t="str">
            <v>Sales - % FX: Other Currency</v>
          </cell>
          <cell r="C386" t="str">
            <v>SALES_FX_OTH</v>
          </cell>
          <cell r="O386">
            <v>5.2900763359E-2</v>
          </cell>
          <cell r="P386">
            <v>5.2479999999999999E-2</v>
          </cell>
          <cell r="Q386">
            <v>6.2188139059000003E-2</v>
          </cell>
          <cell r="R386">
            <v>6.4887063654999994E-2</v>
          </cell>
          <cell r="S386">
            <v>9.6517107150000003E-2</v>
          </cell>
          <cell r="T386">
            <v>9.2602087530000002E-2</v>
          </cell>
          <cell r="U386">
            <v>7.9801167744999998E-2</v>
          </cell>
          <cell r="V386">
            <v>8.2004177676000004E-2</v>
          </cell>
          <cell r="W386">
            <v>9.1512427899999998E-2</v>
          </cell>
          <cell r="X386">
            <v>9.2062943856000001E-2</v>
          </cell>
          <cell r="Y386">
            <v>0.104323046984</v>
          </cell>
          <cell r="Z386">
            <v>9.7386569872999998E-2</v>
          </cell>
          <cell r="AA386">
            <v>9.7019684536999995E-2</v>
          </cell>
          <cell r="AB386">
            <v>0.11</v>
          </cell>
          <cell r="AC386">
            <v>8.2568048828000007E-2</v>
          </cell>
          <cell r="AD386">
            <v>6.4740528031E-2</v>
          </cell>
          <cell r="AE386">
            <v>4.7739615821000003E-2</v>
          </cell>
          <cell r="AF386">
            <v>5.2208990038000003E-2</v>
          </cell>
          <cell r="AG386">
            <v>0.06</v>
          </cell>
          <cell r="AH386">
            <v>7.0000000000000007E-2</v>
          </cell>
          <cell r="AI386">
            <v>7.0000000000000007E-2</v>
          </cell>
          <cell r="AJ386">
            <v>8.8133513883000003E-2</v>
          </cell>
          <cell r="AK386">
            <v>9.3679367129000005E-2</v>
          </cell>
          <cell r="AL386">
            <v>9.3679367129000005E-2</v>
          </cell>
          <cell r="AM386">
            <v>9.3679367129000005E-2</v>
          </cell>
          <cell r="AN386">
            <v>9.3679367129000005E-2</v>
          </cell>
          <cell r="AO386">
            <v>9.3679367129000005E-2</v>
          </cell>
          <cell r="AP386">
            <v>9.3679367129000005E-2</v>
          </cell>
        </row>
        <row r="387">
          <cell r="A387" t="str">
            <v>Items to be removed</v>
          </cell>
        </row>
        <row r="388">
          <cell r="B388" t="str">
            <v>Sales - Total % Americas</v>
          </cell>
          <cell r="C388" t="str">
            <v>SALES_TOT_AM</v>
          </cell>
          <cell r="U388">
            <v>0.25556256903899999</v>
          </cell>
          <cell r="V388">
            <v>0.25252804714400001</v>
          </cell>
          <cell r="W388">
            <v>0.23565521554800001</v>
          </cell>
          <cell r="X388">
            <v>0.224588253071</v>
          </cell>
          <cell r="Y388">
            <v>0.22610508757299999</v>
          </cell>
          <cell r="Z388">
            <v>0.24072595281299999</v>
          </cell>
          <cell r="AA388">
            <v>0.24686450405999999</v>
          </cell>
          <cell r="AB388">
            <v>0.262377371129</v>
          </cell>
          <cell r="AC388">
            <v>0.26014577392999999</v>
          </cell>
          <cell r="AD388">
            <v>0.270325270251</v>
          </cell>
          <cell r="AE388">
            <v>0.27434516861699998</v>
          </cell>
          <cell r="AF388">
            <v>0.25237282439800002</v>
          </cell>
          <cell r="AG388">
            <v>0.25</v>
          </cell>
          <cell r="AH388">
            <v>0.26</v>
          </cell>
          <cell r="AI388">
            <v>0.28000000000000003</v>
          </cell>
          <cell r="AJ388">
            <v>0.26576623496899998</v>
          </cell>
          <cell r="AK388">
            <v>0.26874798191799998</v>
          </cell>
          <cell r="AL388">
            <v>0.26874798191799998</v>
          </cell>
          <cell r="AM388">
            <v>0.26874798191799998</v>
          </cell>
          <cell r="AN388">
            <v>0.26874798191799998</v>
          </cell>
          <cell r="AO388">
            <v>0.26874798191799998</v>
          </cell>
          <cell r="AP388">
            <v>0.26874798191799998</v>
          </cell>
        </row>
        <row r="389">
          <cell r="B389" t="str">
            <v>Sales - % Other Americas</v>
          </cell>
          <cell r="C389" t="str">
            <v>SALES_OTH_AM</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Sales - Total % EMEA</v>
          </cell>
          <cell r="C390" t="str">
            <v>SALES_TOT_EMEA</v>
          </cell>
          <cell r="U390">
            <v>0.49678899082599998</v>
          </cell>
          <cell r="V390">
            <v>0.49678899082599998</v>
          </cell>
          <cell r="W390">
            <v>0.49678899082599998</v>
          </cell>
          <cell r="X390">
            <v>0.49678899082599998</v>
          </cell>
          <cell r="Y390">
            <v>0.49678899082599998</v>
          </cell>
          <cell r="Z390">
            <v>0.47860859044199999</v>
          </cell>
          <cell r="AA390">
            <v>0.48252625313500003</v>
          </cell>
          <cell r="AB390">
            <v>0.44282789838499997</v>
          </cell>
          <cell r="AC390">
            <v>0.47249292887700001</v>
          </cell>
          <cell r="AD390">
            <v>0.47473811139700001</v>
          </cell>
          <cell r="AE390">
            <v>0.47</v>
          </cell>
          <cell r="AF390">
            <v>0.49471054485799998</v>
          </cell>
          <cell r="AG390">
            <v>0.49</v>
          </cell>
          <cell r="AH390">
            <v>0.47</v>
          </cell>
          <cell r="AI390">
            <v>0.46</v>
          </cell>
          <cell r="AJ390">
            <v>0.44239204657199999</v>
          </cell>
          <cell r="AK390">
            <v>0.43322166612899998</v>
          </cell>
          <cell r="AL390">
            <v>0.43322166612899998</v>
          </cell>
          <cell r="AM390">
            <v>0.43322166612899998</v>
          </cell>
          <cell r="AN390">
            <v>0.43322166612899998</v>
          </cell>
          <cell r="AO390">
            <v>0.43322166612899998</v>
          </cell>
          <cell r="AP390">
            <v>0.43322166612899998</v>
          </cell>
        </row>
        <row r="391">
          <cell r="B391" t="str">
            <v>Sales - % Western Europe-Ex UK</v>
          </cell>
          <cell r="C391" t="str">
            <v>SALES_EU_EX_UK</v>
          </cell>
          <cell r="U391">
            <v>0.15737381319800001</v>
          </cell>
          <cell r="V391">
            <v>0.15737381319800001</v>
          </cell>
          <cell r="W391">
            <v>0.15737381319800001</v>
          </cell>
          <cell r="X391">
            <v>0.15737381319800001</v>
          </cell>
          <cell r="Y391">
            <v>0.14319473984200001</v>
          </cell>
          <cell r="Z391">
            <v>0.145183536187</v>
          </cell>
          <cell r="AA391">
            <v>0.14535946600899999</v>
          </cell>
          <cell r="AB391">
            <v>0.13554385003399999</v>
          </cell>
          <cell r="AC391">
            <v>0.17091571295899999</v>
          </cell>
          <cell r="AD391">
            <v>0.159875443762</v>
          </cell>
          <cell r="AE391">
            <v>0.27783769367099997</v>
          </cell>
          <cell r="AF391">
            <v>0.16071757016900001</v>
          </cell>
          <cell r="AG391">
            <v>0.139727173638</v>
          </cell>
          <cell r="AH391">
            <v>0.13523779741899999</v>
          </cell>
          <cell r="AI391">
            <v>0.14823998915100001</v>
          </cell>
          <cell r="AJ391">
            <v>0.18044189155199999</v>
          </cell>
          <cell r="AK391">
            <v>0.18044189155199999</v>
          </cell>
          <cell r="AL391">
            <v>0.18044189155199999</v>
          </cell>
          <cell r="AM391">
            <v>0.18044189155199999</v>
          </cell>
          <cell r="AN391">
            <v>0.18044189155199999</v>
          </cell>
          <cell r="AO391">
            <v>0.18044189155199999</v>
          </cell>
          <cell r="AP391">
            <v>0.18044189155199999</v>
          </cell>
        </row>
        <row r="392">
          <cell r="B392" t="str">
            <v>Sales - % Other Western Europe-Ex UK</v>
          </cell>
          <cell r="C392" t="str">
            <v>SALES_OTH_EU_EX_UK</v>
          </cell>
          <cell r="AE392">
            <v>0.12571468126499999</v>
          </cell>
        </row>
        <row r="393">
          <cell r="B393" t="str">
            <v>Sales - % Central &amp; Eastern Europe</v>
          </cell>
          <cell r="C393" t="str">
            <v>SALES_CEE</v>
          </cell>
          <cell r="AE393">
            <v>5.7540407927999998E-2</v>
          </cell>
        </row>
        <row r="394">
          <cell r="B394" t="str">
            <v>Sales - % Middle East</v>
          </cell>
          <cell r="C394" t="str">
            <v>SALES_ME</v>
          </cell>
          <cell r="AE394">
            <v>0.03</v>
          </cell>
        </row>
        <row r="395">
          <cell r="B395" t="str">
            <v>Sales - % Total Africa</v>
          </cell>
          <cell r="C395" t="str">
            <v>SALES_TOT_AFRICA</v>
          </cell>
          <cell r="U395">
            <v>4.9585053588999999E-2</v>
          </cell>
          <cell r="V395">
            <v>4.9585053588999999E-2</v>
          </cell>
          <cell r="W395">
            <v>4.9585053588999999E-2</v>
          </cell>
          <cell r="X395">
            <v>4.9585053588999999E-2</v>
          </cell>
          <cell r="Y395">
            <v>2.3756898397000001E-2</v>
          </cell>
          <cell r="Z395">
            <v>2.822609916E-2</v>
          </cell>
          <cell r="AA395">
            <v>2.9176055440000001E-2</v>
          </cell>
          <cell r="AB395">
            <v>3.3533274467000003E-2</v>
          </cell>
          <cell r="AC395">
            <v>0.06</v>
          </cell>
          <cell r="AD395">
            <v>3.5791743908000002E-2</v>
          </cell>
          <cell r="AE395">
            <v>0.06</v>
          </cell>
          <cell r="AF395">
            <v>3.3548735178E-2</v>
          </cell>
          <cell r="AG395">
            <v>7.8688055313999999E-2</v>
          </cell>
          <cell r="AH395">
            <v>7.2806202690999994E-2</v>
          </cell>
          <cell r="AI395">
            <v>3.2507410062000003E-2</v>
          </cell>
          <cell r="AJ395">
            <v>0.06</v>
          </cell>
          <cell r="AK395">
            <v>0.06</v>
          </cell>
          <cell r="AL395">
            <v>0.06</v>
          </cell>
          <cell r="AM395">
            <v>0.06</v>
          </cell>
          <cell r="AN395">
            <v>0.06</v>
          </cell>
          <cell r="AO395">
            <v>0.06</v>
          </cell>
          <cell r="AP395">
            <v>0.06</v>
          </cell>
        </row>
        <row r="396">
          <cell r="B396" t="str">
            <v>Sales - % Other EMEA</v>
          </cell>
          <cell r="C396" t="str">
            <v>SALES_OTH_EMEA</v>
          </cell>
          <cell r="U396">
            <v>0.235032175835</v>
          </cell>
          <cell r="V396">
            <v>0.235032175835</v>
          </cell>
          <cell r="W396">
            <v>0.235032175835</v>
          </cell>
          <cell r="X396">
            <v>0.235032175835</v>
          </cell>
          <cell r="Y396">
            <v>0.27396902335399997</v>
          </cell>
          <cell r="Z396">
            <v>0.25206178084999997</v>
          </cell>
          <cell r="AA396">
            <v>0.25334807193600001</v>
          </cell>
          <cell r="AB396">
            <v>0.219147560617</v>
          </cell>
          <cell r="AC396">
            <v>0.212807011953</v>
          </cell>
          <cell r="AD396">
            <v>0.2112919747</v>
          </cell>
          <cell r="AE396">
            <v>3.67719357E-4</v>
          </cell>
          <cell r="AF396">
            <v>0.23158072816200001</v>
          </cell>
          <cell r="AG396">
            <v>0.20468836359199999</v>
          </cell>
          <cell r="AH396">
            <v>0.20565903593400001</v>
          </cell>
          <cell r="AI396">
            <v>0.196259904299</v>
          </cell>
          <cell r="AJ396">
            <v>0.11895745853299999</v>
          </cell>
          <cell r="AK396">
            <v>0.109787078089</v>
          </cell>
          <cell r="AL396">
            <v>0.109787078089</v>
          </cell>
          <cell r="AM396">
            <v>0.109787078089</v>
          </cell>
          <cell r="AN396">
            <v>0.109787078089</v>
          </cell>
          <cell r="AO396">
            <v>0.109787078089</v>
          </cell>
          <cell r="AP396">
            <v>0.109787078089</v>
          </cell>
        </row>
        <row r="397">
          <cell r="B397" t="str">
            <v>Sales - Total % Asia (incl Australia &amp; New Zealand)</v>
          </cell>
          <cell r="C397" t="str">
            <v>SALES_TOT_ASIA</v>
          </cell>
          <cell r="U397">
            <v>0.27706422018299998</v>
          </cell>
          <cell r="V397">
            <v>0.27706422018299998</v>
          </cell>
          <cell r="W397">
            <v>0.27706422018299998</v>
          </cell>
          <cell r="X397">
            <v>0.27706422018299998</v>
          </cell>
          <cell r="Y397">
            <v>0.27706422018299998</v>
          </cell>
          <cell r="Z397">
            <v>0.28071385360000001</v>
          </cell>
          <cell r="AA397">
            <v>0.27060924280400001</v>
          </cell>
          <cell r="AB397">
            <v>0.29479473048499999</v>
          </cell>
          <cell r="AC397">
            <v>0.267361297193</v>
          </cell>
          <cell r="AD397">
            <v>0.25493705548099999</v>
          </cell>
          <cell r="AE397">
            <v>0.25</v>
          </cell>
          <cell r="AF397">
            <v>0.252916948832</v>
          </cell>
          <cell r="AG397">
            <v>0.26</v>
          </cell>
          <cell r="AH397">
            <v>0.27</v>
          </cell>
          <cell r="AI397">
            <v>0.26</v>
          </cell>
          <cell r="AJ397">
            <v>0.29184171845899998</v>
          </cell>
          <cell r="AK397">
            <v>0.29803035195400002</v>
          </cell>
          <cell r="AL397">
            <v>0.29803035195400002</v>
          </cell>
          <cell r="AM397">
            <v>0.29803035195400002</v>
          </cell>
          <cell r="AN397">
            <v>0.29803035195400002</v>
          </cell>
          <cell r="AO397">
            <v>0.29803035195400002</v>
          </cell>
          <cell r="AP397">
            <v>0.29803035195400002</v>
          </cell>
        </row>
        <row r="398">
          <cell r="B398" t="str">
            <v>Sales - % Other Asia</v>
          </cell>
          <cell r="C398" t="str">
            <v>SALES_OTH_AEJ</v>
          </cell>
          <cell r="U398">
            <v>0.16267246072700001</v>
          </cell>
          <cell r="V398">
            <v>0.16267246072700001</v>
          </cell>
          <cell r="W398">
            <v>0.16267246072700001</v>
          </cell>
          <cell r="X398">
            <v>0.16267246072700001</v>
          </cell>
          <cell r="Y398">
            <v>0.15812681662200001</v>
          </cell>
          <cell r="Z398">
            <v>0.16099792938499999</v>
          </cell>
          <cell r="AA398">
            <v>0.14938778113199999</v>
          </cell>
          <cell r="AB398">
            <v>0.173673030275</v>
          </cell>
          <cell r="AC398">
            <v>0.15416363800899999</v>
          </cell>
          <cell r="AD398">
            <v>0.13253709331399999</v>
          </cell>
          <cell r="AE398">
            <v>0.13253709331399999</v>
          </cell>
          <cell r="AF398">
            <v>0.12629947810799999</v>
          </cell>
          <cell r="AG398">
            <v>0.150704305988</v>
          </cell>
          <cell r="AH398">
            <v>0.16568368482500001</v>
          </cell>
          <cell r="AI398">
            <v>0.131801080997</v>
          </cell>
          <cell r="AJ398">
            <v>0.14184171845900001</v>
          </cell>
          <cell r="AK398">
            <v>0.14803035195399999</v>
          </cell>
          <cell r="AL398">
            <v>0.14803035195399999</v>
          </cell>
          <cell r="AM398">
            <v>0.14803035195399999</v>
          </cell>
          <cell r="AN398">
            <v>0.14803035195399999</v>
          </cell>
          <cell r="AO398">
            <v>0.14803035195399999</v>
          </cell>
          <cell r="AP398">
            <v>0.14803035195399999</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D430" t="str">
            <v>SEK</v>
          </cell>
          <cell r="Z430">
            <v>11229</v>
          </cell>
          <cell r="AA430">
            <v>16773.827018840599</v>
          </cell>
          <cell r="AB430">
            <v>16172</v>
          </cell>
          <cell r="AC430">
            <v>12940</v>
          </cell>
          <cell r="AD430">
            <v>10212.0000024991</v>
          </cell>
          <cell r="AE430">
            <v>10594.4</v>
          </cell>
          <cell r="AF430">
            <v>11018</v>
          </cell>
          <cell r="AG430">
            <v>14611</v>
          </cell>
          <cell r="AH430">
            <v>18590</v>
          </cell>
          <cell r="AI430">
            <v>19219</v>
          </cell>
          <cell r="AJ430">
            <v>14563</v>
          </cell>
          <cell r="AK430">
            <v>17486.400000000001</v>
          </cell>
          <cell r="AL430">
            <v>22358.163586315899</v>
          </cell>
          <cell r="AM430">
            <v>24451.637245907099</v>
          </cell>
          <cell r="AN430">
            <v>26004.178755201399</v>
          </cell>
          <cell r="AO430">
            <v>27485.235332562799</v>
          </cell>
          <cell r="AP430">
            <v>28404.128464686899</v>
          </cell>
          <cell r="AR430">
            <v>1660</v>
          </cell>
          <cell r="AS430">
            <v>1952</v>
          </cell>
          <cell r="AT430">
            <v>1887</v>
          </cell>
          <cell r="AU430">
            <v>2079</v>
          </cell>
          <cell r="AV430">
            <v>2041</v>
          </cell>
          <cell r="AW430">
            <v>2425</v>
          </cell>
          <cell r="AX430">
            <v>2261</v>
          </cell>
          <cell r="AY430">
            <v>2805</v>
          </cell>
          <cell r="AZ430">
            <v>2853</v>
          </cell>
          <cell r="BA430">
            <v>2995</v>
          </cell>
          <cell r="BB430">
            <v>2854</v>
          </cell>
          <cell r="BC430">
            <v>3365</v>
          </cell>
          <cell r="BD430">
            <v>3513</v>
          </cell>
          <cell r="BE430">
            <v>4043</v>
          </cell>
          <cell r="BF430">
            <v>3613</v>
          </cell>
          <cell r="BG430">
            <v>3775</v>
          </cell>
          <cell r="BH430">
            <v>3707</v>
          </cell>
          <cell r="BI430">
            <v>3959</v>
          </cell>
          <cell r="BJ430">
            <v>3700</v>
          </cell>
          <cell r="BK430">
            <v>2855</v>
          </cell>
          <cell r="BL430">
            <v>701</v>
          </cell>
          <cell r="BM430">
            <v>-225</v>
          </cell>
          <cell r="BN430">
            <v>231</v>
          </cell>
          <cell r="BO430">
            <v>933</v>
          </cell>
          <cell r="BP430">
            <v>1863</v>
          </cell>
          <cell r="BQ430">
            <v>3131</v>
          </cell>
          <cell r="BR430">
            <v>2732</v>
          </cell>
          <cell r="BS430">
            <v>3409</v>
          </cell>
          <cell r="BT430">
            <v>3191.0028548062601</v>
          </cell>
          <cell r="BU430">
            <v>3622.4839489913402</v>
          </cell>
          <cell r="BV430">
            <v>3495.0995523053102</v>
          </cell>
          <cell r="BW430">
            <v>3431.46908473964</v>
          </cell>
          <cell r="BX430">
            <v>3969</v>
          </cell>
          <cell r="BY430">
            <v>4430</v>
          </cell>
          <cell r="BZ430">
            <v>3421</v>
          </cell>
          <cell r="CA430">
            <v>3119</v>
          </cell>
          <cell r="CB430">
            <v>2733</v>
          </cell>
          <cell r="CC430">
            <v>3298</v>
          </cell>
          <cell r="CD430">
            <v>2621</v>
          </cell>
          <cell r="CE430">
            <v>2470</v>
          </cell>
          <cell r="CF430">
            <v>2447</v>
          </cell>
          <cell r="CG430">
            <v>2660.0002005360002</v>
          </cell>
          <cell r="CH430">
            <v>2491.9998066902999</v>
          </cell>
          <cell r="CI430">
            <v>2612.9999952727999</v>
          </cell>
          <cell r="CJ430">
            <v>2977</v>
          </cell>
          <cell r="CK430">
            <v>2977</v>
          </cell>
          <cell r="CL430">
            <v>2325</v>
          </cell>
          <cell r="CM430">
            <v>2315.4</v>
          </cell>
          <cell r="CN430">
            <v>2413</v>
          </cell>
          <cell r="CO430">
            <v>2705</v>
          </cell>
          <cell r="CP430">
            <v>2623</v>
          </cell>
          <cell r="CQ430">
            <v>3277</v>
          </cell>
          <cell r="CR430">
            <v>3494</v>
          </cell>
          <cell r="CS430">
            <v>3718</v>
          </cell>
          <cell r="CT430">
            <v>3338</v>
          </cell>
          <cell r="CU430">
            <v>4061</v>
          </cell>
          <cell r="CV430">
            <v>4271</v>
          </cell>
          <cell r="CW430">
            <v>5067</v>
          </cell>
          <cell r="CX430">
            <v>4587</v>
          </cell>
          <cell r="CY430">
            <v>4699</v>
          </cell>
          <cell r="CZ430">
            <v>4589</v>
          </cell>
          <cell r="DA430">
            <v>4979</v>
          </cell>
          <cell r="DB430">
            <v>4626</v>
          </cell>
          <cell r="DC430">
            <v>5238</v>
          </cell>
          <cell r="DD430">
            <v>3727</v>
          </cell>
          <cell r="DE430">
            <v>2837</v>
          </cell>
          <cell r="DF430">
            <v>3494</v>
          </cell>
          <cell r="DG430">
            <v>4504</v>
          </cell>
          <cell r="DH430">
            <v>3930.36</v>
          </cell>
          <cell r="DI430">
            <v>4198.4799999999996</v>
          </cell>
          <cell r="DJ430">
            <v>4429.32</v>
          </cell>
          <cell r="DK430">
            <v>4914.24</v>
          </cell>
          <cell r="DL430">
            <v>5043</v>
          </cell>
        </row>
        <row r="431">
          <cell r="B431" t="str">
            <v>Division 1 EBIT</v>
          </cell>
          <cell r="C431" t="str">
            <v>DIV1_EBIT</v>
          </cell>
          <cell r="D431" t="str">
            <v>SEK</v>
          </cell>
          <cell r="AD431">
            <v>6544</v>
          </cell>
          <cell r="AE431">
            <v>6815</v>
          </cell>
          <cell r="AF431">
            <v>6970</v>
          </cell>
          <cell r="AG431">
            <v>8465</v>
          </cell>
          <cell r="AH431">
            <v>10361</v>
          </cell>
          <cell r="AI431">
            <v>9310</v>
          </cell>
          <cell r="AJ431">
            <v>6100</v>
          </cell>
          <cell r="AK431">
            <v>8183</v>
          </cell>
          <cell r="AL431">
            <v>9602.8357574327001</v>
          </cell>
          <cell r="AM431">
            <v>9222.66760849395</v>
          </cell>
          <cell r="AN431">
            <v>9352.8918750336506</v>
          </cell>
          <cell r="AO431">
            <v>9415.1948355001696</v>
          </cell>
          <cell r="AP431">
            <v>8852.3811352863795</v>
          </cell>
          <cell r="CF431">
            <v>1601</v>
          </cell>
          <cell r="CG431">
            <v>1668</v>
          </cell>
          <cell r="CH431">
            <v>1537</v>
          </cell>
          <cell r="CI431">
            <v>1738</v>
          </cell>
          <cell r="CJ431">
            <v>1906</v>
          </cell>
          <cell r="CK431">
            <v>1781</v>
          </cell>
          <cell r="CL431">
            <v>1481</v>
          </cell>
          <cell r="CM431">
            <v>1647</v>
          </cell>
          <cell r="CN431">
            <v>1652</v>
          </cell>
          <cell r="CO431">
            <v>1785</v>
          </cell>
          <cell r="CP431">
            <v>1650</v>
          </cell>
          <cell r="CQ431">
            <v>1883</v>
          </cell>
          <cell r="CR431">
            <v>2068</v>
          </cell>
          <cell r="CS431">
            <v>2110</v>
          </cell>
          <cell r="CT431">
            <v>1949</v>
          </cell>
          <cell r="CU431">
            <v>2338</v>
          </cell>
          <cell r="CV431">
            <v>2538</v>
          </cell>
          <cell r="CW431">
            <v>2761</v>
          </cell>
          <cell r="CX431">
            <v>2536</v>
          </cell>
          <cell r="CY431">
            <v>2480</v>
          </cell>
          <cell r="CZ431">
            <v>2654</v>
          </cell>
          <cell r="DA431">
            <v>2483</v>
          </cell>
          <cell r="DB431">
            <v>2173</v>
          </cell>
          <cell r="DC431">
            <v>2000</v>
          </cell>
          <cell r="DD431">
            <v>2054</v>
          </cell>
          <cell r="DE431">
            <v>927</v>
          </cell>
          <cell r="DF431">
            <v>1377</v>
          </cell>
          <cell r="DG431">
            <v>1742</v>
          </cell>
          <cell r="DH431">
            <v>2078</v>
          </cell>
          <cell r="DI431">
            <v>2162</v>
          </cell>
          <cell r="DJ431">
            <v>1866</v>
          </cell>
          <cell r="DK431">
            <v>2066</v>
          </cell>
          <cell r="DL431">
            <v>2392</v>
          </cell>
        </row>
        <row r="432">
          <cell r="B432" t="str">
            <v>Division 1 Name</v>
          </cell>
          <cell r="C432" t="str">
            <v>DIV1_NAME</v>
          </cell>
          <cell r="E432" t="str">
            <v>Manufacturing and Machining Solutions</v>
          </cell>
        </row>
        <row r="433">
          <cell r="B433" t="str">
            <v>Division 1 OGS</v>
          </cell>
          <cell r="C433" t="str">
            <v>DIV1_OGS</v>
          </cell>
          <cell r="AD433">
            <v>3.5805624199999997E-2</v>
          </cell>
          <cell r="AE433">
            <v>-3.5204228900000002E-2</v>
          </cell>
          <cell r="AF433">
            <v>-2.3865884600000001E-2</v>
          </cell>
          <cell r="AG433">
            <v>0.1</v>
          </cell>
          <cell r="AH433">
            <v>0.08</v>
          </cell>
          <cell r="AI433">
            <v>-0.06</v>
          </cell>
          <cell r="AJ433">
            <v>-0.189393377</v>
          </cell>
          <cell r="AK433">
            <v>0.14000000000000001</v>
          </cell>
          <cell r="AL433">
            <v>2.4762226827000001E-2</v>
          </cell>
          <cell r="AM433">
            <v>-1.6751341469000001E-2</v>
          </cell>
          <cell r="AN433">
            <v>2.0287399689999999E-2</v>
          </cell>
          <cell r="AO433">
            <v>1.3181688552E-2</v>
          </cell>
          <cell r="AP433">
            <v>-1.8604570514E-2</v>
          </cell>
          <cell r="CF433">
            <v>4.2978443200000001E-2</v>
          </cell>
          <cell r="CG433">
            <v>3.4902214299999998E-2</v>
          </cell>
          <cell r="CH433">
            <v>4.1318485000000002E-2</v>
          </cell>
          <cell r="CI433">
            <v>2.4563942799999999E-2</v>
          </cell>
          <cell r="CJ433">
            <v>-2.8919144999999999E-3</v>
          </cell>
          <cell r="CK433">
            <v>-2.7591806199999999E-2</v>
          </cell>
          <cell r="CL433">
            <v>-5.0337972000000002E-2</v>
          </cell>
          <cell r="CM433">
            <v>-5.7685526700000003E-2</v>
          </cell>
          <cell r="CN433">
            <v>-5.8656664499999997E-2</v>
          </cell>
          <cell r="CO433">
            <v>-1.381201E-2</v>
          </cell>
          <cell r="CP433">
            <v>-3.6534820400000001E-2</v>
          </cell>
          <cell r="CQ433">
            <v>1.4920160300000001E-2</v>
          </cell>
          <cell r="CR433">
            <v>7.0000000000000007E-2</v>
          </cell>
          <cell r="CS433">
            <v>0.05</v>
          </cell>
          <cell r="CT433">
            <v>0.1</v>
          </cell>
          <cell r="CU433">
            <v>0.1</v>
          </cell>
          <cell r="CV433">
            <v>0.1</v>
          </cell>
          <cell r="CW433">
            <v>0.11</v>
          </cell>
          <cell r="CX433">
            <v>7.0000000000000007E-2</v>
          </cell>
          <cell r="CY433">
            <v>0.03</v>
          </cell>
          <cell r="CZ433">
            <v>-0.01</v>
          </cell>
          <cell r="DA433">
            <v>-0.04</v>
          </cell>
          <cell r="DB433">
            <v>-7.0000000000000007E-2</v>
          </cell>
          <cell r="DC433">
            <v>-0.1</v>
          </cell>
          <cell r="DD433">
            <v>-0.12</v>
          </cell>
          <cell r="DE433">
            <v>-0.32</v>
          </cell>
          <cell r="DF433">
            <v>-0.21</v>
          </cell>
          <cell r="DG433">
            <v>-0.1057775418</v>
          </cell>
          <cell r="DH433">
            <v>-0.03</v>
          </cell>
          <cell r="DI433">
            <v>0.33</v>
          </cell>
          <cell r="DJ433">
            <v>0.18</v>
          </cell>
          <cell r="DK433">
            <v>0.12</v>
          </cell>
          <cell r="DL433">
            <v>0.06</v>
          </cell>
        </row>
        <row r="434">
          <cell r="B434" t="str">
            <v>Division 1 Order Backlog</v>
          </cell>
          <cell r="C434" t="str">
            <v>DIV1_ORDERBACKLOG</v>
          </cell>
        </row>
        <row r="435">
          <cell r="B435" t="str">
            <v>Division 1 Order Intake</v>
          </cell>
          <cell r="C435" t="str">
            <v>DIV1_ORDERINTAKE</v>
          </cell>
          <cell r="AD435">
            <v>32568</v>
          </cell>
          <cell r="AE435">
            <v>33860</v>
          </cell>
          <cell r="AF435">
            <v>33088</v>
          </cell>
          <cell r="AG435">
            <v>36636</v>
          </cell>
          <cell r="AH435">
            <v>40720</v>
          </cell>
          <cell r="AI435">
            <v>41163</v>
          </cell>
          <cell r="AJ435">
            <v>32677</v>
          </cell>
          <cell r="AK435">
            <v>37680</v>
          </cell>
          <cell r="AL435">
            <v>44789.099784906597</v>
          </cell>
          <cell r="AM435">
            <v>45631.323470277101</v>
          </cell>
          <cell r="AN435">
            <v>47430.614808781298</v>
          </cell>
          <cell r="AO435">
            <v>49024.789881166202</v>
          </cell>
          <cell r="AP435">
            <v>49171.556563365499</v>
          </cell>
          <cell r="CF435">
            <v>8071</v>
          </cell>
          <cell r="CG435">
            <v>8148</v>
          </cell>
          <cell r="CH435">
            <v>7978</v>
          </cell>
          <cell r="CI435">
            <v>8371</v>
          </cell>
          <cell r="CJ435">
            <v>8940</v>
          </cell>
          <cell r="CK435">
            <v>8705</v>
          </cell>
          <cell r="CL435">
            <v>8099</v>
          </cell>
          <cell r="CM435">
            <v>8116</v>
          </cell>
          <cell r="CN435">
            <v>8304</v>
          </cell>
          <cell r="CO435">
            <v>8320</v>
          </cell>
          <cell r="CP435">
            <v>7776</v>
          </cell>
          <cell r="CQ435">
            <v>8688</v>
          </cell>
          <cell r="CR435">
            <v>9450</v>
          </cell>
          <cell r="CS435">
            <v>9312</v>
          </cell>
          <cell r="CT435">
            <v>8450</v>
          </cell>
          <cell r="CU435">
            <v>9424</v>
          </cell>
          <cell r="CV435">
            <v>10198</v>
          </cell>
          <cell r="CW435">
            <v>10403</v>
          </cell>
          <cell r="CX435">
            <v>10403</v>
          </cell>
          <cell r="CY435">
            <v>10357</v>
          </cell>
          <cell r="CZ435">
            <v>11105</v>
          </cell>
          <cell r="DA435">
            <v>10629</v>
          </cell>
          <cell r="DB435">
            <v>9609</v>
          </cell>
          <cell r="DC435">
            <v>9820</v>
          </cell>
          <cell r="DD435">
            <v>10124</v>
          </cell>
          <cell r="DE435">
            <v>6821</v>
          </cell>
          <cell r="DF435">
            <v>7298</v>
          </cell>
          <cell r="DG435">
            <v>8434</v>
          </cell>
          <cell r="DH435">
            <v>9379</v>
          </cell>
          <cell r="DI435">
            <v>9270</v>
          </cell>
          <cell r="DJ435">
            <v>8666</v>
          </cell>
          <cell r="DK435">
            <v>10365</v>
          </cell>
          <cell r="DL435">
            <v>11764</v>
          </cell>
        </row>
        <row r="436">
          <cell r="B436" t="str">
            <v>Division 1 Sales</v>
          </cell>
          <cell r="C436" t="str">
            <v>DIV1_REVS</v>
          </cell>
          <cell r="D436" t="str">
            <v>SEK</v>
          </cell>
          <cell r="AD436">
            <v>32099</v>
          </cell>
          <cell r="AE436">
            <v>33809</v>
          </cell>
          <cell r="AF436">
            <v>32852</v>
          </cell>
          <cell r="AG436">
            <v>35778</v>
          </cell>
          <cell r="AH436">
            <v>40757</v>
          </cell>
          <cell r="AI436">
            <v>41123</v>
          </cell>
          <cell r="AJ436">
            <v>32477</v>
          </cell>
          <cell r="AK436">
            <v>36681</v>
          </cell>
          <cell r="AL436">
            <v>43953.498028560301</v>
          </cell>
          <cell r="AM436">
            <v>44031.104667449297</v>
          </cell>
          <cell r="AN436">
            <v>45817.657905852298</v>
          </cell>
          <cell r="AO436">
            <v>47423.347268645797</v>
          </cell>
          <cell r="AP436">
            <v>47667.560157485801</v>
          </cell>
          <cell r="CF436">
            <v>7703</v>
          </cell>
          <cell r="CG436">
            <v>8006</v>
          </cell>
          <cell r="CH436">
            <v>7981</v>
          </cell>
          <cell r="CI436">
            <v>8409</v>
          </cell>
          <cell r="CJ436">
            <v>8737</v>
          </cell>
          <cell r="CK436">
            <v>8661</v>
          </cell>
          <cell r="CL436">
            <v>8159</v>
          </cell>
          <cell r="CM436">
            <v>8253</v>
          </cell>
          <cell r="CN436">
            <v>8025</v>
          </cell>
          <cell r="CO436">
            <v>8235</v>
          </cell>
          <cell r="CP436">
            <v>7859</v>
          </cell>
          <cell r="CQ436">
            <v>8734</v>
          </cell>
          <cell r="CR436">
            <v>8909</v>
          </cell>
          <cell r="CS436">
            <v>9071</v>
          </cell>
          <cell r="CT436">
            <v>8488</v>
          </cell>
          <cell r="CU436">
            <v>9310</v>
          </cell>
          <cell r="CV436">
            <v>9761</v>
          </cell>
          <cell r="CW436">
            <v>10391</v>
          </cell>
          <cell r="CX436">
            <v>10100</v>
          </cell>
          <cell r="CY436">
            <v>10406</v>
          </cell>
          <cell r="CZ436">
            <v>10679</v>
          </cell>
          <cell r="DA436">
            <v>10674</v>
          </cell>
          <cell r="DB436">
            <v>9927</v>
          </cell>
          <cell r="DC436">
            <v>9844</v>
          </cell>
          <cell r="DD436">
            <v>9766</v>
          </cell>
          <cell r="DE436">
            <v>7247</v>
          </cell>
          <cell r="DF436">
            <v>7325</v>
          </cell>
          <cell r="DG436">
            <v>8139</v>
          </cell>
          <cell r="DH436">
            <v>8782</v>
          </cell>
          <cell r="DI436">
            <v>9083</v>
          </cell>
          <cell r="DJ436">
            <v>8820</v>
          </cell>
          <cell r="DK436">
            <v>9996</v>
          </cell>
          <cell r="DL436">
            <v>10877</v>
          </cell>
        </row>
        <row r="437">
          <cell r="B437" t="str">
            <v>Division 2 EBIT</v>
          </cell>
          <cell r="C437" t="str">
            <v>DIV2_EBIT</v>
          </cell>
          <cell r="D437" t="str">
            <v>SEK</v>
          </cell>
          <cell r="AD437">
            <v>2507.0000072263001</v>
          </cell>
          <cell r="AE437">
            <v>3493</v>
          </cell>
          <cell r="AF437">
            <v>3206</v>
          </cell>
          <cell r="AG437">
            <v>5864</v>
          </cell>
          <cell r="AH437">
            <v>7542</v>
          </cell>
          <cell r="AI437">
            <v>8911</v>
          </cell>
          <cell r="AJ437">
            <v>6885</v>
          </cell>
          <cell r="AK437">
            <v>8659</v>
          </cell>
          <cell r="AL437">
            <v>11814.4496322985</v>
          </cell>
          <cell r="AM437">
            <v>14121.9154812087</v>
          </cell>
          <cell r="AN437">
            <v>15488.029862453201</v>
          </cell>
          <cell r="AO437">
            <v>16831.1369083922</v>
          </cell>
          <cell r="AP437">
            <v>18250.740249314498</v>
          </cell>
          <cell r="CF437">
            <v>646</v>
          </cell>
          <cell r="CG437">
            <v>512.00020053599997</v>
          </cell>
          <cell r="CH437">
            <v>613.99980669030003</v>
          </cell>
          <cell r="CI437">
            <v>735</v>
          </cell>
          <cell r="CJ437">
            <v>874</v>
          </cell>
          <cell r="CK437">
            <v>969</v>
          </cell>
          <cell r="CL437">
            <v>907</v>
          </cell>
          <cell r="CM437">
            <v>743</v>
          </cell>
          <cell r="CN437">
            <v>705</v>
          </cell>
          <cell r="CO437">
            <v>698</v>
          </cell>
          <cell r="CP437">
            <v>817</v>
          </cell>
          <cell r="CQ437">
            <v>986</v>
          </cell>
          <cell r="CR437">
            <v>1173</v>
          </cell>
          <cell r="CS437">
            <v>1508</v>
          </cell>
          <cell r="CT437">
            <v>1471</v>
          </cell>
          <cell r="CU437">
            <v>1712</v>
          </cell>
          <cell r="CV437">
            <v>1402</v>
          </cell>
          <cell r="CW437">
            <v>1865</v>
          </cell>
          <cell r="CX437">
            <v>1966</v>
          </cell>
          <cell r="CY437">
            <v>2238</v>
          </cell>
          <cell r="CZ437">
            <v>1817</v>
          </cell>
          <cell r="DA437">
            <v>2126</v>
          </cell>
          <cell r="DB437">
            <v>2338</v>
          </cell>
          <cell r="DC437">
            <v>2630</v>
          </cell>
          <cell r="DD437">
            <v>1453</v>
          </cell>
          <cell r="DE437">
            <v>1601</v>
          </cell>
          <cell r="DF437">
            <v>1820</v>
          </cell>
          <cell r="DG437">
            <v>2011</v>
          </cell>
          <cell r="DH437">
            <v>1676</v>
          </cell>
          <cell r="DI437">
            <v>1859</v>
          </cell>
          <cell r="DJ437">
            <v>2339</v>
          </cell>
          <cell r="DK437">
            <v>2782</v>
          </cell>
          <cell r="DL437">
            <v>2413</v>
          </cell>
        </row>
        <row r="438">
          <cell r="B438" t="str">
            <v>Division 2 Name</v>
          </cell>
          <cell r="C438" t="str">
            <v>DIV2_NAME</v>
          </cell>
          <cell r="E438" t="str">
            <v>Mining and Rock Solutions</v>
          </cell>
        </row>
        <row r="439">
          <cell r="B439" t="str">
            <v>Division 2 OGS</v>
          </cell>
          <cell r="C439" t="str">
            <v>DIV2_OGS</v>
          </cell>
          <cell r="AD439">
            <v>-0.1228764297</v>
          </cell>
          <cell r="AE439">
            <v>-3.2361643599999997E-2</v>
          </cell>
          <cell r="AF439">
            <v>-3.3627229299999999E-2</v>
          </cell>
          <cell r="AG439">
            <v>0.21</v>
          </cell>
          <cell r="AH439">
            <v>0.15</v>
          </cell>
          <cell r="AI439">
            <v>0.04</v>
          </cell>
          <cell r="AJ439">
            <v>-0.04</v>
          </cell>
          <cell r="AK439">
            <v>0.16</v>
          </cell>
          <cell r="AL439">
            <v>0.16257059075300001</v>
          </cell>
          <cell r="AM439">
            <v>0.12282410784800001</v>
          </cell>
          <cell r="AN439">
            <v>8.5000000000000006E-2</v>
          </cell>
          <cell r="AO439">
            <v>7.4999999999999997E-2</v>
          </cell>
          <cell r="AP439">
            <v>7.0000000000000007E-2</v>
          </cell>
          <cell r="CF439">
            <v>-0.15642489700000001</v>
          </cell>
          <cell r="CG439">
            <v>-0.15858431880000001</v>
          </cell>
          <cell r="CH439">
            <v>-7.2008973899999995E-2</v>
          </cell>
          <cell r="CI439">
            <v>-8.7869237599999997E-2</v>
          </cell>
          <cell r="CJ439">
            <v>-5.44430095E-2</v>
          </cell>
          <cell r="CK439">
            <v>-3.0942763700000001E-2</v>
          </cell>
          <cell r="CL439">
            <v>-1.75267297E-2</v>
          </cell>
          <cell r="CM439">
            <v>-2.3523504899999999E-2</v>
          </cell>
          <cell r="CN439">
            <v>-3.5882452500000002E-2</v>
          </cell>
          <cell r="CO439">
            <v>-4.2481762499999999E-2</v>
          </cell>
          <cell r="CP439">
            <v>-4.7038946599999999E-2</v>
          </cell>
          <cell r="CQ439">
            <v>-8.1991667999999993E-3</v>
          </cell>
          <cell r="CR439">
            <v>0.06</v>
          </cell>
          <cell r="CS439">
            <v>0.17</v>
          </cell>
          <cell r="CT439">
            <v>0.17</v>
          </cell>
          <cell r="CU439">
            <v>0.21</v>
          </cell>
          <cell r="CV439">
            <v>0.16</v>
          </cell>
          <cell r="CW439">
            <v>0.16</v>
          </cell>
          <cell r="CX439">
            <v>0.14000000000000001</v>
          </cell>
          <cell r="CY439">
            <v>0.15</v>
          </cell>
          <cell r="CZ439">
            <v>0.06</v>
          </cell>
          <cell r="DA439">
            <v>0.02</v>
          </cell>
          <cell r="DB439">
            <v>0.03</v>
          </cell>
          <cell r="DC439">
            <v>0.03</v>
          </cell>
          <cell r="DD439">
            <v>-0.02</v>
          </cell>
          <cell r="DE439">
            <v>-0.11</v>
          </cell>
          <cell r="DF439">
            <v>-0.01</v>
          </cell>
          <cell r="DG439">
            <v>-0.01</v>
          </cell>
          <cell r="DH439">
            <v>0.08</v>
          </cell>
          <cell r="DI439">
            <v>0.21</v>
          </cell>
          <cell r="DJ439">
            <v>0.12</v>
          </cell>
          <cell r="DK439">
            <v>0.2</v>
          </cell>
          <cell r="DL439">
            <v>0.13</v>
          </cell>
        </row>
        <row r="440">
          <cell r="B440" t="str">
            <v>Division 2 Order Backlog</v>
          </cell>
          <cell r="C440" t="str">
            <v>DIV2_ORDERBACKLOG</v>
          </cell>
        </row>
        <row r="441">
          <cell r="B441" t="str">
            <v>Division 2 Order Intake</v>
          </cell>
          <cell r="C441" t="str">
            <v>DIV2_ORDERINTAKE</v>
          </cell>
          <cell r="AD441">
            <v>29752</v>
          </cell>
          <cell r="AE441">
            <v>32335</v>
          </cell>
          <cell r="AF441">
            <v>31886</v>
          </cell>
          <cell r="AG441">
            <v>38973</v>
          </cell>
          <cell r="AH441">
            <v>43627</v>
          </cell>
          <cell r="AI441">
            <v>44379</v>
          </cell>
          <cell r="AJ441">
            <v>34832</v>
          </cell>
          <cell r="AK441">
            <v>47460</v>
          </cell>
          <cell r="AL441">
            <v>64749.3591308982</v>
          </cell>
          <cell r="AM441">
            <v>69929.307861370093</v>
          </cell>
          <cell r="AN441">
            <v>77621.531726120797</v>
          </cell>
          <cell r="AO441">
            <v>84607.469581471698</v>
          </cell>
          <cell r="AP441">
            <v>90529.992452174702</v>
          </cell>
          <cell r="CF441">
            <v>7176</v>
          </cell>
          <cell r="CG441">
            <v>7229</v>
          </cell>
          <cell r="CH441">
            <v>7767</v>
          </cell>
          <cell r="CI441">
            <v>7579</v>
          </cell>
          <cell r="CJ441">
            <v>8580</v>
          </cell>
          <cell r="CK441">
            <v>8757</v>
          </cell>
          <cell r="CL441">
            <v>7676</v>
          </cell>
          <cell r="CM441">
            <v>7322</v>
          </cell>
          <cell r="CN441">
            <v>7266</v>
          </cell>
          <cell r="CO441">
            <v>7539</v>
          </cell>
          <cell r="CP441">
            <v>7936</v>
          </cell>
          <cell r="CQ441">
            <v>9145</v>
          </cell>
          <cell r="CR441">
            <v>10247</v>
          </cell>
          <cell r="CS441">
            <v>9949</v>
          </cell>
          <cell r="CT441">
            <v>9191</v>
          </cell>
          <cell r="CU441">
            <v>9586</v>
          </cell>
          <cell r="CV441">
            <v>10230</v>
          </cell>
          <cell r="CW441">
            <v>11405</v>
          </cell>
          <cell r="CX441">
            <v>10047</v>
          </cell>
          <cell r="CY441">
            <v>10988</v>
          </cell>
          <cell r="CZ441">
            <v>11369</v>
          </cell>
          <cell r="DA441">
            <v>11318</v>
          </cell>
          <cell r="DB441">
            <v>11006</v>
          </cell>
          <cell r="DC441">
            <v>10686</v>
          </cell>
          <cell r="DD441">
            <v>8598</v>
          </cell>
          <cell r="DE441">
            <v>8400</v>
          </cell>
          <cell r="DF441">
            <v>8519</v>
          </cell>
          <cell r="DG441">
            <v>9314</v>
          </cell>
          <cell r="DH441">
            <v>10469</v>
          </cell>
          <cell r="DI441">
            <v>10399</v>
          </cell>
          <cell r="DJ441">
            <v>12122</v>
          </cell>
          <cell r="DK441">
            <v>14470</v>
          </cell>
          <cell r="DL441">
            <v>16060</v>
          </cell>
        </row>
        <row r="442">
          <cell r="B442" t="str">
            <v>Division 2 Sales</v>
          </cell>
          <cell r="C442" t="str">
            <v>DIV2_REVS</v>
          </cell>
          <cell r="D442" t="str">
            <v>SEK</v>
          </cell>
          <cell r="AD442">
            <v>30643</v>
          </cell>
          <cell r="AE442">
            <v>33131</v>
          </cell>
          <cell r="AF442">
            <v>31093</v>
          </cell>
          <cell r="AG442">
            <v>36547</v>
          </cell>
          <cell r="AH442">
            <v>41058</v>
          </cell>
          <cell r="AI442">
            <v>44777</v>
          </cell>
          <cell r="AJ442">
            <v>33572</v>
          </cell>
          <cell r="AK442">
            <v>41409</v>
          </cell>
          <cell r="AL442">
            <v>57815.894114435003</v>
          </cell>
          <cell r="AM442">
            <v>66073.397610763393</v>
          </cell>
          <cell r="AN442">
            <v>73011.104359893594</v>
          </cell>
          <cell r="AO442">
            <v>79947.159274083504</v>
          </cell>
          <cell r="AP442">
            <v>87142.403608751003</v>
          </cell>
          <cell r="CF442">
            <v>6975</v>
          </cell>
          <cell r="CG442">
            <v>7497</v>
          </cell>
          <cell r="CH442">
            <v>8005</v>
          </cell>
          <cell r="CI442">
            <v>8166</v>
          </cell>
          <cell r="CJ442">
            <v>8227</v>
          </cell>
          <cell r="CK442">
            <v>8561</v>
          </cell>
          <cell r="CL442">
            <v>8270</v>
          </cell>
          <cell r="CM442">
            <v>8073</v>
          </cell>
          <cell r="CN442">
            <v>7344</v>
          </cell>
          <cell r="CO442">
            <v>7540</v>
          </cell>
          <cell r="CP442">
            <v>7791</v>
          </cell>
          <cell r="CQ442">
            <v>8418</v>
          </cell>
          <cell r="CR442">
            <v>8378</v>
          </cell>
          <cell r="CS442">
            <v>9450</v>
          </cell>
          <cell r="CT442">
            <v>8987</v>
          </cell>
          <cell r="CU442">
            <v>9732</v>
          </cell>
          <cell r="CV442">
            <v>9324</v>
          </cell>
          <cell r="CW442">
            <v>10471</v>
          </cell>
          <cell r="CX442">
            <v>10406</v>
          </cell>
          <cell r="CY442">
            <v>11254</v>
          </cell>
          <cell r="CZ442">
            <v>10103</v>
          </cell>
          <cell r="DA442">
            <v>11233</v>
          </cell>
          <cell r="DB442">
            <v>11244</v>
          </cell>
          <cell r="DC442">
            <v>12197</v>
          </cell>
          <cell r="DD442">
            <v>8244</v>
          </cell>
          <cell r="DE442">
            <v>7899</v>
          </cell>
          <cell r="DF442">
            <v>8399</v>
          </cell>
          <cell r="DG442">
            <v>9031</v>
          </cell>
          <cell r="DH442">
            <v>8020</v>
          </cell>
          <cell r="DI442">
            <v>9090</v>
          </cell>
          <cell r="DJ442">
            <v>11114</v>
          </cell>
          <cell r="DK442">
            <v>13185</v>
          </cell>
          <cell r="DL442">
            <v>12029</v>
          </cell>
        </row>
        <row r="443">
          <cell r="B443" t="str">
            <v>Division 3 EBIT</v>
          </cell>
          <cell r="C443" t="str">
            <v>DIV3_EBIT</v>
          </cell>
          <cell r="D443" t="str">
            <v>SEK</v>
          </cell>
          <cell r="AA443">
            <v>1971.39690308749</v>
          </cell>
          <cell r="AB443">
            <v>1312</v>
          </cell>
          <cell r="AC443">
            <v>1270</v>
          </cell>
          <cell r="AD443">
            <v>1808.9999952728001</v>
          </cell>
          <cell r="AE443">
            <v>818</v>
          </cell>
          <cell r="AF443">
            <v>1115</v>
          </cell>
          <cell r="AG443">
            <v>674</v>
          </cell>
          <cell r="AH443">
            <v>1331</v>
          </cell>
          <cell r="AI443">
            <v>1787</v>
          </cell>
          <cell r="AJ443">
            <v>1032</v>
          </cell>
          <cell r="AK443">
            <v>1448.6</v>
          </cell>
          <cell r="AL443">
            <v>2661.6288762264198</v>
          </cell>
          <cell r="AM443">
            <v>0</v>
          </cell>
          <cell r="AN443">
            <v>0</v>
          </cell>
          <cell r="AO443">
            <v>0</v>
          </cell>
          <cell r="AP443">
            <v>0</v>
          </cell>
          <cell r="CF443">
            <v>421</v>
          </cell>
          <cell r="CG443">
            <v>647</v>
          </cell>
          <cell r="CH443">
            <v>482</v>
          </cell>
          <cell r="CI443">
            <v>258.99999527279999</v>
          </cell>
          <cell r="CJ443">
            <v>365</v>
          </cell>
          <cell r="CK443">
            <v>286</v>
          </cell>
          <cell r="CL443">
            <v>49</v>
          </cell>
          <cell r="CM443">
            <v>118</v>
          </cell>
          <cell r="CN443">
            <v>216</v>
          </cell>
          <cell r="CO443">
            <v>297</v>
          </cell>
          <cell r="CP443">
            <v>197</v>
          </cell>
          <cell r="CQ443">
            <v>404</v>
          </cell>
          <cell r="CR443">
            <v>335</v>
          </cell>
          <cell r="CS443">
            <v>189</v>
          </cell>
          <cell r="CT443">
            <v>-64</v>
          </cell>
          <cell r="CU443">
            <v>214</v>
          </cell>
          <cell r="CV443">
            <v>369</v>
          </cell>
          <cell r="CW443">
            <v>557</v>
          </cell>
          <cell r="CX443">
            <v>237</v>
          </cell>
          <cell r="CY443">
            <v>247</v>
          </cell>
          <cell r="CZ443">
            <v>307</v>
          </cell>
          <cell r="DA443">
            <v>585</v>
          </cell>
          <cell r="DB443">
            <v>236</v>
          </cell>
          <cell r="DC443">
            <v>659</v>
          </cell>
          <cell r="DD443">
            <v>139</v>
          </cell>
          <cell r="DE443">
            <v>248</v>
          </cell>
          <cell r="DF443">
            <v>116</v>
          </cell>
          <cell r="DG443">
            <v>528</v>
          </cell>
          <cell r="DH443">
            <v>337.64</v>
          </cell>
          <cell r="DI443">
            <v>368.52</v>
          </cell>
          <cell r="DJ443">
            <v>300.68</v>
          </cell>
          <cell r="DK443">
            <v>436.76</v>
          </cell>
          <cell r="DL443">
            <v>710</v>
          </cell>
        </row>
        <row r="444">
          <cell r="B444" t="str">
            <v>Division 3 Name</v>
          </cell>
          <cell r="C444" t="str">
            <v>DIV3_NAME</v>
          </cell>
          <cell r="E444" t="str">
            <v>Materials Technology</v>
          </cell>
        </row>
        <row r="445">
          <cell r="B445" t="str">
            <v>Division 3 OGS</v>
          </cell>
          <cell r="C445" t="str">
            <v>DIV3_OGS</v>
          </cell>
          <cell r="AB445">
            <v>-6.2494363743999998E-2</v>
          </cell>
          <cell r="AC445">
            <v>-5.8242759518000002E-2</v>
          </cell>
          <cell r="AD445">
            <v>5.6061258000000003E-2</v>
          </cell>
          <cell r="AE445">
            <v>-8.3731393500000001E-2</v>
          </cell>
          <cell r="AF445">
            <v>-7.3277677900000004E-2</v>
          </cell>
          <cell r="AG445">
            <v>0.1</v>
          </cell>
          <cell r="AH445">
            <v>0.12</v>
          </cell>
          <cell r="AI445">
            <v>0.03</v>
          </cell>
          <cell r="AJ445">
            <v>-9.8583032200000004E-2</v>
          </cell>
          <cell r="AK445">
            <v>-0.04</v>
          </cell>
          <cell r="AL445">
            <v>-0.123347389061</v>
          </cell>
          <cell r="AM445">
            <v>0</v>
          </cell>
          <cell r="AN445">
            <v>0</v>
          </cell>
          <cell r="AO445">
            <v>0</v>
          </cell>
          <cell r="AP445">
            <v>0</v>
          </cell>
          <cell r="CF445">
            <v>3.0246400499999999E-2</v>
          </cell>
          <cell r="CG445">
            <v>-2.81464271E-2</v>
          </cell>
          <cell r="CH445">
            <v>0.1199238346</v>
          </cell>
          <cell r="CI445">
            <v>0.1192088791</v>
          </cell>
          <cell r="CJ445">
            <v>5.5406342999999997E-3</v>
          </cell>
          <cell r="CK445">
            <v>-8.0723397799999999E-2</v>
          </cell>
          <cell r="CL445">
            <v>-0.13467414999999999</v>
          </cell>
          <cell r="CM445">
            <v>-0.1219500463</v>
          </cell>
          <cell r="CN445">
            <v>-0.1242088737</v>
          </cell>
          <cell r="CO445">
            <v>-5.5518351600000002E-2</v>
          </cell>
          <cell r="CP445">
            <v>-7.2268811200000005E-2</v>
          </cell>
          <cell r="CQ445">
            <v>-3.7594705899999997E-2</v>
          </cell>
          <cell r="CR445">
            <v>-0.01</v>
          </cell>
          <cell r="CS445">
            <v>7.0000000000000007E-2</v>
          </cell>
          <cell r="CT445">
            <v>0.03</v>
          </cell>
          <cell r="CU445">
            <v>0.1</v>
          </cell>
          <cell r="CV445">
            <v>0.18</v>
          </cell>
          <cell r="CW445">
            <v>7.0000000000000007E-2</v>
          </cell>
          <cell r="CX445">
            <v>0.16</v>
          </cell>
          <cell r="CY445">
            <v>0.1</v>
          </cell>
          <cell r="CZ445">
            <v>0.04</v>
          </cell>
          <cell r="DA445">
            <v>0.03</v>
          </cell>
          <cell r="DB445">
            <v>0.03</v>
          </cell>
          <cell r="DC445">
            <v>0.01</v>
          </cell>
          <cell r="DD445">
            <v>-0.03</v>
          </cell>
          <cell r="DE445">
            <v>-0.13</v>
          </cell>
          <cell r="DF445">
            <v>-0.13</v>
          </cell>
          <cell r="DG445">
            <v>-0.1035288118</v>
          </cell>
          <cell r="DH445">
            <v>-0.13</v>
          </cell>
          <cell r="DI445">
            <v>-0.04</v>
          </cell>
          <cell r="DJ445">
            <v>0.01</v>
          </cell>
          <cell r="DK445">
            <v>0.01</v>
          </cell>
          <cell r="DL445">
            <v>0.12</v>
          </cell>
        </row>
        <row r="446">
          <cell r="B446" t="str">
            <v>Division 3 Order Backlog</v>
          </cell>
          <cell r="C446" t="str">
            <v>DIV3_ORDERBACKLOG</v>
          </cell>
        </row>
        <row r="447">
          <cell r="B447" t="str">
            <v>Division 3 Order Intake</v>
          </cell>
          <cell r="C447" t="str">
            <v>DIV3_ORDERINTAKE</v>
          </cell>
          <cell r="W447">
            <v>20808.839315835899</v>
          </cell>
          <cell r="X447">
            <v>19325.153875549498</v>
          </cell>
          <cell r="Y447">
            <v>14513.7087481654</v>
          </cell>
          <cell r="Z447">
            <v>18665.0775985527</v>
          </cell>
          <cell r="AA447">
            <v>16349.9102589184</v>
          </cell>
          <cell r="AB447">
            <v>14708</v>
          </cell>
          <cell r="AC447">
            <v>13415</v>
          </cell>
          <cell r="AD447">
            <v>14713</v>
          </cell>
          <cell r="AE447">
            <v>12625</v>
          </cell>
          <cell r="AF447">
            <v>12036</v>
          </cell>
          <cell r="AG447">
            <v>14739</v>
          </cell>
          <cell r="AH447">
            <v>16272</v>
          </cell>
          <cell r="AI447">
            <v>16475</v>
          </cell>
          <cell r="AJ447">
            <v>11910</v>
          </cell>
          <cell r="AK447">
            <v>15234</v>
          </cell>
          <cell r="AL447">
            <v>15522.3704572804</v>
          </cell>
          <cell r="AM447">
            <v>0</v>
          </cell>
          <cell r="AN447">
            <v>0</v>
          </cell>
          <cell r="AO447">
            <v>0</v>
          </cell>
          <cell r="AP447">
            <v>0</v>
          </cell>
          <cell r="CF447">
            <v>4633</v>
          </cell>
          <cell r="CG447">
            <v>3449</v>
          </cell>
          <cell r="CH447">
            <v>3335</v>
          </cell>
          <cell r="CI447">
            <v>3296</v>
          </cell>
          <cell r="CJ447">
            <v>3725</v>
          </cell>
          <cell r="CK447">
            <v>3054</v>
          </cell>
          <cell r="CL447">
            <v>2847</v>
          </cell>
          <cell r="CM447">
            <v>2999</v>
          </cell>
          <cell r="CN447">
            <v>3488</v>
          </cell>
          <cell r="CO447">
            <v>2753</v>
          </cell>
          <cell r="CP447">
            <v>2851</v>
          </cell>
          <cell r="CQ447">
            <v>2943</v>
          </cell>
          <cell r="CR447">
            <v>3746</v>
          </cell>
          <cell r="CS447">
            <v>3985</v>
          </cell>
          <cell r="CT447">
            <v>3045</v>
          </cell>
          <cell r="CU447">
            <v>3963</v>
          </cell>
          <cell r="CV447">
            <v>4024</v>
          </cell>
          <cell r="CW447">
            <v>4550</v>
          </cell>
          <cell r="CX447">
            <v>3677</v>
          </cell>
          <cell r="CY447">
            <v>3817</v>
          </cell>
          <cell r="CZ447">
            <v>4930</v>
          </cell>
          <cell r="DA447">
            <v>3535</v>
          </cell>
          <cell r="DB447">
            <v>3867</v>
          </cell>
          <cell r="DC447">
            <v>4143</v>
          </cell>
          <cell r="DD447">
            <v>4365</v>
          </cell>
          <cell r="DE447">
            <v>2377</v>
          </cell>
          <cell r="DF447">
            <v>2477</v>
          </cell>
          <cell r="DG447">
            <v>2691</v>
          </cell>
          <cell r="DH447">
            <v>3641</v>
          </cell>
          <cell r="DI447">
            <v>4041</v>
          </cell>
          <cell r="DJ447">
            <v>3422</v>
          </cell>
          <cell r="DK447">
            <v>4130</v>
          </cell>
          <cell r="DL447">
            <v>5858</v>
          </cell>
        </row>
        <row r="448">
          <cell r="B448" t="str">
            <v>Division 3 Sales</v>
          </cell>
          <cell r="C448" t="str">
            <v>DIV3_REVS</v>
          </cell>
          <cell r="D448" t="str">
            <v>SEK</v>
          </cell>
          <cell r="AA448">
            <v>16338</v>
          </cell>
          <cell r="AB448">
            <v>15366</v>
          </cell>
          <cell r="AC448">
            <v>14035</v>
          </cell>
          <cell r="AD448">
            <v>14906</v>
          </cell>
          <cell r="AE448">
            <v>13909</v>
          </cell>
          <cell r="AF448">
            <v>12931</v>
          </cell>
          <cell r="AG448">
            <v>13643</v>
          </cell>
          <cell r="AH448">
            <v>14697</v>
          </cell>
          <cell r="AI448">
            <v>15279</v>
          </cell>
          <cell r="AJ448">
            <v>13598</v>
          </cell>
          <cell r="AK448">
            <v>13405</v>
          </cell>
          <cell r="AL448">
            <v>12606.023761659</v>
          </cell>
          <cell r="AM448">
            <v>0</v>
          </cell>
          <cell r="AN448">
            <v>0</v>
          </cell>
          <cell r="AO448">
            <v>0</v>
          </cell>
          <cell r="AP448">
            <v>0</v>
          </cell>
          <cell r="CF448">
            <v>3547</v>
          </cell>
          <cell r="CG448">
            <v>3866</v>
          </cell>
          <cell r="CH448">
            <v>3735</v>
          </cell>
          <cell r="CI448">
            <v>3758</v>
          </cell>
          <cell r="CJ448">
            <v>3712</v>
          </cell>
          <cell r="CK448">
            <v>3639</v>
          </cell>
          <cell r="CL448">
            <v>3161</v>
          </cell>
          <cell r="CM448">
            <v>3398</v>
          </cell>
          <cell r="CN448">
            <v>3231</v>
          </cell>
          <cell r="CO448">
            <v>3389</v>
          </cell>
          <cell r="CP448">
            <v>2945</v>
          </cell>
          <cell r="CQ448">
            <v>3366</v>
          </cell>
          <cell r="CR448">
            <v>3275</v>
          </cell>
          <cell r="CS448">
            <v>3755</v>
          </cell>
          <cell r="CT448">
            <v>2980</v>
          </cell>
          <cell r="CU448">
            <v>3633</v>
          </cell>
          <cell r="CV448">
            <v>3738</v>
          </cell>
          <cell r="CW448">
            <v>3871</v>
          </cell>
          <cell r="CX448">
            <v>3344</v>
          </cell>
          <cell r="CY448">
            <v>3842</v>
          </cell>
          <cell r="CZ448">
            <v>3773</v>
          </cell>
          <cell r="DA448">
            <v>4011</v>
          </cell>
          <cell r="DB448">
            <v>3482</v>
          </cell>
          <cell r="DC448">
            <v>4013</v>
          </cell>
          <cell r="DD448">
            <v>3782</v>
          </cell>
          <cell r="DE448">
            <v>3495</v>
          </cell>
          <cell r="DF448">
            <v>2886</v>
          </cell>
          <cell r="DG448">
            <v>3435</v>
          </cell>
          <cell r="DH448">
            <v>3162</v>
          </cell>
          <cell r="DI448">
            <v>3324</v>
          </cell>
          <cell r="DJ448">
            <v>3101</v>
          </cell>
          <cell r="DK448">
            <v>3818</v>
          </cell>
          <cell r="DL448">
            <v>4084</v>
          </cell>
        </row>
        <row r="449">
          <cell r="B449" t="str">
            <v>Division 4 EBIT</v>
          </cell>
          <cell r="C449" t="str">
            <v>DIV4_EBIT</v>
          </cell>
          <cell r="D449" t="str">
            <v>SEK</v>
          </cell>
          <cell r="AA449">
            <v>2530.1772171882999</v>
          </cell>
          <cell r="AB449">
            <v>289</v>
          </cell>
          <cell r="AC449">
            <v>905</v>
          </cell>
          <cell r="AD449">
            <v>-1250</v>
          </cell>
          <cell r="AE449">
            <v>-1059.5999999999999</v>
          </cell>
          <cell r="AF449">
            <v>-818</v>
          </cell>
          <cell r="AG449">
            <v>-774</v>
          </cell>
          <cell r="AH449">
            <v>-685</v>
          </cell>
          <cell r="AI449">
            <v>-649</v>
          </cell>
          <cell r="AJ449">
            <v>-461</v>
          </cell>
          <cell r="AK449">
            <v>-610.6</v>
          </cell>
          <cell r="AL449">
            <v>-610.6</v>
          </cell>
          <cell r="AM449">
            <v>-635.6</v>
          </cell>
          <cell r="AN449">
            <v>-685.6</v>
          </cell>
          <cell r="AO449">
            <v>-710.6</v>
          </cell>
          <cell r="AP449">
            <v>-710.6</v>
          </cell>
          <cell r="CF449">
            <v>-333</v>
          </cell>
          <cell r="CG449">
            <v>-342</v>
          </cell>
          <cell r="CH449">
            <v>-263</v>
          </cell>
          <cell r="CI449">
            <v>-312</v>
          </cell>
          <cell r="CJ449">
            <v>-305</v>
          </cell>
          <cell r="CK449">
            <v>-231</v>
          </cell>
          <cell r="CL449">
            <v>-220</v>
          </cell>
          <cell r="CM449">
            <v>-303.60000000000002</v>
          </cell>
          <cell r="CN449">
            <v>-254</v>
          </cell>
          <cell r="CO449">
            <v>-216</v>
          </cell>
          <cell r="CP449">
            <v>-154</v>
          </cell>
          <cell r="CQ449">
            <v>-193</v>
          </cell>
          <cell r="CR449">
            <v>-208</v>
          </cell>
          <cell r="CS449">
            <v>-212</v>
          </cell>
          <cell r="CT449">
            <v>-143</v>
          </cell>
          <cell r="CU449">
            <v>-211</v>
          </cell>
          <cell r="CV449">
            <v>-140</v>
          </cell>
          <cell r="CW449">
            <v>-188</v>
          </cell>
          <cell r="CX449">
            <v>-118</v>
          </cell>
          <cell r="CY449">
            <v>-238</v>
          </cell>
          <cell r="CZ449">
            <v>-166</v>
          </cell>
          <cell r="DA449">
            <v>-311</v>
          </cell>
          <cell r="DB449">
            <v>-121</v>
          </cell>
          <cell r="DC449">
            <v>-51</v>
          </cell>
          <cell r="DD449">
            <v>-138</v>
          </cell>
          <cell r="DE449">
            <v>-129</v>
          </cell>
          <cell r="DF449">
            <v>-82</v>
          </cell>
          <cell r="DG449">
            <v>-112</v>
          </cell>
          <cell r="DH449">
            <v>-106.64</v>
          </cell>
          <cell r="DI449">
            <v>-156.52000000000001</v>
          </cell>
          <cell r="DJ449">
            <v>-75.680000000000007</v>
          </cell>
          <cell r="DK449">
            <v>-271.76</v>
          </cell>
          <cell r="DL449">
            <v>-82</v>
          </cell>
        </row>
        <row r="450">
          <cell r="B450" t="str">
            <v>Division 4 Name</v>
          </cell>
          <cell r="C450" t="str">
            <v>DIV4_NAME</v>
          </cell>
          <cell r="E450" t="str">
            <v>Other</v>
          </cell>
        </row>
        <row r="451">
          <cell r="B451" t="str">
            <v>Division 4 OGS</v>
          </cell>
          <cell r="C451" t="str">
            <v>DIV4_OGS</v>
          </cell>
        </row>
        <row r="452">
          <cell r="B452" t="str">
            <v>Division 4 Order Backlog</v>
          </cell>
          <cell r="C452" t="str">
            <v>DIV4_ORDERBACKLOG</v>
          </cell>
        </row>
        <row r="453">
          <cell r="B453" t="str">
            <v>Division 4 Order Intake</v>
          </cell>
          <cell r="C453" t="str">
            <v>DIV4_ORDERINTAKE</v>
          </cell>
        </row>
        <row r="454">
          <cell r="B454" t="str">
            <v>Division 4 Sales</v>
          </cell>
          <cell r="C454" t="str">
            <v>DIV4_REVS</v>
          </cell>
          <cell r="D454" t="str">
            <v>SEK</v>
          </cell>
        </row>
        <row r="455">
          <cell r="B455" t="str">
            <v>Division 5 EBIT</v>
          </cell>
          <cell r="C455" t="str">
            <v>DIV5_EBIT</v>
          </cell>
          <cell r="D455" t="str">
            <v>SEK</v>
          </cell>
          <cell r="AJ455">
            <v>1038</v>
          </cell>
          <cell r="AK455">
            <v>1255</v>
          </cell>
          <cell r="AL455">
            <v>1551.4781965847601</v>
          </cell>
          <cell r="AM455">
            <v>1742.6541562044499</v>
          </cell>
          <cell r="AN455">
            <v>1848.85701771451</v>
          </cell>
          <cell r="AO455">
            <v>1949.50358867044</v>
          </cell>
          <cell r="AP455">
            <v>2011.60708008596</v>
          </cell>
          <cell r="DD455">
            <v>208</v>
          </cell>
          <cell r="DE455">
            <v>232</v>
          </cell>
          <cell r="DF455">
            <v>263</v>
          </cell>
          <cell r="DG455">
            <v>335</v>
          </cell>
          <cell r="DH455">
            <v>283</v>
          </cell>
          <cell r="DI455">
            <v>334</v>
          </cell>
          <cell r="DJ455">
            <v>300</v>
          </cell>
          <cell r="DK455">
            <v>338</v>
          </cell>
          <cell r="DL455">
            <v>320</v>
          </cell>
        </row>
        <row r="456">
          <cell r="B456" t="str">
            <v>Division 5 Name</v>
          </cell>
          <cell r="C456" t="str">
            <v>DIV5_NAME</v>
          </cell>
          <cell r="E456" t="str">
            <v>Rock Processing Solutions</v>
          </cell>
        </row>
        <row r="457">
          <cell r="B457" t="str">
            <v>Division 5 OGS</v>
          </cell>
          <cell r="C457" t="str">
            <v>DIV5_OGS</v>
          </cell>
          <cell r="AJ457">
            <v>-0.09</v>
          </cell>
          <cell r="AK457">
            <v>0.19</v>
          </cell>
          <cell r="AL457">
            <v>9.8339482975999995E-2</v>
          </cell>
          <cell r="AM457">
            <v>0.104524496387</v>
          </cell>
          <cell r="AN457">
            <v>5.5E-2</v>
          </cell>
          <cell r="AO457">
            <v>0.05</v>
          </cell>
          <cell r="AP457">
            <v>0.03</v>
          </cell>
          <cell r="DD457">
            <v>-0.15</v>
          </cell>
          <cell r="DE457">
            <v>-0.16</v>
          </cell>
          <cell r="DF457">
            <v>-0.06</v>
          </cell>
          <cell r="DG457">
            <v>0</v>
          </cell>
          <cell r="DH457">
            <v>0.19</v>
          </cell>
          <cell r="DI457">
            <v>0.28999999999999998</v>
          </cell>
          <cell r="DJ457">
            <v>0.12</v>
          </cell>
          <cell r="DK457">
            <v>0.15</v>
          </cell>
          <cell r="DL457">
            <v>0.05</v>
          </cell>
        </row>
        <row r="458">
          <cell r="B458" t="str">
            <v>Division 5 Order Backlog</v>
          </cell>
          <cell r="C458" t="str">
            <v>DIV5_ORDERBACKLOG</v>
          </cell>
        </row>
        <row r="459">
          <cell r="B459" t="str">
            <v>Division 5 Order Intake</v>
          </cell>
          <cell r="C459" t="str">
            <v>DIV5_ORDERINTAKE</v>
          </cell>
          <cell r="AJ459">
            <v>6571</v>
          </cell>
          <cell r="AK459">
            <v>8524</v>
          </cell>
          <cell r="AL459">
            <v>9738.6291295692299</v>
          </cell>
          <cell r="AM459">
            <v>10712.492042526101</v>
          </cell>
          <cell r="AN459">
            <v>11569.4914059282</v>
          </cell>
          <cell r="AO459">
            <v>12379.3558043432</v>
          </cell>
          <cell r="AP459">
            <v>12998.323594560399</v>
          </cell>
          <cell r="DD459">
            <v>1973</v>
          </cell>
          <cell r="DE459">
            <v>1373</v>
          </cell>
          <cell r="DF459">
            <v>1614</v>
          </cell>
          <cell r="DG459">
            <v>1612</v>
          </cell>
          <cell r="DH459">
            <v>2358</v>
          </cell>
          <cell r="DI459">
            <v>2147</v>
          </cell>
          <cell r="DJ459">
            <v>2082</v>
          </cell>
          <cell r="DK459">
            <v>1937</v>
          </cell>
          <cell r="DL459">
            <v>2650</v>
          </cell>
        </row>
        <row r="460">
          <cell r="B460" t="str">
            <v>Division 5 Sales</v>
          </cell>
          <cell r="C460" t="str">
            <v>DIV5_REVS</v>
          </cell>
          <cell r="D460" t="str">
            <v>SEK</v>
          </cell>
          <cell r="AJ460">
            <v>6459</v>
          </cell>
          <cell r="AK460">
            <v>7610</v>
          </cell>
          <cell r="AL460">
            <v>9373.8891424042304</v>
          </cell>
          <cell r="AM460">
            <v>10541.1679670515</v>
          </cell>
          <cell r="AN460">
            <v>11331.7555645804</v>
          </cell>
          <cell r="AO460">
            <v>12124.978454100999</v>
          </cell>
          <cell r="AP460">
            <v>12731.2273768061</v>
          </cell>
          <cell r="DD460">
            <v>1531</v>
          </cell>
          <cell r="DE460">
            <v>1590</v>
          </cell>
          <cell r="DF460">
            <v>1536</v>
          </cell>
          <cell r="DG460">
            <v>1802</v>
          </cell>
          <cell r="DH460">
            <v>1727</v>
          </cell>
          <cell r="DI460">
            <v>1964</v>
          </cell>
          <cell r="DJ460">
            <v>1790</v>
          </cell>
          <cell r="DK460">
            <v>2129</v>
          </cell>
          <cell r="DL460">
            <v>2016</v>
          </cell>
        </row>
        <row r="461">
          <cell r="B461" t="str">
            <v>Division 6 EBIT</v>
          </cell>
          <cell r="C461" t="str">
            <v>DIV6_EBIT</v>
          </cell>
          <cell r="D461" t="str">
            <v>SEK</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row>
        <row r="466">
          <cell r="B466" t="str">
            <v>Division 6 Sales</v>
          </cell>
          <cell r="C466" t="str">
            <v>DIV6_REVS</v>
          </cell>
          <cell r="D466" t="str">
            <v>SEK</v>
          </cell>
        </row>
        <row r="467">
          <cell r="B467" t="str">
            <v>Group order backlog</v>
          </cell>
          <cell r="C467" t="str">
            <v>GROUP_ORDERBACKLOG</v>
          </cell>
        </row>
        <row r="468">
          <cell r="B468" t="str">
            <v>Group order intake</v>
          </cell>
          <cell r="C468" t="str">
            <v>GROUP_ORDERINTAKE</v>
          </cell>
          <cell r="R468">
            <v>50230</v>
          </cell>
          <cell r="S468">
            <v>49830</v>
          </cell>
          <cell r="T468">
            <v>56500</v>
          </cell>
          <cell r="U468">
            <v>66186</v>
          </cell>
          <cell r="V468">
            <v>77708</v>
          </cell>
          <cell r="W468">
            <v>92059</v>
          </cell>
          <cell r="X468">
            <v>92610</v>
          </cell>
          <cell r="Y468">
            <v>71285</v>
          </cell>
          <cell r="Z468">
            <v>93285</v>
          </cell>
          <cell r="AA468">
            <v>99076</v>
          </cell>
          <cell r="AB468">
            <v>83240</v>
          </cell>
          <cell r="AC468">
            <v>70657</v>
          </cell>
          <cell r="AD468">
            <v>82057</v>
          </cell>
          <cell r="AE468">
            <v>83597</v>
          </cell>
          <cell r="AF468">
            <v>81861</v>
          </cell>
          <cell r="AG468">
            <v>95444</v>
          </cell>
          <cell r="AH468">
            <v>102510</v>
          </cell>
          <cell r="AI468">
            <v>104076</v>
          </cell>
          <cell r="AJ468">
            <v>86287</v>
          </cell>
          <cell r="AK468">
            <v>93664</v>
          </cell>
          <cell r="AL468">
            <v>119277.088045374</v>
          </cell>
          <cell r="AM468">
            <v>126273.123374173</v>
          </cell>
          <cell r="AN468">
            <v>136621.63794083</v>
          </cell>
          <cell r="AO468">
            <v>146011.61526698101</v>
          </cell>
          <cell r="AP468">
            <v>152699.87261010101</v>
          </cell>
          <cell r="CJ468">
            <v>22570</v>
          </cell>
          <cell r="CK468">
            <v>21762</v>
          </cell>
          <cell r="CL468">
            <v>19721</v>
          </cell>
          <cell r="CM468">
            <v>19526</v>
          </cell>
          <cell r="CN468">
            <v>20294</v>
          </cell>
          <cell r="CO468">
            <v>19863</v>
          </cell>
          <cell r="CP468">
            <v>19695</v>
          </cell>
          <cell r="CQ468">
            <v>21987</v>
          </cell>
          <cell r="CR468">
            <v>25426</v>
          </cell>
          <cell r="CS468">
            <v>24940</v>
          </cell>
          <cell r="CT468">
            <v>22173</v>
          </cell>
          <cell r="CU468">
            <v>24204</v>
          </cell>
          <cell r="CV468">
            <v>25476</v>
          </cell>
          <cell r="CW468">
            <v>27282</v>
          </cell>
          <cell r="CX468">
            <v>24559</v>
          </cell>
          <cell r="CY468">
            <v>25624</v>
          </cell>
          <cell r="CZ468">
            <v>27914</v>
          </cell>
          <cell r="DA468">
            <v>26057</v>
          </cell>
          <cell r="DB468">
            <v>24997</v>
          </cell>
          <cell r="DC468">
            <v>25178</v>
          </cell>
          <cell r="DD468">
            <v>25357</v>
          </cell>
          <cell r="DE468">
            <v>18971</v>
          </cell>
          <cell r="DF468">
            <v>19908</v>
          </cell>
          <cell r="DG468">
            <v>22051</v>
          </cell>
          <cell r="DH468">
            <v>25847</v>
          </cell>
          <cell r="DI468">
            <v>25857</v>
          </cell>
          <cell r="DJ468">
            <v>26292</v>
          </cell>
          <cell r="DK468">
            <v>30902</v>
          </cell>
          <cell r="DL468">
            <v>30474</v>
          </cell>
        </row>
        <row r="469">
          <cell r="B469" t="str">
            <v>Group organic sales growth</v>
          </cell>
          <cell r="C469" t="str">
            <v>GROUP_OGS</v>
          </cell>
          <cell r="M469">
            <v>0.04</v>
          </cell>
          <cell r="N469">
            <v>0.01</v>
          </cell>
          <cell r="O469">
            <v>-0.08</v>
          </cell>
          <cell r="P469">
            <v>0.12</v>
          </cell>
          <cell r="Q469">
            <v>0.03</v>
          </cell>
          <cell r="R469">
            <v>-7.0000000000000007E-2</v>
          </cell>
          <cell r="S469">
            <v>0.05</v>
          </cell>
          <cell r="T469">
            <v>0.15</v>
          </cell>
          <cell r="U469">
            <v>0.14000000000000001</v>
          </cell>
          <cell r="V469">
            <v>0.14000000000000001</v>
          </cell>
          <cell r="W469">
            <v>0.18</v>
          </cell>
          <cell r="X469">
            <v>0.05</v>
          </cell>
          <cell r="Y469">
            <v>-0.26</v>
          </cell>
          <cell r="Z469">
            <v>0.169316949011</v>
          </cell>
          <cell r="AA469">
            <v>0.20284496040399999</v>
          </cell>
          <cell r="AB469">
            <v>5.1735321012999998E-2</v>
          </cell>
          <cell r="AC469">
            <v>-5.8935237341E-2</v>
          </cell>
          <cell r="AD469">
            <v>-2.34589547E-2</v>
          </cell>
          <cell r="AE469">
            <v>-4.3398136975000001E-2</v>
          </cell>
          <cell r="AF469">
            <v>-3.6366617376999998E-2</v>
          </cell>
          <cell r="AG469">
            <v>0.14449021801299999</v>
          </cell>
          <cell r="AH469">
            <v>0.116106574539</v>
          </cell>
          <cell r="AI469">
            <v>-3.7527975799999998E-3</v>
          </cell>
          <cell r="AJ469">
            <v>-0.110875153</v>
          </cell>
          <cell r="AK469">
            <v>0.15371421084600001</v>
          </cell>
          <cell r="AL469">
            <v>9.7882757294999997E-2</v>
          </cell>
          <cell r="AM469">
            <v>6.6083226233999995E-2</v>
          </cell>
          <cell r="AN469">
            <v>5.8761161009000001E-2</v>
          </cell>
          <cell r="AO469">
            <v>5.1062909189E-2</v>
          </cell>
          <cell r="AP469">
            <v>3.6400887775000002E-2</v>
          </cell>
          <cell r="CF469">
            <v>-4.2469434100000002E-2</v>
          </cell>
          <cell r="CG469">
            <v>-5.3426065699999997E-2</v>
          </cell>
          <cell r="CH469">
            <v>1.04187849E-2</v>
          </cell>
          <cell r="CI469">
            <v>-2.8932317999999999E-3</v>
          </cell>
          <cell r="CJ469">
            <v>-1.7717918400000001E-2</v>
          </cell>
          <cell r="CK469">
            <v>-4.0770021500000003E-2</v>
          </cell>
          <cell r="CL469">
            <v>-5.5667872E-2</v>
          </cell>
          <cell r="CM469">
            <v>-5.5843151971000003E-2</v>
          </cell>
          <cell r="CN469">
            <v>-6.1363491663000001E-2</v>
          </cell>
          <cell r="CO469">
            <v>-3.2852857908999999E-2</v>
          </cell>
          <cell r="CP469">
            <v>-4.6735140389E-2</v>
          </cell>
          <cell r="CQ469">
            <v>-3.5896674750000002E-3</v>
          </cell>
          <cell r="CR469">
            <v>5.2154838709999998E-2</v>
          </cell>
          <cell r="CS469">
            <v>0.09</v>
          </cell>
          <cell r="CT469">
            <v>0.12</v>
          </cell>
          <cell r="CU469">
            <v>0.15</v>
          </cell>
          <cell r="CV469">
            <v>0.14000000000000001</v>
          </cell>
          <cell r="CW469">
            <v>0.124468486263</v>
          </cell>
          <cell r="CX469">
            <v>0.113866536299</v>
          </cell>
          <cell r="CY469">
            <v>9.2718853362999995E-2</v>
          </cell>
          <cell r="CZ469">
            <v>2.6786574946000001E-2</v>
          </cell>
          <cell r="DA469">
            <v>-3.642501921E-3</v>
          </cell>
          <cell r="DB469">
            <v>-1.2348008386E-2</v>
          </cell>
          <cell r="DC469">
            <v>-2.6059132616999998E-2</v>
          </cell>
          <cell r="DD469">
            <v>-7.0000000000000007E-2</v>
          </cell>
          <cell r="DE469">
            <v>-0.203915039741</v>
          </cell>
          <cell r="DF469">
            <v>-0.11074171820000001</v>
          </cell>
          <cell r="DG469">
            <v>-5.8531726200000002E-2</v>
          </cell>
          <cell r="DH469">
            <v>3.3643621104000002E-2</v>
          </cell>
          <cell r="DI469">
            <v>0.26956261950299998</v>
          </cell>
          <cell r="DJ469">
            <v>0.14546349942100001</v>
          </cell>
          <cell r="DK469">
            <v>0.160930845456</v>
          </cell>
          <cell r="DL469">
            <v>8.9366398617999998E-2</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cell r="AE472">
            <v>-6.464715E-2</v>
          </cell>
          <cell r="AF472">
            <v>-1.0572820064E-2</v>
          </cell>
          <cell r="AG472">
            <v>0.145160953565</v>
          </cell>
          <cell r="AH472">
            <v>9.7998314215999999E-2</v>
          </cell>
          <cell r="AI472">
            <v>-1.5746826871E-2</v>
          </cell>
          <cell r="AJ472">
            <v>-0.11836696989999999</v>
          </cell>
          <cell r="AK472">
            <v>0.23531749460000001</v>
          </cell>
          <cell r="AL472">
            <v>7.3126017525000003E-2</v>
          </cell>
          <cell r="AM472">
            <v>3.9210514891999997E-2</v>
          </cell>
          <cell r="AN472">
            <v>6.1849564358999999E-2</v>
          </cell>
          <cell r="AO472">
            <v>4.8082842377000001E-2</v>
          </cell>
          <cell r="AP472">
            <v>2.4545827645999999E-2</v>
          </cell>
          <cell r="CF472">
            <v>3.3346948000000001E-2</v>
          </cell>
          <cell r="CG472">
            <v>-6.7185917000000001E-3</v>
          </cell>
          <cell r="CH472">
            <v>1.88584561E-2</v>
          </cell>
          <cell r="CI472">
            <v>-3.2198764800000002E-2</v>
          </cell>
          <cell r="CJ472">
            <v>-8.5409302800000003E-2</v>
          </cell>
          <cell r="CK472">
            <v>-2.4137615500000001E-2</v>
          </cell>
          <cell r="CL472">
            <v>-7.74478787E-2</v>
          </cell>
          <cell r="CM472">
            <v>-6.9803581899999995E-2</v>
          </cell>
          <cell r="CN472">
            <v>-6.6475053199999995E-2</v>
          </cell>
          <cell r="CO472">
            <v>-4.05449721E-2</v>
          </cell>
          <cell r="CP472">
            <v>0</v>
          </cell>
          <cell r="CQ472">
            <v>7.6770250200000001E-2</v>
          </cell>
          <cell r="CR472">
            <v>0.16</v>
          </cell>
          <cell r="CS472">
            <v>0.17</v>
          </cell>
          <cell r="CT472">
            <v>0.13</v>
          </cell>
          <cell r="CU472">
            <v>0.148026569118</v>
          </cell>
          <cell r="CV472">
            <v>6.6134453782000002E-2</v>
          </cell>
          <cell r="CW472">
            <v>0.125387593564</v>
          </cell>
          <cell r="CX472">
            <v>0.100608140772</v>
          </cell>
          <cell r="CY472">
            <v>0.06</v>
          </cell>
          <cell r="CZ472">
            <v>0.06</v>
          </cell>
          <cell r="DA472">
            <v>-5.4638819333999999E-2</v>
          </cell>
          <cell r="DB472">
            <v>-0.01</v>
          </cell>
          <cell r="DC472">
            <v>-6.2627772036999999E-2</v>
          </cell>
          <cell r="DD472">
            <v>-0.11</v>
          </cell>
          <cell r="DE472">
            <v>-0.2327776792</v>
          </cell>
          <cell r="DF472">
            <v>-0.11378661430000001</v>
          </cell>
          <cell r="DG472">
            <v>-1.5161625600000001E-2</v>
          </cell>
          <cell r="DH472">
            <v>0.17626093259200001</v>
          </cell>
          <cell r="DI472">
            <v>0.38825900928000001</v>
          </cell>
          <cell r="DJ472">
            <v>0.19369571453199999</v>
          </cell>
          <cell r="DK472">
            <v>0.20723657024799999</v>
          </cell>
          <cell r="DL472">
            <v>0.130122489417</v>
          </cell>
        </row>
        <row r="473">
          <cell r="B473" t="str">
            <v>Customer advances</v>
          </cell>
          <cell r="C473" t="str">
            <v>CUST_ADVANCES</v>
          </cell>
          <cell r="D473" t="str">
            <v>SEK</v>
          </cell>
        </row>
        <row r="474">
          <cell r="B474" t="str">
            <v>EBIT bridge - Pricing</v>
          </cell>
          <cell r="C474" t="str">
            <v>EBIT_BRIDGE_PRICE</v>
          </cell>
          <cell r="D474" t="str">
            <v>SEK</v>
          </cell>
        </row>
        <row r="475">
          <cell r="B475" t="str">
            <v>EBIT bridge - Volume</v>
          </cell>
          <cell r="C475" t="str">
            <v>EBIT_BRIDGE_VOL</v>
          </cell>
          <cell r="D475" t="str">
            <v>SEK</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-144</v>
          </cell>
          <cell r="AG475">
            <v>3644</v>
          </cell>
          <cell r="AH475">
            <v>2834</v>
          </cell>
          <cell r="AI475">
            <v>-1246</v>
          </cell>
          <cell r="AJ475">
            <v>-6120</v>
          </cell>
          <cell r="AK475">
            <v>4932.79419004396</v>
          </cell>
          <cell r="AL475">
            <v>2010.73238810367</v>
          </cell>
          <cell r="AM475">
            <v>1460.85210876831</v>
          </cell>
          <cell r="AN475">
            <v>1629.05834737392</v>
          </cell>
          <cell r="AO475">
            <v>1520.18525101767</v>
          </cell>
          <cell r="AP475">
            <v>859.74765280429006</v>
          </cell>
        </row>
        <row r="476">
          <cell r="B476" t="str">
            <v>EBIT bridge - Depreciation</v>
          </cell>
          <cell r="C476" t="str">
            <v>EBIT_BRIDGE_DEPREC</v>
          </cell>
          <cell r="D476" t="str">
            <v>SEK</v>
          </cell>
          <cell r="S476">
            <v>-650</v>
          </cell>
          <cell r="T476">
            <v>767</v>
          </cell>
          <cell r="U476">
            <v>-134</v>
          </cell>
          <cell r="V476">
            <v>-263</v>
          </cell>
          <cell r="W476">
            <v>-101</v>
          </cell>
          <cell r="X476">
            <v>-404</v>
          </cell>
          <cell r="Y476">
            <v>-568</v>
          </cell>
          <cell r="Z476">
            <v>67</v>
          </cell>
          <cell r="AA476">
            <v>114</v>
          </cell>
          <cell r="AB476">
            <v>-454</v>
          </cell>
          <cell r="AC476">
            <v>-368</v>
          </cell>
          <cell r="AD476">
            <v>545</v>
          </cell>
          <cell r="AE476">
            <v>-1176</v>
          </cell>
          <cell r="AF476">
            <v>817</v>
          </cell>
          <cell r="AG476">
            <v>-432</v>
          </cell>
          <cell r="AH476">
            <v>390</v>
          </cell>
          <cell r="AI476">
            <v>-1158</v>
          </cell>
          <cell r="AJ476">
            <v>189</v>
          </cell>
          <cell r="AK476">
            <v>-267.12824846331</v>
          </cell>
          <cell r="AL476">
            <v>-803.94887023400304</v>
          </cell>
          <cell r="AM476">
            <v>482.30896508114603</v>
          </cell>
          <cell r="AN476">
            <v>-508.18819673326698</v>
          </cell>
          <cell r="AO476">
            <v>-498.58078003874101</v>
          </cell>
          <cell r="AP476">
            <v>-429.72132357734199</v>
          </cell>
        </row>
        <row r="477">
          <cell r="B477" t="str">
            <v>EBIT bridge - Mix</v>
          </cell>
          <cell r="C477" t="str">
            <v>EBIT_BRIDGE_MIX</v>
          </cell>
          <cell r="D477" t="str">
            <v>SEK</v>
          </cell>
        </row>
        <row r="478">
          <cell r="B478" t="str">
            <v>EBIT bridge - Raw materials</v>
          </cell>
          <cell r="C478" t="str">
            <v>EBIT_BRIDGE_RAW_MAT</v>
          </cell>
          <cell r="D478" t="str">
            <v>SEK</v>
          </cell>
          <cell r="S478">
            <v>0</v>
          </cell>
          <cell r="T478">
            <v>0</v>
          </cell>
          <cell r="U478">
            <v>0</v>
          </cell>
          <cell r="V478">
            <v>0</v>
          </cell>
          <cell r="W478">
            <v>-450</v>
          </cell>
          <cell r="X478">
            <v>-737</v>
          </cell>
          <cell r="Y478">
            <v>586</v>
          </cell>
          <cell r="Z478">
            <v>-80</v>
          </cell>
          <cell r="AA478">
            <v>-516</v>
          </cell>
          <cell r="AB478">
            <v>-57</v>
          </cell>
          <cell r="AC478">
            <v>-49</v>
          </cell>
          <cell r="AD478">
            <v>544</v>
          </cell>
          <cell r="AE478">
            <v>-615</v>
          </cell>
          <cell r="AF478">
            <v>401</v>
          </cell>
          <cell r="AG478">
            <v>-60</v>
          </cell>
          <cell r="AH478">
            <v>241</v>
          </cell>
          <cell r="AI478">
            <v>-230</v>
          </cell>
          <cell r="AJ478">
            <v>-262</v>
          </cell>
          <cell r="AK478">
            <v>647</v>
          </cell>
          <cell r="AL478">
            <v>-250</v>
          </cell>
          <cell r="AM478">
            <v>-325</v>
          </cell>
          <cell r="AN478">
            <v>0</v>
          </cell>
          <cell r="AO478">
            <v>0</v>
          </cell>
          <cell r="AP478">
            <v>0</v>
          </cell>
        </row>
        <row r="479">
          <cell r="B479" t="str">
            <v>EBIT bridge - Restructuring</v>
          </cell>
          <cell r="C479" t="str">
            <v>EBIT_BRIDGE_REST</v>
          </cell>
          <cell r="D479" t="str">
            <v>SEK</v>
          </cell>
          <cell r="S479">
            <v>0</v>
          </cell>
          <cell r="T479">
            <v>0</v>
          </cell>
          <cell r="U479">
            <v>0</v>
          </cell>
          <cell r="V479">
            <v>0</v>
          </cell>
          <cell r="W479">
            <v>0</v>
          </cell>
          <cell r="X479">
            <v>0</v>
          </cell>
          <cell r="Y479">
            <v>6000</v>
          </cell>
          <cell r="Z479">
            <v>0</v>
          </cell>
          <cell r="AA479">
            <v>0</v>
          </cell>
          <cell r="AB479">
            <v>410</v>
          </cell>
          <cell r="AC479">
            <v>410</v>
          </cell>
          <cell r="AD479">
            <v>130</v>
          </cell>
          <cell r="AE479">
            <v>579</v>
          </cell>
          <cell r="AF479">
            <v>657</v>
          </cell>
          <cell r="AG479">
            <v>288</v>
          </cell>
          <cell r="AH479">
            <v>174</v>
          </cell>
          <cell r="AI479">
            <v>340</v>
          </cell>
          <cell r="AJ479">
            <v>2855</v>
          </cell>
          <cell r="AK479">
            <v>-645</v>
          </cell>
          <cell r="AL479">
            <v>36.25</v>
          </cell>
          <cell r="AM479">
            <v>62.5</v>
          </cell>
          <cell r="AN479">
            <v>62.5</v>
          </cell>
          <cell r="AO479">
            <v>31.25</v>
          </cell>
          <cell r="AP479">
            <v>0</v>
          </cell>
        </row>
        <row r="480">
          <cell r="B480" t="str">
            <v>EBIT bridge - FX</v>
          </cell>
          <cell r="C480" t="str">
            <v>EBIT_BRIDGE_FX</v>
          </cell>
          <cell r="D480" t="str">
            <v>SEK</v>
          </cell>
          <cell r="S480">
            <v>-700</v>
          </cell>
          <cell r="T480">
            <v>-310</v>
          </cell>
          <cell r="U480">
            <v>-50</v>
          </cell>
          <cell r="V480">
            <v>200</v>
          </cell>
          <cell r="W480">
            <v>-800</v>
          </cell>
          <cell r="X480">
            <v>675</v>
          </cell>
          <cell r="Y480">
            <v>-18</v>
          </cell>
          <cell r="Z480">
            <v>-240</v>
          </cell>
          <cell r="AA480">
            <v>-1370</v>
          </cell>
          <cell r="AB480">
            <v>130</v>
          </cell>
          <cell r="AC480">
            <v>-1080</v>
          </cell>
          <cell r="AD480">
            <v>-50</v>
          </cell>
          <cell r="AE480">
            <v>1985</v>
          </cell>
          <cell r="AF480">
            <v>-288</v>
          </cell>
          <cell r="AG480">
            <v>46</v>
          </cell>
          <cell r="AH480">
            <v>765</v>
          </cell>
          <cell r="AI480">
            <v>1835</v>
          </cell>
          <cell r="AJ480">
            <v>-979</v>
          </cell>
          <cell r="AK480">
            <v>-880</v>
          </cell>
          <cell r="AL480">
            <v>3960.8035147309802</v>
          </cell>
          <cell r="AM480">
            <v>-29.145433340553001</v>
          </cell>
          <cell r="AN480">
            <v>0</v>
          </cell>
          <cell r="AO480">
            <v>0</v>
          </cell>
          <cell r="AP480">
            <v>0</v>
          </cell>
        </row>
        <row r="481">
          <cell r="B481" t="str">
            <v>EBIT bridge - M&amp;A</v>
          </cell>
          <cell r="C481" t="str">
            <v>EBIT_BRIDGE_MA</v>
          </cell>
          <cell r="D481" t="str">
            <v>SEK</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909</v>
          </cell>
          <cell r="AG481">
            <v>0</v>
          </cell>
          <cell r="AH481">
            <v>108</v>
          </cell>
          <cell r="AI481">
            <v>-81.8</v>
          </cell>
          <cell r="AJ481">
            <v>-289</v>
          </cell>
          <cell r="AK481">
            <v>-248</v>
          </cell>
          <cell r="AL481">
            <v>1093.4265537152801</v>
          </cell>
          <cell r="AM481">
            <v>282.95801908230197</v>
          </cell>
          <cell r="AN481">
            <v>319.17135865359398</v>
          </cell>
          <cell r="AO481">
            <v>353.20210638251501</v>
          </cell>
          <cell r="AP481">
            <v>388.86680289708801</v>
          </cell>
        </row>
        <row r="482">
          <cell r="B482" t="str">
            <v>EBIT bridge - Other</v>
          </cell>
          <cell r="C482" t="str">
            <v>EBIT_BRIDGE_OTH</v>
          </cell>
          <cell r="D482" t="str">
            <v>SEK</v>
          </cell>
          <cell r="S482">
            <v>1146</v>
          </cell>
          <cell r="T482">
            <v>1554</v>
          </cell>
          <cell r="U482">
            <v>2138</v>
          </cell>
          <cell r="V482">
            <v>2599</v>
          </cell>
          <cell r="W482">
            <v>3677</v>
          </cell>
          <cell r="X482">
            <v>-834</v>
          </cell>
          <cell r="Y482">
            <v>-17996</v>
          </cell>
          <cell r="Z482">
            <v>10584</v>
          </cell>
          <cell r="AA482">
            <v>3861</v>
          </cell>
          <cell r="AB482">
            <v>1093</v>
          </cell>
          <cell r="AC482">
            <v>-2725</v>
          </cell>
          <cell r="AD482">
            <v>-1868.9999975009</v>
          </cell>
          <cell r="AE482">
            <v>-306.60000249910098</v>
          </cell>
          <cell r="AF482">
            <v>-1928.4</v>
          </cell>
          <cell r="AG482">
            <v>-592</v>
          </cell>
          <cell r="AH482">
            <v>200</v>
          </cell>
          <cell r="AI482">
            <v>1134.8</v>
          </cell>
          <cell r="AJ482">
            <v>-49</v>
          </cell>
          <cell r="AK482">
            <v>-1428.2659415806399</v>
          </cell>
          <cell r="AL482">
            <v>-1717.5</v>
          </cell>
          <cell r="AM482">
            <v>125</v>
          </cell>
          <cell r="AN482">
            <v>50</v>
          </cell>
          <cell r="AO482">
            <v>75</v>
          </cell>
          <cell r="AP482">
            <v>100</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cell r="AE485">
            <v>-4.7055488320999997E-2</v>
          </cell>
          <cell r="AF485">
            <v>-1.7991271906999999E-2</v>
          </cell>
          <cell r="AG485">
            <v>9.7543520309000001E-2</v>
          </cell>
          <cell r="AH485">
            <v>6.1993667431000002E-2</v>
          </cell>
          <cell r="AI485">
            <v>-6.0203331641000002E-2</v>
          </cell>
          <cell r="AJ485">
            <v>-0.1849690541</v>
          </cell>
          <cell r="AK485">
            <v>0.16</v>
          </cell>
          <cell r="AL485">
            <v>1.5169250905999999E-2</v>
          </cell>
          <cell r="AM485">
            <v>2.8721628600000002E-4</v>
          </cell>
          <cell r="AN485">
            <v>1.9143657785999999E-2</v>
          </cell>
          <cell r="AO485">
            <v>1.1747157264E-2</v>
          </cell>
          <cell r="AP485">
            <v>-2.0760480830000001E-2</v>
          </cell>
          <cell r="CF485">
            <v>5.5122476900000002E-2</v>
          </cell>
          <cell r="CG485">
            <v>3.1680098900000002E-2</v>
          </cell>
          <cell r="CH485">
            <v>5.6386991599999998E-2</v>
          </cell>
          <cell r="CI485">
            <v>2.5518638199999999E-2</v>
          </cell>
          <cell r="CJ485">
            <v>-2.3891552199999999E-2</v>
          </cell>
          <cell r="CK485">
            <v>-3.9293625999999998E-2</v>
          </cell>
          <cell r="CL485">
            <v>-5.6153226700000003E-2</v>
          </cell>
          <cell r="CM485">
            <v>-6.8273744900000002E-2</v>
          </cell>
          <cell r="CN485">
            <v>-4.7914550899999998E-2</v>
          </cell>
          <cell r="CO485">
            <v>-8.6444234999999998E-3</v>
          </cell>
          <cell r="CP485">
            <v>-3.9542428800000001E-2</v>
          </cell>
          <cell r="CQ485">
            <v>2.6450893999999999E-2</v>
          </cell>
          <cell r="CR485">
            <v>0.1</v>
          </cell>
          <cell r="CS485">
            <v>0.06</v>
          </cell>
          <cell r="CT485">
            <v>0.11</v>
          </cell>
          <cell r="CU485">
            <v>0.12</v>
          </cell>
          <cell r="CV485">
            <v>0.08</v>
          </cell>
          <cell r="CW485">
            <v>0.08</v>
          </cell>
          <cell r="CX485">
            <v>0.08</v>
          </cell>
          <cell r="CY485">
            <v>0.01</v>
          </cell>
          <cell r="CZ485">
            <v>-0.01</v>
          </cell>
          <cell r="DA485">
            <v>-0.04</v>
          </cell>
          <cell r="DB485">
            <v>-0.09</v>
          </cell>
          <cell r="DC485">
            <v>-0.1</v>
          </cell>
          <cell r="DD485">
            <v>-0.12</v>
          </cell>
          <cell r="DE485">
            <v>-0.35</v>
          </cell>
          <cell r="DF485">
            <v>-0.19</v>
          </cell>
          <cell r="DG485">
            <v>-7.1549847099999994E-2</v>
          </cell>
          <cell r="DH485">
            <v>0</v>
          </cell>
          <cell r="DI485">
            <v>0.44</v>
          </cell>
          <cell r="DJ485">
            <v>0.16</v>
          </cell>
          <cell r="DK485">
            <v>0.11</v>
          </cell>
          <cell r="DL485">
            <v>0.06</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cell r="AE488">
            <v>-2.5819004685000001E-2</v>
          </cell>
          <cell r="AF488">
            <v>0.01</v>
          </cell>
          <cell r="AG488">
            <v>0.19622248008500001</v>
          </cell>
          <cell r="AH488">
            <v>9.9481179278000001E-2</v>
          </cell>
          <cell r="AI488">
            <v>1.2651511601E-2</v>
          </cell>
          <cell r="AJ488">
            <v>0.01</v>
          </cell>
          <cell r="AK488">
            <v>0.28999999999999998</v>
          </cell>
          <cell r="AL488">
            <v>0.13064821569599999</v>
          </cell>
          <cell r="AM488">
            <v>0.06</v>
          </cell>
          <cell r="AN488">
            <v>0.09</v>
          </cell>
          <cell r="AO488">
            <v>7.0000000000000007E-2</v>
          </cell>
          <cell r="AP488">
            <v>0.05</v>
          </cell>
          <cell r="CF488">
            <v>-0.1237803462</v>
          </cell>
          <cell r="CG488">
            <v>-0.104577371</v>
          </cell>
          <cell r="CH488">
            <v>-3.2067341200000002E-2</v>
          </cell>
          <cell r="CI488">
            <v>-6.2225922199999999E-2</v>
          </cell>
          <cell r="CJ488">
            <v>-4.3198693500000003E-2</v>
          </cell>
          <cell r="CK488">
            <v>3.7705170099999998E-2</v>
          </cell>
          <cell r="CL488">
            <v>-5.7594640500000002E-2</v>
          </cell>
          <cell r="CM488">
            <v>-3.7390221100000003E-2</v>
          </cell>
          <cell r="CN488">
            <v>-9.04058108E-2</v>
          </cell>
          <cell r="CO488">
            <v>-6.6046717699999993E-2</v>
          </cell>
          <cell r="CP488">
            <v>4.90614246E-2</v>
          </cell>
          <cell r="CQ488">
            <v>0.18620890540000001</v>
          </cell>
          <cell r="CR488">
            <v>0.3</v>
          </cell>
          <cell r="CS488">
            <v>0.23</v>
          </cell>
          <cell r="CT488">
            <v>0.18</v>
          </cell>
          <cell r="CU488">
            <v>0.1</v>
          </cell>
          <cell r="CV488">
            <v>0.03</v>
          </cell>
          <cell r="CW488">
            <v>0.15</v>
          </cell>
          <cell r="CX488">
            <v>0.08</v>
          </cell>
          <cell r="CY488">
            <v>0.14000000000000001</v>
          </cell>
          <cell r="CZ488">
            <v>0.09</v>
          </cell>
          <cell r="DA488">
            <v>-0.01</v>
          </cell>
          <cell r="DB488">
            <v>0.05</v>
          </cell>
          <cell r="DC488">
            <v>-7.0000000000000007E-2</v>
          </cell>
          <cell r="DD488">
            <v>-7.0000000000000007E-2</v>
          </cell>
          <cell r="DE488">
            <v>-7.0000000000000007E-2</v>
          </cell>
          <cell r="DF488">
            <v>0.04</v>
          </cell>
          <cell r="DG488">
            <v>0.17</v>
          </cell>
          <cell r="DH488">
            <v>0.36</v>
          </cell>
          <cell r="DI488">
            <v>0.31</v>
          </cell>
          <cell r="DJ488">
            <v>0.21</v>
          </cell>
          <cell r="DK488">
            <v>0.3</v>
          </cell>
          <cell r="DL488">
            <v>0.22</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cell r="AE491">
            <v>-0.154186586589</v>
          </cell>
          <cell r="AF491">
            <v>-4.8128287743999999E-2</v>
          </cell>
          <cell r="AG491">
            <v>0.22023514748600001</v>
          </cell>
          <cell r="AH491">
            <v>0.12714295406699999</v>
          </cell>
          <cell r="AI491">
            <v>2.4372666168999999E-2</v>
          </cell>
          <cell r="AJ491">
            <v>-0.27265897379999998</v>
          </cell>
          <cell r="AK491">
            <v>0.25</v>
          </cell>
          <cell r="AL491">
            <v>-4.4815137982999999E-2</v>
          </cell>
          <cell r="AM491">
            <v>0</v>
          </cell>
          <cell r="AN491">
            <v>0</v>
          </cell>
          <cell r="AO491">
            <v>0</v>
          </cell>
          <cell r="AP491">
            <v>0</v>
          </cell>
          <cell r="CF491">
            <v>0.25146022070000001</v>
          </cell>
          <cell r="CG491">
            <v>0.21820476059999999</v>
          </cell>
          <cell r="CH491">
            <v>2.0836001400000002E-2</v>
          </cell>
          <cell r="CI491">
            <v>-9.4936563900000007E-2</v>
          </cell>
          <cell r="CJ491">
            <v>-0.22833165459999999</v>
          </cell>
          <cell r="CK491">
            <v>-0.124445523</v>
          </cell>
          <cell r="CL491">
            <v>-0.1244354877</v>
          </cell>
          <cell r="CM491">
            <v>-0.11118984599999999</v>
          </cell>
          <cell r="CN491">
            <v>-5.7896375399999998E-2</v>
          </cell>
          <cell r="CO491">
            <v>-8.2451414900000006E-2</v>
          </cell>
          <cell r="CP491">
            <v>-2.2678207000000001E-3</v>
          </cell>
          <cell r="CQ491">
            <v>-4.4579035599999997E-2</v>
          </cell>
          <cell r="CR491">
            <v>0.05</v>
          </cell>
          <cell r="CS491">
            <v>0.4</v>
          </cell>
          <cell r="CT491">
            <v>0.09</v>
          </cell>
          <cell r="CU491">
            <v>0.38</v>
          </cell>
          <cell r="CV491">
            <v>0.13</v>
          </cell>
          <cell r="CW491">
            <v>0.17</v>
          </cell>
          <cell r="CX491">
            <v>0.22</v>
          </cell>
          <cell r="CY491">
            <v>0.01</v>
          </cell>
          <cell r="CZ491">
            <v>0.23</v>
          </cell>
          <cell r="DA491">
            <v>-0.2</v>
          </cell>
          <cell r="DB491">
            <v>0.04</v>
          </cell>
          <cell r="DC491">
            <v>0.06</v>
          </cell>
          <cell r="DD491">
            <v>-0.14000000000000001</v>
          </cell>
          <cell r="DE491">
            <v>-0.33</v>
          </cell>
          <cell r="DF491">
            <v>-0.34</v>
          </cell>
          <cell r="DG491">
            <v>-0.31056749210000001</v>
          </cell>
          <cell r="DH491">
            <v>-0.13</v>
          </cell>
          <cell r="DI491">
            <v>0.74</v>
          </cell>
          <cell r="DJ491">
            <v>0.28999999999999998</v>
          </cell>
          <cell r="DK491">
            <v>0.4</v>
          </cell>
          <cell r="DL491">
            <v>0.41</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cell r="AG497">
            <v>0</v>
          </cell>
          <cell r="AH497">
            <v>0</v>
          </cell>
          <cell r="AI497">
            <v>0</v>
          </cell>
          <cell r="AJ497">
            <v>-0.11</v>
          </cell>
          <cell r="AK497">
            <v>0.32</v>
          </cell>
          <cell r="AL497">
            <v>9.048992774E-3</v>
          </cell>
          <cell r="AM497">
            <v>0.08</v>
          </cell>
          <cell r="AN497">
            <v>0.06</v>
          </cell>
          <cell r="AO497">
            <v>0.05</v>
          </cell>
          <cell r="AP497">
            <v>0.03</v>
          </cell>
          <cell r="DD497">
            <v>-0.15</v>
          </cell>
          <cell r="DE497">
            <v>-0.23</v>
          </cell>
          <cell r="DF497">
            <v>-0.03</v>
          </cell>
          <cell r="DG497">
            <v>0.01</v>
          </cell>
          <cell r="DH497">
            <v>0.28000000000000003</v>
          </cell>
          <cell r="DI497">
            <v>0.61</v>
          </cell>
          <cell r="DJ497">
            <v>0.26</v>
          </cell>
          <cell r="DK497">
            <v>0.18</v>
          </cell>
          <cell r="DL497">
            <v>0.01</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Sandvik</v>
          </cell>
          <cell r="B501" t="str">
            <v>15Z639</v>
          </cell>
        </row>
        <row r="502">
          <cell r="A502" t="str">
            <v>Reference Data</v>
          </cell>
        </row>
        <row r="503">
          <cell r="B503" t="str">
            <v>Ticker</v>
          </cell>
          <cell r="C503" t="str">
            <v>Ticker</v>
          </cell>
          <cell r="E503" t="str">
            <v>SAND.ST</v>
          </cell>
        </row>
        <row r="504">
          <cell r="B504" t="str">
            <v>Security Name</v>
          </cell>
          <cell r="C504" t="str">
            <v>Security Name</v>
          </cell>
          <cell r="E504" t="str">
            <v>Sandvik</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cell r="E510" t="str">
            <v>Sell</v>
          </cell>
        </row>
        <row r="511">
          <cell r="B511" t="str">
            <v>Pan Europe Conviction List</v>
          </cell>
          <cell r="C511" t="str">
            <v>EURO_CONVICTION</v>
          </cell>
        </row>
        <row r="512">
          <cell r="B512" t="str">
            <v>Legal rating</v>
          </cell>
          <cell r="C512" t="str">
            <v>LEGAL_RATING</v>
          </cell>
        </row>
        <row r="513">
          <cell r="B513" t="str">
            <v>Target price</v>
          </cell>
          <cell r="C513" t="str">
            <v>TARGET_PRICE</v>
          </cell>
          <cell r="D513" t="str">
            <v>SEK</v>
          </cell>
          <cell r="E513">
            <v>141</v>
          </cell>
        </row>
        <row r="514">
          <cell r="B514" t="str">
            <v>Target price period</v>
          </cell>
          <cell r="C514" t="str">
            <v>TP_PERIOD</v>
          </cell>
          <cell r="E514" t="str">
            <v>12 months</v>
          </cell>
        </row>
        <row r="515">
          <cell r="B515" t="str">
            <v>Fundamental value</v>
          </cell>
          <cell r="C515" t="str">
            <v>TARGET_PRICE_FUNDAMENTAL</v>
          </cell>
          <cell r="D515" t="str">
            <v>SEK</v>
          </cell>
        </row>
        <row r="516">
          <cell r="B516" t="str">
            <v>M&amp;A value</v>
          </cell>
          <cell r="C516" t="str">
            <v>TARGET_PRICE_MA</v>
          </cell>
          <cell r="D516" t="str">
            <v>SEK</v>
          </cell>
        </row>
        <row r="517">
          <cell r="B517" t="str">
            <v>Current shares outstanding (mn)</v>
          </cell>
          <cell r="C517" t="str">
            <v>NUM_SH</v>
          </cell>
          <cell r="E517">
            <v>1245.874</v>
          </cell>
        </row>
        <row r="518">
          <cell r="B518" t="str">
            <v>Free float</v>
          </cell>
          <cell r="C518" t="str">
            <v>FREE_FLOAT</v>
          </cell>
          <cell r="E518">
            <v>0.62748000000000004</v>
          </cell>
        </row>
        <row r="519">
          <cell r="B519" t="str">
            <v>Indirect Sales - % UK</v>
          </cell>
          <cell r="C519" t="str">
            <v>ACT1</v>
          </cell>
          <cell r="E519">
            <v>0.1153</v>
          </cell>
        </row>
        <row r="520">
          <cell r="B520" t="str">
            <v>Indirect Sales - % Europe-Ex UK</v>
          </cell>
          <cell r="C520" t="str">
            <v>ACT2</v>
          </cell>
          <cell r="E520">
            <v>4.9599999999999998E-2</v>
          </cell>
        </row>
        <row r="521">
          <cell r="B521" t="str">
            <v>Indirect Sales - % Austria</v>
          </cell>
          <cell r="C521" t="str">
            <v>ACT3</v>
          </cell>
          <cell r="E521">
            <v>3.85E-2</v>
          </cell>
        </row>
        <row r="522">
          <cell r="B522" t="str">
            <v>Indirect Sales - % Belgium</v>
          </cell>
          <cell r="C522" t="str">
            <v>ACT4</v>
          </cell>
          <cell r="E522">
            <v>2.1899999999999999E-2</v>
          </cell>
        </row>
        <row r="523">
          <cell r="B523" t="str">
            <v>Indirect Sales - % Denmark</v>
          </cell>
          <cell r="C523" t="str">
            <v>ACT5</v>
          </cell>
          <cell r="E523">
            <v>0</v>
          </cell>
        </row>
        <row r="524">
          <cell r="B524" t="str">
            <v>Indirect Sales - % Finland</v>
          </cell>
          <cell r="C524" t="str">
            <v>ACT6</v>
          </cell>
          <cell r="E524">
            <v>0</v>
          </cell>
        </row>
        <row r="525">
          <cell r="B525" t="str">
            <v>Indirect Sales - % France</v>
          </cell>
          <cell r="C525" t="str">
            <v>ACT7</v>
          </cell>
          <cell r="E525">
            <v>0</v>
          </cell>
        </row>
        <row r="526">
          <cell r="A526" t="str">
            <v>Publishing Items</v>
          </cell>
        </row>
        <row r="527">
          <cell r="B527" t="str">
            <v>Book value per share, BVPS (Pub)</v>
          </cell>
          <cell r="C527" t="str">
            <v>BVPS_PUB</v>
          </cell>
          <cell r="D527" t="str">
            <v>SEK</v>
          </cell>
          <cell r="F527">
            <v>0</v>
          </cell>
          <cell r="G527">
            <v>0</v>
          </cell>
          <cell r="H527">
            <v>0</v>
          </cell>
          <cell r="I527">
            <v>0</v>
          </cell>
          <cell r="J527">
            <v>0</v>
          </cell>
          <cell r="K527">
            <v>0</v>
          </cell>
          <cell r="L527">
            <v>0</v>
          </cell>
          <cell r="M527">
            <v>13.462698105914001</v>
          </cell>
          <cell r="N527">
            <v>14.395825280246999</v>
          </cell>
          <cell r="O527">
            <v>15.546192500966001</v>
          </cell>
          <cell r="P527">
            <v>17.373018940858</v>
          </cell>
          <cell r="Q527">
            <v>19.099673332801999</v>
          </cell>
          <cell r="R527">
            <v>18.562514998800001</v>
          </cell>
          <cell r="S527">
            <v>17.150627949764001</v>
          </cell>
          <cell r="T527">
            <v>18.269915803109001</v>
          </cell>
          <cell r="U527">
            <v>19.799376211750999</v>
          </cell>
          <cell r="V527">
            <v>22.039956166231001</v>
          </cell>
          <cell r="W527">
            <v>24.120374272949999</v>
          </cell>
          <cell r="X527">
            <v>29.999157042905999</v>
          </cell>
          <cell r="Y527">
            <v>24.435065039066998</v>
          </cell>
          <cell r="Z527">
            <v>27.464686032974999</v>
          </cell>
          <cell r="AA527">
            <v>27.387976096847002</v>
          </cell>
          <cell r="AB527">
            <v>28.995709036387002</v>
          </cell>
          <cell r="AC527">
            <v>26.714264987014001</v>
          </cell>
          <cell r="AD527">
            <v>29.128194989421001</v>
          </cell>
          <cell r="AE527">
            <v>27.045901341373</v>
          </cell>
          <cell r="AF527">
            <v>31.247957167888998</v>
          </cell>
          <cell r="AG527">
            <v>38.858054857116997</v>
          </cell>
          <cell r="AH527">
            <v>46.617229465252002</v>
          </cell>
          <cell r="AI527">
            <v>49.302208411126998</v>
          </cell>
          <cell r="AJ527">
            <v>51.882753793489002</v>
          </cell>
          <cell r="AK527">
            <v>61.649284988830999</v>
          </cell>
          <cell r="AL527">
            <v>57.327019181411998</v>
          </cell>
          <cell r="AM527">
            <v>63.685802831661</v>
          </cell>
          <cell r="AN527">
            <v>71.272429804827993</v>
          </cell>
          <cell r="AO527">
            <v>79.083628262881007</v>
          </cell>
          <cell r="AP527">
            <v>87.006156618654998</v>
          </cell>
        </row>
        <row r="528">
          <cell r="B528" t="str">
            <v>DPS, dividend per share (Pub)</v>
          </cell>
          <cell r="C528" t="str">
            <v>DPS_PUB</v>
          </cell>
          <cell r="D528" t="str">
            <v>SEK</v>
          </cell>
          <cell r="K528">
            <v>1.2</v>
          </cell>
          <cell r="L528">
            <v>1.3</v>
          </cell>
          <cell r="M528">
            <v>1.4</v>
          </cell>
          <cell r="N528">
            <v>1.4</v>
          </cell>
          <cell r="O528">
            <v>1.6</v>
          </cell>
          <cell r="P528">
            <v>1.8</v>
          </cell>
          <cell r="Q528">
            <v>1.9</v>
          </cell>
          <cell r="R528">
            <v>2</v>
          </cell>
          <cell r="S528">
            <v>2.1</v>
          </cell>
          <cell r="T528">
            <v>2.2999999999999998</v>
          </cell>
          <cell r="U528">
            <v>2.7</v>
          </cell>
          <cell r="V528">
            <v>3.25</v>
          </cell>
          <cell r="W528">
            <v>4</v>
          </cell>
          <cell r="X528">
            <v>3.15</v>
          </cell>
          <cell r="Y528">
            <v>1</v>
          </cell>
          <cell r="Z528">
            <v>3</v>
          </cell>
          <cell r="AA528">
            <v>3.25</v>
          </cell>
          <cell r="AB528">
            <v>3.5</v>
          </cell>
          <cell r="AC528">
            <v>3.5</v>
          </cell>
          <cell r="AD528">
            <v>3.5</v>
          </cell>
          <cell r="AE528">
            <v>2.5</v>
          </cell>
          <cell r="AF528">
            <v>2.75</v>
          </cell>
          <cell r="AG528">
            <v>3.5</v>
          </cell>
          <cell r="AH528">
            <v>4.25</v>
          </cell>
          <cell r="AI528">
            <v>0</v>
          </cell>
          <cell r="AJ528">
            <v>4.5</v>
          </cell>
          <cell r="AK528">
            <v>4.75</v>
          </cell>
          <cell r="AL528">
            <v>6.499412375016</v>
          </cell>
          <cell r="AM528">
            <v>6.6444614170929999</v>
          </cell>
          <cell r="AN528">
            <v>7.329030790419</v>
          </cell>
          <cell r="AO528">
            <v>7.7817598918690001</v>
          </cell>
          <cell r="AP528">
            <v>8.0622023712799997</v>
          </cell>
        </row>
        <row r="529">
          <cell r="B529" t="str">
            <v>Special dividend per share</v>
          </cell>
          <cell r="C529" t="str">
            <v>DPS_SPECIAL_PUB</v>
          </cell>
          <cell r="D529" t="str">
            <v>SEK</v>
          </cell>
        </row>
        <row r="530">
          <cell r="B530" t="str">
            <v>EBITDA (Pub)</v>
          </cell>
          <cell r="C530" t="str">
            <v>EBITDA_PUB</v>
          </cell>
          <cell r="D530" t="str">
            <v>SEK</v>
          </cell>
          <cell r="F530">
            <v>0</v>
          </cell>
          <cell r="G530">
            <v>0</v>
          </cell>
          <cell r="H530">
            <v>0</v>
          </cell>
          <cell r="I530">
            <v>0</v>
          </cell>
          <cell r="J530">
            <v>0</v>
          </cell>
          <cell r="K530">
            <v>6265</v>
          </cell>
          <cell r="L530">
            <v>5254</v>
          </cell>
          <cell r="M530">
            <v>6456</v>
          </cell>
          <cell r="N530">
            <v>7494</v>
          </cell>
          <cell r="O530">
            <v>6698</v>
          </cell>
          <cell r="P530">
            <v>8503</v>
          </cell>
          <cell r="Q530">
            <v>8724</v>
          </cell>
          <cell r="R530">
            <v>8467</v>
          </cell>
          <cell r="S530">
            <v>8913</v>
          </cell>
          <cell r="T530">
            <v>10157</v>
          </cell>
          <cell r="U530">
            <v>12245</v>
          </cell>
          <cell r="V530">
            <v>15044</v>
          </cell>
          <cell r="W530">
            <v>17471</v>
          </cell>
          <cell r="X530">
            <v>16575</v>
          </cell>
          <cell r="Y530">
            <v>5147</v>
          </cell>
          <cell r="Z530">
            <v>15411</v>
          </cell>
          <cell r="AA530">
            <v>17386</v>
          </cell>
          <cell r="AB530">
            <v>18962</v>
          </cell>
          <cell r="AC530">
            <v>15518</v>
          </cell>
          <cell r="AD530">
            <v>14273.0000024991</v>
          </cell>
          <cell r="AE530">
            <v>15915.4</v>
          </cell>
          <cell r="AF530">
            <v>15733</v>
          </cell>
          <cell r="AG530">
            <v>18848</v>
          </cell>
          <cell r="AH530">
            <v>23032</v>
          </cell>
          <cell r="AI530">
            <v>29295</v>
          </cell>
          <cell r="AJ530">
            <v>20527</v>
          </cell>
          <cell r="AK530">
            <v>22669.4</v>
          </cell>
          <cell r="AL530">
            <v>27984.864318924301</v>
          </cell>
          <cell r="AM530">
            <v>29507.324867543099</v>
          </cell>
          <cell r="AN530">
            <v>31568.0545735706</v>
          </cell>
          <cell r="AO530">
            <v>33547.691930970803</v>
          </cell>
          <cell r="AP530">
            <v>34896.3063866722</v>
          </cell>
        </row>
        <row r="531">
          <cell r="B531" t="str">
            <v>EPS (Pub)</v>
          </cell>
          <cell r="C531" t="str">
            <v>EPS_PUB</v>
          </cell>
          <cell r="D531" t="str">
            <v>SEK</v>
          </cell>
          <cell r="K531">
            <v>2.82</v>
          </cell>
          <cell r="L531">
            <v>2.36</v>
          </cell>
          <cell r="M531">
            <v>2.8</v>
          </cell>
          <cell r="N531">
            <v>2.2400000000000002</v>
          </cell>
          <cell r="O531">
            <v>1.54</v>
          </cell>
          <cell r="P531">
            <v>2.75</v>
          </cell>
          <cell r="Q531">
            <v>3.08</v>
          </cell>
          <cell r="R531">
            <v>2.75</v>
          </cell>
          <cell r="S531">
            <v>2.71</v>
          </cell>
          <cell r="T531">
            <v>4.0199999999999996</v>
          </cell>
          <cell r="U531">
            <v>5.15</v>
          </cell>
          <cell r="V531">
            <v>6.61</v>
          </cell>
          <cell r="W531">
            <v>7.78</v>
          </cell>
          <cell r="X531">
            <v>6.59</v>
          </cell>
          <cell r="Y531">
            <v>0.25</v>
          </cell>
          <cell r="Z531">
            <v>6.25</v>
          </cell>
          <cell r="AA531">
            <v>7.7</v>
          </cell>
          <cell r="AB531">
            <v>7.78</v>
          </cell>
          <cell r="AC531">
            <v>5.91</v>
          </cell>
          <cell r="AD531">
            <v>4.82</v>
          </cell>
          <cell r="AE531">
            <v>5.44</v>
          </cell>
          <cell r="AF531">
            <v>5.5</v>
          </cell>
          <cell r="AG531">
            <v>7.27</v>
          </cell>
          <cell r="AH531">
            <v>10.55</v>
          </cell>
          <cell r="AI531">
            <v>11.63</v>
          </cell>
          <cell r="AJ531">
            <v>9.66</v>
          </cell>
          <cell r="AK531">
            <v>9.9499999999999993</v>
          </cell>
          <cell r="AL531">
            <v>14.71</v>
          </cell>
          <cell r="AM531">
            <v>13.83</v>
          </cell>
          <cell r="AN531">
            <v>14.66</v>
          </cell>
          <cell r="AO531">
            <v>15.56</v>
          </cell>
          <cell r="AP531">
            <v>16.12</v>
          </cell>
          <cell r="AR531">
            <v>6.21</v>
          </cell>
          <cell r="AS531">
            <v>7.68</v>
          </cell>
          <cell r="AT531">
            <v>7.53</v>
          </cell>
          <cell r="AU531">
            <v>8.42</v>
          </cell>
          <cell r="AV531">
            <v>5.52</v>
          </cell>
          <cell r="AW531">
            <v>1.3</v>
          </cell>
          <cell r="AX531">
            <v>1.29</v>
          </cell>
          <cell r="AY531">
            <v>1.59</v>
          </cell>
          <cell r="AZ531">
            <v>1.72</v>
          </cell>
          <cell r="BA531">
            <v>1.72</v>
          </cell>
          <cell r="BB531">
            <v>1.54</v>
          </cell>
          <cell r="BC531">
            <v>1.98</v>
          </cell>
          <cell r="BD531">
            <v>2.0699999999999998</v>
          </cell>
          <cell r="BE531">
            <v>2.33</v>
          </cell>
          <cell r="BF531">
            <v>2.02</v>
          </cell>
          <cell r="BG531">
            <v>1.76</v>
          </cell>
          <cell r="BH531">
            <v>1.69</v>
          </cell>
          <cell r="BI531">
            <v>2.0299999999999998</v>
          </cell>
          <cell r="BJ531">
            <v>1.92</v>
          </cell>
          <cell r="BK531">
            <v>1.23</v>
          </cell>
          <cell r="BL531">
            <v>-0.12</v>
          </cell>
          <cell r="BM531">
            <v>-0.52</v>
          </cell>
          <cell r="BN531">
            <v>0.14000000000000001</v>
          </cell>
          <cell r="BO531">
            <v>0.42</v>
          </cell>
          <cell r="BP531">
            <v>0.95</v>
          </cell>
          <cell r="BQ531">
            <v>1.75</v>
          </cell>
          <cell r="BR531">
            <v>1.48</v>
          </cell>
          <cell r="BS531">
            <v>2.0099999999999998</v>
          </cell>
          <cell r="BT531">
            <v>1.79</v>
          </cell>
          <cell r="BU531">
            <v>1.88</v>
          </cell>
          <cell r="BV531">
            <v>2.04</v>
          </cell>
          <cell r="BW531">
            <v>2.0699999999999998</v>
          </cell>
          <cell r="BX531">
            <v>2.08</v>
          </cell>
          <cell r="BY531">
            <v>2.33</v>
          </cell>
          <cell r="BZ531">
            <v>1.68</v>
          </cell>
          <cell r="CA531">
            <v>1.31</v>
          </cell>
          <cell r="CB531">
            <v>1.29</v>
          </cell>
          <cell r="CC531">
            <v>1.68</v>
          </cell>
          <cell r="CD531">
            <v>1.3</v>
          </cell>
          <cell r="CE531">
            <v>1.47</v>
          </cell>
          <cell r="CF531">
            <v>0</v>
          </cell>
          <cell r="CG531">
            <v>0.15</v>
          </cell>
          <cell r="CH531">
            <v>-0.18</v>
          </cell>
          <cell r="CI531">
            <v>-0.21</v>
          </cell>
          <cell r="CJ531">
            <v>1.86</v>
          </cell>
          <cell r="CK531">
            <v>1.43</v>
          </cell>
          <cell r="CL531">
            <v>1</v>
          </cell>
          <cell r="CM531">
            <v>1.0900000000000001</v>
          </cell>
          <cell r="CN531">
            <v>1.1599999999999999</v>
          </cell>
          <cell r="CO531">
            <v>1.33</v>
          </cell>
          <cell r="CP531">
            <v>1.28</v>
          </cell>
          <cell r="CQ531">
            <v>1.67</v>
          </cell>
          <cell r="CR531">
            <v>1.81</v>
          </cell>
          <cell r="CS531">
            <v>2.1</v>
          </cell>
          <cell r="CT531">
            <v>1.87</v>
          </cell>
          <cell r="CU531">
            <v>2</v>
          </cell>
          <cell r="CV531">
            <v>2.35</v>
          </cell>
          <cell r="CW531">
            <v>2.83</v>
          </cell>
          <cell r="CX531">
            <v>2.64</v>
          </cell>
          <cell r="CY531">
            <v>2.69</v>
          </cell>
          <cell r="CZ531">
            <v>2.5</v>
          </cell>
          <cell r="DA531">
            <v>2.79</v>
          </cell>
          <cell r="DB531">
            <v>2.94</v>
          </cell>
          <cell r="DC531">
            <v>3.38</v>
          </cell>
          <cell r="DD531">
            <v>2.23</v>
          </cell>
          <cell r="DE531">
            <v>1.93</v>
          </cell>
          <cell r="DF531">
            <v>2.57</v>
          </cell>
          <cell r="DG531">
            <v>2.91</v>
          </cell>
          <cell r="DH531">
            <v>2.2000000000000002</v>
          </cell>
          <cell r="DI531">
            <v>2.2799999999999998</v>
          </cell>
          <cell r="DJ531">
            <v>2.8</v>
          </cell>
          <cell r="DK531">
            <v>2.69</v>
          </cell>
          <cell r="DL531">
            <v>3.36</v>
          </cell>
        </row>
        <row r="532">
          <cell r="B532" t="str">
            <v>Consensus earnings equivalent estimate</v>
          </cell>
          <cell r="C532" t="str">
            <v>CEEE_EPS</v>
          </cell>
          <cell r="D532" t="str">
            <v>SEK</v>
          </cell>
        </row>
        <row r="533">
          <cell r="B533" t="str">
            <v>EV adjustment (Pub)</v>
          </cell>
          <cell r="C533" t="str">
            <v>EV_ADJ_PUB</v>
          </cell>
          <cell r="D533" t="str">
            <v>SEK</v>
          </cell>
          <cell r="F533">
            <v>0</v>
          </cell>
          <cell r="G533">
            <v>0</v>
          </cell>
          <cell r="H533">
            <v>0</v>
          </cell>
          <cell r="I533">
            <v>0</v>
          </cell>
          <cell r="J533">
            <v>0</v>
          </cell>
          <cell r="K533">
            <v>1735</v>
          </cell>
          <cell r="L533">
            <v>3178</v>
          </cell>
          <cell r="M533">
            <v>386</v>
          </cell>
          <cell r="N533">
            <v>371</v>
          </cell>
          <cell r="O533">
            <v>311</v>
          </cell>
          <cell r="P533">
            <v>330</v>
          </cell>
          <cell r="Q533">
            <v>359</v>
          </cell>
          <cell r="R533">
            <v>439</v>
          </cell>
          <cell r="S533">
            <v>1134</v>
          </cell>
          <cell r="T533">
            <v>1330</v>
          </cell>
          <cell r="U533">
            <v>1985</v>
          </cell>
          <cell r="V533">
            <v>2300</v>
          </cell>
          <cell r="W533">
            <v>2781</v>
          </cell>
          <cell r="X533">
            <v>2113</v>
          </cell>
          <cell r="Y533">
            <v>2882</v>
          </cell>
          <cell r="Z533">
            <v>3376</v>
          </cell>
          <cell r="AA533">
            <v>1785</v>
          </cell>
          <cell r="AB533">
            <v>2184</v>
          </cell>
          <cell r="AC533">
            <v>2191</v>
          </cell>
          <cell r="AD533">
            <v>2243</v>
          </cell>
          <cell r="AE533">
            <v>2071.96137615321</v>
          </cell>
          <cell r="AF533">
            <v>2373</v>
          </cell>
          <cell r="AG533">
            <v>2768</v>
          </cell>
          <cell r="AH533">
            <v>2447</v>
          </cell>
          <cell r="AI533">
            <v>2163</v>
          </cell>
          <cell r="AJ533">
            <v>508</v>
          </cell>
          <cell r="AK533">
            <v>595</v>
          </cell>
          <cell r="AL533">
            <v>420.81333670118698</v>
          </cell>
          <cell r="AM533">
            <v>420.81333670118698</v>
          </cell>
          <cell r="AN533">
            <v>420.81333670118698</v>
          </cell>
          <cell r="AO533">
            <v>420.81333670118698</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cell r="BM533">
            <v>0</v>
          </cell>
          <cell r="BN533">
            <v>0</v>
          </cell>
          <cell r="BO533">
            <v>0</v>
          </cell>
        </row>
        <row r="534">
          <cell r="B534" t="str">
            <v>Net debt (Pub)</v>
          </cell>
          <cell r="C534" t="str">
            <v>NET_DEBT_PUB</v>
          </cell>
          <cell r="D534" t="str">
            <v>SEK</v>
          </cell>
          <cell r="K534">
            <v>0</v>
          </cell>
          <cell r="L534">
            <v>0</v>
          </cell>
          <cell r="M534">
            <v>5550.9816213470804</v>
          </cell>
          <cell r="N534">
            <v>6839.20816599103</v>
          </cell>
          <cell r="O534">
            <v>4314.5839407819903</v>
          </cell>
          <cell r="P534">
            <v>5001.6343833181299</v>
          </cell>
          <cell r="Q534">
            <v>8430.1579680019604</v>
          </cell>
          <cell r="R534">
            <v>8057.4211288669003</v>
          </cell>
          <cell r="S534">
            <v>5715.4181754907404</v>
          </cell>
          <cell r="T534">
            <v>6496.8559899923803</v>
          </cell>
          <cell r="U534">
            <v>7773.34333468148</v>
          </cell>
          <cell r="V534">
            <v>15389.492245036199</v>
          </cell>
          <cell r="W534">
            <v>29119.734525343501</v>
          </cell>
          <cell r="X534">
            <v>33342.493543016797</v>
          </cell>
          <cell r="Y534">
            <v>30128.573350012699</v>
          </cell>
          <cell r="Z534">
            <v>25601.5196060911</v>
          </cell>
          <cell r="AA534">
            <v>28542.7364346918</v>
          </cell>
          <cell r="AB534">
            <v>24594.507717341199</v>
          </cell>
          <cell r="AC534">
            <v>27689.132986578101</v>
          </cell>
          <cell r="AD534">
            <v>33579</v>
          </cell>
          <cell r="AE534">
            <v>31221</v>
          </cell>
          <cell r="AF534">
            <v>31773</v>
          </cell>
          <cell r="AG534">
            <v>19086</v>
          </cell>
          <cell r="AH534">
            <v>14910</v>
          </cell>
          <cell r="AI534">
            <v>11131</v>
          </cell>
          <cell r="AJ534">
            <v>2646</v>
          </cell>
          <cell r="AK534">
            <v>26902</v>
          </cell>
          <cell r="AL534">
            <v>33061.803753268301</v>
          </cell>
          <cell r="AM534">
            <v>27994.9381653848</v>
          </cell>
          <cell r="AN534">
            <v>27994.9381653848</v>
          </cell>
          <cell r="AO534">
            <v>27994.9381653848</v>
          </cell>
          <cell r="AP534">
            <v>0</v>
          </cell>
        </row>
        <row r="535">
          <cell r="B535" t="str">
            <v>Net Debt (ex leases) (Pub)</v>
          </cell>
          <cell r="C535" t="str">
            <v>NET_DEBT_EX_LEASES_PUB</v>
          </cell>
          <cell r="D535" t="str">
            <v>SEK</v>
          </cell>
          <cell r="M535">
            <v>4482</v>
          </cell>
          <cell r="N535">
            <v>5729</v>
          </cell>
          <cell r="O535">
            <v>3242</v>
          </cell>
          <cell r="P535">
            <v>3830</v>
          </cell>
          <cell r="Q535">
            <v>7108</v>
          </cell>
          <cell r="R535">
            <v>6720</v>
          </cell>
          <cell r="S535">
            <v>4424</v>
          </cell>
          <cell r="T535">
            <v>5126</v>
          </cell>
          <cell r="U535">
            <v>6184</v>
          </cell>
          <cell r="V535">
            <v>13631</v>
          </cell>
          <cell r="W535">
            <v>26840</v>
          </cell>
          <cell r="X535">
            <v>30588</v>
          </cell>
          <cell r="Y535">
            <v>27685</v>
          </cell>
          <cell r="Z535">
            <v>23200</v>
          </cell>
          <cell r="AA535">
            <v>25908</v>
          </cell>
          <cell r="AB535">
            <v>21818</v>
          </cell>
          <cell r="AC535">
            <v>25184</v>
          </cell>
          <cell r="AD535">
            <v>30742</v>
          </cell>
          <cell r="AE535">
            <v>28173</v>
          </cell>
          <cell r="AF535">
            <v>28579</v>
          </cell>
          <cell r="AG535">
            <v>16040</v>
          </cell>
          <cell r="AH535">
            <v>11557</v>
          </cell>
          <cell r="AI535">
            <v>7891</v>
          </cell>
          <cell r="AJ535">
            <v>-319</v>
          </cell>
          <cell r="AK535">
            <v>22952</v>
          </cell>
          <cell r="AL535">
            <v>29111.803753268301</v>
          </cell>
          <cell r="AM535">
            <v>24044.9381653848</v>
          </cell>
          <cell r="AN535">
            <v>24044.9381653848</v>
          </cell>
          <cell r="AO535">
            <v>24044.9381653848</v>
          </cell>
          <cell r="AP535">
            <v>-3950</v>
          </cell>
        </row>
        <row r="536">
          <cell r="B536" t="str">
            <v>Consensus equivalent net debt</v>
          </cell>
          <cell r="C536" t="str">
            <v>CEEE_NDEBT</v>
          </cell>
          <cell r="D536" t="str">
            <v>SEK</v>
          </cell>
        </row>
        <row r="537">
          <cell r="B537" t="str">
            <v>Net income (Pub)</v>
          </cell>
          <cell r="C537" t="str">
            <v>NI_PUB</v>
          </cell>
          <cell r="D537" t="str">
            <v>SEK</v>
          </cell>
          <cell r="F537">
            <v>0</v>
          </cell>
          <cell r="G537">
            <v>0</v>
          </cell>
          <cell r="H537">
            <v>0</v>
          </cell>
          <cell r="I537">
            <v>0</v>
          </cell>
          <cell r="J537">
            <v>0</v>
          </cell>
          <cell r="K537">
            <v>3923</v>
          </cell>
          <cell r="L537">
            <v>3286</v>
          </cell>
          <cell r="M537">
            <v>3625</v>
          </cell>
          <cell r="N537">
            <v>2895</v>
          </cell>
          <cell r="O537">
            <v>1995</v>
          </cell>
          <cell r="P537">
            <v>3552</v>
          </cell>
          <cell r="Q537">
            <v>3863</v>
          </cell>
          <cell r="R537">
            <v>3436</v>
          </cell>
          <cell r="S537">
            <v>3388</v>
          </cell>
          <cell r="T537">
            <v>4968</v>
          </cell>
          <cell r="U537">
            <v>6110</v>
          </cell>
          <cell r="V537">
            <v>7837</v>
          </cell>
          <cell r="W537">
            <v>9235</v>
          </cell>
          <cell r="X537">
            <v>7818</v>
          </cell>
          <cell r="Y537">
            <v>296</v>
          </cell>
          <cell r="Z537">
            <v>7411</v>
          </cell>
          <cell r="AA537">
            <v>9133</v>
          </cell>
          <cell r="AB537">
            <v>9690</v>
          </cell>
          <cell r="AC537">
            <v>7412</v>
          </cell>
          <cell r="AD537">
            <v>6043.0000024991004</v>
          </cell>
          <cell r="AE537">
            <v>6827.4</v>
          </cell>
          <cell r="AF537">
            <v>6894</v>
          </cell>
          <cell r="AG537">
            <v>9119</v>
          </cell>
          <cell r="AH537">
            <v>13239</v>
          </cell>
          <cell r="AI537">
            <v>14585</v>
          </cell>
          <cell r="AJ537">
            <v>12120</v>
          </cell>
          <cell r="AK537">
            <v>12486.4</v>
          </cell>
          <cell r="AL537">
            <v>15831.9777942906</v>
          </cell>
          <cell r="AM537">
            <v>17353.438758283701</v>
          </cell>
          <cell r="AN537">
            <v>18386.8672341411</v>
          </cell>
          <cell r="AO537">
            <v>19522.661327444799</v>
          </cell>
          <cell r="AP537">
            <v>20226.227567399699</v>
          </cell>
          <cell r="AR537">
            <v>1660</v>
          </cell>
          <cell r="AS537">
            <v>1952</v>
          </cell>
          <cell r="AT537">
            <v>1887</v>
          </cell>
          <cell r="AU537">
            <v>2079</v>
          </cell>
          <cell r="AV537">
            <v>1363</v>
          </cell>
          <cell r="AW537">
            <v>1608</v>
          </cell>
          <cell r="AX537">
            <v>1529</v>
          </cell>
          <cell r="AY537">
            <v>1892</v>
          </cell>
          <cell r="AZ537">
            <v>1939</v>
          </cell>
          <cell r="BA537">
            <v>1987</v>
          </cell>
          <cell r="BB537">
            <v>1826</v>
          </cell>
          <cell r="BC537">
            <v>2354</v>
          </cell>
          <cell r="BD537">
            <v>2425</v>
          </cell>
          <cell r="BE537">
            <v>2711</v>
          </cell>
          <cell r="BF537">
            <v>2349</v>
          </cell>
          <cell r="BG537">
            <v>2658</v>
          </cell>
          <cell r="BH537">
            <v>2517</v>
          </cell>
          <cell r="BI537">
            <v>2586</v>
          </cell>
          <cell r="BJ537">
            <v>2386</v>
          </cell>
          <cell r="BK537">
            <v>1774</v>
          </cell>
          <cell r="BL537">
            <v>287</v>
          </cell>
          <cell r="BM537">
            <v>-255</v>
          </cell>
          <cell r="BN537">
            <v>0</v>
          </cell>
          <cell r="BO537">
            <v>422</v>
          </cell>
          <cell r="BP537">
            <v>1088</v>
          </cell>
          <cell r="BQ537">
            <v>1735</v>
          </cell>
          <cell r="BR537">
            <v>1760</v>
          </cell>
          <cell r="BS537">
            <v>2466</v>
          </cell>
          <cell r="BT537">
            <v>2046.0028548062601</v>
          </cell>
          <cell r="BU537">
            <v>2288.4839489913402</v>
          </cell>
          <cell r="BV537">
            <v>2534.0995523053102</v>
          </cell>
          <cell r="BW537">
            <v>2585.46908473964</v>
          </cell>
          <cell r="BX537">
            <v>2655</v>
          </cell>
          <cell r="BY537">
            <v>2991</v>
          </cell>
          <cell r="BZ537">
            <v>2199</v>
          </cell>
          <cell r="CA537">
            <v>1711</v>
          </cell>
          <cell r="CB537">
            <v>1653</v>
          </cell>
          <cell r="CC537">
            <v>2191</v>
          </cell>
          <cell r="CD537">
            <v>1721</v>
          </cell>
          <cell r="CE537">
            <v>1926</v>
          </cell>
          <cell r="CF537">
            <v>1462</v>
          </cell>
          <cell r="CG537">
            <v>1641.000200536</v>
          </cell>
          <cell r="CH537">
            <v>1487.9998066902999</v>
          </cell>
          <cell r="CI537">
            <v>1493.9999952728001</v>
          </cell>
          <cell r="CJ537">
            <v>2335</v>
          </cell>
          <cell r="CK537">
            <v>1793</v>
          </cell>
          <cell r="CL537">
            <v>1251</v>
          </cell>
          <cell r="CM537">
            <v>1367.4</v>
          </cell>
          <cell r="CN537">
            <v>1455</v>
          </cell>
          <cell r="CO537">
            <v>1671</v>
          </cell>
          <cell r="CP537">
            <v>1611</v>
          </cell>
          <cell r="CQ537">
            <v>2100</v>
          </cell>
          <cell r="CR537">
            <v>2267</v>
          </cell>
          <cell r="CS537">
            <v>2633</v>
          </cell>
          <cell r="CT537">
            <v>2342</v>
          </cell>
          <cell r="CU537">
            <v>2506</v>
          </cell>
          <cell r="CV537">
            <v>2953</v>
          </cell>
          <cell r="CW537">
            <v>3545</v>
          </cell>
          <cell r="CX537">
            <v>3310</v>
          </cell>
          <cell r="CY537">
            <v>3376</v>
          </cell>
          <cell r="CZ537">
            <v>3163</v>
          </cell>
          <cell r="DA537">
            <v>3506</v>
          </cell>
          <cell r="DB537">
            <v>3699</v>
          </cell>
          <cell r="DC537">
            <v>4406</v>
          </cell>
          <cell r="DD537">
            <v>2800</v>
          </cell>
          <cell r="DE537">
            <v>2427</v>
          </cell>
          <cell r="DF537">
            <v>3221</v>
          </cell>
          <cell r="DG537">
            <v>3651</v>
          </cell>
          <cell r="DH537">
            <v>2859.36</v>
          </cell>
          <cell r="DI537">
            <v>2958.48</v>
          </cell>
          <cell r="DJ537">
            <v>3873.32</v>
          </cell>
          <cell r="DK537">
            <v>3620.24</v>
          </cell>
          <cell r="DL537">
            <v>3707</v>
          </cell>
        </row>
        <row r="538">
          <cell r="B538" t="str">
            <v>EBIT, operating profit (Pub)</v>
          </cell>
          <cell r="C538" t="str">
            <v>EBIT_PUB</v>
          </cell>
          <cell r="D538" t="str">
            <v>SEK</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11229</v>
          </cell>
          <cell r="AA538">
            <v>16773.827018840599</v>
          </cell>
          <cell r="AB538">
            <v>16172</v>
          </cell>
          <cell r="AC538">
            <v>12940</v>
          </cell>
          <cell r="AD538">
            <v>10212.0000024991</v>
          </cell>
          <cell r="AE538">
            <v>10594.4</v>
          </cell>
          <cell r="AF538">
            <v>11018</v>
          </cell>
          <cell r="AG538">
            <v>14611</v>
          </cell>
          <cell r="AH538">
            <v>18590</v>
          </cell>
          <cell r="AI538">
            <v>19219</v>
          </cell>
          <cell r="AJ538">
            <v>14563</v>
          </cell>
          <cell r="AK538">
            <v>17486.400000000001</v>
          </cell>
          <cell r="AL538">
            <v>22358.163586315899</v>
          </cell>
          <cell r="AM538">
            <v>24451.637245907099</v>
          </cell>
          <cell r="AN538">
            <v>26004.178755201399</v>
          </cell>
          <cell r="AO538">
            <v>27485.235332562799</v>
          </cell>
          <cell r="AP538">
            <v>28404.128464686899</v>
          </cell>
          <cell r="AR538">
            <v>1660</v>
          </cell>
          <cell r="AS538">
            <v>1952</v>
          </cell>
          <cell r="AT538">
            <v>1887</v>
          </cell>
          <cell r="AU538">
            <v>2079</v>
          </cell>
          <cell r="AV538">
            <v>2041</v>
          </cell>
          <cell r="AW538">
            <v>2425</v>
          </cell>
          <cell r="AX538">
            <v>2261</v>
          </cell>
          <cell r="AY538">
            <v>2805</v>
          </cell>
          <cell r="AZ538">
            <v>2853</v>
          </cell>
          <cell r="BA538">
            <v>2995</v>
          </cell>
          <cell r="BB538">
            <v>2854</v>
          </cell>
          <cell r="BC538">
            <v>3365</v>
          </cell>
          <cell r="BD538">
            <v>3513</v>
          </cell>
          <cell r="BE538">
            <v>4043</v>
          </cell>
          <cell r="BF538">
            <v>3613</v>
          </cell>
          <cell r="BG538">
            <v>3775</v>
          </cell>
          <cell r="BH538">
            <v>3707</v>
          </cell>
          <cell r="BI538">
            <v>3959</v>
          </cell>
          <cell r="BJ538">
            <v>3700</v>
          </cell>
          <cell r="BK538">
            <v>2855</v>
          </cell>
          <cell r="BL538">
            <v>701</v>
          </cell>
          <cell r="BM538">
            <v>-225</v>
          </cell>
          <cell r="BN538">
            <v>231</v>
          </cell>
          <cell r="BO538">
            <v>933</v>
          </cell>
          <cell r="BP538">
            <v>1863</v>
          </cell>
          <cell r="BQ538">
            <v>3131</v>
          </cell>
          <cell r="BR538">
            <v>2732</v>
          </cell>
          <cell r="BS538">
            <v>3409</v>
          </cell>
          <cell r="BT538">
            <v>3191.0028548062601</v>
          </cell>
          <cell r="BU538">
            <v>3622.4839489913402</v>
          </cell>
          <cell r="BV538">
            <v>3495.0995523053102</v>
          </cell>
          <cell r="BW538">
            <v>3431.46908473964</v>
          </cell>
          <cell r="BX538">
            <v>3969</v>
          </cell>
          <cell r="BY538">
            <v>4430</v>
          </cell>
          <cell r="BZ538">
            <v>3421</v>
          </cell>
          <cell r="CA538">
            <v>3119</v>
          </cell>
          <cell r="CB538">
            <v>2733</v>
          </cell>
          <cell r="CC538">
            <v>3298</v>
          </cell>
          <cell r="CD538">
            <v>2621</v>
          </cell>
          <cell r="CE538">
            <v>2470</v>
          </cell>
          <cell r="CF538">
            <v>2447</v>
          </cell>
          <cell r="CG538">
            <v>2660.0002005360002</v>
          </cell>
          <cell r="CH538">
            <v>2491.9998066902999</v>
          </cell>
          <cell r="CI538">
            <v>2612.9999952727999</v>
          </cell>
          <cell r="CJ538">
            <v>2977</v>
          </cell>
          <cell r="CK538">
            <v>2977</v>
          </cell>
          <cell r="CL538">
            <v>2325</v>
          </cell>
          <cell r="CM538">
            <v>2315.4</v>
          </cell>
          <cell r="CN538">
            <v>2413</v>
          </cell>
          <cell r="CO538">
            <v>2705</v>
          </cell>
          <cell r="CP538">
            <v>2623</v>
          </cell>
          <cell r="CQ538">
            <v>3277</v>
          </cell>
          <cell r="CR538">
            <v>3494</v>
          </cell>
          <cell r="CS538">
            <v>3718</v>
          </cell>
          <cell r="CT538">
            <v>3338</v>
          </cell>
          <cell r="CU538">
            <v>4061</v>
          </cell>
          <cell r="CV538">
            <v>4271</v>
          </cell>
          <cell r="CW538">
            <v>5067</v>
          </cell>
          <cell r="CX538">
            <v>4587</v>
          </cell>
          <cell r="CY538">
            <v>4699</v>
          </cell>
          <cell r="CZ538">
            <v>4589</v>
          </cell>
          <cell r="DA538">
            <v>4979</v>
          </cell>
          <cell r="DB538">
            <v>4626</v>
          </cell>
          <cell r="DC538">
            <v>5238</v>
          </cell>
          <cell r="DD538">
            <v>3727</v>
          </cell>
          <cell r="DE538">
            <v>2837</v>
          </cell>
          <cell r="DF538">
            <v>3494</v>
          </cell>
          <cell r="DG538">
            <v>4504</v>
          </cell>
          <cell r="DH538">
            <v>3930.36</v>
          </cell>
          <cell r="DI538">
            <v>4198.4799999999996</v>
          </cell>
          <cell r="DJ538">
            <v>4429.32</v>
          </cell>
          <cell r="DK538">
            <v>4914.24</v>
          </cell>
          <cell r="DL538">
            <v>5043</v>
          </cell>
        </row>
        <row r="539">
          <cell r="B539" t="str">
            <v>Pre-tax profit (Pub)</v>
          </cell>
          <cell r="C539" t="str">
            <v>PTP_PUB</v>
          </cell>
          <cell r="D539" t="str">
            <v>SEK</v>
          </cell>
          <cell r="F539">
            <v>0</v>
          </cell>
          <cell r="G539">
            <v>0</v>
          </cell>
          <cell r="H539">
            <v>0</v>
          </cell>
          <cell r="I539">
            <v>0</v>
          </cell>
          <cell r="J539">
            <v>0</v>
          </cell>
          <cell r="K539">
            <v>5816</v>
          </cell>
          <cell r="L539">
            <v>4625</v>
          </cell>
          <cell r="M539">
            <v>5105</v>
          </cell>
          <cell r="N539">
            <v>4735</v>
          </cell>
          <cell r="O539">
            <v>3840</v>
          </cell>
          <cell r="P539">
            <v>5644</v>
          </cell>
          <cell r="Q539">
            <v>5781</v>
          </cell>
          <cell r="R539">
            <v>5063</v>
          </cell>
          <cell r="S539">
            <v>4787</v>
          </cell>
          <cell r="T539">
            <v>6999</v>
          </cell>
          <cell r="U539">
            <v>8908</v>
          </cell>
          <cell r="V539">
            <v>11249</v>
          </cell>
          <cell r="W539">
            <v>13116</v>
          </cell>
          <cell r="X539">
            <v>10923</v>
          </cell>
          <cell r="Y539">
            <v>-524</v>
          </cell>
          <cell r="Z539">
            <v>10189</v>
          </cell>
          <cell r="AA539">
            <v>11814</v>
          </cell>
          <cell r="AB539">
            <v>13101</v>
          </cell>
          <cell r="AC539">
            <v>9152</v>
          </cell>
          <cell r="AD539">
            <v>8296.0000024991004</v>
          </cell>
          <cell r="AE539">
            <v>8639.4</v>
          </cell>
          <cell r="AF539">
            <v>9382</v>
          </cell>
          <cell r="AG539">
            <v>12888</v>
          </cell>
          <cell r="AH539">
            <v>17874</v>
          </cell>
          <cell r="AI539">
            <v>17991</v>
          </cell>
          <cell r="AJ539">
            <v>14623</v>
          </cell>
          <cell r="AK539">
            <v>16476.400000000001</v>
          </cell>
          <cell r="AL539">
            <v>20338.283586315902</v>
          </cell>
          <cell r="AM539">
            <v>22410.157245907099</v>
          </cell>
          <cell r="AN539">
            <v>23962.6987552014</v>
          </cell>
          <cell r="AO539">
            <v>25443.7553325628</v>
          </cell>
          <cell r="AP539">
            <v>26362.648464686899</v>
          </cell>
          <cell r="AR539">
            <v>1660</v>
          </cell>
          <cell r="AS539">
            <v>1952</v>
          </cell>
          <cell r="AT539">
            <v>1887</v>
          </cell>
          <cell r="AU539">
            <v>2079</v>
          </cell>
          <cell r="AV539">
            <v>1892</v>
          </cell>
          <cell r="AW539">
            <v>2235</v>
          </cell>
          <cell r="AX539">
            <v>2126</v>
          </cell>
          <cell r="AY539">
            <v>2566</v>
          </cell>
          <cell r="AZ539">
            <v>2684</v>
          </cell>
          <cell r="BA539">
            <v>2695</v>
          </cell>
          <cell r="BB539">
            <v>2583</v>
          </cell>
          <cell r="BC539">
            <v>3151</v>
          </cell>
          <cell r="BD539">
            <v>3340</v>
          </cell>
          <cell r="BE539">
            <v>3745</v>
          </cell>
          <cell r="BF539">
            <v>3154</v>
          </cell>
          <cell r="BG539">
            <v>3308</v>
          </cell>
          <cell r="BH539">
            <v>3232</v>
          </cell>
          <cell r="BI539">
            <v>3478</v>
          </cell>
          <cell r="BJ539">
            <v>3149</v>
          </cell>
          <cell r="BK539">
            <v>2144</v>
          </cell>
          <cell r="BL539">
            <v>157</v>
          </cell>
          <cell r="BM539">
            <v>-683</v>
          </cell>
          <cell r="BN539">
            <v>-343</v>
          </cell>
          <cell r="BO539">
            <v>448</v>
          </cell>
          <cell r="BP539">
            <v>1468</v>
          </cell>
          <cell r="BQ539">
            <v>2697</v>
          </cell>
          <cell r="BR539">
            <v>2320</v>
          </cell>
          <cell r="BS539">
            <v>3034</v>
          </cell>
          <cell r="BT539">
            <v>2775.0028548062601</v>
          </cell>
          <cell r="BU539">
            <v>3133.4839489913402</v>
          </cell>
          <cell r="BV539">
            <v>2940.0995523053102</v>
          </cell>
          <cell r="BW539">
            <v>2922.46908473964</v>
          </cell>
          <cell r="BX539">
            <v>3521</v>
          </cell>
          <cell r="BY539">
            <v>3885</v>
          </cell>
          <cell r="BZ539">
            <v>2948</v>
          </cell>
          <cell r="CA539">
            <v>2612</v>
          </cell>
          <cell r="CB539">
            <v>2254</v>
          </cell>
          <cell r="CC539">
            <v>2803</v>
          </cell>
          <cell r="CD539">
            <v>2234</v>
          </cell>
          <cell r="CE539">
            <v>1946</v>
          </cell>
          <cell r="CF539">
            <v>2011</v>
          </cell>
          <cell r="CG539">
            <v>2203.0002005360002</v>
          </cell>
          <cell r="CH539">
            <v>2030.9998066902999</v>
          </cell>
          <cell r="CI539">
            <v>2110.9999952727999</v>
          </cell>
          <cell r="CJ539">
            <v>2488</v>
          </cell>
          <cell r="CK539">
            <v>2441</v>
          </cell>
          <cell r="CL539">
            <v>1871</v>
          </cell>
          <cell r="CM539">
            <v>1811.4</v>
          </cell>
          <cell r="CN539">
            <v>1996</v>
          </cell>
          <cell r="CO539">
            <v>2287</v>
          </cell>
          <cell r="CP539">
            <v>2223</v>
          </cell>
          <cell r="CQ539">
            <v>2860</v>
          </cell>
          <cell r="CR539">
            <v>3107</v>
          </cell>
          <cell r="CS539">
            <v>3492</v>
          </cell>
          <cell r="CT539">
            <v>3145</v>
          </cell>
          <cell r="CU539">
            <v>3787</v>
          </cell>
          <cell r="CV539">
            <v>4018</v>
          </cell>
          <cell r="CW539">
            <v>4801</v>
          </cell>
          <cell r="CX539">
            <v>4447</v>
          </cell>
          <cell r="CY539">
            <v>4563</v>
          </cell>
          <cell r="CZ539">
            <v>4211</v>
          </cell>
          <cell r="DA539">
            <v>4592</v>
          </cell>
          <cell r="DB539">
            <v>4428</v>
          </cell>
          <cell r="DC539">
            <v>4965</v>
          </cell>
          <cell r="DD539">
            <v>3311</v>
          </cell>
          <cell r="DE539">
            <v>2857</v>
          </cell>
          <cell r="DF539">
            <v>4023</v>
          </cell>
          <cell r="DG539">
            <v>4425</v>
          </cell>
          <cell r="DH539">
            <v>3659.36</v>
          </cell>
          <cell r="DI539">
            <v>4101.4799999999996</v>
          </cell>
          <cell r="DJ539">
            <v>4495.32</v>
          </cell>
          <cell r="DK539">
            <v>5022.24</v>
          </cell>
          <cell r="DL539">
            <v>4744</v>
          </cell>
        </row>
        <row r="540">
          <cell r="B540" t="str">
            <v>Sales, revenue (Pub)</v>
          </cell>
          <cell r="C540" t="str">
            <v>REVS_PUB</v>
          </cell>
          <cell r="D540" t="str">
            <v>SEK</v>
          </cell>
          <cell r="F540">
            <v>16629</v>
          </cell>
          <cell r="G540">
            <v>16940</v>
          </cell>
          <cell r="H540">
            <v>16008</v>
          </cell>
          <cell r="I540">
            <v>19407</v>
          </cell>
          <cell r="J540">
            <v>22698</v>
          </cell>
          <cell r="K540">
            <v>29700</v>
          </cell>
          <cell r="L540">
            <v>28265</v>
          </cell>
          <cell r="M540">
            <v>34119</v>
          </cell>
          <cell r="N540">
            <v>42400</v>
          </cell>
          <cell r="O540">
            <v>39300</v>
          </cell>
          <cell r="P540">
            <v>43750</v>
          </cell>
          <cell r="Q540">
            <v>48900</v>
          </cell>
          <cell r="R540">
            <v>48700</v>
          </cell>
          <cell r="S540">
            <v>48810</v>
          </cell>
          <cell r="T540">
            <v>54610</v>
          </cell>
          <cell r="U540">
            <v>63370</v>
          </cell>
          <cell r="V540">
            <v>72289</v>
          </cell>
          <cell r="W540">
            <v>86338</v>
          </cell>
          <cell r="X540">
            <v>92654</v>
          </cell>
          <cell r="Y540">
            <v>71937</v>
          </cell>
          <cell r="Z540">
            <v>82654</v>
          </cell>
          <cell r="AA540">
            <v>94084</v>
          </cell>
          <cell r="AB540">
            <v>98529</v>
          </cell>
          <cell r="AC540">
            <v>87328</v>
          </cell>
          <cell r="AD540">
            <v>88821</v>
          </cell>
          <cell r="AE540">
            <v>85845</v>
          </cell>
          <cell r="AF540">
            <v>81553</v>
          </cell>
          <cell r="AG540">
            <v>90905</v>
          </cell>
          <cell r="AH540">
            <v>100072</v>
          </cell>
          <cell r="AI540">
            <v>103238</v>
          </cell>
          <cell r="AJ540">
            <v>86404</v>
          </cell>
          <cell r="AK540">
            <v>99105</v>
          </cell>
          <cell r="AL540">
            <v>111143.28128539999</v>
          </cell>
          <cell r="AM540">
            <v>120645.670245264</v>
          </cell>
          <cell r="AN540">
            <v>130160.517830326</v>
          </cell>
          <cell r="AO540">
            <v>139495.48499683</v>
          </cell>
          <cell r="AP540">
            <v>147541.19114304299</v>
          </cell>
          <cell r="AR540">
            <v>12680</v>
          </cell>
          <cell r="AS540">
            <v>13980</v>
          </cell>
          <cell r="AT540">
            <v>13570</v>
          </cell>
          <cell r="AU540">
            <v>14380</v>
          </cell>
          <cell r="AV540">
            <v>14194</v>
          </cell>
          <cell r="AW540">
            <v>16150</v>
          </cell>
          <cell r="AX540">
            <v>15554</v>
          </cell>
          <cell r="AY540">
            <v>17473</v>
          </cell>
          <cell r="AZ540">
            <v>17481</v>
          </cell>
          <cell r="BA540">
            <v>17851</v>
          </cell>
          <cell r="BB540">
            <v>17587</v>
          </cell>
          <cell r="BC540">
            <v>19370</v>
          </cell>
          <cell r="BD540">
            <v>20409</v>
          </cell>
          <cell r="BE540">
            <v>22002</v>
          </cell>
          <cell r="BF540">
            <v>21216</v>
          </cell>
          <cell r="BG540">
            <v>22711</v>
          </cell>
          <cell r="BH540">
            <v>21990</v>
          </cell>
          <cell r="BI540">
            <v>24016</v>
          </cell>
          <cell r="BJ540">
            <v>22478</v>
          </cell>
          <cell r="BK540">
            <v>24171</v>
          </cell>
          <cell r="BL540">
            <v>19136</v>
          </cell>
          <cell r="BM540">
            <v>18011</v>
          </cell>
          <cell r="BN540">
            <v>16578</v>
          </cell>
          <cell r="BO540">
            <v>18211</v>
          </cell>
          <cell r="BP540">
            <v>18534</v>
          </cell>
          <cell r="BQ540">
            <v>20603</v>
          </cell>
          <cell r="BR540">
            <v>20241</v>
          </cell>
          <cell r="BS540">
            <v>23276</v>
          </cell>
          <cell r="BT540">
            <v>22030.002854806298</v>
          </cell>
          <cell r="BU540">
            <v>23421.483948991299</v>
          </cell>
          <cell r="BV540">
            <v>23528.099552305299</v>
          </cell>
          <cell r="BW540">
            <v>25104.469084739601</v>
          </cell>
          <cell r="BX540">
            <v>24838</v>
          </cell>
          <cell r="BY540">
            <v>25939</v>
          </cell>
          <cell r="BZ540">
            <v>23424</v>
          </cell>
          <cell r="CA540">
            <v>24328</v>
          </cell>
          <cell r="CB540">
            <v>22098</v>
          </cell>
          <cell r="CC540">
            <v>23043</v>
          </cell>
          <cell r="CD540">
            <v>20416</v>
          </cell>
          <cell r="CE540">
            <v>21770</v>
          </cell>
          <cell r="CF540">
            <v>19284</v>
          </cell>
          <cell r="CG540">
            <v>20632</v>
          </cell>
          <cell r="CH540">
            <v>20901</v>
          </cell>
          <cell r="CI540">
            <v>21699</v>
          </cell>
          <cell r="CJ540">
            <v>21955</v>
          </cell>
          <cell r="CK540">
            <v>22196</v>
          </cell>
          <cell r="CL540">
            <v>20741</v>
          </cell>
          <cell r="CM540">
            <v>20934</v>
          </cell>
          <cell r="CN540">
            <v>19695</v>
          </cell>
          <cell r="CO540">
            <v>20315</v>
          </cell>
          <cell r="CP540">
            <v>19708</v>
          </cell>
          <cell r="CQ540">
            <v>21814</v>
          </cell>
          <cell r="CR540">
            <v>21767</v>
          </cell>
          <cell r="CS540">
            <v>23552</v>
          </cell>
          <cell r="CT540">
            <v>21649</v>
          </cell>
          <cell r="CU540">
            <v>23936</v>
          </cell>
          <cell r="CV540">
            <v>23685</v>
          </cell>
          <cell r="CW540">
            <v>25717</v>
          </cell>
          <cell r="CX540">
            <v>23850</v>
          </cell>
          <cell r="CY540">
            <v>25502</v>
          </cell>
          <cell r="CZ540">
            <v>25026</v>
          </cell>
          <cell r="DA540">
            <v>26467</v>
          </cell>
          <cell r="DB540">
            <v>25163</v>
          </cell>
          <cell r="DC540">
            <v>26583</v>
          </cell>
          <cell r="DD540">
            <v>23620</v>
          </cell>
          <cell r="DE540">
            <v>20231</v>
          </cell>
          <cell r="DF540">
            <v>20146</v>
          </cell>
          <cell r="DG540">
            <v>22407</v>
          </cell>
          <cell r="DH540">
            <v>21693</v>
          </cell>
          <cell r="DI540">
            <v>23461</v>
          </cell>
          <cell r="DJ540">
            <v>24825</v>
          </cell>
          <cell r="DK540">
            <v>29126</v>
          </cell>
          <cell r="DL540">
            <v>24922</v>
          </cell>
        </row>
        <row r="541">
          <cell r="B541" t="str">
            <v>Total shareholders' equity (Pub)</v>
          </cell>
          <cell r="C541" t="str">
            <v>EQ_PUB</v>
          </cell>
          <cell r="D541" t="str">
            <v>SEK</v>
          </cell>
          <cell r="F541">
            <v>0</v>
          </cell>
          <cell r="G541">
            <v>0</v>
          </cell>
          <cell r="H541">
            <v>0</v>
          </cell>
          <cell r="I541">
            <v>0</v>
          </cell>
          <cell r="J541">
            <v>0</v>
          </cell>
          <cell r="K541">
            <v>0</v>
          </cell>
          <cell r="L541">
            <v>0</v>
          </cell>
          <cell r="M541">
            <v>18583</v>
          </cell>
          <cell r="N541">
            <v>19493</v>
          </cell>
          <cell r="O541">
            <v>20997</v>
          </cell>
          <cell r="P541">
            <v>23403</v>
          </cell>
          <cell r="Q541">
            <v>24939</v>
          </cell>
          <cell r="R541">
            <v>24169</v>
          </cell>
          <cell r="S541">
            <v>22286</v>
          </cell>
          <cell r="T541">
            <v>23551</v>
          </cell>
          <cell r="U541">
            <v>24507</v>
          </cell>
          <cell r="V541">
            <v>27198</v>
          </cell>
          <cell r="W541">
            <v>29823</v>
          </cell>
          <cell r="X541">
            <v>36725</v>
          </cell>
          <cell r="Y541">
            <v>29957</v>
          </cell>
          <cell r="Z541">
            <v>33813</v>
          </cell>
          <cell r="AA541">
            <v>33891</v>
          </cell>
          <cell r="AB541">
            <v>36232</v>
          </cell>
          <cell r="AC541">
            <v>33610</v>
          </cell>
          <cell r="AD541">
            <v>36672</v>
          </cell>
          <cell r="AE541">
            <v>34060</v>
          </cell>
          <cell r="AF541">
            <v>39290</v>
          </cell>
          <cell r="AG541">
            <v>48771</v>
          </cell>
          <cell r="AH541">
            <v>58518</v>
          </cell>
          <cell r="AI541">
            <v>61858</v>
          </cell>
          <cell r="AJ541">
            <v>65082</v>
          </cell>
          <cell r="AK541">
            <v>77332</v>
          </cell>
          <cell r="AL541">
            <v>71910.210282894404</v>
          </cell>
          <cell r="AM541">
            <v>79886.579470795696</v>
          </cell>
          <cell r="AN541">
            <v>89403.138133158893</v>
          </cell>
          <cell r="AO541">
            <v>99201.396122161706</v>
          </cell>
          <cell r="AP541">
            <v>109139.304776248</v>
          </cell>
        </row>
        <row r="542">
          <cell r="A542" t="str">
            <v>Income Statement</v>
          </cell>
        </row>
        <row r="543">
          <cell r="B543" t="str">
            <v>Provision for income tax</v>
          </cell>
          <cell r="C543" t="str">
            <v>PROV_INC_TAX</v>
          </cell>
          <cell r="D543" t="str">
            <v>SEK</v>
          </cell>
          <cell r="F543">
            <v>0</v>
          </cell>
          <cell r="G543">
            <v>0</v>
          </cell>
          <cell r="H543">
            <v>0</v>
          </cell>
          <cell r="I543">
            <v>0</v>
          </cell>
          <cell r="J543">
            <v>0</v>
          </cell>
          <cell r="K543">
            <v>-1691</v>
          </cell>
          <cell r="L543">
            <v>-1204</v>
          </cell>
          <cell r="M543">
            <v>-1283</v>
          </cell>
          <cell r="N543">
            <v>-1675</v>
          </cell>
          <cell r="O543">
            <v>-1688</v>
          </cell>
          <cell r="P543">
            <v>-1881</v>
          </cell>
          <cell r="Q543">
            <v>-1712</v>
          </cell>
          <cell r="R543">
            <v>-1431</v>
          </cell>
          <cell r="S543">
            <v>-1212</v>
          </cell>
          <cell r="T543">
            <v>-1766</v>
          </cell>
          <cell r="U543">
            <v>-2427</v>
          </cell>
          <cell r="V543">
            <v>-3006</v>
          </cell>
          <cell r="W543">
            <v>-3403</v>
          </cell>
          <cell r="X543">
            <v>-2741</v>
          </cell>
          <cell r="Y543">
            <v>876</v>
          </cell>
          <cell r="Z543">
            <v>-2469</v>
          </cell>
          <cell r="AA543">
            <v>-2318</v>
          </cell>
          <cell r="AB543">
            <v>-3409</v>
          </cell>
          <cell r="AC543">
            <v>-1745</v>
          </cell>
          <cell r="AD543">
            <v>-2272</v>
          </cell>
          <cell r="AE543">
            <v>-1865</v>
          </cell>
          <cell r="AF543">
            <v>-2528</v>
          </cell>
          <cell r="AG543">
            <v>-3783</v>
          </cell>
          <cell r="AH543">
            <v>-4645</v>
          </cell>
          <cell r="AI543">
            <v>-3422</v>
          </cell>
          <cell r="AJ543">
            <v>-2517</v>
          </cell>
          <cell r="AK543">
            <v>-3967</v>
          </cell>
          <cell r="AL543">
            <v>-4451.3057920252904</v>
          </cell>
          <cell r="AM543">
            <v>-4997.0161665586402</v>
          </cell>
          <cell r="AN543">
            <v>-5511.4207136963196</v>
          </cell>
          <cell r="AO543">
            <v>-5852.0637264894503</v>
          </cell>
          <cell r="AP543">
            <v>-6063.4091468779798</v>
          </cell>
        </row>
        <row r="544">
          <cell r="B544" t="str">
            <v>Minority interest</v>
          </cell>
          <cell r="C544" t="str">
            <v>INC_MINORITY</v>
          </cell>
          <cell r="D544" t="str">
            <v>SEK</v>
          </cell>
          <cell r="F544">
            <v>0</v>
          </cell>
          <cell r="G544">
            <v>0</v>
          </cell>
          <cell r="H544">
            <v>0</v>
          </cell>
          <cell r="I544">
            <v>0</v>
          </cell>
          <cell r="J544">
            <v>0</v>
          </cell>
          <cell r="K544">
            <v>-202</v>
          </cell>
          <cell r="L544">
            <v>-135</v>
          </cell>
          <cell r="M544">
            <v>-197</v>
          </cell>
          <cell r="N544">
            <v>-165</v>
          </cell>
          <cell r="O544">
            <v>-157</v>
          </cell>
          <cell r="P544">
            <v>-211</v>
          </cell>
          <cell r="Q544">
            <v>-206</v>
          </cell>
          <cell r="R544">
            <v>-196</v>
          </cell>
          <cell r="S544">
            <v>-187</v>
          </cell>
          <cell r="T544">
            <v>-265</v>
          </cell>
          <cell r="U544">
            <v>-371</v>
          </cell>
          <cell r="V544">
            <v>-406</v>
          </cell>
          <cell r="W544">
            <v>-478</v>
          </cell>
          <cell r="X544">
            <v>-364</v>
          </cell>
          <cell r="Y544">
            <v>-56</v>
          </cell>
          <cell r="Z544">
            <v>-309</v>
          </cell>
          <cell r="AA544">
            <v>-363</v>
          </cell>
          <cell r="AB544">
            <v>-2</v>
          </cell>
          <cell r="AC544">
            <v>5</v>
          </cell>
          <cell r="AD544">
            <v>19</v>
          </cell>
          <cell r="AE544">
            <v>53</v>
          </cell>
          <cell r="AF544">
            <v>40</v>
          </cell>
          <cell r="AG544">
            <v>14</v>
          </cell>
          <cell r="AH544">
            <v>10</v>
          </cell>
          <cell r="AI544">
            <v>16</v>
          </cell>
          <cell r="AJ544">
            <v>14</v>
          </cell>
          <cell r="AK544">
            <v>-23</v>
          </cell>
          <cell r="AL544">
            <v>-55</v>
          </cell>
          <cell r="AM544">
            <v>-59.702321064739003</v>
          </cell>
          <cell r="AN544">
            <v>-64.410807363920995</v>
          </cell>
          <cell r="AO544">
            <v>-69.030278628578998</v>
          </cell>
          <cell r="AP544">
            <v>-73.011750409184003</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row>
        <row r="545">
          <cell r="B545" t="str">
            <v>Net income (pre-preferred dividends)</v>
          </cell>
          <cell r="C545" t="str">
            <v>NI_PRE_PREF</v>
          </cell>
          <cell r="D545" t="str">
            <v>SEK</v>
          </cell>
          <cell r="F545">
            <v>0</v>
          </cell>
          <cell r="G545">
            <v>0</v>
          </cell>
          <cell r="H545">
            <v>0</v>
          </cell>
          <cell r="I545">
            <v>0</v>
          </cell>
          <cell r="J545">
            <v>0</v>
          </cell>
          <cell r="K545">
            <v>3923</v>
          </cell>
          <cell r="L545">
            <v>3286</v>
          </cell>
          <cell r="M545">
            <v>3625</v>
          </cell>
          <cell r="N545">
            <v>2895</v>
          </cell>
          <cell r="O545">
            <v>1995</v>
          </cell>
          <cell r="P545">
            <v>3552</v>
          </cell>
          <cell r="Q545">
            <v>3863</v>
          </cell>
          <cell r="R545">
            <v>3436</v>
          </cell>
          <cell r="S545">
            <v>3388</v>
          </cell>
          <cell r="T545">
            <v>4968</v>
          </cell>
          <cell r="U545">
            <v>6110</v>
          </cell>
          <cell r="V545">
            <v>7837</v>
          </cell>
          <cell r="W545">
            <v>9235</v>
          </cell>
          <cell r="X545">
            <v>7818</v>
          </cell>
          <cell r="Y545">
            <v>296</v>
          </cell>
          <cell r="Z545">
            <v>7411</v>
          </cell>
          <cell r="AA545">
            <v>9133</v>
          </cell>
          <cell r="AB545">
            <v>9690</v>
          </cell>
          <cell r="AC545">
            <v>7412</v>
          </cell>
          <cell r="AD545">
            <v>6043.0000024991004</v>
          </cell>
          <cell r="AE545">
            <v>6827.4</v>
          </cell>
          <cell r="AF545">
            <v>6894</v>
          </cell>
          <cell r="AG545">
            <v>9119</v>
          </cell>
          <cell r="AH545">
            <v>13239</v>
          </cell>
          <cell r="AI545">
            <v>14585</v>
          </cell>
          <cell r="AJ545">
            <v>12120</v>
          </cell>
          <cell r="AK545">
            <v>12486.4</v>
          </cell>
          <cell r="AL545">
            <v>15831.9777942906</v>
          </cell>
          <cell r="AM545">
            <v>17353.438758283701</v>
          </cell>
          <cell r="AN545">
            <v>18386.8672341411</v>
          </cell>
          <cell r="AO545">
            <v>19522.661327444799</v>
          </cell>
          <cell r="AP545">
            <v>20226.227567399699</v>
          </cell>
        </row>
        <row r="546">
          <cell r="B546" t="str">
            <v>Preferred dividends</v>
          </cell>
          <cell r="C546" t="str">
            <v>PREF_DIV</v>
          </cell>
          <cell r="D546" t="str">
            <v>SEK</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cell r="BM546">
            <v>0</v>
          </cell>
          <cell r="BN546">
            <v>0</v>
          </cell>
          <cell r="BO546">
            <v>0</v>
          </cell>
        </row>
        <row r="547">
          <cell r="B547" t="str">
            <v>Net income (pre-exceptionals)</v>
          </cell>
          <cell r="C547" t="str">
            <v>NET_EARNING</v>
          </cell>
          <cell r="D547" t="str">
            <v>SEK</v>
          </cell>
          <cell r="F547">
            <v>0</v>
          </cell>
          <cell r="G547">
            <v>0</v>
          </cell>
          <cell r="H547">
            <v>0</v>
          </cell>
          <cell r="I547">
            <v>0</v>
          </cell>
          <cell r="J547">
            <v>0</v>
          </cell>
          <cell r="K547">
            <v>3923</v>
          </cell>
          <cell r="L547">
            <v>3286</v>
          </cell>
          <cell r="M547">
            <v>3625</v>
          </cell>
          <cell r="N547">
            <v>2895</v>
          </cell>
          <cell r="O547">
            <v>1995</v>
          </cell>
          <cell r="P547">
            <v>3552</v>
          </cell>
          <cell r="Q547">
            <v>3863</v>
          </cell>
          <cell r="R547">
            <v>3436</v>
          </cell>
          <cell r="S547">
            <v>3388</v>
          </cell>
          <cell r="T547">
            <v>4968</v>
          </cell>
          <cell r="U547">
            <v>6110</v>
          </cell>
          <cell r="V547">
            <v>7837</v>
          </cell>
          <cell r="W547">
            <v>9235</v>
          </cell>
          <cell r="X547">
            <v>7818</v>
          </cell>
          <cell r="Y547">
            <v>296</v>
          </cell>
          <cell r="Z547">
            <v>7411</v>
          </cell>
          <cell r="AA547">
            <v>9133</v>
          </cell>
          <cell r="AB547">
            <v>9690</v>
          </cell>
          <cell r="AC547">
            <v>7412</v>
          </cell>
          <cell r="AD547">
            <v>6043.0000024991004</v>
          </cell>
          <cell r="AE547">
            <v>6827.4</v>
          </cell>
          <cell r="AF547">
            <v>6894</v>
          </cell>
          <cell r="AG547">
            <v>9119</v>
          </cell>
          <cell r="AH547">
            <v>13239</v>
          </cell>
          <cell r="AI547">
            <v>14585</v>
          </cell>
          <cell r="AJ547">
            <v>12120</v>
          </cell>
          <cell r="AK547">
            <v>12486.4</v>
          </cell>
          <cell r="AL547">
            <v>15831.9777942906</v>
          </cell>
          <cell r="AM547">
            <v>17353.438758283701</v>
          </cell>
          <cell r="AN547">
            <v>18386.8672341411</v>
          </cell>
          <cell r="AO547">
            <v>19522.661327444799</v>
          </cell>
          <cell r="AP547">
            <v>20226.227567399699</v>
          </cell>
        </row>
        <row r="548">
          <cell r="B548" t="str">
            <v>Post-tax exceptionals</v>
          </cell>
          <cell r="C548" t="str">
            <v>TAX_EXC</v>
          </cell>
          <cell r="D548" t="str">
            <v>SEK</v>
          </cell>
          <cell r="F548">
            <v>0</v>
          </cell>
          <cell r="G548">
            <v>0</v>
          </cell>
          <cell r="H548">
            <v>0</v>
          </cell>
          <cell r="I548">
            <v>0</v>
          </cell>
          <cell r="J548">
            <v>0</v>
          </cell>
          <cell r="K548">
            <v>-196</v>
          </cell>
          <cell r="L548">
            <v>-172</v>
          </cell>
          <cell r="M548">
            <v>-900</v>
          </cell>
          <cell r="N548">
            <v>-800</v>
          </cell>
          <cell r="O548">
            <v>1625</v>
          </cell>
          <cell r="P548">
            <v>160</v>
          </cell>
          <cell r="Q548">
            <v>-175</v>
          </cell>
          <cell r="R548">
            <v>0</v>
          </cell>
          <cell r="S548">
            <v>-600</v>
          </cell>
          <cell r="T548">
            <v>-122</v>
          </cell>
          <cell r="U548">
            <v>-89</v>
          </cell>
          <cell r="V548">
            <v>-136</v>
          </cell>
          <cell r="W548">
            <v>-119</v>
          </cell>
          <cell r="X548">
            <v>-346</v>
          </cell>
          <cell r="Y548">
            <v>-2510</v>
          </cell>
          <cell r="Z548">
            <v>-400</v>
          </cell>
          <cell r="AA548">
            <v>-3370</v>
          </cell>
          <cell r="AB548">
            <v>-1150</v>
          </cell>
          <cell r="AC548">
            <v>-2190</v>
          </cell>
          <cell r="AD548">
            <v>-32.000002499099999</v>
          </cell>
          <cell r="AE548">
            <v>-4580.3999999999996</v>
          </cell>
          <cell r="AF548">
            <v>-1386</v>
          </cell>
          <cell r="AG548">
            <v>3352</v>
          </cell>
          <cell r="AH548">
            <v>-525</v>
          </cell>
          <cell r="AI548">
            <v>-6046</v>
          </cell>
          <cell r="AJ548">
            <v>-3385</v>
          </cell>
          <cell r="AK548">
            <v>1974.6</v>
          </cell>
          <cell r="AL548">
            <v>2616.5659886037802</v>
          </cell>
          <cell r="AM548">
            <v>0</v>
          </cell>
          <cell r="AN548">
            <v>0</v>
          </cell>
          <cell r="AO548">
            <v>0</v>
          </cell>
          <cell r="AP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cell r="BM548">
            <v>0</v>
          </cell>
          <cell r="BN548">
            <v>0</v>
          </cell>
          <cell r="BO548">
            <v>0</v>
          </cell>
        </row>
        <row r="549">
          <cell r="B549" t="str">
            <v>Net income (post-exceptionals)</v>
          </cell>
          <cell r="C549" t="str">
            <v>NET_INC</v>
          </cell>
          <cell r="D549" t="str">
            <v>SEK</v>
          </cell>
          <cell r="F549">
            <v>0</v>
          </cell>
          <cell r="G549">
            <v>0</v>
          </cell>
          <cell r="H549">
            <v>0</v>
          </cell>
          <cell r="I549">
            <v>0</v>
          </cell>
          <cell r="J549">
            <v>0</v>
          </cell>
          <cell r="K549">
            <v>3727</v>
          </cell>
          <cell r="L549">
            <v>3114</v>
          </cell>
          <cell r="M549">
            <v>2725</v>
          </cell>
          <cell r="N549">
            <v>2095</v>
          </cell>
          <cell r="O549">
            <v>3620</v>
          </cell>
          <cell r="P549">
            <v>3712</v>
          </cell>
          <cell r="Q549">
            <v>3688</v>
          </cell>
          <cell r="R549">
            <v>3436</v>
          </cell>
          <cell r="S549">
            <v>2788</v>
          </cell>
          <cell r="T549">
            <v>4846</v>
          </cell>
          <cell r="U549">
            <v>6021</v>
          </cell>
          <cell r="V549">
            <v>7701</v>
          </cell>
          <cell r="W549">
            <v>9116</v>
          </cell>
          <cell r="X549">
            <v>7472</v>
          </cell>
          <cell r="Y549">
            <v>-2214</v>
          </cell>
          <cell r="Z549">
            <v>7011</v>
          </cell>
          <cell r="AA549">
            <v>5763</v>
          </cell>
          <cell r="AB549">
            <v>8540</v>
          </cell>
          <cell r="AC549">
            <v>5222</v>
          </cell>
          <cell r="AD549">
            <v>6011</v>
          </cell>
          <cell r="AE549">
            <v>2247</v>
          </cell>
          <cell r="AF549">
            <v>5508</v>
          </cell>
          <cell r="AG549">
            <v>12471</v>
          </cell>
          <cell r="AH549">
            <v>12714</v>
          </cell>
          <cell r="AI549">
            <v>8539</v>
          </cell>
          <cell r="AJ549">
            <v>8735</v>
          </cell>
          <cell r="AK549">
            <v>14461</v>
          </cell>
          <cell r="AL549">
            <v>18448.543782894401</v>
          </cell>
          <cell r="AM549">
            <v>17353.438758283701</v>
          </cell>
          <cell r="AN549">
            <v>18386.8672341411</v>
          </cell>
          <cell r="AO549">
            <v>19522.661327444799</v>
          </cell>
          <cell r="AP549">
            <v>20226.227567399699</v>
          </cell>
        </row>
        <row r="550">
          <cell r="B550" t="str">
            <v>EPS (pre-exceptionals, basic)</v>
          </cell>
          <cell r="C550" t="str">
            <v>EPS</v>
          </cell>
          <cell r="D550" t="str">
            <v>SEK</v>
          </cell>
          <cell r="K550">
            <v>2.82</v>
          </cell>
          <cell r="L550">
            <v>2.36</v>
          </cell>
          <cell r="M550">
            <v>2.8</v>
          </cell>
          <cell r="N550">
            <v>2.2400000000000002</v>
          </cell>
          <cell r="O550">
            <v>1.54</v>
          </cell>
          <cell r="P550">
            <v>2.75</v>
          </cell>
          <cell r="Q550">
            <v>3.08</v>
          </cell>
          <cell r="R550">
            <v>2.75</v>
          </cell>
          <cell r="S550">
            <v>2.71</v>
          </cell>
          <cell r="T550">
            <v>4.0199999999999996</v>
          </cell>
          <cell r="U550">
            <v>5.15</v>
          </cell>
          <cell r="V550">
            <v>6.61</v>
          </cell>
          <cell r="W550">
            <v>7.78</v>
          </cell>
          <cell r="X550">
            <v>6.59</v>
          </cell>
          <cell r="Y550">
            <v>0.25</v>
          </cell>
          <cell r="Z550">
            <v>6.25</v>
          </cell>
          <cell r="AA550">
            <v>7.7</v>
          </cell>
          <cell r="AB550">
            <v>7.78</v>
          </cell>
          <cell r="AC550">
            <v>5.91</v>
          </cell>
          <cell r="AD550">
            <v>4.82</v>
          </cell>
          <cell r="AE550">
            <v>5.44</v>
          </cell>
          <cell r="AF550">
            <v>5.4959159301840002</v>
          </cell>
          <cell r="AG550">
            <v>7.27</v>
          </cell>
          <cell r="AH550">
            <v>10.55</v>
          </cell>
          <cell r="AI550">
            <v>11.63</v>
          </cell>
          <cell r="AJ550">
            <v>9.66</v>
          </cell>
          <cell r="AK550">
            <v>9.9499999999999993</v>
          </cell>
          <cell r="AL550">
            <v>12.62</v>
          </cell>
          <cell r="AM550">
            <v>13.83</v>
          </cell>
          <cell r="AN550">
            <v>14.66</v>
          </cell>
          <cell r="AO550">
            <v>15.56</v>
          </cell>
          <cell r="AP550">
            <v>16.12</v>
          </cell>
        </row>
        <row r="551">
          <cell r="B551" t="str">
            <v>EPS (pre-exceptionals, diluted)</v>
          </cell>
          <cell r="C551" t="str">
            <v>EPS_FUL_DIL</v>
          </cell>
          <cell r="D551" t="str">
            <v>SEK</v>
          </cell>
          <cell r="K551">
            <v>2.8172351885100002</v>
          </cell>
          <cell r="L551">
            <v>2.359784560144</v>
          </cell>
          <cell r="M551">
            <v>2.8024739080019998</v>
          </cell>
          <cell r="N551">
            <v>2.2381136451489998</v>
          </cell>
          <cell r="O551">
            <v>1.542327019714</v>
          </cell>
          <cell r="P551">
            <v>2.7460378817160001</v>
          </cell>
          <cell r="Q551">
            <v>3.0778424029960001</v>
          </cell>
          <cell r="R551">
            <v>2.7485801135910002</v>
          </cell>
          <cell r="S551">
            <v>2.710183185345</v>
          </cell>
          <cell r="T551">
            <v>4.0220207253889999</v>
          </cell>
          <cell r="U551">
            <v>5.150467841187</v>
          </cell>
          <cell r="V551">
            <v>6.6062547416340003</v>
          </cell>
          <cell r="W551">
            <v>7.7847087583240002</v>
          </cell>
          <cell r="X551">
            <v>6.5902385568569999</v>
          </cell>
          <cell r="Y551">
            <v>0.249518034</v>
          </cell>
          <cell r="Z551">
            <v>6.2472234796470003</v>
          </cell>
          <cell r="AA551">
            <v>7.6988115017699998</v>
          </cell>
          <cell r="AB551">
            <v>7.7776725415249999</v>
          </cell>
          <cell r="AC551">
            <v>5.9088669675840002</v>
          </cell>
          <cell r="AD551">
            <v>4.8174963707340002</v>
          </cell>
          <cell r="AE551">
            <v>5.4428222253760001</v>
          </cell>
          <cell r="AF551">
            <v>5.4959159301840002</v>
          </cell>
          <cell r="AG551">
            <v>7.2696921043440001</v>
          </cell>
          <cell r="AH551">
            <v>10.554167536946</v>
          </cell>
          <cell r="AI551">
            <v>11.627202471965999</v>
          </cell>
          <cell r="AJ551">
            <v>9.6620976318290008</v>
          </cell>
          <cell r="AK551">
            <v>9.9541927285540002</v>
          </cell>
          <cell r="AL551">
            <v>12.621296629818</v>
          </cell>
          <cell r="AM551">
            <v>13.834209532219999</v>
          </cell>
          <cell r="AN551">
            <v>14.658061580838</v>
          </cell>
          <cell r="AO551">
            <v>15.563519783739</v>
          </cell>
          <cell r="AP551">
            <v>16.124404742559001</v>
          </cell>
        </row>
        <row r="552">
          <cell r="B552" t="str">
            <v>EPS (post-exceptionals, basic)</v>
          </cell>
          <cell r="C552" t="str">
            <v>EPS_POST_BASIC</v>
          </cell>
          <cell r="D552" t="str">
            <v>SEK</v>
          </cell>
          <cell r="K552">
            <v>2.676481149013</v>
          </cell>
          <cell r="L552">
            <v>2.2362657091560001</v>
          </cell>
          <cell r="M552">
            <v>2.106687282567</v>
          </cell>
          <cell r="N552">
            <v>1.6196366447620001</v>
          </cell>
          <cell r="O552">
            <v>2.7986084267489999</v>
          </cell>
          <cell r="P552">
            <v>2.8697332817939998</v>
          </cell>
          <cell r="Q552">
            <v>2.9384112819700001</v>
          </cell>
          <cell r="R552">
            <v>2.7485801135910002</v>
          </cell>
          <cell r="S552">
            <v>2.2302215822729998</v>
          </cell>
          <cell r="T552">
            <v>3.9232512953369998</v>
          </cell>
          <cell r="U552">
            <v>5.0754446598670002</v>
          </cell>
          <cell r="V552">
            <v>6.4916125769199997</v>
          </cell>
          <cell r="W552">
            <v>7.6843968642</v>
          </cell>
          <cell r="X552">
            <v>6.2985754025120002</v>
          </cell>
          <cell r="Y552">
            <v>-1.8663274570149999</v>
          </cell>
          <cell r="Z552">
            <v>5.9100369472140004</v>
          </cell>
          <cell r="AA552">
            <v>4.8580149660240002</v>
          </cell>
          <cell r="AB552">
            <v>6.8546257486710003</v>
          </cell>
          <cell r="AC552">
            <v>4.1629928905459996</v>
          </cell>
          <cell r="AD552">
            <v>4.7919858799439998</v>
          </cell>
          <cell r="AE552">
            <v>1.7913146352080001</v>
          </cell>
          <cell r="AF552">
            <v>4.3909928841679999</v>
          </cell>
          <cell r="AG552">
            <v>9.9419158058210009</v>
          </cell>
          <cell r="AH552">
            <v>10.135636080122</v>
          </cell>
          <cell r="AI552">
            <v>6.8073144949</v>
          </cell>
          <cell r="AJ552">
            <v>6.9635662387809996</v>
          </cell>
          <cell r="AK552">
            <v>11.528349327878001</v>
          </cell>
          <cell r="AL552">
            <v>14.707230296651</v>
          </cell>
          <cell r="AM552">
            <v>13.834209532219999</v>
          </cell>
          <cell r="AN552">
            <v>14.658061580838</v>
          </cell>
          <cell r="AO552">
            <v>15.563519783739</v>
          </cell>
          <cell r="AP552">
            <v>16.124404742559001</v>
          </cell>
        </row>
        <row r="553">
          <cell r="B553" t="str">
            <v>EPS (post-exceptionals, diluted)</v>
          </cell>
          <cell r="C553" t="str">
            <v>FULLY_DIL_EPS</v>
          </cell>
          <cell r="D553" t="str">
            <v>SEK</v>
          </cell>
          <cell r="K553">
            <v>2.676481149013</v>
          </cell>
          <cell r="L553">
            <v>2.2362657091560001</v>
          </cell>
          <cell r="M553">
            <v>2.106687282567</v>
          </cell>
          <cell r="N553">
            <v>1.6196366447620001</v>
          </cell>
          <cell r="O553">
            <v>2.7986084267489999</v>
          </cell>
          <cell r="P553">
            <v>2.8697332817939998</v>
          </cell>
          <cell r="Q553">
            <v>2.9384112819700001</v>
          </cell>
          <cell r="R553">
            <v>2.7485801135910002</v>
          </cell>
          <cell r="S553">
            <v>2.2302215822729998</v>
          </cell>
          <cell r="T553">
            <v>3.9232512953369998</v>
          </cell>
          <cell r="U553">
            <v>5.0754446598670002</v>
          </cell>
          <cell r="V553">
            <v>6.4916125769199997</v>
          </cell>
          <cell r="W553">
            <v>7.6843968642</v>
          </cell>
          <cell r="X553">
            <v>6.2985754025120002</v>
          </cell>
          <cell r="Y553">
            <v>-1.8663274570149999</v>
          </cell>
          <cell r="Z553">
            <v>5.9100369472140004</v>
          </cell>
          <cell r="AA553">
            <v>4.8580149660240002</v>
          </cell>
          <cell r="AB553">
            <v>6.8546257486710003</v>
          </cell>
          <cell r="AC553">
            <v>4.1629928905459996</v>
          </cell>
          <cell r="AD553">
            <v>4.7919858799439998</v>
          </cell>
          <cell r="AE553">
            <v>1.7913146352080001</v>
          </cell>
          <cell r="AF553">
            <v>4.3909928841679999</v>
          </cell>
          <cell r="AG553">
            <v>9.9419158058210009</v>
          </cell>
          <cell r="AH553">
            <v>10.135636080122</v>
          </cell>
          <cell r="AI553">
            <v>6.8073144949</v>
          </cell>
          <cell r="AJ553">
            <v>6.9635662387809996</v>
          </cell>
          <cell r="AK553">
            <v>11.528349327878001</v>
          </cell>
          <cell r="AL553">
            <v>14.707230296651</v>
          </cell>
          <cell r="AM553">
            <v>13.834209532219999</v>
          </cell>
          <cell r="AN553">
            <v>14.658061580838</v>
          </cell>
          <cell r="AO553">
            <v>15.563519783739</v>
          </cell>
          <cell r="AP553">
            <v>16.124404742559001</v>
          </cell>
        </row>
        <row r="554">
          <cell r="B554" t="str">
            <v>Common dividends paid</v>
          </cell>
          <cell r="C554" t="str">
            <v>COMMON_DIV_PAID</v>
          </cell>
          <cell r="D554" t="str">
            <v>SEK</v>
          </cell>
          <cell r="F554">
            <v>0</v>
          </cell>
          <cell r="G554">
            <v>0</v>
          </cell>
          <cell r="H554">
            <v>0</v>
          </cell>
          <cell r="I554">
            <v>0</v>
          </cell>
          <cell r="J554">
            <v>0</v>
          </cell>
          <cell r="K554">
            <v>-1671</v>
          </cell>
          <cell r="L554">
            <v>-1810.25</v>
          </cell>
          <cell r="M554">
            <v>-1810.9</v>
          </cell>
          <cell r="N554">
            <v>-1810.9</v>
          </cell>
          <cell r="O554">
            <v>-2069.6</v>
          </cell>
          <cell r="P554">
            <v>-2328.3000000000002</v>
          </cell>
          <cell r="Q554">
            <v>-2384.69</v>
          </cell>
          <cell r="R554">
            <v>-2500.1999999999998</v>
          </cell>
          <cell r="S554">
            <v>-2625.21</v>
          </cell>
          <cell r="T554">
            <v>-2840.96</v>
          </cell>
          <cell r="U554">
            <v>-3203.01</v>
          </cell>
          <cell r="V554">
            <v>-3855.4749999999999</v>
          </cell>
          <cell r="W554">
            <v>-4745.2</v>
          </cell>
          <cell r="X554">
            <v>-3736.8449999999998</v>
          </cell>
          <cell r="Y554">
            <v>-1186.287</v>
          </cell>
          <cell r="Z554">
            <v>-3558.8609999999999</v>
          </cell>
          <cell r="AA554">
            <v>-3855.4327499999999</v>
          </cell>
          <cell r="AB554">
            <v>-4360.5590000000002</v>
          </cell>
          <cell r="AC554">
            <v>-4390.3509999999997</v>
          </cell>
          <cell r="AD554">
            <v>-4390.3509999999997</v>
          </cell>
          <cell r="AE554">
            <v>-3135.9650000000001</v>
          </cell>
          <cell r="AF554">
            <v>-3449.5614999999998</v>
          </cell>
          <cell r="AG554">
            <v>-4390.3509999999997</v>
          </cell>
          <cell r="AH554">
            <v>-5331.1405000000004</v>
          </cell>
          <cell r="AI554">
            <v>0</v>
          </cell>
          <cell r="AJ554">
            <v>-5644.7370000000001</v>
          </cell>
          <cell r="AK554">
            <v>-5958.3334999999997</v>
          </cell>
          <cell r="AL554">
            <v>-8152.7718914472098</v>
          </cell>
          <cell r="AM554">
            <v>-8334.7193791418704</v>
          </cell>
          <cell r="AN554">
            <v>-9193.4336170705592</v>
          </cell>
          <cell r="AO554">
            <v>-9761.3306637223905</v>
          </cell>
          <cell r="AP554">
            <v>-10113.1137836998</v>
          </cell>
        </row>
        <row r="555">
          <cell r="B555" t="str">
            <v>DPS, dividend per share</v>
          </cell>
          <cell r="C555" t="str">
            <v>DPS</v>
          </cell>
          <cell r="D555" t="str">
            <v>SEK</v>
          </cell>
          <cell r="K555">
            <v>1.2</v>
          </cell>
          <cell r="L555">
            <v>1.3</v>
          </cell>
          <cell r="M555">
            <v>1.4</v>
          </cell>
          <cell r="N555">
            <v>1.4</v>
          </cell>
          <cell r="O555">
            <v>1.6</v>
          </cell>
          <cell r="P555">
            <v>1.8</v>
          </cell>
          <cell r="Q555">
            <v>1.9</v>
          </cell>
          <cell r="R555">
            <v>2</v>
          </cell>
          <cell r="S555">
            <v>2.1</v>
          </cell>
          <cell r="T555">
            <v>2.2999999999999998</v>
          </cell>
          <cell r="U555">
            <v>2.7</v>
          </cell>
          <cell r="V555">
            <v>3.25</v>
          </cell>
          <cell r="W555">
            <v>4</v>
          </cell>
          <cell r="X555">
            <v>3.15</v>
          </cell>
          <cell r="Y555">
            <v>1</v>
          </cell>
          <cell r="Z555">
            <v>3</v>
          </cell>
          <cell r="AA555">
            <v>3.25</v>
          </cell>
          <cell r="AB555">
            <v>3.5</v>
          </cell>
          <cell r="AC555">
            <v>3.5</v>
          </cell>
          <cell r="AD555">
            <v>3.5</v>
          </cell>
          <cell r="AE555">
            <v>2.5</v>
          </cell>
          <cell r="AF555">
            <v>2.75</v>
          </cell>
          <cell r="AG555">
            <v>3.5</v>
          </cell>
          <cell r="AH555">
            <v>4.25</v>
          </cell>
          <cell r="AI555">
            <v>0</v>
          </cell>
          <cell r="AJ555">
            <v>4.5</v>
          </cell>
          <cell r="AK555">
            <v>4.75</v>
          </cell>
          <cell r="AL555">
            <v>6.499412375016</v>
          </cell>
          <cell r="AM555">
            <v>6.6444614170929999</v>
          </cell>
          <cell r="AN555">
            <v>7.329030790419</v>
          </cell>
          <cell r="AO555">
            <v>7.7817598918690001</v>
          </cell>
          <cell r="AP555">
            <v>8.0622023712799997</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cell r="BM555">
            <v>0</v>
          </cell>
          <cell r="BN555">
            <v>0</v>
          </cell>
          <cell r="BO555">
            <v>0</v>
          </cell>
        </row>
        <row r="556">
          <cell r="B556" t="str">
            <v>Weighted average shares outstanding, basic</v>
          </cell>
          <cell r="C556" t="str">
            <v>SH</v>
          </cell>
          <cell r="F556">
            <v>0</v>
          </cell>
          <cell r="G556">
            <v>0</v>
          </cell>
          <cell r="H556">
            <v>0</v>
          </cell>
          <cell r="I556">
            <v>0</v>
          </cell>
          <cell r="J556">
            <v>0</v>
          </cell>
          <cell r="K556">
            <v>1392.5</v>
          </cell>
          <cell r="L556">
            <v>1392.5</v>
          </cell>
          <cell r="M556">
            <v>1293.5</v>
          </cell>
          <cell r="N556">
            <v>1293.5</v>
          </cell>
          <cell r="O556">
            <v>1293.5</v>
          </cell>
          <cell r="P556">
            <v>1293.5</v>
          </cell>
          <cell r="Q556">
            <v>1255.0999999999999</v>
          </cell>
          <cell r="R556">
            <v>1250.0999999999999</v>
          </cell>
          <cell r="S556">
            <v>1250.0999999999999</v>
          </cell>
          <cell r="T556">
            <v>1235.2</v>
          </cell>
          <cell r="U556">
            <v>1186.3</v>
          </cell>
          <cell r="V556">
            <v>1186.3</v>
          </cell>
          <cell r="W556">
            <v>1186.3</v>
          </cell>
          <cell r="X556">
            <v>1186.3</v>
          </cell>
          <cell r="Y556">
            <v>1186.287</v>
          </cell>
          <cell r="Z556">
            <v>1186.287</v>
          </cell>
          <cell r="AA556">
            <v>1186.287</v>
          </cell>
          <cell r="AB556">
            <v>1245.874</v>
          </cell>
          <cell r="AC556">
            <v>1254.386</v>
          </cell>
          <cell r="AD556">
            <v>1254.386</v>
          </cell>
          <cell r="AE556">
            <v>1254.386</v>
          </cell>
          <cell r="AF556">
            <v>1254.386</v>
          </cell>
          <cell r="AG556">
            <v>1254.386</v>
          </cell>
          <cell r="AH556">
            <v>1254.386</v>
          </cell>
          <cell r="AI556">
            <v>1254.386</v>
          </cell>
          <cell r="AJ556">
            <v>1254.386</v>
          </cell>
          <cell r="AK556">
            <v>1254.386</v>
          </cell>
          <cell r="AL556">
            <v>1254.386</v>
          </cell>
          <cell r="AM556">
            <v>1254.386</v>
          </cell>
          <cell r="AN556">
            <v>1254.386</v>
          </cell>
          <cell r="AO556">
            <v>1254.386</v>
          </cell>
          <cell r="AP556">
            <v>1254.386</v>
          </cell>
          <cell r="AR556">
            <v>251.38300000000001</v>
          </cell>
          <cell r="AS556">
            <v>254.04499999999999</v>
          </cell>
          <cell r="AT556">
            <v>250.69499999999999</v>
          </cell>
          <cell r="AU556">
            <v>247.04499999999999</v>
          </cell>
          <cell r="AV556">
            <v>247.04499999999999</v>
          </cell>
          <cell r="AW556">
            <v>1235.2239999999999</v>
          </cell>
          <cell r="AX556">
            <v>1186.287</v>
          </cell>
          <cell r="AY556">
            <v>1186.287</v>
          </cell>
          <cell r="AZ556">
            <v>1186.287</v>
          </cell>
          <cell r="BA556">
            <v>1186.287</v>
          </cell>
          <cell r="BB556">
            <v>1186.287</v>
          </cell>
          <cell r="BC556">
            <v>1186.287</v>
          </cell>
          <cell r="BD556">
            <v>1186.287</v>
          </cell>
          <cell r="BE556">
            <v>1186.287</v>
          </cell>
          <cell r="BF556">
            <v>1186.287</v>
          </cell>
          <cell r="BG556">
            <v>1186.287</v>
          </cell>
          <cell r="BH556">
            <v>1186.287</v>
          </cell>
          <cell r="BI556">
            <v>1186.287</v>
          </cell>
          <cell r="BJ556">
            <v>1186.287</v>
          </cell>
          <cell r="BK556">
            <v>1186.287</v>
          </cell>
          <cell r="BL556">
            <v>1186.287</v>
          </cell>
          <cell r="BM556">
            <v>1186.287</v>
          </cell>
          <cell r="BN556">
            <v>1186.287</v>
          </cell>
          <cell r="BO556">
            <v>1186.287</v>
          </cell>
          <cell r="BP556">
            <v>1186.287</v>
          </cell>
          <cell r="BQ556">
            <v>1186.287</v>
          </cell>
          <cell r="BR556">
            <v>1186.287</v>
          </cell>
          <cell r="BS556">
            <v>1186.287</v>
          </cell>
          <cell r="BT556">
            <v>1186.287</v>
          </cell>
          <cell r="BU556">
            <v>1186.287</v>
          </cell>
          <cell r="BV556">
            <v>1186.287</v>
          </cell>
          <cell r="BW556">
            <v>1186.287</v>
          </cell>
          <cell r="BX556">
            <v>1254.386</v>
          </cell>
          <cell r="BY556">
            <v>1254.386</v>
          </cell>
          <cell r="BZ556">
            <v>1254.386</v>
          </cell>
          <cell r="CA556">
            <v>1254.386</v>
          </cell>
          <cell r="CB556">
            <v>1250.8474576271201</v>
          </cell>
          <cell r="CC556">
            <v>1254.386</v>
          </cell>
          <cell r="CD556">
            <v>1254.386</v>
          </cell>
          <cell r="CE556">
            <v>1254.386</v>
          </cell>
          <cell r="CF556">
            <v>1254.386</v>
          </cell>
          <cell r="CG556">
            <v>1254.386</v>
          </cell>
          <cell r="CH556">
            <v>1254.386</v>
          </cell>
          <cell r="CI556">
            <v>1254.386</v>
          </cell>
          <cell r="CJ556">
            <v>1254.386</v>
          </cell>
          <cell r="CK556">
            <v>1254.386</v>
          </cell>
          <cell r="CL556">
            <v>1254.386</v>
          </cell>
          <cell r="CM556">
            <v>1254.386</v>
          </cell>
          <cell r="CN556">
            <v>1254.386</v>
          </cell>
          <cell r="CO556">
            <v>1254.386</v>
          </cell>
          <cell r="CP556">
            <v>1254.386</v>
          </cell>
          <cell r="CQ556">
            <v>1254.386</v>
          </cell>
          <cell r="CR556">
            <v>1254.386</v>
          </cell>
          <cell r="CS556">
            <v>1254.386</v>
          </cell>
          <cell r="CT556">
            <v>1254.386</v>
          </cell>
          <cell r="CU556">
            <v>1254.386</v>
          </cell>
          <cell r="CV556">
            <v>1254.386</v>
          </cell>
          <cell r="CW556">
            <v>1254.386</v>
          </cell>
          <cell r="CX556">
            <v>1254.386</v>
          </cell>
          <cell r="CY556">
            <v>1254.386</v>
          </cell>
          <cell r="CZ556">
            <v>1254.386</v>
          </cell>
          <cell r="DA556">
            <v>1254.386</v>
          </cell>
          <cell r="DB556">
            <v>1254.386</v>
          </cell>
          <cell r="DC556">
            <v>1254.386</v>
          </cell>
          <cell r="DD556">
            <v>1254.386</v>
          </cell>
          <cell r="DE556">
            <v>1254.386</v>
          </cell>
          <cell r="DF556">
            <v>1254.386</v>
          </cell>
          <cell r="DG556">
            <v>1254.386</v>
          </cell>
          <cell r="DH556">
            <v>1254.386</v>
          </cell>
          <cell r="DI556">
            <v>1254.386</v>
          </cell>
          <cell r="DJ556">
            <v>1254.386</v>
          </cell>
          <cell r="DK556">
            <v>1254.386</v>
          </cell>
          <cell r="DL556">
            <v>1254.386</v>
          </cell>
        </row>
        <row r="557">
          <cell r="B557" t="str">
            <v>Diluted average shares outstanding (mn)</v>
          </cell>
          <cell r="C557" t="str">
            <v>DILUTE_SHARES</v>
          </cell>
          <cell r="F557">
            <v>0</v>
          </cell>
          <cell r="G557">
            <v>0</v>
          </cell>
          <cell r="H557">
            <v>0</v>
          </cell>
          <cell r="I557">
            <v>0</v>
          </cell>
          <cell r="J557">
            <v>0</v>
          </cell>
          <cell r="K557">
            <v>1392.5</v>
          </cell>
          <cell r="L557">
            <v>1392.5</v>
          </cell>
          <cell r="M557">
            <v>1293.5</v>
          </cell>
          <cell r="N557">
            <v>1293.5</v>
          </cell>
          <cell r="O557">
            <v>1293.5</v>
          </cell>
          <cell r="P557">
            <v>1293.5</v>
          </cell>
          <cell r="Q557">
            <v>1255.0999999999999</v>
          </cell>
          <cell r="R557">
            <v>1250.0999999999999</v>
          </cell>
          <cell r="S557">
            <v>1250.0999999999999</v>
          </cell>
          <cell r="T557">
            <v>1235.2</v>
          </cell>
          <cell r="U557">
            <v>1186.3</v>
          </cell>
          <cell r="V557">
            <v>1186.3</v>
          </cell>
          <cell r="W557">
            <v>1186.3</v>
          </cell>
          <cell r="X557">
            <v>1186.3</v>
          </cell>
          <cell r="Y557">
            <v>1186.287</v>
          </cell>
          <cell r="Z557">
            <v>1186.287</v>
          </cell>
          <cell r="AA557">
            <v>1186.287</v>
          </cell>
          <cell r="AB557">
            <v>1245.874</v>
          </cell>
          <cell r="AC557">
            <v>1254.386</v>
          </cell>
          <cell r="AD557">
            <v>1254.386</v>
          </cell>
          <cell r="AE557">
            <v>1254.386</v>
          </cell>
          <cell r="AF557">
            <v>1254.386</v>
          </cell>
          <cell r="AG557">
            <v>1254.386</v>
          </cell>
          <cell r="AH557">
            <v>1254.386</v>
          </cell>
          <cell r="AI557">
            <v>1254.386</v>
          </cell>
          <cell r="AJ557">
            <v>1254.386</v>
          </cell>
          <cell r="AK557">
            <v>1254.386</v>
          </cell>
          <cell r="AL557">
            <v>1254.386</v>
          </cell>
          <cell r="AM557">
            <v>1254.386</v>
          </cell>
          <cell r="AN557">
            <v>1254.386</v>
          </cell>
          <cell r="AO557">
            <v>1254.386</v>
          </cell>
          <cell r="AP557">
            <v>1254.386</v>
          </cell>
        </row>
        <row r="558">
          <cell r="B558" t="str">
            <v>Period-end shares outstanding</v>
          </cell>
          <cell r="C558" t="str">
            <v>NON_OP_ADD</v>
          </cell>
          <cell r="F558">
            <v>0</v>
          </cell>
          <cell r="G558">
            <v>0</v>
          </cell>
          <cell r="H558">
            <v>0</v>
          </cell>
          <cell r="I558">
            <v>0</v>
          </cell>
          <cell r="J558">
            <v>0</v>
          </cell>
          <cell r="K558">
            <v>1392.5</v>
          </cell>
          <cell r="L558">
            <v>1392.5</v>
          </cell>
          <cell r="M558">
            <v>1293.5</v>
          </cell>
          <cell r="N558">
            <v>1293.5</v>
          </cell>
          <cell r="O558">
            <v>1293.5</v>
          </cell>
          <cell r="P558">
            <v>1293.5</v>
          </cell>
          <cell r="Q558">
            <v>1255.0999999999999</v>
          </cell>
          <cell r="R558">
            <v>1250.0999999999999</v>
          </cell>
          <cell r="S558">
            <v>1250.0999999999999</v>
          </cell>
          <cell r="T558">
            <v>1235.2</v>
          </cell>
          <cell r="U558">
            <v>1186.3</v>
          </cell>
          <cell r="V558">
            <v>1186.3</v>
          </cell>
          <cell r="W558">
            <v>1186.3</v>
          </cell>
          <cell r="X558">
            <v>1186.3</v>
          </cell>
          <cell r="Y558">
            <v>1186.287</v>
          </cell>
          <cell r="Z558">
            <v>1186.287</v>
          </cell>
          <cell r="AA558">
            <v>1186.287</v>
          </cell>
          <cell r="AB558">
            <v>1245.874</v>
          </cell>
          <cell r="AC558">
            <v>1254.386</v>
          </cell>
          <cell r="AD558">
            <v>1254.386</v>
          </cell>
          <cell r="AE558">
            <v>1254.386</v>
          </cell>
          <cell r="AF558">
            <v>1254.386</v>
          </cell>
          <cell r="AG558">
            <v>1254.386</v>
          </cell>
          <cell r="AH558">
            <v>1254.386</v>
          </cell>
          <cell r="AI558">
            <v>1254.386</v>
          </cell>
          <cell r="AJ558">
            <v>1254.386</v>
          </cell>
          <cell r="AK558">
            <v>1254.386</v>
          </cell>
          <cell r="AL558">
            <v>1254.386</v>
          </cell>
          <cell r="AM558">
            <v>1254.386</v>
          </cell>
          <cell r="AN558">
            <v>1254.386</v>
          </cell>
          <cell r="AO558">
            <v>1254.386</v>
          </cell>
          <cell r="AP558">
            <v>1254.386</v>
          </cell>
        </row>
        <row r="559">
          <cell r="A559" t="str">
            <v>Additional Income Statement Items</v>
          </cell>
        </row>
        <row r="560">
          <cell r="B560" t="str">
            <v>Organic net income (excl. acquisitions)</v>
          </cell>
          <cell r="C560" t="str">
            <v>ORG_NI</v>
          </cell>
          <cell r="D560" t="str">
            <v>SEK</v>
          </cell>
        </row>
        <row r="561">
          <cell r="B561" t="str">
            <v>Organic EPS (excl. acquisitions)</v>
          </cell>
          <cell r="C561" t="str">
            <v>ORG_EPS</v>
          </cell>
          <cell r="D561" t="str">
            <v>SEK</v>
          </cell>
        </row>
        <row r="562">
          <cell r="B562" t="str">
            <v>Marginal tax rate</v>
          </cell>
          <cell r="C562" t="str">
            <v>MARGIN_TAX_RATE</v>
          </cell>
          <cell r="K562">
            <v>0.30088967971500002</v>
          </cell>
          <cell r="L562">
            <v>0.27037951942499999</v>
          </cell>
          <cell r="M562">
            <v>0.30511296076099997</v>
          </cell>
          <cell r="N562">
            <v>0.42566709021600002</v>
          </cell>
          <cell r="O562">
            <v>0.30887465690799998</v>
          </cell>
          <cell r="P562">
            <v>0.32408683666400001</v>
          </cell>
          <cell r="Q562">
            <v>0.305387085266</v>
          </cell>
          <cell r="R562">
            <v>0.28263875172800002</v>
          </cell>
          <cell r="S562">
            <v>0.28946739909199998</v>
          </cell>
          <cell r="T562">
            <v>0.25679802239299998</v>
          </cell>
          <cell r="U562">
            <v>0.275201269985</v>
          </cell>
          <cell r="V562">
            <v>0.27049401601700002</v>
          </cell>
          <cell r="W562">
            <v>0.26182965299700001</v>
          </cell>
          <cell r="X562">
            <v>0.25914720620199999</v>
          </cell>
          <cell r="Y562">
            <v>0.28872775214200003</v>
          </cell>
          <cell r="Z562">
            <v>0.25222188170400001</v>
          </cell>
          <cell r="AA562">
            <v>0.274514448129</v>
          </cell>
          <cell r="AB562">
            <v>0.28524809639400001</v>
          </cell>
          <cell r="AC562">
            <v>0.25064636598700002</v>
          </cell>
          <cell r="AD562">
            <v>0.27492739593400001</v>
          </cell>
          <cell r="AE562">
            <v>0.35135644310500003</v>
          </cell>
          <cell r="AF562">
            <v>0.26991244928500002</v>
          </cell>
          <cell r="AG562">
            <v>0.232199852688</v>
          </cell>
          <cell r="AH562">
            <v>0.25958421817400001</v>
          </cell>
          <cell r="AI562">
            <v>0.281646090535</v>
          </cell>
          <cell r="AJ562">
            <v>0.22333629103800001</v>
          </cell>
          <cell r="AK562">
            <v>0.21488543415799999</v>
          </cell>
          <cell r="AL562">
            <v>0.23200000000000001</v>
          </cell>
          <cell r="AM562">
            <v>0.23</v>
          </cell>
          <cell r="AN562">
            <v>0.23</v>
          </cell>
          <cell r="AO562">
            <v>0.23</v>
          </cell>
          <cell r="AP562">
            <v>0.23</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cell r="BM562">
            <v>0</v>
          </cell>
          <cell r="BN562">
            <v>0</v>
          </cell>
          <cell r="BO562">
            <v>0</v>
          </cell>
        </row>
        <row r="563">
          <cell r="A563" t="str">
            <v>Balance Sheet</v>
          </cell>
        </row>
        <row r="564">
          <cell r="B564" t="str">
            <v>BVPS, book value per share</v>
          </cell>
          <cell r="C564" t="str">
            <v>BVPS</v>
          </cell>
          <cell r="D564" t="str">
            <v>SEK</v>
          </cell>
          <cell r="M564">
            <v>13.462698105914001</v>
          </cell>
          <cell r="N564">
            <v>14.395825280246999</v>
          </cell>
          <cell r="O564">
            <v>15.546192500966001</v>
          </cell>
          <cell r="P564">
            <v>17.373018940858</v>
          </cell>
          <cell r="Q564">
            <v>19.099673332801999</v>
          </cell>
          <cell r="R564">
            <v>18.562514998800001</v>
          </cell>
          <cell r="S564">
            <v>17.150627949764001</v>
          </cell>
          <cell r="T564">
            <v>18.269915803109001</v>
          </cell>
          <cell r="U564">
            <v>19.799376211750999</v>
          </cell>
          <cell r="V564">
            <v>22.039956166231001</v>
          </cell>
          <cell r="W564">
            <v>24.120374272949999</v>
          </cell>
          <cell r="X564">
            <v>29.999157042905999</v>
          </cell>
          <cell r="Y564">
            <v>24.435065039066998</v>
          </cell>
          <cell r="Z564">
            <v>27.464686032974999</v>
          </cell>
          <cell r="AA564">
            <v>27.387976096847002</v>
          </cell>
          <cell r="AB564">
            <v>28.995709036387002</v>
          </cell>
          <cell r="AC564">
            <v>26.714264987014001</v>
          </cell>
          <cell r="AD564">
            <v>29.128194989421001</v>
          </cell>
          <cell r="AE564">
            <v>27.045901341373</v>
          </cell>
          <cell r="AF564">
            <v>31.247957167888998</v>
          </cell>
          <cell r="AG564">
            <v>38.858054857116997</v>
          </cell>
          <cell r="AH564">
            <v>46.617229465252002</v>
          </cell>
          <cell r="AI564">
            <v>49.302208411126998</v>
          </cell>
          <cell r="AJ564">
            <v>51.882753793489002</v>
          </cell>
          <cell r="AK564">
            <v>61.649284988830999</v>
          </cell>
          <cell r="AL564">
            <v>57.327019181411998</v>
          </cell>
          <cell r="AM564">
            <v>63.685802831661</v>
          </cell>
          <cell r="AN564">
            <v>71.272429804827993</v>
          </cell>
          <cell r="AO564">
            <v>79.083628262881007</v>
          </cell>
          <cell r="AP564">
            <v>87.006156618654998</v>
          </cell>
        </row>
        <row r="565">
          <cell r="A565" t="str">
            <v>Cash Flow Statement</v>
          </cell>
        </row>
        <row r="566">
          <cell r="B566" t="str">
            <v>Net income (pre-preferred dividends)</v>
          </cell>
          <cell r="C566" t="str">
            <v>CF_NI_PRE_PREF</v>
          </cell>
          <cell r="D566" t="str">
            <v>SEK</v>
          </cell>
          <cell r="M566">
            <v>3625</v>
          </cell>
          <cell r="N566">
            <v>2895</v>
          </cell>
          <cell r="O566">
            <v>1995</v>
          </cell>
          <cell r="P566">
            <v>3552</v>
          </cell>
          <cell r="Q566">
            <v>3863</v>
          </cell>
          <cell r="R566">
            <v>3436</v>
          </cell>
          <cell r="S566">
            <v>3388</v>
          </cell>
          <cell r="T566">
            <v>4968</v>
          </cell>
          <cell r="U566">
            <v>6110</v>
          </cell>
          <cell r="V566">
            <v>7837</v>
          </cell>
          <cell r="W566">
            <v>9235</v>
          </cell>
          <cell r="X566">
            <v>7818</v>
          </cell>
          <cell r="Y566">
            <v>296</v>
          </cell>
          <cell r="Z566">
            <v>7411</v>
          </cell>
          <cell r="AA566">
            <v>9133</v>
          </cell>
          <cell r="AB566">
            <v>9690</v>
          </cell>
          <cell r="AC566">
            <v>7412</v>
          </cell>
          <cell r="AD566">
            <v>6043.0000024991004</v>
          </cell>
          <cell r="AE566">
            <v>6827.4</v>
          </cell>
          <cell r="AF566">
            <v>6894</v>
          </cell>
          <cell r="AG566">
            <v>9119</v>
          </cell>
          <cell r="AH566">
            <v>13239</v>
          </cell>
          <cell r="AI566">
            <v>14585</v>
          </cell>
          <cell r="AJ566">
            <v>12120</v>
          </cell>
          <cell r="AK566">
            <v>12486.4</v>
          </cell>
          <cell r="AL566">
            <v>15831.9777942906</v>
          </cell>
          <cell r="AM566">
            <v>17353.438758283701</v>
          </cell>
          <cell r="AN566">
            <v>18386.8672341411</v>
          </cell>
          <cell r="AO566">
            <v>19522.661327444799</v>
          </cell>
          <cell r="AP566">
            <v>20226.227567399699</v>
          </cell>
        </row>
        <row r="567">
          <cell r="A567" t="str">
            <v>Other Items</v>
          </cell>
        </row>
        <row r="568">
          <cell r="B568" t="str">
            <v>Beta</v>
          </cell>
          <cell r="C568" t="str">
            <v>BETA_ANALYST</v>
          </cell>
        </row>
        <row r="569">
          <cell r="B569" t="str">
            <v>Market equity risk premium</v>
          </cell>
          <cell r="C569" t="str">
            <v>MKT_EQ_RISK_PREM</v>
          </cell>
        </row>
        <row r="570">
          <cell r="B570" t="str">
            <v>Risk-free rate</v>
          </cell>
          <cell r="C570" t="str">
            <v>RISK_FR_RATE</v>
          </cell>
        </row>
      </sheetData>
      <sheetData sheetId="2">
        <row r="1">
          <cell r="A1" t="str">
            <v>8911bc6a-848a-475f-9bb6-ace1532de165</v>
          </cell>
        </row>
        <row r="2">
          <cell r="A2" t="str">
            <v>X:\Companies\[Sandvik CF.xlsx]SAND.ST_Validation_Sheet</v>
          </cell>
        </row>
        <row r="3">
          <cell r="A3" t="str">
            <v>Not enabled</v>
          </cell>
        </row>
        <row r="7">
          <cell r="A7" t="str">
            <v>Scalar|||208001086|||ISSR|||CURRENCY_ISO|||False|||</v>
          </cell>
          <cell r="C7" t="str">
            <v>V_KEYWORD_ISSR_208001086_CURRENCY_ISO</v>
          </cell>
        </row>
        <row r="9">
          <cell r="A9" t="str">
            <v>Scalar|||208001086|||ISSR|||MA_PROB|||False|||</v>
          </cell>
          <cell r="C9" t="str">
            <v>V_KEYWORD_ISSR_208001086_MA_PROB</v>
          </cell>
        </row>
        <row r="11">
          <cell r="A11" t="str">
            <v>Vector|||208001086|||ISSR|||SALES|||False|||</v>
          </cell>
          <cell r="C11" t="str">
            <v>V_KEYWORD_ISSR_208001086_SALES</v>
          </cell>
        </row>
        <row r="12">
          <cell r="A12" t="str">
            <v>Vector|||208001086|||ISSR|||COST_GD_SD|||False|||</v>
          </cell>
          <cell r="C12" t="str">
            <v>V_KEYWORD_ISSR_208001086_COST_GD_SD</v>
          </cell>
        </row>
        <row r="13">
          <cell r="A13" t="str">
            <v>Vector|||208001086|||ISSR|||SEL_GL_AD|||False|||</v>
          </cell>
          <cell r="C13" t="str">
            <v>V_KEYWORD_ISSR_208001086_SEL_GL_AD</v>
          </cell>
        </row>
        <row r="14">
          <cell r="A14" t="str">
            <v>Vector|||208001086|||ISSR|||OP_COST|||False|||</v>
          </cell>
          <cell r="C14" t="str">
            <v>V_KEYWORD_ISSR_208001086_OP_COST</v>
          </cell>
        </row>
        <row r="15">
          <cell r="A15" t="str">
            <v>Vector|||208001086|||ISSR|||RD_EXP|||False|||</v>
          </cell>
          <cell r="C15" t="str">
            <v>V_KEYWORD_ISSR_208001086_RD_EXP</v>
          </cell>
        </row>
        <row r="16">
          <cell r="A16" t="str">
            <v>Vector|||208001086|||ISSR|||OTH_OP_INC_EXP|||False|||</v>
          </cell>
          <cell r="C16" t="str">
            <v>V_KEYWORD_ISSR_208001086_OTH_OP_INC_EXP</v>
          </cell>
        </row>
        <row r="17">
          <cell r="A17" t="str">
            <v>Vector|||208001086|||ISSR|||TOT_OPS_EXP_DDA|||False|||</v>
          </cell>
          <cell r="C17" t="str">
            <v>V_KEYWORD_ISSR_208001086_TOT_OPS_EXP_DDA</v>
          </cell>
        </row>
        <row r="18">
          <cell r="A18" t="str">
            <v>Vector|||208001086|||ISSR|||TOT_OPS_EXP|||False|||</v>
          </cell>
          <cell r="C18" t="str">
            <v>V_KEYWORD_ISSR_208001086_TOT_OPS_EXP</v>
          </cell>
        </row>
        <row r="19">
          <cell r="A19" t="str">
            <v>Vector|||208001086|||ISSR|||EBITDA_CALC|||False|||</v>
          </cell>
          <cell r="C19" t="str">
            <v>V_KEYWORD_ISSR_208001086_EBITDA_CALC</v>
          </cell>
        </row>
        <row r="20">
          <cell r="A20" t="str">
            <v>Vector|||208001086|||ISSR|||DEPREC|||False|||</v>
          </cell>
          <cell r="C20" t="str">
            <v>V_KEYWORD_ISSR_208001086_DEPREC</v>
          </cell>
        </row>
        <row r="21">
          <cell r="A21" t="str">
            <v>Vector|||208001086|||ISSR|||GOODWILL_AMORT|||False|||</v>
          </cell>
          <cell r="C21" t="str">
            <v>V_KEYWORD_ISSR_208001086_GOODWILL_AMORT</v>
          </cell>
        </row>
        <row r="22">
          <cell r="A22" t="str">
            <v>Vector|||208001086|||ISSR|||EBIT|||False|||</v>
          </cell>
          <cell r="C22" t="str">
            <v>V_KEYWORD_ISSR_208001086_EBIT</v>
          </cell>
        </row>
        <row r="23">
          <cell r="A23" t="str">
            <v>Vector|||208001086|||ISSR|||INT_INC_IND|||False|||</v>
          </cell>
          <cell r="C23" t="str">
            <v>V_KEYWORD_ISSR_208001086_INT_INC_IND</v>
          </cell>
        </row>
        <row r="24">
          <cell r="A24" t="str">
            <v>Vector|||208001086|||ISSR|||INT_EXP_IND|||False|||</v>
          </cell>
          <cell r="C24" t="str">
            <v>V_KEYWORD_ISSR_208001086_INT_EXP_IND</v>
          </cell>
        </row>
        <row r="25">
          <cell r="A25" t="str">
            <v>Vector|||208001086|||ISSR|||NET_INT_EXP|||False|||</v>
          </cell>
          <cell r="C25" t="str">
            <v>V_KEYWORD_ISSR_208001086_NET_INT_EXP</v>
          </cell>
        </row>
        <row r="26">
          <cell r="A26" t="str">
            <v>Vector|||208001086|||ISSR|||ASSOCIATE|||False|||</v>
          </cell>
          <cell r="C26" t="str">
            <v>V_KEYWORD_ISSR_208001086_ASSOCIATE</v>
          </cell>
        </row>
        <row r="27">
          <cell r="A27" t="str">
            <v>Vector|||208001086|||ISSR|||PROFIT_ON_DISP|||False|||</v>
          </cell>
          <cell r="C27" t="str">
            <v>V_KEYWORD_ISSR_208001086_PROFIT_ON_DISP</v>
          </cell>
        </row>
        <row r="28">
          <cell r="A28" t="str">
            <v>Vector|||208001086|||ISSR|||OTH_COST_INC|||False|||</v>
          </cell>
          <cell r="C28" t="str">
            <v>V_KEYWORD_ISSR_208001086_OTH_COST_INC</v>
          </cell>
        </row>
        <row r="29">
          <cell r="A29" t="str">
            <v>Vector|||208001086|||ISSR|||PT_PROF|||False|||</v>
          </cell>
          <cell r="C29" t="str">
            <v>V_KEYWORD_ISSR_208001086_PT_PROF</v>
          </cell>
        </row>
        <row r="31">
          <cell r="A31" t="str">
            <v>Vector|||208001086|||ISSR|||ORG_REV|||False|||</v>
          </cell>
          <cell r="C31" t="str">
            <v>V_KEYWORD_ISSR_208001086_ORG_REV</v>
          </cell>
        </row>
        <row r="32">
          <cell r="A32" t="str">
            <v>Vector|||208001086|||ISSR|||ORG_REV_GRTH|||False|||</v>
          </cell>
          <cell r="C32" t="str">
            <v>V_KEYWORD_ISSR_208001086_ORG_REV_GRTH</v>
          </cell>
        </row>
        <row r="33">
          <cell r="A33" t="str">
            <v>Vector|||208001086|||ISSR|||ACQ_GRTH|||False|||</v>
          </cell>
          <cell r="C33" t="str">
            <v>V_KEYWORD_ISSR_208001086_ACQ_GRTH</v>
          </cell>
        </row>
        <row r="34">
          <cell r="A34" t="str">
            <v>Vector|||208001086|||ISSR|||FOREX_GRTH|||False|||</v>
          </cell>
          <cell r="C34" t="str">
            <v>V_KEYWORD_ISSR_208001086_FOREX_GRTH</v>
          </cell>
        </row>
        <row r="35">
          <cell r="A35" t="str">
            <v>Vector|||208001086|||ISSR|||LEASE_PAY|||False|||</v>
          </cell>
          <cell r="C35" t="str">
            <v>V_KEYWORD_ISSR_208001086_LEASE_PAY</v>
          </cell>
        </row>
        <row r="36">
          <cell r="A36" t="str">
            <v>Vector|||208001086|||ISSR|||LEASE_DEEM_INT|||False|||</v>
          </cell>
          <cell r="C36" t="str">
            <v>V_KEYWORD_ISSR_208001086_LEASE_DEEM_INT</v>
          </cell>
        </row>
        <row r="37">
          <cell r="A37" t="str">
            <v>Vector|||208001086|||ISSR|||LEASE_DEEM_DEPR|||False|||</v>
          </cell>
          <cell r="C37" t="str">
            <v>V_KEYWORD_ISSR_208001086_LEASE_DEEM_DEPR</v>
          </cell>
        </row>
        <row r="38">
          <cell r="A38" t="str">
            <v>Vector|||208001086|||ISSR|||NET_INT_CH|||False|||</v>
          </cell>
          <cell r="C38" t="str">
            <v>V_KEYWORD_ISSR_208001086_NET_INT_CH</v>
          </cell>
        </row>
        <row r="39">
          <cell r="A39" t="str">
            <v>Vector|||208001086|||ISSR|||ASSOCIATE_OP|||False|||</v>
          </cell>
          <cell r="C39" t="str">
            <v>V_KEYWORD_ISSR_208001086_ASSOCIATE_OP</v>
          </cell>
        </row>
        <row r="40">
          <cell r="A40" t="str">
            <v>Vector|||208001086|||ISSR|||GW_AMORT|||False|||</v>
          </cell>
          <cell r="C40" t="str">
            <v>V_KEYWORD_ISSR_208001086_GW_AMORT</v>
          </cell>
        </row>
        <row r="41">
          <cell r="A41" t="str">
            <v>Vector|||208001086|||ISSR|||OTH_INT_AMORT|||False|||</v>
          </cell>
          <cell r="C41" t="str">
            <v>V_KEYWORD_ISSR_208001086_OTH_INT_AMORT</v>
          </cell>
        </row>
        <row r="42">
          <cell r="A42" t="str">
            <v>Vector|||208001086|||ISSR|||DEPR_ROU_ASSETS|||False|||</v>
          </cell>
          <cell r="C42" t="str">
            <v>V_KEYWORD_ISSR_208001086_DEPR_ROU_ASSETS</v>
          </cell>
        </row>
        <row r="43">
          <cell r="A43" t="str">
            <v>Vector|||208001086|||ISSR|||LEASE_INT_CHG|||False|||</v>
          </cell>
          <cell r="C43" t="str">
            <v>V_KEYWORD_ISSR_208001086_LEASE_INT_CHG</v>
          </cell>
        </row>
        <row r="44">
          <cell r="A44" t="str">
            <v>Scalar|||208001086|||ISSR|||LEASE_ADOPT|||False|||</v>
          </cell>
          <cell r="C44" t="str">
            <v>V_KEYWORD_ISSR_208001086_LEASE_ADOPT</v>
          </cell>
        </row>
        <row r="46">
          <cell r="A46" t="str">
            <v>Vector|||208001086|||ISSR|||CASH_EQ|||False|||</v>
          </cell>
          <cell r="C46" t="str">
            <v>V_KEYWORD_ISSR_208001086_CASH_EQ</v>
          </cell>
        </row>
        <row r="47">
          <cell r="A47" t="str">
            <v>Vector|||208001086|||ISSR|||DEBTORS|||False|||</v>
          </cell>
          <cell r="C47" t="str">
            <v>V_KEYWORD_ISSR_208001086_DEBTORS</v>
          </cell>
        </row>
        <row r="48">
          <cell r="A48" t="str">
            <v>Vector|||208001086|||ISSR|||STOCKS|||False|||</v>
          </cell>
          <cell r="C48" t="str">
            <v>V_KEYWORD_ISSR_208001086_STOCKS</v>
          </cell>
        </row>
        <row r="49">
          <cell r="A49" t="str">
            <v>Vector|||208001086|||ISSR|||OTH_CUR_ASS|||False|||</v>
          </cell>
          <cell r="C49" t="str">
            <v>V_KEYWORD_ISSR_208001086_OTH_CUR_ASS</v>
          </cell>
        </row>
        <row r="50">
          <cell r="A50" t="str">
            <v>Vector|||208001086|||ISSR|||CUR_ASS|||False|||</v>
          </cell>
          <cell r="C50" t="str">
            <v>V_KEYWORD_ISSR_208001086_CUR_ASS</v>
          </cell>
        </row>
        <row r="51">
          <cell r="A51" t="str">
            <v>Vector|||208001086|||ISSR|||GR_FIX_ASS|||False|||</v>
          </cell>
          <cell r="C51" t="str">
            <v>V_KEYWORD_ISSR_208001086_GR_FIX_ASS</v>
          </cell>
        </row>
        <row r="52">
          <cell r="A52" t="str">
            <v>Vector|||208001086|||ISSR|||ACC_DDA|||False|||</v>
          </cell>
          <cell r="C52" t="str">
            <v>V_KEYWORD_ISSR_208001086_ACC_DDA</v>
          </cell>
        </row>
        <row r="53">
          <cell r="A53" t="str">
            <v>Vector|||208001086|||ISSR|||NET_FIX_ASS|||False|||</v>
          </cell>
          <cell r="C53" t="str">
            <v>V_KEYWORD_ISSR_208001086_NET_FIX_ASS</v>
          </cell>
        </row>
        <row r="54">
          <cell r="A54" t="str">
            <v>Vector|||208001086|||ISSR|||GR_INTANG|||False|||</v>
          </cell>
          <cell r="C54" t="str">
            <v>V_KEYWORD_ISSR_208001086_GR_INTANG</v>
          </cell>
        </row>
        <row r="55">
          <cell r="A55" t="str">
            <v>Vector|||208001086|||ISSR|||ACC_AMORT|||False|||</v>
          </cell>
          <cell r="C55" t="str">
            <v>V_KEYWORD_ISSR_208001086_ACC_AMORT</v>
          </cell>
        </row>
        <row r="56">
          <cell r="A56" t="str">
            <v>Vector|||208001086|||ISSR|||NET_INTANG|||False|||</v>
          </cell>
          <cell r="C56" t="str">
            <v>V_KEYWORD_ISSR_208001086_NET_INTANG</v>
          </cell>
        </row>
        <row r="57">
          <cell r="A57" t="str">
            <v>Vector|||208001086|||ISSR|||FIX_ASS_INV|||False|||</v>
          </cell>
          <cell r="C57" t="str">
            <v>V_KEYWORD_ISSR_208001086_FIX_ASS_INV</v>
          </cell>
        </row>
        <row r="58">
          <cell r="A58" t="str">
            <v>Vector|||208001086|||ISSR|||INV_SECUR|||False|||</v>
          </cell>
          <cell r="C58" t="str">
            <v>V_KEYWORD_ISSR_208001086_INV_SECUR</v>
          </cell>
        </row>
        <row r="59">
          <cell r="A59" t="str">
            <v>Vector|||208001086|||ISSR|||OTH_LT_ASS|||False|||</v>
          </cell>
          <cell r="C59" t="str">
            <v>V_KEYWORD_ISSR_208001086_OTH_LT_ASS</v>
          </cell>
        </row>
        <row r="60">
          <cell r="A60" t="str">
            <v>Vector|||208001086|||ISSR|||TOT_ASSET|||False|||</v>
          </cell>
          <cell r="C60" t="str">
            <v>V_KEYWORD_ISSR_208001086_TOT_ASSET</v>
          </cell>
        </row>
        <row r="61">
          <cell r="A61" t="str">
            <v>Vector|||208001086|||ISSR|||ACC_PAY_GQ|||False|||</v>
          </cell>
          <cell r="C61" t="str">
            <v>V_KEYWORD_ISSR_208001086_ACC_PAY_GQ</v>
          </cell>
        </row>
        <row r="62">
          <cell r="A62" t="str">
            <v>Vector|||208001086|||ISSR|||SHORT_T_DEBT|||False|||</v>
          </cell>
          <cell r="C62" t="str">
            <v>V_KEYWORD_ISSR_208001086_SHORT_T_DEBT</v>
          </cell>
        </row>
        <row r="63">
          <cell r="A63" t="str">
            <v>Vector|||208001086|||ISSR|||ST_LEASE_LIAB|||False|||</v>
          </cell>
          <cell r="C63" t="str">
            <v>V_KEYWORD_ISSR_208001086_ST_LEASE_LIAB</v>
          </cell>
        </row>
        <row r="64">
          <cell r="A64" t="str">
            <v>Vector|||208001086|||ISSR|||OTH_CUR_LIABS|||False|||</v>
          </cell>
          <cell r="C64" t="str">
            <v>V_KEYWORD_ISSR_208001086_OTH_CUR_LIABS</v>
          </cell>
        </row>
        <row r="65">
          <cell r="A65" t="str">
            <v>Vector|||208001086|||ISSR|||SHORT_TERM_LIABS|||False|||</v>
          </cell>
          <cell r="C65" t="str">
            <v>V_KEYWORD_ISSR_208001086_SHORT_TERM_LIABS</v>
          </cell>
        </row>
        <row r="66">
          <cell r="A66" t="str">
            <v>Vector|||208001086|||ISSR|||LT_DEBT|||False|||</v>
          </cell>
          <cell r="C66" t="str">
            <v>V_KEYWORD_ISSR_208001086_LT_DEBT</v>
          </cell>
        </row>
        <row r="67">
          <cell r="A67" t="str">
            <v>Vector|||208001086|||ISSR|||LT_LEASE_LIAB|||False|||</v>
          </cell>
          <cell r="C67" t="str">
            <v>V_KEYWORD_ISSR_208001086_LT_LEASE_LIAB</v>
          </cell>
        </row>
        <row r="68">
          <cell r="A68" t="str">
            <v>Vector|||208001086|||ISSR|||OTH_LT_CRED_GQ|||False|||</v>
          </cell>
          <cell r="C68" t="str">
            <v>V_KEYWORD_ISSR_208001086_OTH_LT_CRED_GQ</v>
          </cell>
        </row>
        <row r="69">
          <cell r="A69" t="str">
            <v>Vector|||208001086|||ISSR|||TOT_LT_LIAB|||False|||</v>
          </cell>
          <cell r="C69" t="str">
            <v>V_KEYWORD_ISSR_208001086_TOT_LT_LIAB</v>
          </cell>
        </row>
        <row r="70">
          <cell r="A70" t="str">
            <v>Vector|||208001086|||ISSR|||TOT_LIAB|||False|||</v>
          </cell>
          <cell r="C70" t="str">
            <v>V_KEYWORD_ISSR_208001086_TOT_LIAB</v>
          </cell>
        </row>
        <row r="71">
          <cell r="A71" t="str">
            <v>Vector|||208001086|||ISSR|||PREF_SH|||False|||</v>
          </cell>
          <cell r="C71" t="str">
            <v>V_KEYWORD_ISSR_208001086_PREF_SH</v>
          </cell>
        </row>
        <row r="72">
          <cell r="A72" t="str">
            <v>Vector|||208001086|||ISSR|||ORD_SH_FUND|||False|||</v>
          </cell>
          <cell r="C72" t="str">
            <v>V_KEYWORD_ISSR_208001086_ORD_SH_FUND</v>
          </cell>
        </row>
        <row r="73">
          <cell r="A73" t="str">
            <v>Vector|||208001086|||ISSR|||MINORITIES|||False|||</v>
          </cell>
          <cell r="C73" t="str">
            <v>V_KEYWORD_ISSR_208001086_MINORITIES</v>
          </cell>
        </row>
        <row r="74">
          <cell r="A74" t="str">
            <v>Vector|||208001086|||ISSR|||EQ|||False|||</v>
          </cell>
          <cell r="C74" t="str">
            <v>V_KEYWORD_ISSR_208001086_EQ</v>
          </cell>
        </row>
        <row r="75">
          <cell r="A75" t="str">
            <v>Vector|||208001086|||ISSR|||TOT_LIAB_EQ|||False|||</v>
          </cell>
          <cell r="C75" t="str">
            <v>V_KEYWORD_ISSR_208001086_TOT_LIAB_EQ</v>
          </cell>
        </row>
        <row r="77">
          <cell r="A77" t="str">
            <v>Vector|||208001086|||ISSR|||TOT_USD_DEBT|||False|||</v>
          </cell>
          <cell r="C77" t="str">
            <v>V_KEYWORD_ISSR_208001086_TOT_USD_DEBT</v>
          </cell>
        </row>
        <row r="78">
          <cell r="A78" t="str">
            <v>Vector|||208001086|||ISSR|||TOT_PCT_USD_DEBT_HEDGED|||False|||</v>
          </cell>
          <cell r="C78" t="str">
            <v>V_KEYWORD_ISSR_208001086_TOT_PCT_USD_DEBT_HEDGED</v>
          </cell>
        </row>
        <row r="79">
          <cell r="A79" t="str">
            <v>Vector|||208001086|||ISSR|||FLOATING_PCT_LOCAL_DEBT|||False|||</v>
          </cell>
          <cell r="C79" t="str">
            <v>V_KEYWORD_ISSR_208001086_FLOATING_PCT_LOCAL_DEBT</v>
          </cell>
        </row>
        <row r="80">
          <cell r="A80" t="str">
            <v>Vector|||208001086|||ISSR|||FLOATING_PCT_LOCAL_DEBT_HEDGED|||False|||</v>
          </cell>
          <cell r="C80" t="str">
            <v>V_KEYWORD_ISSR_208001086_FLOATING_PCT_LOCAL_DEBT_HEDGED</v>
          </cell>
        </row>
        <row r="81">
          <cell r="A81" t="str">
            <v>Vector|||208001086|||ISSR|||NET_DEBT|||False|||</v>
          </cell>
          <cell r="C81" t="str">
            <v>V_KEYWORD_ISSR_208001086_NET_DEBT</v>
          </cell>
        </row>
        <row r="82">
          <cell r="A82" t="str">
            <v>Vector|||208001086|||ISSR|||CAP_LEASES|||False|||</v>
          </cell>
          <cell r="C82" t="str">
            <v>V_KEYWORD_ISSR_208001086_CAP_LEASES</v>
          </cell>
        </row>
        <row r="83">
          <cell r="A83" t="str">
            <v>Vector|||208001086|||ISSR|||DEF_INC_TAX|||False|||</v>
          </cell>
          <cell r="C83" t="str">
            <v>V_KEYWORD_ISSR_208001086_DEF_INC_TAX</v>
          </cell>
        </row>
        <row r="84">
          <cell r="A84" t="str">
            <v>Vector|||208001086|||ISSR|||MV_ASSOCIATES|||False|||</v>
          </cell>
          <cell r="C84" t="str">
            <v>V_KEYWORD_ISSR_208001086_MV_ASSOCIATES</v>
          </cell>
        </row>
        <row r="85">
          <cell r="A85" t="str">
            <v>Vector|||208001086|||ISSR|||NET_DEBT_ADJ|||False|||</v>
          </cell>
          <cell r="C85" t="str">
            <v>V_KEYWORD_ISSR_208001086_NET_DEBT_ADJ</v>
          </cell>
        </row>
        <row r="86">
          <cell r="A86" t="str">
            <v>Vector|||208001086|||ISSR|||CO_BOR_MARGIN|||False|||</v>
          </cell>
          <cell r="C86" t="str">
            <v>V_KEYWORD_ISSR_208001086_CO_BOR_MARGIN</v>
          </cell>
        </row>
        <row r="87">
          <cell r="A87" t="str">
            <v>Vector|||208001086|||ISSR|||UNF_PENS|||False|||</v>
          </cell>
          <cell r="C87" t="str">
            <v>V_KEYWORD_ISSR_208001086_UNF_PENS</v>
          </cell>
        </row>
        <row r="88">
          <cell r="A88" t="str">
            <v>Vector|||208001086|||ISSR|||UNF_PENS_OFF|||False|||</v>
          </cell>
          <cell r="C88" t="str">
            <v>V_KEYWORD_ISSR_208001086_UNF_PENS_OFF</v>
          </cell>
        </row>
        <row r="89">
          <cell r="A89" t="str">
            <v>Vector|||208001086|||ISSR|||UNF_PENS_LIAB_OTH|||False|||</v>
          </cell>
          <cell r="C89" t="str">
            <v>V_KEYWORD_ISSR_208001086_UNF_PENS_LIAB_OTH</v>
          </cell>
        </row>
        <row r="90">
          <cell r="A90" t="str">
            <v>Vector|||208001086|||ISSR|||ADJ_UNF_PENS_GOOD|||False|||</v>
          </cell>
          <cell r="C90" t="str">
            <v>V_KEYWORD_ISSR_208001086_ADJ_UNF_PENS_GOOD</v>
          </cell>
        </row>
        <row r="91">
          <cell r="A91" t="str">
            <v>Vector|||208001086|||ISSR|||OTH_GCI_ADJ|||False|||</v>
          </cell>
          <cell r="C91" t="str">
            <v>V_KEYWORD_ISSR_208001086_OTH_GCI_ADJ</v>
          </cell>
        </row>
        <row r="92">
          <cell r="A92" t="str">
            <v>Vector|||208001086|||ISSR|||GCI_INFL|||False|||</v>
          </cell>
          <cell r="C92" t="str">
            <v>V_KEYWORD_ISSR_208001086_GCI_INFL</v>
          </cell>
        </row>
        <row r="93">
          <cell r="A93" t="str">
            <v>Vector|||208001086|||ISSR|||BAL_MINO_INT|||False|||</v>
          </cell>
          <cell r="C93" t="str">
            <v>V_KEYWORD_ISSR_208001086_BAL_MINO_INT</v>
          </cell>
        </row>
        <row r="94">
          <cell r="A94" t="str">
            <v>Vector|||208001086|||ISSR|||ROU_ASSET|||False|||</v>
          </cell>
          <cell r="C94" t="str">
            <v>V_KEYWORD_ISSR_208001086_ROU_ASSET</v>
          </cell>
        </row>
        <row r="96">
          <cell r="A96" t="str">
            <v>Vector|||208001086|||ISSR|||CF_INC_MINORITY|||False|||</v>
          </cell>
          <cell r="C96" t="str">
            <v>V_KEYWORD_ISSR_208001086_CF_INC_MINORITY</v>
          </cell>
        </row>
        <row r="97">
          <cell r="A97" t="str">
            <v>Vector|||208001086|||ISSR|||DEPR_AMORT|||False|||</v>
          </cell>
          <cell r="C97" t="str">
            <v>V_KEYWORD_ISSR_208001086_DEPR_AMORT</v>
          </cell>
        </row>
        <row r="98">
          <cell r="A98" t="str">
            <v>Vector|||208001086|||ISSR|||WORK_CAP|||False|||</v>
          </cell>
          <cell r="C98" t="str">
            <v>V_KEYWORD_ISSR_208001086_WORK_CAP</v>
          </cell>
        </row>
        <row r="99">
          <cell r="A99" t="str">
            <v>Vector|||208001086|||ISSR|||OTH_OP_CF|||False|||</v>
          </cell>
          <cell r="C99" t="str">
            <v>V_KEYWORD_ISSR_208001086_OTH_OP_CF</v>
          </cell>
        </row>
        <row r="100">
          <cell r="A100" t="str">
            <v>Vector|||208001086|||ISSR|||CF_OPS|||False|||</v>
          </cell>
          <cell r="C100" t="str">
            <v>V_KEYWORD_ISSR_208001086_CF_OPS</v>
          </cell>
        </row>
        <row r="101">
          <cell r="A101" t="str">
            <v>Vector|||208001086|||ISSR|||CAPEX|||False|||</v>
          </cell>
          <cell r="C101" t="str">
            <v>V_KEYWORD_ISSR_208001086_CAPEX</v>
          </cell>
        </row>
        <row r="102">
          <cell r="A102" t="str">
            <v>Vector|||208001086|||ISSR|||ACQ|||False|||</v>
          </cell>
          <cell r="C102" t="str">
            <v>V_KEYWORD_ISSR_208001086_ACQ</v>
          </cell>
        </row>
        <row r="103">
          <cell r="A103" t="str">
            <v>Vector|||208001086|||ISSR|||DIVEST|||False|||</v>
          </cell>
          <cell r="C103" t="str">
            <v>V_KEYWORD_ISSR_208001086_DIVEST</v>
          </cell>
        </row>
        <row r="104">
          <cell r="A104" t="str">
            <v>Vector|||208001086|||ISSR|||OTH_INV_CF|||False|||</v>
          </cell>
          <cell r="C104" t="str">
            <v>V_KEYWORD_ISSR_208001086_OTH_INV_CF</v>
          </cell>
        </row>
        <row r="105">
          <cell r="A105" t="str">
            <v>Vector|||208001086|||ISSR|||CF_INV|||False|||</v>
          </cell>
          <cell r="C105" t="str">
            <v>V_KEYWORD_ISSR_208001086_CF_INV</v>
          </cell>
        </row>
        <row r="106">
          <cell r="A106" t="str">
            <v>Vector|||208001086|||ISSR|||DIV_PAID|||False|||</v>
          </cell>
          <cell r="C106" t="str">
            <v>V_KEYWORD_ISSR_208001086_DIV_PAID</v>
          </cell>
        </row>
        <row r="107">
          <cell r="A107" t="str">
            <v>Vector|||208001086|||ISSR|||SH_REPUR|||False|||</v>
          </cell>
          <cell r="C107" t="str">
            <v>V_KEYWORD_ISSR_208001086_SH_REPUR</v>
          </cell>
        </row>
        <row r="108">
          <cell r="A108" t="str">
            <v>Vector|||208001086|||ISSR|||CHG_LT_DEBT|||False|||</v>
          </cell>
          <cell r="C108" t="str">
            <v>V_KEYWORD_ISSR_208001086_CHG_LT_DEBT</v>
          </cell>
        </row>
        <row r="109">
          <cell r="A109" t="str">
            <v>Vector|||208001086|||ISSR|||LEASE_PRINCIPAL_CASH|||False|||</v>
          </cell>
          <cell r="C109" t="str">
            <v>V_KEYWORD_ISSR_208001086_LEASE_PRINCIPAL_CASH</v>
          </cell>
        </row>
        <row r="110">
          <cell r="A110" t="str">
            <v>Vector|||208001086|||ISSR|||OTH_FIN_CF|||False|||</v>
          </cell>
          <cell r="C110" t="str">
            <v>V_KEYWORD_ISSR_208001086_OTH_FIN_CF</v>
          </cell>
        </row>
        <row r="111">
          <cell r="A111" t="str">
            <v>Vector|||208001086|||ISSR|||CF_FIN|||False|||</v>
          </cell>
          <cell r="C111" t="str">
            <v>V_KEYWORD_ISSR_208001086_CF_FIN</v>
          </cell>
        </row>
        <row r="112">
          <cell r="A112" t="str">
            <v>Vector|||208001086|||ISSR|||OTH_ITEM_NCF|||False|||</v>
          </cell>
          <cell r="C112" t="str">
            <v>V_KEYWORD_ISSR_208001086_OTH_ITEM_NCF</v>
          </cell>
        </row>
        <row r="113">
          <cell r="A113" t="str">
            <v>Vector|||208001086|||ISSR|||TOT_CF|||False|||</v>
          </cell>
          <cell r="C113" t="str">
            <v>V_KEYWORD_ISSR_208001086_TOT_CF</v>
          </cell>
        </row>
        <row r="115">
          <cell r="A115" t="str">
            <v>Vector|||208001086|||ISSR|||ASSOC_JV_ADDBK|||False|||</v>
          </cell>
          <cell r="C115" t="str">
            <v>V_KEYWORD_ISSR_208001086_ASSOC_JV_ADDBK</v>
          </cell>
        </row>
        <row r="116">
          <cell r="A116" t="str">
            <v>Vector|||208001086|||ISSR|||CASH_INT_INC_EXP|||False|||</v>
          </cell>
          <cell r="C116" t="str">
            <v>V_KEYWORD_ISSR_208001086_CASH_INT_INC_EXP</v>
          </cell>
        </row>
        <row r="117">
          <cell r="A117" t="str">
            <v>Vector|||208001086|||ISSR|||CASH_TAX_PD|||False|||</v>
          </cell>
          <cell r="C117" t="str">
            <v>V_KEYWORD_ISSR_208001086_CASH_TAX_PD</v>
          </cell>
        </row>
        <row r="118">
          <cell r="A118" t="str">
            <v>Vector|||208001086|||ISSR|||PL_SALE_ASSETS|||False|||</v>
          </cell>
          <cell r="C118" t="str">
            <v>V_KEYWORD_ISSR_208001086_PL_SALE_ASSETS</v>
          </cell>
        </row>
        <row r="119">
          <cell r="A119" t="str">
            <v>Vector|||208001086|||ISSR|||OTH_NONCASH_ADJ|||False|||</v>
          </cell>
          <cell r="C119" t="str">
            <v>V_KEYWORD_ISSR_208001086_OTH_NONCASH_ADJ</v>
          </cell>
        </row>
        <row r="120">
          <cell r="A120" t="str">
            <v>Vector|||208001086|||ISSR|||OTH_DACF_ADJ|||False|||</v>
          </cell>
          <cell r="C120" t="str">
            <v>V_KEYWORD_ISSR_208001086_OTH_DACF_ADJ</v>
          </cell>
        </row>
        <row r="121">
          <cell r="A121" t="str">
            <v>Vector|||208001086|||ISSR|||CASH_INT_EXP|||False|||</v>
          </cell>
          <cell r="C121" t="str">
            <v>V_KEYWORD_ISSR_208001086_CASH_INT_EXP</v>
          </cell>
        </row>
        <row r="122">
          <cell r="A122" t="str">
            <v>Vector|||208001086|||ISSR|||CASH_TAX_EXP|||False|||</v>
          </cell>
          <cell r="C122" t="str">
            <v>V_KEYWORD_ISSR_208001086_CASH_TAX_EXP</v>
          </cell>
        </row>
        <row r="123">
          <cell r="A123" t="str">
            <v>Vector|||208001086|||ISSR|||DIVDS_ASSOC_JV|||False|||</v>
          </cell>
          <cell r="C123" t="str">
            <v>V_KEYWORD_ISSR_208001086_DIVDS_ASSOC_JV</v>
          </cell>
        </row>
        <row r="124">
          <cell r="A124" t="str">
            <v>Vector|||208001086|||ISSR|||CAPEX_MAINTENANCE|||False|||</v>
          </cell>
          <cell r="C124" t="str">
            <v>V_KEYWORD_ISSR_208001086_CAPEX_MAINTENANCE</v>
          </cell>
        </row>
        <row r="125">
          <cell r="A125" t="str">
            <v>Vector|||208001086|||ISSR|||CAPEX_EXPANSION|||False|||</v>
          </cell>
          <cell r="C125" t="str">
            <v>V_KEYWORD_ISSR_208001086_CAPEX_EXPANSION</v>
          </cell>
        </row>
        <row r="126">
          <cell r="A126" t="str">
            <v>Vector|||208001086|||ISSR|||NONPPE_CAPEX|||False|||</v>
          </cell>
          <cell r="C126" t="str">
            <v>V_KEYWORD_ISSR_208001086_NONPPE_CAPEX</v>
          </cell>
        </row>
        <row r="127">
          <cell r="A127" t="str">
            <v>Vector|||208001086|||ISSR|||DIVDS_PD_MINORITIES|||False|||</v>
          </cell>
          <cell r="C127" t="str">
            <v>V_KEYWORD_ISSR_208001086_DIVDS_PD_MINORITIES</v>
          </cell>
        </row>
        <row r="129">
          <cell r="A129" t="str">
            <v>Scalar|||208001086|||ISSR|||GROUP_SALES_PCT_BIG_NO_TWO|||False|||</v>
          </cell>
          <cell r="C129" t="str">
            <v>V_KEYWORD_ISSR_208001086_GROUP_SALES_PCT_BIG_NO_TWO</v>
          </cell>
        </row>
        <row r="130">
          <cell r="A130" t="str">
            <v>Scalar|||208001086|||ISSR|||GROUP_SALES_PCT_SHRD_NO_ONE|||False|||</v>
          </cell>
          <cell r="C130" t="str">
            <v>V_KEYWORD_ISSR_208001086_GROUP_SALES_PCT_SHRD_NO_ONE</v>
          </cell>
        </row>
        <row r="131">
          <cell r="A131" t="str">
            <v>Scalar|||208001086|||ISSR|||GROUP_SALES_PCT_TOP_THREE|||False|||</v>
          </cell>
          <cell r="C131" t="str">
            <v>V_KEYWORD_ISSR_208001086_GROUP_SALES_PCT_TOP_THREE</v>
          </cell>
        </row>
        <row r="132">
          <cell r="A132" t="str">
            <v>Vector|||208001086|||ISSR|||AMKT_PCT_GROUP_SALES|||False|||</v>
          </cell>
          <cell r="C132" t="str">
            <v>V_KEYWORD_ISSR_208001086_AMKT_PCT_GROUP_SALES</v>
          </cell>
        </row>
        <row r="133">
          <cell r="A133" t="str">
            <v>Scalar|||208001086|||ISSR|||DISTR_SCORE|||False|||</v>
          </cell>
          <cell r="C133" t="str">
            <v>V_KEYWORD_ISSR_208001086_DISTR_SCORE</v>
          </cell>
        </row>
        <row r="134">
          <cell r="A134" t="str">
            <v>Scalar|||208001086|||ISSR|||STRCTL_GRTH_PROD_CTGRY|||False|||</v>
          </cell>
          <cell r="C134" t="str">
            <v>V_KEYWORD_ISSR_208001086_STRCTL_GRTH_PROD_CTGRY</v>
          </cell>
        </row>
        <row r="135">
          <cell r="A135" t="str">
            <v>Scalar|||208001086|||ISSR|||CYCL_GRTH_EMKT|||False|||</v>
          </cell>
          <cell r="C135" t="str">
            <v>V_KEYWORD_ISSR_208001086_CYCL_GRTH_EMKT</v>
          </cell>
        </row>
        <row r="136">
          <cell r="A136" t="str">
            <v>Vector|||208001086|||ISSR|||CYCL_ADJ_CROCI|||False|||</v>
          </cell>
          <cell r="C136" t="str">
            <v>V_KEYWORD_ISSR_208001086_CYCL_ADJ_CROCI</v>
          </cell>
        </row>
        <row r="137">
          <cell r="A137" t="str">
            <v>Vector|||208001086|||ISSR|||DGR_CUST_CONCTR|||False|||</v>
          </cell>
          <cell r="C137" t="str">
            <v>V_KEYWORD_ISSR_208001086_DGR_CUST_CONCTR</v>
          </cell>
        </row>
        <row r="138">
          <cell r="A138" t="str">
            <v>Vector|||208001086|||ISSR|||SALES_PCT_PROJ_BUS|||False|||</v>
          </cell>
          <cell r="C138" t="str">
            <v>V_KEYWORD_ISSR_208001086_SALES_PCT_PROJ_BUS</v>
          </cell>
        </row>
        <row r="139">
          <cell r="A139" t="str">
            <v>Vector|||208001086|||ISSR|||SALES_PCT_REC|||False|||</v>
          </cell>
          <cell r="C139" t="str">
            <v>V_KEYWORD_ISSR_208001086_SALES_PCT_REC</v>
          </cell>
        </row>
        <row r="141">
          <cell r="A141" t="str">
            <v>Vector|||208001086|||ISSR|||EMPLOYEES|||False|||</v>
          </cell>
          <cell r="C141" t="str">
            <v>V_KEYWORD_ISSR_208001086_EMPLOYEES</v>
          </cell>
        </row>
        <row r="142">
          <cell r="A142" t="str">
            <v>Vector|||208001086|||ISSR|||EMPLOYEES_TOT_AM|||False|||</v>
          </cell>
          <cell r="C142" t="str">
            <v>V_KEYWORD_ISSR_208001086_EMPLOYEES_TOT_AM</v>
          </cell>
        </row>
        <row r="143">
          <cell r="A143" t="str">
            <v>Vector|||208001086|||ISSR|||EMPLOYEES_US|||False|||</v>
          </cell>
          <cell r="C143" t="str">
            <v>V_KEYWORD_ISSR_208001086_EMPLOYEES_US</v>
          </cell>
        </row>
        <row r="144">
          <cell r="A144" t="str">
            <v>Vector|||208001086|||ISSR|||EMPLOYEES_BRAZIL|||False|||</v>
          </cell>
          <cell r="C144" t="str">
            <v>V_KEYWORD_ISSR_208001086_EMPLOYEES_BRAZIL</v>
          </cell>
        </row>
        <row r="145">
          <cell r="A145" t="str">
            <v>Vector|||208001086|||ISSR|||EMPLOYEES_OTH_AM|||False|||</v>
          </cell>
          <cell r="C145" t="str">
            <v>V_KEYWORD_ISSR_208001086_EMPLOYEES_OTH_AM</v>
          </cell>
        </row>
        <row r="146">
          <cell r="A146" t="str">
            <v>Vector|||208001086|||ISSR|||EMPLOYEES_TOT_EMEA|||False|||</v>
          </cell>
          <cell r="C146" t="str">
            <v>V_KEYWORD_ISSR_208001086_EMPLOYEES_TOT_EMEA</v>
          </cell>
        </row>
        <row r="147">
          <cell r="A147" t="str">
            <v>Vector|||208001086|||ISSR|||EMPLOYEES_UK|||False|||</v>
          </cell>
          <cell r="C147" t="str">
            <v>V_KEYWORD_ISSR_208001086_EMPLOYEES_UK</v>
          </cell>
        </row>
        <row r="148">
          <cell r="A148" t="str">
            <v>Vector|||208001086|||ISSR|||EMPLOYEES_EU_EX_UK|||False|||</v>
          </cell>
          <cell r="C148" t="str">
            <v>V_KEYWORD_ISSR_208001086_EMPLOYEES_EU_EX_UK</v>
          </cell>
        </row>
        <row r="149">
          <cell r="A149" t="str">
            <v>Vector|||208001086|||ISSR|||EMPLOYEES_FRA|||False|||</v>
          </cell>
          <cell r="C149" t="str">
            <v>V_KEYWORD_ISSR_208001086_EMPLOYEES_FRA</v>
          </cell>
        </row>
        <row r="150">
          <cell r="A150" t="str">
            <v>Vector|||208001086|||ISSR|||EMPLOYEES_GER|||False|||</v>
          </cell>
          <cell r="C150" t="str">
            <v>V_KEYWORD_ISSR_208001086_EMPLOYEES_GER</v>
          </cell>
        </row>
        <row r="151">
          <cell r="A151" t="str">
            <v>Vector|||208001086|||ISSR|||EMPLOYEES_ITA|||False|||</v>
          </cell>
          <cell r="C151" t="str">
            <v>V_KEYWORD_ISSR_208001086_EMPLOYEES_ITA</v>
          </cell>
        </row>
        <row r="152">
          <cell r="A152" t="str">
            <v>Vector|||208001086|||ISSR|||EMPLOYEES_SPA|||False|||</v>
          </cell>
          <cell r="C152" t="str">
            <v>V_KEYWORD_ISSR_208001086_EMPLOYEES_SPA</v>
          </cell>
        </row>
        <row r="153">
          <cell r="A153" t="str">
            <v>Vector|||208001086|||ISSR|||EMPLOYEES_OTH_EU_EX_UK|||False|||</v>
          </cell>
          <cell r="C153" t="str">
            <v>V_KEYWORD_ISSR_208001086_EMPLOYEES_OTH_EU_EX_UK</v>
          </cell>
        </row>
        <row r="154">
          <cell r="A154" t="str">
            <v>Vector|||208001086|||ISSR|||EMPLOYEES_CEE|||False|||</v>
          </cell>
          <cell r="C154" t="str">
            <v>V_KEYWORD_ISSR_208001086_EMPLOYEES_CEE</v>
          </cell>
        </row>
        <row r="155">
          <cell r="A155" t="str">
            <v>Vector|||208001086|||ISSR|||EMPLOYEES_ME|||False|||</v>
          </cell>
          <cell r="C155" t="str">
            <v>V_KEYWORD_ISSR_208001086_EMPLOYEES_ME</v>
          </cell>
        </row>
        <row r="156">
          <cell r="A156" t="str">
            <v>Vector|||208001086|||ISSR|||EMPLOYEES_SO_AFRICA|||False|||</v>
          </cell>
          <cell r="C156" t="str">
            <v>V_KEYWORD_ISSR_208001086_EMPLOYEES_SO_AFRICA</v>
          </cell>
        </row>
        <row r="157">
          <cell r="A157" t="str">
            <v>Vector|||208001086|||ISSR|||EMPLOYEES_NIGERIA|||False|||</v>
          </cell>
          <cell r="C157" t="str">
            <v>V_KEYWORD_ISSR_208001086_EMPLOYEES_NIGERIA</v>
          </cell>
        </row>
        <row r="158">
          <cell r="A158" t="str">
            <v>Vector|||208001086|||ISSR|||EMPLOYEES_OTH_AFRICA|||False|||</v>
          </cell>
          <cell r="C158" t="str">
            <v>V_KEYWORD_ISSR_208001086_EMPLOYEES_OTH_AFRICA</v>
          </cell>
        </row>
        <row r="159">
          <cell r="A159" t="str">
            <v>Vector|||208001086|||ISSR|||EMPLOYEES_TOT_AFRICA|||False|||</v>
          </cell>
          <cell r="C159" t="str">
            <v>V_KEYWORD_ISSR_208001086_EMPLOYEES_TOT_AFRICA</v>
          </cell>
        </row>
        <row r="160">
          <cell r="A160" t="str">
            <v>Vector|||208001086|||ISSR|||EMPLOYEES_RUSSIA|||False|||</v>
          </cell>
          <cell r="C160" t="str">
            <v>V_KEYWORD_ISSR_208001086_EMPLOYEES_RUSSIA</v>
          </cell>
        </row>
        <row r="161">
          <cell r="A161" t="str">
            <v>Vector|||208001086|||ISSR|||EMPLOYEES_OTH_EMEA|||False|||</v>
          </cell>
          <cell r="C161" t="str">
            <v>V_KEYWORD_ISSR_208001086_EMPLOYEES_OTH_EMEA</v>
          </cell>
        </row>
        <row r="162">
          <cell r="A162" t="str">
            <v>Vector|||208001086|||ISSR|||EMPLOYEES_TOT_ASIA|||False|||</v>
          </cell>
          <cell r="C162" t="str">
            <v>V_KEYWORD_ISSR_208001086_EMPLOYEES_TOT_ASIA</v>
          </cell>
        </row>
        <row r="163">
          <cell r="A163" t="str">
            <v>Vector|||208001086|||ISSR|||EMPLOYEES_JAPAN|||False|||</v>
          </cell>
          <cell r="C163" t="str">
            <v>V_KEYWORD_ISSR_208001086_EMPLOYEES_JAPAN</v>
          </cell>
        </row>
        <row r="164">
          <cell r="A164" t="str">
            <v>Vector|||208001086|||ISSR|||EMPLOYEES_CHINA|||False|||</v>
          </cell>
          <cell r="C164" t="str">
            <v>V_KEYWORD_ISSR_208001086_EMPLOYEES_CHINA</v>
          </cell>
        </row>
        <row r="165">
          <cell r="A165" t="str">
            <v>Vector|||208001086|||ISSR|||EMPLOYEES_INDIA|||False|||</v>
          </cell>
          <cell r="C165" t="str">
            <v>V_KEYWORD_ISSR_208001086_EMPLOYEES_INDIA</v>
          </cell>
        </row>
        <row r="166">
          <cell r="A166" t="str">
            <v>Vector|||208001086|||ISSR|||EMPLOYEES_OTH_AEJ|||False|||</v>
          </cell>
          <cell r="C166" t="str">
            <v>V_KEYWORD_ISSR_208001086_EMPLOYEES_OTH_AEJ</v>
          </cell>
        </row>
        <row r="167">
          <cell r="A167" t="str">
            <v>Vector|||208001086|||ISSR|||EMPLOYEES_OTHER|||False|||</v>
          </cell>
          <cell r="C167" t="str">
            <v>V_KEYWORD_ISSR_208001086_EMPLOYEES_OTHER</v>
          </cell>
        </row>
        <row r="169">
          <cell r="A169" t="str">
            <v>Vector|||208001086|||ISSR|||SALES_EXPOSURE_NO_AMERICA|||False|||</v>
          </cell>
          <cell r="C169" t="str">
            <v>V_KEYWORD_ISSR_208001086_SALES_EXPOSURE_NO_AMERICA</v>
          </cell>
        </row>
        <row r="170">
          <cell r="A170" t="str">
            <v>Vector|||208001086|||ISSR|||SALES_EXPOSURE_EMEA|||False|||</v>
          </cell>
          <cell r="C170" t="str">
            <v>V_KEYWORD_ISSR_208001086_SALES_EXPOSURE_EMEA</v>
          </cell>
        </row>
        <row r="171">
          <cell r="A171" t="str">
            <v>Vector|||208001086|||ISSR|||SALES_EXPOSURE_APAC|||False|||</v>
          </cell>
          <cell r="C171" t="str">
            <v>V_KEYWORD_ISSR_208001086_SALES_EXPOSURE_APAC</v>
          </cell>
        </row>
        <row r="172">
          <cell r="A172" t="str">
            <v>Vector|||208001086|||ISSR|||SALES_EXPOSURE_CHINA|||False|||</v>
          </cell>
          <cell r="C172" t="str">
            <v>V_KEYWORD_ISSR_208001086_SALES_EXPOSURE_CHINA</v>
          </cell>
        </row>
        <row r="173">
          <cell r="A173" t="str">
            <v>Vector|||208001086|||ISSR|||SALES_EXPOSURE_ROW|||False|||</v>
          </cell>
          <cell r="C173" t="str">
            <v>V_KEYWORD_ISSR_208001086_SALES_EXPOSURE_ROW</v>
          </cell>
        </row>
        <row r="174">
          <cell r="A174" t="str">
            <v>Vector|||208001086|||ISSR|||SALES_EXPOSURE_DEV_MKT|||False|||</v>
          </cell>
          <cell r="C174" t="str">
            <v>V_KEYWORD_ISSR_208001086_SALES_EXPOSURE_DEV_MKT</v>
          </cell>
        </row>
        <row r="175">
          <cell r="A175" t="str">
            <v>Vector|||208001086|||ISSR|||SALES_EXPOSURE_EMER_MKT|||False|||</v>
          </cell>
          <cell r="C175" t="str">
            <v>V_KEYWORD_ISSR_208001086_SALES_EXPOSURE_EMER_MKT</v>
          </cell>
        </row>
        <row r="177">
          <cell r="A177" t="str">
            <v>Vector|||208001086|||ISSR|||SALES_CONSRT_EMKT_GLOBAL|||False|||</v>
          </cell>
          <cell r="C177" t="str">
            <v>V_KEYWORD_ISSR_208001086_SALES_CONSRT_EMKT_GLOBAL</v>
          </cell>
        </row>
        <row r="178">
          <cell r="A178" t="str">
            <v>Vector|||208001086|||ISSR|||SALES_CONSRT_EMKT_NO_AMERICA|||False|||</v>
          </cell>
          <cell r="C178" t="str">
            <v>V_KEYWORD_ISSR_208001086_SALES_CONSRT_EMKT_NO_AMERICA</v>
          </cell>
        </row>
        <row r="179">
          <cell r="A179" t="str">
            <v>Vector|||208001086|||ISSR|||SALES_CONSRT_EMKT_EAME|||False|||</v>
          </cell>
          <cell r="C179" t="str">
            <v>V_KEYWORD_ISSR_208001086_SALES_CONSRT_EMKT_EAME</v>
          </cell>
        </row>
        <row r="180">
          <cell r="A180" t="str">
            <v>Vector|||208001086|||ISSR|||SALES_CONSRT_EMKT_SO_AMERICA|||False|||</v>
          </cell>
          <cell r="C180" t="str">
            <v>V_KEYWORD_ISSR_208001086_SALES_CONSRT_EMKT_SO_AMERICA</v>
          </cell>
        </row>
        <row r="181">
          <cell r="A181" t="str">
            <v>Vector|||208001086|||ISSR|||SALES_CONSRT_EMKT_CHINA|||False|||</v>
          </cell>
          <cell r="C181" t="str">
            <v>V_KEYWORD_ISSR_208001086_SALES_CONSRT_EMKT_CHINA</v>
          </cell>
        </row>
        <row r="182">
          <cell r="A182" t="str">
            <v>Vector|||208001086|||ISSR|||SALES_CONSRT_EMKT_ASIAEXCHINA|||False|||</v>
          </cell>
          <cell r="C182" t="str">
            <v>V_KEYWORD_ISSR_208001086_SALES_CONSRT_EMKT_ASIAEXCHINA</v>
          </cell>
        </row>
        <row r="183">
          <cell r="A183" t="str">
            <v>Vector|||208001086|||ISSR|||SALES_TRN_DIST_EMKT_GLOBAL|||False|||</v>
          </cell>
          <cell r="C183" t="str">
            <v>V_KEYWORD_ISSR_208001086_SALES_TRN_DIST_EMKT_GLOBAL</v>
          </cell>
        </row>
        <row r="184">
          <cell r="A184" t="str">
            <v>Vector|||208001086|||ISSR|||SALES_TRN_DIST_EMKT_NO_AMERICA|||False|||</v>
          </cell>
          <cell r="C184" t="str">
            <v>V_KEYWORD_ISSR_208001086_SALES_TRN_DIST_EMKT_NO_AMERICA</v>
          </cell>
        </row>
        <row r="185">
          <cell r="A185" t="str">
            <v>Vector|||208001086|||ISSR|||SALES_TRN_DIST_EMKT_EAME|||False|||</v>
          </cell>
          <cell r="C185" t="str">
            <v>V_KEYWORD_ISSR_208001086_SALES_TRN_DIST_EMKT_EAME</v>
          </cell>
        </row>
        <row r="186">
          <cell r="A186" t="str">
            <v>Vector|||208001086|||ISSR|||SALES_TRN_DIST_EMKT_SO_AMERICA|||False|||</v>
          </cell>
          <cell r="C186" t="str">
            <v>V_KEYWORD_ISSR_208001086_SALES_TRN_DIST_EMKT_SO_AMERICA</v>
          </cell>
        </row>
        <row r="187">
          <cell r="A187" t="str">
            <v>Vector|||208001086|||ISSR|||SALES_TRN_DIST_EMKT_CHINA|||False|||</v>
          </cell>
          <cell r="C187" t="str">
            <v>V_KEYWORD_ISSR_208001086_SALES_TRN_DIST_EMKT_CHINA</v>
          </cell>
        </row>
        <row r="188">
          <cell r="A188" t="str">
            <v>Vector|||208001086|||ISSR|||SALES_TRN_DIST_EMKT_ASIAEXCHINA|||False|||</v>
          </cell>
          <cell r="C188" t="str">
            <v>V_KEYWORD_ISSR_208001086_SALES_TRN_DIST_EMKT_ASIAEXCHINA</v>
          </cell>
        </row>
        <row r="189">
          <cell r="A189" t="str">
            <v>Vector|||208001086|||ISSR|||SALES_PWR_GEN_EMKT_GLOBAL|||False|||</v>
          </cell>
          <cell r="C189" t="str">
            <v>V_KEYWORD_ISSR_208001086_SALES_PWR_GEN_EMKT_GLOBAL</v>
          </cell>
        </row>
        <row r="190">
          <cell r="A190" t="str">
            <v>Vector|||208001086|||ISSR|||SALES_PWR_GEN_EMKT_NO_AMERICA|||False|||</v>
          </cell>
          <cell r="C190" t="str">
            <v>V_KEYWORD_ISSR_208001086_SALES_PWR_GEN_EMKT_NO_AMERICA</v>
          </cell>
        </row>
        <row r="191">
          <cell r="A191" t="str">
            <v>Vector|||208001086|||ISSR|||SALES_PWR_GEN_EMKT_EAME|||False|||</v>
          </cell>
          <cell r="C191" t="str">
            <v>V_KEYWORD_ISSR_208001086_SALES_PWR_GEN_EMKT_EAME</v>
          </cell>
        </row>
        <row r="192">
          <cell r="A192" t="str">
            <v>Vector|||208001086|||ISSR|||SALES_PWR_GEN_EMKT_SO_AMERICA|||False|||</v>
          </cell>
          <cell r="C192" t="str">
            <v>V_KEYWORD_ISSR_208001086_SALES_PWR_GEN_EMKT_SO_AMERICA</v>
          </cell>
        </row>
        <row r="193">
          <cell r="A193" t="str">
            <v>Vector|||208001086|||ISSR|||SALES_PWR_GEN_EMKT_CHINA|||False|||</v>
          </cell>
          <cell r="C193" t="str">
            <v>V_KEYWORD_ISSR_208001086_SALES_PWR_GEN_EMKT_CHINA</v>
          </cell>
        </row>
        <row r="194">
          <cell r="A194" t="str">
            <v>Vector|||208001086|||ISSR|||SALES_PWR_GEN_EMKT_ASIAEXCHINA|||False|||</v>
          </cell>
          <cell r="C194" t="str">
            <v>V_KEYWORD_ISSR_208001086_SALES_PWR_GEN_EMKT_ASIAEXCHINA</v>
          </cell>
        </row>
        <row r="195">
          <cell r="A195" t="str">
            <v>Vector|||208001086|||ISSR|||SALES_MINING_EMKT_GLOBAL|||False|||</v>
          </cell>
          <cell r="C195" t="str">
            <v>V_KEYWORD_ISSR_208001086_SALES_MINING_EMKT_GLOBAL</v>
          </cell>
        </row>
        <row r="196">
          <cell r="A196" t="str">
            <v>Vector|||208001086|||ISSR|||SALES_MINING_EMKT_NO_AMERICA|||False|||</v>
          </cell>
          <cell r="C196" t="str">
            <v>V_KEYWORD_ISSR_208001086_SALES_MINING_EMKT_NO_AMERICA</v>
          </cell>
        </row>
        <row r="197">
          <cell r="A197" t="str">
            <v>Vector|||208001086|||ISSR|||SALES_MINING_EMKT_EAME|||False|||</v>
          </cell>
          <cell r="C197" t="str">
            <v>V_KEYWORD_ISSR_208001086_SALES_MINING_EMKT_EAME</v>
          </cell>
        </row>
        <row r="198">
          <cell r="A198" t="str">
            <v>Vector|||208001086|||ISSR|||SALES_MINING_EMKT_SO_AMERICA|||False|||</v>
          </cell>
          <cell r="C198" t="str">
            <v>V_KEYWORD_ISSR_208001086_SALES_MINING_EMKT_SO_AMERICA</v>
          </cell>
        </row>
        <row r="199">
          <cell r="A199" t="str">
            <v>Vector|||208001086|||ISSR|||SALES_MINING_EMKT_CHINA|||False|||</v>
          </cell>
          <cell r="C199" t="str">
            <v>V_KEYWORD_ISSR_208001086_SALES_MINING_EMKT_CHINA</v>
          </cell>
        </row>
        <row r="200">
          <cell r="A200" t="str">
            <v>Vector|||208001086|||ISSR|||SALES_MINING_EMKT_ASIAEXCHINA|||False|||</v>
          </cell>
          <cell r="C200" t="str">
            <v>V_KEYWORD_ISSR_208001086_SALES_MINING_EMKT_ASIAEXCHINA</v>
          </cell>
        </row>
        <row r="201">
          <cell r="A201" t="str">
            <v>Vector|||208001086|||ISSR|||SALES_OIL_GAS_EMKT_GLOBAL|||False|||</v>
          </cell>
          <cell r="C201" t="str">
            <v>V_KEYWORD_ISSR_208001086_SALES_OIL_GAS_EMKT_GLOBAL</v>
          </cell>
        </row>
        <row r="202">
          <cell r="A202" t="str">
            <v>Vector|||208001086|||ISSR|||SALES_OIL_GAS_EMKT_NO_AMERICA|||False|||</v>
          </cell>
          <cell r="C202" t="str">
            <v>V_KEYWORD_ISSR_208001086_SALES_OIL_GAS_EMKT_NO_AMERICA</v>
          </cell>
        </row>
        <row r="203">
          <cell r="A203" t="str">
            <v>Vector|||208001086|||ISSR|||SALES_OIL_GAS_EMKT_EAME|||False|||</v>
          </cell>
          <cell r="C203" t="str">
            <v>V_KEYWORD_ISSR_208001086_SALES_OIL_GAS_EMKT_EAME</v>
          </cell>
        </row>
        <row r="204">
          <cell r="A204" t="str">
            <v>Vector|||208001086|||ISSR|||SALES_OIL_GAS_EMKT_SO_AMERICA|||False|||</v>
          </cell>
          <cell r="C204" t="str">
            <v>V_KEYWORD_ISSR_208001086_SALES_OIL_GAS_EMKT_SO_AMERICA</v>
          </cell>
        </row>
        <row r="205">
          <cell r="A205" t="str">
            <v>Vector|||208001086|||ISSR|||SALES_OIL_GAS_EMKT_CHINA|||False|||</v>
          </cell>
          <cell r="C205" t="str">
            <v>V_KEYWORD_ISSR_208001086_SALES_OIL_GAS_EMKT_CHINA</v>
          </cell>
        </row>
        <row r="206">
          <cell r="A206" t="str">
            <v>Vector|||208001086|||ISSR|||SALES_OIL_GAS_EMKT_ASIAEXCHINA|||False|||</v>
          </cell>
          <cell r="C206" t="str">
            <v>V_KEYWORD_ISSR_208001086_SALES_OIL_GAS_EMKT_ASIAEXCHINA</v>
          </cell>
        </row>
        <row r="207">
          <cell r="A207" t="str">
            <v>Vector|||208001086|||ISSR|||SALES_AUTOMTV_EMKT_GLOBAL|||False|||</v>
          </cell>
          <cell r="C207" t="str">
            <v>V_KEYWORD_ISSR_208001086_SALES_AUTOMTV_EMKT_GLOBAL</v>
          </cell>
        </row>
        <row r="208">
          <cell r="A208" t="str">
            <v>Vector|||208001086|||ISSR|||SALES_AUTOMTV_EMKT_NO_AMERICA|||False|||</v>
          </cell>
          <cell r="C208" t="str">
            <v>V_KEYWORD_ISSR_208001086_SALES_AUTOMTV_EMKT_NO_AMERICA</v>
          </cell>
        </row>
        <row r="209">
          <cell r="A209" t="str">
            <v>Vector|||208001086|||ISSR|||SALES_AUTOMTV_EMKT_EAME|||False|||</v>
          </cell>
          <cell r="C209" t="str">
            <v>V_KEYWORD_ISSR_208001086_SALES_AUTOMTV_EMKT_EAME</v>
          </cell>
        </row>
        <row r="210">
          <cell r="A210" t="str">
            <v>Vector|||208001086|||ISSR|||SALES_AUTOMTV_EMKT_SO_AMERICA|||False|||</v>
          </cell>
          <cell r="C210" t="str">
            <v>V_KEYWORD_ISSR_208001086_SALES_AUTOMTV_EMKT_SO_AMERICA</v>
          </cell>
        </row>
        <row r="211">
          <cell r="A211" t="str">
            <v>Vector|||208001086|||ISSR|||SALES_AUTOMTV_EMKT_CHINA|||False|||</v>
          </cell>
          <cell r="C211" t="str">
            <v>V_KEYWORD_ISSR_208001086_SALES_AUTOMTV_EMKT_CHINA</v>
          </cell>
        </row>
        <row r="212">
          <cell r="A212" t="str">
            <v>Vector|||208001086|||ISSR|||SALES_AUTOMTV_EMKT_ASIAEXCHINA|||False|||</v>
          </cell>
          <cell r="C212" t="str">
            <v>V_KEYWORD_ISSR_208001086_SALES_AUTOMTV_EMKT_ASIAEXCHINA</v>
          </cell>
        </row>
        <row r="213">
          <cell r="A213" t="str">
            <v>Vector|||208001086|||ISSR|||SALES_RAIL_EMKT_GLOBAL|||False|||</v>
          </cell>
          <cell r="C213" t="str">
            <v>V_KEYWORD_ISSR_208001086_SALES_RAIL_EMKT_GLOBAL</v>
          </cell>
        </row>
        <row r="214">
          <cell r="A214" t="str">
            <v>Vector|||208001086|||ISSR|||SALES_RAIL_EMKT_NO_AMERICA|||False|||</v>
          </cell>
          <cell r="C214" t="str">
            <v>V_KEYWORD_ISSR_208001086_SALES_RAIL_EMKT_NO_AMERICA</v>
          </cell>
        </row>
        <row r="215">
          <cell r="A215" t="str">
            <v>Vector|||208001086|||ISSR|||SALES_RAIL_EMKT_EAME|||False|||</v>
          </cell>
          <cell r="C215" t="str">
            <v>V_KEYWORD_ISSR_208001086_SALES_RAIL_EMKT_EAME</v>
          </cell>
        </row>
        <row r="216">
          <cell r="A216" t="str">
            <v>Vector|||208001086|||ISSR|||SALES_RAIL_EMKT_SO_AMERICA|||False|||</v>
          </cell>
          <cell r="C216" t="str">
            <v>V_KEYWORD_ISSR_208001086_SALES_RAIL_EMKT_SO_AMERICA</v>
          </cell>
        </row>
        <row r="217">
          <cell r="A217" t="str">
            <v>Vector|||208001086|||ISSR|||SALES_RAIL_EMKT_CHINA|||False|||</v>
          </cell>
          <cell r="C217" t="str">
            <v>V_KEYWORD_ISSR_208001086_SALES_RAIL_EMKT_CHINA</v>
          </cell>
        </row>
        <row r="218">
          <cell r="A218" t="str">
            <v>Vector|||208001086|||ISSR|||SALES_RAIL_EMKT_ASIAEXCHINA|||False|||</v>
          </cell>
          <cell r="C218" t="str">
            <v>V_KEYWORD_ISSR_208001086_SALES_RAIL_EMKT_ASIAEXCHINA</v>
          </cell>
        </row>
        <row r="219">
          <cell r="A219" t="str">
            <v>Vector|||208001086|||ISSR|||SALES_CONS_EMKT_GLOBAL|||False|||</v>
          </cell>
          <cell r="C219" t="str">
            <v>V_KEYWORD_ISSR_208001086_SALES_CONS_EMKT_GLOBAL</v>
          </cell>
        </row>
        <row r="220">
          <cell r="A220" t="str">
            <v>Vector|||208001086|||ISSR|||SALES_CONS_EMKT_NO_AMERICA|||False|||</v>
          </cell>
          <cell r="C220" t="str">
            <v>V_KEYWORD_ISSR_208001086_SALES_CONS_EMKT_NO_AMERICA</v>
          </cell>
        </row>
        <row r="221">
          <cell r="A221" t="str">
            <v>Vector|||208001086|||ISSR|||SALES_CONS_EMKT_EAME|||False|||</v>
          </cell>
          <cell r="C221" t="str">
            <v>V_KEYWORD_ISSR_208001086_SALES_CONS_EMKT_EAME</v>
          </cell>
        </row>
        <row r="222">
          <cell r="A222" t="str">
            <v>Vector|||208001086|||ISSR|||SALES_CONS_EMKT_SO_AMERICA|||False|||</v>
          </cell>
          <cell r="C222" t="str">
            <v>V_KEYWORD_ISSR_208001086_SALES_CONS_EMKT_SO_AMERICA</v>
          </cell>
        </row>
        <row r="223">
          <cell r="A223" t="str">
            <v>Vector|||208001086|||ISSR|||SALES_CONS_EMKT_CHINA|||False|||</v>
          </cell>
          <cell r="C223" t="str">
            <v>V_KEYWORD_ISSR_208001086_SALES_CONS_EMKT_CHINA</v>
          </cell>
        </row>
        <row r="224">
          <cell r="A224" t="str">
            <v>Vector|||208001086|||ISSR|||SALES_CONS_EMKT_ASIAEXCHINA|||False|||</v>
          </cell>
          <cell r="C224" t="str">
            <v>V_KEYWORD_ISSR_208001086_SALES_CONS_EMKT_ASIAEXCHINA</v>
          </cell>
        </row>
        <row r="225">
          <cell r="A225" t="str">
            <v>Vector|||208001086|||ISSR|||SALES_TECH_EMKT_GLOBAL|||False|||</v>
          </cell>
          <cell r="C225" t="str">
            <v>V_KEYWORD_ISSR_208001086_SALES_TECH_EMKT_GLOBAL</v>
          </cell>
        </row>
        <row r="226">
          <cell r="A226" t="str">
            <v>Vector|||208001086|||ISSR|||SALES_TECH_EMKT_NO_AMERICA|||False|||</v>
          </cell>
          <cell r="C226" t="str">
            <v>V_KEYWORD_ISSR_208001086_SALES_TECH_EMKT_NO_AMERICA</v>
          </cell>
        </row>
        <row r="227">
          <cell r="A227" t="str">
            <v>Vector|||208001086|||ISSR|||SALES_TECH_EMKT_EAME|||False|||</v>
          </cell>
          <cell r="C227" t="str">
            <v>V_KEYWORD_ISSR_208001086_SALES_TECH_EMKT_EAME</v>
          </cell>
        </row>
        <row r="228">
          <cell r="A228" t="str">
            <v>Vector|||208001086|||ISSR|||SALES_TECH_EMKT_SO_AMERICA|||False|||</v>
          </cell>
          <cell r="C228" t="str">
            <v>V_KEYWORD_ISSR_208001086_SALES_TECH_EMKT_SO_AMERICA</v>
          </cell>
        </row>
        <row r="229">
          <cell r="A229" t="str">
            <v>Vector|||208001086|||ISSR|||SALES_TECH_EMKT_CHINA|||False|||</v>
          </cell>
          <cell r="C229" t="str">
            <v>V_KEYWORD_ISSR_208001086_SALES_TECH_EMKT_CHINA</v>
          </cell>
        </row>
        <row r="230">
          <cell r="A230" t="str">
            <v>Vector|||208001086|||ISSR|||SALES_TECH_EMKT_ASIAEXCHINA|||False|||</v>
          </cell>
          <cell r="C230" t="str">
            <v>V_KEYWORD_ISSR_208001086_SALES_TECH_EMKT_ASIAEXCHINA</v>
          </cell>
        </row>
        <row r="231">
          <cell r="A231" t="str">
            <v>Vector|||208001086|||ISSR|||SALES_AGRI_EMKT_GLOBAL|||False|||</v>
          </cell>
          <cell r="C231" t="str">
            <v>V_KEYWORD_ISSR_208001086_SALES_AGRI_EMKT_GLOBAL</v>
          </cell>
        </row>
        <row r="232">
          <cell r="A232" t="str">
            <v>Vector|||208001086|||ISSR|||SALES_AGRI_EMKT_NO_AMERICA|||False|||</v>
          </cell>
          <cell r="C232" t="str">
            <v>V_KEYWORD_ISSR_208001086_SALES_AGRI_EMKT_NO_AMERICA</v>
          </cell>
        </row>
        <row r="233">
          <cell r="A233" t="str">
            <v>Vector|||208001086|||ISSR|||SALES_AGRI_EMKT_EAME|||False|||</v>
          </cell>
          <cell r="C233" t="str">
            <v>V_KEYWORD_ISSR_208001086_SALES_AGRI_EMKT_EAME</v>
          </cell>
        </row>
        <row r="234">
          <cell r="A234" t="str">
            <v>Vector|||208001086|||ISSR|||SALES_AGRI_EMKT_SO_AMERICA|||False|||</v>
          </cell>
          <cell r="C234" t="str">
            <v>V_KEYWORD_ISSR_208001086_SALES_AGRI_EMKT_SO_AMERICA</v>
          </cell>
        </row>
        <row r="235">
          <cell r="A235" t="str">
            <v>Vector|||208001086|||ISSR|||SALES_AGRI_EMKT_CHINA|||False|||</v>
          </cell>
          <cell r="C235" t="str">
            <v>V_KEYWORD_ISSR_208001086_SALES_AGRI_EMKT_CHINA</v>
          </cell>
        </row>
        <row r="236">
          <cell r="A236" t="str">
            <v>Vector|||208001086|||ISSR|||SALES_AGRI_EMKT_ASIAEXCHINA|||False|||</v>
          </cell>
          <cell r="C236" t="str">
            <v>V_KEYWORD_ISSR_208001086_SALES_AGRI_EMKT_ASIAEXCHINA</v>
          </cell>
        </row>
        <row r="237">
          <cell r="A237" t="str">
            <v>Vector|||208001086|||ISSR|||SALES_GNRL_IND_EMKT_GLOBAL|||False|||</v>
          </cell>
          <cell r="C237" t="str">
            <v>V_KEYWORD_ISSR_208001086_SALES_GNRL_IND_EMKT_GLOBAL</v>
          </cell>
        </row>
        <row r="238">
          <cell r="A238" t="str">
            <v>Vector|||208001086|||ISSR|||SALES_GNRL_IND_EMKT_NO_AMERICA|||False|||</v>
          </cell>
          <cell r="C238" t="str">
            <v>V_KEYWORD_ISSR_208001086_SALES_GNRL_IND_EMKT_NO_AMERICA</v>
          </cell>
        </row>
        <row r="239">
          <cell r="A239" t="str">
            <v>Vector|||208001086|||ISSR|||SALES_GNRL_IND_EMKT_EAME|||False|||</v>
          </cell>
          <cell r="C239" t="str">
            <v>V_KEYWORD_ISSR_208001086_SALES_GNRL_IND_EMKT_EAME</v>
          </cell>
        </row>
        <row r="240">
          <cell r="A240" t="str">
            <v>Vector|||208001086|||ISSR|||SALES_GNRL_IND_EMKT_SO_AMERICA|||False|||</v>
          </cell>
          <cell r="C240" t="str">
            <v>V_KEYWORD_ISSR_208001086_SALES_GNRL_IND_EMKT_SO_AMERICA</v>
          </cell>
        </row>
        <row r="241">
          <cell r="A241" t="str">
            <v>Vector|||208001086|||ISSR|||SALES_GNRL_IND_EMKT_CHINA|||False|||</v>
          </cell>
          <cell r="C241" t="str">
            <v>V_KEYWORD_ISSR_208001086_SALES_GNRL_IND_EMKT_CHINA</v>
          </cell>
        </row>
        <row r="242">
          <cell r="A242" t="str">
            <v>Vector|||208001086|||ISSR|||SALES_GNRL_IND_EMKT_ASIAEXCHINA|||False|||</v>
          </cell>
          <cell r="C242" t="str">
            <v>V_KEYWORD_ISSR_208001086_SALES_GNRL_IND_EMKT_ASIAEXCHINA</v>
          </cell>
        </row>
        <row r="243">
          <cell r="A243" t="str">
            <v>Vector|||208001086|||ISSR|||SALES_AMKT_EMKT_GLOBAL|||False|||</v>
          </cell>
          <cell r="C243" t="str">
            <v>V_KEYWORD_ISSR_208001086_SALES_AMKT_EMKT_GLOBAL</v>
          </cell>
        </row>
        <row r="244">
          <cell r="A244" t="str">
            <v>Vector|||208001086|||ISSR|||SALES_EMKT_AEROSPC|||False|||</v>
          </cell>
          <cell r="C244" t="str">
            <v>V_KEYWORD_ISSR_208001086_SALES_EMKT_AEROSPC</v>
          </cell>
        </row>
        <row r="245">
          <cell r="A245" t="str">
            <v>Vector|||208001086|||ISSR|||SALES_EMRKT_AGRI|||False|||</v>
          </cell>
          <cell r="C245" t="str">
            <v>V_KEYWORD_ISSR_208001086_SALES_EMRKT_AGRI</v>
          </cell>
        </row>
        <row r="246">
          <cell r="A246" t="str">
            <v>Vector|||208001086|||ISSR|||SALES_EMRKT_CHEM|||False|||</v>
          </cell>
          <cell r="C246" t="str">
            <v>V_KEYWORD_ISSR_208001086_SALES_EMRKT_CHEM</v>
          </cell>
        </row>
        <row r="247">
          <cell r="A247" t="str">
            <v>Vector|||208001086|||ISSR|||SALES_EMKT_CONS|||False|||</v>
          </cell>
          <cell r="C247" t="str">
            <v>V_KEYWORD_ISSR_208001086_SALES_EMKT_CONS</v>
          </cell>
        </row>
        <row r="248">
          <cell r="A248" t="str">
            <v>Vector|||208001086|||ISSR|||SALES_EMRKT_ELEC|||False|||</v>
          </cell>
          <cell r="C248" t="str">
            <v>V_KEYWORD_ISSR_208001086_SALES_EMRKT_ELEC</v>
          </cell>
        </row>
        <row r="249">
          <cell r="A249" t="str">
            <v>Vector|||208001086|||ISSR|||SALES_EMKT_GNRL_IND|||False|||</v>
          </cell>
          <cell r="C249" t="str">
            <v>V_KEYWORD_ISSR_208001086_SALES_EMKT_GNRL_IND</v>
          </cell>
        </row>
        <row r="250">
          <cell r="A250" t="str">
            <v>Vector|||208001086|||ISSR|||SALES_EMRKT_MARINE|||False|||</v>
          </cell>
          <cell r="C250" t="str">
            <v>V_KEYWORD_ISSR_208001086_SALES_EMRKT_MARINE</v>
          </cell>
        </row>
        <row r="251">
          <cell r="A251" t="str">
            <v>Vector|||208001086|||ISSR|||SALES_EMRKT_NC|||False|||</v>
          </cell>
          <cell r="C251" t="str">
            <v>V_KEYWORD_ISSR_208001086_SALES_EMRKT_NC</v>
          </cell>
        </row>
        <row r="252">
          <cell r="A252" t="str">
            <v>Vector|||208001086|||ISSR|||SALES_EMKT_MED|||False|||</v>
          </cell>
          <cell r="C252" t="str">
            <v>V_KEYWORD_ISSR_208001086_SALES_EMKT_MED</v>
          </cell>
        </row>
        <row r="253">
          <cell r="A253" t="str">
            <v>Vector|||208001086|||ISSR|||SALES_EMKT_MINING|||False|||</v>
          </cell>
          <cell r="C253" t="str">
            <v>V_KEYWORD_ISSR_208001086_SALES_EMKT_MINING</v>
          </cell>
        </row>
        <row r="254">
          <cell r="A254" t="str">
            <v>Vector|||208001086|||ISSR|||SALES_EMKT_NRES_CONSRT|||False|||</v>
          </cell>
          <cell r="C254" t="str">
            <v>V_KEYWORD_ISSR_208001086_SALES_EMKT_NRES_CONSRT</v>
          </cell>
        </row>
        <row r="255">
          <cell r="A255" t="str">
            <v>Vector|||208001086|||ISSR|||SALES_EMKT_OIL_GAS|||False|||</v>
          </cell>
          <cell r="C255" t="str">
            <v>V_KEYWORD_ISSR_208001086_SALES_EMKT_OIL_GAS</v>
          </cell>
        </row>
        <row r="256">
          <cell r="A256" t="str">
            <v>Vector|||208001086|||ISSR|||SALES_EMKT_PWR_GEN|||False|||</v>
          </cell>
          <cell r="C256" t="str">
            <v>V_KEYWORD_ISSR_208001086_SALES_EMKT_PWR_GEN</v>
          </cell>
        </row>
        <row r="257">
          <cell r="A257" t="str">
            <v>Vector|||208001086|||ISSR|||SALES_EMRKT_PULP|||False|||</v>
          </cell>
          <cell r="C257" t="str">
            <v>V_KEYWORD_ISSR_208001086_SALES_EMRKT_PULP</v>
          </cell>
        </row>
        <row r="258">
          <cell r="A258" t="str">
            <v>Vector|||208001086|||ISSR|||SALES_EMKT_RAIL|||False|||</v>
          </cell>
          <cell r="C258" t="str">
            <v>V_KEYWORD_ISSR_208001086_SALES_EMKT_RAIL</v>
          </cell>
        </row>
        <row r="259">
          <cell r="A259" t="str">
            <v>Vector|||208001086|||ISSR|||SALES_EMKT_RES_CONSRT|||False|||</v>
          </cell>
          <cell r="C259" t="str">
            <v>V_KEYWORD_ISSR_208001086_SALES_EMKT_RES_CONSRT</v>
          </cell>
        </row>
        <row r="260">
          <cell r="A260" t="str">
            <v>Vector|||208001086|||ISSR|||SALES_EMKT_TRN_DIST|||False|||</v>
          </cell>
          <cell r="C260" t="str">
            <v>V_KEYWORD_ISSR_208001086_SALES_EMKT_TRN_DIST</v>
          </cell>
        </row>
        <row r="261">
          <cell r="A261" t="str">
            <v>Vector|||208001086|||ISSR|||SALES_EMKT_TECH_TELCO|||False|||</v>
          </cell>
          <cell r="C261" t="str">
            <v>V_KEYWORD_ISSR_208001086_SALES_EMKT_TECH_TELCO</v>
          </cell>
        </row>
        <row r="262">
          <cell r="A262" t="str">
            <v>Vector|||208001086|||ISSR|||SALES_EMKT_VHCLE|||False|||</v>
          </cell>
          <cell r="C262" t="str">
            <v>V_KEYWORD_ISSR_208001086_SALES_EMKT_VHCLE</v>
          </cell>
        </row>
        <row r="264">
          <cell r="A264" t="str">
            <v>Vector|||208001086|||ISSR|||SALES_CANADA|||False|||</v>
          </cell>
          <cell r="C264" t="str">
            <v>V_KEYWORD_ISSR_208001086_SALES_CANADA</v>
          </cell>
        </row>
        <row r="265">
          <cell r="A265" t="str">
            <v>Vector|||208001086|||ISSR|||SALES_US|||False|||</v>
          </cell>
          <cell r="C265" t="str">
            <v>V_KEYWORD_ISSR_208001086_SALES_US</v>
          </cell>
        </row>
        <row r="266">
          <cell r="A266" t="str">
            <v>Vector|||208001086|||ISSR|||SALES_OTH_NO_AMER|||False|||</v>
          </cell>
          <cell r="C266" t="str">
            <v>V_KEYWORD_ISSR_208001086_SALES_OTH_NO_AMER</v>
          </cell>
        </row>
        <row r="267">
          <cell r="A267" t="str">
            <v>Vector|||208001086|||ISSR|||SALES_ARGENTINA|||False|||</v>
          </cell>
          <cell r="C267" t="str">
            <v>V_KEYWORD_ISSR_208001086_SALES_ARGENTINA</v>
          </cell>
        </row>
        <row r="268">
          <cell r="A268" t="str">
            <v>Vector|||208001086|||ISSR|||SALES_BRAZIL|||False|||</v>
          </cell>
          <cell r="C268" t="str">
            <v>V_KEYWORD_ISSR_208001086_SALES_BRAZIL</v>
          </cell>
        </row>
        <row r="269">
          <cell r="A269" t="str">
            <v>Vector|||208001086|||ISSR|||SALES_CHILE|||False|||</v>
          </cell>
          <cell r="C269" t="str">
            <v>V_KEYWORD_ISSR_208001086_SALES_CHILE</v>
          </cell>
        </row>
        <row r="270">
          <cell r="A270" t="str">
            <v>Vector|||208001086|||ISSR|||SALES_COLOMBIA|||False|||</v>
          </cell>
          <cell r="C270" t="str">
            <v>V_KEYWORD_ISSR_208001086_SALES_COLOMBIA</v>
          </cell>
        </row>
        <row r="271">
          <cell r="A271" t="str">
            <v>Vector|||208001086|||ISSR|||SALES_MEXICO|||False|||</v>
          </cell>
          <cell r="C271" t="str">
            <v>V_KEYWORD_ISSR_208001086_SALES_MEXICO</v>
          </cell>
        </row>
        <row r="272">
          <cell r="A272" t="str">
            <v>Vector|||208001086|||ISSR|||SALES_VENEZUELA|||False|||</v>
          </cell>
          <cell r="C272" t="str">
            <v>V_KEYWORD_ISSR_208001086_SALES_VENEZUELA</v>
          </cell>
        </row>
        <row r="273">
          <cell r="A273" t="str">
            <v>Vector|||208001086|||ISSR|||SALES_OTH_LATAM|||False|||</v>
          </cell>
          <cell r="C273" t="str">
            <v>V_KEYWORD_ISSR_208001086_SALES_OTH_LATAM</v>
          </cell>
        </row>
        <row r="274">
          <cell r="A274" t="str">
            <v>Vector|||208001086|||ISSR|||SALES_AUSTRIA|||False|||</v>
          </cell>
          <cell r="C274" t="str">
            <v>V_KEYWORD_ISSR_208001086_SALES_AUSTRIA</v>
          </cell>
        </row>
        <row r="275">
          <cell r="A275" t="str">
            <v>Vector|||208001086|||ISSR|||SALES_BEL|||False|||</v>
          </cell>
          <cell r="C275" t="str">
            <v>V_KEYWORD_ISSR_208001086_SALES_BEL</v>
          </cell>
        </row>
        <row r="276">
          <cell r="A276" t="str">
            <v>Vector|||208001086|||ISSR|||SALES_FRA|||False|||</v>
          </cell>
          <cell r="C276" t="str">
            <v>V_KEYWORD_ISSR_208001086_SALES_FRA</v>
          </cell>
        </row>
        <row r="277">
          <cell r="A277" t="str">
            <v>Vector|||208001086|||ISSR|||SALES_GER|||False|||</v>
          </cell>
          <cell r="C277" t="str">
            <v>V_KEYWORD_ISSR_208001086_SALES_GER</v>
          </cell>
        </row>
        <row r="278">
          <cell r="A278" t="str">
            <v>Vector|||208001086|||ISSR|||SALES_GRE|||False|||</v>
          </cell>
          <cell r="C278" t="str">
            <v>V_KEYWORD_ISSR_208001086_SALES_GRE</v>
          </cell>
        </row>
        <row r="279">
          <cell r="A279" t="str">
            <v>Vector|||208001086|||ISSR|||SALES_IRE|||False|||</v>
          </cell>
          <cell r="C279" t="str">
            <v>V_KEYWORD_ISSR_208001086_SALES_IRE</v>
          </cell>
        </row>
        <row r="280">
          <cell r="A280" t="str">
            <v>Vector|||208001086|||ISSR|||SALES_ITA|||False|||</v>
          </cell>
          <cell r="C280" t="str">
            <v>V_KEYWORD_ISSR_208001086_SALES_ITA</v>
          </cell>
        </row>
        <row r="281">
          <cell r="A281" t="str">
            <v>Vector|||208001086|||ISSR|||SALES_NETH|||False|||</v>
          </cell>
          <cell r="C281" t="str">
            <v>V_KEYWORD_ISSR_208001086_SALES_NETH</v>
          </cell>
        </row>
        <row r="282">
          <cell r="A282" t="str">
            <v>Vector|||208001086|||ISSR|||SALES_NOR|||False|||</v>
          </cell>
          <cell r="C282" t="str">
            <v>V_KEYWORD_ISSR_208001086_SALES_NOR</v>
          </cell>
        </row>
        <row r="283">
          <cell r="A283" t="str">
            <v>Vector|||208001086|||ISSR|||SALES_POR|||False|||</v>
          </cell>
          <cell r="C283" t="str">
            <v>V_KEYWORD_ISSR_208001086_SALES_POR</v>
          </cell>
        </row>
        <row r="284">
          <cell r="A284" t="str">
            <v>Vector|||208001086|||ISSR|||SALES_SPA|||False|||</v>
          </cell>
          <cell r="C284" t="str">
            <v>V_KEYWORD_ISSR_208001086_SALES_SPA</v>
          </cell>
        </row>
        <row r="285">
          <cell r="A285" t="str">
            <v>Vector|||208001086|||ISSR|||SALES_SWE|||False|||</v>
          </cell>
          <cell r="C285" t="str">
            <v>V_KEYWORD_ISSR_208001086_SALES_SWE</v>
          </cell>
        </row>
        <row r="286">
          <cell r="A286" t="str">
            <v>Vector|||208001086|||ISSR|||SALES_SWIT|||False|||</v>
          </cell>
          <cell r="C286" t="str">
            <v>V_KEYWORD_ISSR_208001086_SALES_SWIT</v>
          </cell>
        </row>
        <row r="287">
          <cell r="A287" t="str">
            <v>Vector|||208001086|||ISSR|||SALES_UK|||False|||</v>
          </cell>
          <cell r="C287" t="str">
            <v>V_KEYWORD_ISSR_208001086_SALES_UK</v>
          </cell>
        </row>
        <row r="288">
          <cell r="A288" t="str">
            <v>Vector|||208001086|||ISSR|||SALES_OTH_WEST_EURO|||False|||</v>
          </cell>
          <cell r="C288" t="str">
            <v>V_KEYWORD_ISSR_208001086_SALES_OTH_WEST_EURO</v>
          </cell>
        </row>
        <row r="289">
          <cell r="A289" t="str">
            <v>Vector|||208001086|||ISSR|||SALES_POLAND|||False|||</v>
          </cell>
          <cell r="C289" t="str">
            <v>V_KEYWORD_ISSR_208001086_SALES_POLAND</v>
          </cell>
        </row>
        <row r="290">
          <cell r="A290" t="str">
            <v>Vector|||208001086|||ISSR|||SALES_RUSSIA|||False|||</v>
          </cell>
          <cell r="C290" t="str">
            <v>V_KEYWORD_ISSR_208001086_SALES_RUSSIA</v>
          </cell>
        </row>
        <row r="291">
          <cell r="A291" t="str">
            <v>Vector|||208001086|||ISSR|||SALES_TURKEY|||False|||</v>
          </cell>
          <cell r="C291" t="str">
            <v>V_KEYWORD_ISSR_208001086_SALES_TURKEY</v>
          </cell>
        </row>
        <row r="292">
          <cell r="A292" t="str">
            <v>Vector|||208001086|||ISSR|||SALES_OTH_CEE|||False|||</v>
          </cell>
          <cell r="C292" t="str">
            <v>V_KEYWORD_ISSR_208001086_SALES_OTH_CEE</v>
          </cell>
        </row>
        <row r="293">
          <cell r="A293" t="str">
            <v>Vector|||208001086|||ISSR|||SALES_SAUDI_ARABIA|||False|||</v>
          </cell>
          <cell r="C293" t="str">
            <v>V_KEYWORD_ISSR_208001086_SALES_SAUDI_ARABIA</v>
          </cell>
        </row>
        <row r="294">
          <cell r="A294" t="str">
            <v>Vector|||208001086|||ISSR|||SALES_UAE|||False|||</v>
          </cell>
          <cell r="C294" t="str">
            <v>V_KEYWORD_ISSR_208001086_SALES_UAE</v>
          </cell>
        </row>
        <row r="295">
          <cell r="A295" t="str">
            <v>Vector|||208001086|||ISSR|||SALES_OTH_ME|||False|||</v>
          </cell>
          <cell r="C295" t="str">
            <v>V_KEYWORD_ISSR_208001086_SALES_OTH_ME</v>
          </cell>
        </row>
        <row r="296">
          <cell r="A296" t="str">
            <v>Vector|||208001086|||ISSR|||SALES_NIGERIA|||False|||</v>
          </cell>
          <cell r="C296" t="str">
            <v>V_KEYWORD_ISSR_208001086_SALES_NIGERIA</v>
          </cell>
        </row>
        <row r="297">
          <cell r="A297" t="str">
            <v>Vector|||208001086|||ISSR|||SALES_SO_AFRICA|||False|||</v>
          </cell>
          <cell r="C297" t="str">
            <v>V_KEYWORD_ISSR_208001086_SALES_SO_AFRICA</v>
          </cell>
        </row>
        <row r="298">
          <cell r="A298" t="str">
            <v>Vector|||208001086|||ISSR|||SALES_OTH_AFRICA|||False|||</v>
          </cell>
          <cell r="C298" t="str">
            <v>V_KEYWORD_ISSR_208001086_SALES_OTH_AFRICA</v>
          </cell>
        </row>
        <row r="299">
          <cell r="A299" t="str">
            <v>Vector|||208001086|||ISSR|||SALES_HONG_KONG|||False|||</v>
          </cell>
          <cell r="C299" t="str">
            <v>V_KEYWORD_ISSR_208001086_SALES_HONG_KONG</v>
          </cell>
        </row>
        <row r="300">
          <cell r="A300" t="str">
            <v>Vector|||208001086|||ISSR|||SALES_JAPAN|||False|||</v>
          </cell>
          <cell r="C300" t="str">
            <v>V_KEYWORD_ISSR_208001086_SALES_JAPAN</v>
          </cell>
        </row>
        <row r="301">
          <cell r="A301" t="str">
            <v>Vector|||208001086|||ISSR|||SALES_SINGAPORE|||False|||</v>
          </cell>
          <cell r="C301" t="str">
            <v>V_KEYWORD_ISSR_208001086_SALES_SINGAPORE</v>
          </cell>
        </row>
        <row r="302">
          <cell r="A302" t="str">
            <v>Vector|||208001086|||ISSR|||SALES_SK|||False|||</v>
          </cell>
          <cell r="C302" t="str">
            <v>V_KEYWORD_ISSR_208001086_SALES_SK</v>
          </cell>
        </row>
        <row r="303">
          <cell r="A303" t="str">
            <v>Vector|||208001086|||ISSR|||SALES_TAIWAN|||False|||</v>
          </cell>
          <cell r="C303" t="str">
            <v>V_KEYWORD_ISSR_208001086_SALES_TAIWAN</v>
          </cell>
        </row>
        <row r="304">
          <cell r="A304" t="str">
            <v>Vector|||208001086|||ISSR|||SALES_OTH_DEV_ASIA|||False|||</v>
          </cell>
          <cell r="C304" t="str">
            <v>V_KEYWORD_ISSR_208001086_SALES_OTH_DEV_ASIA</v>
          </cell>
        </row>
        <row r="305">
          <cell r="A305" t="str">
            <v>Vector|||208001086|||ISSR|||SALES_CHINA|||False|||</v>
          </cell>
          <cell r="C305" t="str">
            <v>V_KEYWORD_ISSR_208001086_SALES_CHINA</v>
          </cell>
        </row>
        <row r="306">
          <cell r="A306" t="str">
            <v>Vector|||208001086|||ISSR|||SALES_INDIA|||False|||</v>
          </cell>
          <cell r="C306" t="str">
            <v>V_KEYWORD_ISSR_208001086_SALES_INDIA</v>
          </cell>
        </row>
        <row r="307">
          <cell r="A307" t="str">
            <v>Vector|||208001086|||ISSR|||SALES_INDONESIA|||False|||</v>
          </cell>
          <cell r="C307" t="str">
            <v>V_KEYWORD_ISSR_208001086_SALES_INDONESIA</v>
          </cell>
        </row>
        <row r="308">
          <cell r="A308" t="str">
            <v>Vector|||208001086|||ISSR|||SALES_THAILAND|||False|||</v>
          </cell>
          <cell r="C308" t="str">
            <v>V_KEYWORD_ISSR_208001086_SALES_THAILAND</v>
          </cell>
        </row>
        <row r="309">
          <cell r="A309" t="str">
            <v>Vector|||208001086|||ISSR|||SALES_OTH_EMERG_ASIA|||False|||</v>
          </cell>
          <cell r="C309" t="str">
            <v>V_KEYWORD_ISSR_208001086_SALES_OTH_EMERG_ASIA</v>
          </cell>
        </row>
        <row r="310">
          <cell r="A310" t="str">
            <v>Vector|||208001086|||ISSR|||SALES_AUSTRA|||False|||</v>
          </cell>
          <cell r="C310" t="str">
            <v>V_KEYWORD_ISSR_208001086_SALES_AUSTRA</v>
          </cell>
        </row>
        <row r="311">
          <cell r="A311" t="str">
            <v>Vector|||208001086|||ISSR|||SALES_NZ|||False|||</v>
          </cell>
          <cell r="C311" t="str">
            <v>V_KEYWORD_ISSR_208001086_SALES_NZ</v>
          </cell>
        </row>
        <row r="312">
          <cell r="A312" t="str">
            <v>Vector|||208001086|||ISSR|||SALES_OTHER|||False|||</v>
          </cell>
          <cell r="C312" t="str">
            <v>V_KEYWORD_ISSR_208001086_SALES_OTHER</v>
          </cell>
        </row>
        <row r="313">
          <cell r="A313" t="str">
            <v>Vector|||208001086|||ISSR|||COGS_PCT_US|||False|||</v>
          </cell>
          <cell r="C313" t="str">
            <v>V_KEYWORD_ISSR_208001086_COGS_PCT_US</v>
          </cell>
        </row>
        <row r="314">
          <cell r="A314" t="str">
            <v>Vector|||208001086|||ISSR|||COGS_PCT_ROW|||False|||</v>
          </cell>
          <cell r="C314" t="str">
            <v>V_KEYWORD_ISSR_208001086_COGS_PCT_ROW</v>
          </cell>
        </row>
        <row r="315">
          <cell r="A315" t="str">
            <v>Vector|||208001086|||ISSR|||SGA_PCT_US|||False|||</v>
          </cell>
          <cell r="C315" t="str">
            <v>V_KEYWORD_ISSR_208001086_SGA_PCT_US</v>
          </cell>
        </row>
        <row r="316">
          <cell r="A316" t="str">
            <v>Vector|||208001086|||ISSR|||SGA_PCT_ROW|||False|||</v>
          </cell>
          <cell r="C316" t="str">
            <v>V_KEYWORD_ISSR_208001086_SGA_PCT_ROW</v>
          </cell>
        </row>
        <row r="317">
          <cell r="A317" t="str">
            <v>Vector|||208001086|||ISSR|||SALES_CONS|||False|||</v>
          </cell>
          <cell r="C317" t="str">
            <v>V_KEYWORD_ISSR_208001086_SALES_CONS</v>
          </cell>
        </row>
        <row r="318">
          <cell r="A318" t="str">
            <v>Vector|||208001086|||ISSR|||SALES_IND|||False|||</v>
          </cell>
          <cell r="C318" t="str">
            <v>V_KEYWORD_ISSR_208001086_SALES_IND</v>
          </cell>
        </row>
        <row r="319">
          <cell r="A319" t="str">
            <v>Vector|||208001086|||ISSR|||SALES_GOV|||False|||</v>
          </cell>
          <cell r="C319" t="str">
            <v>V_KEYWORD_ISSR_208001086_SALES_GOV</v>
          </cell>
        </row>
        <row r="320">
          <cell r="A320" t="str">
            <v>Vector|||208001086|||ISSR|||SALES_FINAN|||False|||</v>
          </cell>
          <cell r="C320" t="str">
            <v>V_KEYWORD_ISSR_208001086_SALES_FINAN</v>
          </cell>
        </row>
        <row r="321">
          <cell r="A321" t="str">
            <v>Vector|||208001086|||ISSR|||SALES_OIL_GAS|||False|||</v>
          </cell>
          <cell r="C321" t="str">
            <v>V_KEYWORD_ISSR_208001086_SALES_OIL_GAS</v>
          </cell>
        </row>
        <row r="323">
          <cell r="A323" t="str">
            <v>Vector|||208001086|||ISSR|||SALES_OIL_PETRO_FUEL|||False|||</v>
          </cell>
          <cell r="C323" t="str">
            <v>V_KEYWORD_ISSR_208001086_SALES_OIL_PETRO_FUEL</v>
          </cell>
        </row>
        <row r="324">
          <cell r="A324" t="str">
            <v>Vector|||208001086|||ISSR|||SALES_OIL_DERIV_NGLS_PLASTICS|||False|||</v>
          </cell>
          <cell r="C324" t="str">
            <v>V_KEYWORD_ISSR_208001086_SALES_OIL_DERIV_NGLS_PLASTICS</v>
          </cell>
        </row>
        <row r="325">
          <cell r="A325" t="str">
            <v>Vector|||208001086|||ISSR|||SALES_NAT_GAS|||False|||</v>
          </cell>
          <cell r="C325" t="str">
            <v>V_KEYWORD_ISSR_208001086_SALES_NAT_GAS</v>
          </cell>
        </row>
        <row r="326">
          <cell r="A326" t="str">
            <v>Vector|||208001086|||ISSR|||SALES_GOLD|||False|||</v>
          </cell>
          <cell r="C326" t="str">
            <v>V_KEYWORD_ISSR_208001086_SALES_GOLD</v>
          </cell>
        </row>
        <row r="327">
          <cell r="A327" t="str">
            <v>Vector|||208001086|||ISSR|||SALES_COPPER|||False|||</v>
          </cell>
          <cell r="C327" t="str">
            <v>V_KEYWORD_ISSR_208001086_SALES_COPPER</v>
          </cell>
        </row>
        <row r="328">
          <cell r="A328" t="str">
            <v>Vector|||208001086|||ISSR|||SALES_SILVER|||False|||</v>
          </cell>
          <cell r="C328" t="str">
            <v>V_KEYWORD_ISSR_208001086_SALES_SILVER</v>
          </cell>
        </row>
        <row r="329">
          <cell r="A329" t="str">
            <v>Vector|||208001086|||ISSR|||SALES_PLATINUM|||False|||</v>
          </cell>
          <cell r="C329" t="str">
            <v>V_KEYWORD_ISSR_208001086_SALES_PLATINUM</v>
          </cell>
        </row>
        <row r="330">
          <cell r="A330" t="str">
            <v>Vector|||208001086|||ISSR|||SALES_PALLADIUM|||False|||</v>
          </cell>
          <cell r="C330" t="str">
            <v>V_KEYWORD_ISSR_208001086_SALES_PALLADIUM</v>
          </cell>
        </row>
        <row r="331">
          <cell r="A331" t="str">
            <v>Vector|||208001086|||ISSR|||SALES_ALUMINIUM|||False|||</v>
          </cell>
          <cell r="C331" t="str">
            <v>V_KEYWORD_ISSR_208001086_SALES_ALUMINIUM</v>
          </cell>
        </row>
        <row r="332">
          <cell r="A332" t="str">
            <v>Vector|||208001086|||ISSR|||SALES_NICKEL|||False|||</v>
          </cell>
          <cell r="C332" t="str">
            <v>V_KEYWORD_ISSR_208001086_SALES_NICKEL</v>
          </cell>
        </row>
        <row r="333">
          <cell r="A333" t="str">
            <v>Vector|||208001086|||ISSR|||SALES_ZINC|||False|||</v>
          </cell>
          <cell r="C333" t="str">
            <v>V_KEYWORD_ISSR_208001086_SALES_ZINC</v>
          </cell>
        </row>
        <row r="334">
          <cell r="A334" t="str">
            <v>Vector|||208001086|||ISSR|||SALES_STEEL|||False|||</v>
          </cell>
          <cell r="C334" t="str">
            <v>V_KEYWORD_ISSR_208001086_SALES_STEEL</v>
          </cell>
        </row>
        <row r="335">
          <cell r="A335" t="str">
            <v>Vector|||208001086|||ISSR|||SALES_TIN|||False|||</v>
          </cell>
          <cell r="C335" t="str">
            <v>V_KEYWORD_ISSR_208001086_SALES_TIN</v>
          </cell>
        </row>
        <row r="336">
          <cell r="A336" t="str">
            <v>Vector|||208001086|||ISSR|||SALES_IRON_ORE|||False|||</v>
          </cell>
          <cell r="C336" t="str">
            <v>V_KEYWORD_ISSR_208001086_SALES_IRON_ORE</v>
          </cell>
        </row>
        <row r="337">
          <cell r="A337" t="str">
            <v>Vector|||208001086|||ISSR|||SALES_FERROCHROME|||False|||</v>
          </cell>
          <cell r="C337" t="str">
            <v>V_KEYWORD_ISSR_208001086_SALES_FERROCHROME</v>
          </cell>
        </row>
        <row r="338">
          <cell r="A338" t="str">
            <v>Vector|||208001086|||ISSR|||SALES_DIAMONDS|||False|||</v>
          </cell>
          <cell r="C338" t="str">
            <v>V_KEYWORD_ISSR_208001086_SALES_DIAMONDS</v>
          </cell>
        </row>
        <row r="339">
          <cell r="A339" t="str">
            <v>Vector|||208001086|||ISSR|||SALES_COAL_THERMAL|||False|||</v>
          </cell>
          <cell r="C339" t="str">
            <v>V_KEYWORD_ISSR_208001086_SALES_COAL_THERMAL</v>
          </cell>
        </row>
        <row r="340">
          <cell r="A340" t="str">
            <v>Vector|||208001086|||ISSR|||SALES_COAL_MET|||False|||</v>
          </cell>
          <cell r="C340" t="str">
            <v>V_KEYWORD_ISSR_208001086_SALES_COAL_MET</v>
          </cell>
        </row>
        <row r="341">
          <cell r="A341" t="str">
            <v>Vector|||208001086|||ISSR|||SALES_PAPER_PULP|||False|||</v>
          </cell>
          <cell r="C341" t="str">
            <v>V_KEYWORD_ISSR_208001086_SALES_PAPER_PULP</v>
          </cell>
        </row>
        <row r="342">
          <cell r="A342" t="str">
            <v>Vector|||208001086|||ISSR|||SALES_GLASS|||False|||</v>
          </cell>
          <cell r="C342" t="str">
            <v>V_KEYWORD_ISSR_208001086_SALES_GLASS</v>
          </cell>
        </row>
        <row r="343">
          <cell r="A343" t="str">
            <v>Vector|||208001086|||ISSR|||SALES_CEMENT|||False|||</v>
          </cell>
          <cell r="C343" t="str">
            <v>V_KEYWORD_ISSR_208001086_SALES_CEMENT</v>
          </cell>
        </row>
        <row r="344">
          <cell r="A344" t="str">
            <v>Vector|||208001086|||ISSR|||SALES_PALM_OIL|||False|||</v>
          </cell>
          <cell r="C344" t="str">
            <v>V_KEYWORD_ISSR_208001086_SALES_PALM_OIL</v>
          </cell>
        </row>
        <row r="345">
          <cell r="A345" t="str">
            <v>Vector|||208001086|||ISSR|||SALES_OTH_COMMODITY|||False|||</v>
          </cell>
          <cell r="C345" t="str">
            <v>V_KEYWORD_ISSR_208001086_SALES_OTH_COMMODITY</v>
          </cell>
        </row>
        <row r="346">
          <cell r="A346" t="str">
            <v>Vector|||208001086|||ISSR|||SALES_OTH_SALES_SOURCES|||False|||</v>
          </cell>
          <cell r="C346" t="str">
            <v>V_KEYWORD_ISSR_208001086_SALES_OTH_SALES_SOURCES</v>
          </cell>
        </row>
        <row r="348">
          <cell r="A348" t="str">
            <v>Vector|||208001086|||ISSR|||EXP_OIL_PETRO_FUEL|||False|||</v>
          </cell>
          <cell r="C348" t="str">
            <v>V_KEYWORD_ISSR_208001086_EXP_OIL_PETRO_FUEL</v>
          </cell>
        </row>
        <row r="349">
          <cell r="A349" t="str">
            <v>Vector|||208001086|||ISSR|||EXP_OIL_DERIV_NGLS_PLASTICS|||False|||</v>
          </cell>
          <cell r="C349" t="str">
            <v>V_KEYWORD_ISSR_208001086_EXP_OIL_DERIV_NGLS_PLASTICS</v>
          </cell>
        </row>
        <row r="350">
          <cell r="A350" t="str">
            <v>Vector|||208001086|||ISSR|||EXP_NAT_GAS|||False|||</v>
          </cell>
          <cell r="C350" t="str">
            <v>V_KEYWORD_ISSR_208001086_EXP_NAT_GAS</v>
          </cell>
        </row>
        <row r="351">
          <cell r="A351" t="str">
            <v>Vector|||208001086|||ISSR|||EXP_GOLD|||False|||</v>
          </cell>
          <cell r="C351" t="str">
            <v>V_KEYWORD_ISSR_208001086_EXP_GOLD</v>
          </cell>
        </row>
        <row r="352">
          <cell r="A352" t="str">
            <v>Vector|||208001086|||ISSR|||EXP_COPPER|||False|||</v>
          </cell>
          <cell r="C352" t="str">
            <v>V_KEYWORD_ISSR_208001086_EXP_COPPER</v>
          </cell>
        </row>
        <row r="353">
          <cell r="A353" t="str">
            <v>Vector|||208001086|||ISSR|||EXP_SILVER|||False|||</v>
          </cell>
          <cell r="C353" t="str">
            <v>V_KEYWORD_ISSR_208001086_EXP_SILVER</v>
          </cell>
        </row>
        <row r="354">
          <cell r="A354" t="str">
            <v>Vector|||208001086|||ISSR|||EXP_PLATINUM|||False|||</v>
          </cell>
          <cell r="C354" t="str">
            <v>V_KEYWORD_ISSR_208001086_EXP_PLATINUM</v>
          </cell>
        </row>
        <row r="355">
          <cell r="A355" t="str">
            <v>Vector|||208001086|||ISSR|||EXP_PALLADIUM|||False|||</v>
          </cell>
          <cell r="C355" t="str">
            <v>V_KEYWORD_ISSR_208001086_EXP_PALLADIUM</v>
          </cell>
        </row>
        <row r="356">
          <cell r="A356" t="str">
            <v>Vector|||208001086|||ISSR|||EXP_ALUMINIUM|||False|||</v>
          </cell>
          <cell r="C356" t="str">
            <v>V_KEYWORD_ISSR_208001086_EXP_ALUMINIUM</v>
          </cell>
        </row>
        <row r="357">
          <cell r="A357" t="str">
            <v>Vector|||208001086|||ISSR|||EXP_NICKEL|||False|||</v>
          </cell>
          <cell r="C357" t="str">
            <v>V_KEYWORD_ISSR_208001086_EXP_NICKEL</v>
          </cell>
        </row>
        <row r="358">
          <cell r="A358" t="str">
            <v>Vector|||208001086|||ISSR|||EXP_ZINC|||False|||</v>
          </cell>
          <cell r="C358" t="str">
            <v>V_KEYWORD_ISSR_208001086_EXP_ZINC</v>
          </cell>
        </row>
        <row r="359">
          <cell r="A359" t="str">
            <v>Vector|||208001086|||ISSR|||EXP_STEEL|||False|||</v>
          </cell>
          <cell r="C359" t="str">
            <v>V_KEYWORD_ISSR_208001086_EXP_STEEL</v>
          </cell>
        </row>
        <row r="360">
          <cell r="A360" t="str">
            <v>Vector|||208001086|||ISSR|||EXP_TIN|||False|||</v>
          </cell>
          <cell r="C360" t="str">
            <v>V_KEYWORD_ISSR_208001086_EXP_TIN</v>
          </cell>
        </row>
        <row r="361">
          <cell r="A361" t="str">
            <v>Vector|||208001086|||ISSR|||EXP_IRON_ORE|||False|||</v>
          </cell>
          <cell r="C361" t="str">
            <v>V_KEYWORD_ISSR_208001086_EXP_IRON_ORE</v>
          </cell>
        </row>
        <row r="362">
          <cell r="A362" t="str">
            <v>Vector|||208001086|||ISSR|||EXP_FERROCHROME|||False|||</v>
          </cell>
          <cell r="C362" t="str">
            <v>V_KEYWORD_ISSR_208001086_EXP_FERROCHROME</v>
          </cell>
        </row>
        <row r="363">
          <cell r="A363" t="str">
            <v>Vector|||208001086|||ISSR|||EXP_DIAMONDS|||False|||</v>
          </cell>
          <cell r="C363" t="str">
            <v>V_KEYWORD_ISSR_208001086_EXP_DIAMONDS</v>
          </cell>
        </row>
        <row r="364">
          <cell r="A364" t="str">
            <v>Vector|||208001086|||ISSR|||EXP_PAPER_PULP|||False|||</v>
          </cell>
          <cell r="C364" t="str">
            <v>V_KEYWORD_ISSR_208001086_EXP_PAPER_PULP</v>
          </cell>
        </row>
        <row r="365">
          <cell r="A365" t="str">
            <v>Vector|||208001086|||ISSR|||EXP_LUMBER|||False|||</v>
          </cell>
          <cell r="C365" t="str">
            <v>V_KEYWORD_ISSR_208001086_EXP_LUMBER</v>
          </cell>
        </row>
        <row r="366">
          <cell r="A366" t="str">
            <v>Vector|||208001086|||ISSR|||EXP_GLASS|||False|||</v>
          </cell>
          <cell r="C366" t="str">
            <v>V_KEYWORD_ISSR_208001086_EXP_GLASS</v>
          </cell>
        </row>
        <row r="367">
          <cell r="A367" t="str">
            <v>Vector|||208001086|||ISSR|||EXP_CEMENT|||False|||</v>
          </cell>
          <cell r="C367" t="str">
            <v>V_KEYWORD_ISSR_208001086_EXP_CEMENT</v>
          </cell>
        </row>
        <row r="368">
          <cell r="A368" t="str">
            <v>Vector|||208001086|||ISSR|||EXP_RUBBER|||False|||</v>
          </cell>
          <cell r="C368" t="str">
            <v>V_KEYWORD_ISSR_208001086_EXP_RUBBER</v>
          </cell>
        </row>
        <row r="369">
          <cell r="A369" t="str">
            <v>Vector|||208001086|||ISSR|||EXP_WATER|||False|||</v>
          </cell>
          <cell r="C369" t="str">
            <v>V_KEYWORD_ISSR_208001086_EXP_WATER</v>
          </cell>
        </row>
        <row r="370">
          <cell r="A370" t="str">
            <v>Vector|||208001086|||ISSR|||EXP_OTH_COMMODITY|||False|||</v>
          </cell>
          <cell r="C370" t="str">
            <v>V_KEYWORD_ISSR_208001086_EXP_OTH_COMMODITY</v>
          </cell>
        </row>
        <row r="371">
          <cell r="A371" t="str">
            <v>Vector|||208001086|||ISSR|||EXP_OTH_COST|||False|||</v>
          </cell>
          <cell r="C371" t="str">
            <v>V_KEYWORD_ISSR_208001086_EXP_OTH_COST</v>
          </cell>
        </row>
        <row r="373">
          <cell r="A373" t="str">
            <v>Vector|||208001086|||ISSR|||SALES_FX_GPB|||False|||</v>
          </cell>
          <cell r="C373" t="str">
            <v>V_KEYWORD_ISSR_208001086_SALES_FX_GPB</v>
          </cell>
        </row>
        <row r="374">
          <cell r="A374" t="str">
            <v>Vector|||208001086|||ISSR|||SALES_FX_EUR|||False|||</v>
          </cell>
          <cell r="C374" t="str">
            <v>V_KEYWORD_ISSR_208001086_SALES_FX_EUR</v>
          </cell>
        </row>
        <row r="375">
          <cell r="A375" t="str">
            <v>Vector|||208001086|||ISSR|||SALES_FX_RUB|||False|||</v>
          </cell>
          <cell r="C375" t="str">
            <v>V_KEYWORD_ISSR_208001086_SALES_FX_RUB</v>
          </cell>
        </row>
        <row r="376">
          <cell r="A376" t="str">
            <v>Vector|||208001086|||ISSR|||SALES_FX_USD|||False|||</v>
          </cell>
          <cell r="C376" t="str">
            <v>V_KEYWORD_ISSR_208001086_SALES_FX_USD</v>
          </cell>
        </row>
        <row r="377">
          <cell r="A377" t="str">
            <v>Vector|||208001086|||ISSR|||SALES_FX_BRL|||False|||</v>
          </cell>
          <cell r="C377" t="str">
            <v>V_KEYWORD_ISSR_208001086_SALES_FX_BRL</v>
          </cell>
        </row>
        <row r="378">
          <cell r="A378" t="str">
            <v>Vector|||208001086|||ISSR|||SALES_FX_YEN|||False|||</v>
          </cell>
          <cell r="C378" t="str">
            <v>V_KEYWORD_ISSR_208001086_SALES_FX_YEN</v>
          </cell>
        </row>
        <row r="379">
          <cell r="A379" t="str">
            <v>Vector|||208001086|||ISSR|||SALES_FX_CNY|||False|||</v>
          </cell>
          <cell r="C379" t="str">
            <v>V_KEYWORD_ISSR_208001086_SALES_FX_CNY</v>
          </cell>
        </row>
        <row r="380">
          <cell r="A380" t="str">
            <v>Vector|||208001086|||ISSR|||SALES_FX_INR|||False|||</v>
          </cell>
          <cell r="C380" t="str">
            <v>V_KEYWORD_ISSR_208001086_SALES_FX_INR</v>
          </cell>
        </row>
        <row r="381">
          <cell r="A381" t="str">
            <v>Vector|||208001086|||ISSR|||SALES_FX_ZAR|||False|||</v>
          </cell>
          <cell r="C381" t="str">
            <v>V_KEYWORD_ISSR_208001086_SALES_FX_ZAR</v>
          </cell>
        </row>
        <row r="382">
          <cell r="A382" t="str">
            <v>Vector|||208001086|||ISSR|||SALES_FX_NGN|||False|||</v>
          </cell>
          <cell r="C382" t="str">
            <v>V_KEYWORD_ISSR_208001086_SALES_FX_NGN</v>
          </cell>
        </row>
        <row r="383">
          <cell r="A383" t="str">
            <v>Vector|||208001086|||ISSR|||SALES_FX_CHF|||False|||</v>
          </cell>
          <cell r="C383" t="str">
            <v>V_KEYWORD_ISSR_208001086_SALES_FX_CHF</v>
          </cell>
        </row>
        <row r="384">
          <cell r="A384" t="str">
            <v>Vector|||208001086|||ISSR|||SALES_FX_AED|||False|||</v>
          </cell>
          <cell r="C384" t="str">
            <v>V_KEYWORD_ISSR_208001086_SALES_FX_AED</v>
          </cell>
        </row>
        <row r="385">
          <cell r="A385" t="str">
            <v>Vector|||208001086|||ISSR|||SALES_FX_TRY|||False|||</v>
          </cell>
          <cell r="C385" t="str">
            <v>V_KEYWORD_ISSR_208001086_SALES_FX_TRY</v>
          </cell>
        </row>
        <row r="386">
          <cell r="A386" t="str">
            <v>Vector|||208001086|||ISSR|||SALES_FX_OTH|||False|||</v>
          </cell>
          <cell r="C386" t="str">
            <v>V_KEYWORD_ISSR_208001086_SALES_FX_OTH</v>
          </cell>
        </row>
        <row r="388">
          <cell r="A388" t="str">
            <v>Vector|||208001086|||ISSR|||SALES_TOT_AM|||False|||</v>
          </cell>
          <cell r="C388" t="str">
            <v>V_KEYWORD_ISSR_208001086_SALES_TOT_AM</v>
          </cell>
        </row>
        <row r="389">
          <cell r="A389" t="str">
            <v>Vector|||208001086|||ISSR|||SALES_OTH_AM|||False|||</v>
          </cell>
          <cell r="C389" t="str">
            <v>V_KEYWORD_ISSR_208001086_SALES_OTH_AM</v>
          </cell>
        </row>
        <row r="390">
          <cell r="A390" t="str">
            <v>Vector|||208001086|||ISSR|||SALES_TOT_EMEA|||False|||</v>
          </cell>
          <cell r="C390" t="str">
            <v>V_KEYWORD_ISSR_208001086_SALES_TOT_EMEA</v>
          </cell>
        </row>
        <row r="391">
          <cell r="A391" t="str">
            <v>Vector|||208001086|||ISSR|||SALES_EU_EX_UK|||False|||</v>
          </cell>
          <cell r="C391" t="str">
            <v>V_KEYWORD_ISSR_208001086_SALES_EU_EX_UK</v>
          </cell>
        </row>
        <row r="392">
          <cell r="A392" t="str">
            <v>Vector|||208001086|||ISSR|||SALES_OTH_EU_EX_UK|||False|||</v>
          </cell>
          <cell r="C392" t="str">
            <v>V_KEYWORD_ISSR_208001086_SALES_OTH_EU_EX_UK</v>
          </cell>
        </row>
        <row r="393">
          <cell r="A393" t="str">
            <v>Vector|||208001086|||ISSR|||SALES_CEE|||False|||</v>
          </cell>
          <cell r="C393" t="str">
            <v>V_KEYWORD_ISSR_208001086_SALES_CEE</v>
          </cell>
        </row>
        <row r="394">
          <cell r="A394" t="str">
            <v>Vector|||208001086|||ISSR|||SALES_ME|||False|||</v>
          </cell>
          <cell r="C394" t="str">
            <v>V_KEYWORD_ISSR_208001086_SALES_ME</v>
          </cell>
        </row>
        <row r="395">
          <cell r="A395" t="str">
            <v>Vector|||208001086|||ISSR|||SALES_TOT_AFRICA|||False|||</v>
          </cell>
          <cell r="C395" t="str">
            <v>V_KEYWORD_ISSR_208001086_SALES_TOT_AFRICA</v>
          </cell>
        </row>
        <row r="396">
          <cell r="A396" t="str">
            <v>Vector|||208001086|||ISSR|||SALES_OTH_EMEA|||False|||</v>
          </cell>
          <cell r="C396" t="str">
            <v>V_KEYWORD_ISSR_208001086_SALES_OTH_EMEA</v>
          </cell>
        </row>
        <row r="397">
          <cell r="A397" t="str">
            <v>Vector|||208001086|||ISSR|||SALES_TOT_ASIA|||False|||</v>
          </cell>
          <cell r="C397" t="str">
            <v>V_KEYWORD_ISSR_208001086_SALES_TOT_ASIA</v>
          </cell>
        </row>
        <row r="398">
          <cell r="A398" t="str">
            <v>Vector|||208001086|||ISSR|||SALES_OTH_AEJ|||False|||</v>
          </cell>
          <cell r="C398" t="str">
            <v>V_KEYWORD_ISSR_208001086_SALES_OTH_AEJ</v>
          </cell>
        </row>
        <row r="399">
          <cell r="A399" t="str">
            <v>Vector|||208001086|||ISSR|||IND_SALES_BRAZIL|||False|||</v>
          </cell>
          <cell r="C399" t="str">
            <v>V_KEYWORD_ISSR_208001086_IND_SALES_BRAZIL</v>
          </cell>
        </row>
        <row r="400">
          <cell r="A400" t="str">
            <v>Vector|||208001086|||ISSR|||IND_SALES_US|||False|||</v>
          </cell>
          <cell r="C400" t="str">
            <v>V_KEYWORD_ISSR_208001086_IND_SALES_US</v>
          </cell>
        </row>
        <row r="401">
          <cell r="A401" t="str">
            <v>Vector|||208001086|||ISSR|||IND_SALES_OTH_AM|||False|||</v>
          </cell>
          <cell r="C401" t="str">
            <v>V_KEYWORD_ISSR_208001086_IND_SALES_OTH_AM</v>
          </cell>
        </row>
        <row r="402">
          <cell r="A402" t="str">
            <v>Vector|||208001086|||ISSR|||IND_SALES_TOT_AM|||False|||</v>
          </cell>
          <cell r="C402" t="str">
            <v>V_KEYWORD_ISSR_208001086_IND_SALES_TOT_AM</v>
          </cell>
        </row>
        <row r="403">
          <cell r="A403" t="str">
            <v>Vector|||208001086|||ISSR|||IND_SALES_FRA|||False|||</v>
          </cell>
          <cell r="C403" t="str">
            <v>V_KEYWORD_ISSR_208001086_IND_SALES_FRA</v>
          </cell>
        </row>
        <row r="404">
          <cell r="A404" t="str">
            <v>Vector|||208001086|||ISSR|||IND_SALES_GER|||False|||</v>
          </cell>
          <cell r="C404" t="str">
            <v>V_KEYWORD_ISSR_208001086_IND_SALES_GER</v>
          </cell>
        </row>
        <row r="405">
          <cell r="A405" t="str">
            <v>Vector|||208001086|||ISSR|||IND_SALES_ITA|||False|||</v>
          </cell>
          <cell r="C405" t="str">
            <v>V_KEYWORD_ISSR_208001086_IND_SALES_ITA</v>
          </cell>
        </row>
        <row r="406">
          <cell r="A406" t="str">
            <v>Vector|||208001086|||ISSR|||IND_SALES_SPA|||False|||</v>
          </cell>
          <cell r="C406" t="str">
            <v>V_KEYWORD_ISSR_208001086_IND_SALES_SPA</v>
          </cell>
        </row>
        <row r="407">
          <cell r="A407" t="str">
            <v>Vector|||208001086|||ISSR|||IND_SALES_UK|||False|||</v>
          </cell>
          <cell r="C407" t="str">
            <v>V_KEYWORD_ISSR_208001086_IND_SALES_UK</v>
          </cell>
        </row>
        <row r="408">
          <cell r="A408" t="str">
            <v>Vector|||208001086|||ISSR|||IND_SALES_EU_EX_UK|||False|||</v>
          </cell>
          <cell r="C408" t="str">
            <v>V_KEYWORD_ISSR_208001086_IND_SALES_EU_EX_UK</v>
          </cell>
        </row>
        <row r="409">
          <cell r="A409" t="str">
            <v>Vector|||208001086|||ISSR|||IND_SALES_OTH_EU_EX_UK|||False|||</v>
          </cell>
          <cell r="C409" t="str">
            <v>V_KEYWORD_ISSR_208001086_IND_SALES_OTH_EU_EX_UK</v>
          </cell>
        </row>
        <row r="410">
          <cell r="A410" t="str">
            <v>Vector|||208001086|||ISSR|||IND_SALES_RUSSIA|||False|||</v>
          </cell>
          <cell r="C410" t="str">
            <v>V_KEYWORD_ISSR_208001086_IND_SALES_RUSSIA</v>
          </cell>
        </row>
        <row r="411">
          <cell r="A411" t="str">
            <v>Vector|||208001086|||ISSR|||IND_SALES_CEE|||False|||</v>
          </cell>
          <cell r="C411" t="str">
            <v>V_KEYWORD_ISSR_208001086_IND_SALES_CEE</v>
          </cell>
        </row>
        <row r="412">
          <cell r="A412" t="str">
            <v>Vector|||208001086|||ISSR|||IND_SALES_OTH_EMEA|||False|||</v>
          </cell>
          <cell r="C412" t="str">
            <v>V_KEYWORD_ISSR_208001086_IND_SALES_OTH_EMEA</v>
          </cell>
        </row>
        <row r="413">
          <cell r="A413" t="str">
            <v>Vector|||208001086|||ISSR|||IND_SALES_TOT_EMEA|||False|||</v>
          </cell>
          <cell r="C413" t="str">
            <v>V_KEYWORD_ISSR_208001086_IND_SALES_TOT_EMEA</v>
          </cell>
        </row>
        <row r="414">
          <cell r="A414" t="str">
            <v>Vector|||208001086|||ISSR|||IND_SALES_ME|||False|||</v>
          </cell>
          <cell r="C414" t="str">
            <v>V_KEYWORD_ISSR_208001086_IND_SALES_ME</v>
          </cell>
        </row>
        <row r="415">
          <cell r="A415" t="str">
            <v>Vector|||208001086|||ISSR|||IND_SALES_NIGERIA|||False|||</v>
          </cell>
          <cell r="C415" t="str">
            <v>V_KEYWORD_ISSR_208001086_IND_SALES_NIGERIA</v>
          </cell>
        </row>
        <row r="416">
          <cell r="A416" t="str">
            <v>Vector|||208001086|||ISSR|||IND_SALES_SO_AFRICA|||False|||</v>
          </cell>
          <cell r="C416" t="str">
            <v>V_KEYWORD_ISSR_208001086_IND_SALES_SO_AFRICA</v>
          </cell>
        </row>
        <row r="417">
          <cell r="A417" t="str">
            <v>Vector|||208001086|||ISSR|||IND_SALES_OTH_AFRICA|||False|||</v>
          </cell>
          <cell r="C417" t="str">
            <v>V_KEYWORD_ISSR_208001086_IND_SALES_OTH_AFRICA</v>
          </cell>
        </row>
        <row r="418">
          <cell r="A418" t="str">
            <v>Vector|||208001086|||ISSR|||IND_SALES_TOT_AFRICA|||False|||</v>
          </cell>
          <cell r="C418" t="str">
            <v>V_KEYWORD_ISSR_208001086_IND_SALES_TOT_AFRICA</v>
          </cell>
        </row>
        <row r="419">
          <cell r="A419" t="str">
            <v>Vector|||208001086|||ISSR|||IND_SALES_CHINA|||False|||</v>
          </cell>
          <cell r="C419" t="str">
            <v>V_KEYWORD_ISSR_208001086_IND_SALES_CHINA</v>
          </cell>
        </row>
        <row r="420">
          <cell r="A420" t="str">
            <v>Vector|||208001086|||ISSR|||IND_SALES_INDIA|||False|||</v>
          </cell>
          <cell r="C420" t="str">
            <v>V_KEYWORD_ISSR_208001086_IND_SALES_INDIA</v>
          </cell>
        </row>
        <row r="421">
          <cell r="A421" t="str">
            <v>Vector|||208001086|||ISSR|||IND_SALES_JAPAN|||False|||</v>
          </cell>
          <cell r="C421" t="str">
            <v>V_KEYWORD_ISSR_208001086_IND_SALES_JAPAN</v>
          </cell>
        </row>
        <row r="422">
          <cell r="A422" t="str">
            <v>Vector|||208001086|||ISSR|||IND_SALES_OTH_AEJ|||False|||</v>
          </cell>
          <cell r="C422" t="str">
            <v>V_KEYWORD_ISSR_208001086_IND_SALES_OTH_AEJ</v>
          </cell>
        </row>
        <row r="423">
          <cell r="A423" t="str">
            <v>Vector|||208001086|||ISSR|||IND_SALES_TOT_ASIA|||False|||</v>
          </cell>
          <cell r="C423" t="str">
            <v>V_KEYWORD_ISSR_208001086_IND_SALES_TOT_ASIA</v>
          </cell>
        </row>
        <row r="424">
          <cell r="A424" t="str">
            <v>Vector|||208001086|||ISSR|||IND_SALES_OTHER|||False|||</v>
          </cell>
          <cell r="C424" t="str">
            <v>V_KEYWORD_ISSR_208001086_IND_SALES_OTHER</v>
          </cell>
        </row>
        <row r="425">
          <cell r="A425" t="str">
            <v>Vector|||208001086|||ISSR|||IND_SALES_CONS|||False|||</v>
          </cell>
          <cell r="C425" t="str">
            <v>V_KEYWORD_ISSR_208001086_IND_SALES_CONS</v>
          </cell>
        </row>
        <row r="426">
          <cell r="A426" t="str">
            <v>Vector|||208001086|||ISSR|||IND_SALES_IND|||False|||</v>
          </cell>
          <cell r="C426" t="str">
            <v>V_KEYWORD_ISSR_208001086_IND_SALES_IND</v>
          </cell>
        </row>
        <row r="427">
          <cell r="A427" t="str">
            <v>Vector|||208001086|||ISSR|||IND_SALES_GOV|||False|||</v>
          </cell>
          <cell r="C427" t="str">
            <v>V_KEYWORD_ISSR_208001086_IND_SALES_GOV</v>
          </cell>
        </row>
        <row r="428">
          <cell r="A428" t="str">
            <v>Vector|||208001086|||ISSR|||IND_SALES_FINAN|||False|||</v>
          </cell>
          <cell r="C428" t="str">
            <v>V_KEYWORD_ISSR_208001086_IND_SALES_FINAN</v>
          </cell>
        </row>
        <row r="430">
          <cell r="A430" t="str">
            <v>Vector|||208001086|||ISSR|||CEEE_EBIT|||False|||</v>
          </cell>
          <cell r="C430" t="str">
            <v>V_KEYWORD_ISSR_208001086_CEEE_EBIT</v>
          </cell>
        </row>
        <row r="431">
          <cell r="A431" t="str">
            <v>Vector|||208001086|||ISSR|||DIV1_EBIT|||False|||</v>
          </cell>
          <cell r="C431" t="str">
            <v>V_KEYWORD_ISSR_208001086_DIV1_EBIT</v>
          </cell>
        </row>
        <row r="432">
          <cell r="A432" t="str">
            <v>Scalar|||208001086|||ISSR|||DIV1_NAME|||False|||</v>
          </cell>
          <cell r="C432" t="str">
            <v>V_KEYWORD_ISSR_208001086_DIV1_NAME</v>
          </cell>
        </row>
        <row r="433">
          <cell r="A433" t="str">
            <v>Vector|||208001086|||ISSR|||DIV1_OGS|||False|||</v>
          </cell>
          <cell r="C433" t="str">
            <v>V_KEYWORD_ISSR_208001086_DIV1_OGS</v>
          </cell>
        </row>
        <row r="434">
          <cell r="A434" t="str">
            <v>Vector|||208001086|||ISSR|||DIV1_ORDERBACKLOG|||False|||</v>
          </cell>
          <cell r="C434" t="str">
            <v>V_KEYWORD_ISSR_208001086_DIV1_ORDERBACKLOG</v>
          </cell>
        </row>
        <row r="435">
          <cell r="A435" t="str">
            <v>Vector|||208001086|||ISSR|||DIV1_ORDERINTAKE|||False|||</v>
          </cell>
          <cell r="C435" t="str">
            <v>V_KEYWORD_ISSR_208001086_DIV1_ORDERINTAKE</v>
          </cell>
        </row>
        <row r="436">
          <cell r="A436" t="str">
            <v>Vector|||208001086|||ISSR|||DIV1_REVS|||False|||</v>
          </cell>
          <cell r="C436" t="str">
            <v>V_KEYWORD_ISSR_208001086_DIV1_REVS</v>
          </cell>
        </row>
        <row r="437">
          <cell r="A437" t="str">
            <v>Vector|||208001086|||ISSR|||DIV2_EBIT|||False|||</v>
          </cell>
          <cell r="C437" t="str">
            <v>V_KEYWORD_ISSR_208001086_DIV2_EBIT</v>
          </cell>
        </row>
        <row r="438">
          <cell r="A438" t="str">
            <v>Scalar|||208001086|||ISSR|||DIV2_NAME|||False|||</v>
          </cell>
          <cell r="C438" t="str">
            <v>V_KEYWORD_ISSR_208001086_DIV2_NAME</v>
          </cell>
        </row>
        <row r="439">
          <cell r="A439" t="str">
            <v>Vector|||208001086|||ISSR|||DIV2_OGS|||False|||</v>
          </cell>
          <cell r="C439" t="str">
            <v>V_KEYWORD_ISSR_208001086_DIV2_OGS</v>
          </cell>
        </row>
        <row r="440">
          <cell r="A440" t="str">
            <v>Vector|||208001086|||ISSR|||DIV2_ORDERBACKLOG|||False|||</v>
          </cell>
          <cell r="C440" t="str">
            <v>V_KEYWORD_ISSR_208001086_DIV2_ORDERBACKLOG</v>
          </cell>
        </row>
        <row r="441">
          <cell r="A441" t="str">
            <v>Vector|||208001086|||ISSR|||DIV2_ORDERINTAKE|||False|||</v>
          </cell>
          <cell r="C441" t="str">
            <v>V_KEYWORD_ISSR_208001086_DIV2_ORDERINTAKE</v>
          </cell>
        </row>
        <row r="442">
          <cell r="A442" t="str">
            <v>Vector|||208001086|||ISSR|||DIV2_REVS|||False|||</v>
          </cell>
          <cell r="C442" t="str">
            <v>V_KEYWORD_ISSR_208001086_DIV2_REVS</v>
          </cell>
        </row>
        <row r="443">
          <cell r="A443" t="str">
            <v>Vector|||208001086|||ISSR|||DIV3_EBIT|||False|||</v>
          </cell>
          <cell r="C443" t="str">
            <v>V_KEYWORD_ISSR_208001086_DIV3_EBIT</v>
          </cell>
        </row>
        <row r="444">
          <cell r="A444" t="str">
            <v>Scalar|||208001086|||ISSR|||DIV3_NAME|||False|||</v>
          </cell>
          <cell r="C444" t="str">
            <v>V_KEYWORD_ISSR_208001086_DIV3_NAME</v>
          </cell>
        </row>
        <row r="445">
          <cell r="A445" t="str">
            <v>Vector|||208001086|||ISSR|||DIV3_OGS|||False|||</v>
          </cell>
          <cell r="C445" t="str">
            <v>V_KEYWORD_ISSR_208001086_DIV3_OGS</v>
          </cell>
        </row>
        <row r="446">
          <cell r="A446" t="str">
            <v>Vector|||208001086|||ISSR|||DIV3_ORDERBACKLOG|||False|||</v>
          </cell>
          <cell r="C446" t="str">
            <v>V_KEYWORD_ISSR_208001086_DIV3_ORDERBACKLOG</v>
          </cell>
        </row>
        <row r="447">
          <cell r="A447" t="str">
            <v>Vector|||208001086|||ISSR|||DIV3_ORDERINTAKE|||False|||</v>
          </cell>
          <cell r="C447" t="str">
            <v>V_KEYWORD_ISSR_208001086_DIV3_ORDERINTAKE</v>
          </cell>
        </row>
        <row r="448">
          <cell r="A448" t="str">
            <v>Vector|||208001086|||ISSR|||DIV3_REVS|||False|||</v>
          </cell>
          <cell r="C448" t="str">
            <v>V_KEYWORD_ISSR_208001086_DIV3_REVS</v>
          </cell>
        </row>
        <row r="449">
          <cell r="A449" t="str">
            <v>Vector|||208001086|||ISSR|||DIV4_EBIT|||False|||</v>
          </cell>
          <cell r="C449" t="str">
            <v>V_KEYWORD_ISSR_208001086_DIV4_EBIT</v>
          </cell>
        </row>
        <row r="450">
          <cell r="A450" t="str">
            <v>Scalar|||208001086|||ISSR|||DIV4_NAME|||False|||</v>
          </cell>
          <cell r="C450" t="str">
            <v>V_KEYWORD_ISSR_208001086_DIV4_NAME</v>
          </cell>
        </row>
        <row r="451">
          <cell r="A451" t="str">
            <v>Vector|||208001086|||ISSR|||DIV4_OGS|||False|||</v>
          </cell>
          <cell r="C451" t="str">
            <v>V_KEYWORD_ISSR_208001086_DIV4_OGS</v>
          </cell>
        </row>
        <row r="452">
          <cell r="A452" t="str">
            <v>Vector|||208001086|||ISSR|||DIV4_ORDERBACKLOG|||False|||</v>
          </cell>
          <cell r="C452" t="str">
            <v>V_KEYWORD_ISSR_208001086_DIV4_ORDERBACKLOG</v>
          </cell>
        </row>
        <row r="453">
          <cell r="A453" t="str">
            <v>Vector|||208001086|||ISSR|||DIV4_ORDERINTAKE|||False|||</v>
          </cell>
          <cell r="C453" t="str">
            <v>V_KEYWORD_ISSR_208001086_DIV4_ORDERINTAKE</v>
          </cell>
        </row>
        <row r="454">
          <cell r="A454" t="str">
            <v>Vector|||208001086|||ISSR|||DIV4_REVS|||False|||</v>
          </cell>
          <cell r="C454" t="str">
            <v>V_KEYWORD_ISSR_208001086_DIV4_REVS</v>
          </cell>
        </row>
        <row r="455">
          <cell r="A455" t="str">
            <v>Vector|||208001086|||ISSR|||DIV5_EBIT|||False|||</v>
          </cell>
          <cell r="C455" t="str">
            <v>V_KEYWORD_ISSR_208001086_DIV5_EBIT</v>
          </cell>
        </row>
        <row r="456">
          <cell r="A456" t="str">
            <v>Scalar|||208001086|||ISSR|||DIV5_NAME|||False|||</v>
          </cell>
          <cell r="C456" t="str">
            <v>V_KEYWORD_ISSR_208001086_DIV5_NAME</v>
          </cell>
        </row>
        <row r="457">
          <cell r="A457" t="str">
            <v>Vector|||208001086|||ISSR|||DIV5_OGS|||False|||</v>
          </cell>
          <cell r="C457" t="str">
            <v>V_KEYWORD_ISSR_208001086_DIV5_OGS</v>
          </cell>
        </row>
        <row r="458">
          <cell r="A458" t="str">
            <v>Vector|||208001086|||ISSR|||DIV5_ORDERBACKLOG|||False|||</v>
          </cell>
          <cell r="C458" t="str">
            <v>V_KEYWORD_ISSR_208001086_DIV5_ORDERBACKLOG</v>
          </cell>
        </row>
        <row r="459">
          <cell r="A459" t="str">
            <v>Vector|||208001086|||ISSR|||DIV5_ORDERINTAKE|||False|||</v>
          </cell>
          <cell r="C459" t="str">
            <v>V_KEYWORD_ISSR_208001086_DIV5_ORDERINTAKE</v>
          </cell>
        </row>
        <row r="460">
          <cell r="A460" t="str">
            <v>Vector|||208001086|||ISSR|||DIV5_REVS|||False|||</v>
          </cell>
          <cell r="C460" t="str">
            <v>V_KEYWORD_ISSR_208001086_DIV5_REVS</v>
          </cell>
        </row>
        <row r="461">
          <cell r="A461" t="str">
            <v>Vector|||208001086|||ISSR|||DIV6_EBIT|||False|||</v>
          </cell>
          <cell r="C461" t="str">
            <v>V_KEYWORD_ISSR_208001086_DIV6_EBIT</v>
          </cell>
        </row>
        <row r="462">
          <cell r="A462" t="str">
            <v>Scalar|||208001086|||ISSR|||DIV6_NAME|||False|||</v>
          </cell>
          <cell r="C462" t="str">
            <v>V_KEYWORD_ISSR_208001086_DIV6_NAME</v>
          </cell>
        </row>
        <row r="463">
          <cell r="A463" t="str">
            <v>Vector|||208001086|||ISSR|||DIV6_OGS|||False|||</v>
          </cell>
          <cell r="C463" t="str">
            <v>V_KEYWORD_ISSR_208001086_DIV6_OGS</v>
          </cell>
        </row>
        <row r="464">
          <cell r="A464" t="str">
            <v>Vector|||208001086|||ISSR|||DIV6_ORDERBACKLOG|||False|||</v>
          </cell>
          <cell r="C464" t="str">
            <v>V_KEYWORD_ISSR_208001086_DIV6_ORDERBACKLOG</v>
          </cell>
        </row>
        <row r="465">
          <cell r="A465" t="str">
            <v>Vector|||208001086|||ISSR|||DIV6_ORDERINTAKE|||False|||</v>
          </cell>
          <cell r="C465" t="str">
            <v>V_KEYWORD_ISSR_208001086_DIV6_ORDERINTAKE</v>
          </cell>
        </row>
        <row r="466">
          <cell r="A466" t="str">
            <v>Vector|||208001086|||ISSR|||DIV6_REVS|||False|||</v>
          </cell>
          <cell r="C466" t="str">
            <v>V_KEYWORD_ISSR_208001086_DIV6_REVS</v>
          </cell>
        </row>
        <row r="467">
          <cell r="A467" t="str">
            <v>Vector|||208001086|||ISSR|||GROUP_ORDERBACKLOG|||False|||</v>
          </cell>
          <cell r="C467" t="str">
            <v>V_KEYWORD_ISSR_208001086_GROUP_ORDERBACKLOG</v>
          </cell>
        </row>
        <row r="468">
          <cell r="A468" t="str">
            <v>Vector|||208001086|||ISSR|||GROUP_ORDERINTAKE|||False|||</v>
          </cell>
          <cell r="C468" t="str">
            <v>V_KEYWORD_ISSR_208001086_GROUP_ORDERINTAKE</v>
          </cell>
        </row>
        <row r="469">
          <cell r="A469" t="str">
            <v>Vector|||208001086|||ISSR|||GROUP_OGS|||False|||</v>
          </cell>
          <cell r="C469" t="str">
            <v>V_KEYWORD_ISSR_208001086_GROUP_OGS</v>
          </cell>
        </row>
        <row r="470">
          <cell r="A470" t="str">
            <v>Vector|||208001086|||ISSR|||GROUP_PRICE_GRTH|||False|||</v>
          </cell>
          <cell r="C470" t="str">
            <v>V_KEYWORD_ISSR_208001086_GROUP_PRICE_GRTH</v>
          </cell>
        </row>
        <row r="471">
          <cell r="A471" t="str">
            <v>Vector|||208001086|||ISSR|||GROUP_MIX_GRTH|||False|||</v>
          </cell>
          <cell r="C471" t="str">
            <v>V_KEYWORD_ISSR_208001086_GROUP_MIX_GRTH</v>
          </cell>
        </row>
        <row r="472">
          <cell r="A472" t="str">
            <v>Vector|||208001086|||ISSR|||GROUP_ORG_ORDERGRTH|||False|||</v>
          </cell>
          <cell r="C472" t="str">
            <v>V_KEYWORD_ISSR_208001086_GROUP_ORG_ORDERGRTH</v>
          </cell>
        </row>
        <row r="473">
          <cell r="A473" t="str">
            <v>Vector|||208001086|||ISSR|||CUST_ADVANCES|||False|||</v>
          </cell>
          <cell r="C473" t="str">
            <v>V_KEYWORD_ISSR_208001086_CUST_ADVANCES</v>
          </cell>
        </row>
        <row r="474">
          <cell r="A474" t="str">
            <v>Vector|||208001086|||ISSR|||EBIT_BRIDGE_PRICE|||False|||</v>
          </cell>
          <cell r="C474" t="str">
            <v>V_KEYWORD_ISSR_208001086_EBIT_BRIDGE_PRICE</v>
          </cell>
        </row>
        <row r="475">
          <cell r="A475" t="str">
            <v>Vector|||208001086|||ISSR|||EBIT_BRIDGE_VOL|||False|||</v>
          </cell>
          <cell r="C475" t="str">
            <v>V_KEYWORD_ISSR_208001086_EBIT_BRIDGE_VOL</v>
          </cell>
        </row>
        <row r="476">
          <cell r="A476" t="str">
            <v>Vector|||208001086|||ISSR|||EBIT_BRIDGE_DEPREC|||False|||</v>
          </cell>
          <cell r="C476" t="str">
            <v>V_KEYWORD_ISSR_208001086_EBIT_BRIDGE_DEPREC</v>
          </cell>
        </row>
        <row r="477">
          <cell r="A477" t="str">
            <v>Vector|||208001086|||ISSR|||EBIT_BRIDGE_MIX|||False|||</v>
          </cell>
          <cell r="C477" t="str">
            <v>V_KEYWORD_ISSR_208001086_EBIT_BRIDGE_MIX</v>
          </cell>
        </row>
        <row r="478">
          <cell r="A478" t="str">
            <v>Vector|||208001086|||ISSR|||EBIT_BRIDGE_RAW_MAT|||False|||</v>
          </cell>
          <cell r="C478" t="str">
            <v>V_KEYWORD_ISSR_208001086_EBIT_BRIDGE_RAW_MAT</v>
          </cell>
        </row>
        <row r="479">
          <cell r="A479" t="str">
            <v>Vector|||208001086|||ISSR|||EBIT_BRIDGE_REST|||False|||</v>
          </cell>
          <cell r="C479" t="str">
            <v>V_KEYWORD_ISSR_208001086_EBIT_BRIDGE_REST</v>
          </cell>
        </row>
        <row r="480">
          <cell r="A480" t="str">
            <v>Vector|||208001086|||ISSR|||EBIT_BRIDGE_FX|||False|||</v>
          </cell>
          <cell r="C480" t="str">
            <v>V_KEYWORD_ISSR_208001086_EBIT_BRIDGE_FX</v>
          </cell>
        </row>
        <row r="481">
          <cell r="A481" t="str">
            <v>Vector|||208001086|||ISSR|||EBIT_BRIDGE_MA|||False|||</v>
          </cell>
          <cell r="C481" t="str">
            <v>V_KEYWORD_ISSR_208001086_EBIT_BRIDGE_MA</v>
          </cell>
        </row>
        <row r="482">
          <cell r="A482" t="str">
            <v>Vector|||208001086|||ISSR|||EBIT_BRIDGE_OTH|||False|||</v>
          </cell>
          <cell r="C482" t="str">
            <v>V_KEYWORD_ISSR_208001086_EBIT_BRIDGE_OTH</v>
          </cell>
        </row>
        <row r="483">
          <cell r="A483" t="str">
            <v>Vector|||208001086|||ISSR|||DIV1_FX_GRTH|||False|||</v>
          </cell>
          <cell r="C483" t="str">
            <v>V_KEYWORD_ISSR_208001086_DIV1_FX_GRTH</v>
          </cell>
        </row>
        <row r="484">
          <cell r="A484" t="str">
            <v>Vector|||208001086|||ISSR|||DIV1_MA_GRTH|||False|||</v>
          </cell>
          <cell r="C484" t="str">
            <v>V_KEYWORD_ISSR_208001086_DIV1_MA_GRTH</v>
          </cell>
        </row>
        <row r="485">
          <cell r="A485" t="str">
            <v>Vector|||208001086|||ISSR|||DIV1_ORG_ORDERGRTH|||False|||</v>
          </cell>
          <cell r="C485" t="str">
            <v>V_KEYWORD_ISSR_208001086_DIV1_ORG_ORDERGRTH</v>
          </cell>
        </row>
        <row r="486">
          <cell r="A486" t="str">
            <v>Vector|||208001086|||ISSR|||DIV2_FX_GRTH|||False|||</v>
          </cell>
          <cell r="C486" t="str">
            <v>V_KEYWORD_ISSR_208001086_DIV2_FX_GRTH</v>
          </cell>
        </row>
        <row r="487">
          <cell r="A487" t="str">
            <v>Vector|||208001086|||ISSR|||DIV2_MA_GRTH|||False|||</v>
          </cell>
          <cell r="C487" t="str">
            <v>V_KEYWORD_ISSR_208001086_DIV2_MA_GRTH</v>
          </cell>
        </row>
        <row r="488">
          <cell r="A488" t="str">
            <v>Vector|||208001086|||ISSR|||DIV2_ORG_ORDERGRTH|||False|||</v>
          </cell>
          <cell r="C488" t="str">
            <v>V_KEYWORD_ISSR_208001086_DIV2_ORG_ORDERGRTH</v>
          </cell>
        </row>
        <row r="489">
          <cell r="A489" t="str">
            <v>Vector|||208001086|||ISSR|||DIV3_FX_GRTH|||False|||</v>
          </cell>
          <cell r="C489" t="str">
            <v>V_KEYWORD_ISSR_208001086_DIV3_FX_GRTH</v>
          </cell>
        </row>
        <row r="490">
          <cell r="A490" t="str">
            <v>Vector|||208001086|||ISSR|||DIV3_MA_GRTH|||False|||</v>
          </cell>
          <cell r="C490" t="str">
            <v>V_KEYWORD_ISSR_208001086_DIV3_MA_GRTH</v>
          </cell>
        </row>
        <row r="491">
          <cell r="A491" t="str">
            <v>Vector|||208001086|||ISSR|||DIV3_ORG_ORDERGRTH|||False|||</v>
          </cell>
          <cell r="C491" t="str">
            <v>V_KEYWORD_ISSR_208001086_DIV3_ORG_ORDERGRTH</v>
          </cell>
        </row>
        <row r="492">
          <cell r="A492" t="str">
            <v>Vector|||208001086|||ISSR|||DIV4_FX_GRTH|||False|||</v>
          </cell>
          <cell r="C492" t="str">
            <v>V_KEYWORD_ISSR_208001086_DIV4_FX_GRTH</v>
          </cell>
        </row>
        <row r="493">
          <cell r="A493" t="str">
            <v>Vector|||208001086|||ISSR|||DIV4_MA_GRTH|||False|||</v>
          </cell>
          <cell r="C493" t="str">
            <v>V_KEYWORD_ISSR_208001086_DIV4_MA_GRTH</v>
          </cell>
        </row>
        <row r="494">
          <cell r="A494" t="str">
            <v>Vector|||208001086|||ISSR|||DIV4_ORG_ORDERGRTH|||False|||</v>
          </cell>
          <cell r="C494" t="str">
            <v>V_KEYWORD_ISSR_208001086_DIV4_ORG_ORDERGRTH</v>
          </cell>
        </row>
        <row r="495">
          <cell r="A495" t="str">
            <v>Vector|||208001086|||ISSR|||DIV5_FX_GRTH|||False|||</v>
          </cell>
          <cell r="C495" t="str">
            <v>V_KEYWORD_ISSR_208001086_DIV5_FX_GRTH</v>
          </cell>
        </row>
        <row r="496">
          <cell r="A496" t="str">
            <v>Vector|||208001086|||ISSR|||DIV5_MA_GRTH|||False|||</v>
          </cell>
          <cell r="C496" t="str">
            <v>V_KEYWORD_ISSR_208001086_DIV5_MA_GRTH</v>
          </cell>
        </row>
        <row r="497">
          <cell r="A497" t="str">
            <v>Vector|||208001086|||ISSR|||DIV5_ORG_ORDERGRTH|||False|||</v>
          </cell>
          <cell r="C497" t="str">
            <v>V_KEYWORD_ISSR_208001086_DIV5_ORG_ORDERGRTH</v>
          </cell>
        </row>
        <row r="498">
          <cell r="A498" t="str">
            <v>Vector|||208001086|||ISSR|||DIV6_FX_GRTH|||False|||</v>
          </cell>
          <cell r="C498" t="str">
            <v>V_KEYWORD_ISSR_208001086_DIV6_FX_GRTH</v>
          </cell>
        </row>
        <row r="499">
          <cell r="A499" t="str">
            <v>Vector|||208001086|||ISSR|||DIV6_MA_GRTH|||False|||</v>
          </cell>
          <cell r="C499" t="str">
            <v>V_KEYWORD_ISSR_208001086_DIV6_MA_GRTH</v>
          </cell>
        </row>
        <row r="500">
          <cell r="A500" t="str">
            <v>Vector|||208001086|||ISSR|||DIV6_ORG_ORDERGRTH|||False|||</v>
          </cell>
          <cell r="C500" t="str">
            <v>V_KEYWORD_ISSR_208001086_DIV6_ORG_ORDERGRTH</v>
          </cell>
        </row>
        <row r="506">
          <cell r="A506" t="str">
            <v>Scalar|||200003142|||EQTY|||PUB_CURRENCY_ISO|||False|||</v>
          </cell>
          <cell r="C506" t="str">
            <v>V_KEYWORD_EQTY_200003142_PUB_CURRENCY_ISO</v>
          </cell>
        </row>
        <row r="507">
          <cell r="A507" t="str">
            <v>Scalar|||200003142|||EQTY|||PRICE_CURRENCY_ISO|||False|||</v>
          </cell>
          <cell r="C507" t="str">
            <v>V_KEYWORD_EQTY_200003142_PRICE_CURRENCY_ISO</v>
          </cell>
        </row>
        <row r="508">
          <cell r="A508" t="str">
            <v>Scalar|||200003142|||EQTY|||CURRENCY_ISO|||False|||</v>
          </cell>
          <cell r="C508" t="str">
            <v>V_KEYWORD_EQTY_200003142_CURRENCY_ISO</v>
          </cell>
        </row>
        <row r="510">
          <cell r="A510" t="str">
            <v>Scalar|||200003142|||EQTY|||EURO_LIST|||False|||</v>
          </cell>
          <cell r="C510" t="str">
            <v>V_KEYWORD_EQTY_200003142_EURO_LIST</v>
          </cell>
        </row>
        <row r="511">
          <cell r="A511" t="str">
            <v>Scalar|||200003142|||EQTY|||EURO_CONVICTION|||False|||</v>
          </cell>
          <cell r="C511" t="str">
            <v>V_KEYWORD_EQTY_200003142_EURO_CONVICTION</v>
          </cell>
        </row>
        <row r="512">
          <cell r="A512" t="str">
            <v>Scalar|||200003142|||EQTY|||LEGAL_RATING|||False|||</v>
          </cell>
          <cell r="C512" t="str">
            <v>V_KEYWORD_EQTY_200003142_LEGAL_RATING</v>
          </cell>
        </row>
        <row r="513">
          <cell r="A513" t="str">
            <v>Scalar|||200003142|||EQTY|||TARGET_PRICE|||False|||</v>
          </cell>
          <cell r="C513" t="str">
            <v>V_KEYWORD_EQTY_200003142_TARGET_PRICE</v>
          </cell>
          <cell r="E513" t="str">
            <v>ERROR</v>
          </cell>
        </row>
        <row r="514">
          <cell r="A514" t="str">
            <v>Scalar|||200003142|||EQTY|||TP_PERIOD|||False|||</v>
          </cell>
          <cell r="C514" t="str">
            <v>V_KEYWORD_EQTY_200003142_TP_PERIOD</v>
          </cell>
        </row>
        <row r="515">
          <cell r="A515" t="str">
            <v>Scalar|||200003142|||EQTY|||TARGET_PRICE_FUNDAMENTAL|||False|||</v>
          </cell>
          <cell r="C515" t="str">
            <v>V_KEYWORD_EQTY_200003142_TARGET_PRICE_FUNDAMENTAL</v>
          </cell>
        </row>
        <row r="516">
          <cell r="A516" t="str">
            <v>Scalar|||200003142|||EQTY|||TARGET_PRICE_MA|||False|||</v>
          </cell>
          <cell r="C516" t="str">
            <v>V_KEYWORD_EQTY_200003142_TARGET_PRICE_MA</v>
          </cell>
        </row>
        <row r="517">
          <cell r="A517" t="str">
            <v>Scalar|||200003142|||EQTY|||NUM_SH|||False|||</v>
          </cell>
          <cell r="C517" t="str">
            <v>V_KEYWORD_EQTY_200003142_NUM_SH</v>
          </cell>
        </row>
        <row r="518">
          <cell r="A518" t="str">
            <v>Scalar|||200003142|||EQTY|||FREE_FLOAT|||False|||</v>
          </cell>
          <cell r="C518" t="str">
            <v>V_KEYWORD_EQTY_200003142_FREE_FLOAT</v>
          </cell>
        </row>
        <row r="519">
          <cell r="A519" t="str">
            <v>BreakdownScalar|||200003142|||EQTY|||ACT|||False|||1</v>
          </cell>
          <cell r="C519" t="str">
            <v>V_KEYWORD_EQTY_200003142_ACT1</v>
          </cell>
        </row>
        <row r="520">
          <cell r="A520" t="str">
            <v>BreakdownScalar|||200003142|||EQTY|||ACT|||False|||2</v>
          </cell>
          <cell r="C520" t="str">
            <v>V_KEYWORD_EQTY_200003142_ACT2</v>
          </cell>
        </row>
        <row r="521">
          <cell r="A521" t="str">
            <v>BreakdownScalar|||200003142|||EQTY|||ACT|||False|||3</v>
          </cell>
          <cell r="C521" t="str">
            <v>V_KEYWORD_EQTY_200003142_ACT3</v>
          </cell>
        </row>
        <row r="522">
          <cell r="A522" t="str">
            <v>BreakdownScalar|||200003142|||EQTY|||ACT|||False|||4</v>
          </cell>
          <cell r="C522" t="str">
            <v>V_KEYWORD_EQTY_200003142_ACT4</v>
          </cell>
        </row>
        <row r="523">
          <cell r="A523" t="str">
            <v>BreakdownScalar|||200003142|||EQTY|||ACT|||False|||5</v>
          </cell>
          <cell r="C523" t="str">
            <v>V_KEYWORD_EQTY_200003142_ACT5</v>
          </cell>
        </row>
        <row r="524">
          <cell r="A524" t="str">
            <v>BreakdownScalar|||200003142|||EQTY|||ACT|||False|||6</v>
          </cell>
          <cell r="C524" t="str">
            <v>V_KEYWORD_EQTY_200003142_ACT6</v>
          </cell>
        </row>
        <row r="525">
          <cell r="A525" t="str">
            <v>BreakdownScalar|||200003142|||EQTY|||ACT|||False|||7</v>
          </cell>
          <cell r="C525" t="str">
            <v>V_KEYWORD_EQTY_200003142_ACT7</v>
          </cell>
        </row>
        <row r="527">
          <cell r="A527" t="str">
            <v>Vector|||200003142|||EQTY|||BVPS_PUB|||False|||</v>
          </cell>
          <cell r="C527" t="str">
            <v>V_KEYWORD_EQTY_200003142_BVPS_PUB</v>
          </cell>
        </row>
        <row r="528">
          <cell r="A528" t="str">
            <v>Vector|||200003142|||EQTY|||DPS_PUB|||False|||</v>
          </cell>
          <cell r="C528" t="str">
            <v>V_KEYWORD_EQTY_200003142_DPS_PUB</v>
          </cell>
        </row>
        <row r="529">
          <cell r="A529" t="str">
            <v>Vector|||200003142|||EQTY|||DPS_SPECIAL_PUB|||False|||</v>
          </cell>
          <cell r="C529" t="str">
            <v>V_KEYWORD_EQTY_200003142_DPS_SPECIAL_PUB</v>
          </cell>
        </row>
        <row r="530">
          <cell r="A530" t="str">
            <v>Vector|||200003142|||EQTY|||EBITDA_PUB|||False|||</v>
          </cell>
          <cell r="C530" t="str">
            <v>V_KEYWORD_EQTY_200003142_EBITDA_PUB</v>
          </cell>
        </row>
        <row r="531">
          <cell r="A531" t="str">
            <v>Vector|||200003142|||EQTY|||EPS_PUB|||False|||</v>
          </cell>
          <cell r="C531" t="str">
            <v>V_KEYWORD_EQTY_200003142_EPS_PUB</v>
          </cell>
          <cell r="AL531" t="str">
            <v>ERROR</v>
          </cell>
          <cell r="AM531" t="str">
            <v>ERROR</v>
          </cell>
          <cell r="AN531" t="str">
            <v>ERROR</v>
          </cell>
          <cell r="AO531" t="str">
            <v>ERROR</v>
          </cell>
          <cell r="AP531" t="str">
            <v>ERROR</v>
          </cell>
        </row>
        <row r="532">
          <cell r="A532" t="str">
            <v>Vector|||200003142|||EQTY|||CEEE_EPS|||False|||</v>
          </cell>
          <cell r="C532" t="str">
            <v>V_KEYWORD_EQTY_200003142_CEEE_EPS</v>
          </cell>
        </row>
        <row r="533">
          <cell r="A533" t="str">
            <v>Vector|||200003142|||EQTY|||EV_ADJ_PUB|||False|||</v>
          </cell>
          <cell r="C533" t="str">
            <v>V_KEYWORD_EQTY_200003142_EV_ADJ_PUB</v>
          </cell>
        </row>
        <row r="534">
          <cell r="A534" t="str">
            <v>Vector|||200003142|||EQTY|||NET_DEBT_PUB|||False|||</v>
          </cell>
          <cell r="C534" t="str">
            <v>V_KEYWORD_EQTY_200003142_NET_DEBT_PUB</v>
          </cell>
        </row>
        <row r="535">
          <cell r="A535" t="str">
            <v>Vector|||200003142|||EQTY|||NET_DEBT_EX_LEASES_PUB|||False|||</v>
          </cell>
          <cell r="C535" t="str">
            <v>V_KEYWORD_EQTY_200003142_NET_DEBT_EX_LEASES_PUB</v>
          </cell>
        </row>
        <row r="536">
          <cell r="A536" t="str">
            <v>Vector|||200003142|||EQTY|||CEEE_NDEBT|||False|||</v>
          </cell>
          <cell r="C536" t="str">
            <v>V_KEYWORD_EQTY_200003142_CEEE_NDEBT</v>
          </cell>
        </row>
        <row r="537">
          <cell r="A537" t="str">
            <v>Vector|||200003142|||EQTY|||NI_PUB|||False|||</v>
          </cell>
          <cell r="C537" t="str">
            <v>V_KEYWORD_EQTY_200003142_NI_PUB</v>
          </cell>
        </row>
        <row r="538">
          <cell r="A538" t="str">
            <v>Vector|||200003142|||EQTY|||EBIT_PUB|||False|||</v>
          </cell>
          <cell r="C538" t="str">
            <v>V_KEYWORD_EQTY_200003142_EBIT_PUB</v>
          </cell>
        </row>
        <row r="539">
          <cell r="A539" t="str">
            <v>Vector|||200003142|||EQTY|||PTP_PUB|||False|||</v>
          </cell>
          <cell r="C539" t="str">
            <v>V_KEYWORD_EQTY_200003142_PTP_PUB</v>
          </cell>
        </row>
        <row r="540">
          <cell r="A540" t="str">
            <v>Vector|||200003142|||EQTY|||REVS_PUB|||False|||</v>
          </cell>
          <cell r="C540" t="str">
            <v>V_KEYWORD_EQTY_200003142_REVS_PUB</v>
          </cell>
        </row>
        <row r="541">
          <cell r="A541" t="str">
            <v>Vector|||200003142|||EQTY|||EQ_PUB|||False|||</v>
          </cell>
          <cell r="C541" t="str">
            <v>V_KEYWORD_EQTY_200003142_EQ_PUB</v>
          </cell>
        </row>
        <row r="543">
          <cell r="A543" t="str">
            <v>Vector|||200003142|||EQTY|||PROV_INC_TAX|||False|||</v>
          </cell>
          <cell r="C543" t="str">
            <v>V_KEYWORD_EQTY_200003142_PROV_INC_TAX</v>
          </cell>
        </row>
        <row r="544">
          <cell r="A544" t="str">
            <v>Vector|||200003142|||EQTY|||INC_MINORITY|||False|||</v>
          </cell>
          <cell r="C544" t="str">
            <v>V_KEYWORD_EQTY_200003142_INC_MINORITY</v>
          </cell>
        </row>
        <row r="545">
          <cell r="A545" t="str">
            <v>Vector|||200003142|||EQTY|||NI_PRE_PREF|||False|||</v>
          </cell>
          <cell r="C545" t="str">
            <v>V_KEYWORD_EQTY_200003142_NI_PRE_PREF</v>
          </cell>
        </row>
        <row r="546">
          <cell r="A546" t="str">
            <v>Vector|||200003142|||EQTY|||PREF_DIV|||False|||</v>
          </cell>
          <cell r="C546" t="str">
            <v>V_KEYWORD_EQTY_200003142_PREF_DIV</v>
          </cell>
        </row>
        <row r="547">
          <cell r="A547" t="str">
            <v>Vector|||200003142|||EQTY|||NET_EARNING|||False|||</v>
          </cell>
          <cell r="C547" t="str">
            <v>V_KEYWORD_EQTY_200003142_NET_EARNING</v>
          </cell>
        </row>
        <row r="548">
          <cell r="A548" t="str">
            <v>Vector|||200003142|||EQTY|||TAX_EXC|||False|||</v>
          </cell>
          <cell r="C548" t="str">
            <v>V_KEYWORD_EQTY_200003142_TAX_EXC</v>
          </cell>
        </row>
        <row r="549">
          <cell r="A549" t="str">
            <v>Vector|||200003142|||EQTY|||NET_INC|||False|||</v>
          </cell>
          <cell r="C549" t="str">
            <v>V_KEYWORD_EQTY_200003142_NET_INC</v>
          </cell>
        </row>
        <row r="550">
          <cell r="A550" t="str">
            <v>Vector|||200003142|||EQTY|||EPS|||False|||</v>
          </cell>
          <cell r="C550" t="str">
            <v>V_KEYWORD_EQTY_200003142_EPS</v>
          </cell>
        </row>
        <row r="551">
          <cell r="A551" t="str">
            <v>Vector|||200003142|||EQTY|||EPS_FUL_DIL|||False|||</v>
          </cell>
          <cell r="C551" t="str">
            <v>V_KEYWORD_EQTY_200003142_EPS_FUL_DIL</v>
          </cell>
        </row>
        <row r="552">
          <cell r="A552" t="str">
            <v>Vector|||200003142|||EQTY|||EPS_POST_BASIC|||False|||</v>
          </cell>
          <cell r="C552" t="str">
            <v>V_KEYWORD_EQTY_200003142_EPS_POST_BASIC</v>
          </cell>
        </row>
        <row r="553">
          <cell r="A553" t="str">
            <v>Vector|||200003142|||EQTY|||FULLY_DIL_EPS|||False|||</v>
          </cell>
          <cell r="C553" t="str">
            <v>V_KEYWORD_EQTY_200003142_FULLY_DIL_EPS</v>
          </cell>
        </row>
        <row r="554">
          <cell r="A554" t="str">
            <v>Vector|||200003142|||EQTY|||COMMON_DIV_PAID|||False|||</v>
          </cell>
          <cell r="C554" t="str">
            <v>V_KEYWORD_EQTY_200003142_COMMON_DIV_PAID</v>
          </cell>
        </row>
        <row r="555">
          <cell r="A555" t="str">
            <v>Vector|||200003142|||EQTY|||DPS|||False|||</v>
          </cell>
          <cell r="C555" t="str">
            <v>V_KEYWORD_EQTY_200003142_DPS</v>
          </cell>
        </row>
        <row r="556">
          <cell r="A556" t="str">
            <v>Vector|||200003142|||EQTY|||SH|||False|||</v>
          </cell>
          <cell r="C556" t="str">
            <v>V_KEYWORD_EQTY_200003142_SH</v>
          </cell>
        </row>
        <row r="557">
          <cell r="A557" t="str">
            <v>Vector|||200003142|||EQTY|||DILUTE_SHARES|||False|||</v>
          </cell>
          <cell r="C557" t="str">
            <v>V_KEYWORD_EQTY_200003142_DILUTE_SHARES</v>
          </cell>
        </row>
        <row r="558">
          <cell r="A558" t="str">
            <v>Vector|||200003142|||EQTY|||NON_OP_ADD|||False|||</v>
          </cell>
          <cell r="C558" t="str">
            <v>V_KEYWORD_EQTY_200003142_NON_OP_ADD</v>
          </cell>
        </row>
        <row r="560">
          <cell r="A560" t="str">
            <v>Vector|||200003142|||EQTY|||ORG_NI|||False|||</v>
          </cell>
          <cell r="C560" t="str">
            <v>V_KEYWORD_EQTY_200003142_ORG_NI</v>
          </cell>
        </row>
        <row r="561">
          <cell r="A561" t="str">
            <v>Vector|||200003142|||EQTY|||ORG_EPS|||False|||</v>
          </cell>
          <cell r="C561" t="str">
            <v>V_KEYWORD_EQTY_200003142_ORG_EPS</v>
          </cell>
        </row>
        <row r="562">
          <cell r="A562" t="str">
            <v>Vector|||200003142|||EQTY|||MARGIN_TAX_RATE|||False|||</v>
          </cell>
          <cell r="C562" t="str">
            <v>V_KEYWORD_EQTY_200003142_MARGIN_TAX_RATE</v>
          </cell>
        </row>
        <row r="564">
          <cell r="A564" t="str">
            <v>Vector|||200003142|||EQTY|||BVPS|||False|||</v>
          </cell>
          <cell r="C564" t="str">
            <v>V_KEYWORD_EQTY_200003142_BVPS</v>
          </cell>
        </row>
        <row r="566">
          <cell r="A566" t="str">
            <v>Vector|||200003142|||EQTY|||CF_NI_PRE_PREF|||False|||</v>
          </cell>
          <cell r="C566" t="str">
            <v>V_KEYWORD_EQTY_200003142_CF_NI_PRE_PREF</v>
          </cell>
        </row>
        <row r="568">
          <cell r="A568" t="str">
            <v>Scalar|||200003142|||EQTY|||BETA_ANALYST|||False|||</v>
          </cell>
          <cell r="C568" t="str">
            <v>V_KEYWORD_EQTY_200003142_BETA_ANALYST</v>
          </cell>
        </row>
        <row r="569">
          <cell r="A569" t="str">
            <v>Scalar|||200003142|||EQTY|||MKT_EQ_RISK_PREM|||False|||</v>
          </cell>
          <cell r="C569" t="str">
            <v>V_KEYWORD_EQTY_200003142_MKT_EQ_RISK_PREM</v>
          </cell>
        </row>
        <row r="570">
          <cell r="A570" t="str">
            <v>Scalar|||200003142|||EQTY|||RISK_FR_RATE|||False|||</v>
          </cell>
          <cell r="C570" t="str">
            <v>V_KEYWORD_EQTY_200003142_RISK_FR_RATE</v>
          </cell>
        </row>
      </sheetData>
      <sheetData sheetId="3">
        <row r="1">
          <cell r="A1" t="str">
            <v>Issuer: Sandvik</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v>2006</v>
          </cell>
          <cell r="W1">
            <v>2007</v>
          </cell>
          <cell r="X1">
            <v>2008</v>
          </cell>
          <cell r="Y1">
            <v>2009</v>
          </cell>
          <cell r="Z1">
            <v>2010</v>
          </cell>
          <cell r="AA1">
            <v>2011</v>
          </cell>
          <cell r="AB1">
            <v>2012</v>
          </cell>
          <cell r="AC1">
            <v>2013</v>
          </cell>
          <cell r="AD1">
            <v>2014</v>
          </cell>
          <cell r="AE1">
            <v>2015</v>
          </cell>
          <cell r="AF1">
            <v>2016</v>
          </cell>
          <cell r="AG1">
            <v>2017</v>
          </cell>
          <cell r="AH1">
            <v>2018</v>
          </cell>
          <cell r="AI1">
            <v>2019</v>
          </cell>
          <cell r="AJ1">
            <v>2020</v>
          </cell>
          <cell r="AK1">
            <v>2021</v>
          </cell>
          <cell r="AL1">
            <v>2022</v>
          </cell>
          <cell r="AM1">
            <v>2023</v>
          </cell>
          <cell r="AN1">
            <v>2024</v>
          </cell>
          <cell r="AO1">
            <v>2025</v>
          </cell>
          <cell r="AP1">
            <v>2026</v>
          </cell>
          <cell r="AR1" t="str">
            <v>2004 Q1</v>
          </cell>
          <cell r="AS1" t="str">
            <v>2004 Q2</v>
          </cell>
          <cell r="AT1" t="str">
            <v>2004 Q3</v>
          </cell>
          <cell r="AU1" t="str">
            <v>2004 Q4</v>
          </cell>
          <cell r="AV1" t="str">
            <v>2005 Q1</v>
          </cell>
          <cell r="AW1" t="str">
            <v>2005 Q2</v>
          </cell>
          <cell r="AX1" t="str">
            <v>2005 Q3</v>
          </cell>
          <cell r="AY1" t="str">
            <v>2005 Q4</v>
          </cell>
          <cell r="AZ1" t="str">
            <v>2006 Q1</v>
          </cell>
          <cell r="BA1" t="str">
            <v>2006 Q2</v>
          </cell>
          <cell r="BB1" t="str">
            <v>2006 Q3</v>
          </cell>
          <cell r="BC1" t="str">
            <v>2006 Q4</v>
          </cell>
          <cell r="BD1" t="str">
            <v>2007 Q1</v>
          </cell>
          <cell r="BE1" t="str">
            <v>2007 Q2</v>
          </cell>
          <cell r="BF1" t="str">
            <v>2007 Q3</v>
          </cell>
          <cell r="BG1" t="str">
            <v>2007 Q4</v>
          </cell>
          <cell r="BH1" t="str">
            <v>2008 Q1</v>
          </cell>
          <cell r="BI1" t="str">
            <v>2008 Q2</v>
          </cell>
          <cell r="BJ1" t="str">
            <v>2008 Q3</v>
          </cell>
          <cell r="BK1" t="str">
            <v>2008 Q4</v>
          </cell>
          <cell r="BL1" t="str">
            <v>2009 Q1</v>
          </cell>
          <cell r="BM1" t="str">
            <v>2009 Q2</v>
          </cell>
          <cell r="BN1" t="str">
            <v>2009 Q3</v>
          </cell>
          <cell r="BO1" t="str">
            <v>2009 Q4</v>
          </cell>
          <cell r="BP1" t="str">
            <v>2010 Q1</v>
          </cell>
          <cell r="BQ1" t="str">
            <v>2010 Q2</v>
          </cell>
          <cell r="BR1" t="str">
            <v>2010 Q3</v>
          </cell>
          <cell r="BS1" t="str">
            <v>2010 Q4</v>
          </cell>
          <cell r="BT1" t="str">
            <v>2011 Q1</v>
          </cell>
          <cell r="BU1" t="str">
            <v>2011 Q2</v>
          </cell>
          <cell r="BV1" t="str">
            <v>2011 Q3</v>
          </cell>
          <cell r="BW1" t="str">
            <v>2011 Q4</v>
          </cell>
          <cell r="BX1" t="str">
            <v>2012 Q1</v>
          </cell>
          <cell r="BY1" t="str">
            <v>2012 Q2</v>
          </cell>
          <cell r="BZ1" t="str">
            <v>2012 Q3</v>
          </cell>
          <cell r="CA1" t="str">
            <v>2012 Q4</v>
          </cell>
          <cell r="CB1" t="str">
            <v>2013 Q1</v>
          </cell>
          <cell r="CC1" t="str">
            <v>2013 Q2</v>
          </cell>
          <cell r="CD1" t="str">
            <v>2013 Q3</v>
          </cell>
          <cell r="CE1" t="str">
            <v>2013 Q4</v>
          </cell>
          <cell r="CF1" t="str">
            <v>2014 Q1</v>
          </cell>
          <cell r="CG1" t="str">
            <v>2014 Q2</v>
          </cell>
          <cell r="CH1" t="str">
            <v>2014 Q3</v>
          </cell>
          <cell r="CI1" t="str">
            <v>2014 Q4</v>
          </cell>
          <cell r="CJ1" t="str">
            <v>2015 Q1</v>
          </cell>
          <cell r="CK1" t="str">
            <v>2015 Q2</v>
          </cell>
          <cell r="CL1" t="str">
            <v>2015 Q3</v>
          </cell>
          <cell r="CM1" t="str">
            <v>2015 Q4</v>
          </cell>
          <cell r="CN1" t="str">
            <v>2016 Q1</v>
          </cell>
          <cell r="CO1" t="str">
            <v>2016 Q2</v>
          </cell>
          <cell r="CP1" t="str">
            <v>2016 Q3</v>
          </cell>
          <cell r="CQ1" t="str">
            <v>2016 Q4</v>
          </cell>
          <cell r="CR1" t="str">
            <v>2017 Q1</v>
          </cell>
          <cell r="CS1" t="str">
            <v>2017 Q2</v>
          </cell>
          <cell r="CT1" t="str">
            <v>2017 Q3</v>
          </cell>
          <cell r="CU1" t="str">
            <v>2017 Q4</v>
          </cell>
          <cell r="CV1" t="str">
            <v>2018 Q1</v>
          </cell>
          <cell r="CW1" t="str">
            <v>2018 Q2</v>
          </cell>
          <cell r="CX1" t="str">
            <v>2018 Q3</v>
          </cell>
          <cell r="CY1" t="str">
            <v>2018 Q4</v>
          </cell>
          <cell r="CZ1" t="str">
            <v>2019 Q1</v>
          </cell>
          <cell r="DA1" t="str">
            <v>2019 Q2</v>
          </cell>
          <cell r="DB1" t="str">
            <v>2019 Q3</v>
          </cell>
          <cell r="DC1" t="str">
            <v>2019 Q4</v>
          </cell>
          <cell r="DD1" t="str">
            <v>2020 Q1</v>
          </cell>
          <cell r="DE1" t="str">
            <v>2020 Q2</v>
          </cell>
          <cell r="DF1" t="str">
            <v>2020 Q3</v>
          </cell>
          <cell r="DG1" t="str">
            <v>2020 Q4</v>
          </cell>
          <cell r="DH1" t="str">
            <v>2021 Q1</v>
          </cell>
          <cell r="DI1" t="str">
            <v>2021 Q2</v>
          </cell>
          <cell r="DJ1" t="str">
            <v>2021 Q3</v>
          </cell>
          <cell r="DK1" t="str">
            <v>2021 Q4</v>
          </cell>
          <cell r="DL1" t="str">
            <v>2022 Q1</v>
          </cell>
        </row>
        <row r="4">
          <cell r="A4" t="str">
            <v>Issuer: Sandvik</v>
          </cell>
        </row>
        <row r="5">
          <cell r="A5" t="str">
            <v>Reference Data</v>
          </cell>
        </row>
        <row r="6">
          <cell r="B6" t="str">
            <v>Issuer Name</v>
          </cell>
          <cell r="C6" t="str">
            <v>Issuer Name</v>
          </cell>
          <cell r="E6" t="str">
            <v>Sandvik</v>
          </cell>
        </row>
        <row r="7">
          <cell r="B7" t="str">
            <v>Reporting Currency</v>
          </cell>
          <cell r="C7" t="str">
            <v>CURRENCY_ISO</v>
          </cell>
          <cell r="E7" t="str">
            <v>SEK</v>
          </cell>
        </row>
        <row r="8">
          <cell r="A8" t="str">
            <v>General Information</v>
          </cell>
        </row>
        <row r="9">
          <cell r="B9" t="str">
            <v>M&amp;A probability (1 = high, 3 = low)</v>
          </cell>
          <cell r="C9" t="str">
            <v>MA_PROB</v>
          </cell>
        </row>
        <row r="10">
          <cell r="A10" t="str">
            <v>Income Statement</v>
          </cell>
        </row>
        <row r="11">
          <cell r="B11" t="str">
            <v>Sales, net revenue</v>
          </cell>
          <cell r="C11" t="str">
            <v>SALES</v>
          </cell>
          <cell r="D11" t="e">
            <v>#NAME?</v>
          </cell>
        </row>
        <row r="12">
          <cell r="B12" t="str">
            <v>Cost of goods sold, COGS</v>
          </cell>
          <cell r="C12" t="str">
            <v>COST_GD_SD</v>
          </cell>
          <cell r="D12" t="e">
            <v>#NAME?</v>
          </cell>
        </row>
        <row r="13">
          <cell r="B13" t="str">
            <v>SG&amp;A, selling, general and admin. expense</v>
          </cell>
          <cell r="C13" t="str">
            <v>SEL_GL_AD</v>
          </cell>
          <cell r="D13" t="e">
            <v>#NAME?</v>
          </cell>
        </row>
        <row r="14">
          <cell r="B14" t="str">
            <v>Total operating expense</v>
          </cell>
          <cell r="C14" t="str">
            <v>OP_COST</v>
          </cell>
          <cell r="D14" t="e">
            <v>#NAME?</v>
          </cell>
        </row>
        <row r="15">
          <cell r="B15" t="str">
            <v>R&amp;D expense</v>
          </cell>
          <cell r="C15" t="str">
            <v>RD_EXP</v>
          </cell>
          <cell r="D15" t="e">
            <v>#NAME?</v>
          </cell>
        </row>
        <row r="16">
          <cell r="B16" t="str">
            <v>Other operating income/(expense) (incl. leases)</v>
          </cell>
          <cell r="C16" t="str">
            <v>OTH_OP_INC_EXP</v>
          </cell>
          <cell r="D16" t="e">
            <v>#NAME?</v>
          </cell>
        </row>
        <row r="17">
          <cell r="B17" t="str">
            <v>Total operating expense (incl. D&amp;A)</v>
          </cell>
          <cell r="C17" t="str">
            <v>TOT_OPS_EXP_DDA</v>
          </cell>
          <cell r="D17" t="e">
            <v>#NAME?</v>
          </cell>
        </row>
        <row r="18">
          <cell r="B18" t="str">
            <v>Total operating expense (excl. D&amp;A)</v>
          </cell>
          <cell r="C18" t="str">
            <v>TOT_OPS_EXP</v>
          </cell>
          <cell r="D18" t="e">
            <v>#NAME?</v>
          </cell>
        </row>
        <row r="19">
          <cell r="B19" t="str">
            <v>EBITDA</v>
          </cell>
          <cell r="C19" t="str">
            <v>EBITDA_CALC</v>
          </cell>
          <cell r="D19" t="e">
            <v>#NAME?</v>
          </cell>
        </row>
        <row r="20">
          <cell r="B20" t="str">
            <v>Depreciation</v>
          </cell>
          <cell r="C20" t="str">
            <v>DEPREC</v>
          </cell>
          <cell r="D20" t="e">
            <v>#NAME?</v>
          </cell>
        </row>
        <row r="21">
          <cell r="B21" t="str">
            <v>Amortization</v>
          </cell>
          <cell r="C21" t="str">
            <v>GOODWILL_AMORT</v>
          </cell>
          <cell r="D21" t="e">
            <v>#NAME?</v>
          </cell>
        </row>
        <row r="22">
          <cell r="B22" t="str">
            <v>EBIT, operating profit</v>
          </cell>
          <cell r="C22" t="str">
            <v>EBIT</v>
          </cell>
          <cell r="D22" t="e">
            <v>#NAME?</v>
          </cell>
        </row>
        <row r="23">
          <cell r="B23" t="str">
            <v>Interest income</v>
          </cell>
          <cell r="C23" t="str">
            <v>INT_INC_IND</v>
          </cell>
          <cell r="D23" t="e">
            <v>#NAME?</v>
          </cell>
        </row>
        <row r="24">
          <cell r="B24" t="str">
            <v>Interest expense</v>
          </cell>
          <cell r="C24" t="str">
            <v>INT_EXP_IND</v>
          </cell>
          <cell r="D24" t="e">
            <v>#NAME?</v>
          </cell>
        </row>
        <row r="25">
          <cell r="B25" t="str">
            <v>Net interest income/(expense)</v>
          </cell>
          <cell r="C25" t="str">
            <v>NET_INT_EXP</v>
          </cell>
          <cell r="D25" t="e">
            <v>#NAME?</v>
          </cell>
        </row>
        <row r="26">
          <cell r="B26" t="str">
            <v>Income/(loss) from unconsolidated subs &amp; associates</v>
          </cell>
          <cell r="C26" t="str">
            <v>ASSOCIATE</v>
          </cell>
          <cell r="D26" t="e">
            <v>#NAME?</v>
          </cell>
        </row>
        <row r="27">
          <cell r="B27" t="str">
            <v>Profit/(loss) on disposals of assets, pre-tax</v>
          </cell>
          <cell r="C27" t="str">
            <v>PROFIT_ON_DISP</v>
          </cell>
          <cell r="D27" t="e">
            <v>#NAME?</v>
          </cell>
        </row>
        <row r="28">
          <cell r="B28" t="str">
            <v>Other non-ops income/(expense)</v>
          </cell>
          <cell r="C28" t="str">
            <v>OTH_COST_INC</v>
          </cell>
          <cell r="D28" t="e">
            <v>#NAME?</v>
          </cell>
        </row>
        <row r="29">
          <cell r="B29" t="str">
            <v>Pre-tax profit</v>
          </cell>
          <cell r="C29" t="str">
            <v>PT_PROF</v>
          </cell>
          <cell r="D29" t="e">
            <v>#NAME?</v>
          </cell>
        </row>
        <row r="30">
          <cell r="A30" t="str">
            <v>Additional Income Statement Items</v>
          </cell>
        </row>
        <row r="31">
          <cell r="B31" t="str">
            <v>Organic revenues (excl. acquisitions)</v>
          </cell>
          <cell r="C31" t="str">
            <v>ORG_REV</v>
          </cell>
          <cell r="D31" t="e">
            <v>#NAME?</v>
          </cell>
        </row>
        <row r="32">
          <cell r="B32" t="str">
            <v>Organic sales growth (excl. acquisitions)</v>
          </cell>
          <cell r="C32" t="str">
            <v>ORG_REV_GRTH</v>
          </cell>
        </row>
        <row r="33">
          <cell r="B33" t="str">
            <v>Growth from acquisitions</v>
          </cell>
          <cell r="C33" t="str">
            <v>ACQ_GRTH</v>
          </cell>
        </row>
        <row r="34">
          <cell r="B34" t="str">
            <v>Growth from foreign exchange</v>
          </cell>
          <cell r="C34" t="str">
            <v>FOREX_GRTH</v>
          </cell>
        </row>
        <row r="35">
          <cell r="B35" t="str">
            <v>Operating lease cost</v>
          </cell>
          <cell r="C35" t="str">
            <v>LEASE_PAY</v>
          </cell>
          <cell r="D35" t="e">
            <v>#NAME?</v>
          </cell>
        </row>
        <row r="36">
          <cell r="B36" t="str">
            <v>Lease payments (deemed interest portion)</v>
          </cell>
          <cell r="C36" t="str">
            <v>LEASE_DEEM_INT</v>
          </cell>
          <cell r="D36" t="e">
            <v>#NAME?</v>
          </cell>
        </row>
        <row r="37">
          <cell r="B37" t="str">
            <v>Lease payments (deemed depreciation portion)</v>
          </cell>
          <cell r="C37" t="str">
            <v>LEASE_DEEM_DEPR</v>
          </cell>
          <cell r="D37" t="e">
            <v>#NAME?</v>
          </cell>
        </row>
        <row r="38">
          <cell r="B38" t="str">
            <v>Gross interest charge</v>
          </cell>
          <cell r="C38" t="str">
            <v>NET_INT_CH</v>
          </cell>
          <cell r="D38" t="e">
            <v>#NAME?</v>
          </cell>
        </row>
        <row r="39">
          <cell r="B39" t="str">
            <v>Income from associates (operating)</v>
          </cell>
          <cell r="C39" t="str">
            <v>ASSOCIATE_OP</v>
          </cell>
          <cell r="D39" t="e">
            <v>#NAME?</v>
          </cell>
        </row>
        <row r="40">
          <cell r="B40" t="str">
            <v>Goodwill amortization</v>
          </cell>
          <cell r="C40" t="str">
            <v>GW_AMORT</v>
          </cell>
          <cell r="D40" t="e">
            <v>#NAME?</v>
          </cell>
        </row>
        <row r="41">
          <cell r="B41" t="str">
            <v>Other intangible amortization</v>
          </cell>
          <cell r="C41" t="str">
            <v>OTH_INT_AMORT</v>
          </cell>
          <cell r="D41" t="e">
            <v>#NAME?</v>
          </cell>
        </row>
        <row r="42">
          <cell r="B42" t="str">
            <v>Depreciation ROU assets   (applicable to IFRS cos.)</v>
          </cell>
          <cell r="C42" t="str">
            <v>DEPR_ROU_ASSETS</v>
          </cell>
          <cell r="D42" t="e">
            <v>#NAME?</v>
          </cell>
        </row>
        <row r="43">
          <cell r="B43" t="str">
            <v>Lease interest charge  (applicable to IFRS cos.)</v>
          </cell>
          <cell r="C43" t="str">
            <v>LEASE_INT_CHG</v>
          </cell>
          <cell r="D43" t="e">
            <v>#NAME?</v>
          </cell>
        </row>
        <row r="44">
          <cell r="B44" t="str">
            <v>Lease standard adopted (US GAAP ASC 842/ IFRS 16)</v>
          </cell>
          <cell r="C44" t="str">
            <v>LEASE_ADOPT</v>
          </cell>
        </row>
        <row r="45">
          <cell r="A45" t="str">
            <v>Balance Sheet</v>
          </cell>
        </row>
        <row r="46">
          <cell r="B46" t="str">
            <v>Cash &amp; cash equivalents</v>
          </cell>
          <cell r="C46" t="str">
            <v>CASH_EQ</v>
          </cell>
          <cell r="D46" t="e">
            <v>#NAME?</v>
          </cell>
        </row>
        <row r="47">
          <cell r="B47" t="str">
            <v>Accounts receivable</v>
          </cell>
          <cell r="C47" t="str">
            <v>DEBTORS</v>
          </cell>
          <cell r="D47" t="e">
            <v>#NAME?</v>
          </cell>
        </row>
        <row r="48">
          <cell r="B48" t="str">
            <v>Inventory</v>
          </cell>
          <cell r="C48" t="str">
            <v>STOCKS</v>
          </cell>
          <cell r="D48" t="e">
            <v>#NAME?</v>
          </cell>
        </row>
        <row r="49">
          <cell r="B49" t="str">
            <v>Other current assets</v>
          </cell>
          <cell r="C49" t="str">
            <v>OTH_CUR_ASS</v>
          </cell>
          <cell r="D49" t="e">
            <v>#NAME?</v>
          </cell>
        </row>
        <row r="50">
          <cell r="B50" t="str">
            <v>Total current assets</v>
          </cell>
          <cell r="C50" t="str">
            <v>CUR_ASS</v>
          </cell>
          <cell r="D50" t="e">
            <v>#NAME?</v>
          </cell>
        </row>
        <row r="51">
          <cell r="B51" t="str">
            <v>Gross fixed assets, PP&amp;E</v>
          </cell>
          <cell r="C51" t="str">
            <v>GR_FIX_ASS</v>
          </cell>
          <cell r="D51" t="e">
            <v>#NAME?</v>
          </cell>
        </row>
        <row r="52">
          <cell r="B52" t="str">
            <v>Accumulated depreciation</v>
          </cell>
          <cell r="C52" t="str">
            <v>ACC_DDA</v>
          </cell>
          <cell r="D52" t="e">
            <v>#NAME?</v>
          </cell>
        </row>
        <row r="53">
          <cell r="B53" t="str">
            <v>Net PP&amp;E</v>
          </cell>
          <cell r="C53" t="str">
            <v>NET_FIX_ASS</v>
          </cell>
          <cell r="D53" t="e">
            <v>#NAME?</v>
          </cell>
        </row>
        <row r="54">
          <cell r="B54" t="str">
            <v>Gross intangibles</v>
          </cell>
          <cell r="C54" t="str">
            <v>GR_INTANG</v>
          </cell>
          <cell r="D54" t="e">
            <v>#NAME?</v>
          </cell>
        </row>
        <row r="55">
          <cell r="B55" t="str">
            <v>Accumulated amortization</v>
          </cell>
          <cell r="C55" t="str">
            <v>ACC_AMORT</v>
          </cell>
          <cell r="D55" t="e">
            <v>#NAME?</v>
          </cell>
        </row>
        <row r="56">
          <cell r="B56" t="str">
            <v>Net intangible assets</v>
          </cell>
          <cell r="C56" t="str">
            <v>NET_INTANG</v>
          </cell>
          <cell r="D56" t="e">
            <v>#NAME?</v>
          </cell>
        </row>
        <row r="57">
          <cell r="B57" t="str">
            <v>Equity method investments</v>
          </cell>
          <cell r="C57" t="str">
            <v>FIX_ASS_INV</v>
          </cell>
          <cell r="D57" t="e">
            <v>#NAME?</v>
          </cell>
        </row>
        <row r="58">
          <cell r="B58" t="str">
            <v>Investments in securities</v>
          </cell>
          <cell r="C58" t="str">
            <v>INV_SECUR</v>
          </cell>
          <cell r="D58" t="e">
            <v>#NAME?</v>
          </cell>
        </row>
        <row r="59">
          <cell r="B59" t="str">
            <v>Other long-term assets</v>
          </cell>
          <cell r="C59" t="str">
            <v>OTH_LT_ASS</v>
          </cell>
          <cell r="D59" t="e">
            <v>#NAME?</v>
          </cell>
        </row>
        <row r="60">
          <cell r="B60" t="str">
            <v>Total assets</v>
          </cell>
          <cell r="C60" t="str">
            <v>TOT_ASSET</v>
          </cell>
          <cell r="D60" t="e">
            <v>#NAME?</v>
          </cell>
        </row>
        <row r="61">
          <cell r="B61" t="str">
            <v>Accounts payable</v>
          </cell>
          <cell r="C61" t="str">
            <v>ACC_PAY_GQ</v>
          </cell>
          <cell r="D61" t="e">
            <v>#NAME?</v>
          </cell>
        </row>
        <row r="62">
          <cell r="B62" t="str">
            <v>Short-term debt</v>
          </cell>
          <cell r="C62" t="str">
            <v>SHORT_T_DEBT</v>
          </cell>
          <cell r="D62" t="e">
            <v>#NAME?</v>
          </cell>
        </row>
        <row r="63">
          <cell r="B63" t="str">
            <v>Current lease liabilities (op lease: US GAAP)</v>
          </cell>
          <cell r="C63" t="str">
            <v>ST_LEASE_LIAB</v>
          </cell>
          <cell r="D63" t="e">
            <v>#NAME?</v>
          </cell>
        </row>
        <row r="64">
          <cell r="B64" t="str">
            <v>Other current liabilities</v>
          </cell>
          <cell r="C64" t="str">
            <v>OTH_CUR_LIABS</v>
          </cell>
          <cell r="D64" t="e">
            <v>#NAME?</v>
          </cell>
        </row>
        <row r="65">
          <cell r="B65" t="str">
            <v>Total current liabilities</v>
          </cell>
          <cell r="C65" t="str">
            <v>SHORT_TERM_LIABS</v>
          </cell>
          <cell r="D65" t="e">
            <v>#NAME?</v>
          </cell>
        </row>
        <row r="66">
          <cell r="B66" t="str">
            <v>Long-term  debt</v>
          </cell>
          <cell r="C66" t="str">
            <v>LT_DEBT</v>
          </cell>
          <cell r="D66" t="e">
            <v>#NAME?</v>
          </cell>
        </row>
        <row r="67">
          <cell r="B67" t="str">
            <v>Non-current lease liabilities (op lease: US GAAP)</v>
          </cell>
          <cell r="C67" t="str">
            <v>LT_LEASE_LIAB</v>
          </cell>
          <cell r="D67" t="e">
            <v>#NAME?</v>
          </cell>
        </row>
        <row r="68">
          <cell r="B68" t="str">
            <v>Other long-term liabilities</v>
          </cell>
          <cell r="C68" t="str">
            <v>OTH_LT_CRED_GQ</v>
          </cell>
          <cell r="D68" t="e">
            <v>#NAME?</v>
          </cell>
        </row>
        <row r="69">
          <cell r="B69" t="str">
            <v>Total long-term liabilities</v>
          </cell>
          <cell r="C69" t="str">
            <v>TOT_LT_LIAB</v>
          </cell>
          <cell r="D69" t="e">
            <v>#NAME?</v>
          </cell>
        </row>
        <row r="70">
          <cell r="B70" t="str">
            <v>Total liabilities</v>
          </cell>
          <cell r="C70" t="str">
            <v>TOT_LIAB</v>
          </cell>
          <cell r="D70" t="e">
            <v>#NAME?</v>
          </cell>
        </row>
        <row r="71">
          <cell r="B71" t="str">
            <v>Preferred shares</v>
          </cell>
          <cell r="C71" t="str">
            <v>PREF_SH</v>
          </cell>
          <cell r="D71" t="e">
            <v>#NAME?</v>
          </cell>
        </row>
        <row r="72">
          <cell r="B72" t="str">
            <v>Total common equity</v>
          </cell>
          <cell r="C72" t="str">
            <v>ORD_SH_FUND</v>
          </cell>
          <cell r="D72" t="e">
            <v>#NAME?</v>
          </cell>
        </row>
        <row r="73">
          <cell r="B73" t="str">
            <v>Minority interest</v>
          </cell>
          <cell r="C73" t="str">
            <v>MINORITIES</v>
          </cell>
          <cell r="D73" t="e">
            <v>#NAME?</v>
          </cell>
        </row>
        <row r="74">
          <cell r="B74" t="str">
            <v>Total shareholders' equity</v>
          </cell>
          <cell r="C74" t="str">
            <v>EQ</v>
          </cell>
          <cell r="D74" t="e">
            <v>#NAME?</v>
          </cell>
        </row>
        <row r="75">
          <cell r="B75" t="str">
            <v>Total liabilities and equity</v>
          </cell>
          <cell r="C75" t="str">
            <v>TOT_LIAB_EQ</v>
          </cell>
          <cell r="D75" t="e">
            <v>#NAME?</v>
          </cell>
        </row>
        <row r="76">
          <cell r="A76" t="str">
            <v>Additional Balance Sheet Items</v>
          </cell>
        </row>
        <row r="77">
          <cell r="B77" t="str">
            <v>Total US$ debt (in US$)</v>
          </cell>
          <cell r="C77" t="str">
            <v>TOT_USD_DEBT</v>
          </cell>
        </row>
        <row r="78">
          <cell r="B78" t="str">
            <v>% US$ debt hedged (principal)</v>
          </cell>
          <cell r="C78" t="str">
            <v>TOT_PCT_USD_DEBT_HEDGED</v>
          </cell>
        </row>
        <row r="79">
          <cell r="B79" t="str">
            <v>% Floating debt (local currency debt)</v>
          </cell>
          <cell r="C79" t="str">
            <v>FLOATING_PCT_LOCAL_DEBT</v>
          </cell>
        </row>
        <row r="80">
          <cell r="B80" t="str">
            <v>% floating debt hedged (rates)</v>
          </cell>
          <cell r="C80" t="str">
            <v>FLOATING_PCT_LOCAL_DEBT_HEDGED</v>
          </cell>
        </row>
        <row r="81">
          <cell r="B81" t="str">
            <v>Net debt</v>
          </cell>
          <cell r="C81" t="str">
            <v>NET_DEBT</v>
          </cell>
          <cell r="D81" t="e">
            <v>#NAME?</v>
          </cell>
        </row>
        <row r="82">
          <cell r="B82" t="str">
            <v>Capitalized operating leases (off-balance sheet)</v>
          </cell>
          <cell r="C82" t="str">
            <v>CAP_LEASES</v>
          </cell>
          <cell r="D82" t="e">
            <v>#NAME?</v>
          </cell>
        </row>
        <row r="83">
          <cell r="B83" t="str">
            <v>Deferred income taxes</v>
          </cell>
          <cell r="C83" t="str">
            <v>DEF_INC_TAX</v>
          </cell>
          <cell r="D83" t="e">
            <v>#NAME?</v>
          </cell>
        </row>
        <row r="84">
          <cell r="B84" t="str">
            <v>Associates (mkt value) used in EV calculation</v>
          </cell>
          <cell r="C84" t="str">
            <v>MV_ASSOCIATES</v>
          </cell>
          <cell r="D84" t="e">
            <v>#NAME?</v>
          </cell>
        </row>
        <row r="85">
          <cell r="B85" t="str">
            <v>Net debt adjustment</v>
          </cell>
          <cell r="C85" t="str">
            <v>NET_DEBT_ADJ</v>
          </cell>
          <cell r="D85" t="e">
            <v>#NAME?</v>
          </cell>
        </row>
        <row r="86">
          <cell r="B86" t="str">
            <v>Company borrowing margin</v>
          </cell>
          <cell r="C86" t="str">
            <v>CO_BOR_MARGIN</v>
          </cell>
        </row>
        <row r="87">
          <cell r="B87" t="str">
            <v>Unfunded pensions &amp; other provisions</v>
          </cell>
          <cell r="C87" t="str">
            <v>UNF_PENS</v>
          </cell>
          <cell r="D87" t="e">
            <v>#NAME?</v>
          </cell>
        </row>
        <row r="88">
          <cell r="B88" t="str">
            <v>Unfunded pension liabilities (off balance sheet)</v>
          </cell>
          <cell r="C88" t="str">
            <v>UNF_PENS_OFF</v>
          </cell>
          <cell r="D88" t="e">
            <v>#NAME?</v>
          </cell>
        </row>
        <row r="89">
          <cell r="B89" t="str">
            <v>Unfunded pension liabilities &amp; other, used in EV</v>
          </cell>
          <cell r="C89" t="str">
            <v>UNF_PENS_LIAB_OTH</v>
          </cell>
          <cell r="D89" t="e">
            <v>#NAME?</v>
          </cell>
        </row>
        <row r="90">
          <cell r="B90" t="str">
            <v>Adjustment for unfunded pensions &amp; goodwill</v>
          </cell>
          <cell r="C90" t="str">
            <v>ADJ_UNF_PENS_GOOD</v>
          </cell>
          <cell r="D90" t="e">
            <v>#NAME?</v>
          </cell>
        </row>
        <row r="91">
          <cell r="B91" t="str">
            <v>Other GCI adjustments</v>
          </cell>
          <cell r="C91" t="str">
            <v>OTH_GCI_ADJ</v>
          </cell>
          <cell r="D91" t="e">
            <v>#NAME?</v>
          </cell>
        </row>
        <row r="92">
          <cell r="B92" t="str">
            <v>GCI inflator</v>
          </cell>
          <cell r="C92" t="str">
            <v>GCI_INFL</v>
          </cell>
        </row>
        <row r="93">
          <cell r="B93" t="str">
            <v>Minority interest</v>
          </cell>
          <cell r="C93" t="str">
            <v>BAL_MINO_INT</v>
          </cell>
          <cell r="D93" t="e">
            <v>#NAME?</v>
          </cell>
        </row>
        <row r="94">
          <cell r="B94" t="str">
            <v>Right-of-use assets (op lease assets under US GAAP)</v>
          </cell>
          <cell r="C94" t="str">
            <v>ROU_ASSET</v>
          </cell>
          <cell r="D94" t="e">
            <v>#NAME?</v>
          </cell>
        </row>
        <row r="95">
          <cell r="A95" t="str">
            <v>Cash Flow Statement</v>
          </cell>
        </row>
        <row r="96">
          <cell r="B96" t="str">
            <v>Minority interest add-back</v>
          </cell>
          <cell r="C96" t="str">
            <v>CF_INC_MINORITY</v>
          </cell>
          <cell r="D96" t="e">
            <v>#NAME?</v>
          </cell>
        </row>
        <row r="97">
          <cell r="B97" t="str">
            <v>Depreciation &amp; amortization add-back</v>
          </cell>
          <cell r="C97" t="str">
            <v>DEPR_AMORT</v>
          </cell>
          <cell r="D97" t="e">
            <v>#NAME?</v>
          </cell>
        </row>
        <row r="98">
          <cell r="B98" t="str">
            <v>(Increase)/decrease in working capital</v>
          </cell>
          <cell r="C98" t="str">
            <v>WORK_CAP</v>
          </cell>
          <cell r="D98" t="e">
            <v>#NAME?</v>
          </cell>
        </row>
        <row r="99">
          <cell r="B99" t="str">
            <v>Other operating cash flow items</v>
          </cell>
          <cell r="C99" t="str">
            <v>OTH_OP_CF</v>
          </cell>
          <cell r="D99" t="e">
            <v>#NAME?</v>
          </cell>
        </row>
        <row r="100">
          <cell r="B100" t="str">
            <v>Cash flow from operating activities</v>
          </cell>
          <cell r="C100" t="str">
            <v>CF_OPS</v>
          </cell>
          <cell r="D100" t="e">
            <v>#NAME?</v>
          </cell>
        </row>
        <row r="101">
          <cell r="B101" t="str">
            <v>Capital expenditures, Capex</v>
          </cell>
          <cell r="C101" t="str">
            <v>CAPEX</v>
          </cell>
          <cell r="D101" t="e">
            <v>#NAME?</v>
          </cell>
        </row>
        <row r="102">
          <cell r="B102" t="str">
            <v>Acquisitions</v>
          </cell>
          <cell r="C102" t="str">
            <v>ACQ</v>
          </cell>
          <cell r="D102" t="e">
            <v>#NAME?</v>
          </cell>
        </row>
        <row r="103">
          <cell r="B103" t="str">
            <v>Divestitures</v>
          </cell>
          <cell r="C103" t="str">
            <v>DIVEST</v>
          </cell>
          <cell r="D103" t="e">
            <v>#NAME?</v>
          </cell>
        </row>
        <row r="104">
          <cell r="B104" t="str">
            <v>Other investing cash flow items</v>
          </cell>
          <cell r="C104" t="str">
            <v>OTH_INV_CF</v>
          </cell>
          <cell r="D104" t="e">
            <v>#NAME?</v>
          </cell>
        </row>
        <row r="105">
          <cell r="B105" t="str">
            <v>Cash flow from investing</v>
          </cell>
          <cell r="C105" t="str">
            <v>CF_INV</v>
          </cell>
          <cell r="D105" t="e">
            <v>#NAME?</v>
          </cell>
        </row>
        <row r="106">
          <cell r="B106" t="str">
            <v>Dividends paid</v>
          </cell>
          <cell r="C106" t="str">
            <v>DIV_PAID</v>
          </cell>
          <cell r="D106" t="e">
            <v>#NAME?</v>
          </cell>
        </row>
        <row r="107">
          <cell r="B107" t="str">
            <v>Common stock issuance/(repurchase)</v>
          </cell>
          <cell r="C107" t="str">
            <v>SH_REPUR</v>
          </cell>
          <cell r="D107" t="e">
            <v>#NAME?</v>
          </cell>
        </row>
        <row r="108">
          <cell r="B108" t="str">
            <v>Increase/(decrease) in total debt</v>
          </cell>
          <cell r="C108" t="str">
            <v>CHG_LT_DEBT</v>
          </cell>
          <cell r="D108" t="e">
            <v>#NAME?</v>
          </cell>
        </row>
        <row r="109">
          <cell r="B109" t="str">
            <v>Lease principal payments  (applicable to IFRS cos.)</v>
          </cell>
          <cell r="C109" t="str">
            <v>LEASE_PRINCIPAL_CASH</v>
          </cell>
          <cell r="D109" t="e">
            <v>#NAME?</v>
          </cell>
        </row>
        <row r="110">
          <cell r="B110" t="str">
            <v>Other financing cash flow items</v>
          </cell>
          <cell r="C110" t="str">
            <v>OTH_FIN_CF</v>
          </cell>
          <cell r="D110" t="e">
            <v>#NAME?</v>
          </cell>
        </row>
        <row r="111">
          <cell r="B111" t="str">
            <v>Cash flow from financing</v>
          </cell>
          <cell r="C111" t="str">
            <v>CF_FIN</v>
          </cell>
          <cell r="D111" t="e">
            <v>#NAME?</v>
          </cell>
        </row>
        <row r="112">
          <cell r="B112" t="str">
            <v>Other items net cash flow</v>
          </cell>
          <cell r="C112" t="str">
            <v>OTH_ITEM_NCF</v>
          </cell>
          <cell r="D112" t="e">
            <v>#NAME?</v>
          </cell>
        </row>
        <row r="113">
          <cell r="B113" t="str">
            <v>Total cash flow</v>
          </cell>
          <cell r="C113" t="str">
            <v>TOT_CF</v>
          </cell>
          <cell r="D113" t="e">
            <v>#NAME?</v>
          </cell>
        </row>
        <row r="114">
          <cell r="A114" t="str">
            <v>Additional Cash Flow Items</v>
          </cell>
        </row>
        <row r="115">
          <cell r="B115" t="str">
            <v>Associate and JV add-back</v>
          </cell>
          <cell r="C115" t="str">
            <v>ASSOC_JV_ADDBK</v>
          </cell>
          <cell r="D115" t="e">
            <v>#NAME?</v>
          </cell>
        </row>
        <row r="116">
          <cell r="B116" t="str">
            <v>Cash interest income/(expense)</v>
          </cell>
          <cell r="C116" t="str">
            <v>CASH_INT_INC_EXP</v>
          </cell>
          <cell r="D116" t="e">
            <v>#NAME?</v>
          </cell>
        </row>
        <row r="117">
          <cell r="B117" t="str">
            <v>Cash taxes paid</v>
          </cell>
          <cell r="C117" t="str">
            <v>CASH_TAX_PD</v>
          </cell>
          <cell r="D117" t="e">
            <v>#NAME?</v>
          </cell>
        </row>
        <row r="118">
          <cell r="B118" t="str">
            <v>Profit/(loss) on sale of assets</v>
          </cell>
          <cell r="C118" t="str">
            <v>PL_SALE_ASSETS</v>
          </cell>
          <cell r="D118" t="e">
            <v>#NAME?</v>
          </cell>
        </row>
        <row r="119">
          <cell r="B119" t="str">
            <v>Other non-cash adjustments</v>
          </cell>
          <cell r="C119" t="str">
            <v>OTH_NONCASH_ADJ</v>
          </cell>
          <cell r="D119" t="e">
            <v>#NAME?</v>
          </cell>
        </row>
        <row r="120">
          <cell r="B120" t="str">
            <v>Other DACF adjustments</v>
          </cell>
          <cell r="C120" t="str">
            <v>OTH_DACF_ADJ</v>
          </cell>
          <cell r="D120" t="e">
            <v>#NAME?</v>
          </cell>
        </row>
        <row r="121">
          <cell r="B121" t="str">
            <v>Cash interest expense</v>
          </cell>
          <cell r="C121" t="str">
            <v>CASH_INT_EXP</v>
          </cell>
          <cell r="D121" t="e">
            <v>#NAME?</v>
          </cell>
        </row>
        <row r="122">
          <cell r="B122" t="str">
            <v>Cash tax expense</v>
          </cell>
          <cell r="C122" t="str">
            <v>CASH_TAX_EXP</v>
          </cell>
          <cell r="D122" t="e">
            <v>#NAME?</v>
          </cell>
        </row>
        <row r="123">
          <cell r="B123" t="str">
            <v>Dividends received from associates/JVs</v>
          </cell>
          <cell r="C123" t="str">
            <v>DIVDS_ASSOC_JV</v>
          </cell>
          <cell r="D123" t="e">
            <v>#NAME?</v>
          </cell>
        </row>
        <row r="124">
          <cell r="B124" t="str">
            <v>Capex maintenance</v>
          </cell>
          <cell r="C124" t="str">
            <v>CAPEX_MAINTENANCE</v>
          </cell>
          <cell r="D124" t="e">
            <v>#NAME?</v>
          </cell>
        </row>
        <row r="125">
          <cell r="B125" t="str">
            <v>Capex expansion</v>
          </cell>
          <cell r="C125" t="str">
            <v>CAPEX_EXPANSION</v>
          </cell>
          <cell r="D125" t="e">
            <v>#NAME?</v>
          </cell>
        </row>
        <row r="126">
          <cell r="B126" t="str">
            <v>Non-PP&amp;E capex</v>
          </cell>
          <cell r="C126" t="str">
            <v>NONPPE_CAPEX</v>
          </cell>
          <cell r="D126" t="e">
            <v>#NAME?</v>
          </cell>
        </row>
        <row r="127">
          <cell r="B127" t="str">
            <v>Dividends paid to minorities</v>
          </cell>
          <cell r="C127" t="str">
            <v>DIVDS_PD_MINORITIES</v>
          </cell>
          <cell r="D127" t="e">
            <v>#NAME?</v>
          </cell>
        </row>
        <row r="128">
          <cell r="A128" t="str">
            <v>Company Metrics</v>
          </cell>
        </row>
        <row r="129">
          <cell r="B129" t="str">
            <v>Group sales % - &gt;50% bigger than number 2</v>
          </cell>
          <cell r="C129" t="str">
            <v>GROUP_SALES_PCT_BIG_NO_TWO</v>
          </cell>
        </row>
        <row r="130">
          <cell r="B130" t="str">
            <v>Group sales % -  number 1/shared number one</v>
          </cell>
          <cell r="C130" t="str">
            <v>GROUP_SALES_PCT_SHRD_NO_ONE</v>
          </cell>
        </row>
        <row r="131">
          <cell r="B131" t="str">
            <v>Group sales % -  top 3</v>
          </cell>
          <cell r="C131" t="str">
            <v>GROUP_SALES_PCT_TOP_THREE</v>
          </cell>
        </row>
        <row r="132">
          <cell r="B132" t="str">
            <v>Aftermarket - % Global sales</v>
          </cell>
          <cell r="C132" t="str">
            <v>AMKT_PCT_GROUP_SALES</v>
          </cell>
        </row>
        <row r="133">
          <cell r="B133" t="str">
            <v>Distribution score</v>
          </cell>
          <cell r="C133" t="str">
            <v>DISTR_SCORE</v>
          </cell>
        </row>
        <row r="134">
          <cell r="B134" t="str">
            <v>Structural growth outlook by product category</v>
          </cell>
          <cell r="C134" t="str">
            <v>STRCTL_GRTH_PROD_CTGRY</v>
          </cell>
        </row>
        <row r="135">
          <cell r="B135" t="str">
            <v>Cyclical growth outlook by end market</v>
          </cell>
          <cell r="C135" t="str">
            <v>CYCL_GRTH_EMKT</v>
          </cell>
        </row>
        <row r="136">
          <cell r="B136" t="str">
            <v>Cycle adjusted CROCI</v>
          </cell>
          <cell r="C136" t="str">
            <v>CYCL_ADJ_CROCI</v>
          </cell>
        </row>
        <row r="137">
          <cell r="B137" t="str">
            <v>Degree of customer concentration (High/Medium/Low)</v>
          </cell>
          <cell r="C137" t="str">
            <v>DGR_CUST_CONCTR</v>
          </cell>
        </row>
        <row r="138">
          <cell r="B138" t="str">
            <v>Sales % represented by project business</v>
          </cell>
          <cell r="C138" t="str">
            <v>SALES_PCT_PROJ_BUS</v>
          </cell>
        </row>
        <row r="139">
          <cell r="B139" t="str">
            <v>Sales % represented by service contracts or aftermarket/captive sales</v>
          </cell>
          <cell r="C139" t="str">
            <v>SALES_PCT_REC</v>
          </cell>
        </row>
        <row r="140">
          <cell r="A140" t="str">
            <v>Other Items</v>
          </cell>
        </row>
        <row r="141">
          <cell r="B141" t="str">
            <v>Number of employees</v>
          </cell>
          <cell r="C141" t="str">
            <v>EMPLOYEES</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row>
        <row r="170">
          <cell r="B170" t="str">
            <v>Regional exposure as % of revenues - EMEA</v>
          </cell>
          <cell r="C170" t="str">
            <v>SALES_EXPOSURE_EMEA</v>
          </cell>
        </row>
        <row r="171">
          <cell r="B171" t="str">
            <v>Regional exposure as % of revenues - APAC</v>
          </cell>
          <cell r="C171" t="str">
            <v>SALES_EXPOSURE_APAC</v>
          </cell>
        </row>
        <row r="172">
          <cell r="B172" t="str">
            <v>Regional exposure as % of revenues - China</v>
          </cell>
          <cell r="C172" t="str">
            <v>SALES_EXPOSURE_CHINA</v>
          </cell>
        </row>
        <row r="173">
          <cell r="B173" t="str">
            <v>Regional exposure as % of revenues - ROW</v>
          </cell>
          <cell r="C173" t="str">
            <v>SALES_EXPOSURE_ROW</v>
          </cell>
        </row>
        <row r="174">
          <cell r="B174" t="str">
            <v>Regional exposure as % of revenues - Developed Markets</v>
          </cell>
          <cell r="C174" t="str">
            <v>SALES_EXPOSURE_DEV_MKT</v>
          </cell>
        </row>
        <row r="175">
          <cell r="B175" t="str">
            <v>Regional exposure as % of revenues - Emerging Markets</v>
          </cell>
          <cell r="C175" t="str">
            <v>SALES_EXPOSURE_EMER_MKT</v>
          </cell>
        </row>
        <row r="176">
          <cell r="A176" t="str">
            <v>End Markets</v>
          </cell>
        </row>
        <row r="177">
          <cell r="B177" t="str">
            <v>Sales to the construction end market - % Global</v>
          </cell>
          <cell r="C177" t="str">
            <v>SALES_CONSRT_EMKT_GLOBAL</v>
          </cell>
        </row>
        <row r="178">
          <cell r="B178" t="str">
            <v>Sales to the construction end market - % No. America</v>
          </cell>
          <cell r="C178" t="str">
            <v>SALES_CONSRT_EMKT_NO_AMERICA</v>
          </cell>
        </row>
        <row r="179">
          <cell r="B179" t="str">
            <v>Sales to the construction end market - % EAME</v>
          </cell>
          <cell r="C179" t="str">
            <v>SALES_CONSRT_EMKT_EAME</v>
          </cell>
        </row>
        <row r="180">
          <cell r="B180" t="str">
            <v>Sales to the construction end market - % So. America</v>
          </cell>
          <cell r="C180" t="str">
            <v>SALES_CONSRT_EMKT_SO_AMERICA</v>
          </cell>
        </row>
        <row r="181">
          <cell r="B181" t="str">
            <v>Sales to the construction end market - % China</v>
          </cell>
          <cell r="C181" t="str">
            <v>SALES_CONSRT_EMKT_CHINA</v>
          </cell>
        </row>
        <row r="182">
          <cell r="B182" t="str">
            <v>Sales to the construction end market - % Asia ex-China</v>
          </cell>
          <cell r="C182" t="str">
            <v>SALES_CONSRT_EMKT_ASIAEXCHINA</v>
          </cell>
        </row>
        <row r="183">
          <cell r="B183" t="str">
            <v>Sales to the transmission &amp; distribution end market - % Global</v>
          </cell>
          <cell r="C183" t="str">
            <v>SALES_TRN_DIST_EMKT_GLOBAL</v>
          </cell>
        </row>
        <row r="184">
          <cell r="B184" t="str">
            <v>Sales to the transmission &amp; distribution end market - % No. America</v>
          </cell>
          <cell r="C184" t="str">
            <v>SALES_TRN_DIST_EMKT_NO_AMERICA</v>
          </cell>
        </row>
        <row r="185">
          <cell r="B185" t="str">
            <v>Sales to the transmission &amp; distribution end market - % EAME</v>
          </cell>
          <cell r="C185" t="str">
            <v>SALES_TRN_DIST_EMKT_EAME</v>
          </cell>
        </row>
        <row r="186">
          <cell r="B186" t="str">
            <v>Sales to the transmission &amp; distribution end market - % So. America</v>
          </cell>
          <cell r="C186" t="str">
            <v>SALES_TRN_DIST_EMKT_SO_AMERICA</v>
          </cell>
        </row>
        <row r="187">
          <cell r="B187" t="str">
            <v>Sales to the transmission &amp; distribution end market - % China</v>
          </cell>
          <cell r="C187" t="str">
            <v>SALES_TRN_DIST_EMKT_CHINA</v>
          </cell>
        </row>
        <row r="188">
          <cell r="B188" t="str">
            <v>Sales to the transmission &amp; distribution end market - % Asia ex-China</v>
          </cell>
          <cell r="C188" t="str">
            <v>SALES_TRN_DIST_EMKT_ASIAEXCHINA</v>
          </cell>
        </row>
        <row r="189">
          <cell r="B189" t="str">
            <v>Sales to the power generation end market - % Global</v>
          </cell>
          <cell r="C189" t="str">
            <v>SALES_PWR_GEN_EMKT_GLOBAL</v>
          </cell>
        </row>
        <row r="190">
          <cell r="B190" t="str">
            <v>Sales to the power generation end market - % No. America</v>
          </cell>
          <cell r="C190" t="str">
            <v>SALES_PWR_GEN_EMKT_NO_AMERICA</v>
          </cell>
        </row>
        <row r="191">
          <cell r="B191" t="str">
            <v>Sales to the power generation end market - % EAME</v>
          </cell>
          <cell r="C191" t="str">
            <v>SALES_PWR_GEN_EMKT_EAME</v>
          </cell>
        </row>
        <row r="192">
          <cell r="B192" t="str">
            <v>Sales to the power generation end market - % So. America</v>
          </cell>
          <cell r="C192" t="str">
            <v>SALES_PWR_GEN_EMKT_SO_AMERICA</v>
          </cell>
        </row>
        <row r="193">
          <cell r="B193" t="str">
            <v>Sales to the power generation end market - % China</v>
          </cell>
          <cell r="C193" t="str">
            <v>SALES_PWR_GEN_EMKT_CHINA</v>
          </cell>
        </row>
        <row r="194">
          <cell r="B194" t="str">
            <v>Sales to the power generation end market - % Asia ex-China</v>
          </cell>
          <cell r="C194" t="str">
            <v>SALES_PWR_GEN_EMKT_ASIAEXCHINA</v>
          </cell>
        </row>
        <row r="195">
          <cell r="B195" t="str">
            <v>Sales to the mining end market - % Global</v>
          </cell>
          <cell r="C195" t="str">
            <v>SALES_MINING_EMKT_GLOBAL</v>
          </cell>
        </row>
        <row r="196">
          <cell r="B196" t="str">
            <v>Sales to the mining end market - % No. America</v>
          </cell>
          <cell r="C196" t="str">
            <v>SALES_MINING_EMKT_NO_AMERICA</v>
          </cell>
        </row>
        <row r="197">
          <cell r="B197" t="str">
            <v>Sales to the mining end market - % EAME</v>
          </cell>
          <cell r="C197" t="str">
            <v>SALES_MINING_EMKT_EAME</v>
          </cell>
        </row>
        <row r="198">
          <cell r="B198" t="str">
            <v>Sales to the mining end market - % So. America</v>
          </cell>
          <cell r="C198" t="str">
            <v>SALES_MINING_EMKT_SO_AMERICA</v>
          </cell>
        </row>
        <row r="199">
          <cell r="B199" t="str">
            <v>Sales to the mining end market - % China</v>
          </cell>
          <cell r="C199" t="str">
            <v>SALES_MINING_EMKT_CHINA</v>
          </cell>
        </row>
        <row r="200">
          <cell r="B200" t="str">
            <v>Sales to the mining end market - % Asia ex-China</v>
          </cell>
          <cell r="C200" t="str">
            <v>SALES_MINING_EMKT_ASIAEXCHINA</v>
          </cell>
        </row>
        <row r="201">
          <cell r="B201" t="str">
            <v>Sales to the oil &amp; gas end market - % Global</v>
          </cell>
          <cell r="C201" t="str">
            <v>SALES_OIL_GAS_EMKT_GLOBAL</v>
          </cell>
        </row>
        <row r="202">
          <cell r="B202" t="str">
            <v>Sales to the oil &amp; gas end market - % No. America</v>
          </cell>
          <cell r="C202" t="str">
            <v>SALES_OIL_GAS_EMKT_NO_AMERICA</v>
          </cell>
        </row>
        <row r="203">
          <cell r="B203" t="str">
            <v>Sales to the oil &amp; gas end market - % EAME</v>
          </cell>
          <cell r="C203" t="str">
            <v>SALES_OIL_GAS_EMKT_EAME</v>
          </cell>
        </row>
        <row r="204">
          <cell r="B204" t="str">
            <v>Sales to the oil &amp; gas end market - % So. America</v>
          </cell>
          <cell r="C204" t="str">
            <v>SALES_OIL_GAS_EMKT_SO_AMERICA</v>
          </cell>
        </row>
        <row r="205">
          <cell r="B205" t="str">
            <v>Sales to the oil &amp; gas end market - % China</v>
          </cell>
          <cell r="C205" t="str">
            <v>SALES_OIL_GAS_EMKT_CHINA</v>
          </cell>
        </row>
        <row r="206">
          <cell r="B206" t="str">
            <v>Sales to the oil &amp; gas end market - % Asia ex-China</v>
          </cell>
          <cell r="C206" t="str">
            <v>SALES_OIL_GAS_EMKT_ASIAEXCHINA</v>
          </cell>
        </row>
        <row r="207">
          <cell r="B207" t="str">
            <v>Sales to the automotive end market - % Global</v>
          </cell>
          <cell r="C207" t="str">
            <v>SALES_AUTOMTV_EMKT_GLOBAL</v>
          </cell>
        </row>
        <row r="208">
          <cell r="B208" t="str">
            <v>Sales to the automotive end market - % No. America</v>
          </cell>
          <cell r="C208" t="str">
            <v>SALES_AUTOMTV_EMKT_NO_AMERICA</v>
          </cell>
        </row>
        <row r="209">
          <cell r="B209" t="str">
            <v>Sales to the automotive end market - % EAME</v>
          </cell>
          <cell r="C209" t="str">
            <v>SALES_AUTOMTV_EMKT_EAME</v>
          </cell>
        </row>
        <row r="210">
          <cell r="B210" t="str">
            <v>Sales to the automotive end market - % So. America</v>
          </cell>
          <cell r="C210" t="str">
            <v>SALES_AUTOMTV_EMKT_SO_AMERICA</v>
          </cell>
        </row>
        <row r="211">
          <cell r="B211" t="str">
            <v>Sales to the automotive end market - % China</v>
          </cell>
          <cell r="C211" t="str">
            <v>SALES_AUTOMTV_EMKT_CHINA</v>
          </cell>
        </row>
        <row r="212">
          <cell r="B212" t="str">
            <v>Sales to the automotive end market - % Asia ex-China</v>
          </cell>
          <cell r="C212" t="str">
            <v>SALES_AUTOMTV_EMKT_ASIAEXCHINA</v>
          </cell>
        </row>
        <row r="213">
          <cell r="B213" t="str">
            <v>Sales to the rail end market - % Global</v>
          </cell>
          <cell r="C213" t="str">
            <v>SALES_RAIL_EMKT_GLOBAL</v>
          </cell>
        </row>
        <row r="214">
          <cell r="B214" t="str">
            <v>Sales to the rail end market - % No. America</v>
          </cell>
          <cell r="C214" t="str">
            <v>SALES_RAIL_EMKT_NO_AMERICA</v>
          </cell>
        </row>
        <row r="215">
          <cell r="B215" t="str">
            <v>Sales to the rail end market - % EAME</v>
          </cell>
          <cell r="C215" t="str">
            <v>SALES_RAIL_EMKT_EAME</v>
          </cell>
        </row>
        <row r="216">
          <cell r="B216" t="str">
            <v>Sales to the rail end market - % So. America</v>
          </cell>
          <cell r="C216" t="str">
            <v>SALES_RAIL_EMKT_SO_AMERICA</v>
          </cell>
        </row>
        <row r="217">
          <cell r="B217" t="str">
            <v>Sales to the rail end market - % China</v>
          </cell>
          <cell r="C217" t="str">
            <v>SALES_RAIL_EMKT_CHINA</v>
          </cell>
        </row>
        <row r="218">
          <cell r="B218" t="str">
            <v>Sales to the rail end market - % Asia ex-China</v>
          </cell>
          <cell r="C218" t="str">
            <v>SALES_RAIL_EMKT_ASIAEXCHINA</v>
          </cell>
        </row>
        <row r="219">
          <cell r="B219" t="str">
            <v>Sales to the consumer end market - % Global</v>
          </cell>
          <cell r="C219" t="str">
            <v>SALES_CONS_EMKT_GLOBAL</v>
          </cell>
        </row>
        <row r="220">
          <cell r="B220" t="str">
            <v>Sales to the consumer end market - % No. America</v>
          </cell>
          <cell r="C220" t="str">
            <v>SALES_CONS_EMKT_NO_AMERICA</v>
          </cell>
        </row>
        <row r="221">
          <cell r="B221" t="str">
            <v>Sales to the consumer end market - % EAME</v>
          </cell>
          <cell r="C221" t="str">
            <v>SALES_CONS_EMKT_EAME</v>
          </cell>
        </row>
        <row r="222">
          <cell r="B222" t="str">
            <v>Sales to the consumer end market - % So. America</v>
          </cell>
          <cell r="C222" t="str">
            <v>SALES_CONS_EMKT_SO_AMERICA</v>
          </cell>
        </row>
        <row r="223">
          <cell r="B223" t="str">
            <v>Sales to the consumer end market - % China</v>
          </cell>
          <cell r="C223" t="str">
            <v>SALES_CONS_EMKT_CHINA</v>
          </cell>
        </row>
        <row r="224">
          <cell r="B224" t="str">
            <v>Sales to the consumer end market - % Asia ex-China</v>
          </cell>
          <cell r="C224" t="str">
            <v>SALES_CONS_EMKT_ASIAEXCHINA</v>
          </cell>
        </row>
        <row r="225">
          <cell r="B225" t="str">
            <v>Sales to the tech end market - % Global</v>
          </cell>
          <cell r="C225" t="str">
            <v>SALES_TECH_EMKT_GLOBAL</v>
          </cell>
        </row>
        <row r="226">
          <cell r="B226" t="str">
            <v>Sales to the tech end market - % No. America</v>
          </cell>
          <cell r="C226" t="str">
            <v>SALES_TECH_EMKT_NO_AMERICA</v>
          </cell>
        </row>
        <row r="227">
          <cell r="B227" t="str">
            <v>Sales to the tech end market - % EAME</v>
          </cell>
          <cell r="C227" t="str">
            <v>SALES_TECH_EMKT_EAME</v>
          </cell>
        </row>
        <row r="228">
          <cell r="B228" t="str">
            <v>Sales to the tech end market - % So. America</v>
          </cell>
          <cell r="C228" t="str">
            <v>SALES_TECH_EMKT_SO_AMERICA</v>
          </cell>
        </row>
        <row r="229">
          <cell r="B229" t="str">
            <v>Sales to the tech end market - % China</v>
          </cell>
          <cell r="C229" t="str">
            <v>SALES_TECH_EMKT_CHINA</v>
          </cell>
        </row>
        <row r="230">
          <cell r="B230" t="str">
            <v>Sales to the tech end market - % Asia ex-China</v>
          </cell>
          <cell r="C230" t="str">
            <v>SALES_TECH_EMKT_ASIAEXCHINA</v>
          </cell>
        </row>
        <row r="231">
          <cell r="B231" t="str">
            <v>Sales to the agriculture end market - % Global</v>
          </cell>
          <cell r="C231" t="str">
            <v>SALES_AGRI_EMKT_GLOBAL</v>
          </cell>
        </row>
        <row r="232">
          <cell r="B232" t="str">
            <v>Sales to the agriculture end market - % No. America</v>
          </cell>
          <cell r="C232" t="str">
            <v>SALES_AGRI_EMKT_NO_AMERICA</v>
          </cell>
        </row>
        <row r="233">
          <cell r="B233" t="str">
            <v>Sales to the agriculture end market - % EAME</v>
          </cell>
          <cell r="C233" t="str">
            <v>SALES_AGRI_EMKT_EAME</v>
          </cell>
        </row>
        <row r="234">
          <cell r="B234" t="str">
            <v>Sales to the agriculture end market - % So. America</v>
          </cell>
          <cell r="C234" t="str">
            <v>SALES_AGRI_EMKT_SO_AMERICA</v>
          </cell>
        </row>
        <row r="235">
          <cell r="B235" t="str">
            <v>Sales to the agriculture end market - % China</v>
          </cell>
          <cell r="C235" t="str">
            <v>SALES_AGRI_EMKT_CHINA</v>
          </cell>
        </row>
        <row r="236">
          <cell r="B236" t="str">
            <v>Sales to the agriculture end market - % Asia ex-China</v>
          </cell>
          <cell r="C236" t="str">
            <v>SALES_AGRI_EMKT_ASIAEXCHINA</v>
          </cell>
        </row>
        <row r="237">
          <cell r="B237" t="str">
            <v>Sales to the general industrial end market - % Global</v>
          </cell>
          <cell r="C237" t="str">
            <v>SALES_GNRL_IND_EMKT_GLOBAL</v>
          </cell>
        </row>
        <row r="238">
          <cell r="B238" t="str">
            <v>Sales to the general industrial end market - % No. America</v>
          </cell>
          <cell r="C238" t="str">
            <v>SALES_GNRL_IND_EMKT_NO_AMERICA</v>
          </cell>
        </row>
        <row r="239">
          <cell r="B239" t="str">
            <v>Sales to the general industrial end market - % EAME</v>
          </cell>
          <cell r="C239" t="str">
            <v>SALES_GNRL_IND_EMKT_EAME</v>
          </cell>
        </row>
        <row r="240">
          <cell r="B240" t="str">
            <v>Sales to the general industrial end market - % So. America</v>
          </cell>
          <cell r="C240" t="str">
            <v>SALES_GNRL_IND_EMKT_SO_AMERICA</v>
          </cell>
        </row>
        <row r="241">
          <cell r="B241" t="str">
            <v>Sales to the general industrial end market - % China</v>
          </cell>
          <cell r="C241" t="str">
            <v>SALES_GNRL_IND_EMKT_CHINA</v>
          </cell>
        </row>
        <row r="242">
          <cell r="B242" t="str">
            <v>Sales to the general industrial end market - % Asia ex-China</v>
          </cell>
          <cell r="C242" t="str">
            <v>SALES_GNRL_IND_EMKT_ASIAEXCHINA</v>
          </cell>
        </row>
        <row r="243">
          <cell r="B243" t="str">
            <v>Sales to the aftermarket end market - % Global</v>
          </cell>
          <cell r="C243" t="str">
            <v>SALES_AMKT_EMKT_GLOBAL</v>
          </cell>
        </row>
        <row r="244">
          <cell r="B244" t="str">
            <v>End market exposure as % of revenues - Aerospace</v>
          </cell>
          <cell r="C244" t="str">
            <v>SALES_EMKT_AEROSPC</v>
          </cell>
        </row>
        <row r="245">
          <cell r="B245" t="str">
            <v>End market exposure as % of revenues - Agriculture</v>
          </cell>
          <cell r="C245" t="str">
            <v>SALES_EMRKT_AGRI</v>
          </cell>
        </row>
        <row r="246">
          <cell r="B246" t="str">
            <v>End market exposure as % of revenues - Chemicals</v>
          </cell>
          <cell r="C246" t="str">
            <v>SALES_EMRKT_CHEM</v>
          </cell>
        </row>
        <row r="247">
          <cell r="B247" t="str">
            <v>End market exposure as % of revenues - Consumer</v>
          </cell>
          <cell r="C247" t="str">
            <v>SALES_EMKT_CONS</v>
          </cell>
        </row>
        <row r="248">
          <cell r="B248" t="str">
            <v>End market exposure as % of revenues - Electronics</v>
          </cell>
          <cell r="C248" t="str">
            <v>SALES_EMRKT_ELEC</v>
          </cell>
        </row>
        <row r="249">
          <cell r="B249" t="str">
            <v>End market exposure as % of revenues - General Industrial</v>
          </cell>
          <cell r="C249" t="str">
            <v>SALES_EMKT_GNRL_IND</v>
          </cell>
        </row>
        <row r="250">
          <cell r="B250" t="str">
            <v>End market exposure as % of revenues - Marine (ex. O&amp;G)</v>
          </cell>
          <cell r="C250" t="str">
            <v>SALES_EMRKT_MARINE</v>
          </cell>
        </row>
        <row r="251">
          <cell r="B251" t="str">
            <v>End market exposure as % of revenues - Not classified</v>
          </cell>
          <cell r="C251" t="str">
            <v>SALES_EMRKT_NC</v>
          </cell>
        </row>
        <row r="252">
          <cell r="B252" t="str">
            <v>End market exposure as % of revenues - Medical</v>
          </cell>
          <cell r="C252" t="str">
            <v>SALES_EMKT_MED</v>
          </cell>
        </row>
        <row r="253">
          <cell r="B253" t="str">
            <v>End market exposure as % of revenues - Mining</v>
          </cell>
          <cell r="C253" t="str">
            <v>SALES_EMKT_MINING</v>
          </cell>
        </row>
        <row r="254">
          <cell r="B254" t="str">
            <v>End market exposure as % of revenues - Non-res construction</v>
          </cell>
          <cell r="C254" t="str">
            <v>SALES_EMKT_NRES_CONSRT</v>
          </cell>
        </row>
        <row r="255">
          <cell r="B255" t="str">
            <v>End market exposure as % of revenues - O&amp;G</v>
          </cell>
          <cell r="C255" t="str">
            <v>SALES_EMKT_OIL_GAS</v>
          </cell>
        </row>
        <row r="256">
          <cell r="B256" t="str">
            <v>End market exposure as % of revenues - Power Gen</v>
          </cell>
          <cell r="C256" t="str">
            <v>SALES_EMKT_PWR_GEN</v>
          </cell>
        </row>
        <row r="257">
          <cell r="B257" t="str">
            <v>End market exposure as % of revenues - Pulp &amp; paper</v>
          </cell>
          <cell r="C257" t="str">
            <v>SALES_EMRKT_PULP</v>
          </cell>
        </row>
        <row r="258">
          <cell r="B258" t="str">
            <v>End market exposure as % of revenues - Rail</v>
          </cell>
          <cell r="C258" t="str">
            <v>SALES_EMKT_RAIL</v>
          </cell>
        </row>
        <row r="259">
          <cell r="B259" t="str">
            <v>End market exposure as % of revenues - Res construction</v>
          </cell>
          <cell r="C259" t="str">
            <v>SALES_EMKT_RES_CONSRT</v>
          </cell>
        </row>
        <row r="260">
          <cell r="B260" t="str">
            <v>End market exposure as % of revenues - T&amp;D</v>
          </cell>
          <cell r="C260" t="str">
            <v>SALES_EMKT_TRN_DIST</v>
          </cell>
        </row>
        <row r="261">
          <cell r="B261" t="str">
            <v>End market exposure as % of revenues - Tech/telecom</v>
          </cell>
          <cell r="C261" t="str">
            <v>SALES_EMKT_TECH_TELCO</v>
          </cell>
        </row>
        <row r="262">
          <cell r="B262" t="str">
            <v>End market exposure as % of revenues - Vehicle</v>
          </cell>
          <cell r="C262" t="str">
            <v>SALES_EMKT_VHCLE</v>
          </cell>
        </row>
        <row r="263">
          <cell r="A263" t="str">
            <v>Geographical Breakdown</v>
          </cell>
        </row>
        <row r="264">
          <cell r="B264" t="str">
            <v>Sales - % Canada</v>
          </cell>
          <cell r="C264" t="str">
            <v>SALES_CANADA</v>
          </cell>
        </row>
        <row r="265">
          <cell r="B265" t="str">
            <v>Sales - % United States</v>
          </cell>
          <cell r="C265" t="str">
            <v>SALES_US</v>
          </cell>
        </row>
        <row r="266">
          <cell r="B266" t="str">
            <v>Sales - % Other North Americas</v>
          </cell>
          <cell r="C266" t="str">
            <v>SALES_OTH_NO_AMER</v>
          </cell>
        </row>
        <row r="267">
          <cell r="B267" t="str">
            <v>Sales - % Argentina</v>
          </cell>
          <cell r="C267" t="str">
            <v>SALES_ARGENTINA</v>
          </cell>
        </row>
        <row r="268">
          <cell r="B268" t="str">
            <v>Sales - % Brazil</v>
          </cell>
          <cell r="C268" t="str">
            <v>SALES_BRAZIL</v>
          </cell>
        </row>
        <row r="269">
          <cell r="B269" t="str">
            <v>Sales - % Chile</v>
          </cell>
          <cell r="C269" t="str">
            <v>SALES_CHILE</v>
          </cell>
        </row>
        <row r="270">
          <cell r="B270" t="str">
            <v>Sales - % Colombia</v>
          </cell>
          <cell r="C270" t="str">
            <v>SALES_COLOMBIA</v>
          </cell>
        </row>
        <row r="271">
          <cell r="B271" t="str">
            <v>Sales - % Mexico</v>
          </cell>
          <cell r="C271" t="str">
            <v>SALES_MEXICO</v>
          </cell>
        </row>
        <row r="272">
          <cell r="B272" t="str">
            <v>Sales - % Venezuela</v>
          </cell>
          <cell r="C272" t="str">
            <v>SALES_VENEZUELA</v>
          </cell>
        </row>
        <row r="273">
          <cell r="B273" t="str">
            <v>Sales - % Other Latin Americas</v>
          </cell>
          <cell r="C273" t="str">
            <v>SALES_OTH_LATAM</v>
          </cell>
        </row>
        <row r="274">
          <cell r="B274" t="str">
            <v>Sales - % Austria</v>
          </cell>
          <cell r="C274" t="str">
            <v>SALES_AUSTRIA</v>
          </cell>
        </row>
        <row r="275">
          <cell r="B275" t="str">
            <v>Sales - % Belgium</v>
          </cell>
          <cell r="C275" t="str">
            <v>SALES_BEL</v>
          </cell>
        </row>
        <row r="276">
          <cell r="B276" t="str">
            <v>Sales - % France</v>
          </cell>
          <cell r="C276" t="str">
            <v>SALES_FRA</v>
          </cell>
        </row>
        <row r="277">
          <cell r="B277" t="str">
            <v>Sales - % Germany</v>
          </cell>
          <cell r="C277" t="str">
            <v>SALES_GER</v>
          </cell>
        </row>
        <row r="278">
          <cell r="B278" t="str">
            <v>Sales - % Greece</v>
          </cell>
          <cell r="C278" t="str">
            <v>SALES_GRE</v>
          </cell>
        </row>
        <row r="279">
          <cell r="B279" t="str">
            <v>Sales - % Ireland</v>
          </cell>
          <cell r="C279" t="str">
            <v>SALES_IRE</v>
          </cell>
        </row>
        <row r="280">
          <cell r="B280" t="str">
            <v>Sales - % Italy</v>
          </cell>
          <cell r="C280" t="str">
            <v>SALES_ITA</v>
          </cell>
        </row>
        <row r="281">
          <cell r="B281" t="str">
            <v>Sales - % Netherlands</v>
          </cell>
          <cell r="C281" t="str">
            <v>SALES_NETH</v>
          </cell>
        </row>
        <row r="282">
          <cell r="B282" t="str">
            <v>Sales - % Norway</v>
          </cell>
          <cell r="C282" t="str">
            <v>SALES_NOR</v>
          </cell>
        </row>
        <row r="283">
          <cell r="B283" t="str">
            <v>Sales - % Portugal</v>
          </cell>
          <cell r="C283" t="str">
            <v>SALES_POR</v>
          </cell>
        </row>
        <row r="284">
          <cell r="B284" t="str">
            <v>Sales - % Spain</v>
          </cell>
          <cell r="C284" t="str">
            <v>SALES_SPA</v>
          </cell>
        </row>
        <row r="285">
          <cell r="B285" t="str">
            <v>Sales - % Sweden</v>
          </cell>
          <cell r="C285" t="str">
            <v>SALES_SWE</v>
          </cell>
        </row>
        <row r="286">
          <cell r="B286" t="str">
            <v>Sales - % Switzerland</v>
          </cell>
          <cell r="C286" t="str">
            <v>SALES_SWIT</v>
          </cell>
        </row>
        <row r="287">
          <cell r="B287" t="str">
            <v>Sales - % UK</v>
          </cell>
          <cell r="C287" t="str">
            <v>SALES_UK</v>
          </cell>
        </row>
        <row r="288">
          <cell r="B288" t="str">
            <v>Sales - % Other Western Europe</v>
          </cell>
          <cell r="C288" t="str">
            <v>SALES_OTH_WEST_EURO</v>
          </cell>
        </row>
        <row r="289">
          <cell r="B289" t="str">
            <v>Sales - % Poland</v>
          </cell>
          <cell r="C289" t="str">
            <v>SALES_POLAND</v>
          </cell>
        </row>
        <row r="290">
          <cell r="B290" t="str">
            <v>Sales - % Russia</v>
          </cell>
          <cell r="C290" t="str">
            <v>SALES_RUSSIA</v>
          </cell>
        </row>
        <row r="291">
          <cell r="B291" t="str">
            <v>Sales - % Turkey</v>
          </cell>
          <cell r="C291" t="str">
            <v>SALES_TURKEY</v>
          </cell>
        </row>
        <row r="292">
          <cell r="B292" t="str">
            <v>Sales - % Other CEE</v>
          </cell>
          <cell r="C292" t="str">
            <v>SALES_OTH_CEE</v>
          </cell>
        </row>
        <row r="293">
          <cell r="B293" t="str">
            <v>Sales - % Saudi Arabia</v>
          </cell>
          <cell r="C293" t="str">
            <v>SALES_SAUDI_ARABIA</v>
          </cell>
        </row>
        <row r="294">
          <cell r="B294" t="str">
            <v>Sales - % United Arab Emirates</v>
          </cell>
          <cell r="C294" t="str">
            <v>SALES_UAE</v>
          </cell>
        </row>
        <row r="295">
          <cell r="B295" t="str">
            <v>Sales - % Other Middle East</v>
          </cell>
          <cell r="C295" t="str">
            <v>SALES_OTH_ME</v>
          </cell>
        </row>
        <row r="296">
          <cell r="B296" t="str">
            <v>Sales - % Nigeria</v>
          </cell>
          <cell r="C296" t="str">
            <v>SALES_NIGERIA</v>
          </cell>
        </row>
        <row r="297">
          <cell r="B297" t="str">
            <v>Sales - % South Africa</v>
          </cell>
          <cell r="C297" t="str">
            <v>SALES_SO_AFRICA</v>
          </cell>
        </row>
        <row r="298">
          <cell r="B298" t="str">
            <v>Sales - % Other Africa</v>
          </cell>
          <cell r="C298" t="str">
            <v>SALES_OTH_AFRICA</v>
          </cell>
        </row>
        <row r="299">
          <cell r="B299" t="str">
            <v>Sales - % Hong Kong</v>
          </cell>
          <cell r="C299" t="str">
            <v>SALES_HONG_KONG</v>
          </cell>
        </row>
        <row r="300">
          <cell r="B300" t="str">
            <v>Sales - % Japan</v>
          </cell>
          <cell r="C300" t="str">
            <v>SALES_JAPAN</v>
          </cell>
        </row>
        <row r="301">
          <cell r="B301" t="str">
            <v>Sales - % Singapore</v>
          </cell>
          <cell r="C301" t="str">
            <v>SALES_SINGAPORE</v>
          </cell>
        </row>
        <row r="302">
          <cell r="B302" t="str">
            <v>Sales - % South Korea</v>
          </cell>
          <cell r="C302" t="str">
            <v>SALES_SK</v>
          </cell>
        </row>
        <row r="303">
          <cell r="B303" t="str">
            <v>Sales - % Taiwan</v>
          </cell>
          <cell r="C303" t="str">
            <v>SALES_TAIWAN</v>
          </cell>
        </row>
        <row r="304">
          <cell r="B304" t="str">
            <v>Sales - % Other Developed Asia</v>
          </cell>
          <cell r="C304" t="str">
            <v>SALES_OTH_DEV_ASIA</v>
          </cell>
        </row>
        <row r="305">
          <cell r="B305" t="str">
            <v>Sales - % China</v>
          </cell>
          <cell r="C305" t="str">
            <v>SALES_CHINA</v>
          </cell>
        </row>
        <row r="306">
          <cell r="B306" t="str">
            <v>Sales - % India</v>
          </cell>
          <cell r="C306" t="str">
            <v>SALES_INDIA</v>
          </cell>
        </row>
        <row r="307">
          <cell r="B307" t="str">
            <v>Sales - % Indonesia</v>
          </cell>
          <cell r="C307" t="str">
            <v>SALES_INDONESIA</v>
          </cell>
        </row>
        <row r="308">
          <cell r="B308" t="str">
            <v>Sales - % Thailand</v>
          </cell>
          <cell r="C308" t="str">
            <v>SALES_THAILAND</v>
          </cell>
        </row>
        <row r="309">
          <cell r="B309" t="str">
            <v>Sales - % Other Emerging Asia</v>
          </cell>
          <cell r="C309" t="str">
            <v>SALES_OTH_EMERG_ASIA</v>
          </cell>
        </row>
        <row r="310">
          <cell r="B310" t="str">
            <v>Sales - % Australia</v>
          </cell>
          <cell r="C310" t="str">
            <v>SALES_AUSTRA</v>
          </cell>
        </row>
        <row r="311">
          <cell r="B311" t="str">
            <v>Sales - % New Zealand</v>
          </cell>
          <cell r="C311" t="str">
            <v>SALES_NZ</v>
          </cell>
        </row>
        <row r="312">
          <cell r="B312" t="str">
            <v>Sales - % Others</v>
          </cell>
          <cell r="C312" t="str">
            <v>SALES_OTHER</v>
          </cell>
        </row>
        <row r="313">
          <cell r="B313" t="str">
            <v>% of CoGS from U.S. (GS estimate)</v>
          </cell>
          <cell r="C313" t="str">
            <v>COGS_PCT_US</v>
          </cell>
        </row>
        <row r="314">
          <cell r="B314" t="str">
            <v>% of CoGS from non-U.S. (GS estimate)</v>
          </cell>
          <cell r="C314" t="str">
            <v>COGS_PCT_ROW</v>
          </cell>
        </row>
        <row r="315">
          <cell r="B315" t="str">
            <v>% of SG&amp;A from U.S. (GS estimate)</v>
          </cell>
          <cell r="C315" t="str">
            <v>SGA_PCT_US</v>
          </cell>
        </row>
        <row r="316">
          <cell r="B316" t="str">
            <v>% of SG&amp;A from non-U.S. (GS estimate)</v>
          </cell>
          <cell r="C316" t="str">
            <v>SGA_PCT_ROW</v>
          </cell>
        </row>
        <row r="317">
          <cell r="B317" t="str">
            <v>Sales -% Consumer (C)</v>
          </cell>
          <cell r="C317" t="str">
            <v>SALES_CONS</v>
          </cell>
        </row>
        <row r="318">
          <cell r="B318" t="str">
            <v>Sales -% Industry (I)</v>
          </cell>
          <cell r="C318" t="str">
            <v>SALES_IND</v>
          </cell>
        </row>
        <row r="319">
          <cell r="B319" t="str">
            <v>Sales -% Government (G)</v>
          </cell>
          <cell r="C319" t="str">
            <v>SALES_GOV</v>
          </cell>
        </row>
        <row r="320">
          <cell r="B320" t="str">
            <v>Sales - % Industry Sub-Segment: Financial Services</v>
          </cell>
          <cell r="C320" t="str">
            <v>SALES_FINAN</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row>
        <row r="324">
          <cell r="B324" t="str">
            <v>Sales - % Oil derivatives/NGLs/plastics</v>
          </cell>
          <cell r="C324" t="str">
            <v>SALES_OIL_DERIV_NGLS_PLASTICS</v>
          </cell>
        </row>
        <row r="325">
          <cell r="B325" t="str">
            <v>Sales - % Nat Gas</v>
          </cell>
          <cell r="C325" t="str">
            <v>SALES_NAT_GAS</v>
          </cell>
        </row>
        <row r="326">
          <cell r="B326" t="str">
            <v>Sales - % Gold</v>
          </cell>
          <cell r="C326" t="str">
            <v>SALES_GOLD</v>
          </cell>
        </row>
        <row r="327">
          <cell r="B327" t="str">
            <v>Sales - % Copper</v>
          </cell>
          <cell r="C327" t="str">
            <v>SALES_COPPER</v>
          </cell>
        </row>
        <row r="328">
          <cell r="B328" t="str">
            <v>Sales - % Silver</v>
          </cell>
          <cell r="C328" t="str">
            <v>SALES_SILVER</v>
          </cell>
        </row>
        <row r="329">
          <cell r="B329" t="str">
            <v>Sales - % Platinum</v>
          </cell>
          <cell r="C329" t="str">
            <v>SALES_PLATINUM</v>
          </cell>
        </row>
        <row r="330">
          <cell r="B330" t="str">
            <v>Sales - % Palladium</v>
          </cell>
          <cell r="C330" t="str">
            <v>SALES_PALLADIUM</v>
          </cell>
        </row>
        <row r="331">
          <cell r="B331" t="str">
            <v>Sales - % Aluminium</v>
          </cell>
          <cell r="C331" t="str">
            <v>SALES_ALUMINIUM</v>
          </cell>
        </row>
        <row r="332">
          <cell r="B332" t="str">
            <v>Sales - % Nickel</v>
          </cell>
          <cell r="C332" t="str">
            <v>SALES_NICKEL</v>
          </cell>
        </row>
        <row r="333">
          <cell r="B333" t="str">
            <v>Sales - % Zinc</v>
          </cell>
          <cell r="C333" t="str">
            <v>SALES_ZINC</v>
          </cell>
        </row>
        <row r="334">
          <cell r="B334" t="str">
            <v>Sales - % Steel</v>
          </cell>
          <cell r="C334" t="str">
            <v>SALES_STEEL</v>
          </cell>
        </row>
        <row r="335">
          <cell r="B335" t="str">
            <v>Sales - % Tin</v>
          </cell>
          <cell r="C335" t="str">
            <v>SALES_TIN</v>
          </cell>
        </row>
        <row r="336">
          <cell r="B336" t="str">
            <v>Sales - % Iron Ore</v>
          </cell>
          <cell r="C336" t="str">
            <v>SALES_IRON_ORE</v>
          </cell>
        </row>
        <row r="337">
          <cell r="B337" t="str">
            <v>Sales - % Ferrochrome</v>
          </cell>
          <cell r="C337" t="str">
            <v>SALES_FERROCHROME</v>
          </cell>
        </row>
        <row r="338">
          <cell r="B338" t="str">
            <v>Sales - % Diamonds</v>
          </cell>
          <cell r="C338" t="str">
            <v>SALES_DIAMONDS</v>
          </cell>
        </row>
        <row r="339">
          <cell r="B339" t="str">
            <v>Sales - % Coal: thermal</v>
          </cell>
          <cell r="C339" t="str">
            <v>SALES_COAL_THERMAL</v>
          </cell>
        </row>
        <row r="340">
          <cell r="B340" t="str">
            <v>Sales - % Coal: Metallurgical</v>
          </cell>
          <cell r="C340" t="str">
            <v>SALES_COAL_MET</v>
          </cell>
        </row>
        <row r="341">
          <cell r="B341" t="str">
            <v>Sales - % Paper/pulp</v>
          </cell>
          <cell r="C341" t="str">
            <v>SALES_PAPER_PULP</v>
          </cell>
        </row>
        <row r="342">
          <cell r="B342" t="str">
            <v>Sales - % Glass</v>
          </cell>
          <cell r="C342" t="str">
            <v>SALES_GLASS</v>
          </cell>
        </row>
        <row r="343">
          <cell r="B343" t="str">
            <v>Sales - % Cement</v>
          </cell>
          <cell r="C343" t="str">
            <v>SALES_CEMENT</v>
          </cell>
        </row>
        <row r="344">
          <cell r="B344" t="str">
            <v>Sales - % Palm oil</v>
          </cell>
          <cell r="C344" t="str">
            <v>SALES_PALM_OIL</v>
          </cell>
        </row>
        <row r="345">
          <cell r="B345" t="str">
            <v>Sales - % Other commodity</v>
          </cell>
          <cell r="C345" t="str">
            <v>SALES_OTH_COMMODITY</v>
          </cell>
        </row>
        <row r="346">
          <cell r="B346" t="str">
            <v>Sales - % Other (Non-Commodity) sales sources</v>
          </cell>
          <cell r="C346" t="str">
            <v>SALES_OTH_SALES_SOURCES</v>
          </cell>
        </row>
        <row r="347">
          <cell r="A347" t="str">
            <v>Commodities Exposure - Expense</v>
          </cell>
        </row>
        <row r="348">
          <cell r="B348" t="str">
            <v>Expense - % Oil/Petrol/Fuel</v>
          </cell>
          <cell r="C348" t="str">
            <v>EXP_OIL_PETRO_FUEL</v>
          </cell>
        </row>
        <row r="349">
          <cell r="B349" t="str">
            <v>Expense - % Oil derivatives/NGLs/plastics</v>
          </cell>
          <cell r="C349" t="str">
            <v>EXP_OIL_DERIV_NGLS_PLASTICS</v>
          </cell>
        </row>
        <row r="350">
          <cell r="B350" t="str">
            <v>Expense - % Nat Gas</v>
          </cell>
          <cell r="C350" t="str">
            <v>EXP_NAT_GAS</v>
          </cell>
        </row>
        <row r="351">
          <cell r="B351" t="str">
            <v>Expense - % Gold</v>
          </cell>
          <cell r="C351" t="str">
            <v>EXP_GOLD</v>
          </cell>
        </row>
        <row r="352">
          <cell r="B352" t="str">
            <v>Expense - % Copper</v>
          </cell>
          <cell r="C352" t="str">
            <v>EXP_COPPER</v>
          </cell>
        </row>
        <row r="353">
          <cell r="B353" t="str">
            <v>Expense - % Silver</v>
          </cell>
          <cell r="C353" t="str">
            <v>EXP_SILVER</v>
          </cell>
        </row>
        <row r="354">
          <cell r="B354" t="str">
            <v>Expense - % Platinum</v>
          </cell>
          <cell r="C354" t="str">
            <v>EXP_PLATINUM</v>
          </cell>
        </row>
        <row r="355">
          <cell r="B355" t="str">
            <v>Expense - % Palladium</v>
          </cell>
          <cell r="C355" t="str">
            <v>EXP_PALLADIUM</v>
          </cell>
        </row>
        <row r="356">
          <cell r="B356" t="str">
            <v>Expense - % Aluminium</v>
          </cell>
          <cell r="C356" t="str">
            <v>EXP_ALUMINIUM</v>
          </cell>
        </row>
        <row r="357">
          <cell r="B357" t="str">
            <v>Expense - % Nickel</v>
          </cell>
          <cell r="C357" t="str">
            <v>EXP_NICKEL</v>
          </cell>
        </row>
        <row r="358">
          <cell r="B358" t="str">
            <v>Expense - % Zinc</v>
          </cell>
          <cell r="C358" t="str">
            <v>EXP_ZINC</v>
          </cell>
        </row>
        <row r="359">
          <cell r="B359" t="str">
            <v>Expense - % Steel</v>
          </cell>
          <cell r="C359" t="str">
            <v>EXP_STEEL</v>
          </cell>
        </row>
        <row r="360">
          <cell r="B360" t="str">
            <v>Expense - % Tin</v>
          </cell>
          <cell r="C360" t="str">
            <v>EXP_TIN</v>
          </cell>
        </row>
        <row r="361">
          <cell r="B361" t="str">
            <v>Expense - % Iron Ore</v>
          </cell>
          <cell r="C361" t="str">
            <v>EXP_IRON_ORE</v>
          </cell>
        </row>
        <row r="362">
          <cell r="B362" t="str">
            <v>Expense - % Ferrochrome</v>
          </cell>
          <cell r="C362" t="str">
            <v>EXP_FERROCHROME</v>
          </cell>
        </row>
        <row r="363">
          <cell r="B363" t="str">
            <v>Expense - % Diamonds</v>
          </cell>
          <cell r="C363" t="str">
            <v>EXP_DIAMONDS</v>
          </cell>
        </row>
        <row r="364">
          <cell r="B364" t="str">
            <v>Expense - % Paper/pulp</v>
          </cell>
          <cell r="C364" t="str">
            <v>EXP_PAPER_PULP</v>
          </cell>
        </row>
        <row r="365">
          <cell r="B365" t="str">
            <v>Expense - % Lumber</v>
          </cell>
          <cell r="C365" t="str">
            <v>EXP_LUMBER</v>
          </cell>
        </row>
        <row r="366">
          <cell r="B366" t="str">
            <v>Expense - % Glass</v>
          </cell>
          <cell r="C366" t="str">
            <v>EXP_GLASS</v>
          </cell>
        </row>
        <row r="367">
          <cell r="B367" t="str">
            <v>Expense - % Cement</v>
          </cell>
          <cell r="C367" t="str">
            <v>EXP_CEMENT</v>
          </cell>
        </row>
        <row r="368">
          <cell r="B368" t="str">
            <v>Expense - % Rubber</v>
          </cell>
          <cell r="C368" t="str">
            <v>EXP_RUBBER</v>
          </cell>
        </row>
        <row r="369">
          <cell r="B369" t="str">
            <v>Expense - % Water</v>
          </cell>
          <cell r="C369" t="str">
            <v>EXP_WATER</v>
          </cell>
        </row>
        <row r="370">
          <cell r="B370" t="str">
            <v>Expense - % Other commodity</v>
          </cell>
          <cell r="C370" t="str">
            <v>EXP_OTH_COMMODITY</v>
          </cell>
        </row>
        <row r="371">
          <cell r="B371" t="str">
            <v>Expense - % Other (Non-Commodity) cost</v>
          </cell>
          <cell r="C371" t="str">
            <v>EXP_OTH_COST</v>
          </cell>
        </row>
        <row r="372">
          <cell r="A372" t="str">
            <v>FX Exposure - Sales</v>
          </cell>
        </row>
        <row r="373">
          <cell r="B373" t="str">
            <v>Sales - % FX: British Pounds/Pence</v>
          </cell>
          <cell r="C373" t="str">
            <v>SALES_FX_GPB</v>
          </cell>
        </row>
        <row r="374">
          <cell r="B374" t="str">
            <v>Sales - % FX: Euro</v>
          </cell>
          <cell r="C374" t="str">
            <v>SALES_FX_EUR</v>
          </cell>
        </row>
        <row r="375">
          <cell r="B375" t="str">
            <v>Sales - % FX: New Russian Ruble</v>
          </cell>
          <cell r="C375" t="str">
            <v>SALES_FX_RUB</v>
          </cell>
        </row>
        <row r="376">
          <cell r="B376" t="str">
            <v>Sales - % FX: U.S. Dollar</v>
          </cell>
          <cell r="C376" t="str">
            <v>SALES_FX_USD</v>
          </cell>
        </row>
        <row r="377">
          <cell r="B377" t="str">
            <v>Sales - % FX: Brazilian Real</v>
          </cell>
          <cell r="C377" t="str">
            <v>SALES_FX_BRL</v>
          </cell>
        </row>
        <row r="378">
          <cell r="B378" t="str">
            <v>Sales - % FX: Japanese Yen</v>
          </cell>
          <cell r="C378" t="str">
            <v>SALES_FX_YEN</v>
          </cell>
        </row>
        <row r="379">
          <cell r="B379" t="str">
            <v>Sales - % FX: Chinese Renminbi</v>
          </cell>
          <cell r="C379" t="str">
            <v>SALES_FX_CNY</v>
          </cell>
        </row>
        <row r="380">
          <cell r="B380" t="str">
            <v>Sales - % FX: Indian Rupee</v>
          </cell>
          <cell r="C380" t="str">
            <v>SALES_FX_INR</v>
          </cell>
        </row>
        <row r="381">
          <cell r="B381" t="str">
            <v>Sales - % FX: South African Rand</v>
          </cell>
          <cell r="C381" t="str">
            <v>SALES_FX_ZAR</v>
          </cell>
        </row>
        <row r="382">
          <cell r="B382" t="str">
            <v>Sales - % FX: Nigerian Naira</v>
          </cell>
          <cell r="C382" t="str">
            <v>SALES_FX_NGN</v>
          </cell>
        </row>
        <row r="383">
          <cell r="B383" t="str">
            <v>Sales - % FX: Swiss Franc</v>
          </cell>
          <cell r="C383" t="str">
            <v>SALES_FX_CHF</v>
          </cell>
        </row>
        <row r="384">
          <cell r="B384" t="str">
            <v>Sales - % FX: UAE Dirham</v>
          </cell>
          <cell r="C384" t="str">
            <v>SALES_FX_AED</v>
          </cell>
        </row>
        <row r="385">
          <cell r="B385" t="str">
            <v>Sales - % FX: New Turkish Lira</v>
          </cell>
          <cell r="C385" t="str">
            <v>SALES_FX_TRY</v>
          </cell>
        </row>
        <row r="386">
          <cell r="B386" t="str">
            <v>Sales - % FX: Other Currency</v>
          </cell>
          <cell r="C386" t="str">
            <v>SALES_FX_OTH</v>
          </cell>
        </row>
        <row r="387">
          <cell r="A387" t="str">
            <v>Items to be removed</v>
          </cell>
        </row>
        <row r="388">
          <cell r="B388" t="str">
            <v>Sales - Total % Americas</v>
          </cell>
          <cell r="C388" t="str">
            <v>SALES_TOT_AM</v>
          </cell>
        </row>
        <row r="389">
          <cell r="B389" t="str">
            <v>Sales - % Other Americas</v>
          </cell>
          <cell r="C389" t="str">
            <v>SALES_OTH_AM</v>
          </cell>
        </row>
        <row r="390">
          <cell r="B390" t="str">
            <v>Sales - Total % EMEA</v>
          </cell>
          <cell r="C390" t="str">
            <v>SALES_TOT_EMEA</v>
          </cell>
        </row>
        <row r="391">
          <cell r="B391" t="str">
            <v>Sales - % Western Europe-Ex UK</v>
          </cell>
          <cell r="C391" t="str">
            <v>SALES_EU_EX_UK</v>
          </cell>
        </row>
        <row r="392">
          <cell r="B392" t="str">
            <v>Sales - % Other Western Europe-Ex UK</v>
          </cell>
          <cell r="C392" t="str">
            <v>SALES_OTH_EU_EX_UK</v>
          </cell>
        </row>
        <row r="393">
          <cell r="B393" t="str">
            <v>Sales - % Central &amp; Eastern Europe</v>
          </cell>
          <cell r="C393" t="str">
            <v>SALES_CEE</v>
          </cell>
        </row>
        <row r="394">
          <cell r="B394" t="str">
            <v>Sales - % Middle East</v>
          </cell>
          <cell r="C394" t="str">
            <v>SALES_ME</v>
          </cell>
        </row>
        <row r="395">
          <cell r="B395" t="str">
            <v>Sales - % Total Africa</v>
          </cell>
          <cell r="C395" t="str">
            <v>SALES_TOT_AFRICA</v>
          </cell>
        </row>
        <row r="396">
          <cell r="B396" t="str">
            <v>Sales - % Other EMEA</v>
          </cell>
          <cell r="C396" t="str">
            <v>SALES_OTH_EMEA</v>
          </cell>
        </row>
        <row r="397">
          <cell r="B397" t="str">
            <v>Sales - Total % Asia (incl Australia &amp; New Zealand)</v>
          </cell>
          <cell r="C397" t="str">
            <v>SALES_TOT_ASIA</v>
          </cell>
        </row>
        <row r="398">
          <cell r="B398" t="str">
            <v>Sales - % Other Asia</v>
          </cell>
          <cell r="C398" t="str">
            <v>SALES_OTH_AEJ</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D430" t="e">
            <v>#NAME?</v>
          </cell>
        </row>
        <row r="431">
          <cell r="B431" t="str">
            <v>Division 1 EBIT</v>
          </cell>
          <cell r="C431" t="str">
            <v>DIV1_EBIT</v>
          </cell>
          <cell r="D431" t="e">
            <v>#NAME?</v>
          </cell>
        </row>
        <row r="432">
          <cell r="B432" t="str">
            <v>Division 1 Name</v>
          </cell>
          <cell r="C432" t="str">
            <v>DIV1_NAME</v>
          </cell>
        </row>
        <row r="433">
          <cell r="B433" t="str">
            <v>Division 1 OGS</v>
          </cell>
          <cell r="C433" t="str">
            <v>DIV1_OGS</v>
          </cell>
        </row>
        <row r="434">
          <cell r="B434" t="str">
            <v>Division 1 Order Backlog</v>
          </cell>
          <cell r="C434" t="str">
            <v>DIV1_ORDERBACKLOG</v>
          </cell>
        </row>
        <row r="435">
          <cell r="B435" t="str">
            <v>Division 1 Order Intake</v>
          </cell>
          <cell r="C435" t="str">
            <v>DIV1_ORDERINTAKE</v>
          </cell>
        </row>
        <row r="436">
          <cell r="B436" t="str">
            <v>Division 1 Sales</v>
          </cell>
          <cell r="C436" t="str">
            <v>DIV1_REVS</v>
          </cell>
          <cell r="D436" t="e">
            <v>#NAME?</v>
          </cell>
        </row>
        <row r="437">
          <cell r="B437" t="str">
            <v>Division 2 EBIT</v>
          </cell>
          <cell r="C437" t="str">
            <v>DIV2_EBIT</v>
          </cell>
          <cell r="D437" t="e">
            <v>#NAME?</v>
          </cell>
        </row>
        <row r="438">
          <cell r="B438" t="str">
            <v>Division 2 Name</v>
          </cell>
          <cell r="C438" t="str">
            <v>DIV2_NAME</v>
          </cell>
        </row>
        <row r="439">
          <cell r="B439" t="str">
            <v>Division 2 OGS</v>
          </cell>
          <cell r="C439" t="str">
            <v>DIV2_OGS</v>
          </cell>
        </row>
        <row r="440">
          <cell r="B440" t="str">
            <v>Division 2 Order Backlog</v>
          </cell>
          <cell r="C440" t="str">
            <v>DIV2_ORDERBACKLOG</v>
          </cell>
        </row>
        <row r="441">
          <cell r="B441" t="str">
            <v>Division 2 Order Intake</v>
          </cell>
          <cell r="C441" t="str">
            <v>DIV2_ORDERINTAKE</v>
          </cell>
        </row>
        <row r="442">
          <cell r="B442" t="str">
            <v>Division 2 Sales</v>
          </cell>
          <cell r="C442" t="str">
            <v>DIV2_REVS</v>
          </cell>
          <cell r="D442" t="e">
            <v>#NAME?</v>
          </cell>
        </row>
        <row r="443">
          <cell r="B443" t="str">
            <v>Division 3 EBIT</v>
          </cell>
          <cell r="C443" t="str">
            <v>DIV3_EBIT</v>
          </cell>
          <cell r="D443" t="e">
            <v>#NAME?</v>
          </cell>
        </row>
        <row r="444">
          <cell r="B444" t="str">
            <v>Division 3 Name</v>
          </cell>
          <cell r="C444" t="str">
            <v>DIV3_NAME</v>
          </cell>
        </row>
        <row r="445">
          <cell r="B445" t="str">
            <v>Division 3 OGS</v>
          </cell>
          <cell r="C445" t="str">
            <v>DIV3_OGS</v>
          </cell>
        </row>
        <row r="446">
          <cell r="B446" t="str">
            <v>Division 3 Order Backlog</v>
          </cell>
          <cell r="C446" t="str">
            <v>DIV3_ORDERBACKLOG</v>
          </cell>
        </row>
        <row r="447">
          <cell r="B447" t="str">
            <v>Division 3 Order Intake</v>
          </cell>
          <cell r="C447" t="str">
            <v>DIV3_ORDERINTAKE</v>
          </cell>
        </row>
        <row r="448">
          <cell r="B448" t="str">
            <v>Division 3 Sales</v>
          </cell>
          <cell r="C448" t="str">
            <v>DIV3_REVS</v>
          </cell>
          <cell r="D448" t="e">
            <v>#NAME?</v>
          </cell>
        </row>
        <row r="449">
          <cell r="B449" t="str">
            <v>Division 4 EBIT</v>
          </cell>
          <cell r="C449" t="str">
            <v>DIV4_EBIT</v>
          </cell>
          <cell r="D449" t="e">
            <v>#NAME?</v>
          </cell>
        </row>
        <row r="450">
          <cell r="B450" t="str">
            <v>Division 4 Name</v>
          </cell>
          <cell r="C450" t="str">
            <v>DIV4_NAME</v>
          </cell>
        </row>
        <row r="451">
          <cell r="B451" t="str">
            <v>Division 4 OGS</v>
          </cell>
          <cell r="C451" t="str">
            <v>DIV4_OGS</v>
          </cell>
        </row>
        <row r="452">
          <cell r="B452" t="str">
            <v>Division 4 Order Backlog</v>
          </cell>
          <cell r="C452" t="str">
            <v>DIV4_ORDERBACKLOG</v>
          </cell>
        </row>
        <row r="453">
          <cell r="B453" t="str">
            <v>Division 4 Order Intake</v>
          </cell>
          <cell r="C453" t="str">
            <v>DIV4_ORDERINTAKE</v>
          </cell>
        </row>
        <row r="454">
          <cell r="B454" t="str">
            <v>Division 4 Sales</v>
          </cell>
          <cell r="C454" t="str">
            <v>DIV4_REVS</v>
          </cell>
          <cell r="D454" t="e">
            <v>#NAME?</v>
          </cell>
        </row>
        <row r="455">
          <cell r="B455" t="str">
            <v>Division 5 EBIT</v>
          </cell>
          <cell r="C455" t="str">
            <v>DIV5_EBIT</v>
          </cell>
          <cell r="D455" t="e">
            <v>#NAME?</v>
          </cell>
        </row>
        <row r="456">
          <cell r="B456" t="str">
            <v>Division 5 Name</v>
          </cell>
          <cell r="C456" t="str">
            <v>DIV5_NAME</v>
          </cell>
        </row>
        <row r="457">
          <cell r="B457" t="str">
            <v>Division 5 OGS</v>
          </cell>
          <cell r="C457" t="str">
            <v>DIV5_OGS</v>
          </cell>
        </row>
        <row r="458">
          <cell r="B458" t="str">
            <v>Division 5 Order Backlog</v>
          </cell>
          <cell r="C458" t="str">
            <v>DIV5_ORDERBACKLOG</v>
          </cell>
        </row>
        <row r="459">
          <cell r="B459" t="str">
            <v>Division 5 Order Intake</v>
          </cell>
          <cell r="C459" t="str">
            <v>DIV5_ORDERINTAKE</v>
          </cell>
        </row>
        <row r="460">
          <cell r="B460" t="str">
            <v>Division 5 Sales</v>
          </cell>
          <cell r="C460" t="str">
            <v>DIV5_REVS</v>
          </cell>
          <cell r="D460" t="e">
            <v>#NAME?</v>
          </cell>
        </row>
        <row r="461">
          <cell r="B461" t="str">
            <v>Division 6 EBIT</v>
          </cell>
          <cell r="C461" t="str">
            <v>DIV6_EBIT</v>
          </cell>
          <cell r="D461" t="e">
            <v>#NAME?</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row>
        <row r="466">
          <cell r="B466" t="str">
            <v>Division 6 Sales</v>
          </cell>
          <cell r="C466" t="str">
            <v>DIV6_REVS</v>
          </cell>
          <cell r="D466" t="e">
            <v>#NAME?</v>
          </cell>
        </row>
        <row r="467">
          <cell r="B467" t="str">
            <v>Group order backlog</v>
          </cell>
          <cell r="C467" t="str">
            <v>GROUP_ORDERBACKLOG</v>
          </cell>
        </row>
        <row r="468">
          <cell r="B468" t="str">
            <v>Group order intake</v>
          </cell>
          <cell r="C468" t="str">
            <v>GROUP_ORDERINTAKE</v>
          </cell>
        </row>
        <row r="469">
          <cell r="B469" t="str">
            <v>Group organic sales growth</v>
          </cell>
          <cell r="C469" t="str">
            <v>GROUP_OGS</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row>
        <row r="473">
          <cell r="B473" t="str">
            <v>Customer advances</v>
          </cell>
          <cell r="C473" t="str">
            <v>CUST_ADVANCES</v>
          </cell>
          <cell r="D473" t="e">
            <v>#NAME?</v>
          </cell>
        </row>
        <row r="474">
          <cell r="B474" t="str">
            <v>EBIT bridge - Pricing</v>
          </cell>
          <cell r="C474" t="str">
            <v>EBIT_BRIDGE_PRICE</v>
          </cell>
          <cell r="D474" t="e">
            <v>#NAME?</v>
          </cell>
        </row>
        <row r="475">
          <cell r="B475" t="str">
            <v>EBIT bridge - Volume</v>
          </cell>
          <cell r="C475" t="str">
            <v>EBIT_BRIDGE_VOL</v>
          </cell>
          <cell r="D475" t="e">
            <v>#NAME?</v>
          </cell>
        </row>
        <row r="476">
          <cell r="B476" t="str">
            <v>EBIT bridge - Depreciation</v>
          </cell>
          <cell r="C476" t="str">
            <v>EBIT_BRIDGE_DEPREC</v>
          </cell>
          <cell r="D476" t="e">
            <v>#NAME?</v>
          </cell>
        </row>
        <row r="477">
          <cell r="B477" t="str">
            <v>EBIT bridge - Mix</v>
          </cell>
          <cell r="C477" t="str">
            <v>EBIT_BRIDGE_MIX</v>
          </cell>
          <cell r="D477" t="e">
            <v>#NAME?</v>
          </cell>
        </row>
        <row r="478">
          <cell r="B478" t="str">
            <v>EBIT bridge - Raw materials</v>
          </cell>
          <cell r="C478" t="str">
            <v>EBIT_BRIDGE_RAW_MAT</v>
          </cell>
          <cell r="D478" t="e">
            <v>#NAME?</v>
          </cell>
        </row>
        <row r="479">
          <cell r="B479" t="str">
            <v>EBIT bridge - Restructuring</v>
          </cell>
          <cell r="C479" t="str">
            <v>EBIT_BRIDGE_REST</v>
          </cell>
          <cell r="D479" t="e">
            <v>#NAME?</v>
          </cell>
        </row>
        <row r="480">
          <cell r="B480" t="str">
            <v>EBIT bridge - FX</v>
          </cell>
          <cell r="C480" t="str">
            <v>EBIT_BRIDGE_FX</v>
          </cell>
          <cell r="D480" t="e">
            <v>#NAME?</v>
          </cell>
        </row>
        <row r="481">
          <cell r="B481" t="str">
            <v>EBIT bridge - M&amp;A</v>
          </cell>
          <cell r="C481" t="str">
            <v>EBIT_BRIDGE_MA</v>
          </cell>
          <cell r="D481" t="e">
            <v>#NAME?</v>
          </cell>
        </row>
        <row r="482">
          <cell r="B482" t="str">
            <v>EBIT bridge - Other</v>
          </cell>
          <cell r="C482" t="str">
            <v>EBIT_BRIDGE_OTH</v>
          </cell>
          <cell r="D482" t="e">
            <v>#NAME?</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Sandvik</v>
          </cell>
        </row>
        <row r="502">
          <cell r="A502" t="str">
            <v>Reference Data</v>
          </cell>
        </row>
        <row r="503">
          <cell r="B503" t="str">
            <v>Ticker</v>
          </cell>
          <cell r="C503" t="str">
            <v>Ticker</v>
          </cell>
          <cell r="E503" t="str">
            <v>SAND.ST</v>
          </cell>
        </row>
        <row r="504">
          <cell r="B504" t="str">
            <v>Security Name</v>
          </cell>
          <cell r="C504" t="str">
            <v>Security Name</v>
          </cell>
          <cell r="E504" t="str">
            <v>Sandvik</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row>
        <row r="511">
          <cell r="B511" t="str">
            <v>Pan Europe Conviction List</v>
          </cell>
          <cell r="C511" t="str">
            <v>EURO_CONVICTION</v>
          </cell>
        </row>
        <row r="512">
          <cell r="B512" t="str">
            <v>Legal rating</v>
          </cell>
          <cell r="C512" t="str">
            <v>LEGAL_RATING</v>
          </cell>
        </row>
        <row r="513">
          <cell r="B513" t="str">
            <v>Target price</v>
          </cell>
          <cell r="C513" t="str">
            <v>TARGET_PRICE</v>
          </cell>
          <cell r="D513" t="e">
            <v>#NAME?</v>
          </cell>
        </row>
        <row r="514">
          <cell r="B514" t="str">
            <v>Target price period</v>
          </cell>
          <cell r="C514" t="str">
            <v>TP_PERIOD</v>
          </cell>
        </row>
        <row r="515">
          <cell r="B515" t="str">
            <v>Fundamental value</v>
          </cell>
          <cell r="C515" t="str">
            <v>TARGET_PRICE_FUNDAMENTAL</v>
          </cell>
          <cell r="D515" t="e">
            <v>#NAME?</v>
          </cell>
        </row>
        <row r="516">
          <cell r="B516" t="str">
            <v>M&amp;A value</v>
          </cell>
          <cell r="C516" t="str">
            <v>TARGET_PRICE_MA</v>
          </cell>
          <cell r="D516" t="e">
            <v>#NAME?</v>
          </cell>
        </row>
        <row r="517">
          <cell r="B517" t="str">
            <v>Current shares outstanding (mn)</v>
          </cell>
          <cell r="C517" t="str">
            <v>NUM_SH</v>
          </cell>
        </row>
        <row r="518">
          <cell r="B518" t="str">
            <v>Free float</v>
          </cell>
          <cell r="C518" t="str">
            <v>FREE_FLOAT</v>
          </cell>
        </row>
        <row r="519">
          <cell r="C519" t="str">
            <v>ACT1</v>
          </cell>
        </row>
        <row r="520">
          <cell r="C520" t="str">
            <v>ACT2</v>
          </cell>
        </row>
        <row r="521">
          <cell r="C521" t="str">
            <v>ACT3</v>
          </cell>
        </row>
        <row r="522">
          <cell r="C522" t="str">
            <v>ACT4</v>
          </cell>
        </row>
        <row r="523">
          <cell r="C523" t="str">
            <v>ACT5</v>
          </cell>
        </row>
        <row r="524">
          <cell r="C524" t="str">
            <v>ACT6</v>
          </cell>
        </row>
        <row r="525">
          <cell r="C525" t="str">
            <v>ACT7</v>
          </cell>
        </row>
        <row r="526">
          <cell r="A526" t="str">
            <v>Publishing Items</v>
          </cell>
        </row>
        <row r="527">
          <cell r="B527" t="str">
            <v>Book value per share, BVPS (Pub)</v>
          </cell>
          <cell r="C527" t="str">
            <v>BVPS_PUB</v>
          </cell>
          <cell r="D527" t="e">
            <v>#NAME?</v>
          </cell>
        </row>
        <row r="528">
          <cell r="B528" t="str">
            <v>DPS, dividend per share (Pub)</v>
          </cell>
          <cell r="C528" t="str">
            <v>DPS_PUB</v>
          </cell>
          <cell r="D528" t="e">
            <v>#NAME?</v>
          </cell>
        </row>
        <row r="529">
          <cell r="B529" t="str">
            <v>Special dividend per share</v>
          </cell>
          <cell r="C529" t="str">
            <v>DPS_SPECIAL_PUB</v>
          </cell>
          <cell r="D529" t="e">
            <v>#NAME?</v>
          </cell>
        </row>
        <row r="530">
          <cell r="B530" t="str">
            <v>EBITDA (Pub)</v>
          </cell>
          <cell r="C530" t="str">
            <v>EBITDA_PUB</v>
          </cell>
          <cell r="D530" t="e">
            <v>#NAME?</v>
          </cell>
        </row>
        <row r="531">
          <cell r="B531" t="str">
            <v>EPS (Pub)</v>
          </cell>
          <cell r="C531" t="str">
            <v>EPS_PUB</v>
          </cell>
          <cell r="D531" t="e">
            <v>#NAME?</v>
          </cell>
        </row>
        <row r="532">
          <cell r="B532" t="str">
            <v>Consensus earnings equivalent estimate</v>
          </cell>
          <cell r="C532" t="str">
            <v>CEEE_EPS</v>
          </cell>
          <cell r="D532" t="e">
            <v>#NAME?</v>
          </cell>
        </row>
        <row r="533">
          <cell r="B533" t="str">
            <v>EV adjustment (Pub)</v>
          </cell>
          <cell r="C533" t="str">
            <v>EV_ADJ_PUB</v>
          </cell>
          <cell r="D533" t="e">
            <v>#NAME?</v>
          </cell>
        </row>
        <row r="534">
          <cell r="B534" t="str">
            <v>Net debt (Pub)</v>
          </cell>
          <cell r="C534" t="str">
            <v>NET_DEBT_PUB</v>
          </cell>
          <cell r="D534" t="e">
            <v>#NAME?</v>
          </cell>
        </row>
        <row r="535">
          <cell r="B535" t="str">
            <v>Net Debt (ex leases) (Pub)</v>
          </cell>
          <cell r="C535" t="str">
            <v>NET_DEBT_EX_LEASES_PUB</v>
          </cell>
          <cell r="D535" t="e">
            <v>#NAME?</v>
          </cell>
        </row>
        <row r="536">
          <cell r="B536" t="str">
            <v>Consensus equivalent net debt</v>
          </cell>
          <cell r="C536" t="str">
            <v>CEEE_NDEBT</v>
          </cell>
          <cell r="D536" t="e">
            <v>#NAME?</v>
          </cell>
        </row>
        <row r="537">
          <cell r="B537" t="str">
            <v>Net income (Pub)</v>
          </cell>
          <cell r="C537" t="str">
            <v>NI_PUB</v>
          </cell>
          <cell r="D537" t="e">
            <v>#NAME?</v>
          </cell>
        </row>
        <row r="538">
          <cell r="B538" t="str">
            <v>EBIT, operating profit (Pub)</v>
          </cell>
          <cell r="C538" t="str">
            <v>EBIT_PUB</v>
          </cell>
          <cell r="D538" t="e">
            <v>#NAME?</v>
          </cell>
        </row>
        <row r="539">
          <cell r="B539" t="str">
            <v>Pre-tax profit (Pub)</v>
          </cell>
          <cell r="C539" t="str">
            <v>PTP_PUB</v>
          </cell>
          <cell r="D539" t="e">
            <v>#NAME?</v>
          </cell>
        </row>
        <row r="540">
          <cell r="B540" t="str">
            <v>Sales, revenue (Pub)</v>
          </cell>
          <cell r="C540" t="str">
            <v>REVS_PUB</v>
          </cell>
          <cell r="D540" t="e">
            <v>#NAME?</v>
          </cell>
        </row>
        <row r="541">
          <cell r="B541" t="str">
            <v>Total shareholders' equity (Pub)</v>
          </cell>
          <cell r="C541" t="str">
            <v>EQ_PUB</v>
          </cell>
          <cell r="D541" t="e">
            <v>#NAME?</v>
          </cell>
        </row>
        <row r="542">
          <cell r="A542" t="str">
            <v>Income Statement</v>
          </cell>
        </row>
        <row r="543">
          <cell r="B543" t="str">
            <v>Provision for income tax</v>
          </cell>
          <cell r="C543" t="str">
            <v>PROV_INC_TAX</v>
          </cell>
          <cell r="D543" t="e">
            <v>#NAME?</v>
          </cell>
        </row>
        <row r="544">
          <cell r="B544" t="str">
            <v>Minority interest</v>
          </cell>
          <cell r="C544" t="str">
            <v>INC_MINORITY</v>
          </cell>
          <cell r="D544" t="e">
            <v>#NAME?</v>
          </cell>
        </row>
        <row r="545">
          <cell r="B545" t="str">
            <v>Net income (pre-preferred dividends)</v>
          </cell>
          <cell r="C545" t="str">
            <v>NI_PRE_PREF</v>
          </cell>
          <cell r="D545" t="e">
            <v>#NAME?</v>
          </cell>
        </row>
        <row r="546">
          <cell r="B546" t="str">
            <v>Preferred dividends</v>
          </cell>
          <cell r="C546" t="str">
            <v>PREF_DIV</v>
          </cell>
          <cell r="D546" t="e">
            <v>#NAME?</v>
          </cell>
        </row>
        <row r="547">
          <cell r="B547" t="str">
            <v>Net income (pre-exceptionals)</v>
          </cell>
          <cell r="C547" t="str">
            <v>NET_EARNING</v>
          </cell>
          <cell r="D547" t="e">
            <v>#NAME?</v>
          </cell>
        </row>
        <row r="548">
          <cell r="B548" t="str">
            <v>Post-tax exceptionals</v>
          </cell>
          <cell r="C548" t="str">
            <v>TAX_EXC</v>
          </cell>
          <cell r="D548" t="e">
            <v>#NAME?</v>
          </cell>
        </row>
        <row r="549">
          <cell r="B549" t="str">
            <v>Net income (post-exceptionals)</v>
          </cell>
          <cell r="C549" t="str">
            <v>NET_INC</v>
          </cell>
          <cell r="D549" t="e">
            <v>#NAME?</v>
          </cell>
        </row>
        <row r="550">
          <cell r="B550" t="str">
            <v>EPS (pre-exceptionals, basic)</v>
          </cell>
          <cell r="C550" t="str">
            <v>EPS</v>
          </cell>
          <cell r="D550" t="e">
            <v>#NAME?</v>
          </cell>
        </row>
        <row r="551">
          <cell r="B551" t="str">
            <v>EPS (pre-exceptionals, diluted)</v>
          </cell>
          <cell r="C551" t="str">
            <v>EPS_FUL_DIL</v>
          </cell>
          <cell r="D551" t="e">
            <v>#NAME?</v>
          </cell>
        </row>
        <row r="552">
          <cell r="B552" t="str">
            <v>EPS (post-exceptionals, basic)</v>
          </cell>
          <cell r="C552" t="str">
            <v>EPS_POST_BASIC</v>
          </cell>
          <cell r="D552" t="e">
            <v>#NAME?</v>
          </cell>
        </row>
        <row r="553">
          <cell r="B553" t="str">
            <v>EPS (post-exceptionals, diluted)</v>
          </cell>
          <cell r="C553" t="str">
            <v>FULLY_DIL_EPS</v>
          </cell>
          <cell r="D553" t="e">
            <v>#NAME?</v>
          </cell>
        </row>
        <row r="554">
          <cell r="B554" t="str">
            <v>Common dividends paid</v>
          </cell>
          <cell r="C554" t="str">
            <v>COMMON_DIV_PAID</v>
          </cell>
          <cell r="D554" t="e">
            <v>#NAME?</v>
          </cell>
        </row>
        <row r="555">
          <cell r="B555" t="str">
            <v>DPS, dividend per share</v>
          </cell>
          <cell r="C555" t="str">
            <v>DPS</v>
          </cell>
          <cell r="D555" t="e">
            <v>#NAME?</v>
          </cell>
        </row>
        <row r="556">
          <cell r="B556" t="str">
            <v>Weighted average shares outstanding, basic</v>
          </cell>
          <cell r="C556" t="str">
            <v>SH</v>
          </cell>
        </row>
        <row r="557">
          <cell r="B557" t="str">
            <v>Diluted average shares outstanding (mn)</v>
          </cell>
          <cell r="C557" t="str">
            <v>DILUTE_SHARES</v>
          </cell>
        </row>
        <row r="558">
          <cell r="B558" t="str">
            <v>Period-end shares outstanding</v>
          </cell>
          <cell r="C558" t="str">
            <v>NON_OP_ADD</v>
          </cell>
        </row>
        <row r="559">
          <cell r="A559" t="str">
            <v>Additional Income Statement Items</v>
          </cell>
        </row>
        <row r="560">
          <cell r="B560" t="str">
            <v>Organic net income (excl. acquisitions)</v>
          </cell>
          <cell r="C560" t="str">
            <v>ORG_NI</v>
          </cell>
          <cell r="D560" t="e">
            <v>#NAME?</v>
          </cell>
        </row>
        <row r="561">
          <cell r="B561" t="str">
            <v>Organic EPS (excl. acquisitions)</v>
          </cell>
          <cell r="C561" t="str">
            <v>ORG_EPS</v>
          </cell>
          <cell r="D561" t="e">
            <v>#NAME?</v>
          </cell>
        </row>
        <row r="562">
          <cell r="B562" t="str">
            <v>Marginal tax rate</v>
          </cell>
          <cell r="C562" t="str">
            <v>MARGIN_TAX_RATE</v>
          </cell>
        </row>
        <row r="563">
          <cell r="A563" t="str">
            <v>Balance Sheet</v>
          </cell>
        </row>
        <row r="564">
          <cell r="B564" t="str">
            <v>BVPS, book value per share</v>
          </cell>
          <cell r="C564" t="str">
            <v>BVPS</v>
          </cell>
          <cell r="D564" t="e">
            <v>#NAME?</v>
          </cell>
        </row>
        <row r="565">
          <cell r="A565" t="str">
            <v>Cash Flow Statement</v>
          </cell>
        </row>
        <row r="566">
          <cell r="B566" t="str">
            <v>Net income (pre-preferred dividends)</v>
          </cell>
          <cell r="C566" t="str">
            <v>CF_NI_PRE_PREF</v>
          </cell>
          <cell r="D566" t="e">
            <v>#NAME?</v>
          </cell>
        </row>
        <row r="567">
          <cell r="A567" t="str">
            <v>Other Items</v>
          </cell>
        </row>
        <row r="568">
          <cell r="B568" t="str">
            <v>Beta</v>
          </cell>
          <cell r="C568" t="str">
            <v>BETA_ANALYST</v>
          </cell>
        </row>
        <row r="569">
          <cell r="B569" t="str">
            <v>Market equity risk premium</v>
          </cell>
          <cell r="C569" t="str">
            <v>MKT_EQ_RISK_PREM</v>
          </cell>
        </row>
        <row r="570">
          <cell r="B570" t="str">
            <v>Risk-free rate</v>
          </cell>
          <cell r="C570" t="str">
            <v>RISK_FR_RATE</v>
          </cell>
        </row>
      </sheetData>
      <sheetData sheetId="4"/>
      <sheetData sheetId="5"/>
      <sheetData sheetId="6">
        <row r="1">
          <cell r="A1" t="str">
            <v>Issuer: Sandvik</v>
          </cell>
          <cell r="F1">
            <v>1990</v>
          </cell>
          <cell r="G1">
            <v>1991</v>
          </cell>
          <cell r="H1">
            <v>1992</v>
          </cell>
          <cell r="I1">
            <v>1993</v>
          </cell>
          <cell r="J1">
            <v>1994</v>
          </cell>
          <cell r="K1">
            <v>1995</v>
          </cell>
          <cell r="L1">
            <v>1996</v>
          </cell>
          <cell r="M1">
            <v>1997</v>
          </cell>
          <cell r="N1">
            <v>1998</v>
          </cell>
          <cell r="O1">
            <v>1999</v>
          </cell>
          <cell r="P1">
            <v>2000</v>
          </cell>
          <cell r="Q1">
            <v>2001</v>
          </cell>
          <cell r="R1">
            <v>2002</v>
          </cell>
          <cell r="S1">
            <v>2003</v>
          </cell>
          <cell r="T1">
            <v>2004</v>
          </cell>
          <cell r="U1">
            <v>2005</v>
          </cell>
          <cell r="V1">
            <v>2006</v>
          </cell>
          <cell r="W1">
            <v>2007</v>
          </cell>
          <cell r="X1">
            <v>2008</v>
          </cell>
          <cell r="Y1">
            <v>2009</v>
          </cell>
          <cell r="Z1">
            <v>2010</v>
          </cell>
          <cell r="AA1">
            <v>2011</v>
          </cell>
          <cell r="AB1">
            <v>2012</v>
          </cell>
          <cell r="AC1">
            <v>2013</v>
          </cell>
          <cell r="AD1">
            <v>2014</v>
          </cell>
          <cell r="AE1">
            <v>2015</v>
          </cell>
          <cell r="AF1">
            <v>2016</v>
          </cell>
          <cell r="AG1">
            <v>2017</v>
          </cell>
          <cell r="AH1">
            <v>2018</v>
          </cell>
          <cell r="AI1">
            <v>2019</v>
          </cell>
          <cell r="AJ1">
            <v>2020</v>
          </cell>
          <cell r="AK1">
            <v>2021</v>
          </cell>
          <cell r="AL1">
            <v>2022</v>
          </cell>
          <cell r="AM1">
            <v>2023</v>
          </cell>
          <cell r="AN1">
            <v>2024</v>
          </cell>
          <cell r="AO1">
            <v>2025</v>
          </cell>
          <cell r="AP1" t="str">
            <v>2026</v>
          </cell>
          <cell r="AR1" t="str">
            <v>2004 Q1</v>
          </cell>
          <cell r="AS1" t="str">
            <v>2004 Q2</v>
          </cell>
          <cell r="AT1" t="str">
            <v>2004 Q3</v>
          </cell>
          <cell r="AU1" t="str">
            <v>2004 Q4</v>
          </cell>
          <cell r="AV1" t="str">
            <v>2005 Q1</v>
          </cell>
          <cell r="AW1" t="str">
            <v>2005 Q2</v>
          </cell>
          <cell r="AX1" t="str">
            <v>2005 Q3</v>
          </cell>
          <cell r="AY1" t="str">
            <v>2005 Q4</v>
          </cell>
          <cell r="AZ1" t="str">
            <v>2006 Q1</v>
          </cell>
          <cell r="BA1" t="str">
            <v>2006 Q2</v>
          </cell>
          <cell r="BB1" t="str">
            <v>2006 Q3</v>
          </cell>
          <cell r="BC1" t="str">
            <v>2006 Q4</v>
          </cell>
          <cell r="BD1" t="str">
            <v>2007 Q1</v>
          </cell>
          <cell r="BE1" t="str">
            <v>2007 Q2</v>
          </cell>
          <cell r="BF1" t="str">
            <v>2007 Q3</v>
          </cell>
          <cell r="BG1" t="str">
            <v>2007 Q4</v>
          </cell>
          <cell r="BH1" t="str">
            <v>2008 Q1</v>
          </cell>
          <cell r="BI1" t="str">
            <v>2008 Q2</v>
          </cell>
          <cell r="BJ1" t="str">
            <v>2008 Q3</v>
          </cell>
          <cell r="BK1" t="str">
            <v>2008 Q4</v>
          </cell>
          <cell r="BL1" t="str">
            <v>2009 Q1</v>
          </cell>
          <cell r="BM1" t="str">
            <v>2009 Q2</v>
          </cell>
          <cell r="BN1" t="str">
            <v>2009 Q3</v>
          </cell>
          <cell r="BO1" t="str">
            <v>2009 Q4</v>
          </cell>
          <cell r="BP1" t="str">
            <v>2010 Q1</v>
          </cell>
          <cell r="BQ1" t="str">
            <v>2010 Q2</v>
          </cell>
          <cell r="BR1" t="str">
            <v>2010 Q3</v>
          </cell>
          <cell r="BS1" t="str">
            <v>2010 Q4</v>
          </cell>
          <cell r="BT1" t="str">
            <v>2011 Q1</v>
          </cell>
          <cell r="BU1" t="str">
            <v>2011 Q2</v>
          </cell>
          <cell r="BV1" t="str">
            <v>2011 Q3</v>
          </cell>
          <cell r="BW1" t="str">
            <v>2011 Q4</v>
          </cell>
          <cell r="BX1" t="str">
            <v>2012 Q1</v>
          </cell>
          <cell r="BY1" t="str">
            <v>2012 Q2</v>
          </cell>
          <cell r="BZ1" t="str">
            <v>2012 Q3</v>
          </cell>
          <cell r="CA1" t="str">
            <v>2012 Q4</v>
          </cell>
          <cell r="CB1" t="str">
            <v>2013 Q1</v>
          </cell>
          <cell r="CC1" t="str">
            <v>2013 Q2</v>
          </cell>
          <cell r="CD1" t="str">
            <v>2013 Q3</v>
          </cell>
          <cell r="CE1" t="str">
            <v>2013 Q4</v>
          </cell>
          <cell r="CF1" t="str">
            <v>2014 Q1</v>
          </cell>
          <cell r="CG1" t="str">
            <v>2014 Q2</v>
          </cell>
          <cell r="CH1" t="str">
            <v>2014 Q3</v>
          </cell>
          <cell r="CI1" t="str">
            <v>2014 Q4</v>
          </cell>
          <cell r="CJ1" t="str">
            <v>2015 Q1</v>
          </cell>
          <cell r="CK1" t="str">
            <v>2015 Q2</v>
          </cell>
          <cell r="CL1" t="str">
            <v>2015 Q3</v>
          </cell>
          <cell r="CM1" t="str">
            <v>2015 Q4</v>
          </cell>
          <cell r="CN1" t="str">
            <v>2016 Q1</v>
          </cell>
          <cell r="CO1" t="str">
            <v>2016 Q2</v>
          </cell>
          <cell r="CP1" t="str">
            <v>2016 Q3</v>
          </cell>
          <cell r="CQ1" t="str">
            <v>2016 Q4</v>
          </cell>
          <cell r="CR1" t="str">
            <v>2017 Q1</v>
          </cell>
          <cell r="CS1" t="str">
            <v>2017 Q2</v>
          </cell>
          <cell r="CT1" t="str">
            <v>2017 Q3</v>
          </cell>
          <cell r="CU1" t="str">
            <v>2017 Q4</v>
          </cell>
          <cell r="CV1" t="str">
            <v>2018 Q1</v>
          </cell>
          <cell r="CW1" t="str">
            <v>2018 Q2</v>
          </cell>
          <cell r="CX1" t="str">
            <v>2018 Q3</v>
          </cell>
          <cell r="CY1" t="str">
            <v>2018 Q4</v>
          </cell>
          <cell r="CZ1" t="str">
            <v>2019 Q1</v>
          </cell>
          <cell r="DA1" t="str">
            <v>2019 Q2</v>
          </cell>
          <cell r="DB1" t="str">
            <v>2019 Q3</v>
          </cell>
          <cell r="DC1" t="str">
            <v>2019 Q4</v>
          </cell>
          <cell r="DD1" t="str">
            <v>2020 Q1</v>
          </cell>
          <cell r="DE1" t="str">
            <v>2020 Q2</v>
          </cell>
          <cell r="DF1" t="str">
            <v>2020 Q3</v>
          </cell>
          <cell r="DG1" t="str">
            <v>2020 Q4</v>
          </cell>
          <cell r="DH1" t="str">
            <v>2021 Q1</v>
          </cell>
          <cell r="DI1" t="str">
            <v>2021 Q2</v>
          </cell>
          <cell r="DJ1" t="str">
            <v>2021 Q3</v>
          </cell>
          <cell r="DK1" t="str">
            <v>2021 Q4</v>
          </cell>
          <cell r="DL1" t="str">
            <v>2022 Q1</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Estimate</v>
          </cell>
          <cell r="AM2" t="str">
            <v>Estimate</v>
          </cell>
          <cell r="AN2" t="str">
            <v>Estimate</v>
          </cell>
          <cell r="AO2" t="str">
            <v>Estimate</v>
          </cell>
          <cell r="AP2" t="str">
            <v>Estimate</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Actual</v>
          </cell>
          <cell r="CJ2" t="str">
            <v>Actual</v>
          </cell>
          <cell r="CK2" t="str">
            <v>Actual</v>
          </cell>
          <cell r="CL2" t="str">
            <v>Actual</v>
          </cell>
          <cell r="CM2" t="str">
            <v>Actual</v>
          </cell>
          <cell r="CN2" t="str">
            <v>Actual</v>
          </cell>
          <cell r="CO2" t="str">
            <v>Actual</v>
          </cell>
          <cell r="CP2" t="str">
            <v>Actual</v>
          </cell>
          <cell r="CQ2" t="str">
            <v>Actual</v>
          </cell>
          <cell r="CR2" t="str">
            <v>Actual</v>
          </cell>
          <cell r="CS2" t="str">
            <v>Actual</v>
          </cell>
          <cell r="CT2" t="str">
            <v>Actual</v>
          </cell>
          <cell r="CU2" t="str">
            <v>Actual</v>
          </cell>
          <cell r="CV2" t="str">
            <v>Actual</v>
          </cell>
          <cell r="CW2" t="str">
            <v>Actual</v>
          </cell>
          <cell r="CX2" t="str">
            <v>Actual</v>
          </cell>
          <cell r="CY2" t="str">
            <v>Actual</v>
          </cell>
          <cell r="CZ2" t="str">
            <v>Actual</v>
          </cell>
          <cell r="DA2" t="str">
            <v>Actual</v>
          </cell>
          <cell r="DB2" t="str">
            <v>Actual</v>
          </cell>
          <cell r="DC2" t="str">
            <v>Actual</v>
          </cell>
          <cell r="DD2" t="str">
            <v>Actual</v>
          </cell>
          <cell r="DE2" t="str">
            <v>Actual</v>
          </cell>
          <cell r="DF2" t="str">
            <v>Actual</v>
          </cell>
          <cell r="DG2" t="str">
            <v>Actual</v>
          </cell>
          <cell r="DH2" t="str">
            <v>Actual</v>
          </cell>
          <cell r="DI2" t="str">
            <v>Actual</v>
          </cell>
          <cell r="DJ2" t="str">
            <v>Actual</v>
          </cell>
          <cell r="DK2" t="str">
            <v>Actual</v>
          </cell>
          <cell r="DL2" t="str">
            <v>Actual</v>
          </cell>
        </row>
        <row r="3">
          <cell r="F3">
            <v>33238</v>
          </cell>
          <cell r="G3">
            <v>33603</v>
          </cell>
          <cell r="H3">
            <v>33969</v>
          </cell>
          <cell r="I3">
            <v>34334</v>
          </cell>
          <cell r="J3">
            <v>34699</v>
          </cell>
          <cell r="K3">
            <v>35064</v>
          </cell>
          <cell r="L3">
            <v>35430</v>
          </cell>
          <cell r="M3">
            <v>35795</v>
          </cell>
          <cell r="N3">
            <v>36160</v>
          </cell>
          <cell r="O3">
            <v>36525</v>
          </cell>
          <cell r="P3">
            <v>36891</v>
          </cell>
          <cell r="Q3">
            <v>37256</v>
          </cell>
          <cell r="R3">
            <v>37621</v>
          </cell>
          <cell r="S3">
            <v>37986</v>
          </cell>
          <cell r="T3">
            <v>38352</v>
          </cell>
          <cell r="U3">
            <v>38717</v>
          </cell>
          <cell r="V3">
            <v>39082</v>
          </cell>
          <cell r="W3">
            <v>39447</v>
          </cell>
          <cell r="X3">
            <v>39813</v>
          </cell>
          <cell r="Y3">
            <v>40178</v>
          </cell>
          <cell r="Z3">
            <v>40543</v>
          </cell>
          <cell r="AA3">
            <v>40908</v>
          </cell>
          <cell r="AB3">
            <v>41274</v>
          </cell>
          <cell r="AC3">
            <v>41639</v>
          </cell>
          <cell r="AD3">
            <v>42004</v>
          </cell>
          <cell r="AE3">
            <v>42369</v>
          </cell>
          <cell r="AF3">
            <v>42735</v>
          </cell>
          <cell r="AG3">
            <v>43100</v>
          </cell>
          <cell r="AH3">
            <v>43465</v>
          </cell>
          <cell r="AI3">
            <v>43830</v>
          </cell>
          <cell r="AJ3">
            <v>44196</v>
          </cell>
          <cell r="AK3">
            <v>44561</v>
          </cell>
          <cell r="AL3">
            <v>44926</v>
          </cell>
          <cell r="AM3">
            <v>45291</v>
          </cell>
          <cell r="AN3">
            <v>45657</v>
          </cell>
          <cell r="AO3">
            <v>46022</v>
          </cell>
          <cell r="AP3">
            <v>46387</v>
          </cell>
          <cell r="AR3">
            <v>38077</v>
          </cell>
          <cell r="AS3">
            <v>38168</v>
          </cell>
          <cell r="AT3">
            <v>38260</v>
          </cell>
          <cell r="AU3">
            <v>38352</v>
          </cell>
          <cell r="AV3">
            <v>38442</v>
          </cell>
          <cell r="AW3">
            <v>38533</v>
          </cell>
          <cell r="AX3">
            <v>38625</v>
          </cell>
          <cell r="AY3">
            <v>38717</v>
          </cell>
          <cell r="AZ3">
            <v>38807</v>
          </cell>
          <cell r="BA3">
            <v>38898</v>
          </cell>
          <cell r="BB3">
            <v>38990</v>
          </cell>
          <cell r="BC3">
            <v>39082</v>
          </cell>
          <cell r="BD3">
            <v>39172</v>
          </cell>
          <cell r="BE3">
            <v>39263</v>
          </cell>
          <cell r="BF3">
            <v>39355</v>
          </cell>
          <cell r="BG3">
            <v>39447</v>
          </cell>
          <cell r="BH3">
            <v>39538</v>
          </cell>
          <cell r="BI3">
            <v>39629</v>
          </cell>
          <cell r="BJ3">
            <v>39721</v>
          </cell>
          <cell r="BK3">
            <v>39813</v>
          </cell>
          <cell r="BL3">
            <v>39903</v>
          </cell>
          <cell r="BM3">
            <v>39994</v>
          </cell>
          <cell r="BN3">
            <v>40086</v>
          </cell>
          <cell r="BO3">
            <v>40178</v>
          </cell>
          <cell r="BP3">
            <v>40268</v>
          </cell>
          <cell r="BQ3">
            <v>40359</v>
          </cell>
          <cell r="BR3">
            <v>40451</v>
          </cell>
          <cell r="BS3">
            <v>40543</v>
          </cell>
          <cell r="BT3">
            <v>40633</v>
          </cell>
          <cell r="BU3">
            <v>40724</v>
          </cell>
          <cell r="BV3">
            <v>40816</v>
          </cell>
          <cell r="BW3">
            <v>40908</v>
          </cell>
          <cell r="BX3">
            <v>40999</v>
          </cell>
          <cell r="BY3">
            <v>41090</v>
          </cell>
          <cell r="BZ3">
            <v>41182</v>
          </cell>
          <cell r="CA3">
            <v>41274</v>
          </cell>
          <cell r="CB3">
            <v>41364</v>
          </cell>
          <cell r="CC3">
            <v>41455</v>
          </cell>
          <cell r="CD3">
            <v>41547</v>
          </cell>
          <cell r="CE3">
            <v>41639</v>
          </cell>
          <cell r="CF3">
            <v>41729</v>
          </cell>
          <cell r="CG3">
            <v>41820</v>
          </cell>
          <cell r="CH3">
            <v>41912</v>
          </cell>
          <cell r="CI3">
            <v>42004</v>
          </cell>
          <cell r="CJ3">
            <v>42094</v>
          </cell>
          <cell r="CK3">
            <v>42185</v>
          </cell>
          <cell r="CL3">
            <v>42277</v>
          </cell>
          <cell r="CM3">
            <v>42369</v>
          </cell>
          <cell r="CN3">
            <v>42460</v>
          </cell>
          <cell r="CO3">
            <v>42551</v>
          </cell>
          <cell r="CP3">
            <v>42643</v>
          </cell>
          <cell r="CQ3">
            <v>42735</v>
          </cell>
          <cell r="CR3">
            <v>42825</v>
          </cell>
          <cell r="CS3">
            <v>42916</v>
          </cell>
          <cell r="CT3">
            <v>43008</v>
          </cell>
          <cell r="CU3">
            <v>43100</v>
          </cell>
          <cell r="CV3">
            <v>43190</v>
          </cell>
          <cell r="CW3">
            <v>43281</v>
          </cell>
          <cell r="CX3">
            <v>43373</v>
          </cell>
          <cell r="CY3">
            <v>43465</v>
          </cell>
          <cell r="CZ3">
            <v>43555</v>
          </cell>
          <cell r="DA3">
            <v>43646</v>
          </cell>
          <cell r="DB3">
            <v>43738</v>
          </cell>
          <cell r="DC3">
            <v>43830</v>
          </cell>
          <cell r="DD3">
            <v>43921</v>
          </cell>
          <cell r="DE3">
            <v>44012</v>
          </cell>
          <cell r="DF3">
            <v>44104</v>
          </cell>
          <cell r="DG3">
            <v>44196</v>
          </cell>
          <cell r="DH3">
            <v>44286</v>
          </cell>
          <cell r="DI3">
            <v>44377</v>
          </cell>
          <cell r="DJ3">
            <v>44469</v>
          </cell>
          <cell r="DK3">
            <v>44561</v>
          </cell>
          <cell r="DL3">
            <v>44651</v>
          </cell>
        </row>
        <row r="4">
          <cell r="A4" t="str">
            <v>Issuer: Sandvik</v>
          </cell>
        </row>
        <row r="5">
          <cell r="A5" t="str">
            <v>Reference Data</v>
          </cell>
        </row>
        <row r="6">
          <cell r="B6" t="str">
            <v>Issuer Name</v>
          </cell>
          <cell r="C6" t="str">
            <v>Issuer Name</v>
          </cell>
          <cell r="E6" t="str">
            <v>Sandvik</v>
          </cell>
        </row>
        <row r="7">
          <cell r="B7" t="str">
            <v>Reporting Currency</v>
          </cell>
          <cell r="C7" t="str">
            <v>CURRENCY_ISO</v>
          </cell>
          <cell r="E7" t="str">
            <v>SEK</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D11" t="str">
            <v>SEK</v>
          </cell>
          <cell r="F11">
            <v>16629</v>
          </cell>
          <cell r="G11">
            <v>16940</v>
          </cell>
          <cell r="H11">
            <v>16008</v>
          </cell>
          <cell r="I11">
            <v>19407</v>
          </cell>
          <cell r="J11">
            <v>22698</v>
          </cell>
          <cell r="K11">
            <v>29700</v>
          </cell>
          <cell r="L11">
            <v>28265</v>
          </cell>
          <cell r="M11">
            <v>34119</v>
          </cell>
          <cell r="N11">
            <v>42400</v>
          </cell>
          <cell r="O11">
            <v>39300</v>
          </cell>
          <cell r="P11">
            <v>43750</v>
          </cell>
          <cell r="Q11">
            <v>48900</v>
          </cell>
          <cell r="R11">
            <v>48700</v>
          </cell>
          <cell r="S11">
            <v>48810</v>
          </cell>
          <cell r="T11">
            <v>54610</v>
          </cell>
          <cell r="U11">
            <v>63370</v>
          </cell>
          <cell r="V11">
            <v>72289</v>
          </cell>
          <cell r="W11">
            <v>86338</v>
          </cell>
          <cell r="X11">
            <v>92654</v>
          </cell>
          <cell r="Y11">
            <v>71937</v>
          </cell>
          <cell r="Z11">
            <v>82654</v>
          </cell>
          <cell r="AA11">
            <v>94084</v>
          </cell>
          <cell r="AB11">
            <v>98529</v>
          </cell>
          <cell r="AC11">
            <v>87328</v>
          </cell>
          <cell r="AD11">
            <v>88821</v>
          </cell>
          <cell r="AE11">
            <v>85845</v>
          </cell>
          <cell r="AF11">
            <v>81553</v>
          </cell>
          <cell r="AG11">
            <v>90905</v>
          </cell>
          <cell r="AH11">
            <v>100072</v>
          </cell>
          <cell r="AI11">
            <v>103238</v>
          </cell>
          <cell r="AJ11">
            <v>86404</v>
          </cell>
          <cell r="AK11">
            <v>99105</v>
          </cell>
          <cell r="AL11">
            <v>110876.37259803523</v>
          </cell>
          <cell r="AM11">
            <v>117090.07384999501</v>
          </cell>
          <cell r="AN11">
            <v>124935.29408220714</v>
          </cell>
          <cell r="AO11">
            <v>134183.4887206649</v>
          </cell>
          <cell r="AP11">
            <v>141847.16036070266</v>
          </cell>
          <cell r="AR11">
            <v>12680</v>
          </cell>
          <cell r="AS11">
            <v>13980</v>
          </cell>
          <cell r="AT11">
            <v>13570</v>
          </cell>
          <cell r="AU11">
            <v>14380</v>
          </cell>
          <cell r="AV11">
            <v>14194</v>
          </cell>
          <cell r="AW11">
            <v>16150</v>
          </cell>
          <cell r="AX11">
            <v>15554</v>
          </cell>
          <cell r="AY11">
            <v>17473</v>
          </cell>
          <cell r="AZ11">
            <v>17481</v>
          </cell>
          <cell r="BA11">
            <v>17851</v>
          </cell>
          <cell r="BB11">
            <v>17587</v>
          </cell>
          <cell r="BC11">
            <v>19370</v>
          </cell>
          <cell r="BD11">
            <v>20409</v>
          </cell>
          <cell r="BE11">
            <v>22002</v>
          </cell>
          <cell r="BF11">
            <v>21216</v>
          </cell>
          <cell r="BG11">
            <v>22711</v>
          </cell>
          <cell r="BH11">
            <v>21990</v>
          </cell>
          <cell r="BI11">
            <v>24016</v>
          </cell>
          <cell r="BJ11">
            <v>22478</v>
          </cell>
          <cell r="BK11">
            <v>24171</v>
          </cell>
          <cell r="BL11">
            <v>19136</v>
          </cell>
          <cell r="BM11">
            <v>18011</v>
          </cell>
          <cell r="BN11">
            <v>16578</v>
          </cell>
          <cell r="BO11">
            <v>18211</v>
          </cell>
          <cell r="BP11">
            <v>18534</v>
          </cell>
          <cell r="BQ11">
            <v>20603</v>
          </cell>
          <cell r="BR11">
            <v>20241</v>
          </cell>
          <cell r="BS11">
            <v>23276</v>
          </cell>
          <cell r="BT11">
            <v>22030.002854806262</v>
          </cell>
          <cell r="BU11">
            <v>23421.483948991336</v>
          </cell>
          <cell r="BV11">
            <v>23528.09955230531</v>
          </cell>
          <cell r="BW11">
            <v>25104.469084739638</v>
          </cell>
          <cell r="BX11">
            <v>24838</v>
          </cell>
          <cell r="BY11">
            <v>25939</v>
          </cell>
          <cell r="BZ11">
            <v>23424</v>
          </cell>
          <cell r="CA11">
            <v>24328</v>
          </cell>
          <cell r="CB11">
            <v>22098</v>
          </cell>
          <cell r="CC11">
            <v>23043</v>
          </cell>
          <cell r="CD11">
            <v>20416</v>
          </cell>
          <cell r="CE11">
            <v>21770</v>
          </cell>
          <cell r="CF11">
            <v>19284</v>
          </cell>
          <cell r="CG11">
            <v>20632</v>
          </cell>
          <cell r="CH11">
            <v>20901</v>
          </cell>
          <cell r="CI11">
            <v>21699</v>
          </cell>
          <cell r="CJ11">
            <v>21955</v>
          </cell>
          <cell r="CK11">
            <v>22196</v>
          </cell>
          <cell r="CL11">
            <v>20741</v>
          </cell>
          <cell r="CM11">
            <v>20934</v>
          </cell>
          <cell r="CN11">
            <v>19695</v>
          </cell>
          <cell r="CO11">
            <v>20315</v>
          </cell>
          <cell r="CP11">
            <v>19708</v>
          </cell>
          <cell r="CQ11">
            <v>21814</v>
          </cell>
          <cell r="CR11">
            <v>21767</v>
          </cell>
          <cell r="CS11">
            <v>23552</v>
          </cell>
          <cell r="CT11">
            <v>21649</v>
          </cell>
          <cell r="CU11">
            <v>23936</v>
          </cell>
          <cell r="CV11">
            <v>23685</v>
          </cell>
          <cell r="CW11">
            <v>25717</v>
          </cell>
          <cell r="CX11">
            <v>23850</v>
          </cell>
          <cell r="CY11">
            <v>25502</v>
          </cell>
          <cell r="CZ11">
            <v>25026</v>
          </cell>
          <cell r="DA11">
            <v>26467</v>
          </cell>
          <cell r="DB11">
            <v>25163</v>
          </cell>
          <cell r="DC11">
            <v>26583</v>
          </cell>
          <cell r="DD11">
            <v>23620</v>
          </cell>
          <cell r="DE11">
            <v>20231</v>
          </cell>
          <cell r="DF11">
            <v>20146</v>
          </cell>
          <cell r="DG11">
            <v>22407</v>
          </cell>
          <cell r="DH11">
            <v>21693</v>
          </cell>
          <cell r="DI11">
            <v>23461</v>
          </cell>
          <cell r="DJ11">
            <v>24825</v>
          </cell>
          <cell r="DK11">
            <v>29126</v>
          </cell>
          <cell r="DL11">
            <v>24922</v>
          </cell>
        </row>
        <row r="12">
          <cell r="B12" t="str">
            <v>Cost of goods sold, COGS</v>
          </cell>
          <cell r="C12" t="str">
            <v>COST_GD_SD</v>
          </cell>
          <cell r="D12" t="str">
            <v>SEK</v>
          </cell>
          <cell r="F12">
            <v>0</v>
          </cell>
          <cell r="G12">
            <v>0</v>
          </cell>
          <cell r="H12">
            <v>0</v>
          </cell>
          <cell r="I12">
            <v>0</v>
          </cell>
          <cell r="J12">
            <v>0</v>
          </cell>
          <cell r="K12">
            <v>-23435</v>
          </cell>
          <cell r="L12">
            <v>-18255</v>
          </cell>
          <cell r="M12">
            <v>-21426</v>
          </cell>
          <cell r="N12">
            <v>-27217</v>
          </cell>
          <cell r="O12">
            <v>-27922</v>
          </cell>
          <cell r="P12">
            <v>-29154</v>
          </cell>
          <cell r="Q12">
            <v>-33288</v>
          </cell>
          <cell r="R12">
            <v>-33013</v>
          </cell>
          <cell r="S12">
            <v>-32457</v>
          </cell>
          <cell r="T12">
            <v>-35923</v>
          </cell>
          <cell r="U12">
            <v>-41631</v>
          </cell>
          <cell r="V12">
            <v>-46948</v>
          </cell>
          <cell r="W12">
            <v>-55857</v>
          </cell>
          <cell r="X12">
            <v>-60916</v>
          </cell>
          <cell r="Y12">
            <v>-49851</v>
          </cell>
          <cell r="Z12">
            <v>-52331</v>
          </cell>
          <cell r="AA12">
            <v>-54964</v>
          </cell>
          <cell r="AB12">
            <v>-61526</v>
          </cell>
          <cell r="AC12">
            <v>-54468</v>
          </cell>
          <cell r="AD12">
            <v>-57177.999995001795</v>
          </cell>
          <cell r="AE12">
            <v>-48584.200000000004</v>
          </cell>
          <cell r="AF12">
            <v>-49866</v>
          </cell>
          <cell r="AG12">
            <v>-61143</v>
          </cell>
          <cell r="AH12">
            <v>-59145</v>
          </cell>
          <cell r="AI12">
            <v>-49989</v>
          </cell>
          <cell r="AJ12">
            <v>-47467</v>
          </cell>
          <cell r="AK12">
            <v>-61554.180000000008</v>
          </cell>
          <cell r="AL12">
            <v>-61993.338413854566</v>
          </cell>
          <cell r="AM12">
            <v>-70115.981159353454</v>
          </cell>
          <cell r="AN12">
            <v>-75777.627601826505</v>
          </cell>
          <cell r="AO12">
            <v>-81616.715697585794</v>
          </cell>
          <cell r="AP12">
            <v>-86816.834221982237</v>
          </cell>
        </row>
        <row r="13">
          <cell r="B13" t="str">
            <v>SG&amp;A, selling, general and admin. expense</v>
          </cell>
          <cell r="C13" t="str">
            <v>SEL_GL_AD</v>
          </cell>
          <cell r="D13" t="str">
            <v>SEK</v>
          </cell>
          <cell r="F13">
            <v>0</v>
          </cell>
          <cell r="G13">
            <v>0</v>
          </cell>
          <cell r="H13">
            <v>0</v>
          </cell>
          <cell r="I13">
            <v>0</v>
          </cell>
          <cell r="J13">
            <v>0</v>
          </cell>
          <cell r="K13">
            <v>-1071</v>
          </cell>
          <cell r="L13">
            <v>-5974</v>
          </cell>
          <cell r="M13">
            <v>-6126</v>
          </cell>
          <cell r="N13">
            <v>-7685</v>
          </cell>
          <cell r="O13">
            <v>-7371</v>
          </cell>
          <cell r="P13">
            <v>-7734</v>
          </cell>
          <cell r="Q13">
            <v>-7897</v>
          </cell>
          <cell r="R13">
            <v>-8729</v>
          </cell>
          <cell r="S13">
            <v>-8820</v>
          </cell>
          <cell r="T13">
            <v>-10078</v>
          </cell>
          <cell r="U13">
            <v>-11001</v>
          </cell>
          <cell r="V13">
            <v>-11866</v>
          </cell>
          <cell r="W13">
            <v>-14476</v>
          </cell>
          <cell r="X13">
            <v>-16811</v>
          </cell>
          <cell r="Y13">
            <v>-16041</v>
          </cell>
          <cell r="Z13">
            <v>-16143</v>
          </cell>
          <cell r="AA13">
            <v>-19511</v>
          </cell>
          <cell r="AB13">
            <v>-18297</v>
          </cell>
          <cell r="AC13">
            <v>-17474</v>
          </cell>
          <cell r="AD13">
            <v>-18586</v>
          </cell>
          <cell r="AE13">
            <v>-20195</v>
          </cell>
          <cell r="AF13">
            <v>-17707</v>
          </cell>
          <cell r="AG13">
            <v>-18773</v>
          </cell>
          <cell r="AH13">
            <v>-19557</v>
          </cell>
          <cell r="AI13">
            <v>-21589</v>
          </cell>
          <cell r="AJ13">
            <v>-16214</v>
          </cell>
          <cell r="AK13">
            <v>-17711</v>
          </cell>
          <cell r="AL13">
            <v>-21000</v>
          </cell>
          <cell r="AM13">
            <v>-19918</v>
          </cell>
          <cell r="AN13">
            <v>-21252</v>
          </cell>
          <cell r="AO13">
            <v>-22825</v>
          </cell>
          <cell r="AP13">
            <v>-24129</v>
          </cell>
        </row>
        <row r="14">
          <cell r="B14" t="str">
            <v>Total operating expense</v>
          </cell>
          <cell r="C14" t="str">
            <v>OP_COST</v>
          </cell>
          <cell r="D14" t="str">
            <v>SEK</v>
          </cell>
          <cell r="F14">
            <v>0</v>
          </cell>
          <cell r="G14">
            <v>0</v>
          </cell>
          <cell r="H14">
            <v>0</v>
          </cell>
          <cell r="I14">
            <v>0</v>
          </cell>
          <cell r="J14">
            <v>0</v>
          </cell>
          <cell r="K14">
            <v>-24506</v>
          </cell>
          <cell r="L14">
            <v>-24229</v>
          </cell>
          <cell r="M14">
            <v>-27552</v>
          </cell>
          <cell r="N14">
            <v>-34902</v>
          </cell>
          <cell r="O14">
            <v>-35293</v>
          </cell>
          <cell r="P14">
            <v>-36888</v>
          </cell>
          <cell r="Q14">
            <v>-41185</v>
          </cell>
          <cell r="R14">
            <v>-41742</v>
          </cell>
          <cell r="S14">
            <v>-41277</v>
          </cell>
          <cell r="T14">
            <v>-46001</v>
          </cell>
          <cell r="U14">
            <v>-52632</v>
          </cell>
          <cell r="V14">
            <v>-58814</v>
          </cell>
          <cell r="W14">
            <v>-70333</v>
          </cell>
          <cell r="X14">
            <v>-77727</v>
          </cell>
          <cell r="Y14">
            <v>-65892</v>
          </cell>
          <cell r="Z14">
            <v>-68474</v>
          </cell>
          <cell r="AA14">
            <v>-74475</v>
          </cell>
          <cell r="AB14">
            <v>-79823</v>
          </cell>
          <cell r="AC14">
            <v>-71942</v>
          </cell>
          <cell r="AD14">
            <v>-75763.999995001795</v>
          </cell>
          <cell r="AE14">
            <v>-68779.200000000012</v>
          </cell>
          <cell r="AF14">
            <v>-67573</v>
          </cell>
          <cell r="AG14">
            <v>-79916</v>
          </cell>
          <cell r="AH14">
            <v>-78702</v>
          </cell>
          <cell r="AI14">
            <v>-71578</v>
          </cell>
          <cell r="AJ14">
            <v>-63681</v>
          </cell>
          <cell r="AK14">
            <v>-79265.180000000008</v>
          </cell>
          <cell r="AL14">
            <v>-82993.338413854566</v>
          </cell>
          <cell r="AM14">
            <v>-90033.981159353454</v>
          </cell>
          <cell r="AN14">
            <v>-97029.627601826505</v>
          </cell>
          <cell r="AO14">
            <v>-104441.71569758579</v>
          </cell>
          <cell r="AP14">
            <v>-110945.83422198224</v>
          </cell>
        </row>
        <row r="15">
          <cell r="B15" t="str">
            <v>R&amp;D expense</v>
          </cell>
          <cell r="C15" t="str">
            <v>RD_EXP</v>
          </cell>
          <cell r="D15" t="str">
            <v>SEK</v>
          </cell>
          <cell r="F15">
            <v>0</v>
          </cell>
          <cell r="G15">
            <v>0</v>
          </cell>
          <cell r="H15">
            <v>0</v>
          </cell>
          <cell r="I15">
            <v>0</v>
          </cell>
          <cell r="J15">
            <v>0</v>
          </cell>
          <cell r="K15">
            <v>0</v>
          </cell>
          <cell r="L15">
            <v>0</v>
          </cell>
          <cell r="M15">
            <v>-985</v>
          </cell>
          <cell r="N15">
            <v>-1070</v>
          </cell>
          <cell r="O15">
            <v>-1114</v>
          </cell>
          <cell r="P15">
            <v>-1158</v>
          </cell>
          <cell r="Q15">
            <v>-1391</v>
          </cell>
          <cell r="R15">
            <v>-1444</v>
          </cell>
          <cell r="S15">
            <v>-1552</v>
          </cell>
          <cell r="T15">
            <v>-1294</v>
          </cell>
          <cell r="U15">
            <v>-1412</v>
          </cell>
          <cell r="V15">
            <v>-1583</v>
          </cell>
          <cell r="W15">
            <v>-1818</v>
          </cell>
          <cell r="X15">
            <v>-2014</v>
          </cell>
          <cell r="Y15">
            <v>-2007</v>
          </cell>
          <cell r="Z15">
            <v>-2106</v>
          </cell>
          <cell r="AA15">
            <v>-2421</v>
          </cell>
          <cell r="AB15">
            <v>-2572</v>
          </cell>
          <cell r="AC15">
            <v>-2661</v>
          </cell>
          <cell r="AD15">
            <v>-2629</v>
          </cell>
          <cell r="AE15">
            <v>-3001</v>
          </cell>
          <cell r="AF15">
            <v>-3075</v>
          </cell>
          <cell r="AG15">
            <v>-3163</v>
          </cell>
          <cell r="AH15">
            <v>-3535</v>
          </cell>
          <cell r="AI15">
            <v>-3674</v>
          </cell>
          <cell r="AJ15">
            <v>-3429</v>
          </cell>
          <cell r="AK15">
            <v>-3682</v>
          </cell>
          <cell r="AL15">
            <v>-4435.0549039214093</v>
          </cell>
          <cell r="AM15">
            <v>-4683.6029539998008</v>
          </cell>
          <cell r="AN15">
            <v>-4997.4117632882853</v>
          </cell>
          <cell r="AO15">
            <v>-5367.339548826596</v>
          </cell>
          <cell r="AP15">
            <v>-5673.8864144281069</v>
          </cell>
        </row>
        <row r="16">
          <cell r="B16" t="str">
            <v>Other operating income/(expense) (incl. leases)</v>
          </cell>
          <cell r="C16" t="str">
            <v>OTH_OP_INC_EXP</v>
          </cell>
          <cell r="D16" t="str">
            <v>SEK</v>
          </cell>
          <cell r="F16">
            <v>0</v>
          </cell>
          <cell r="G16">
            <v>0</v>
          </cell>
          <cell r="H16">
            <v>0</v>
          </cell>
          <cell r="I16">
            <v>0</v>
          </cell>
          <cell r="J16">
            <v>0</v>
          </cell>
          <cell r="K16">
            <v>0</v>
          </cell>
          <cell r="L16">
            <v>59</v>
          </cell>
          <cell r="M16">
            <v>-612</v>
          </cell>
          <cell r="N16">
            <v>-1033</v>
          </cell>
          <cell r="O16">
            <v>1532</v>
          </cell>
          <cell r="P16">
            <v>463</v>
          </cell>
          <cell r="Q16">
            <v>-46</v>
          </cell>
          <cell r="R16">
            <v>257</v>
          </cell>
          <cell r="S16">
            <v>-414</v>
          </cell>
          <cell r="T16">
            <v>263</v>
          </cell>
          <cell r="U16">
            <v>206</v>
          </cell>
          <cell r="V16">
            <v>176</v>
          </cell>
          <cell r="W16">
            <v>207</v>
          </cell>
          <cell r="X16">
            <v>181</v>
          </cell>
          <cell r="Y16">
            <v>-2940</v>
          </cell>
          <cell r="Z16">
            <v>-645</v>
          </cell>
          <cell r="AA16">
            <v>-3670</v>
          </cell>
          <cell r="AB16">
            <v>-1494</v>
          </cell>
          <cell r="AC16">
            <v>-1897</v>
          </cell>
          <cell r="AD16">
            <v>-300.00000249909988</v>
          </cell>
          <cell r="AE16">
            <v>-3470.4</v>
          </cell>
          <cell r="AF16">
            <v>113</v>
          </cell>
          <cell r="AG16">
            <v>6086</v>
          </cell>
          <cell r="AH16">
            <v>789</v>
          </cell>
          <cell r="AI16">
            <v>-8768</v>
          </cell>
          <cell r="AJ16">
            <v>-4731</v>
          </cell>
          <cell r="AK16">
            <v>516.57999999999811</v>
          </cell>
          <cell r="AL16">
            <v>-2943</v>
          </cell>
          <cell r="AM16">
            <v>-884</v>
          </cell>
          <cell r="AN16">
            <v>-200</v>
          </cell>
          <cell r="AO16">
            <v>-200</v>
          </cell>
          <cell r="AP16">
            <v>-200</v>
          </cell>
        </row>
        <row r="17">
          <cell r="B17" t="str">
            <v>Total operating expense (incl. D&amp;A)</v>
          </cell>
          <cell r="C17" t="str">
            <v>TOT_OPS_EXP_DDA</v>
          </cell>
          <cell r="D17" t="str">
            <v>SEK</v>
          </cell>
          <cell r="F17">
            <v>0</v>
          </cell>
          <cell r="G17">
            <v>0</v>
          </cell>
          <cell r="H17">
            <v>0</v>
          </cell>
          <cell r="I17">
            <v>0</v>
          </cell>
          <cell r="J17">
            <v>0</v>
          </cell>
          <cell r="K17">
            <v>-24506</v>
          </cell>
          <cell r="L17">
            <v>-24170</v>
          </cell>
          <cell r="M17">
            <v>-29149</v>
          </cell>
          <cell r="N17">
            <v>-37005</v>
          </cell>
          <cell r="O17">
            <v>-34875</v>
          </cell>
          <cell r="P17">
            <v>-37583</v>
          </cell>
          <cell r="Q17">
            <v>-42622</v>
          </cell>
          <cell r="R17">
            <v>-42929</v>
          </cell>
          <cell r="S17">
            <v>-43243</v>
          </cell>
          <cell r="T17">
            <v>-47032</v>
          </cell>
          <cell r="U17">
            <v>-53838</v>
          </cell>
          <cell r="V17">
            <v>-60221</v>
          </cell>
          <cell r="W17">
            <v>-71944</v>
          </cell>
          <cell r="X17">
            <v>-79560</v>
          </cell>
          <cell r="Y17">
            <v>-70839</v>
          </cell>
          <cell r="Z17">
            <v>-71225</v>
          </cell>
          <cell r="AA17">
            <v>-80566</v>
          </cell>
          <cell r="AB17">
            <v>-83889</v>
          </cell>
          <cell r="AC17">
            <v>-76500</v>
          </cell>
          <cell r="AD17">
            <v>-78692.999997500898</v>
          </cell>
          <cell r="AE17">
            <v>-75250.600000000006</v>
          </cell>
          <cell r="AF17">
            <v>-70535</v>
          </cell>
          <cell r="AG17">
            <v>-76993</v>
          </cell>
          <cell r="AH17">
            <v>-81448</v>
          </cell>
          <cell r="AI17">
            <v>-84020</v>
          </cell>
          <cell r="AJ17">
            <v>-71841</v>
          </cell>
          <cell r="AK17">
            <v>-82430.600000000006</v>
          </cell>
          <cell r="AL17">
            <v>-90371.393317775975</v>
          </cell>
          <cell r="AM17">
            <v>-95601.584113353252</v>
          </cell>
          <cell r="AN17">
            <v>-102227.03936511479</v>
          </cell>
          <cell r="AO17">
            <v>-110009.05524641239</v>
          </cell>
          <cell r="AP17">
            <v>-116819.72063641035</v>
          </cell>
        </row>
        <row r="18">
          <cell r="B18" t="str">
            <v>Total operating expense (excl. D&amp;A)</v>
          </cell>
          <cell r="C18" t="str">
            <v>TOT_OPS_EXP</v>
          </cell>
          <cell r="D18" t="str">
            <v>SEK</v>
          </cell>
          <cell r="F18">
            <v>0</v>
          </cell>
          <cell r="G18">
            <v>0</v>
          </cell>
          <cell r="H18">
            <v>0</v>
          </cell>
          <cell r="I18">
            <v>0</v>
          </cell>
          <cell r="J18">
            <v>0</v>
          </cell>
          <cell r="K18">
            <v>-23435</v>
          </cell>
          <cell r="L18">
            <v>-23011</v>
          </cell>
          <cell r="M18">
            <v>-27663</v>
          </cell>
          <cell r="N18">
            <v>-34906</v>
          </cell>
          <cell r="O18">
            <v>-32602</v>
          </cell>
          <cell r="P18">
            <v>-35247</v>
          </cell>
          <cell r="Q18">
            <v>-40176</v>
          </cell>
          <cell r="R18">
            <v>-40233</v>
          </cell>
          <cell r="S18">
            <v>-39897</v>
          </cell>
          <cell r="T18">
            <v>-44453</v>
          </cell>
          <cell r="U18">
            <v>-51125</v>
          </cell>
          <cell r="V18">
            <v>-57245</v>
          </cell>
          <cell r="W18">
            <v>-68867</v>
          </cell>
          <cell r="X18">
            <v>-76079</v>
          </cell>
          <cell r="Y18">
            <v>-66790</v>
          </cell>
          <cell r="Z18">
            <v>-67243</v>
          </cell>
          <cell r="AA18">
            <v>-76698</v>
          </cell>
          <cell r="AB18">
            <v>-79567</v>
          </cell>
          <cell r="AC18">
            <v>-71810</v>
          </cell>
          <cell r="AD18">
            <v>-74547.999997500898</v>
          </cell>
          <cell r="AE18">
            <v>-69929.600000000006</v>
          </cell>
          <cell r="AF18">
            <v>-65820</v>
          </cell>
          <cell r="AG18">
            <v>-72057</v>
          </cell>
          <cell r="AH18">
            <v>-77040</v>
          </cell>
          <cell r="AI18">
            <v>-73943</v>
          </cell>
          <cell r="AJ18">
            <v>-65877</v>
          </cell>
          <cell r="AK18">
            <v>-76435.600000000006</v>
          </cell>
          <cell r="AL18">
            <v>-83407.478926322699</v>
          </cell>
          <cell r="AM18">
            <v>-89347.800965148883</v>
          </cell>
          <cell r="AN18">
            <v>-95554.242849944625</v>
          </cell>
          <cell r="AO18">
            <v>-102842.31247363379</v>
          </cell>
          <cell r="AP18">
            <v>-109243.66101054614</v>
          </cell>
        </row>
        <row r="19">
          <cell r="B19" t="str">
            <v>EBITDA</v>
          </cell>
          <cell r="C19" t="str">
            <v>EBITDA_CALC</v>
          </cell>
          <cell r="D19" t="str">
            <v>SEK</v>
          </cell>
          <cell r="F19">
            <v>0</v>
          </cell>
          <cell r="G19">
            <v>0</v>
          </cell>
          <cell r="H19">
            <v>0</v>
          </cell>
          <cell r="I19">
            <v>0</v>
          </cell>
          <cell r="J19">
            <v>0</v>
          </cell>
          <cell r="K19">
            <v>6265</v>
          </cell>
          <cell r="L19">
            <v>5254</v>
          </cell>
          <cell r="M19">
            <v>6456</v>
          </cell>
          <cell r="N19">
            <v>7494</v>
          </cell>
          <cell r="O19">
            <v>6698</v>
          </cell>
          <cell r="P19">
            <v>8503</v>
          </cell>
          <cell r="Q19">
            <v>8724</v>
          </cell>
          <cell r="R19">
            <v>8467</v>
          </cell>
          <cell r="S19">
            <v>8913</v>
          </cell>
          <cell r="T19">
            <v>10157</v>
          </cell>
          <cell r="U19">
            <v>12245</v>
          </cell>
          <cell r="V19">
            <v>15044</v>
          </cell>
          <cell r="W19">
            <v>17471</v>
          </cell>
          <cell r="X19">
            <v>16575</v>
          </cell>
          <cell r="Y19">
            <v>5147</v>
          </cell>
          <cell r="Z19">
            <v>15411</v>
          </cell>
          <cell r="AA19">
            <v>17386</v>
          </cell>
          <cell r="AB19">
            <v>18962</v>
          </cell>
          <cell r="AC19">
            <v>15518</v>
          </cell>
          <cell r="AD19">
            <v>14273.0000024991</v>
          </cell>
          <cell r="AE19">
            <v>15915.4</v>
          </cell>
          <cell r="AF19">
            <v>15733</v>
          </cell>
          <cell r="AG19">
            <v>18848</v>
          </cell>
          <cell r="AH19">
            <v>23032</v>
          </cell>
          <cell r="AI19">
            <v>29295</v>
          </cell>
          <cell r="AJ19">
            <v>20527</v>
          </cell>
          <cell r="AK19">
            <v>22669.4</v>
          </cell>
          <cell r="AL19">
            <v>27468.893671712533</v>
          </cell>
          <cell r="AM19">
            <v>27742.272884846123</v>
          </cell>
          <cell r="AN19">
            <v>29381.051232262511</v>
          </cell>
          <cell r="AO19">
            <v>31341.176247031115</v>
          </cell>
          <cell r="AP19">
            <v>32603.499350156519</v>
          </cell>
        </row>
        <row r="20">
          <cell r="B20" t="str">
            <v>Depreciation</v>
          </cell>
          <cell r="C20" t="str">
            <v>DEPREC</v>
          </cell>
          <cell r="D20" t="str">
            <v>SEK</v>
          </cell>
          <cell r="F20">
            <v>0</v>
          </cell>
          <cell r="G20">
            <v>0</v>
          </cell>
          <cell r="H20">
            <v>0</v>
          </cell>
          <cell r="I20">
            <v>0</v>
          </cell>
          <cell r="J20">
            <v>0</v>
          </cell>
          <cell r="K20">
            <v>-1071</v>
          </cell>
          <cell r="L20">
            <v>-1159</v>
          </cell>
          <cell r="M20">
            <v>-1486</v>
          </cell>
          <cell r="N20">
            <v>-2099</v>
          </cell>
          <cell r="O20">
            <v>-2273</v>
          </cell>
          <cell r="P20">
            <v>-2336</v>
          </cell>
          <cell r="Q20">
            <v>-2446</v>
          </cell>
          <cell r="R20">
            <v>-2696</v>
          </cell>
          <cell r="S20">
            <v>-3346</v>
          </cell>
          <cell r="T20">
            <v>-2579</v>
          </cell>
          <cell r="U20">
            <v>-2713</v>
          </cell>
          <cell r="V20">
            <v>-2976</v>
          </cell>
          <cell r="W20">
            <v>-3077</v>
          </cell>
          <cell r="X20">
            <v>-3481</v>
          </cell>
          <cell r="Y20">
            <v>-4049</v>
          </cell>
          <cell r="Z20">
            <v>-3982</v>
          </cell>
          <cell r="AA20">
            <v>-3868</v>
          </cell>
          <cell r="AB20">
            <v>-4322</v>
          </cell>
          <cell r="AC20">
            <v>-4690</v>
          </cell>
          <cell r="AD20">
            <v>-4145</v>
          </cell>
          <cell r="AE20">
            <v>-5321</v>
          </cell>
          <cell r="AF20">
            <v>-4715</v>
          </cell>
          <cell r="AG20">
            <v>-4936</v>
          </cell>
          <cell r="AH20">
            <v>-4408</v>
          </cell>
          <cell r="AI20">
            <v>-10077</v>
          </cell>
          <cell r="AJ20">
            <v>-5964</v>
          </cell>
          <cell r="AK20">
            <v>-5995</v>
          </cell>
          <cell r="AL20">
            <v>-6963.9143914532815</v>
          </cell>
          <cell r="AM20">
            <v>-6253.7831482043648</v>
          </cell>
          <cell r="AN20">
            <v>-6672.796515170161</v>
          </cell>
          <cell r="AO20">
            <v>-7166.7427727786035</v>
          </cell>
          <cell r="AP20">
            <v>-7576.0596258641972</v>
          </cell>
        </row>
        <row r="21">
          <cell r="B21" t="str">
            <v>Amortization</v>
          </cell>
          <cell r="C21" t="str">
            <v>GOODWILL_AMORT</v>
          </cell>
          <cell r="D21" t="str">
            <v>SEK</v>
          </cell>
        </row>
        <row r="22">
          <cell r="B22" t="str">
            <v>EBIT, operating profit</v>
          </cell>
          <cell r="C22" t="str">
            <v>EBIT</v>
          </cell>
          <cell r="D22" t="str">
            <v>SEK</v>
          </cell>
          <cell r="F22">
            <v>0</v>
          </cell>
          <cell r="G22">
            <v>0</v>
          </cell>
          <cell r="H22">
            <v>0</v>
          </cell>
          <cell r="I22">
            <v>0</v>
          </cell>
          <cell r="J22">
            <v>0</v>
          </cell>
          <cell r="K22">
            <v>5194</v>
          </cell>
          <cell r="L22">
            <v>4095</v>
          </cell>
          <cell r="M22">
            <v>4970</v>
          </cell>
          <cell r="N22">
            <v>5395</v>
          </cell>
          <cell r="O22">
            <v>4425</v>
          </cell>
          <cell r="P22">
            <v>6167</v>
          </cell>
          <cell r="Q22">
            <v>6278</v>
          </cell>
          <cell r="R22">
            <v>5771</v>
          </cell>
          <cell r="S22">
            <v>5567</v>
          </cell>
          <cell r="T22">
            <v>7578</v>
          </cell>
          <cell r="U22">
            <v>9532</v>
          </cell>
          <cell r="V22">
            <v>12068</v>
          </cell>
          <cell r="W22">
            <v>14394</v>
          </cell>
          <cell r="X22">
            <v>13094</v>
          </cell>
          <cell r="Y22">
            <v>1098</v>
          </cell>
          <cell r="Z22">
            <v>11429</v>
          </cell>
          <cell r="AA22">
            <v>13518</v>
          </cell>
          <cell r="AB22">
            <v>14640</v>
          </cell>
          <cell r="AC22">
            <v>10828</v>
          </cell>
          <cell r="AD22">
            <v>10128.0000024991</v>
          </cell>
          <cell r="AE22">
            <v>10594.4</v>
          </cell>
          <cell r="AF22">
            <v>11018</v>
          </cell>
          <cell r="AG22">
            <v>13912</v>
          </cell>
          <cell r="AH22">
            <v>18624</v>
          </cell>
          <cell r="AI22">
            <v>19218</v>
          </cell>
          <cell r="AJ22">
            <v>14563</v>
          </cell>
          <cell r="AK22">
            <v>16674.400000000001</v>
          </cell>
          <cell r="AL22">
            <v>20504.979280259249</v>
          </cell>
          <cell r="AM22">
            <v>21488.489736641757</v>
          </cell>
          <cell r="AN22">
            <v>22708.25471709235</v>
          </cell>
          <cell r="AO22">
            <v>24174.43347425251</v>
          </cell>
          <cell r="AP22">
            <v>25027.439724292322</v>
          </cell>
          <cell r="AR22">
            <v>1560</v>
          </cell>
          <cell r="AS22">
            <v>1952</v>
          </cell>
          <cell r="AT22">
            <v>1887</v>
          </cell>
          <cell r="AU22">
            <v>2079</v>
          </cell>
          <cell r="AV22">
            <v>2041</v>
          </cell>
          <cell r="AW22">
            <v>2425</v>
          </cell>
          <cell r="AX22">
            <v>2261</v>
          </cell>
          <cell r="AY22">
            <v>2805</v>
          </cell>
          <cell r="AZ22">
            <v>2953</v>
          </cell>
          <cell r="BA22">
            <v>3043</v>
          </cell>
          <cell r="BB22">
            <v>2854</v>
          </cell>
          <cell r="BC22">
            <v>3365</v>
          </cell>
          <cell r="BD22">
            <v>3538</v>
          </cell>
          <cell r="BE22">
            <v>4093</v>
          </cell>
          <cell r="BF22">
            <v>3663</v>
          </cell>
          <cell r="BG22">
            <v>3200</v>
          </cell>
          <cell r="BH22">
            <v>3190</v>
          </cell>
          <cell r="BI22">
            <v>3783</v>
          </cell>
          <cell r="BJ22">
            <v>3586</v>
          </cell>
          <cell r="BK22">
            <v>2535</v>
          </cell>
          <cell r="BL22">
            <v>275</v>
          </cell>
          <cell r="BM22">
            <v>-585</v>
          </cell>
          <cell r="BN22">
            <v>401</v>
          </cell>
          <cell r="BO22">
            <v>1008</v>
          </cell>
          <cell r="BP22">
            <v>1897</v>
          </cell>
          <cell r="BQ22">
            <v>3471</v>
          </cell>
          <cell r="BR22">
            <v>2732</v>
          </cell>
          <cell r="BS22">
            <v>3329</v>
          </cell>
          <cell r="BT22">
            <v>3271.0028548062619</v>
          </cell>
          <cell r="BU22">
            <v>3562.4839489913356</v>
          </cell>
          <cell r="BV22">
            <v>3378.0995523053098</v>
          </cell>
          <cell r="BW22">
            <v>3306.4690847396378</v>
          </cell>
          <cell r="BX22">
            <v>3919</v>
          </cell>
          <cell r="BY22">
            <v>4362</v>
          </cell>
          <cell r="BZ22">
            <v>3325</v>
          </cell>
          <cell r="CA22">
            <v>3054</v>
          </cell>
          <cell r="CB22">
            <v>2697</v>
          </cell>
          <cell r="CC22">
            <v>3211</v>
          </cell>
          <cell r="CD22">
            <v>2531</v>
          </cell>
          <cell r="CE22">
            <v>2390</v>
          </cell>
          <cell r="CF22">
            <v>979.2</v>
          </cell>
          <cell r="CG22">
            <v>1212.2</v>
          </cell>
          <cell r="CH22">
            <v>774.2</v>
          </cell>
          <cell r="CI22">
            <v>857.4</v>
          </cell>
          <cell r="CJ22">
            <v>2977</v>
          </cell>
          <cell r="CK22">
            <v>2977</v>
          </cell>
          <cell r="CL22">
            <v>2325</v>
          </cell>
          <cell r="CM22">
            <v>2315.4</v>
          </cell>
          <cell r="CN22">
            <v>2413</v>
          </cell>
          <cell r="CO22">
            <v>2705</v>
          </cell>
          <cell r="CP22">
            <v>2623</v>
          </cell>
          <cell r="CQ22">
            <v>3277</v>
          </cell>
          <cell r="CR22">
            <v>3494</v>
          </cell>
          <cell r="CS22">
            <v>3718</v>
          </cell>
          <cell r="CT22">
            <v>3338</v>
          </cell>
          <cell r="CU22">
            <v>4063</v>
          </cell>
          <cell r="CV22">
            <v>4271</v>
          </cell>
          <cell r="CW22">
            <v>5067</v>
          </cell>
          <cell r="CX22">
            <v>4587</v>
          </cell>
          <cell r="CY22">
            <v>4699</v>
          </cell>
          <cell r="CZ22">
            <v>4567</v>
          </cell>
          <cell r="DA22">
            <v>4968</v>
          </cell>
          <cell r="DB22">
            <v>4617</v>
          </cell>
          <cell r="DC22">
            <v>5067</v>
          </cell>
          <cell r="DD22">
            <v>3727</v>
          </cell>
          <cell r="DE22">
            <v>2837</v>
          </cell>
          <cell r="DF22">
            <v>3494</v>
          </cell>
          <cell r="DG22">
            <v>4505</v>
          </cell>
          <cell r="DH22">
            <v>3833.3599999999997</v>
          </cell>
          <cell r="DI22">
            <v>4101.4799999999996</v>
          </cell>
          <cell r="DJ22">
            <v>4070.3199999999997</v>
          </cell>
          <cell r="DK22">
            <v>4669.24</v>
          </cell>
          <cell r="DL22">
            <v>4730</v>
          </cell>
        </row>
        <row r="23">
          <cell r="B23" t="str">
            <v>Interest income</v>
          </cell>
          <cell r="C23" t="str">
            <v>INT_INC_IND</v>
          </cell>
          <cell r="D23" t="str">
            <v>SEK</v>
          </cell>
          <cell r="F23">
            <v>0</v>
          </cell>
          <cell r="G23">
            <v>0</v>
          </cell>
          <cell r="H23">
            <v>0</v>
          </cell>
          <cell r="I23">
            <v>0</v>
          </cell>
          <cell r="J23">
            <v>0</v>
          </cell>
          <cell r="K23">
            <v>692</v>
          </cell>
          <cell r="L23">
            <v>614</v>
          </cell>
          <cell r="M23">
            <v>253</v>
          </cell>
          <cell r="N23">
            <v>130</v>
          </cell>
          <cell r="O23">
            <v>0</v>
          </cell>
          <cell r="P23">
            <v>61</v>
          </cell>
          <cell r="Q23">
            <v>79</v>
          </cell>
          <cell r="R23">
            <v>44</v>
          </cell>
          <cell r="S23">
            <v>44</v>
          </cell>
          <cell r="T23">
            <v>120</v>
          </cell>
          <cell r="U23">
            <v>374</v>
          </cell>
          <cell r="V23">
            <v>334</v>
          </cell>
          <cell r="W23">
            <v>377</v>
          </cell>
          <cell r="X23">
            <v>375</v>
          </cell>
          <cell r="Y23">
            <v>438</v>
          </cell>
          <cell r="Z23">
            <v>377</v>
          </cell>
          <cell r="AA23">
            <v>265</v>
          </cell>
          <cell r="AB23">
            <v>435</v>
          </cell>
          <cell r="AC23">
            <v>209</v>
          </cell>
          <cell r="AD23">
            <v>163</v>
          </cell>
          <cell r="AE23">
            <v>173</v>
          </cell>
          <cell r="AF23">
            <v>191</v>
          </cell>
          <cell r="AG23">
            <v>191</v>
          </cell>
          <cell r="AH23">
            <v>374</v>
          </cell>
          <cell r="AI23">
            <v>492</v>
          </cell>
          <cell r="AJ23">
            <v>1164</v>
          </cell>
          <cell r="AK23">
            <v>877</v>
          </cell>
          <cell r="AL23">
            <v>800</v>
          </cell>
          <cell r="AM23">
            <v>1000</v>
          </cell>
          <cell r="AN23">
            <v>1000</v>
          </cell>
          <cell r="AO23">
            <v>1000</v>
          </cell>
          <cell r="AP23">
            <v>1000</v>
          </cell>
        </row>
        <row r="24">
          <cell r="B24" t="str">
            <v>Interest expense</v>
          </cell>
          <cell r="C24" t="str">
            <v>INT_EXP_IND</v>
          </cell>
          <cell r="D24" t="str">
            <v>SEK</v>
          </cell>
          <cell r="F24">
            <v>0</v>
          </cell>
          <cell r="G24">
            <v>0</v>
          </cell>
          <cell r="H24">
            <v>0</v>
          </cell>
          <cell r="I24">
            <v>0</v>
          </cell>
          <cell r="J24">
            <v>0</v>
          </cell>
          <cell r="K24">
            <v>-266</v>
          </cell>
          <cell r="L24">
            <v>-256</v>
          </cell>
          <cell r="M24">
            <v>-418</v>
          </cell>
          <cell r="N24">
            <v>-790</v>
          </cell>
          <cell r="O24">
            <v>-585</v>
          </cell>
          <cell r="P24">
            <v>-584</v>
          </cell>
          <cell r="Q24">
            <v>-576</v>
          </cell>
          <cell r="R24">
            <v>-752</v>
          </cell>
          <cell r="S24">
            <v>-824</v>
          </cell>
          <cell r="T24">
            <v>-821</v>
          </cell>
          <cell r="U24">
            <v>-1087</v>
          </cell>
          <cell r="V24">
            <v>-1289</v>
          </cell>
          <cell r="W24">
            <v>-1774</v>
          </cell>
          <cell r="X24">
            <v>-2592</v>
          </cell>
          <cell r="Y24">
            <v>-2060</v>
          </cell>
          <cell r="Z24">
            <v>-1617</v>
          </cell>
          <cell r="AA24">
            <v>-1969</v>
          </cell>
          <cell r="AB24">
            <v>-1974</v>
          </cell>
          <cell r="AC24">
            <v>-1885</v>
          </cell>
          <cell r="AD24">
            <v>-2019</v>
          </cell>
          <cell r="AE24">
            <v>-2136</v>
          </cell>
          <cell r="AF24">
            <v>-1843</v>
          </cell>
          <cell r="AG24">
            <v>-1271</v>
          </cell>
          <cell r="AH24">
            <v>-1169</v>
          </cell>
          <cell r="AI24">
            <v>-1728</v>
          </cell>
          <cell r="AJ24">
            <v>-1110</v>
          </cell>
          <cell r="AK24">
            <v>-1071</v>
          </cell>
          <cell r="AL24">
            <v>-1465.8799999999999</v>
          </cell>
          <cell r="AM24">
            <v>-1653.48</v>
          </cell>
          <cell r="AN24">
            <v>-1653.48</v>
          </cell>
          <cell r="AO24">
            <v>-1653.48</v>
          </cell>
          <cell r="AP24">
            <v>-1653.48</v>
          </cell>
        </row>
        <row r="25">
          <cell r="B25" t="str">
            <v>Net interest income/(expense)</v>
          </cell>
          <cell r="C25" t="str">
            <v>NET_INT_EXP</v>
          </cell>
          <cell r="D25" t="str">
            <v>SEK</v>
          </cell>
          <cell r="F25">
            <v>0</v>
          </cell>
          <cell r="G25">
            <v>0</v>
          </cell>
          <cell r="H25">
            <v>0</v>
          </cell>
          <cell r="I25">
            <v>0</v>
          </cell>
          <cell r="J25">
            <v>0</v>
          </cell>
          <cell r="K25">
            <v>426</v>
          </cell>
          <cell r="L25">
            <v>358</v>
          </cell>
          <cell r="M25">
            <v>-165</v>
          </cell>
          <cell r="N25">
            <v>-660</v>
          </cell>
          <cell r="O25">
            <v>-585</v>
          </cell>
          <cell r="P25">
            <v>-523</v>
          </cell>
          <cell r="Q25">
            <v>-497</v>
          </cell>
          <cell r="R25">
            <v>-708</v>
          </cell>
          <cell r="S25">
            <v>-780</v>
          </cell>
          <cell r="T25">
            <v>-701</v>
          </cell>
          <cell r="U25">
            <v>-713</v>
          </cell>
          <cell r="V25">
            <v>-955</v>
          </cell>
          <cell r="W25">
            <v>-1397</v>
          </cell>
          <cell r="X25">
            <v>-2217</v>
          </cell>
          <cell r="Y25">
            <v>-1622</v>
          </cell>
          <cell r="Z25">
            <v>-1240</v>
          </cell>
          <cell r="AA25">
            <v>-1704</v>
          </cell>
          <cell r="AB25">
            <v>-1539</v>
          </cell>
          <cell r="AC25">
            <v>-1676</v>
          </cell>
          <cell r="AD25">
            <v>-1856</v>
          </cell>
          <cell r="AE25">
            <v>-1963</v>
          </cell>
          <cell r="AF25">
            <v>-1652</v>
          </cell>
          <cell r="AG25">
            <v>-1080</v>
          </cell>
          <cell r="AH25">
            <v>-795</v>
          </cell>
          <cell r="AI25">
            <v>-1236</v>
          </cell>
          <cell r="AJ25">
            <v>54</v>
          </cell>
          <cell r="AK25">
            <v>-194</v>
          </cell>
          <cell r="AL25">
            <v>-665.87999999999988</v>
          </cell>
          <cell r="AM25">
            <v>-653.48</v>
          </cell>
          <cell r="AN25">
            <v>-653.48</v>
          </cell>
          <cell r="AO25">
            <v>-653.48</v>
          </cell>
          <cell r="AP25">
            <v>-653.48</v>
          </cell>
        </row>
        <row r="26">
          <cell r="B26" t="str">
            <v>Income/(loss) from unconsolidated subs &amp; associates</v>
          </cell>
          <cell r="C26" t="str">
            <v>ASSOCIATE</v>
          </cell>
          <cell r="D26" t="str">
            <v>SEK</v>
          </cell>
          <cell r="F26">
            <v>0</v>
          </cell>
          <cell r="G26">
            <v>0</v>
          </cell>
          <cell r="H26">
            <v>0</v>
          </cell>
          <cell r="I26">
            <v>0</v>
          </cell>
          <cell r="J26">
            <v>0</v>
          </cell>
          <cell r="K26">
            <v>196</v>
          </cell>
          <cell r="L26">
            <v>172</v>
          </cell>
          <cell r="M26">
            <v>300</v>
          </cell>
          <cell r="N26">
            <v>0</v>
          </cell>
          <cell r="O26">
            <v>0</v>
          </cell>
          <cell r="P26">
            <v>0</v>
          </cell>
          <cell r="Q26">
            <v>0</v>
          </cell>
          <cell r="R26">
            <v>0</v>
          </cell>
          <cell r="S26">
            <v>0</v>
          </cell>
          <cell r="T26">
            <v>122</v>
          </cell>
          <cell r="U26">
            <v>89</v>
          </cell>
          <cell r="V26">
            <v>136</v>
          </cell>
          <cell r="W26">
            <v>119</v>
          </cell>
          <cell r="X26">
            <v>46</v>
          </cell>
          <cell r="Y26">
            <v>0</v>
          </cell>
          <cell r="Z26">
            <v>0</v>
          </cell>
          <cell r="AA26">
            <v>0</v>
          </cell>
          <cell r="AB26">
            <v>0</v>
          </cell>
          <cell r="AC26">
            <v>0</v>
          </cell>
          <cell r="AD26">
            <v>24</v>
          </cell>
          <cell r="AE26">
            <v>8</v>
          </cell>
          <cell r="AF26">
            <v>16</v>
          </cell>
          <cell r="AG26">
            <v>56</v>
          </cell>
          <cell r="AH26">
            <v>45</v>
          </cell>
          <cell r="AI26">
            <v>9</v>
          </cell>
          <cell r="AJ26">
            <v>6</v>
          </cell>
          <cell r="AK26">
            <v>-4</v>
          </cell>
          <cell r="AL26">
            <v>0</v>
          </cell>
          <cell r="AM26">
            <v>0</v>
          </cell>
          <cell r="AN26">
            <v>0</v>
          </cell>
          <cell r="AO26">
            <v>0</v>
          </cell>
          <cell r="AP26">
            <v>0</v>
          </cell>
        </row>
        <row r="27">
          <cell r="B27" t="str">
            <v>Profit/(loss) on disposals of assets, pre-tax</v>
          </cell>
          <cell r="C27" t="str">
            <v>PROFIT_ON_DISP</v>
          </cell>
          <cell r="D27" t="str">
            <v>SEK</v>
          </cell>
        </row>
        <row r="28">
          <cell r="B28" t="str">
            <v>Other non-ops income/(expense)</v>
          </cell>
          <cell r="C28" t="str">
            <v>OTH_COST_INC</v>
          </cell>
          <cell r="D28" t="str">
            <v>SEK</v>
          </cell>
        </row>
        <row r="29">
          <cell r="B29" t="str">
            <v>Pre-tax profit</v>
          </cell>
          <cell r="C29" t="str">
            <v>PT_PROF</v>
          </cell>
          <cell r="D29" t="str">
            <v>SEK</v>
          </cell>
          <cell r="F29">
            <v>0</v>
          </cell>
          <cell r="G29">
            <v>0</v>
          </cell>
          <cell r="H29">
            <v>0</v>
          </cell>
          <cell r="I29">
            <v>0</v>
          </cell>
          <cell r="J29">
            <v>0</v>
          </cell>
          <cell r="K29">
            <v>5816</v>
          </cell>
          <cell r="L29">
            <v>4625</v>
          </cell>
          <cell r="M29">
            <v>5105</v>
          </cell>
          <cell r="N29">
            <v>4735</v>
          </cell>
          <cell r="O29">
            <v>3840</v>
          </cell>
          <cell r="P29">
            <v>5644</v>
          </cell>
          <cell r="Q29">
            <v>5781</v>
          </cell>
          <cell r="R29">
            <v>5063</v>
          </cell>
          <cell r="S29">
            <v>4787</v>
          </cell>
          <cell r="T29">
            <v>6999</v>
          </cell>
          <cell r="U29">
            <v>8908</v>
          </cell>
          <cell r="V29">
            <v>11249</v>
          </cell>
          <cell r="W29">
            <v>13116</v>
          </cell>
          <cell r="X29">
            <v>10923</v>
          </cell>
          <cell r="Y29">
            <v>-524</v>
          </cell>
          <cell r="Z29">
            <v>10189</v>
          </cell>
          <cell r="AA29">
            <v>11814</v>
          </cell>
          <cell r="AB29">
            <v>13101</v>
          </cell>
          <cell r="AC29">
            <v>9152</v>
          </cell>
          <cell r="AD29">
            <v>8296.0000024991004</v>
          </cell>
          <cell r="AE29">
            <v>8639.4</v>
          </cell>
          <cell r="AF29">
            <v>9382</v>
          </cell>
          <cell r="AG29">
            <v>12888</v>
          </cell>
          <cell r="AH29">
            <v>17874</v>
          </cell>
          <cell r="AI29">
            <v>17991</v>
          </cell>
          <cell r="AJ29">
            <v>14623</v>
          </cell>
          <cell r="AK29">
            <v>16476.400000000001</v>
          </cell>
          <cell r="AL29">
            <v>19839.099280259248</v>
          </cell>
          <cell r="AM29">
            <v>20835.009736641758</v>
          </cell>
          <cell r="AN29">
            <v>22054.77471709235</v>
          </cell>
          <cell r="AO29">
            <v>23520.95347425251</v>
          </cell>
          <cell r="AP29">
            <v>24373.959724292323</v>
          </cell>
        </row>
        <row r="30">
          <cell r="A30" t="str">
            <v>Additional Income Statement Items</v>
          </cell>
        </row>
        <row r="31">
          <cell r="B31" t="str">
            <v>Organic revenues (excl. acquisitions)</v>
          </cell>
          <cell r="C31" t="str">
            <v>ORG_REV</v>
          </cell>
          <cell r="D31" t="str">
            <v>SEK</v>
          </cell>
        </row>
        <row r="32">
          <cell r="B32" t="str">
            <v>Organic sales growth (excl. acquisitions)</v>
          </cell>
          <cell r="C32" t="str">
            <v>ORG_REV_GRTH</v>
          </cell>
          <cell r="L32">
            <v>0</v>
          </cell>
          <cell r="M32">
            <v>0.04</v>
          </cell>
          <cell r="N32">
            <v>0.01</v>
          </cell>
          <cell r="O32">
            <v>-0.08</v>
          </cell>
          <cell r="P32">
            <v>0.12</v>
          </cell>
          <cell r="Q32">
            <v>0.03</v>
          </cell>
          <cell r="R32">
            <v>-7.0000000000000007E-2</v>
          </cell>
          <cell r="S32">
            <v>0.05</v>
          </cell>
          <cell r="T32">
            <v>0.15</v>
          </cell>
          <cell r="U32">
            <v>0.14000000000000001</v>
          </cell>
          <cell r="V32">
            <v>0.14000000000000001</v>
          </cell>
          <cell r="W32">
            <v>0.18</v>
          </cell>
          <cell r="X32">
            <v>0.05</v>
          </cell>
          <cell r="Y32">
            <v>-0.26</v>
          </cell>
          <cell r="Z32">
            <v>0.16931694901109906</v>
          </cell>
          <cell r="AA32">
            <v>0.20284496040434521</v>
          </cell>
          <cell r="AB32">
            <v>5.1735321013121241E-2</v>
          </cell>
          <cell r="AC32">
            <v>-5.8935237341290379E-2</v>
          </cell>
          <cell r="AD32">
            <v>-2.3129869690181729E-2</v>
          </cell>
          <cell r="AE32">
            <v>-4.3398136974640684E-2</v>
          </cell>
          <cell r="AF32">
            <v>-3.636661737672451E-2</v>
          </cell>
          <cell r="AG32">
            <v>0.14449021801342421</v>
          </cell>
          <cell r="AH32">
            <v>0.11610657453936349</v>
          </cell>
          <cell r="AI32">
            <v>-3.7527975795755984E-3</v>
          </cell>
          <cell r="AJ32">
            <v>-0.110875153</v>
          </cell>
          <cell r="AK32">
            <v>0.15371421084569981</v>
          </cell>
          <cell r="AL32">
            <v>9.788275729483116E-2</v>
          </cell>
          <cell r="AM32">
            <v>3.6621298259077874E-2</v>
          </cell>
          <cell r="AN32">
            <v>4.6876493053417581E-2</v>
          </cell>
          <cell r="AO32">
            <v>5.3398470286917854E-2</v>
          </cell>
          <cell r="AP32">
            <v>3.5865311604014509E-2</v>
          </cell>
          <cell r="AV32">
            <v>0.14000000000000001</v>
          </cell>
          <cell r="AW32">
            <v>0.17</v>
          </cell>
          <cell r="AX32">
            <v>0.12</v>
          </cell>
          <cell r="AY32">
            <v>0.11</v>
          </cell>
          <cell r="AZ32">
            <v>0.15</v>
          </cell>
          <cell r="BA32">
            <v>0.08</v>
          </cell>
          <cell r="BB32">
            <v>0.15</v>
          </cell>
          <cell r="BC32">
            <v>0.17</v>
          </cell>
          <cell r="BD32">
            <v>0.21</v>
          </cell>
          <cell r="BE32">
            <v>0.21</v>
          </cell>
          <cell r="BF32">
            <v>0.16</v>
          </cell>
          <cell r="BG32">
            <v>0.14000000000000001</v>
          </cell>
          <cell r="BH32">
            <v>0.05</v>
          </cell>
          <cell r="BI32">
            <v>0.12</v>
          </cell>
          <cell r="BJ32">
            <v>7.0000000000000007E-2</v>
          </cell>
          <cell r="BK32">
            <v>-0.01</v>
          </cell>
          <cell r="BL32">
            <v>-0.25</v>
          </cell>
          <cell r="BM32">
            <v>-0.35</v>
          </cell>
          <cell r="BN32">
            <v>-0.32</v>
          </cell>
          <cell r="BO32">
            <v>-0.26</v>
          </cell>
          <cell r="BP32">
            <v>0</v>
          </cell>
          <cell r="BQ32">
            <v>0.15</v>
          </cell>
          <cell r="BR32">
            <v>0.21</v>
          </cell>
          <cell r="BS32">
            <v>0.31</v>
          </cell>
          <cell r="BT32">
            <v>0.27</v>
          </cell>
          <cell r="BU32">
            <v>0.24</v>
          </cell>
          <cell r="BV32">
            <v>0.22</v>
          </cell>
          <cell r="BW32">
            <v>0.09</v>
          </cell>
          <cell r="BX32">
            <v>0.10160243121687146</v>
          </cell>
          <cell r="BY32">
            <v>8.9761868991794475E-2</v>
          </cell>
          <cell r="BZ32">
            <v>3.3247239050870479E-2</v>
          </cell>
          <cell r="CA32">
            <v>7.6433177957101984E-3</v>
          </cell>
          <cell r="CB32">
            <v>-3.1633786939367102E-2</v>
          </cell>
          <cell r="CC32">
            <v>-5.5794363699448707E-2</v>
          </cell>
          <cell r="CD32">
            <v>-8.0239071038251369E-2</v>
          </cell>
          <cell r="CE32">
            <v>-6.9645675764551135E-2</v>
          </cell>
          <cell r="CF32">
            <v>-4.2469434100000002E-2</v>
          </cell>
          <cell r="CG32">
            <v>-5.3426065699999997E-2</v>
          </cell>
          <cell r="CH32">
            <v>1.04187849E-2</v>
          </cell>
          <cell r="CI32">
            <v>-2.8932317999999999E-3</v>
          </cell>
          <cell r="CJ32">
            <v>-1.7717918400000001E-2</v>
          </cell>
          <cell r="CK32">
            <v>-4.0770021500000003E-2</v>
          </cell>
          <cell r="CL32">
            <v>-5.5667872E-2</v>
          </cell>
          <cell r="CM32">
            <v>-5.5843151971135589E-2</v>
          </cell>
          <cell r="CN32">
            <v>-6.1363491663203713E-2</v>
          </cell>
          <cell r="CO32">
            <v>-3.2852857909251708E-2</v>
          </cell>
          <cell r="CP32">
            <v>-4.6735140389423176E-2</v>
          </cell>
          <cell r="CQ32">
            <v>-3.589667474584262E-3</v>
          </cell>
          <cell r="CR32">
            <v>5.2154838709677416E-2</v>
          </cell>
          <cell r="CS32">
            <v>0.09</v>
          </cell>
          <cell r="CT32">
            <v>0.12</v>
          </cell>
          <cell r="CU32">
            <v>0.15</v>
          </cell>
          <cell r="CV32">
            <v>0.14000000000000001</v>
          </cell>
          <cell r="CW32">
            <v>0.12446848626324294</v>
          </cell>
          <cell r="CX32">
            <v>0.11386653629919337</v>
          </cell>
          <cell r="CY32">
            <v>9.2718853362734291E-2</v>
          </cell>
          <cell r="CZ32">
            <v>2.678657494632607E-2</v>
          </cell>
          <cell r="DA32">
            <v>-3.6425019205110569E-3</v>
          </cell>
          <cell r="DB32">
            <v>-1.2348008385744239E-2</v>
          </cell>
          <cell r="DC32">
            <v>-2.605913261704965E-2</v>
          </cell>
          <cell r="DD32">
            <v>-7.0000000000000007E-2</v>
          </cell>
          <cell r="DE32">
            <v>-0.20391503974072075</v>
          </cell>
          <cell r="DF32">
            <v>-0.11074171820000001</v>
          </cell>
          <cell r="DG32">
            <v>-5.8531726200000002E-2</v>
          </cell>
          <cell r="DH32">
            <v>3.3643621104344712E-2</v>
          </cell>
          <cell r="DI32">
            <v>0.26956261950286803</v>
          </cell>
          <cell r="DJ32">
            <v>0.14546349942062572</v>
          </cell>
          <cell r="DK32">
            <v>0.16093084545646213</v>
          </cell>
          <cell r="DL32">
            <v>8.9366398618381984E-2</v>
          </cell>
        </row>
        <row r="33">
          <cell r="B33" t="str">
            <v>Growth from acquisitions</v>
          </cell>
          <cell r="C33" t="str">
            <v>ACQ_GRTH</v>
          </cell>
          <cell r="L33">
            <v>0.02</v>
          </cell>
          <cell r="M33">
            <v>0.1071112683530869</v>
          </cell>
          <cell r="N33">
            <v>0.22270934083648397</v>
          </cell>
          <cell r="O33">
            <v>-1.3113207547169766E-2</v>
          </cell>
          <cell r="P33">
            <v>-3.6768447837150026E-2</v>
          </cell>
          <cell r="Q33">
            <v>7.7142857142856597E-3</v>
          </cell>
          <cell r="R33">
            <v>0.09</v>
          </cell>
          <cell r="S33">
            <v>0.02</v>
          </cell>
          <cell r="T33">
            <v>-0.01</v>
          </cell>
          <cell r="U33">
            <v>-0.01</v>
          </cell>
          <cell r="V33">
            <v>0.01</v>
          </cell>
          <cell r="W33">
            <v>0.03</v>
          </cell>
          <cell r="X33">
            <v>0.02</v>
          </cell>
          <cell r="Y33">
            <v>4.1876227685798779E-3</v>
          </cell>
          <cell r="Z33">
            <v>5.1638239014693416E-3</v>
          </cell>
          <cell r="AA33">
            <v>2.8160609551961891E-3</v>
          </cell>
          <cell r="AB33">
            <v>0</v>
          </cell>
          <cell r="AC33">
            <v>0</v>
          </cell>
          <cell r="AD33">
            <v>2.1471022707753619E-2</v>
          </cell>
          <cell r="AE33">
            <v>-8.7947670032987695E-3</v>
          </cell>
          <cell r="AF33">
            <v>0</v>
          </cell>
          <cell r="AG33">
            <v>0</v>
          </cell>
          <cell r="AH33">
            <v>1.7652274352345863E-3</v>
          </cell>
          <cell r="AI33">
            <v>8.5409666253221713E-3</v>
          </cell>
          <cell r="AJ33">
            <v>2.6904821867916851E-3</v>
          </cell>
          <cell r="AK33">
            <v>7.3775219062583663E-2</v>
          </cell>
          <cell r="AL33">
            <v>9.9094690526759288E-2</v>
          </cell>
          <cell r="AM33">
            <v>1.9420409332552738E-2</v>
          </cell>
          <cell r="AN33">
            <v>2.0125089354521751E-2</v>
          </cell>
          <cell r="AO33">
            <v>2.0625405083099433E-2</v>
          </cell>
          <cell r="AP33">
            <v>2.1248061383264894E-2</v>
          </cell>
          <cell r="AV33">
            <v>0</v>
          </cell>
          <cell r="AW33">
            <v>0</v>
          </cell>
          <cell r="AX33">
            <v>0</v>
          </cell>
          <cell r="AY33">
            <v>0</v>
          </cell>
          <cell r="AZ33">
            <v>0</v>
          </cell>
          <cell r="BA33">
            <v>0.01</v>
          </cell>
          <cell r="BB33">
            <v>0.02</v>
          </cell>
          <cell r="BC33">
            <v>0.02</v>
          </cell>
          <cell r="BD33">
            <v>0.01</v>
          </cell>
          <cell r="BE33">
            <v>0.04</v>
          </cell>
          <cell r="BF33">
            <v>0.05</v>
          </cell>
          <cell r="BG33">
            <v>0.04</v>
          </cell>
          <cell r="BH33">
            <v>0.04</v>
          </cell>
          <cell r="BI33">
            <v>0.04</v>
          </cell>
          <cell r="BJ33">
            <v>0.01</v>
          </cell>
          <cell r="BK33">
            <v>0</v>
          </cell>
          <cell r="BL33">
            <v>0</v>
          </cell>
          <cell r="BM33">
            <v>0</v>
          </cell>
          <cell r="BN33">
            <v>0</v>
          </cell>
          <cell r="BO33">
            <v>0.01</v>
          </cell>
          <cell r="BP33">
            <v>0.01</v>
          </cell>
          <cell r="BQ33">
            <v>0.01</v>
          </cell>
          <cell r="BR33">
            <v>0</v>
          </cell>
          <cell r="BS33">
            <v>0</v>
          </cell>
          <cell r="BT33">
            <v>0</v>
          </cell>
          <cell r="BU33">
            <v>0</v>
          </cell>
          <cell r="BV33">
            <v>0</v>
          </cell>
          <cell r="BW33">
            <v>0.01</v>
          </cell>
          <cell r="BX33">
            <v>0</v>
          </cell>
          <cell r="BY33">
            <v>0</v>
          </cell>
          <cell r="BZ33">
            <v>0</v>
          </cell>
          <cell r="CA33">
            <v>0</v>
          </cell>
          <cell r="CB33">
            <v>-1.2480876076978823E-2</v>
          </cell>
          <cell r="CC33">
            <v>-8.0959173445391101E-3</v>
          </cell>
          <cell r="CD33">
            <v>0</v>
          </cell>
          <cell r="CE33">
            <v>-2.0552449852022361E-3</v>
          </cell>
          <cell r="CF33">
            <v>-6.7879446103719793E-4</v>
          </cell>
          <cell r="CG33">
            <v>1.6924879572972271E-2</v>
          </cell>
          <cell r="CH33">
            <v>4.653213166144201E-2</v>
          </cell>
          <cell r="CI33">
            <v>2.5264124942581533E-2</v>
          </cell>
          <cell r="CJ33">
            <v>1.9334163036714373E-2</v>
          </cell>
          <cell r="CK33">
            <v>8.3879410624272972E-3</v>
          </cell>
          <cell r="CL33">
            <v>-1.4295966700157888E-2</v>
          </cell>
          <cell r="CM33">
            <v>-6.6685100695884581E-4</v>
          </cell>
          <cell r="CN33">
            <v>0</v>
          </cell>
          <cell r="CO33">
            <v>0</v>
          </cell>
          <cell r="CP33">
            <v>0</v>
          </cell>
          <cell r="CQ33">
            <v>0</v>
          </cell>
          <cell r="CR33">
            <v>0</v>
          </cell>
          <cell r="CS33">
            <v>0</v>
          </cell>
          <cell r="CT33">
            <v>0</v>
          </cell>
          <cell r="CU33">
            <v>0</v>
          </cell>
          <cell r="CV33">
            <v>-1.5045711397987779E-3</v>
          </cell>
          <cell r="CW33">
            <v>-4.7830332880434779E-3</v>
          </cell>
          <cell r="CX33">
            <v>-0.05</v>
          </cell>
          <cell r="CY33">
            <v>-0.04</v>
          </cell>
          <cell r="CZ33">
            <v>-0.03</v>
          </cell>
          <cell r="DA33">
            <v>1.1677489598320176E-2</v>
          </cell>
          <cell r="DB33">
            <v>5.7937106918238999E-3</v>
          </cell>
          <cell r="DC33">
            <v>8.4934514940004716E-3</v>
          </cell>
          <cell r="DD33">
            <v>0</v>
          </cell>
          <cell r="DE33">
            <v>-0.02</v>
          </cell>
          <cell r="DF33">
            <v>-0.02</v>
          </cell>
          <cell r="DG33">
            <v>-0.02</v>
          </cell>
          <cell r="DH33">
            <v>8.915101581290618E-3</v>
          </cell>
          <cell r="DI33">
            <v>1.2460564053537284E-2</v>
          </cell>
          <cell r="DJ33">
            <v>0.11450463499420627</v>
          </cell>
          <cell r="DK33">
            <v>0.14762386675100148</v>
          </cell>
          <cell r="DL33">
            <v>0.17612553294835126</v>
          </cell>
        </row>
        <row r="34">
          <cell r="B34" t="str">
            <v>Growth from foreign exchange</v>
          </cell>
          <cell r="C34" t="str">
            <v>FOREX_GRTH</v>
          </cell>
          <cell r="L34">
            <v>-7.0000000000000007E-2</v>
          </cell>
          <cell r="M34">
            <v>0.06</v>
          </cell>
          <cell r="N34">
            <v>0.01</v>
          </cell>
          <cell r="O34">
            <v>0.02</v>
          </cell>
          <cell r="P34">
            <v>0.03</v>
          </cell>
          <cell r="Q34">
            <v>0.08</v>
          </cell>
          <cell r="R34">
            <v>-0.02</v>
          </cell>
          <cell r="S34">
            <v>-7.0000000000000007E-2</v>
          </cell>
          <cell r="T34">
            <v>-0.02</v>
          </cell>
          <cell r="U34">
            <v>0.03</v>
          </cell>
          <cell r="V34">
            <v>-0.01</v>
          </cell>
          <cell r="W34">
            <v>-0.02</v>
          </cell>
          <cell r="X34">
            <v>0</v>
          </cell>
          <cell r="Y34">
            <v>3.221706564206616E-2</v>
          </cell>
          <cell r="Z34">
            <v>3.429389604793093E-4</v>
          </cell>
          <cell r="AA34">
            <v>-5.6007139526105518E-2</v>
          </cell>
          <cell r="AB34">
            <v>0.01</v>
          </cell>
          <cell r="AC34">
            <v>-4.5164367851089529E-2</v>
          </cell>
          <cell r="AD34">
            <v>2.2100839373847721E-2</v>
          </cell>
          <cell r="AE34">
            <v>7.57399777012943E-2</v>
          </cell>
          <cell r="AF34">
            <v>-1.7826698726939878E-2</v>
          </cell>
          <cell r="AG34">
            <v>-0.04</v>
          </cell>
          <cell r="AH34">
            <v>2.3580150488427348E-2</v>
          </cell>
          <cell r="AI34">
            <v>4.3335774452852631E-2</v>
          </cell>
          <cell r="AJ34">
            <v>-5.6863396522502462E-2</v>
          </cell>
          <cell r="AK34">
            <v>-1.7067884038323967E-2</v>
          </cell>
          <cell r="AL34">
            <v>5.3773730534628743E-2</v>
          </cell>
          <cell r="AM34">
            <v>0</v>
          </cell>
          <cell r="AN34">
            <v>0</v>
          </cell>
          <cell r="AO34">
            <v>0</v>
          </cell>
          <cell r="AP34">
            <v>0</v>
          </cell>
          <cell r="AV34">
            <v>0</v>
          </cell>
          <cell r="AW34">
            <v>0</v>
          </cell>
          <cell r="AX34">
            <v>0</v>
          </cell>
          <cell r="AY34">
            <v>0</v>
          </cell>
          <cell r="AZ34">
            <v>0.08</v>
          </cell>
          <cell r="BA34">
            <v>0.02</v>
          </cell>
          <cell r="BB34">
            <v>-0.03</v>
          </cell>
          <cell r="BC34">
            <v>-7.0000000000000007E-2</v>
          </cell>
          <cell r="BD34">
            <v>-0.05</v>
          </cell>
          <cell r="BE34">
            <v>-0.02</v>
          </cell>
          <cell r="BF34">
            <v>-0.01</v>
          </cell>
          <cell r="BG34">
            <v>-0.01</v>
          </cell>
          <cell r="BH34">
            <v>-0.02</v>
          </cell>
          <cell r="BI34">
            <v>-0.03</v>
          </cell>
          <cell r="BJ34">
            <v>-0.02</v>
          </cell>
          <cell r="BK34">
            <v>7.0000000000000007E-2</v>
          </cell>
          <cell r="BL34">
            <v>0.12</v>
          </cell>
          <cell r="BM34">
            <v>0.16</v>
          </cell>
          <cell r="BN34">
            <v>7.0000000000000007E-2</v>
          </cell>
          <cell r="BO34">
            <v>-0.01</v>
          </cell>
          <cell r="BP34">
            <v>-0.04</v>
          </cell>
          <cell r="BQ34">
            <v>-0.02</v>
          </cell>
          <cell r="BR34">
            <v>0.01</v>
          </cell>
          <cell r="BS34">
            <v>-0.03</v>
          </cell>
          <cell r="BT34">
            <v>-7.0000000000000007E-2</v>
          </cell>
          <cell r="BU34">
            <v>-0.09</v>
          </cell>
          <cell r="BV34">
            <v>-0.05</v>
          </cell>
          <cell r="BW34">
            <v>-0.02</v>
          </cell>
          <cell r="BX34">
            <v>0.02</v>
          </cell>
          <cell r="BY34">
            <v>0.03</v>
          </cell>
          <cell r="BZ34">
            <v>-0.03</v>
          </cell>
          <cell r="CA34">
            <v>-0.03</v>
          </cell>
          <cell r="CB34">
            <v>-5.3144375553587246E-2</v>
          </cell>
          <cell r="CC34">
            <v>-5.0888623308531555E-2</v>
          </cell>
          <cell r="CD34">
            <v>-4.2264344262295084E-2</v>
          </cell>
          <cell r="CE34">
            <v>-3.3706017757316672E-2</v>
          </cell>
          <cell r="CF34">
            <v>-2.2626482034573264E-2</v>
          </cell>
          <cell r="CG34">
            <v>-1.3019138133055592E-3</v>
          </cell>
          <cell r="CH34">
            <v>4.9960815047021941E-2</v>
          </cell>
          <cell r="CI34">
            <v>6.6146072576940745E-2</v>
          </cell>
          <cell r="CJ34">
            <v>0.12495436631404272</v>
          </cell>
          <cell r="CK34">
            <v>0.10339908879410624</v>
          </cell>
          <cell r="CL34">
            <v>5.837663269700015E-2</v>
          </cell>
          <cell r="CM34">
            <v>2.2428683349463109E-2</v>
          </cell>
          <cell r="CN34">
            <v>-4.6057748113755077E-2</v>
          </cell>
          <cell r="CO34">
            <v>-5.9389770384928819E-2</v>
          </cell>
          <cell r="CP34">
            <v>-4.2215416028586012E-3</v>
          </cell>
          <cell r="CQ34">
            <v>4.2370208882579599E-2</v>
          </cell>
          <cell r="CR34">
            <v>5.2319354838709677E-2</v>
          </cell>
          <cell r="CS34">
            <v>0.06</v>
          </cell>
          <cell r="CT34">
            <v>-0.02</v>
          </cell>
          <cell r="CU34">
            <v>-0.04</v>
          </cell>
          <cell r="CV34">
            <v>-1.6900353746496993E-2</v>
          </cell>
          <cell r="CW34">
            <v>1.3148777173913044E-2</v>
          </cell>
          <cell r="CX34">
            <v>0.06</v>
          </cell>
          <cell r="CY34">
            <v>3.7716410427807483E-2</v>
          </cell>
          <cell r="CZ34">
            <v>0.06</v>
          </cell>
          <cell r="DA34">
            <v>3.6964264883151222E-2</v>
          </cell>
          <cell r="DB34">
            <v>3.8597903563941299E-2</v>
          </cell>
          <cell r="DC34">
            <v>4.2573915771312053E-2</v>
          </cell>
          <cell r="DD34">
            <v>1.985375209781827E-2</v>
          </cell>
          <cell r="DE34">
            <v>-2.1009559073563302E-2</v>
          </cell>
          <cell r="DF34">
            <v>-7.9219091523268309E-2</v>
          </cell>
          <cell r="DG34">
            <v>-8.7643982996652006E-2</v>
          </cell>
          <cell r="DH34">
            <v>-9.4218821964075536E-2</v>
          </cell>
          <cell r="DI34">
            <v>-6.0560468451242834E-2</v>
          </cell>
          <cell r="DJ34">
            <v>6.2224797219003446E-4</v>
          </cell>
          <cell r="DK34">
            <v>2.0470166561248157E-2</v>
          </cell>
          <cell r="DL34">
            <v>7.0520805224243074E-2</v>
          </cell>
        </row>
        <row r="35">
          <cell r="B35" t="str">
            <v>Operating lease cost</v>
          </cell>
          <cell r="C35" t="str">
            <v>LEASE_PAY</v>
          </cell>
          <cell r="D35" t="str">
            <v>SEK</v>
          </cell>
        </row>
        <row r="36">
          <cell r="B36" t="str">
            <v>Lease payments (deemed interest portion)</v>
          </cell>
          <cell r="C36" t="str">
            <v>LEASE_DEEM_INT</v>
          </cell>
          <cell r="D36" t="str">
            <v>SEK</v>
          </cell>
        </row>
        <row r="37">
          <cell r="B37" t="str">
            <v>Lease payments (deemed depreciation portion)</v>
          </cell>
          <cell r="C37" t="str">
            <v>LEASE_DEEM_DEPR</v>
          </cell>
          <cell r="D37" t="str">
            <v>SEK</v>
          </cell>
        </row>
        <row r="38">
          <cell r="B38" t="str">
            <v>Gross interest charge</v>
          </cell>
          <cell r="C38" t="str">
            <v>NET_INT_CH</v>
          </cell>
          <cell r="D38" t="str">
            <v>SEK</v>
          </cell>
        </row>
        <row r="39">
          <cell r="B39" t="str">
            <v>Income from associates (operating)</v>
          </cell>
          <cell r="C39" t="str">
            <v>ASSOCIATE_OP</v>
          </cell>
          <cell r="D39" t="str">
            <v>SEK</v>
          </cell>
          <cell r="K39">
            <v>196</v>
          </cell>
          <cell r="L39">
            <v>172</v>
          </cell>
          <cell r="M39">
            <v>300</v>
          </cell>
          <cell r="N39">
            <v>0</v>
          </cell>
          <cell r="O39">
            <v>0</v>
          </cell>
          <cell r="P39">
            <v>0</v>
          </cell>
          <cell r="Q39">
            <v>0</v>
          </cell>
          <cell r="R39">
            <v>0</v>
          </cell>
          <cell r="S39">
            <v>0</v>
          </cell>
          <cell r="T39">
            <v>122</v>
          </cell>
          <cell r="U39">
            <v>89</v>
          </cell>
          <cell r="V39">
            <v>136</v>
          </cell>
          <cell r="W39">
            <v>119</v>
          </cell>
          <cell r="X39">
            <v>46</v>
          </cell>
          <cell r="Y39">
            <v>0</v>
          </cell>
          <cell r="Z39">
            <v>0</v>
          </cell>
          <cell r="AA39">
            <v>0</v>
          </cell>
          <cell r="AB39">
            <v>0</v>
          </cell>
          <cell r="AC39">
            <v>0</v>
          </cell>
          <cell r="AD39">
            <v>24</v>
          </cell>
          <cell r="AE39">
            <v>8</v>
          </cell>
          <cell r="AF39">
            <v>16</v>
          </cell>
          <cell r="AG39">
            <v>56</v>
          </cell>
          <cell r="AH39">
            <v>45</v>
          </cell>
          <cell r="AI39">
            <v>9</v>
          </cell>
          <cell r="AJ39">
            <v>6</v>
          </cell>
          <cell r="AK39">
            <v>-4</v>
          </cell>
          <cell r="AL39">
            <v>0</v>
          </cell>
          <cell r="AM39">
            <v>0</v>
          </cell>
          <cell r="AN39">
            <v>0</v>
          </cell>
          <cell r="AO39">
            <v>0</v>
          </cell>
          <cell r="AP39">
            <v>0</v>
          </cell>
        </row>
        <row r="40">
          <cell r="B40" t="str">
            <v>Goodwill amortization</v>
          </cell>
          <cell r="C40" t="str">
            <v>GW_AMORT</v>
          </cell>
          <cell r="D40" t="str">
            <v>SEK</v>
          </cell>
        </row>
        <row r="41">
          <cell r="B41" t="str">
            <v>Other intangible amortization</v>
          </cell>
          <cell r="C41" t="str">
            <v>OTH_INT_AMORT</v>
          </cell>
          <cell r="D41" t="str">
            <v>SEK</v>
          </cell>
        </row>
        <row r="42">
          <cell r="B42" t="str">
            <v>Depreciation ROU assets   (applicable to IFRS cos.)</v>
          </cell>
          <cell r="C42" t="str">
            <v>DEPR_ROU_ASSETS</v>
          </cell>
          <cell r="D42" t="str">
            <v>SEK</v>
          </cell>
        </row>
        <row r="43">
          <cell r="B43" t="str">
            <v>Lease interest charge  (applicable to IFRS cos.)</v>
          </cell>
          <cell r="C43" t="str">
            <v>LEASE_INT_CHG</v>
          </cell>
          <cell r="D43" t="str">
            <v>SEK</v>
          </cell>
        </row>
        <row r="44">
          <cell r="B44" t="str">
            <v>Lease standard adopted (US GAAP ASC 842/ IFRS 16)</v>
          </cell>
          <cell r="C44" t="str">
            <v>LEASE_ADOPT</v>
          </cell>
          <cell r="E44" t="str">
            <v>Y</v>
          </cell>
        </row>
        <row r="45">
          <cell r="A45" t="str">
            <v>Balance Sheet</v>
          </cell>
        </row>
        <row r="46">
          <cell r="B46" t="str">
            <v>Cash &amp; cash equivalents</v>
          </cell>
          <cell r="C46" t="str">
            <v>CASH_EQ</v>
          </cell>
          <cell r="D46" t="str">
            <v>SEK</v>
          </cell>
          <cell r="M46">
            <v>2494</v>
          </cell>
          <cell r="N46">
            <v>1800</v>
          </cell>
          <cell r="O46">
            <v>2369</v>
          </cell>
          <cell r="P46">
            <v>2097</v>
          </cell>
          <cell r="Q46">
            <v>2258</v>
          </cell>
          <cell r="R46">
            <v>2175</v>
          </cell>
          <cell r="S46">
            <v>1972</v>
          </cell>
          <cell r="T46">
            <v>1720</v>
          </cell>
          <cell r="U46">
            <v>1559</v>
          </cell>
          <cell r="V46">
            <v>1745</v>
          </cell>
          <cell r="W46">
            <v>2006</v>
          </cell>
          <cell r="X46">
            <v>4998</v>
          </cell>
          <cell r="Y46">
            <v>7506</v>
          </cell>
          <cell r="Z46">
            <v>4783</v>
          </cell>
          <cell r="AA46">
            <v>5592</v>
          </cell>
          <cell r="AB46">
            <v>13829</v>
          </cell>
          <cell r="AC46">
            <v>5076</v>
          </cell>
          <cell r="AD46">
            <v>6327</v>
          </cell>
          <cell r="AE46">
            <v>6376</v>
          </cell>
          <cell r="AF46">
            <v>8818</v>
          </cell>
          <cell r="AG46">
            <v>12724</v>
          </cell>
          <cell r="AH46">
            <v>18089</v>
          </cell>
          <cell r="AI46">
            <v>16987</v>
          </cell>
          <cell r="AJ46">
            <v>23752</v>
          </cell>
          <cell r="AK46">
            <v>13585</v>
          </cell>
          <cell r="AL46">
            <v>1475.2360570719029</v>
          </cell>
          <cell r="AM46">
            <v>9565.0775285467389</v>
          </cell>
          <cell r="AN46">
            <v>9970.5504206998448</v>
          </cell>
          <cell r="AO46">
            <v>8416.7283141050866</v>
          </cell>
          <cell r="AP46">
            <v>8272.2862793611966</v>
          </cell>
        </row>
        <row r="47">
          <cell r="B47" t="str">
            <v>Accounts receivable</v>
          </cell>
          <cell r="C47" t="str">
            <v>DEBTORS</v>
          </cell>
          <cell r="D47" t="str">
            <v>SEK</v>
          </cell>
          <cell r="M47">
            <v>8350</v>
          </cell>
          <cell r="N47">
            <v>8629</v>
          </cell>
          <cell r="O47">
            <v>8038</v>
          </cell>
          <cell r="P47">
            <v>9090</v>
          </cell>
          <cell r="Q47">
            <v>9847</v>
          </cell>
          <cell r="R47">
            <v>9649</v>
          </cell>
          <cell r="S47">
            <v>9252</v>
          </cell>
          <cell r="T47">
            <v>9939</v>
          </cell>
          <cell r="U47">
            <v>11777</v>
          </cell>
          <cell r="V47">
            <v>12574</v>
          </cell>
          <cell r="W47">
            <v>15228</v>
          </cell>
          <cell r="X47">
            <v>15930</v>
          </cell>
          <cell r="Y47">
            <v>11587</v>
          </cell>
          <cell r="Z47">
            <v>12738</v>
          </cell>
          <cell r="AA47">
            <v>14563</v>
          </cell>
          <cell r="AB47">
            <v>13579</v>
          </cell>
          <cell r="AC47">
            <v>12682</v>
          </cell>
          <cell r="AD47">
            <v>13840</v>
          </cell>
          <cell r="AE47">
            <v>11955.594016110472</v>
          </cell>
          <cell r="AF47">
            <v>13301</v>
          </cell>
          <cell r="AG47">
            <v>13239</v>
          </cell>
          <cell r="AH47">
            <v>15378</v>
          </cell>
          <cell r="AI47">
            <v>14878</v>
          </cell>
          <cell r="AJ47">
            <v>12369</v>
          </cell>
          <cell r="AK47">
            <v>17341</v>
          </cell>
          <cell r="AL47">
            <v>17816.436114908898</v>
          </cell>
          <cell r="AM47">
            <v>16671.338412821511</v>
          </cell>
          <cell r="AN47">
            <v>18083.478054619693</v>
          </cell>
          <cell r="AO47">
            <v>19748.153089542091</v>
          </cell>
          <cell r="AP47">
            <v>21127.613984748888</v>
          </cell>
        </row>
        <row r="48">
          <cell r="B48" t="str">
            <v>Inventory</v>
          </cell>
          <cell r="C48" t="str">
            <v>STOCKS</v>
          </cell>
          <cell r="D48" t="str">
            <v>SEK</v>
          </cell>
          <cell r="M48">
            <v>10039</v>
          </cell>
          <cell r="N48">
            <v>10350</v>
          </cell>
          <cell r="O48">
            <v>10040</v>
          </cell>
          <cell r="P48">
            <v>11508</v>
          </cell>
          <cell r="Q48">
            <v>12953</v>
          </cell>
          <cell r="R48">
            <v>12849</v>
          </cell>
          <cell r="S48">
            <v>12147</v>
          </cell>
          <cell r="T48">
            <v>13459</v>
          </cell>
          <cell r="U48">
            <v>16440</v>
          </cell>
          <cell r="V48">
            <v>18738</v>
          </cell>
          <cell r="W48">
            <v>25301</v>
          </cell>
          <cell r="X48">
            <v>28614</v>
          </cell>
          <cell r="Y48">
            <v>19842</v>
          </cell>
          <cell r="Z48">
            <v>21420</v>
          </cell>
          <cell r="AA48">
            <v>26077</v>
          </cell>
          <cell r="AB48">
            <v>25508</v>
          </cell>
          <cell r="AC48">
            <v>23318</v>
          </cell>
          <cell r="AD48">
            <v>24056</v>
          </cell>
          <cell r="AE48">
            <v>21522</v>
          </cell>
          <cell r="AF48">
            <v>20977</v>
          </cell>
          <cell r="AG48">
            <v>21389</v>
          </cell>
          <cell r="AH48">
            <v>24609</v>
          </cell>
          <cell r="AI48">
            <v>24243</v>
          </cell>
          <cell r="AJ48">
            <v>21473</v>
          </cell>
          <cell r="AK48">
            <v>29910</v>
          </cell>
          <cell r="AL48">
            <v>33020.56115205845</v>
          </cell>
          <cell r="AM48">
            <v>29750.314626398293</v>
          </cell>
          <cell r="AN48">
            <v>31636.108630295137</v>
          </cell>
          <cell r="AO48">
            <v>33878.372497806005</v>
          </cell>
          <cell r="AP48">
            <v>35544.874904414195</v>
          </cell>
        </row>
        <row r="49">
          <cell r="B49" t="str">
            <v>Other current assets</v>
          </cell>
          <cell r="C49" t="str">
            <v>OTH_CUR_ASS</v>
          </cell>
          <cell r="D49" t="str">
            <v>SEK</v>
          </cell>
          <cell r="M49">
            <v>1697</v>
          </cell>
          <cell r="N49">
            <v>1366</v>
          </cell>
          <cell r="O49">
            <v>1431</v>
          </cell>
          <cell r="P49">
            <v>2057</v>
          </cell>
          <cell r="Q49">
            <v>1986</v>
          </cell>
          <cell r="R49">
            <v>2426</v>
          </cell>
          <cell r="S49">
            <v>2674</v>
          </cell>
          <cell r="T49">
            <v>3593</v>
          </cell>
          <cell r="U49">
            <v>3954</v>
          </cell>
          <cell r="V49">
            <v>5263</v>
          </cell>
          <cell r="W49">
            <v>6801</v>
          </cell>
          <cell r="X49">
            <v>10738</v>
          </cell>
          <cell r="Y49">
            <v>6286</v>
          </cell>
          <cell r="Z49">
            <v>6590</v>
          </cell>
          <cell r="AA49">
            <v>8163</v>
          </cell>
          <cell r="AB49">
            <v>7932</v>
          </cell>
          <cell r="AC49">
            <v>7454</v>
          </cell>
          <cell r="AD49">
            <v>7885</v>
          </cell>
          <cell r="AE49">
            <v>8930.4059838895282</v>
          </cell>
          <cell r="AF49">
            <v>6419</v>
          </cell>
          <cell r="AG49">
            <v>10913</v>
          </cell>
          <cell r="AH49">
            <v>6999</v>
          </cell>
          <cell r="AI49">
            <v>8942</v>
          </cell>
          <cell r="AJ49">
            <v>6379</v>
          </cell>
          <cell r="AK49">
            <v>9537</v>
          </cell>
          <cell r="AL49">
            <v>9536.9999999999964</v>
          </cell>
          <cell r="AM49">
            <v>9537</v>
          </cell>
          <cell r="AN49">
            <v>9537</v>
          </cell>
          <cell r="AO49">
            <v>9536.9999999999964</v>
          </cell>
          <cell r="AP49">
            <v>9537.0000000000036</v>
          </cell>
        </row>
        <row r="50">
          <cell r="B50" t="str">
            <v>Total current assets</v>
          </cell>
          <cell r="C50" t="str">
            <v>CUR_ASS</v>
          </cell>
          <cell r="D50" t="str">
            <v>SEK</v>
          </cell>
          <cell r="M50">
            <v>22580</v>
          </cell>
          <cell r="N50">
            <v>22145</v>
          </cell>
          <cell r="O50">
            <v>21878</v>
          </cell>
          <cell r="P50">
            <v>24752</v>
          </cell>
          <cell r="Q50">
            <v>27044</v>
          </cell>
          <cell r="R50">
            <v>27099</v>
          </cell>
          <cell r="S50">
            <v>26045</v>
          </cell>
          <cell r="T50">
            <v>28711</v>
          </cell>
          <cell r="U50">
            <v>33730</v>
          </cell>
          <cell r="V50">
            <v>38320</v>
          </cell>
          <cell r="W50">
            <v>49336</v>
          </cell>
          <cell r="X50">
            <v>60280</v>
          </cell>
          <cell r="Y50">
            <v>45221</v>
          </cell>
          <cell r="Z50">
            <v>45531</v>
          </cell>
          <cell r="AA50">
            <v>54395</v>
          </cell>
          <cell r="AB50">
            <v>60848</v>
          </cell>
          <cell r="AC50">
            <v>48530</v>
          </cell>
          <cell r="AD50">
            <v>52108</v>
          </cell>
          <cell r="AE50">
            <v>48784</v>
          </cell>
          <cell r="AF50">
            <v>49515</v>
          </cell>
          <cell r="AG50">
            <v>58265</v>
          </cell>
          <cell r="AH50">
            <v>65075</v>
          </cell>
          <cell r="AI50">
            <v>64973</v>
          </cell>
          <cell r="AJ50">
            <v>63973</v>
          </cell>
          <cell r="AK50">
            <v>70373</v>
          </cell>
          <cell r="AL50">
            <v>61849.233324039247</v>
          </cell>
          <cell r="AM50">
            <v>65523.730567766543</v>
          </cell>
          <cell r="AN50">
            <v>69227.137105614675</v>
          </cell>
          <cell r="AO50">
            <v>71580.253901453179</v>
          </cell>
          <cell r="AP50">
            <v>74481.775168524284</v>
          </cell>
        </row>
        <row r="51">
          <cell r="B51" t="str">
            <v>Gross fixed assets, PP&amp;E</v>
          </cell>
          <cell r="C51" t="str">
            <v>GR_FIX_ASS</v>
          </cell>
          <cell r="D51" t="str">
            <v>SEK</v>
          </cell>
          <cell r="M51">
            <v>26107</v>
          </cell>
          <cell r="N51">
            <v>28938</v>
          </cell>
          <cell r="O51">
            <v>28213</v>
          </cell>
          <cell r="P51">
            <v>30382</v>
          </cell>
          <cell r="Q51">
            <v>33401</v>
          </cell>
          <cell r="R51">
            <v>34898</v>
          </cell>
          <cell r="S51">
            <v>34684</v>
          </cell>
          <cell r="T51">
            <v>35408</v>
          </cell>
          <cell r="U51">
            <v>39176</v>
          </cell>
          <cell r="V51">
            <v>39864</v>
          </cell>
          <cell r="W51">
            <v>44523</v>
          </cell>
          <cell r="X51">
            <v>53137</v>
          </cell>
          <cell r="Y51">
            <v>55452</v>
          </cell>
          <cell r="Z51">
            <v>54957</v>
          </cell>
          <cell r="AA51">
            <v>57418</v>
          </cell>
          <cell r="AB51">
            <v>58563</v>
          </cell>
          <cell r="AC51">
            <v>60299</v>
          </cell>
          <cell r="AD51">
            <v>65638</v>
          </cell>
          <cell r="AE51">
            <v>65857</v>
          </cell>
          <cell r="AF51">
            <v>70739</v>
          </cell>
          <cell r="AG51">
            <v>73365</v>
          </cell>
          <cell r="AH51">
            <v>78874</v>
          </cell>
          <cell r="AI51">
            <v>84859</v>
          </cell>
          <cell r="AJ51">
            <v>67702</v>
          </cell>
          <cell r="AK51">
            <v>71801</v>
          </cell>
          <cell r="AL51">
            <v>70101.736799827559</v>
          </cell>
          <cell r="AM51">
            <v>76136.974911106925</v>
          </cell>
          <cell r="AN51">
            <v>83059.642014441502</v>
          </cell>
          <cell r="AO51">
            <v>90494.751764661429</v>
          </cell>
          <cell r="AP51">
            <v>98354.505711247039</v>
          </cell>
        </row>
        <row r="52">
          <cell r="B52" t="str">
            <v>Accumulated depreciation</v>
          </cell>
          <cell r="C52" t="str">
            <v>ACC_DDA</v>
          </cell>
          <cell r="D52" t="str">
            <v>SEK</v>
          </cell>
          <cell r="M52">
            <v>-13371</v>
          </cell>
          <cell r="N52">
            <v>-14796</v>
          </cell>
          <cell r="O52">
            <v>-14965</v>
          </cell>
          <cell r="P52">
            <v>-16457</v>
          </cell>
          <cell r="Q52">
            <v>-18244</v>
          </cell>
          <cell r="R52">
            <v>-19641</v>
          </cell>
          <cell r="S52">
            <v>-19692</v>
          </cell>
          <cell r="T52">
            <v>-20338</v>
          </cell>
          <cell r="U52">
            <v>-22489</v>
          </cell>
          <cell r="V52">
            <v>-22187</v>
          </cell>
          <cell r="W52">
            <v>-23628</v>
          </cell>
          <cell r="X52">
            <v>-27014</v>
          </cell>
          <cell r="Y52">
            <v>-28933</v>
          </cell>
          <cell r="Z52">
            <v>-29705</v>
          </cell>
          <cell r="AA52">
            <v>-31716</v>
          </cell>
          <cell r="AB52">
            <v>-33047</v>
          </cell>
          <cell r="AC52">
            <v>-35044</v>
          </cell>
          <cell r="AD52">
            <v>-38029</v>
          </cell>
          <cell r="AE52">
            <v>-39526</v>
          </cell>
          <cell r="AF52">
            <v>-44030</v>
          </cell>
          <cell r="AG52">
            <v>-48966</v>
          </cell>
          <cell r="AH52">
            <v>-53512</v>
          </cell>
          <cell r="AI52">
            <v>-59216</v>
          </cell>
          <cell r="AJ52">
            <v>-43727</v>
          </cell>
          <cell r="AK52">
            <v>-45725</v>
          </cell>
          <cell r="AL52">
            <v>-52688.914391453276</v>
          </cell>
          <cell r="AM52">
            <v>-58942.697539657645</v>
          </cell>
          <cell r="AN52">
            <v>-65615.49405482781</v>
          </cell>
          <cell r="AO52">
            <v>-72782.236827606408</v>
          </cell>
          <cell r="AP52">
            <v>-80358.296453470612</v>
          </cell>
        </row>
        <row r="53">
          <cell r="B53" t="str">
            <v>Net PP&amp;E</v>
          </cell>
          <cell r="C53" t="str">
            <v>NET_FIX_ASS</v>
          </cell>
          <cell r="D53" t="str">
            <v>SEK</v>
          </cell>
          <cell r="M53">
            <v>12736</v>
          </cell>
          <cell r="N53">
            <v>14142</v>
          </cell>
          <cell r="O53">
            <v>13248</v>
          </cell>
          <cell r="P53">
            <v>13925</v>
          </cell>
          <cell r="Q53">
            <v>15157</v>
          </cell>
          <cell r="R53">
            <v>15257</v>
          </cell>
          <cell r="S53">
            <v>14992</v>
          </cell>
          <cell r="T53">
            <v>15070</v>
          </cell>
          <cell r="U53">
            <v>16687</v>
          </cell>
          <cell r="V53">
            <v>17677</v>
          </cell>
          <cell r="W53">
            <v>20895</v>
          </cell>
          <cell r="X53">
            <v>26123</v>
          </cell>
          <cell r="Y53">
            <v>26519</v>
          </cell>
          <cell r="Z53">
            <v>25252</v>
          </cell>
          <cell r="AA53">
            <v>25702</v>
          </cell>
          <cell r="AB53">
            <v>25516</v>
          </cell>
          <cell r="AC53">
            <v>25255</v>
          </cell>
          <cell r="AD53">
            <v>27609</v>
          </cell>
          <cell r="AE53">
            <v>26331</v>
          </cell>
          <cell r="AF53">
            <v>26709</v>
          </cell>
          <cell r="AG53">
            <v>24399</v>
          </cell>
          <cell r="AH53">
            <v>25362</v>
          </cell>
          <cell r="AI53">
            <v>25643</v>
          </cell>
          <cell r="AJ53">
            <v>23975</v>
          </cell>
          <cell r="AK53">
            <v>26076</v>
          </cell>
          <cell r="AL53">
            <v>17412.822408374279</v>
          </cell>
          <cell r="AM53">
            <v>17194.277371449283</v>
          </cell>
          <cell r="AN53">
            <v>17444.147959613696</v>
          </cell>
          <cell r="AO53">
            <v>17712.514937055024</v>
          </cell>
          <cell r="AP53">
            <v>17996.209257776431</v>
          </cell>
        </row>
        <row r="54">
          <cell r="B54" t="str">
            <v>Gross intangibles</v>
          </cell>
          <cell r="C54" t="str">
            <v>GR_INTANG</v>
          </cell>
          <cell r="D54" t="str">
            <v>SEK</v>
          </cell>
          <cell r="M54">
            <v>4890</v>
          </cell>
          <cell r="N54">
            <v>5689</v>
          </cell>
          <cell r="O54">
            <v>5768</v>
          </cell>
          <cell r="P54">
            <v>6334</v>
          </cell>
          <cell r="Q54">
            <v>7055</v>
          </cell>
          <cell r="R54">
            <v>8469</v>
          </cell>
          <cell r="S54">
            <v>8238</v>
          </cell>
          <cell r="T54">
            <v>5515</v>
          </cell>
          <cell r="U54">
            <v>6425</v>
          </cell>
          <cell r="V54">
            <v>7076</v>
          </cell>
          <cell r="W54">
            <v>12665</v>
          </cell>
          <cell r="X54">
            <v>14218</v>
          </cell>
          <cell r="Y54">
            <v>16562</v>
          </cell>
          <cell r="Z54">
            <v>15906</v>
          </cell>
          <cell r="AA54">
            <v>14744</v>
          </cell>
          <cell r="AB54">
            <v>14583</v>
          </cell>
          <cell r="AC54">
            <v>15709</v>
          </cell>
          <cell r="AD54">
            <v>22936</v>
          </cell>
          <cell r="AE54">
            <v>23733</v>
          </cell>
          <cell r="AF54">
            <v>24660</v>
          </cell>
          <cell r="AG54">
            <v>22796</v>
          </cell>
          <cell r="AH54">
            <v>27670</v>
          </cell>
          <cell r="AI54">
            <v>25494</v>
          </cell>
          <cell r="AJ54">
            <v>29747</v>
          </cell>
          <cell r="AK54">
            <v>57560</v>
          </cell>
          <cell r="AL54">
            <v>61242.845103602849</v>
          </cell>
          <cell r="AM54">
            <v>66172.28804297102</v>
          </cell>
          <cell r="AN54">
            <v>71578.159668370354</v>
          </cell>
          <cell r="AO54">
            <v>77498.21138419889</v>
          </cell>
          <cell r="AP54">
            <v>84071.752151594352</v>
          </cell>
        </row>
        <row r="55">
          <cell r="B55" t="str">
            <v>Accumulated amortization</v>
          </cell>
          <cell r="C55" t="str">
            <v>ACC_AMORT</v>
          </cell>
          <cell r="D55" t="str">
            <v>SEK</v>
          </cell>
          <cell r="M55">
            <v>-785</v>
          </cell>
          <cell r="N55">
            <v>-1087</v>
          </cell>
          <cell r="O55">
            <v>-1350</v>
          </cell>
          <cell r="P55">
            <v>-1814</v>
          </cell>
          <cell r="Q55">
            <v>-2244</v>
          </cell>
          <cell r="R55">
            <v>-2571</v>
          </cell>
          <cell r="S55">
            <v>-3378</v>
          </cell>
          <cell r="T55">
            <v>-376</v>
          </cell>
          <cell r="U55">
            <v>-551</v>
          </cell>
          <cell r="V55">
            <v>-825</v>
          </cell>
          <cell r="W55">
            <v>-1240</v>
          </cell>
          <cell r="X55">
            <v>-1746</v>
          </cell>
          <cell r="Y55">
            <v>-2425</v>
          </cell>
          <cell r="Z55">
            <v>-2713</v>
          </cell>
          <cell r="AA55">
            <v>-2937</v>
          </cell>
          <cell r="AB55">
            <v>-3160</v>
          </cell>
          <cell r="AC55">
            <v>-3762</v>
          </cell>
          <cell r="AD55">
            <v>-4613</v>
          </cell>
          <cell r="AE55">
            <v>-5420</v>
          </cell>
          <cell r="AF55">
            <v>-5420</v>
          </cell>
          <cell r="AG55">
            <v>-5420</v>
          </cell>
          <cell r="AH55">
            <v>-5420</v>
          </cell>
          <cell r="AI55">
            <v>-5420</v>
          </cell>
          <cell r="AJ55">
            <v>-8743</v>
          </cell>
          <cell r="AK55">
            <v>-9751</v>
          </cell>
          <cell r="AL55">
            <v>-9751</v>
          </cell>
          <cell r="AM55">
            <v>-9751.0000000000073</v>
          </cell>
          <cell r="AN55">
            <v>-9750.9999999999927</v>
          </cell>
          <cell r="AO55">
            <v>-9751</v>
          </cell>
          <cell r="AP55">
            <v>-9751</v>
          </cell>
        </row>
        <row r="56">
          <cell r="B56" t="str">
            <v>Net intangible assets</v>
          </cell>
          <cell r="C56" t="str">
            <v>NET_INTANG</v>
          </cell>
          <cell r="D56" t="str">
            <v>SEK</v>
          </cell>
          <cell r="M56">
            <v>4105</v>
          </cell>
          <cell r="N56">
            <v>4602</v>
          </cell>
          <cell r="O56">
            <v>4418</v>
          </cell>
          <cell r="P56">
            <v>4520</v>
          </cell>
          <cell r="Q56">
            <v>4811</v>
          </cell>
          <cell r="R56">
            <v>5898</v>
          </cell>
          <cell r="S56">
            <v>4860</v>
          </cell>
          <cell r="T56">
            <v>5139</v>
          </cell>
          <cell r="U56">
            <v>5874</v>
          </cell>
          <cell r="V56">
            <v>6251</v>
          </cell>
          <cell r="W56">
            <v>11425</v>
          </cell>
          <cell r="X56">
            <v>12472</v>
          </cell>
          <cell r="Y56">
            <v>14137</v>
          </cell>
          <cell r="Z56">
            <v>13193</v>
          </cell>
          <cell r="AA56">
            <v>11807</v>
          </cell>
          <cell r="AB56">
            <v>11423</v>
          </cell>
          <cell r="AC56">
            <v>11947</v>
          </cell>
          <cell r="AD56">
            <v>18323</v>
          </cell>
          <cell r="AE56">
            <v>18313</v>
          </cell>
          <cell r="AF56">
            <v>19240</v>
          </cell>
          <cell r="AG56">
            <v>17376</v>
          </cell>
          <cell r="AH56">
            <v>22250</v>
          </cell>
          <cell r="AI56">
            <v>20074</v>
          </cell>
          <cell r="AJ56">
            <v>21004</v>
          </cell>
          <cell r="AK56">
            <v>47809</v>
          </cell>
          <cell r="AL56">
            <v>51491.845103602849</v>
          </cell>
          <cell r="AM56">
            <v>56421.288042971013</v>
          </cell>
          <cell r="AN56">
            <v>61827.159668370361</v>
          </cell>
          <cell r="AO56">
            <v>67747.21138419889</v>
          </cell>
          <cell r="AP56">
            <v>74320.752151594352</v>
          </cell>
        </row>
        <row r="57">
          <cell r="B57" t="str">
            <v>Equity method investments</v>
          </cell>
          <cell r="C57" t="str">
            <v>FIX_ASS_INV</v>
          </cell>
          <cell r="D57" t="str">
            <v>SEK</v>
          </cell>
          <cell r="M57">
            <v>386</v>
          </cell>
          <cell r="N57">
            <v>371</v>
          </cell>
          <cell r="O57">
            <v>311</v>
          </cell>
          <cell r="P57">
            <v>330</v>
          </cell>
          <cell r="Q57">
            <v>359</v>
          </cell>
          <cell r="R57">
            <v>439</v>
          </cell>
          <cell r="S57">
            <v>342</v>
          </cell>
          <cell r="T57">
            <v>413</v>
          </cell>
          <cell r="U57">
            <v>484</v>
          </cell>
          <cell r="V57">
            <v>543</v>
          </cell>
          <cell r="W57">
            <v>348</v>
          </cell>
          <cell r="X57">
            <v>485</v>
          </cell>
          <cell r="Y57">
            <v>385</v>
          </cell>
          <cell r="Z57">
            <v>467</v>
          </cell>
          <cell r="AA57">
            <v>456</v>
          </cell>
          <cell r="AB57">
            <v>356</v>
          </cell>
          <cell r="AC57">
            <v>211</v>
          </cell>
          <cell r="AD57">
            <v>239</v>
          </cell>
          <cell r="AE57">
            <v>225.57627732817974</v>
          </cell>
          <cell r="AF57">
            <v>246</v>
          </cell>
          <cell r="AG57">
            <v>269</v>
          </cell>
          <cell r="AH57">
            <v>0</v>
          </cell>
          <cell r="AI57">
            <v>292</v>
          </cell>
          <cell r="AJ57">
            <v>508</v>
          </cell>
          <cell r="AK57">
            <v>595</v>
          </cell>
          <cell r="AL57">
            <v>420.81333670118715</v>
          </cell>
          <cell r="AM57">
            <v>420.81333670118715</v>
          </cell>
          <cell r="AN57">
            <v>420.81333670118715</v>
          </cell>
          <cell r="AO57">
            <v>420.81333670118715</v>
          </cell>
          <cell r="AP57">
            <v>420.81333670118715</v>
          </cell>
        </row>
        <row r="58">
          <cell r="B58" t="str">
            <v>Investments in securities</v>
          </cell>
          <cell r="C58" t="str">
            <v>INV_SECUR</v>
          </cell>
          <cell r="D58" t="str">
            <v>SEK</v>
          </cell>
          <cell r="M58">
            <v>72</v>
          </cell>
          <cell r="N58">
            <v>64</v>
          </cell>
          <cell r="O58">
            <v>54</v>
          </cell>
          <cell r="P58">
            <v>41</v>
          </cell>
          <cell r="Q58">
            <v>920</v>
          </cell>
          <cell r="R58">
            <v>57</v>
          </cell>
          <cell r="S58">
            <v>28</v>
          </cell>
          <cell r="T58">
            <v>13</v>
          </cell>
          <cell r="U58">
            <v>91</v>
          </cell>
          <cell r="V58">
            <v>89</v>
          </cell>
          <cell r="W58">
            <v>79</v>
          </cell>
          <cell r="X58">
            <v>78</v>
          </cell>
          <cell r="Y58">
            <v>78</v>
          </cell>
          <cell r="Z58">
            <v>78</v>
          </cell>
          <cell r="AA58">
            <v>80</v>
          </cell>
          <cell r="AB58">
            <v>80</v>
          </cell>
          <cell r="AC58">
            <v>80</v>
          </cell>
          <cell r="AD58">
            <v>80</v>
          </cell>
          <cell r="AE58">
            <v>75.506703708177312</v>
          </cell>
          <cell r="AF58">
            <v>82</v>
          </cell>
          <cell r="AG58">
            <v>83</v>
          </cell>
          <cell r="AH58">
            <v>119</v>
          </cell>
          <cell r="AI58">
            <v>83</v>
          </cell>
          <cell r="AJ58">
            <v>81</v>
          </cell>
          <cell r="AK58">
            <v>94</v>
          </cell>
          <cell r="AL58">
            <v>66.481434705733776</v>
          </cell>
          <cell r="AM58">
            <v>66.481434705733776</v>
          </cell>
          <cell r="AN58">
            <v>66.481434705733776</v>
          </cell>
          <cell r="AO58">
            <v>66.481434705733776</v>
          </cell>
          <cell r="AP58">
            <v>66.481434705733776</v>
          </cell>
        </row>
        <row r="59">
          <cell r="B59" t="str">
            <v>Other long-term assets</v>
          </cell>
          <cell r="C59" t="str">
            <v>OTH_LT_ASS</v>
          </cell>
          <cell r="D59" t="str">
            <v>SEK</v>
          </cell>
          <cell r="M59">
            <v>182</v>
          </cell>
          <cell r="N59">
            <v>282</v>
          </cell>
          <cell r="O59">
            <v>287</v>
          </cell>
          <cell r="P59">
            <v>340</v>
          </cell>
          <cell r="Q59">
            <v>1258</v>
          </cell>
          <cell r="R59">
            <v>1371</v>
          </cell>
          <cell r="S59">
            <v>2130</v>
          </cell>
          <cell r="T59">
            <v>2028</v>
          </cell>
          <cell r="U59">
            <v>2696</v>
          </cell>
          <cell r="V59">
            <v>3021</v>
          </cell>
          <cell r="W59">
            <v>3352</v>
          </cell>
          <cell r="X59">
            <v>3789</v>
          </cell>
          <cell r="Y59">
            <v>5235</v>
          </cell>
          <cell r="Z59">
            <v>5478</v>
          </cell>
          <cell r="AA59">
            <v>6299</v>
          </cell>
          <cell r="AB59">
            <v>5829</v>
          </cell>
          <cell r="AC59">
            <v>7859</v>
          </cell>
          <cell r="AD59">
            <v>7960</v>
          </cell>
          <cell r="AE59">
            <v>7512.9170189636434</v>
          </cell>
          <cell r="AF59">
            <v>7708</v>
          </cell>
          <cell r="AG59">
            <v>6412</v>
          </cell>
          <cell r="AH59">
            <v>5545</v>
          </cell>
          <cell r="AI59">
            <v>9358</v>
          </cell>
          <cell r="AJ59">
            <v>9587</v>
          </cell>
          <cell r="AK59">
            <v>10568</v>
          </cell>
          <cell r="AL59">
            <v>9162.7052285930786</v>
          </cell>
          <cell r="AM59">
            <v>9162.7052285930786</v>
          </cell>
          <cell r="AN59">
            <v>9162.7052285930786</v>
          </cell>
          <cell r="AO59">
            <v>9162.7052285930786</v>
          </cell>
          <cell r="AP59">
            <v>9162.7052285930786</v>
          </cell>
        </row>
        <row r="60">
          <cell r="B60" t="str">
            <v>Total assets</v>
          </cell>
          <cell r="C60" t="str">
            <v>TOT_ASSET</v>
          </cell>
          <cell r="D60" t="str">
            <v>SEK</v>
          </cell>
          <cell r="M60">
            <v>40061</v>
          </cell>
          <cell r="N60">
            <v>41606</v>
          </cell>
          <cell r="O60">
            <v>40196</v>
          </cell>
          <cell r="P60">
            <v>43908</v>
          </cell>
          <cell r="Q60">
            <v>49549</v>
          </cell>
          <cell r="R60">
            <v>50121</v>
          </cell>
          <cell r="S60">
            <v>48397</v>
          </cell>
          <cell r="T60">
            <v>51374</v>
          </cell>
          <cell r="U60">
            <v>59562</v>
          </cell>
          <cell r="V60">
            <v>65901</v>
          </cell>
          <cell r="W60">
            <v>85435</v>
          </cell>
          <cell r="X60">
            <v>103227</v>
          </cell>
          <cell r="Y60">
            <v>91575</v>
          </cell>
          <cell r="Z60">
            <v>89999</v>
          </cell>
          <cell r="AA60">
            <v>98739</v>
          </cell>
          <cell r="AB60">
            <v>104052</v>
          </cell>
          <cell r="AC60">
            <v>93882</v>
          </cell>
          <cell r="AD60">
            <v>106319</v>
          </cell>
          <cell r="AE60">
            <v>101242</v>
          </cell>
          <cell r="AF60">
            <v>103500</v>
          </cell>
          <cell r="AG60">
            <v>106804</v>
          </cell>
          <cell r="AH60">
            <v>118351</v>
          </cell>
          <cell r="AI60">
            <v>120423</v>
          </cell>
          <cell r="AJ60">
            <v>119128</v>
          </cell>
          <cell r="AK60">
            <v>155515</v>
          </cell>
          <cell r="AL60">
            <v>140403.90083601637</v>
          </cell>
          <cell r="AM60">
            <v>148789.29598218683</v>
          </cell>
          <cell r="AN60">
            <v>158148.44473359874</v>
          </cell>
          <cell r="AO60">
            <v>166689.98022270709</v>
          </cell>
          <cell r="AP60">
            <v>176448.73657789506</v>
          </cell>
        </row>
        <row r="61">
          <cell r="B61" t="str">
            <v>Accounts payable</v>
          </cell>
          <cell r="C61" t="str">
            <v>ACC_PAY_GQ</v>
          </cell>
          <cell r="D61" t="str">
            <v>SEK</v>
          </cell>
          <cell r="M61">
            <v>2490</v>
          </cell>
          <cell r="N61">
            <v>2323</v>
          </cell>
          <cell r="O61">
            <v>2117</v>
          </cell>
          <cell r="P61">
            <v>2665</v>
          </cell>
          <cell r="Q61">
            <v>2733</v>
          </cell>
          <cell r="R61">
            <v>2603</v>
          </cell>
          <cell r="S61">
            <v>3002</v>
          </cell>
          <cell r="T61">
            <v>3731</v>
          </cell>
          <cell r="U61">
            <v>4723</v>
          </cell>
          <cell r="V61">
            <v>5921</v>
          </cell>
          <cell r="W61">
            <v>6777</v>
          </cell>
          <cell r="X61">
            <v>7000</v>
          </cell>
          <cell r="Y61">
            <v>4730</v>
          </cell>
          <cell r="Z61">
            <v>6889</v>
          </cell>
          <cell r="AA61">
            <v>8133</v>
          </cell>
          <cell r="AB61">
            <v>6585</v>
          </cell>
          <cell r="AC61">
            <v>6676</v>
          </cell>
          <cell r="AD61">
            <v>6762</v>
          </cell>
          <cell r="AE61">
            <v>6230.1676837599052</v>
          </cell>
          <cell r="AF61">
            <v>6286</v>
          </cell>
          <cell r="AG61">
            <v>7380</v>
          </cell>
          <cell r="AH61">
            <v>7776</v>
          </cell>
          <cell r="AI61">
            <v>7598</v>
          </cell>
          <cell r="AJ61">
            <v>6974</v>
          </cell>
          <cell r="AK61">
            <v>11907</v>
          </cell>
          <cell r="AL61">
            <v>8967.9827092738215</v>
          </cell>
          <cell r="AM61">
            <v>8395.433858230128</v>
          </cell>
          <cell r="AN61">
            <v>9101.5036791292187</v>
          </cell>
          <cell r="AO61">
            <v>8592.0063093837689</v>
          </cell>
          <cell r="AP61">
            <v>9205.1000405867908</v>
          </cell>
        </row>
        <row r="62">
          <cell r="B62" t="str">
            <v>Short-term debt</v>
          </cell>
          <cell r="C62" t="str">
            <v>SHORT_T_DEBT</v>
          </cell>
          <cell r="D62" t="str">
            <v>SEK</v>
          </cell>
          <cell r="M62">
            <v>6449</v>
          </cell>
          <cell r="N62">
            <v>6716</v>
          </cell>
          <cell r="O62">
            <v>3474</v>
          </cell>
          <cell r="P62">
            <v>3901</v>
          </cell>
          <cell r="Q62">
            <v>7306</v>
          </cell>
          <cell r="R62">
            <v>6192</v>
          </cell>
          <cell r="S62">
            <v>3001</v>
          </cell>
          <cell r="T62">
            <v>5006</v>
          </cell>
          <cell r="U62">
            <v>6059</v>
          </cell>
          <cell r="V62">
            <v>6780</v>
          </cell>
          <cell r="W62">
            <v>9158</v>
          </cell>
          <cell r="X62">
            <v>11324</v>
          </cell>
          <cell r="Y62">
            <v>3431</v>
          </cell>
          <cell r="Z62">
            <v>3109</v>
          </cell>
          <cell r="AA62">
            <v>4095</v>
          </cell>
          <cell r="AB62">
            <v>1008</v>
          </cell>
          <cell r="AC62">
            <v>2633</v>
          </cell>
          <cell r="AD62">
            <v>1798</v>
          </cell>
          <cell r="AE62">
            <v>3483.2474804031358</v>
          </cell>
          <cell r="AF62">
            <v>2883</v>
          </cell>
          <cell r="AG62">
            <v>404</v>
          </cell>
          <cell r="AH62">
            <v>2348</v>
          </cell>
          <cell r="AI62">
            <v>172</v>
          </cell>
          <cell r="AJ62">
            <v>206</v>
          </cell>
          <cell r="AK62">
            <v>8151</v>
          </cell>
          <cell r="AL62">
            <v>7615</v>
          </cell>
          <cell r="AM62">
            <v>7615</v>
          </cell>
          <cell r="AN62">
            <v>7615</v>
          </cell>
          <cell r="AO62">
            <v>7615</v>
          </cell>
          <cell r="AP62">
            <v>7615</v>
          </cell>
        </row>
        <row r="63">
          <cell r="B63" t="str">
            <v>Current lease liabilities (op lease: US GAAP)</v>
          </cell>
          <cell r="C63" t="str">
            <v>ST_LEASE_LIAB</v>
          </cell>
          <cell r="D63" t="str">
            <v>SEK</v>
          </cell>
          <cell r="AI63">
            <v>792</v>
          </cell>
          <cell r="AJ63">
            <v>795</v>
          </cell>
          <cell r="AK63">
            <v>975</v>
          </cell>
          <cell r="AL63">
            <v>975</v>
          </cell>
          <cell r="AM63">
            <v>975</v>
          </cell>
          <cell r="AN63">
            <v>975</v>
          </cell>
          <cell r="AO63">
            <v>975</v>
          </cell>
          <cell r="AP63">
            <v>975</v>
          </cell>
        </row>
        <row r="64">
          <cell r="B64" t="str">
            <v>Other current liabilities</v>
          </cell>
          <cell r="C64" t="str">
            <v>OTH_CUR_LIABS</v>
          </cell>
          <cell r="D64" t="str">
            <v>SEK</v>
          </cell>
          <cell r="M64">
            <v>6110</v>
          </cell>
          <cell r="N64">
            <v>5693</v>
          </cell>
          <cell r="O64">
            <v>5016</v>
          </cell>
          <cell r="P64">
            <v>5866</v>
          </cell>
          <cell r="Q64">
            <v>5815</v>
          </cell>
          <cell r="R64">
            <v>6247</v>
          </cell>
          <cell r="S64">
            <v>5260</v>
          </cell>
          <cell r="T64">
            <v>6512</v>
          </cell>
          <cell r="U64">
            <v>9531</v>
          </cell>
          <cell r="V64">
            <v>11445</v>
          </cell>
          <cell r="W64">
            <v>12824</v>
          </cell>
          <cell r="X64">
            <v>16945</v>
          </cell>
          <cell r="Y64">
            <v>16143</v>
          </cell>
          <cell r="Z64">
            <v>14635</v>
          </cell>
          <cell r="AA64">
            <v>19008</v>
          </cell>
          <cell r="AB64">
            <v>19206</v>
          </cell>
          <cell r="AC64">
            <v>19323</v>
          </cell>
          <cell r="AD64">
            <v>16077</v>
          </cell>
          <cell r="AE64">
            <v>17596.584835836959</v>
          </cell>
          <cell r="AF64">
            <v>16987</v>
          </cell>
          <cell r="AG64">
            <v>17323</v>
          </cell>
          <cell r="AH64">
            <v>16627</v>
          </cell>
          <cell r="AI64">
            <v>20829</v>
          </cell>
          <cell r="AJ64">
            <v>19972</v>
          </cell>
          <cell r="AK64">
            <v>21251</v>
          </cell>
          <cell r="AL64">
            <v>17731.072061767227</v>
          </cell>
          <cell r="AM64">
            <v>17731.072061767227</v>
          </cell>
          <cell r="AN64">
            <v>17731.072061767227</v>
          </cell>
          <cell r="AO64">
            <v>17731.072061767227</v>
          </cell>
          <cell r="AP64">
            <v>17731.072061767227</v>
          </cell>
        </row>
        <row r="65">
          <cell r="B65" t="str">
            <v>Total current liabilities</v>
          </cell>
          <cell r="C65" t="str">
            <v>SHORT_TERM_LIABS</v>
          </cell>
          <cell r="D65" t="str">
            <v>SEK</v>
          </cell>
          <cell r="M65">
            <v>15049</v>
          </cell>
          <cell r="N65">
            <v>14732</v>
          </cell>
          <cell r="O65">
            <v>10607</v>
          </cell>
          <cell r="P65">
            <v>12432</v>
          </cell>
          <cell r="Q65">
            <v>15854</v>
          </cell>
          <cell r="R65">
            <v>15042</v>
          </cell>
          <cell r="S65">
            <v>11263</v>
          </cell>
          <cell r="T65">
            <v>15249</v>
          </cell>
          <cell r="U65">
            <v>20313</v>
          </cell>
          <cell r="V65">
            <v>24146</v>
          </cell>
          <cell r="W65">
            <v>28759</v>
          </cell>
          <cell r="X65">
            <v>35269</v>
          </cell>
          <cell r="Y65">
            <v>24304</v>
          </cell>
          <cell r="Z65">
            <v>24633</v>
          </cell>
          <cell r="AA65">
            <v>31236</v>
          </cell>
          <cell r="AB65">
            <v>26799</v>
          </cell>
          <cell r="AC65">
            <v>28632</v>
          </cell>
          <cell r="AD65">
            <v>24637</v>
          </cell>
          <cell r="AE65">
            <v>27310</v>
          </cell>
          <cell r="AF65">
            <v>26156</v>
          </cell>
          <cell r="AG65">
            <v>25107</v>
          </cell>
          <cell r="AH65">
            <v>26751</v>
          </cell>
          <cell r="AI65">
            <v>29391</v>
          </cell>
          <cell r="AJ65">
            <v>27947</v>
          </cell>
          <cell r="AK65">
            <v>42284</v>
          </cell>
          <cell r="AL65">
            <v>35289.054771041046</v>
          </cell>
          <cell r="AM65">
            <v>34716.505919997355</v>
          </cell>
          <cell r="AN65">
            <v>35422.575740896442</v>
          </cell>
          <cell r="AO65">
            <v>34913.078371150994</v>
          </cell>
          <cell r="AP65">
            <v>35526.172102354016</v>
          </cell>
        </row>
        <row r="66">
          <cell r="B66" t="str">
            <v>Long-term  debt</v>
          </cell>
          <cell r="C66" t="str">
            <v>LT_DEBT</v>
          </cell>
          <cell r="D66" t="str">
            <v>SEK</v>
          </cell>
          <cell r="M66">
            <v>819</v>
          </cell>
          <cell r="N66">
            <v>1033</v>
          </cell>
          <cell r="O66">
            <v>2620</v>
          </cell>
          <cell r="P66">
            <v>2257</v>
          </cell>
          <cell r="Q66">
            <v>3152</v>
          </cell>
          <cell r="R66">
            <v>4917</v>
          </cell>
          <cell r="S66">
            <v>7304</v>
          </cell>
          <cell r="T66">
            <v>6011</v>
          </cell>
          <cell r="U66">
            <v>7451</v>
          </cell>
          <cell r="V66">
            <v>7190</v>
          </cell>
          <cell r="W66">
            <v>18377</v>
          </cell>
          <cell r="X66">
            <v>22579</v>
          </cell>
          <cell r="Y66">
            <v>29150</v>
          </cell>
          <cell r="Z66">
            <v>23420</v>
          </cell>
          <cell r="AA66">
            <v>24767</v>
          </cell>
          <cell r="AB66">
            <v>32263</v>
          </cell>
          <cell r="AC66">
            <v>23213</v>
          </cell>
          <cell r="AD66">
            <v>34390</v>
          </cell>
          <cell r="AE66">
            <v>29561.81866460677</v>
          </cell>
          <cell r="AF66">
            <v>26738</v>
          </cell>
          <cell r="AG66">
            <v>22833</v>
          </cell>
          <cell r="AH66">
            <v>21554</v>
          </cell>
          <cell r="AI66">
            <v>15170</v>
          </cell>
          <cell r="AJ66">
            <v>11366</v>
          </cell>
          <cell r="AK66">
            <v>20671</v>
          </cell>
          <cell r="AL66">
            <v>19943</v>
          </cell>
          <cell r="AM66">
            <v>19943</v>
          </cell>
          <cell r="AN66">
            <v>19943</v>
          </cell>
          <cell r="AO66">
            <v>19943</v>
          </cell>
          <cell r="AP66">
            <v>19943</v>
          </cell>
        </row>
        <row r="67">
          <cell r="B67" t="str">
            <v>Non-current lease liabilities (op lease: US GAAP)</v>
          </cell>
          <cell r="C67" t="str">
            <v>LT_LEASE_LIAB</v>
          </cell>
          <cell r="D67" t="str">
            <v>SEK</v>
          </cell>
          <cell r="AI67">
            <v>2448</v>
          </cell>
          <cell r="AJ67">
            <v>2170</v>
          </cell>
          <cell r="AK67">
            <v>2975</v>
          </cell>
          <cell r="AL67">
            <v>2975</v>
          </cell>
          <cell r="AM67">
            <v>2975</v>
          </cell>
          <cell r="AN67">
            <v>2975</v>
          </cell>
          <cell r="AO67">
            <v>2975</v>
          </cell>
          <cell r="AP67">
            <v>2975</v>
          </cell>
        </row>
        <row r="68">
          <cell r="B68" t="str">
            <v>Other long-term liabilities</v>
          </cell>
          <cell r="C68" t="str">
            <v>OTH_LT_CRED_GQ</v>
          </cell>
          <cell r="D68" t="str">
            <v>SEK</v>
          </cell>
          <cell r="M68">
            <v>5610</v>
          </cell>
          <cell r="N68">
            <v>6348</v>
          </cell>
          <cell r="O68">
            <v>5972</v>
          </cell>
          <cell r="P68">
            <v>5816</v>
          </cell>
          <cell r="Q68">
            <v>5604</v>
          </cell>
          <cell r="R68">
            <v>5993</v>
          </cell>
          <cell r="S68">
            <v>7544</v>
          </cell>
          <cell r="T68">
            <v>6563</v>
          </cell>
          <cell r="U68">
            <v>7291</v>
          </cell>
          <cell r="V68">
            <v>7367</v>
          </cell>
          <cell r="W68">
            <v>8476</v>
          </cell>
          <cell r="X68">
            <v>8654</v>
          </cell>
          <cell r="Y68">
            <v>8164</v>
          </cell>
          <cell r="Z68">
            <v>8133</v>
          </cell>
          <cell r="AA68">
            <v>8845</v>
          </cell>
          <cell r="AB68">
            <v>8758</v>
          </cell>
          <cell r="AC68">
            <v>8427</v>
          </cell>
          <cell r="AD68">
            <v>10620</v>
          </cell>
          <cell r="AE68">
            <v>10310.181335393232</v>
          </cell>
          <cell r="AF68">
            <v>11316</v>
          </cell>
          <cell r="AG68">
            <v>10093</v>
          </cell>
          <cell r="AH68">
            <v>11528</v>
          </cell>
          <cell r="AI68">
            <v>11556</v>
          </cell>
          <cell r="AJ68">
            <v>12563</v>
          </cell>
          <cell r="AK68">
            <v>12253</v>
          </cell>
          <cell r="AL68">
            <v>10697</v>
          </cell>
          <cell r="AM68">
            <v>10697</v>
          </cell>
          <cell r="AN68">
            <v>10697</v>
          </cell>
          <cell r="AO68">
            <v>10697</v>
          </cell>
          <cell r="AP68">
            <v>10697</v>
          </cell>
        </row>
        <row r="69">
          <cell r="B69" t="str">
            <v>Total long-term liabilities</v>
          </cell>
          <cell r="C69" t="str">
            <v>TOT_LT_LIAB</v>
          </cell>
          <cell r="D69" t="str">
            <v>SEK</v>
          </cell>
          <cell r="M69">
            <v>6429</v>
          </cell>
          <cell r="N69">
            <v>7381</v>
          </cell>
          <cell r="O69">
            <v>8592</v>
          </cell>
          <cell r="P69">
            <v>8073</v>
          </cell>
          <cell r="Q69">
            <v>8756</v>
          </cell>
          <cell r="R69">
            <v>10910</v>
          </cell>
          <cell r="S69">
            <v>14848</v>
          </cell>
          <cell r="T69">
            <v>12574</v>
          </cell>
          <cell r="U69">
            <v>14742</v>
          </cell>
          <cell r="V69">
            <v>14557</v>
          </cell>
          <cell r="W69">
            <v>26853</v>
          </cell>
          <cell r="X69">
            <v>31233</v>
          </cell>
          <cell r="Y69">
            <v>37314</v>
          </cell>
          <cell r="Z69">
            <v>31553</v>
          </cell>
          <cell r="AA69">
            <v>33612</v>
          </cell>
          <cell r="AB69">
            <v>41021</v>
          </cell>
          <cell r="AC69">
            <v>31640</v>
          </cell>
          <cell r="AD69">
            <v>45010</v>
          </cell>
          <cell r="AE69">
            <v>39872</v>
          </cell>
          <cell r="AF69">
            <v>38054</v>
          </cell>
          <cell r="AG69">
            <v>32926</v>
          </cell>
          <cell r="AH69">
            <v>33082</v>
          </cell>
          <cell r="AI69">
            <v>29174</v>
          </cell>
          <cell r="AJ69">
            <v>26099</v>
          </cell>
          <cell r="AK69">
            <v>35899</v>
          </cell>
          <cell r="AL69">
            <v>33615</v>
          </cell>
          <cell r="AM69">
            <v>33615</v>
          </cell>
          <cell r="AN69">
            <v>33615</v>
          </cell>
          <cell r="AO69">
            <v>33615</v>
          </cell>
          <cell r="AP69">
            <v>33615</v>
          </cell>
        </row>
        <row r="70">
          <cell r="B70" t="str">
            <v>Total liabilities</v>
          </cell>
          <cell r="C70" t="str">
            <v>TOT_LIAB</v>
          </cell>
          <cell r="D70" t="str">
            <v>SEK</v>
          </cell>
          <cell r="M70">
            <v>21478</v>
          </cell>
          <cell r="N70">
            <v>22113</v>
          </cell>
          <cell r="O70">
            <v>19199</v>
          </cell>
          <cell r="P70">
            <v>20505</v>
          </cell>
          <cell r="Q70">
            <v>24610</v>
          </cell>
          <cell r="R70">
            <v>25952</v>
          </cell>
          <cell r="S70">
            <v>26111</v>
          </cell>
          <cell r="T70">
            <v>27823</v>
          </cell>
          <cell r="U70">
            <v>35055</v>
          </cell>
          <cell r="V70">
            <v>38703</v>
          </cell>
          <cell r="W70">
            <v>55612</v>
          </cell>
          <cell r="X70">
            <v>66502</v>
          </cell>
          <cell r="Y70">
            <v>61618</v>
          </cell>
          <cell r="Z70">
            <v>56186</v>
          </cell>
          <cell r="AA70">
            <v>64848</v>
          </cell>
          <cell r="AB70">
            <v>67820</v>
          </cell>
          <cell r="AC70">
            <v>60272</v>
          </cell>
          <cell r="AD70">
            <v>69647</v>
          </cell>
          <cell r="AE70">
            <v>67182</v>
          </cell>
          <cell r="AF70">
            <v>64210</v>
          </cell>
          <cell r="AG70">
            <v>58033</v>
          </cell>
          <cell r="AH70">
            <v>59833</v>
          </cell>
          <cell r="AI70">
            <v>58565</v>
          </cell>
          <cell r="AJ70">
            <v>54046</v>
          </cell>
          <cell r="AK70">
            <v>78183</v>
          </cell>
          <cell r="AL70">
            <v>68904.054771041046</v>
          </cell>
          <cell r="AM70">
            <v>68331.505919997348</v>
          </cell>
          <cell r="AN70">
            <v>69037.575740896442</v>
          </cell>
          <cell r="AO70">
            <v>68528.078371151001</v>
          </cell>
          <cell r="AP70">
            <v>69141.172102354016</v>
          </cell>
        </row>
        <row r="71">
          <cell r="B71" t="str">
            <v>Preferred shares</v>
          </cell>
          <cell r="C71" t="str">
            <v>PREF_SH</v>
          </cell>
          <cell r="D71" t="str">
            <v>SEK</v>
          </cell>
        </row>
        <row r="72">
          <cell r="B72" t="str">
            <v>Total common equity</v>
          </cell>
          <cell r="C72" t="str">
            <v>ORD_SH_FUND</v>
          </cell>
          <cell r="D72" t="str">
            <v>SEK</v>
          </cell>
          <cell r="M72">
            <v>17414</v>
          </cell>
          <cell r="N72">
            <v>18621</v>
          </cell>
          <cell r="O72">
            <v>20109</v>
          </cell>
          <cell r="P72">
            <v>22472</v>
          </cell>
          <cell r="Q72">
            <v>23972</v>
          </cell>
          <cell r="R72">
            <v>23205</v>
          </cell>
          <cell r="S72">
            <v>21440</v>
          </cell>
          <cell r="T72">
            <v>22567</v>
          </cell>
          <cell r="U72">
            <v>23488</v>
          </cell>
          <cell r="V72">
            <v>26146</v>
          </cell>
          <cell r="W72">
            <v>28614</v>
          </cell>
          <cell r="X72">
            <v>35588</v>
          </cell>
          <cell r="Y72">
            <v>28987</v>
          </cell>
          <cell r="Z72">
            <v>32581</v>
          </cell>
          <cell r="AA72">
            <v>32490</v>
          </cell>
          <cell r="AB72">
            <v>36125</v>
          </cell>
          <cell r="AC72">
            <v>33510</v>
          </cell>
          <cell r="AD72">
            <v>36538</v>
          </cell>
          <cell r="AE72">
            <v>33926</v>
          </cell>
          <cell r="AF72">
            <v>39197</v>
          </cell>
          <cell r="AG72">
            <v>48743</v>
          </cell>
          <cell r="AH72">
            <v>58476</v>
          </cell>
          <cell r="AI72">
            <v>61844</v>
          </cell>
          <cell r="AJ72">
            <v>65081</v>
          </cell>
          <cell r="AK72">
            <v>77332</v>
          </cell>
          <cell r="AL72">
            <v>71499.84606497534</v>
          </cell>
          <cell r="AM72">
            <v>80457.79006218951</v>
          </cell>
          <cell r="AN72">
            <v>89110.868992702322</v>
          </cell>
          <cell r="AO72">
            <v>98161.901851556147</v>
          </cell>
          <cell r="AP72">
            <v>107307.56447554109</v>
          </cell>
        </row>
        <row r="73">
          <cell r="B73" t="str">
            <v>Minority interest</v>
          </cell>
          <cell r="C73" t="str">
            <v>MINORITIES</v>
          </cell>
          <cell r="D73" t="str">
            <v>SEK</v>
          </cell>
          <cell r="M73">
            <v>1169</v>
          </cell>
          <cell r="N73">
            <v>872</v>
          </cell>
          <cell r="O73">
            <v>888</v>
          </cell>
          <cell r="P73">
            <v>931</v>
          </cell>
          <cell r="Q73">
            <v>967</v>
          </cell>
          <cell r="R73">
            <v>964</v>
          </cell>
          <cell r="S73">
            <v>846</v>
          </cell>
          <cell r="T73">
            <v>984</v>
          </cell>
          <cell r="U73">
            <v>1019</v>
          </cell>
          <cell r="V73">
            <v>1052</v>
          </cell>
          <cell r="W73">
            <v>1209</v>
          </cell>
          <cell r="X73">
            <v>1137</v>
          </cell>
          <cell r="Y73">
            <v>970</v>
          </cell>
          <cell r="Z73">
            <v>1232</v>
          </cell>
          <cell r="AA73">
            <v>1401</v>
          </cell>
          <cell r="AB73">
            <v>107</v>
          </cell>
          <cell r="AC73">
            <v>100</v>
          </cell>
          <cell r="AD73">
            <v>134</v>
          </cell>
          <cell r="AE73">
            <v>134</v>
          </cell>
          <cell r="AF73">
            <v>93</v>
          </cell>
          <cell r="AG73">
            <v>28</v>
          </cell>
          <cell r="AH73">
            <v>42</v>
          </cell>
          <cell r="AI73">
            <v>14</v>
          </cell>
          <cell r="AJ73">
            <v>1</v>
          </cell>
          <cell r="AK73">
            <v>0</v>
          </cell>
          <cell r="AL73">
            <v>0</v>
          </cell>
          <cell r="AM73">
            <v>0</v>
          </cell>
          <cell r="AN73">
            <v>0</v>
          </cell>
          <cell r="AO73">
            <v>0</v>
          </cell>
          <cell r="AP73">
            <v>0</v>
          </cell>
        </row>
        <row r="74">
          <cell r="B74" t="str">
            <v>Total shareholders' equity</v>
          </cell>
          <cell r="C74" t="str">
            <v>EQ</v>
          </cell>
          <cell r="D74" t="str">
            <v>SEK</v>
          </cell>
          <cell r="M74">
            <v>18583</v>
          </cell>
          <cell r="N74">
            <v>19493</v>
          </cell>
          <cell r="O74">
            <v>20997</v>
          </cell>
          <cell r="P74">
            <v>23403</v>
          </cell>
          <cell r="Q74">
            <v>24939</v>
          </cell>
          <cell r="R74">
            <v>24169</v>
          </cell>
          <cell r="S74">
            <v>22286</v>
          </cell>
          <cell r="T74">
            <v>23551</v>
          </cell>
          <cell r="U74">
            <v>24507</v>
          </cell>
          <cell r="V74">
            <v>27198</v>
          </cell>
          <cell r="W74">
            <v>29823</v>
          </cell>
          <cell r="X74">
            <v>36725</v>
          </cell>
          <cell r="Y74">
            <v>29957</v>
          </cell>
          <cell r="Z74">
            <v>33813</v>
          </cell>
          <cell r="AA74">
            <v>33891</v>
          </cell>
          <cell r="AB74">
            <v>36232</v>
          </cell>
          <cell r="AC74">
            <v>33610</v>
          </cell>
          <cell r="AD74">
            <v>36672</v>
          </cell>
          <cell r="AE74">
            <v>34060</v>
          </cell>
          <cell r="AF74">
            <v>39290</v>
          </cell>
          <cell r="AG74">
            <v>48771</v>
          </cell>
          <cell r="AH74">
            <v>58518</v>
          </cell>
          <cell r="AI74">
            <v>61858</v>
          </cell>
          <cell r="AJ74">
            <v>65082</v>
          </cell>
          <cell r="AK74">
            <v>77332</v>
          </cell>
          <cell r="AL74">
            <v>71499.84606497534</v>
          </cell>
          <cell r="AM74">
            <v>80457.79006218951</v>
          </cell>
          <cell r="AN74">
            <v>89110.868992702322</v>
          </cell>
          <cell r="AO74">
            <v>98161.901851556147</v>
          </cell>
          <cell r="AP74">
            <v>107307.56447554109</v>
          </cell>
        </row>
        <row r="75">
          <cell r="B75" t="str">
            <v>Total liabilities and equity</v>
          </cell>
          <cell r="C75" t="str">
            <v>TOT_LIAB_EQ</v>
          </cell>
          <cell r="D75" t="str">
            <v>SEK</v>
          </cell>
          <cell r="M75">
            <v>40061</v>
          </cell>
          <cell r="N75">
            <v>41606</v>
          </cell>
          <cell r="O75">
            <v>40196</v>
          </cell>
          <cell r="P75">
            <v>43908</v>
          </cell>
          <cell r="Q75">
            <v>49549</v>
          </cell>
          <cell r="R75">
            <v>50121</v>
          </cell>
          <cell r="S75">
            <v>48397</v>
          </cell>
          <cell r="T75">
            <v>51374</v>
          </cell>
          <cell r="U75">
            <v>59562</v>
          </cell>
          <cell r="V75">
            <v>65901</v>
          </cell>
          <cell r="W75">
            <v>85435</v>
          </cell>
          <cell r="X75">
            <v>103227</v>
          </cell>
          <cell r="Y75">
            <v>91575</v>
          </cell>
          <cell r="Z75">
            <v>89999</v>
          </cell>
          <cell r="AA75">
            <v>98739</v>
          </cell>
          <cell r="AB75">
            <v>104052</v>
          </cell>
          <cell r="AC75">
            <v>93882</v>
          </cell>
          <cell r="AD75">
            <v>106319</v>
          </cell>
          <cell r="AE75">
            <v>101242</v>
          </cell>
          <cell r="AF75">
            <v>103500</v>
          </cell>
          <cell r="AG75">
            <v>106804</v>
          </cell>
          <cell r="AH75">
            <v>118351</v>
          </cell>
          <cell r="AI75">
            <v>120423</v>
          </cell>
          <cell r="AJ75">
            <v>119128</v>
          </cell>
          <cell r="AK75">
            <v>155515</v>
          </cell>
          <cell r="AL75">
            <v>140403.9008360164</v>
          </cell>
          <cell r="AM75">
            <v>148789.29598218686</v>
          </cell>
          <cell r="AN75">
            <v>158148.44473359876</v>
          </cell>
          <cell r="AO75">
            <v>166689.98022270715</v>
          </cell>
          <cell r="AP75">
            <v>176448.73657789512</v>
          </cell>
        </row>
        <row r="76">
          <cell r="A76" t="str">
            <v>Additional Balance Sheet Items</v>
          </cell>
        </row>
        <row r="77">
          <cell r="B77" t="str">
            <v>Total US$ debt (in US$)</v>
          </cell>
          <cell r="C77" t="str">
            <v>TOT_USD_DEBT</v>
          </cell>
          <cell r="AD77">
            <v>962.71188740084403</v>
          </cell>
          <cell r="AE77">
            <v>962.71188740084403</v>
          </cell>
          <cell r="AF77">
            <v>962.71188740084403</v>
          </cell>
          <cell r="AG77">
            <v>962.71188740084403</v>
          </cell>
          <cell r="AH77">
            <v>962.71188740084403</v>
          </cell>
          <cell r="AI77">
            <v>962.71188740084403</v>
          </cell>
        </row>
        <row r="78">
          <cell r="B78" t="str">
            <v>% US$ debt hedged (principal)</v>
          </cell>
          <cell r="C78" t="str">
            <v>TOT_PCT_USD_DEBT_HEDGED</v>
          </cell>
          <cell r="AD78">
            <v>0.5</v>
          </cell>
          <cell r="AE78">
            <v>0.5</v>
          </cell>
          <cell r="AF78">
            <v>0.5</v>
          </cell>
          <cell r="AG78">
            <v>0.5</v>
          </cell>
          <cell r="AH78">
            <v>0.5</v>
          </cell>
          <cell r="AI78">
            <v>0.5</v>
          </cell>
        </row>
        <row r="79">
          <cell r="B79" t="str">
            <v>% Floating debt (local currency debt)</v>
          </cell>
          <cell r="C79" t="str">
            <v>FLOATING_PCT_LOCAL_DEBT</v>
          </cell>
          <cell r="AD79">
            <v>0.8</v>
          </cell>
          <cell r="AE79">
            <v>0.8</v>
          </cell>
          <cell r="AF79">
            <v>0.8</v>
          </cell>
          <cell r="AG79">
            <v>0.8</v>
          </cell>
          <cell r="AH79">
            <v>0.8</v>
          </cell>
          <cell r="AI79">
            <v>0.8</v>
          </cell>
        </row>
        <row r="80">
          <cell r="B80" t="str">
            <v>% floating debt hedged (rates)</v>
          </cell>
          <cell r="C80" t="str">
            <v>FLOATING_PCT_LOCAL_DEBT_HEDGED</v>
          </cell>
          <cell r="AD80">
            <v>0.2</v>
          </cell>
          <cell r="AE80">
            <v>0.2</v>
          </cell>
          <cell r="AF80">
            <v>0.2</v>
          </cell>
          <cell r="AG80">
            <v>0.2</v>
          </cell>
          <cell r="AH80">
            <v>0.2</v>
          </cell>
          <cell r="AI80">
            <v>0.2</v>
          </cell>
        </row>
        <row r="81">
          <cell r="B81" t="str">
            <v>Net debt</v>
          </cell>
          <cell r="C81" t="str">
            <v>NET_DEBT</v>
          </cell>
          <cell r="D81" t="str">
            <v>SEK</v>
          </cell>
          <cell r="M81">
            <v>5550.9816213470785</v>
          </cell>
          <cell r="N81">
            <v>6839.2081659910273</v>
          </cell>
          <cell r="O81">
            <v>4314.5839407819858</v>
          </cell>
          <cell r="P81">
            <v>5001.6343833181272</v>
          </cell>
          <cell r="Q81">
            <v>8430.1579680019568</v>
          </cell>
          <cell r="R81">
            <v>8057.4211288669003</v>
          </cell>
          <cell r="S81">
            <v>5715.4181754907404</v>
          </cell>
          <cell r="T81">
            <v>6496.8559899923812</v>
          </cell>
          <cell r="U81">
            <v>7773.3433346814772</v>
          </cell>
          <cell r="V81">
            <v>15389.492245036165</v>
          </cell>
          <cell r="W81">
            <v>29119.734525343541</v>
          </cell>
          <cell r="X81">
            <v>33342.493543016768</v>
          </cell>
          <cell r="Y81">
            <v>30128.573350012699</v>
          </cell>
          <cell r="Z81">
            <v>25601.519606091104</v>
          </cell>
          <cell r="AA81">
            <v>28542.736434691826</v>
          </cell>
          <cell r="AB81">
            <v>24594.50771734121</v>
          </cell>
          <cell r="AC81">
            <v>27689.13298657813</v>
          </cell>
          <cell r="AD81">
            <v>33579</v>
          </cell>
          <cell r="AE81">
            <v>31221</v>
          </cell>
          <cell r="AF81">
            <v>31773</v>
          </cell>
          <cell r="AG81">
            <v>19086</v>
          </cell>
          <cell r="AH81">
            <v>14910</v>
          </cell>
          <cell r="AI81">
            <v>11131</v>
          </cell>
          <cell r="AJ81">
            <v>2646</v>
          </cell>
          <cell r="AK81">
            <v>26902</v>
          </cell>
          <cell r="AL81">
            <v>37683.763942928097</v>
          </cell>
          <cell r="AM81">
            <v>29593.922471453261</v>
          </cell>
          <cell r="AN81">
            <v>29593.922471453261</v>
          </cell>
          <cell r="AO81">
            <v>29593.922471453261</v>
          </cell>
          <cell r="AP81">
            <v>0</v>
          </cell>
        </row>
        <row r="82">
          <cell r="B82" t="str">
            <v>Capitalized operating leases (off-balance sheet)</v>
          </cell>
          <cell r="C82" t="str">
            <v>CAP_LEASES</v>
          </cell>
          <cell r="D82" t="str">
            <v>SEK</v>
          </cell>
          <cell r="E82" t="str">
            <v>Must be populated if Lease payments has been populated in the P&amp;L (default value is 8 times lease payments)</v>
          </cell>
          <cell r="G82">
            <v>0</v>
          </cell>
          <cell r="H82">
            <v>640.67918246033162</v>
          </cell>
          <cell r="I82">
            <v>670.48504030323841</v>
          </cell>
          <cell r="J82">
            <v>756.96739058870003</v>
          </cell>
          <cell r="K82">
            <v>815.51175236787412</v>
          </cell>
          <cell r="L82">
            <v>878.13874283994403</v>
          </cell>
          <cell r="M82">
            <v>1068.9816213470781</v>
          </cell>
          <cell r="N82">
            <v>1110.208165991027</v>
          </cell>
          <cell r="O82">
            <v>1072.5839407819863</v>
          </cell>
          <cell r="P82">
            <v>1171.6343833181277</v>
          </cell>
          <cell r="Q82">
            <v>1322.1579680019565</v>
          </cell>
          <cell r="R82">
            <v>1337.4211288669005</v>
          </cell>
          <cell r="S82">
            <v>1291.4181754907402</v>
          </cell>
          <cell r="T82">
            <v>1370.8559899923814</v>
          </cell>
          <cell r="U82">
            <v>1589.3433346814775</v>
          </cell>
          <cell r="V82">
            <v>1758.4922450361648</v>
          </cell>
          <cell r="W82">
            <v>2279.7345253435419</v>
          </cell>
          <cell r="X82">
            <v>2754.4935430167702</v>
          </cell>
          <cell r="Y82">
            <v>2443.5733500126976</v>
          </cell>
          <cell r="Z82">
            <v>2401.5196060911035</v>
          </cell>
          <cell r="AA82">
            <v>2634.7364346918239</v>
          </cell>
          <cell r="AB82">
            <v>2776.5077173412092</v>
          </cell>
          <cell r="AC82">
            <v>2505.1329865781281</v>
          </cell>
          <cell r="AD82">
            <v>2837</v>
          </cell>
          <cell r="AE82">
            <v>3048</v>
          </cell>
          <cell r="AF82">
            <v>3194</v>
          </cell>
          <cell r="AG82">
            <v>3046</v>
          </cell>
          <cell r="AH82">
            <v>3353</v>
          </cell>
        </row>
        <row r="83">
          <cell r="B83" t="str">
            <v>Deferred income taxes</v>
          </cell>
          <cell r="C83" t="str">
            <v>DEF_INC_TAX</v>
          </cell>
          <cell r="D83" t="str">
            <v>SEK</v>
          </cell>
          <cell r="E83" t="str">
            <v>Net of Deferred income tax assets and liabilities. NB. If there is a net deferred tax asset, then DEF_INC_TAX should be 0 and the asset should be added to Other long term assets.</v>
          </cell>
          <cell r="M83">
            <v>0</v>
          </cell>
          <cell r="N83">
            <v>0</v>
          </cell>
          <cell r="O83">
            <v>0</v>
          </cell>
          <cell r="P83">
            <v>0</v>
          </cell>
          <cell r="Q83">
            <v>-852</v>
          </cell>
          <cell r="R83">
            <v>-912</v>
          </cell>
          <cell r="S83">
            <v>-661</v>
          </cell>
          <cell r="T83">
            <v>-887</v>
          </cell>
          <cell r="U83">
            <v>-744</v>
          </cell>
          <cell r="V83">
            <v>-691</v>
          </cell>
          <cell r="W83">
            <v>-463</v>
          </cell>
          <cell r="X83">
            <v>-237</v>
          </cell>
          <cell r="Y83">
            <v>1268</v>
          </cell>
          <cell r="Z83">
            <v>1018</v>
          </cell>
          <cell r="AA83">
            <v>2114</v>
          </cell>
          <cell r="AB83">
            <v>1835</v>
          </cell>
          <cell r="AC83">
            <v>4953</v>
          </cell>
          <cell r="AD83">
            <v>4580</v>
          </cell>
          <cell r="AE83">
            <v>3914.267169826735</v>
          </cell>
          <cell r="AF83">
            <v>3798</v>
          </cell>
          <cell r="AG83">
            <v>2729</v>
          </cell>
          <cell r="AH83">
            <v>765</v>
          </cell>
          <cell r="AI83">
            <v>1498</v>
          </cell>
          <cell r="AJ83">
            <v>2039</v>
          </cell>
          <cell r="AK83">
            <v>470</v>
          </cell>
          <cell r="AL83">
            <v>1124.1957375210322</v>
          </cell>
          <cell r="AM83">
            <v>1124.1957375210322</v>
          </cell>
          <cell r="AN83">
            <v>1124.1957375210322</v>
          </cell>
          <cell r="AO83">
            <v>1124.1957375210322</v>
          </cell>
          <cell r="AP83">
            <v>1124.1957375210322</v>
          </cell>
        </row>
        <row r="84">
          <cell r="B84" t="str">
            <v>Associates (mkt value) used in EV calculation</v>
          </cell>
          <cell r="C84" t="str">
            <v>MV_ASSOCIATES</v>
          </cell>
          <cell r="D84" t="str">
            <v>SEK</v>
          </cell>
        </row>
        <row r="85">
          <cell r="B85" t="str">
            <v>Net debt adjustment</v>
          </cell>
          <cell r="C85" t="str">
            <v>NET_DEBT_ADJ</v>
          </cell>
          <cell r="D85" t="str">
            <v>SEK</v>
          </cell>
          <cell r="M85">
            <v>-292</v>
          </cell>
          <cell r="N85">
            <v>-220</v>
          </cell>
          <cell r="O85">
            <v>-483</v>
          </cell>
          <cell r="P85">
            <v>-231</v>
          </cell>
          <cell r="Q85">
            <v>-1092</v>
          </cell>
          <cell r="R85">
            <v>-2214</v>
          </cell>
          <cell r="S85">
            <v>-3909</v>
          </cell>
          <cell r="T85">
            <v>-4171</v>
          </cell>
          <cell r="U85">
            <v>-5767</v>
          </cell>
          <cell r="V85">
            <v>1406</v>
          </cell>
          <cell r="W85">
            <v>1311</v>
          </cell>
          <cell r="X85">
            <v>1683</v>
          </cell>
          <cell r="Y85">
            <v>2610</v>
          </cell>
          <cell r="Z85">
            <v>1454</v>
          </cell>
          <cell r="AA85">
            <v>2638</v>
          </cell>
          <cell r="AB85">
            <v>2376</v>
          </cell>
          <cell r="AC85">
            <v>4414</v>
          </cell>
          <cell r="AD85">
            <v>881</v>
          </cell>
          <cell r="AE85">
            <v>1503.9338549900931</v>
          </cell>
          <cell r="AF85">
            <v>7776</v>
          </cell>
          <cell r="AG85">
            <v>5527</v>
          </cell>
          <cell r="AH85">
            <v>5744</v>
          </cell>
          <cell r="AI85">
            <v>9536</v>
          </cell>
          <cell r="AJ85">
            <v>11861</v>
          </cell>
          <cell r="AK85">
            <v>7715</v>
          </cell>
          <cell r="AL85">
            <v>7651</v>
          </cell>
          <cell r="AM85">
            <v>7651</v>
          </cell>
          <cell r="AN85">
            <v>8056.4728921531059</v>
          </cell>
          <cell r="AO85">
            <v>6502.6507855583477</v>
          </cell>
          <cell r="AP85">
            <v>-23235.713720638803</v>
          </cell>
        </row>
        <row r="86">
          <cell r="B86" t="str">
            <v>Company borrowing margin</v>
          </cell>
          <cell r="C86" t="str">
            <v>CO_BOR_MARGIN</v>
          </cell>
          <cell r="M86">
            <v>0.02</v>
          </cell>
          <cell r="N86">
            <v>0.02</v>
          </cell>
          <cell r="O86">
            <v>0.02</v>
          </cell>
          <cell r="P86">
            <v>0.02</v>
          </cell>
          <cell r="Q86">
            <v>0.02</v>
          </cell>
          <cell r="R86">
            <v>0.02</v>
          </cell>
          <cell r="S86">
            <v>0.02</v>
          </cell>
          <cell r="T86">
            <v>0.02</v>
          </cell>
          <cell r="U86">
            <v>0.02</v>
          </cell>
          <cell r="V86">
            <v>0.02</v>
          </cell>
          <cell r="W86">
            <v>0.02</v>
          </cell>
          <cell r="X86">
            <v>0.02</v>
          </cell>
          <cell r="Y86">
            <v>0.02</v>
          </cell>
          <cell r="Z86">
            <v>0.02</v>
          </cell>
          <cell r="AA86">
            <v>0.02</v>
          </cell>
          <cell r="AB86">
            <v>0.02</v>
          </cell>
          <cell r="AC86">
            <v>0.02</v>
          </cell>
          <cell r="AD86">
            <v>0.02</v>
          </cell>
          <cell r="AE86">
            <v>0.02</v>
          </cell>
          <cell r="AF86">
            <v>0.02</v>
          </cell>
          <cell r="AG86">
            <v>0.02</v>
          </cell>
          <cell r="AH86">
            <v>0.02</v>
          </cell>
          <cell r="AI86">
            <v>0.02</v>
          </cell>
          <cell r="AJ86">
            <v>0.02</v>
          </cell>
          <cell r="AK86">
            <v>0.02</v>
          </cell>
          <cell r="AL86">
            <v>0.02</v>
          </cell>
          <cell r="AM86">
            <v>0.02</v>
          </cell>
          <cell r="AN86">
            <v>0.02</v>
          </cell>
          <cell r="AO86">
            <v>0.02</v>
          </cell>
          <cell r="AP86">
            <v>0.02</v>
          </cell>
        </row>
        <row r="87">
          <cell r="B87" t="str">
            <v>Unfunded pensions &amp; other provisions</v>
          </cell>
          <cell r="C87" t="str">
            <v>UNF_PENS</v>
          </cell>
          <cell r="D87" t="str">
            <v>SEK</v>
          </cell>
          <cell r="M87">
            <v>-2386</v>
          </cell>
          <cell r="N87">
            <v>-2463</v>
          </cell>
          <cell r="O87">
            <v>-2288</v>
          </cell>
          <cell r="P87">
            <v>-2583</v>
          </cell>
          <cell r="Q87">
            <v>-1764</v>
          </cell>
          <cell r="R87">
            <v>-2044</v>
          </cell>
          <cell r="S87">
            <v>-3659</v>
          </cell>
          <cell r="T87">
            <v>-3015</v>
          </cell>
          <cell r="U87">
            <v>-3538</v>
          </cell>
          <cell r="V87">
            <v>-3180</v>
          </cell>
          <cell r="W87">
            <v>-3100</v>
          </cell>
          <cell r="X87">
            <v>-2735</v>
          </cell>
          <cell r="Y87">
            <v>-2657</v>
          </cell>
          <cell r="Z87">
            <v>-2264</v>
          </cell>
          <cell r="AA87">
            <v>-2358</v>
          </cell>
          <cell r="AB87">
            <v>-2242</v>
          </cell>
          <cell r="AC87">
            <v>-5164</v>
          </cell>
          <cell r="AD87">
            <v>-7036</v>
          </cell>
          <cell r="AE87">
            <v>-5900</v>
          </cell>
          <cell r="AF87">
            <v>-5979</v>
          </cell>
          <cell r="AG87">
            <v>-4936</v>
          </cell>
          <cell r="AH87">
            <v>-5718</v>
          </cell>
          <cell r="AI87">
            <v>-7348</v>
          </cell>
          <cell r="AJ87">
            <v>-8509</v>
          </cell>
          <cell r="AK87">
            <v>-6137</v>
          </cell>
          <cell r="AL87">
            <v>-6137</v>
          </cell>
          <cell r="AM87">
            <v>-6137</v>
          </cell>
          <cell r="AN87">
            <v>-6137</v>
          </cell>
          <cell r="AO87">
            <v>-6137</v>
          </cell>
          <cell r="AP87">
            <v>-6137</v>
          </cell>
        </row>
        <row r="88">
          <cell r="B88" t="str">
            <v>Unfunded pension liabilities (off balance sheet)</v>
          </cell>
          <cell r="C88" t="str">
            <v>UNF_PENS_OFF</v>
          </cell>
          <cell r="D88" t="str">
            <v>SEK</v>
          </cell>
        </row>
        <row r="89">
          <cell r="B89" t="str">
            <v>Unfunded pension liabilities &amp; other, used in EV</v>
          </cell>
          <cell r="C89" t="str">
            <v>UNF_PENS_LIAB_OTH</v>
          </cell>
          <cell r="D89" t="str">
            <v>SEK</v>
          </cell>
          <cell r="M89">
            <v>2386</v>
          </cell>
          <cell r="N89">
            <v>2463</v>
          </cell>
          <cell r="O89">
            <v>2288</v>
          </cell>
          <cell r="P89">
            <v>2583</v>
          </cell>
          <cell r="Q89">
            <v>1764</v>
          </cell>
          <cell r="R89">
            <v>2044</v>
          </cell>
          <cell r="S89">
            <v>3659</v>
          </cell>
          <cell r="T89">
            <v>3015</v>
          </cell>
          <cell r="U89">
            <v>3538</v>
          </cell>
          <cell r="V89">
            <v>3180</v>
          </cell>
          <cell r="W89">
            <v>3100</v>
          </cell>
          <cell r="X89">
            <v>2735</v>
          </cell>
          <cell r="Y89">
            <v>2657</v>
          </cell>
          <cell r="Z89">
            <v>2264</v>
          </cell>
          <cell r="AA89">
            <v>2358</v>
          </cell>
          <cell r="AB89">
            <v>2242</v>
          </cell>
          <cell r="AC89">
            <v>5164</v>
          </cell>
          <cell r="AD89">
            <v>7036</v>
          </cell>
          <cell r="AE89">
            <v>5900</v>
          </cell>
          <cell r="AF89">
            <v>5979</v>
          </cell>
          <cell r="AG89">
            <v>4936</v>
          </cell>
          <cell r="AH89">
            <v>5718</v>
          </cell>
          <cell r="AI89">
            <v>7348</v>
          </cell>
          <cell r="AJ89">
            <v>8509</v>
          </cell>
          <cell r="AK89">
            <v>6137</v>
          </cell>
          <cell r="AL89">
            <v>6137</v>
          </cell>
          <cell r="AM89">
            <v>6137</v>
          </cell>
          <cell r="AN89">
            <v>6137</v>
          </cell>
          <cell r="AO89">
            <v>6137</v>
          </cell>
          <cell r="AP89">
            <v>6137</v>
          </cell>
        </row>
        <row r="90">
          <cell r="B90" t="str">
            <v>Adjustment for unfunded pensions &amp; goodwill</v>
          </cell>
          <cell r="C90" t="str">
            <v>ADJ_UNF_PENS_GOOD</v>
          </cell>
          <cell r="D90" t="str">
            <v>SEK</v>
          </cell>
        </row>
        <row r="91">
          <cell r="B91" t="str">
            <v>Other GCI adjustments</v>
          </cell>
          <cell r="C91" t="str">
            <v>OTH_GCI_ADJ</v>
          </cell>
          <cell r="D91" t="str">
            <v>SEK</v>
          </cell>
        </row>
        <row r="92">
          <cell r="B92" t="str">
            <v>GCI inflator</v>
          </cell>
          <cell r="C92" t="str">
            <v>GCI_INFL</v>
          </cell>
        </row>
        <row r="93">
          <cell r="B93" t="str">
            <v>Minority interest</v>
          </cell>
          <cell r="C93" t="str">
            <v>BAL_MINO_INT</v>
          </cell>
          <cell r="D93" t="str">
            <v>SEK</v>
          </cell>
          <cell r="M93">
            <v>1169</v>
          </cell>
          <cell r="N93">
            <v>872</v>
          </cell>
          <cell r="O93">
            <v>888</v>
          </cell>
          <cell r="P93">
            <v>931</v>
          </cell>
          <cell r="Q93">
            <v>967</v>
          </cell>
          <cell r="R93">
            <v>964</v>
          </cell>
          <cell r="S93">
            <v>846</v>
          </cell>
          <cell r="T93">
            <v>984</v>
          </cell>
          <cell r="U93">
            <v>1019</v>
          </cell>
          <cell r="V93">
            <v>1052</v>
          </cell>
          <cell r="W93">
            <v>1209</v>
          </cell>
          <cell r="X93">
            <v>1137</v>
          </cell>
          <cell r="Y93">
            <v>970</v>
          </cell>
          <cell r="Z93">
            <v>1232</v>
          </cell>
          <cell r="AA93">
            <v>1401</v>
          </cell>
          <cell r="AB93">
            <v>107</v>
          </cell>
          <cell r="AC93">
            <v>100</v>
          </cell>
          <cell r="AD93">
            <v>134</v>
          </cell>
          <cell r="AE93">
            <v>134</v>
          </cell>
          <cell r="AF93">
            <v>93</v>
          </cell>
          <cell r="AG93">
            <v>28</v>
          </cell>
          <cell r="AH93">
            <v>42</v>
          </cell>
          <cell r="AI93">
            <v>14</v>
          </cell>
          <cell r="AJ93">
            <v>1</v>
          </cell>
          <cell r="AK93">
            <v>0</v>
          </cell>
          <cell r="AL93">
            <v>0</v>
          </cell>
          <cell r="AM93">
            <v>0</v>
          </cell>
          <cell r="AN93">
            <v>0</v>
          </cell>
          <cell r="AO93">
            <v>0</v>
          </cell>
          <cell r="AP93">
            <v>0</v>
          </cell>
        </row>
        <row r="94">
          <cell r="B94" t="str">
            <v>Right-of-use assets (op lease assets under US GAAP)</v>
          </cell>
          <cell r="C94" t="str">
            <v>ROU_ASSET</v>
          </cell>
          <cell r="D94" t="str">
            <v>SEK</v>
          </cell>
          <cell r="AI94">
            <v>3172</v>
          </cell>
          <cell r="AJ94">
            <v>2891</v>
          </cell>
          <cell r="AK94">
            <v>3840</v>
          </cell>
          <cell r="AL94">
            <v>3607</v>
          </cell>
          <cell r="AM94">
            <v>3606.9999999999995</v>
          </cell>
          <cell r="AN94">
            <v>3606.9999999999995</v>
          </cell>
          <cell r="AO94">
            <v>3606.9999999999995</v>
          </cell>
          <cell r="AP94">
            <v>3607</v>
          </cell>
        </row>
        <row r="95">
          <cell r="A95" t="str">
            <v>Cash Flow Statement</v>
          </cell>
        </row>
        <row r="96">
          <cell r="B96" t="str">
            <v>Minority interest add-back</v>
          </cell>
          <cell r="C96" t="str">
            <v>CF_INC_MINORITY</v>
          </cell>
          <cell r="D96" t="str">
            <v>SEK</v>
          </cell>
          <cell r="M96">
            <v>197</v>
          </cell>
          <cell r="N96">
            <v>165</v>
          </cell>
          <cell r="O96">
            <v>157</v>
          </cell>
          <cell r="P96">
            <v>211</v>
          </cell>
          <cell r="Q96">
            <v>206</v>
          </cell>
          <cell r="R96">
            <v>196</v>
          </cell>
          <cell r="S96">
            <v>187</v>
          </cell>
          <cell r="T96">
            <v>265</v>
          </cell>
          <cell r="U96">
            <v>371</v>
          </cell>
          <cell r="V96">
            <v>406</v>
          </cell>
          <cell r="W96">
            <v>478</v>
          </cell>
          <cell r="X96">
            <v>364</v>
          </cell>
          <cell r="Y96">
            <v>56</v>
          </cell>
          <cell r="Z96">
            <v>309</v>
          </cell>
          <cell r="AA96">
            <v>363</v>
          </cell>
          <cell r="AB96">
            <v>2</v>
          </cell>
          <cell r="AC96">
            <v>-5</v>
          </cell>
          <cell r="AD96">
            <v>-19</v>
          </cell>
          <cell r="AE96">
            <v>-53</v>
          </cell>
          <cell r="AF96">
            <v>-40</v>
          </cell>
          <cell r="AG96">
            <v>-14</v>
          </cell>
          <cell r="AH96">
            <v>-10</v>
          </cell>
          <cell r="AI96">
            <v>-16</v>
          </cell>
          <cell r="AJ96">
            <v>-14</v>
          </cell>
          <cell r="AK96">
            <v>23</v>
          </cell>
          <cell r="AL96">
            <v>55</v>
          </cell>
          <cell r="AM96">
            <v>58.082293917539687</v>
          </cell>
          <cell r="AN96">
            <v>61.97389951989787</v>
          </cell>
          <cell r="AO96">
            <v>66.561447734152765</v>
          </cell>
          <cell r="AP96">
            <v>70.36299652516675</v>
          </cell>
        </row>
        <row r="97">
          <cell r="B97" t="str">
            <v>Depreciation &amp; amortization add-back</v>
          </cell>
          <cell r="C97" t="str">
            <v>DEPR_AMORT</v>
          </cell>
          <cell r="D97" t="str">
            <v>SEK</v>
          </cell>
          <cell r="M97">
            <v>1486</v>
          </cell>
          <cell r="N97">
            <v>2099</v>
          </cell>
          <cell r="O97">
            <v>2273</v>
          </cell>
          <cell r="P97">
            <v>2336</v>
          </cell>
          <cell r="Q97">
            <v>2446</v>
          </cell>
          <cell r="R97">
            <v>2696</v>
          </cell>
          <cell r="S97">
            <v>3346</v>
          </cell>
          <cell r="T97">
            <v>2579</v>
          </cell>
          <cell r="U97">
            <v>2713</v>
          </cell>
          <cell r="V97">
            <v>2976</v>
          </cell>
          <cell r="W97">
            <v>3077</v>
          </cell>
          <cell r="X97">
            <v>3481</v>
          </cell>
          <cell r="Y97">
            <v>4049</v>
          </cell>
          <cell r="Z97">
            <v>3982</v>
          </cell>
          <cell r="AA97">
            <v>3868</v>
          </cell>
          <cell r="AB97">
            <v>4322</v>
          </cell>
          <cell r="AC97">
            <v>4690</v>
          </cell>
          <cell r="AD97">
            <v>4145</v>
          </cell>
          <cell r="AE97">
            <v>5321</v>
          </cell>
          <cell r="AF97">
            <v>4715</v>
          </cell>
          <cell r="AG97">
            <v>4936</v>
          </cell>
          <cell r="AH97">
            <v>4408</v>
          </cell>
          <cell r="AI97">
            <v>10077</v>
          </cell>
          <cell r="AJ97">
            <v>5964</v>
          </cell>
          <cell r="AK97">
            <v>5995</v>
          </cell>
          <cell r="AL97">
            <v>6963.9143914532815</v>
          </cell>
          <cell r="AM97">
            <v>6253.7831482043648</v>
          </cell>
          <cell r="AN97">
            <v>6672.796515170161</v>
          </cell>
          <cell r="AO97">
            <v>7166.7427727786035</v>
          </cell>
          <cell r="AP97">
            <v>7576.0596258641972</v>
          </cell>
        </row>
        <row r="98">
          <cell r="B98" t="str">
            <v>(Increase)/decrease in working capital</v>
          </cell>
          <cell r="C98" t="str">
            <v>WORK_CAP</v>
          </cell>
          <cell r="D98" t="str">
            <v>SEK</v>
          </cell>
          <cell r="M98">
            <v>456</v>
          </cell>
          <cell r="N98">
            <v>-1283</v>
          </cell>
          <cell r="O98">
            <v>-928</v>
          </cell>
          <cell r="P98">
            <v>-1105</v>
          </cell>
          <cell r="Q98">
            <v>-618</v>
          </cell>
          <cell r="R98">
            <v>1055</v>
          </cell>
          <cell r="S98">
            <v>678</v>
          </cell>
          <cell r="T98">
            <v>-2206</v>
          </cell>
          <cell r="U98">
            <v>-2287</v>
          </cell>
          <cell r="V98">
            <v>-2920</v>
          </cell>
          <cell r="W98">
            <v>-6567</v>
          </cell>
          <cell r="X98">
            <v>-1348</v>
          </cell>
          <cell r="Y98">
            <v>11632</v>
          </cell>
          <cell r="Z98">
            <v>48</v>
          </cell>
          <cell r="AA98">
            <v>-4730</v>
          </cell>
          <cell r="AB98">
            <v>-592</v>
          </cell>
          <cell r="AC98">
            <v>1672</v>
          </cell>
          <cell r="AD98">
            <v>487</v>
          </cell>
          <cell r="AE98">
            <v>3141</v>
          </cell>
          <cell r="AF98">
            <v>2009</v>
          </cell>
          <cell r="AG98">
            <v>-685</v>
          </cell>
          <cell r="AH98">
            <v>-3198</v>
          </cell>
          <cell r="AI98">
            <v>-447</v>
          </cell>
          <cell r="AJ98">
            <v>1994</v>
          </cell>
          <cell r="AK98">
            <v>-3713</v>
          </cell>
          <cell r="AL98">
            <v>-16503.942495926294</v>
          </cell>
          <cell r="AM98">
            <v>3842.7953767038507</v>
          </cell>
          <cell r="AN98">
            <v>-2591.8638247959352</v>
          </cell>
          <cell r="AO98">
            <v>-4416.4362721787165</v>
          </cell>
          <cell r="AP98">
            <v>-2432.8695706119652</v>
          </cell>
        </row>
        <row r="99">
          <cell r="B99" t="str">
            <v>Other operating cash flow items</v>
          </cell>
          <cell r="C99" t="str">
            <v>OTH_OP_CF</v>
          </cell>
          <cell r="D99" t="str">
            <v>SEK</v>
          </cell>
          <cell r="M99">
            <v>-780</v>
          </cell>
          <cell r="N99">
            <v>43</v>
          </cell>
          <cell r="O99">
            <v>-103</v>
          </cell>
          <cell r="P99">
            <v>-518</v>
          </cell>
          <cell r="Q99">
            <v>-804</v>
          </cell>
          <cell r="R99">
            <v>-193</v>
          </cell>
          <cell r="S99">
            <v>-1178</v>
          </cell>
          <cell r="T99">
            <v>-284</v>
          </cell>
          <cell r="U99">
            <v>359</v>
          </cell>
          <cell r="V99">
            <v>-129</v>
          </cell>
          <cell r="W99">
            <v>-747</v>
          </cell>
          <cell r="X99">
            <v>-644</v>
          </cell>
          <cell r="Y99">
            <v>-3283</v>
          </cell>
          <cell r="Z99">
            <v>939</v>
          </cell>
          <cell r="AA99">
            <v>-325</v>
          </cell>
          <cell r="AB99">
            <v>-546</v>
          </cell>
          <cell r="AC99">
            <v>-8152</v>
          </cell>
          <cell r="AD99">
            <v>-773.00000249910045</v>
          </cell>
          <cell r="AE99">
            <v>-2016.3999999999996</v>
          </cell>
          <cell r="AF99">
            <v>-1023</v>
          </cell>
          <cell r="AG99">
            <v>930</v>
          </cell>
          <cell r="AH99">
            <v>475</v>
          </cell>
          <cell r="AI99">
            <v>-6545</v>
          </cell>
          <cell r="AJ99">
            <v>-4650</v>
          </cell>
          <cell r="AK99">
            <v>-1573.4000000000015</v>
          </cell>
          <cell r="AL99">
            <v>1097.3753177362232</v>
          </cell>
          <cell r="AM99">
            <v>-1124</v>
          </cell>
          <cell r="AN99">
            <v>-600.00000000000182</v>
          </cell>
          <cell r="AO99">
            <v>-600</v>
          </cell>
          <cell r="AP99">
            <v>-600</v>
          </cell>
        </row>
        <row r="100">
          <cell r="B100" t="str">
            <v>Cash flow from operating activities</v>
          </cell>
          <cell r="C100" t="str">
            <v>CF_OPS</v>
          </cell>
          <cell r="D100" t="str">
            <v>SEK</v>
          </cell>
          <cell r="M100">
            <v>4984</v>
          </cell>
          <cell r="N100">
            <v>3919</v>
          </cell>
          <cell r="O100">
            <v>3394</v>
          </cell>
          <cell r="P100">
            <v>4476</v>
          </cell>
          <cell r="Q100">
            <v>5093</v>
          </cell>
          <cell r="R100">
            <v>7190</v>
          </cell>
          <cell r="S100">
            <v>6421</v>
          </cell>
          <cell r="T100">
            <v>5322</v>
          </cell>
          <cell r="U100">
            <v>7266</v>
          </cell>
          <cell r="V100">
            <v>8170</v>
          </cell>
          <cell r="W100">
            <v>5476</v>
          </cell>
          <cell r="X100">
            <v>9671</v>
          </cell>
          <cell r="Y100">
            <v>12750</v>
          </cell>
          <cell r="Z100">
            <v>12689</v>
          </cell>
          <cell r="AA100">
            <v>8309</v>
          </cell>
          <cell r="AB100">
            <v>12876</v>
          </cell>
          <cell r="AC100">
            <v>5617</v>
          </cell>
          <cell r="AD100">
            <v>9883</v>
          </cell>
          <cell r="AE100">
            <v>13220</v>
          </cell>
          <cell r="AF100">
            <v>12555</v>
          </cell>
          <cell r="AG100">
            <v>14286</v>
          </cell>
          <cell r="AH100">
            <v>14914</v>
          </cell>
          <cell r="AI100">
            <v>17654</v>
          </cell>
          <cell r="AJ100">
            <v>15414</v>
          </cell>
          <cell r="AK100">
            <v>13218</v>
          </cell>
          <cell r="AL100">
            <v>7200.1514605023149</v>
          </cell>
          <cell r="AM100">
            <v>25172.856022122367</v>
          </cell>
          <cell r="AN100">
            <v>20463.109222535335</v>
          </cell>
          <cell r="AO100">
            <v>20261.44067577432</v>
          </cell>
          <cell r="AP100">
            <v>23311.139042957318</v>
          </cell>
        </row>
        <row r="101">
          <cell r="B101" t="str">
            <v>Capital expenditures, Capex</v>
          </cell>
          <cell r="C101" t="str">
            <v>CAPEX</v>
          </cell>
          <cell r="D101" t="str">
            <v>SEK</v>
          </cell>
          <cell r="M101">
            <v>-786</v>
          </cell>
          <cell r="N101">
            <v>-2614</v>
          </cell>
          <cell r="O101">
            <v>-1556</v>
          </cell>
          <cell r="P101">
            <v>-1823</v>
          </cell>
          <cell r="Q101">
            <v>-2374</v>
          </cell>
          <cell r="R101">
            <v>-2135</v>
          </cell>
          <cell r="S101">
            <v>-2840</v>
          </cell>
          <cell r="T101">
            <v>-2770</v>
          </cell>
          <cell r="U101">
            <v>-3430</v>
          </cell>
          <cell r="V101">
            <v>-4133</v>
          </cell>
          <cell r="W101">
            <v>-4990</v>
          </cell>
          <cell r="X101">
            <v>-6788</v>
          </cell>
          <cell r="Y101">
            <v>-4212</v>
          </cell>
          <cell r="Z101">
            <v>-3327</v>
          </cell>
          <cell r="AA101">
            <v>-5122</v>
          </cell>
          <cell r="AB101">
            <v>-5133</v>
          </cell>
          <cell r="AC101">
            <v>-3486</v>
          </cell>
          <cell r="AD101">
            <v>-3590</v>
          </cell>
          <cell r="AE101">
            <v>-3014</v>
          </cell>
          <cell r="AF101">
            <v>-2498</v>
          </cell>
          <cell r="AG101">
            <v>-2371</v>
          </cell>
          <cell r="AH101">
            <v>-3101</v>
          </cell>
          <cell r="AI101">
            <v>-3075</v>
          </cell>
          <cell r="AJ101">
            <v>-2415</v>
          </cell>
          <cell r="AK101">
            <v>-2358</v>
          </cell>
          <cell r="AL101">
            <v>-3518.3742408886942</v>
          </cell>
          <cell r="AM101">
            <v>-3454.1571785748529</v>
          </cell>
          <cell r="AN101">
            <v>-3997.9294106306293</v>
          </cell>
          <cell r="AO101">
            <v>-4293.8716390612772</v>
          </cell>
          <cell r="AP101">
            <v>-4539.1091315424856</v>
          </cell>
        </row>
        <row r="102">
          <cell r="B102" t="str">
            <v>Acquisitions</v>
          </cell>
          <cell r="C102" t="str">
            <v>ACQ</v>
          </cell>
          <cell r="D102" t="str">
            <v>SEK</v>
          </cell>
          <cell r="M102">
            <v>-4291</v>
          </cell>
          <cell r="N102">
            <v>-386</v>
          </cell>
          <cell r="O102">
            <v>-344</v>
          </cell>
          <cell r="P102">
            <v>-562</v>
          </cell>
          <cell r="Q102">
            <v>-1870</v>
          </cell>
          <cell r="R102">
            <v>-2570</v>
          </cell>
          <cell r="S102">
            <v>-107</v>
          </cell>
          <cell r="T102">
            <v>-311</v>
          </cell>
          <cell r="U102">
            <v>-285</v>
          </cell>
          <cell r="V102">
            <v>-1261</v>
          </cell>
          <cell r="W102">
            <v>-5856</v>
          </cell>
          <cell r="X102">
            <v>-954</v>
          </cell>
          <cell r="Y102">
            <v>-2036</v>
          </cell>
          <cell r="Z102">
            <v>-1216</v>
          </cell>
          <cell r="AA102">
            <v>-338</v>
          </cell>
          <cell r="AB102">
            <v>-39</v>
          </cell>
          <cell r="AC102">
            <v>-489</v>
          </cell>
          <cell r="AD102">
            <v>-2834</v>
          </cell>
          <cell r="AE102">
            <v>-7</v>
          </cell>
          <cell r="AF102">
            <v>-31</v>
          </cell>
          <cell r="AG102">
            <v>0</v>
          </cell>
          <cell r="AH102">
            <v>-4631</v>
          </cell>
          <cell r="AI102">
            <v>-1870</v>
          </cell>
          <cell r="AJ102">
            <v>-3274</v>
          </cell>
          <cell r="AK102">
            <v>-23578</v>
          </cell>
          <cell r="AL102">
            <v>-6050</v>
          </cell>
          <cell r="AM102">
            <v>-5341.8367668979636</v>
          </cell>
          <cell r="AN102">
            <v>-5845.8964919489072</v>
          </cell>
          <cell r="AO102">
            <v>-6392.6489282592756</v>
          </cell>
          <cell r="AP102">
            <v>-7073.129600692504</v>
          </cell>
        </row>
        <row r="103">
          <cell r="B103" t="str">
            <v>Divestitures</v>
          </cell>
          <cell r="C103" t="str">
            <v>DIVEST</v>
          </cell>
          <cell r="D103" t="str">
            <v>SEK</v>
          </cell>
          <cell r="M103">
            <v>0</v>
          </cell>
          <cell r="N103">
            <v>44</v>
          </cell>
          <cell r="O103">
            <v>3216</v>
          </cell>
          <cell r="P103">
            <v>0</v>
          </cell>
          <cell r="Q103">
            <v>371</v>
          </cell>
          <cell r="R103">
            <v>0</v>
          </cell>
          <cell r="S103">
            <v>181</v>
          </cell>
          <cell r="T103">
            <v>468</v>
          </cell>
          <cell r="U103">
            <v>31</v>
          </cell>
          <cell r="V103">
            <v>70</v>
          </cell>
          <cell r="W103">
            <v>363</v>
          </cell>
          <cell r="X103">
            <v>111</v>
          </cell>
          <cell r="Y103">
            <v>55</v>
          </cell>
          <cell r="Z103">
            <v>0</v>
          </cell>
          <cell r="AA103">
            <v>0</v>
          </cell>
          <cell r="AB103">
            <v>0</v>
          </cell>
          <cell r="AC103">
            <v>0</v>
          </cell>
          <cell r="AD103">
            <v>460</v>
          </cell>
          <cell r="AE103">
            <v>0</v>
          </cell>
          <cell r="AF103">
            <v>53</v>
          </cell>
          <cell r="AG103">
            <v>4642</v>
          </cell>
          <cell r="AH103">
            <v>4052</v>
          </cell>
          <cell r="AI103">
            <v>95</v>
          </cell>
          <cell r="AJ103">
            <v>778</v>
          </cell>
          <cell r="AK103">
            <v>423</v>
          </cell>
          <cell r="AL103">
            <v>0</v>
          </cell>
          <cell r="AM103">
            <v>0</v>
          </cell>
          <cell r="AN103">
            <v>0</v>
          </cell>
          <cell r="AO103">
            <v>0</v>
          </cell>
          <cell r="AP103">
            <v>0</v>
          </cell>
        </row>
        <row r="104">
          <cell r="B104" t="str">
            <v>Other investing cash flow items</v>
          </cell>
          <cell r="C104" t="str">
            <v>OTH_INV_CF</v>
          </cell>
          <cell r="D104" t="str">
            <v>SEK</v>
          </cell>
          <cell r="M104">
            <v>-12</v>
          </cell>
          <cell r="N104">
            <v>0</v>
          </cell>
          <cell r="O104">
            <v>0</v>
          </cell>
          <cell r="P104">
            <v>-306</v>
          </cell>
          <cell r="Q104">
            <v>0</v>
          </cell>
          <cell r="R104">
            <v>-3</v>
          </cell>
          <cell r="S104">
            <v>0</v>
          </cell>
          <cell r="T104">
            <v>0</v>
          </cell>
          <cell r="U104">
            <v>0</v>
          </cell>
          <cell r="V104">
            <v>0</v>
          </cell>
          <cell r="W104">
            <v>0</v>
          </cell>
          <cell r="X104">
            <v>0</v>
          </cell>
          <cell r="Y104">
            <v>0</v>
          </cell>
          <cell r="Z104">
            <v>0</v>
          </cell>
          <cell r="AA104">
            <v>0</v>
          </cell>
          <cell r="AB104">
            <v>0</v>
          </cell>
          <cell r="AC104">
            <v>-549</v>
          </cell>
          <cell r="AD104">
            <v>-875</v>
          </cell>
          <cell r="AE104">
            <v>-889</v>
          </cell>
          <cell r="AF104">
            <v>-955</v>
          </cell>
          <cell r="AG104">
            <v>-823</v>
          </cell>
          <cell r="AH104">
            <v>-603</v>
          </cell>
          <cell r="AI104">
            <v>-634</v>
          </cell>
          <cell r="AJ104">
            <v>134</v>
          </cell>
          <cell r="AK104">
            <v>-679</v>
          </cell>
          <cell r="AL104">
            <v>-799.71756435909811</v>
          </cell>
          <cell r="AM104">
            <v>-758.50691097014987</v>
          </cell>
          <cell r="AN104">
            <v>-809.32807427250827</v>
          </cell>
          <cell r="AO104">
            <v>-869.23767477591355</v>
          </cell>
          <cell r="AP104">
            <v>-918.88277030998688</v>
          </cell>
        </row>
        <row r="105">
          <cell r="B105" t="str">
            <v>Cash flow from investing</v>
          </cell>
          <cell r="C105" t="str">
            <v>CF_INV</v>
          </cell>
          <cell r="D105" t="str">
            <v>SEK</v>
          </cell>
          <cell r="M105">
            <v>-5089</v>
          </cell>
          <cell r="N105">
            <v>-2956</v>
          </cell>
          <cell r="O105">
            <v>1316</v>
          </cell>
          <cell r="P105">
            <v>-2691</v>
          </cell>
          <cell r="Q105">
            <v>-3873</v>
          </cell>
          <cell r="R105">
            <v>-4708</v>
          </cell>
          <cell r="S105">
            <v>-2766</v>
          </cell>
          <cell r="T105">
            <v>-2613</v>
          </cell>
          <cell r="U105">
            <v>-3684</v>
          </cell>
          <cell r="V105">
            <v>-5324</v>
          </cell>
          <cell r="W105">
            <v>-10483</v>
          </cell>
          <cell r="X105">
            <v>-7631</v>
          </cell>
          <cell r="Y105">
            <v>-6193</v>
          </cell>
          <cell r="Z105">
            <v>-4543</v>
          </cell>
          <cell r="AA105">
            <v>-5460</v>
          </cell>
          <cell r="AB105">
            <v>-5172</v>
          </cell>
          <cell r="AC105">
            <v>-4524</v>
          </cell>
          <cell r="AD105">
            <v>-6839</v>
          </cell>
          <cell r="AE105">
            <v>-3910</v>
          </cell>
          <cell r="AF105">
            <v>-3431</v>
          </cell>
          <cell r="AG105">
            <v>1448</v>
          </cell>
          <cell r="AH105">
            <v>-4283</v>
          </cell>
          <cell r="AI105">
            <v>-5484</v>
          </cell>
          <cell r="AJ105">
            <v>-4777</v>
          </cell>
          <cell r="AK105">
            <v>-26192</v>
          </cell>
          <cell r="AL105">
            <v>-10368.091805247792</v>
          </cell>
          <cell r="AM105">
            <v>-9554.5008564429663</v>
          </cell>
          <cell r="AN105">
            <v>-10653.153976852045</v>
          </cell>
          <cell r="AO105">
            <v>-11555.758242096466</v>
          </cell>
          <cell r="AP105">
            <v>-12531.121502544976</v>
          </cell>
        </row>
        <row r="106">
          <cell r="B106" t="str">
            <v>Dividends paid</v>
          </cell>
          <cell r="C106" t="str">
            <v>DIV_PAID</v>
          </cell>
          <cell r="D106" t="str">
            <v>SEK</v>
          </cell>
          <cell r="M106">
            <v>-1930</v>
          </cell>
          <cell r="N106">
            <v>-2199</v>
          </cell>
          <cell r="O106">
            <v>-1930</v>
          </cell>
          <cell r="P106">
            <v>-2266</v>
          </cell>
          <cell r="Q106">
            <v>-2554</v>
          </cell>
          <cell r="R106">
            <v>-2545</v>
          </cell>
          <cell r="S106">
            <v>-2659</v>
          </cell>
          <cell r="T106">
            <v>-2799</v>
          </cell>
          <cell r="U106">
            <v>-3012</v>
          </cell>
          <cell r="V106">
            <v>-3533</v>
          </cell>
          <cell r="W106">
            <v>-4207</v>
          </cell>
          <cell r="X106">
            <v>-5111</v>
          </cell>
          <cell r="Y106">
            <v>-3926</v>
          </cell>
          <cell r="Z106">
            <v>-1188</v>
          </cell>
          <cell r="AA106">
            <v>-3807</v>
          </cell>
          <cell r="AB106">
            <v>-4082</v>
          </cell>
          <cell r="AC106">
            <v>-4394</v>
          </cell>
          <cell r="AD106">
            <v>-4395</v>
          </cell>
          <cell r="AE106">
            <v>-4393</v>
          </cell>
          <cell r="AF106">
            <v>-3136</v>
          </cell>
          <cell r="AG106">
            <v>-3458</v>
          </cell>
          <cell r="AH106">
            <v>-4390</v>
          </cell>
          <cell r="AI106">
            <v>-5340</v>
          </cell>
          <cell r="AJ106">
            <v>0</v>
          </cell>
          <cell r="AK106">
            <v>-8140</v>
          </cell>
          <cell r="AL106">
            <v>-5958.3334999999997</v>
          </cell>
          <cell r="AM106">
            <v>-5958.3334999999997</v>
          </cell>
          <cell r="AN106">
            <v>-7729.0976016483064</v>
          </cell>
          <cell r="AO106">
            <v>-8460.1013163206062</v>
          </cell>
          <cell r="AP106">
            <v>-9022.2863637201408</v>
          </cell>
        </row>
        <row r="107">
          <cell r="B107" t="str">
            <v>Common stock issuance/(repurchase)</v>
          </cell>
          <cell r="C107" t="str">
            <v>SH_REPUR</v>
          </cell>
          <cell r="D107" t="str">
            <v>SEK</v>
          </cell>
          <cell r="M107">
            <v>-4000</v>
          </cell>
          <cell r="N107">
            <v>0</v>
          </cell>
          <cell r="O107">
            <v>0</v>
          </cell>
          <cell r="P107">
            <v>0</v>
          </cell>
          <cell r="Q107">
            <v>-1660</v>
          </cell>
          <cell r="R107">
            <v>-230</v>
          </cell>
          <cell r="S107">
            <v>0</v>
          </cell>
          <cell r="T107">
            <v>-2048</v>
          </cell>
          <cell r="U107">
            <v>-3964</v>
          </cell>
          <cell r="V107">
            <v>0</v>
          </cell>
          <cell r="W107">
            <v>-3559</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row>
        <row r="108">
          <cell r="B108" t="str">
            <v>Increase/(decrease) in total debt</v>
          </cell>
          <cell r="C108" t="str">
            <v>CHG_LT_DEBT</v>
          </cell>
          <cell r="D108" t="str">
            <v>SEK</v>
          </cell>
          <cell r="M108">
            <v>3137</v>
          </cell>
          <cell r="N108">
            <v>445</v>
          </cell>
          <cell r="O108">
            <v>-1958</v>
          </cell>
          <cell r="P108">
            <v>147</v>
          </cell>
          <cell r="Q108">
            <v>4137</v>
          </cell>
          <cell r="R108">
            <v>341</v>
          </cell>
          <cell r="S108">
            <v>-1100</v>
          </cell>
          <cell r="T108">
            <v>1814</v>
          </cell>
          <cell r="U108">
            <v>3087</v>
          </cell>
          <cell r="V108">
            <v>1124</v>
          </cell>
          <cell r="W108">
            <v>13052</v>
          </cell>
          <cell r="X108">
            <v>6542</v>
          </cell>
          <cell r="Y108">
            <v>-1565</v>
          </cell>
          <cell r="Z108">
            <v>-9257</v>
          </cell>
          <cell r="AA108">
            <v>2130</v>
          </cell>
          <cell r="AB108">
            <v>4571</v>
          </cell>
          <cell r="AC108">
            <v>-4871</v>
          </cell>
          <cell r="AD108">
            <v>2758</v>
          </cell>
          <cell r="AE108">
            <v>-3570</v>
          </cell>
          <cell r="AF108">
            <v>-3177</v>
          </cell>
          <cell r="AG108">
            <v>-8312</v>
          </cell>
          <cell r="AH108">
            <v>-859</v>
          </cell>
          <cell r="AI108">
            <v>-7073</v>
          </cell>
          <cell r="AJ108">
            <v>-2298</v>
          </cell>
          <cell r="AK108">
            <v>11652</v>
          </cell>
          <cell r="AL108">
            <v>0</v>
          </cell>
          <cell r="AM108">
            <v>0</v>
          </cell>
          <cell r="AN108">
            <v>0</v>
          </cell>
          <cell r="AO108">
            <v>0</v>
          </cell>
          <cell r="AP108">
            <v>0</v>
          </cell>
        </row>
        <row r="109">
          <cell r="B109" t="str">
            <v>Lease principal payments  (applicable to IFRS cos.)</v>
          </cell>
          <cell r="C109" t="str">
            <v>LEASE_PRINCIPAL_CASH</v>
          </cell>
          <cell r="D109" t="str">
            <v>SEK</v>
          </cell>
          <cell r="AI109">
            <v>-945</v>
          </cell>
          <cell r="AJ109">
            <v>-1012</v>
          </cell>
          <cell r="AK109">
            <v>-1025</v>
          </cell>
          <cell r="AL109">
            <v>-1655.4900981826202</v>
          </cell>
          <cell r="AM109">
            <v>-1570.1801942045645</v>
          </cell>
          <cell r="AN109">
            <v>-1675.3847518818757</v>
          </cell>
          <cell r="AO109">
            <v>-1799.403223952007</v>
          </cell>
          <cell r="AP109">
            <v>-1902.1732114360914</v>
          </cell>
        </row>
        <row r="110">
          <cell r="B110" t="str">
            <v>Other financing cash flow items</v>
          </cell>
          <cell r="C110" t="str">
            <v>OTH_FIN_CF</v>
          </cell>
          <cell r="D110" t="str">
            <v>SEK</v>
          </cell>
          <cell r="M110">
            <v>-165</v>
          </cell>
          <cell r="N110">
            <v>97</v>
          </cell>
          <cell r="O110">
            <v>-253</v>
          </cell>
          <cell r="P110">
            <v>62</v>
          </cell>
          <cell r="Q110">
            <v>-982</v>
          </cell>
          <cell r="R110">
            <v>-131</v>
          </cell>
          <cell r="S110">
            <v>-99</v>
          </cell>
          <cell r="T110">
            <v>72</v>
          </cell>
          <cell r="U110">
            <v>146</v>
          </cell>
          <cell r="V110">
            <v>-251</v>
          </cell>
          <cell r="W110">
            <v>-18</v>
          </cell>
          <cell r="X110">
            <v>-479</v>
          </cell>
          <cell r="Y110">
            <v>1442</v>
          </cell>
          <cell r="Z110">
            <v>-424</v>
          </cell>
          <cell r="AA110">
            <v>-363</v>
          </cell>
          <cell r="AB110">
            <v>44</v>
          </cell>
          <cell r="AC110">
            <v>-581</v>
          </cell>
          <cell r="AD110">
            <v>-156</v>
          </cell>
          <cell r="AE110">
            <v>-1298</v>
          </cell>
          <cell r="AF110">
            <v>-369</v>
          </cell>
          <cell r="AG110">
            <v>-58</v>
          </cell>
          <cell r="AH110">
            <v>-17</v>
          </cell>
          <cell r="AI110">
            <v>86</v>
          </cell>
          <cell r="AJ110">
            <v>-1574</v>
          </cell>
          <cell r="AK110">
            <v>-705</v>
          </cell>
          <cell r="AL110">
            <v>-2983.4900981826204</v>
          </cell>
          <cell r="AM110">
            <v>-1570.1801942045649</v>
          </cell>
          <cell r="AN110">
            <v>-1675.3847518818775</v>
          </cell>
          <cell r="AO110">
            <v>-1799.4032239520056</v>
          </cell>
          <cell r="AP110">
            <v>-1902.1732114360912</v>
          </cell>
        </row>
        <row r="111">
          <cell r="B111" t="str">
            <v>Cash flow from financing</v>
          </cell>
          <cell r="C111" t="str">
            <v>CF_FIN</v>
          </cell>
          <cell r="D111" t="str">
            <v>SEK</v>
          </cell>
          <cell r="M111">
            <v>-2958</v>
          </cell>
          <cell r="N111">
            <v>-1657</v>
          </cell>
          <cell r="O111">
            <v>-4141</v>
          </cell>
          <cell r="P111">
            <v>-2057</v>
          </cell>
          <cell r="Q111">
            <v>-1059</v>
          </cell>
          <cell r="R111">
            <v>-2565</v>
          </cell>
          <cell r="S111">
            <v>-3858</v>
          </cell>
          <cell r="T111">
            <v>-2961</v>
          </cell>
          <cell r="U111">
            <v>-3743</v>
          </cell>
          <cell r="V111">
            <v>-2660</v>
          </cell>
          <cell r="W111">
            <v>5268</v>
          </cell>
          <cell r="X111">
            <v>952</v>
          </cell>
          <cell r="Y111">
            <v>-4049</v>
          </cell>
          <cell r="Z111">
            <v>-10869</v>
          </cell>
          <cell r="AA111">
            <v>-2040</v>
          </cell>
          <cell r="AB111">
            <v>533</v>
          </cell>
          <cell r="AC111">
            <v>-9846</v>
          </cell>
          <cell r="AD111">
            <v>-1793</v>
          </cell>
          <cell r="AE111">
            <v>-9261</v>
          </cell>
          <cell r="AF111">
            <v>-6682</v>
          </cell>
          <cell r="AG111">
            <v>-11828</v>
          </cell>
          <cell r="AH111">
            <v>-5266</v>
          </cell>
          <cell r="AI111">
            <v>-13272</v>
          </cell>
          <cell r="AJ111">
            <v>-3872</v>
          </cell>
          <cell r="AK111">
            <v>2807</v>
          </cell>
          <cell r="AL111">
            <v>-8941.8235981826201</v>
          </cell>
          <cell r="AM111">
            <v>-7528.5136942045647</v>
          </cell>
          <cell r="AN111">
            <v>-9404.4823535301839</v>
          </cell>
          <cell r="AO111">
            <v>-10259.504540272612</v>
          </cell>
          <cell r="AP111">
            <v>-10924.459575156232</v>
          </cell>
          <cell r="AQ111">
            <v>952</v>
          </cell>
        </row>
        <row r="112">
          <cell r="B112" t="str">
            <v>Other items net cash flow</v>
          </cell>
          <cell r="C112" t="str">
            <v>OTH_ITEM_NCF</v>
          </cell>
          <cell r="D112" t="str">
            <v>SEK</v>
          </cell>
        </row>
        <row r="113">
          <cell r="B113" t="str">
            <v>Total cash flow</v>
          </cell>
          <cell r="C113" t="str">
            <v>TOT_CF</v>
          </cell>
          <cell r="D113" t="str">
            <v>SEK</v>
          </cell>
          <cell r="M113">
            <v>-3063</v>
          </cell>
          <cell r="N113">
            <v>-694</v>
          </cell>
          <cell r="O113">
            <v>569</v>
          </cell>
          <cell r="P113">
            <v>-272</v>
          </cell>
          <cell r="Q113">
            <v>161</v>
          </cell>
          <cell r="R113">
            <v>-83</v>
          </cell>
          <cell r="S113">
            <v>-203</v>
          </cell>
          <cell r="T113">
            <v>-252</v>
          </cell>
          <cell r="U113">
            <v>-161</v>
          </cell>
          <cell r="V113">
            <v>186</v>
          </cell>
          <cell r="W113">
            <v>261</v>
          </cell>
          <cell r="X113">
            <v>2992</v>
          </cell>
          <cell r="Y113">
            <v>2508</v>
          </cell>
          <cell r="Z113">
            <v>-2723</v>
          </cell>
          <cell r="AA113">
            <v>809</v>
          </cell>
          <cell r="AB113">
            <v>8237</v>
          </cell>
          <cell r="AC113">
            <v>-8753</v>
          </cell>
          <cell r="AD113">
            <v>1251</v>
          </cell>
          <cell r="AE113">
            <v>49</v>
          </cell>
          <cell r="AF113">
            <v>2442</v>
          </cell>
          <cell r="AG113">
            <v>3906</v>
          </cell>
          <cell r="AH113">
            <v>5365</v>
          </cell>
          <cell r="AI113">
            <v>-1102</v>
          </cell>
          <cell r="AJ113">
            <v>6765</v>
          </cell>
          <cell r="AK113">
            <v>-10167</v>
          </cell>
          <cell r="AL113">
            <v>-12109.763942928097</v>
          </cell>
          <cell r="AM113">
            <v>8089.841471474836</v>
          </cell>
          <cell r="AN113">
            <v>405.47289215310593</v>
          </cell>
          <cell r="AO113">
            <v>-1553.8221065947582</v>
          </cell>
          <cell r="AP113">
            <v>-144.44203474388996</v>
          </cell>
        </row>
        <row r="114">
          <cell r="A114" t="str">
            <v>Additional Cash Flow Items</v>
          </cell>
        </row>
        <row r="115">
          <cell r="B115" t="str">
            <v>Associate and JV add-back</v>
          </cell>
          <cell r="C115" t="str">
            <v>ASSOC_JV_ADDBK</v>
          </cell>
          <cell r="D115" t="str">
            <v>SEK</v>
          </cell>
        </row>
        <row r="116">
          <cell r="B116" t="str">
            <v>Cash interest income/(expense)</v>
          </cell>
          <cell r="C116" t="str">
            <v>CASH_INT_INC_EXP</v>
          </cell>
          <cell r="D116" t="str">
            <v>SEK</v>
          </cell>
        </row>
        <row r="117">
          <cell r="B117" t="str">
            <v>Cash taxes paid</v>
          </cell>
          <cell r="C117" t="str">
            <v>CASH_TAX_PD</v>
          </cell>
          <cell r="D117" t="str">
            <v>SEK</v>
          </cell>
          <cell r="M117">
            <v>-905</v>
          </cell>
          <cell r="N117">
            <v>-759</v>
          </cell>
          <cell r="O117">
            <v>-1524</v>
          </cell>
          <cell r="P117">
            <v>-1688</v>
          </cell>
          <cell r="Q117">
            <v>-1762</v>
          </cell>
          <cell r="R117">
            <v>-1449</v>
          </cell>
          <cell r="S117">
            <v>-1577</v>
          </cell>
          <cell r="T117">
            <v>-1334</v>
          </cell>
          <cell r="U117">
            <v>-1828</v>
          </cell>
          <cell r="V117">
            <v>-2708</v>
          </cell>
          <cell r="W117">
            <v>-3404</v>
          </cell>
          <cell r="X117">
            <v>-2897</v>
          </cell>
          <cell r="Y117">
            <v>-870</v>
          </cell>
          <cell r="Z117">
            <v>-1056</v>
          </cell>
          <cell r="AA117">
            <v>-2587</v>
          </cell>
          <cell r="AB117">
            <v>-3056</v>
          </cell>
          <cell r="AC117">
            <v>-7816</v>
          </cell>
          <cell r="AD117">
            <v>-1899</v>
          </cell>
          <cell r="AE117">
            <v>-1939</v>
          </cell>
          <cell r="AF117">
            <v>-1650</v>
          </cell>
          <cell r="AG117">
            <v>-2466</v>
          </cell>
          <cell r="AH117">
            <v>-2978</v>
          </cell>
          <cell r="AI117">
            <v>-3598</v>
          </cell>
          <cell r="AJ117">
            <v>-3518</v>
          </cell>
          <cell r="AK117">
            <v>-4154</v>
          </cell>
          <cell r="AL117">
            <v>-4196.2950330201456</v>
          </cell>
          <cell r="AM117">
            <v>-4634.7322394276043</v>
          </cell>
          <cell r="AN117">
            <v>-5072.5981849312411</v>
          </cell>
          <cell r="AO117">
            <v>-5409.8192990780772</v>
          </cell>
          <cell r="AP117">
            <v>-5606.0107365872345</v>
          </cell>
        </row>
        <row r="118">
          <cell r="B118" t="str">
            <v>Profit/(loss) on sale of assets</v>
          </cell>
          <cell r="C118" t="str">
            <v>PL_SALE_ASSETS</v>
          </cell>
          <cell r="D118" t="str">
            <v>SEK</v>
          </cell>
        </row>
        <row r="119">
          <cell r="B119" t="str">
            <v>Other non-cash adjustments</v>
          </cell>
          <cell r="C119" t="str">
            <v>OTH_NONCASH_ADJ</v>
          </cell>
          <cell r="D119" t="str">
            <v>SEK</v>
          </cell>
        </row>
        <row r="120">
          <cell r="B120" t="str">
            <v>Other DACF adjustments</v>
          </cell>
          <cell r="C120" t="str">
            <v>OTH_DACF_ADJ</v>
          </cell>
          <cell r="D120" t="str">
            <v>SEK</v>
          </cell>
        </row>
        <row r="121">
          <cell r="B121" t="str">
            <v>Cash interest expense</v>
          </cell>
          <cell r="C121" t="str">
            <v>CASH_INT_EXP</v>
          </cell>
          <cell r="D121" t="str">
            <v>SEK</v>
          </cell>
        </row>
        <row r="122">
          <cell r="B122" t="str">
            <v>Cash tax expense</v>
          </cell>
          <cell r="C122" t="str">
            <v>CASH_TAX_EXP</v>
          </cell>
          <cell r="D122" t="str">
            <v>SEK</v>
          </cell>
          <cell r="M122">
            <v>-1283</v>
          </cell>
          <cell r="N122">
            <v>-1675</v>
          </cell>
          <cell r="O122">
            <v>-1688</v>
          </cell>
          <cell r="P122">
            <v>-1881</v>
          </cell>
          <cell r="Q122">
            <v>-1712</v>
          </cell>
          <cell r="R122">
            <v>-1431</v>
          </cell>
          <cell r="S122">
            <v>-1212</v>
          </cell>
          <cell r="T122">
            <v>-1766</v>
          </cell>
          <cell r="U122">
            <v>-2427</v>
          </cell>
          <cell r="V122">
            <v>-3006</v>
          </cell>
          <cell r="W122">
            <v>-3403</v>
          </cell>
          <cell r="X122">
            <v>-2741</v>
          </cell>
          <cell r="Y122">
            <v>876</v>
          </cell>
          <cell r="Z122">
            <v>-2469</v>
          </cell>
          <cell r="AA122">
            <v>-2318</v>
          </cell>
          <cell r="AB122">
            <v>-3409</v>
          </cell>
          <cell r="AC122">
            <v>-1745</v>
          </cell>
          <cell r="AD122">
            <v>-2272</v>
          </cell>
          <cell r="AE122">
            <v>-1865</v>
          </cell>
          <cell r="AF122">
            <v>-2528</v>
          </cell>
          <cell r="AG122">
            <v>-3783</v>
          </cell>
          <cell r="AH122">
            <v>-4645</v>
          </cell>
          <cell r="AI122">
            <v>-3422</v>
          </cell>
          <cell r="AJ122">
            <v>-2517</v>
          </cell>
          <cell r="AK122">
            <v>-3967</v>
          </cell>
          <cell r="AL122">
            <v>-4196.2950330201456</v>
          </cell>
          <cell r="AM122">
            <v>-4634.7322394276043</v>
          </cell>
          <cell r="AN122">
            <v>-5072.5981849312411</v>
          </cell>
          <cell r="AO122">
            <v>-5409.8192990780772</v>
          </cell>
          <cell r="AP122">
            <v>-5606.0107365872345</v>
          </cell>
        </row>
        <row r="123">
          <cell r="B123" t="str">
            <v>Dividends received from associates/JVs</v>
          </cell>
          <cell r="C123" t="str">
            <v>DIVDS_ASSOC_JV</v>
          </cell>
          <cell r="D123" t="str">
            <v>SEK</v>
          </cell>
        </row>
        <row r="124">
          <cell r="B124" t="str">
            <v>Capex maintenance</v>
          </cell>
          <cell r="C124" t="str">
            <v>CAPEX_MAINTENANCE</v>
          </cell>
          <cell r="D124" t="str">
            <v>SEK</v>
          </cell>
        </row>
        <row r="125">
          <cell r="B125" t="str">
            <v>Capex expansion</v>
          </cell>
          <cell r="C125" t="str">
            <v>CAPEX_EXPANSION</v>
          </cell>
          <cell r="D125" t="str">
            <v>SEK</v>
          </cell>
        </row>
        <row r="126">
          <cell r="B126" t="str">
            <v>Non-PP&amp;E capex</v>
          </cell>
          <cell r="C126" t="str">
            <v>NONPPE_CAPEX</v>
          </cell>
          <cell r="D126" t="str">
            <v>SEK</v>
          </cell>
        </row>
        <row r="127">
          <cell r="B127" t="str">
            <v>Dividends paid to minorities</v>
          </cell>
          <cell r="C127" t="str">
            <v>DIVDS_PD_MINORITIES</v>
          </cell>
          <cell r="D127" t="str">
            <v>SEK</v>
          </cell>
        </row>
        <row r="128">
          <cell r="A128" t="str">
            <v>Company Metrics</v>
          </cell>
        </row>
        <row r="129">
          <cell r="B129" t="str">
            <v>Group sales % - &gt;50% bigger than number 2</v>
          </cell>
          <cell r="C129" t="str">
            <v>GROUP_SALES_PCT_BIG_NO_TWO</v>
          </cell>
          <cell r="E129">
            <v>0.3</v>
          </cell>
        </row>
        <row r="130">
          <cell r="B130" t="str">
            <v>Group sales % -  number 1/shared number one</v>
          </cell>
          <cell r="C130" t="str">
            <v>GROUP_SALES_PCT_SHRD_NO_ONE</v>
          </cell>
          <cell r="E130">
            <v>0.34</v>
          </cell>
        </row>
        <row r="131">
          <cell r="B131" t="str">
            <v>Group sales % -  top 3</v>
          </cell>
          <cell r="C131" t="str">
            <v>GROUP_SALES_PCT_TOP_THREE</v>
          </cell>
          <cell r="E131">
            <v>0.24666666666666667</v>
          </cell>
        </row>
        <row r="132">
          <cell r="B132" t="str">
            <v>Aftermarket - % Global sales</v>
          </cell>
          <cell r="C132" t="str">
            <v>AMKT_PCT_GROUP_SALES</v>
          </cell>
          <cell r="AB132">
            <v>0.25</v>
          </cell>
          <cell r="AD132">
            <v>0.25</v>
          </cell>
        </row>
        <row r="133">
          <cell r="B133" t="str">
            <v>Distribution score</v>
          </cell>
          <cell r="C133" t="str">
            <v>DISTR_SCORE</v>
          </cell>
          <cell r="E133">
            <v>6</v>
          </cell>
        </row>
        <row r="134">
          <cell r="B134" t="str">
            <v>Structural growth outlook by product category</v>
          </cell>
          <cell r="C134" t="str">
            <v>STRCTL_GRTH_PROD_CTGRY</v>
          </cell>
          <cell r="E134">
            <v>3.7000000000000005E-2</v>
          </cell>
        </row>
        <row r="135">
          <cell r="B135" t="str">
            <v>Cyclical growth outlook by end market</v>
          </cell>
          <cell r="C135" t="str">
            <v>CYCL_GRTH_EMKT</v>
          </cell>
          <cell r="E135">
            <v>5</v>
          </cell>
        </row>
        <row r="136">
          <cell r="B136" t="str">
            <v>Cycle adjusted CROCI</v>
          </cell>
          <cell r="C136" t="str">
            <v>CYCL_ADJ_CROCI</v>
          </cell>
          <cell r="AB136">
            <v>0</v>
          </cell>
        </row>
        <row r="137">
          <cell r="B137" t="str">
            <v>Degree of customer concentration (High/Medium/Low)</v>
          </cell>
          <cell r="C137" t="str">
            <v>DGR_CUST_CONCTR</v>
          </cell>
          <cell r="AB137">
            <v>0</v>
          </cell>
        </row>
        <row r="138">
          <cell r="B138" t="str">
            <v>Sales % represented by project business</v>
          </cell>
          <cell r="C138" t="str">
            <v>SALES_PCT_PROJ_BUS</v>
          </cell>
          <cell r="AB138">
            <v>0</v>
          </cell>
        </row>
        <row r="139">
          <cell r="B139" t="str">
            <v>Sales % represented by service contracts or aftermarket/captive sales</v>
          </cell>
          <cell r="C139" t="str">
            <v>SALES_PCT_REC</v>
          </cell>
          <cell r="AB139">
            <v>0</v>
          </cell>
          <cell r="AD139">
            <v>0.1865875778673507</v>
          </cell>
          <cell r="AE139">
            <v>0.27579999999999999</v>
          </cell>
          <cell r="AH139">
            <v>0.26668498680949715</v>
          </cell>
        </row>
        <row r="140">
          <cell r="A140" t="str">
            <v>Other Items</v>
          </cell>
        </row>
        <row r="141">
          <cell r="B141" t="str">
            <v>Number of employees</v>
          </cell>
          <cell r="C141" t="str">
            <v>EMPLOYEES</v>
          </cell>
          <cell r="M141">
            <v>32.430999999999997</v>
          </cell>
          <cell r="N141">
            <v>37.963000000000001</v>
          </cell>
          <cell r="O141">
            <v>35.695</v>
          </cell>
          <cell r="P141">
            <v>34.305999999999997</v>
          </cell>
          <cell r="Q141">
            <v>34.795000000000002</v>
          </cell>
          <cell r="R141">
            <v>36.118000000000002</v>
          </cell>
          <cell r="S141">
            <v>37.137</v>
          </cell>
          <cell r="T141">
            <v>37.673000000000002</v>
          </cell>
          <cell r="U141">
            <v>39.015999999999998</v>
          </cell>
          <cell r="V141">
            <v>40.671999999999997</v>
          </cell>
          <cell r="W141">
            <v>44.423000000000002</v>
          </cell>
          <cell r="X141">
            <v>48.570999999999998</v>
          </cell>
          <cell r="Y141">
            <v>44.354999999999997</v>
          </cell>
          <cell r="Z141">
            <v>45.709000000000003</v>
          </cell>
          <cell r="AA141">
            <v>48.546999999999997</v>
          </cell>
          <cell r="AB141">
            <v>49.384999999999998</v>
          </cell>
          <cell r="AC141">
            <v>48.04</v>
          </cell>
          <cell r="AD141">
            <v>47.328000000000003</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cell r="AB169">
            <v>0</v>
          </cell>
          <cell r="AI169">
            <v>0.19511226486371297</v>
          </cell>
        </row>
        <row r="170">
          <cell r="B170" t="str">
            <v>Regional exposure as % of revenues - EMEA</v>
          </cell>
          <cell r="C170" t="str">
            <v>SALES_EXPOSURE_EMEA</v>
          </cell>
          <cell r="AB170">
            <v>0</v>
          </cell>
          <cell r="AI170">
            <v>0.33787497594293353</v>
          </cell>
        </row>
        <row r="171">
          <cell r="B171" t="str">
            <v>Regional exposure as % of revenues - APAC</v>
          </cell>
          <cell r="C171" t="str">
            <v>SALES_EXPOSURE_APAC</v>
          </cell>
          <cell r="AB171">
            <v>0</v>
          </cell>
          <cell r="AI171">
            <v>0.29126847085941809</v>
          </cell>
        </row>
        <row r="172">
          <cell r="B172" t="str">
            <v>Regional exposure as % of revenues - China</v>
          </cell>
          <cell r="C172" t="str">
            <v>SALES_EXPOSURE_CHINA</v>
          </cell>
          <cell r="AB172">
            <v>0</v>
          </cell>
          <cell r="AI172">
            <v>6.8811871597667523E-2</v>
          </cell>
        </row>
        <row r="173">
          <cell r="B173" t="str">
            <v>Regional exposure as % of revenues - ROW</v>
          </cell>
          <cell r="C173" t="str">
            <v>SALES_EXPOSURE_ROW</v>
          </cell>
          <cell r="AB173">
            <v>0</v>
          </cell>
        </row>
        <row r="174">
          <cell r="B174" t="str">
            <v>Regional exposure as % of revenues - Developed Markets</v>
          </cell>
          <cell r="C174" t="str">
            <v>SALES_EXPOSURE_DEV_MKT</v>
          </cell>
          <cell r="AB174">
            <v>0</v>
          </cell>
        </row>
        <row r="175">
          <cell r="B175" t="str">
            <v>Regional exposure as % of revenues - Emerging Markets</v>
          </cell>
          <cell r="C175" t="str">
            <v>SALES_EXPOSURE_EMER_MKT</v>
          </cell>
          <cell r="AB175">
            <v>0</v>
          </cell>
        </row>
        <row r="176">
          <cell r="A176" t="str">
            <v>End Markets</v>
          </cell>
        </row>
        <row r="177">
          <cell r="B177" t="str">
            <v>Sales to the construction end market - % Global</v>
          </cell>
          <cell r="C177" t="str">
            <v>SALES_CONSRT_EMKT_GLOBAL</v>
          </cell>
          <cell r="AB177">
            <v>0.11</v>
          </cell>
        </row>
        <row r="178">
          <cell r="B178" t="str">
            <v>Sales to the construction end market - % No. America</v>
          </cell>
          <cell r="C178" t="str">
            <v>SALES_CONSRT_EMKT_NO_AMERICA</v>
          </cell>
          <cell r="AB178">
            <v>1.6500000000000001E-2</v>
          </cell>
        </row>
        <row r="179">
          <cell r="B179" t="str">
            <v>Sales to the construction end market - % EAME</v>
          </cell>
          <cell r="C179" t="str">
            <v>SALES_CONSRT_EMKT_EAME</v>
          </cell>
          <cell r="AB179">
            <v>5.0599999999999999E-2</v>
          </cell>
        </row>
        <row r="180">
          <cell r="B180" t="str">
            <v>Sales to the construction end market - % So. America</v>
          </cell>
          <cell r="C180" t="str">
            <v>SALES_CONSRT_EMKT_SO_AMERICA</v>
          </cell>
          <cell r="AB180">
            <v>1.21E-2</v>
          </cell>
        </row>
        <row r="181">
          <cell r="B181" t="str">
            <v>Sales to the construction end market - % China</v>
          </cell>
          <cell r="C181" t="str">
            <v>SALES_CONSRT_EMKT_CHINA</v>
          </cell>
          <cell r="AB181">
            <v>8.0299999999999989E-3</v>
          </cell>
        </row>
        <row r="182">
          <cell r="B182" t="str">
            <v>Sales to the construction end market - % Asia ex-China</v>
          </cell>
          <cell r="C182" t="str">
            <v>SALES_CONSRT_EMKT_ASIAEXCHINA</v>
          </cell>
          <cell r="AB182">
            <v>2.2770000000000006E-2</v>
          </cell>
        </row>
        <row r="183">
          <cell r="B183" t="str">
            <v>Sales to the transmission &amp; distribution end market - % Global</v>
          </cell>
          <cell r="C183" t="str">
            <v>SALES_TRN_DIST_EMKT_GLOBAL</v>
          </cell>
          <cell r="AB183">
            <v>0</v>
          </cell>
        </row>
        <row r="184">
          <cell r="B184" t="str">
            <v>Sales to the transmission &amp; distribution end market - % No. America</v>
          </cell>
          <cell r="C184" t="str">
            <v>SALES_TRN_DIST_EMKT_NO_AMERICA</v>
          </cell>
          <cell r="AB184">
            <v>0</v>
          </cell>
        </row>
        <row r="185">
          <cell r="B185" t="str">
            <v>Sales to the transmission &amp; distribution end market - % EAME</v>
          </cell>
          <cell r="C185" t="str">
            <v>SALES_TRN_DIST_EMKT_EAME</v>
          </cell>
          <cell r="AB185">
            <v>0</v>
          </cell>
        </row>
        <row r="186">
          <cell r="B186" t="str">
            <v>Sales to the transmission &amp; distribution end market - % So. America</v>
          </cell>
          <cell r="C186" t="str">
            <v>SALES_TRN_DIST_EMKT_SO_AMERICA</v>
          </cell>
          <cell r="AB186">
            <v>0</v>
          </cell>
        </row>
        <row r="187">
          <cell r="B187" t="str">
            <v>Sales to the transmission &amp; distribution end market - % China</v>
          </cell>
          <cell r="C187" t="str">
            <v>SALES_TRN_DIST_EMKT_CHINA</v>
          </cell>
          <cell r="AB187">
            <v>0</v>
          </cell>
        </row>
        <row r="188">
          <cell r="B188" t="str">
            <v>Sales to the transmission &amp; distribution end market - % Asia ex-China</v>
          </cell>
          <cell r="C188" t="str">
            <v>SALES_TRN_DIST_EMKT_ASIAEXCHINA</v>
          </cell>
          <cell r="AB188">
            <v>0</v>
          </cell>
        </row>
        <row r="189">
          <cell r="B189" t="str">
            <v>Sales to the power generation end market - % Global</v>
          </cell>
          <cell r="C189" t="str">
            <v>SALES_PWR_GEN_EMKT_GLOBAL</v>
          </cell>
          <cell r="AB189">
            <v>0</v>
          </cell>
        </row>
        <row r="190">
          <cell r="B190" t="str">
            <v>Sales to the power generation end market - % No. America</v>
          </cell>
          <cell r="C190" t="str">
            <v>SALES_PWR_GEN_EMKT_NO_AMERICA</v>
          </cell>
          <cell r="AB190">
            <v>0</v>
          </cell>
        </row>
        <row r="191">
          <cell r="B191" t="str">
            <v>Sales to the power generation end market - % EAME</v>
          </cell>
          <cell r="C191" t="str">
            <v>SALES_PWR_GEN_EMKT_EAME</v>
          </cell>
          <cell r="AB191">
            <v>0</v>
          </cell>
        </row>
        <row r="192">
          <cell r="B192" t="str">
            <v>Sales to the power generation end market - % So. America</v>
          </cell>
          <cell r="C192" t="str">
            <v>SALES_PWR_GEN_EMKT_SO_AMERICA</v>
          </cell>
          <cell r="AB192">
            <v>0</v>
          </cell>
        </row>
        <row r="193">
          <cell r="B193" t="str">
            <v>Sales to the power generation end market - % China</v>
          </cell>
          <cell r="C193" t="str">
            <v>SALES_PWR_GEN_EMKT_CHINA</v>
          </cell>
          <cell r="AB193">
            <v>0</v>
          </cell>
        </row>
        <row r="194">
          <cell r="B194" t="str">
            <v>Sales to the power generation end market - % Asia ex-China</v>
          </cell>
          <cell r="C194" t="str">
            <v>SALES_PWR_GEN_EMKT_ASIAEXCHINA</v>
          </cell>
          <cell r="AB194">
            <v>0</v>
          </cell>
        </row>
        <row r="195">
          <cell r="B195" t="str">
            <v>Sales to the mining end market - % Global</v>
          </cell>
          <cell r="C195" t="str">
            <v>SALES_MINING_EMKT_GLOBAL</v>
          </cell>
          <cell r="AB195">
            <v>0.4</v>
          </cell>
        </row>
        <row r="196">
          <cell r="B196" t="str">
            <v>Sales to the mining end market - % No. America</v>
          </cell>
          <cell r="C196" t="str">
            <v>SALES_MINING_EMKT_NO_AMERICA</v>
          </cell>
          <cell r="AB196">
            <v>5.2000000000000005E-2</v>
          </cell>
        </row>
        <row r="197">
          <cell r="B197" t="str">
            <v>Sales to the mining end market - % EAME</v>
          </cell>
          <cell r="C197" t="str">
            <v>SALES_MINING_EMKT_EAME</v>
          </cell>
          <cell r="AB197">
            <v>0.124</v>
          </cell>
        </row>
        <row r="198">
          <cell r="B198" t="str">
            <v>Sales to the mining end market - % So. America</v>
          </cell>
          <cell r="C198" t="str">
            <v>SALES_MINING_EMKT_SO_AMERICA</v>
          </cell>
          <cell r="AB198">
            <v>0.06</v>
          </cell>
        </row>
        <row r="199">
          <cell r="B199" t="str">
            <v>Sales to the mining end market - % China</v>
          </cell>
          <cell r="C199" t="str">
            <v>SALES_MINING_EMKT_CHINA</v>
          </cell>
          <cell r="AB199">
            <v>2.92E-2</v>
          </cell>
        </row>
        <row r="200">
          <cell r="B200" t="str">
            <v>Sales to the mining end market - % Asia ex-China</v>
          </cell>
          <cell r="C200" t="str">
            <v>SALES_MINING_EMKT_ASIAEXCHINA</v>
          </cell>
          <cell r="AB200">
            <v>0.13480000000000003</v>
          </cell>
        </row>
        <row r="201">
          <cell r="B201" t="str">
            <v>Sales to the oil &amp; gas end market - % Global</v>
          </cell>
          <cell r="C201" t="str">
            <v>SALES_OIL_GAS_EMKT_GLOBAL</v>
          </cell>
          <cell r="AB201">
            <v>0</v>
          </cell>
        </row>
        <row r="202">
          <cell r="B202" t="str">
            <v>Sales to the oil &amp; gas end market - % No. America</v>
          </cell>
          <cell r="C202" t="str">
            <v>SALES_OIL_GAS_EMKT_NO_AMERICA</v>
          </cell>
          <cell r="AB202">
            <v>0</v>
          </cell>
        </row>
        <row r="203">
          <cell r="B203" t="str">
            <v>Sales to the oil &amp; gas end market - % EAME</v>
          </cell>
          <cell r="C203" t="str">
            <v>SALES_OIL_GAS_EMKT_EAME</v>
          </cell>
          <cell r="AB203">
            <v>0</v>
          </cell>
        </row>
        <row r="204">
          <cell r="B204" t="str">
            <v>Sales to the oil &amp; gas end market - % So. America</v>
          </cell>
          <cell r="C204" t="str">
            <v>SALES_OIL_GAS_EMKT_SO_AMERICA</v>
          </cell>
          <cell r="AB204">
            <v>0</v>
          </cell>
        </row>
        <row r="205">
          <cell r="B205" t="str">
            <v>Sales to the oil &amp; gas end market - % China</v>
          </cell>
          <cell r="C205" t="str">
            <v>SALES_OIL_GAS_EMKT_CHINA</v>
          </cell>
          <cell r="AB205">
            <v>0</v>
          </cell>
        </row>
        <row r="206">
          <cell r="B206" t="str">
            <v>Sales to the oil &amp; gas end market - % Asia ex-China</v>
          </cell>
          <cell r="C206" t="str">
            <v>SALES_OIL_GAS_EMKT_ASIAEXCHINA</v>
          </cell>
          <cell r="AB206">
            <v>0</v>
          </cell>
        </row>
        <row r="207">
          <cell r="B207" t="str">
            <v>Sales to the automotive end market - % Global</v>
          </cell>
          <cell r="C207" t="str">
            <v>SALES_AUTOMTV_EMKT_GLOBAL</v>
          </cell>
          <cell r="AB207">
            <v>0.1</v>
          </cell>
        </row>
        <row r="208">
          <cell r="B208" t="str">
            <v>Sales to the automotive end market - % No. America</v>
          </cell>
          <cell r="C208" t="str">
            <v>SALES_AUTOMTV_EMKT_NO_AMERICA</v>
          </cell>
          <cell r="AB208">
            <v>1.7999999999999999E-2</v>
          </cell>
        </row>
        <row r="209">
          <cell r="B209" t="str">
            <v>Sales to the automotive end market - % EAME</v>
          </cell>
          <cell r="C209" t="str">
            <v>SALES_AUTOMTV_EMKT_EAME</v>
          </cell>
          <cell r="AB209">
            <v>4.4000000000000011E-2</v>
          </cell>
        </row>
        <row r="210">
          <cell r="B210" t="str">
            <v>Sales to the automotive end market - % So. America</v>
          </cell>
          <cell r="C210" t="str">
            <v>SALES_AUTOMTV_EMKT_SO_AMERICA</v>
          </cell>
          <cell r="AB210">
            <v>8.9999999999999993E-3</v>
          </cell>
        </row>
        <row r="211">
          <cell r="B211" t="str">
            <v>Sales to the automotive end market - % China</v>
          </cell>
          <cell r="C211" t="str">
            <v>SALES_AUTOMTV_EMKT_CHINA</v>
          </cell>
          <cell r="AB211">
            <v>7.3000000000000001E-3</v>
          </cell>
        </row>
        <row r="212">
          <cell r="B212" t="str">
            <v>Sales to the automotive end market - % Asia ex-China</v>
          </cell>
          <cell r="C212" t="str">
            <v>SALES_AUTOMTV_EMKT_ASIAEXCHINA</v>
          </cell>
          <cell r="AB212">
            <v>2.1699999999999997E-2</v>
          </cell>
        </row>
        <row r="213">
          <cell r="B213" t="str">
            <v>Sales to the rail end market - % Global</v>
          </cell>
          <cell r="C213" t="str">
            <v>SALES_RAIL_EMKT_GLOBAL</v>
          </cell>
          <cell r="AB213">
            <v>0</v>
          </cell>
        </row>
        <row r="214">
          <cell r="B214" t="str">
            <v>Sales to the rail end market - % No. America</v>
          </cell>
          <cell r="C214" t="str">
            <v>SALES_RAIL_EMKT_NO_AMERICA</v>
          </cell>
          <cell r="AB214">
            <v>0</v>
          </cell>
        </row>
        <row r="215">
          <cell r="B215" t="str">
            <v>Sales to the rail end market - % EAME</v>
          </cell>
          <cell r="C215" t="str">
            <v>SALES_RAIL_EMKT_EAME</v>
          </cell>
          <cell r="AB215">
            <v>0</v>
          </cell>
        </row>
        <row r="216">
          <cell r="B216" t="str">
            <v>Sales to the rail end market - % So. America</v>
          </cell>
          <cell r="C216" t="str">
            <v>SALES_RAIL_EMKT_SO_AMERICA</v>
          </cell>
          <cell r="AB216">
            <v>0</v>
          </cell>
        </row>
        <row r="217">
          <cell r="B217" t="str">
            <v>Sales to the rail end market - % China</v>
          </cell>
          <cell r="C217" t="str">
            <v>SALES_RAIL_EMKT_CHINA</v>
          </cell>
          <cell r="AB217">
            <v>0</v>
          </cell>
        </row>
        <row r="218">
          <cell r="B218" t="str">
            <v>Sales to the rail end market - % Asia ex-China</v>
          </cell>
          <cell r="C218" t="str">
            <v>SALES_RAIL_EMKT_ASIAEXCHINA</v>
          </cell>
          <cell r="AB218">
            <v>0</v>
          </cell>
        </row>
        <row r="219">
          <cell r="B219" t="str">
            <v>Sales to the consumer end market - % Global</v>
          </cell>
          <cell r="C219" t="str">
            <v>SALES_CONS_EMKT_GLOBAL</v>
          </cell>
          <cell r="AB219">
            <v>0.03</v>
          </cell>
        </row>
        <row r="220">
          <cell r="B220" t="str">
            <v>Sales to the consumer end market - % No. America</v>
          </cell>
          <cell r="C220" t="str">
            <v>SALES_CONS_EMKT_NO_AMERICA</v>
          </cell>
          <cell r="AB220">
            <v>5.3999999999999994E-3</v>
          </cell>
        </row>
        <row r="221">
          <cell r="B221" t="str">
            <v>Sales to the consumer end market - % EAME</v>
          </cell>
          <cell r="C221" t="str">
            <v>SALES_CONS_EMKT_EAME</v>
          </cell>
          <cell r="AB221">
            <v>1.3200000000000002E-2</v>
          </cell>
        </row>
        <row r="222">
          <cell r="B222" t="str">
            <v>Sales to the consumer end market - % So. America</v>
          </cell>
          <cell r="C222" t="str">
            <v>SALES_CONS_EMKT_SO_AMERICA</v>
          </cell>
          <cell r="AB222">
            <v>2.6999999999999997E-3</v>
          </cell>
        </row>
        <row r="223">
          <cell r="B223" t="str">
            <v>Sales to the consumer end market - % China</v>
          </cell>
          <cell r="C223" t="str">
            <v>SALES_CONS_EMKT_CHINA</v>
          </cell>
          <cell r="AB223">
            <v>2.1899999999999997E-3</v>
          </cell>
        </row>
        <row r="224">
          <cell r="B224" t="str">
            <v>Sales to the consumer end market - % Asia ex-China</v>
          </cell>
          <cell r="C224" t="str">
            <v>SALES_CONS_EMKT_ASIAEXCHINA</v>
          </cell>
          <cell r="AB224">
            <v>6.5100000000000002E-3</v>
          </cell>
        </row>
        <row r="225">
          <cell r="B225" t="str">
            <v>Sales to the tech end market - % Global</v>
          </cell>
          <cell r="C225" t="str">
            <v>SALES_TECH_EMKT_GLOBAL</v>
          </cell>
          <cell r="AB225">
            <v>0</v>
          </cell>
        </row>
        <row r="226">
          <cell r="B226" t="str">
            <v>Sales to the tech end market - % No. America</v>
          </cell>
          <cell r="C226" t="str">
            <v>SALES_TECH_EMKT_NO_AMERICA</v>
          </cell>
          <cell r="AB226">
            <v>0</v>
          </cell>
        </row>
        <row r="227">
          <cell r="B227" t="str">
            <v>Sales to the tech end market - % EAME</v>
          </cell>
          <cell r="C227" t="str">
            <v>SALES_TECH_EMKT_EAME</v>
          </cell>
          <cell r="AB227">
            <v>0</v>
          </cell>
        </row>
        <row r="228">
          <cell r="B228" t="str">
            <v>Sales to the tech end market - % So. America</v>
          </cell>
          <cell r="C228" t="str">
            <v>SALES_TECH_EMKT_SO_AMERICA</v>
          </cell>
          <cell r="AB228">
            <v>0</v>
          </cell>
        </row>
        <row r="229">
          <cell r="B229" t="str">
            <v>Sales to the tech end market - % China</v>
          </cell>
          <cell r="C229" t="str">
            <v>SALES_TECH_EMKT_CHINA</v>
          </cell>
          <cell r="AB229">
            <v>0</v>
          </cell>
        </row>
        <row r="230">
          <cell r="B230" t="str">
            <v>Sales to the tech end market - % Asia ex-China</v>
          </cell>
          <cell r="C230" t="str">
            <v>SALES_TECH_EMKT_ASIAEXCHINA</v>
          </cell>
          <cell r="AB230">
            <v>0</v>
          </cell>
        </row>
        <row r="231">
          <cell r="B231" t="str">
            <v>Sales to the agriculture end market - % Global</v>
          </cell>
          <cell r="C231" t="str">
            <v>SALES_AGRI_EMKT_GLOBAL</v>
          </cell>
          <cell r="AB231">
            <v>0</v>
          </cell>
        </row>
        <row r="232">
          <cell r="B232" t="str">
            <v>Sales to the agriculture end market - % No. America</v>
          </cell>
          <cell r="C232" t="str">
            <v>SALES_AGRI_EMKT_NO_AMERICA</v>
          </cell>
          <cell r="AB232">
            <v>0</v>
          </cell>
        </row>
        <row r="233">
          <cell r="B233" t="str">
            <v>Sales to the agriculture end market - % EAME</v>
          </cell>
          <cell r="C233" t="str">
            <v>SALES_AGRI_EMKT_EAME</v>
          </cell>
          <cell r="AB233">
            <v>0</v>
          </cell>
        </row>
        <row r="234">
          <cell r="B234" t="str">
            <v>Sales to the agriculture end market - % So. America</v>
          </cell>
          <cell r="C234" t="str">
            <v>SALES_AGRI_EMKT_SO_AMERICA</v>
          </cell>
          <cell r="AB234">
            <v>0</v>
          </cell>
        </row>
        <row r="235">
          <cell r="B235" t="str">
            <v>Sales to the agriculture end market - % China</v>
          </cell>
          <cell r="C235" t="str">
            <v>SALES_AGRI_EMKT_CHINA</v>
          </cell>
          <cell r="AB235">
            <v>0</v>
          </cell>
        </row>
        <row r="236">
          <cell r="B236" t="str">
            <v>Sales to the agriculture end market - % Asia ex-China</v>
          </cell>
          <cell r="C236" t="str">
            <v>SALES_AGRI_EMKT_ASIAEXCHINA</v>
          </cell>
          <cell r="AB236">
            <v>0</v>
          </cell>
        </row>
        <row r="237">
          <cell r="B237" t="str">
            <v>Sales to the general industrial end market - % Global</v>
          </cell>
          <cell r="C237" t="str">
            <v>SALES_GNRL_IND_EMKT_GLOBAL</v>
          </cell>
          <cell r="AB237">
            <v>0.36</v>
          </cell>
        </row>
        <row r="238">
          <cell r="B238" t="str">
            <v>Sales to the general industrial end market - % No. America</v>
          </cell>
          <cell r="C238" t="str">
            <v>SALES_GNRL_IND_EMKT_NO_AMERICA</v>
          </cell>
          <cell r="AB238">
            <v>6.4799999999999996E-2</v>
          </cell>
        </row>
        <row r="239">
          <cell r="B239" t="str">
            <v>Sales to the general industrial end market - % EAME</v>
          </cell>
          <cell r="C239" t="str">
            <v>SALES_GNRL_IND_EMKT_EAME</v>
          </cell>
          <cell r="AB239">
            <v>0.15840000000000001</v>
          </cell>
        </row>
        <row r="240">
          <cell r="B240" t="str">
            <v>Sales to the general industrial end market - % So. America</v>
          </cell>
          <cell r="C240" t="str">
            <v>SALES_GNRL_IND_EMKT_SO_AMERICA</v>
          </cell>
          <cell r="AB240">
            <v>3.2399999999999998E-2</v>
          </cell>
        </row>
        <row r="241">
          <cell r="B241" t="str">
            <v>Sales to the general industrial end market - % China</v>
          </cell>
          <cell r="C241" t="str">
            <v>SALES_GNRL_IND_EMKT_CHINA</v>
          </cell>
          <cell r="AB241">
            <v>2.6279999999999998E-2</v>
          </cell>
        </row>
        <row r="242">
          <cell r="B242" t="str">
            <v>Sales to the general industrial end market - % Asia ex-China</v>
          </cell>
          <cell r="C242" t="str">
            <v>SALES_GNRL_IND_EMKT_ASIAEXCHINA</v>
          </cell>
          <cell r="AB242">
            <v>7.8119999999999995E-2</v>
          </cell>
        </row>
        <row r="243">
          <cell r="B243" t="str">
            <v>Sales to the aftermarket end market - % Global</v>
          </cell>
          <cell r="C243" t="str">
            <v>SALES_AMKT_EMKT_GLOBAL</v>
          </cell>
          <cell r="AB243">
            <v>0.25</v>
          </cell>
          <cell r="AD243">
            <v>0.25</v>
          </cell>
        </row>
        <row r="244">
          <cell r="B244" t="str">
            <v>End market exposure as % of revenues - Aerospace</v>
          </cell>
          <cell r="C244" t="str">
            <v>SALES_EMKT_AEROSPC</v>
          </cell>
          <cell r="AB244">
            <v>0</v>
          </cell>
          <cell r="AE244">
            <v>0.05</v>
          </cell>
          <cell r="AF244">
            <v>0.06</v>
          </cell>
          <cell r="AG244">
            <v>0.06</v>
          </cell>
          <cell r="AH244">
            <v>0.06</v>
          </cell>
          <cell r="AI244">
            <v>7.0000000000000007E-2</v>
          </cell>
          <cell r="AJ244">
            <v>0.05</v>
          </cell>
          <cell r="AK244">
            <v>0.04</v>
          </cell>
        </row>
        <row r="245">
          <cell r="B245" t="str">
            <v>End market exposure as % of revenues - Agriculture</v>
          </cell>
          <cell r="C245" t="str">
            <v>SALES_EMRKT_AGRI</v>
          </cell>
        </row>
        <row r="246">
          <cell r="B246" t="str">
            <v>End market exposure as % of revenues - Chemicals</v>
          </cell>
          <cell r="C246" t="str">
            <v>SALES_EMRKT_CHEM</v>
          </cell>
        </row>
        <row r="247">
          <cell r="B247" t="str">
            <v>End market exposure as % of revenues - Consumer</v>
          </cell>
          <cell r="C247" t="str">
            <v>SALES_EMKT_CONS</v>
          </cell>
          <cell r="AB247">
            <v>0</v>
          </cell>
          <cell r="AE247">
            <v>2.9999999999999971E-2</v>
          </cell>
          <cell r="AF247">
            <v>3.0000000000000027E-2</v>
          </cell>
          <cell r="AG247">
            <v>2.0000000000000018E-2</v>
          </cell>
          <cell r="AH247">
            <v>2.5000000000000022E-2</v>
          </cell>
          <cell r="AI247">
            <v>0</v>
          </cell>
          <cell r="AJ247">
            <v>0</v>
          </cell>
          <cell r="AK247">
            <v>0</v>
          </cell>
        </row>
        <row r="248">
          <cell r="B248" t="str">
            <v>End market exposure as % of revenues - Electronics</v>
          </cell>
          <cell r="C248" t="str">
            <v>SALES_EMRKT_ELEC</v>
          </cell>
        </row>
        <row r="249">
          <cell r="B249" t="str">
            <v>End market exposure as % of revenues - General Industrial</v>
          </cell>
          <cell r="C249" t="str">
            <v>SALES_EMKT_GNRL_IND</v>
          </cell>
          <cell r="AB249">
            <v>0</v>
          </cell>
          <cell r="AE249">
            <v>0.26</v>
          </cell>
          <cell r="AF249">
            <v>0.26</v>
          </cell>
          <cell r="AG249">
            <v>0.27999999999999997</v>
          </cell>
          <cell r="AH249">
            <v>0.255</v>
          </cell>
          <cell r="AI249">
            <v>0.25</v>
          </cell>
          <cell r="AJ249">
            <v>0.26</v>
          </cell>
          <cell r="AK249">
            <v>0.30000000000000004</v>
          </cell>
        </row>
        <row r="250">
          <cell r="B250" t="str">
            <v>End market exposure as % of revenues - Marine (ex. O&amp;G)</v>
          </cell>
          <cell r="C250" t="str">
            <v>SALES_EMRKT_MARINE</v>
          </cell>
        </row>
        <row r="251">
          <cell r="B251" t="str">
            <v>End market exposure as % of revenues - Not classified</v>
          </cell>
          <cell r="C251" t="str">
            <v>SALES_EMRKT_NC</v>
          </cell>
        </row>
        <row r="252">
          <cell r="B252" t="str">
            <v>End market exposure as % of revenues - Medical</v>
          </cell>
          <cell r="C252" t="str">
            <v>SALES_EMKT_MED</v>
          </cell>
        </row>
        <row r="253">
          <cell r="B253" t="str">
            <v>End market exposure as % of revenues - Mining</v>
          </cell>
          <cell r="C253" t="str">
            <v>SALES_EMKT_MINING</v>
          </cell>
          <cell r="AA253">
            <v>0.37</v>
          </cell>
          <cell r="AB253">
            <v>0.4</v>
          </cell>
          <cell r="AC253">
            <v>0.37</v>
          </cell>
          <cell r="AD253">
            <v>0.32</v>
          </cell>
          <cell r="AE253">
            <v>0.32</v>
          </cell>
          <cell r="AF253">
            <v>0.27</v>
          </cell>
          <cell r="AG253">
            <v>0.31</v>
          </cell>
          <cell r="AH253">
            <v>0.34</v>
          </cell>
          <cell r="AI253">
            <v>0.37</v>
          </cell>
          <cell r="AJ253">
            <v>0.4</v>
          </cell>
          <cell r="AK253">
            <v>0.41</v>
          </cell>
        </row>
        <row r="254">
          <cell r="B254" t="str">
            <v>End market exposure as % of revenues - Non-res construction</v>
          </cell>
          <cell r="C254" t="str">
            <v>SALES_EMKT_NRES_CONSRT</v>
          </cell>
          <cell r="AB254">
            <v>0</v>
          </cell>
          <cell r="AE254">
            <v>0.11</v>
          </cell>
          <cell r="AF254">
            <v>0.12</v>
          </cell>
          <cell r="AG254">
            <v>0.11</v>
          </cell>
          <cell r="AH254">
            <v>0.09</v>
          </cell>
          <cell r="AI254">
            <v>0.08</v>
          </cell>
          <cell r="AJ254">
            <v>0.08</v>
          </cell>
          <cell r="AK254">
            <v>0.09</v>
          </cell>
        </row>
        <row r="255">
          <cell r="B255" t="str">
            <v>End market exposure as % of revenues - O&amp;G</v>
          </cell>
          <cell r="C255" t="str">
            <v>SALES_EMKT_OIL_GAS</v>
          </cell>
          <cell r="AB255">
            <v>0</v>
          </cell>
          <cell r="AE255">
            <v>0.10600000000000001</v>
          </cell>
          <cell r="AF255">
            <v>0.06</v>
          </cell>
          <cell r="AG255">
            <v>5.5E-2</v>
          </cell>
          <cell r="AH255">
            <v>5.5E-2</v>
          </cell>
          <cell r="AI255">
            <v>0.06</v>
          </cell>
          <cell r="AJ255">
            <v>0.05</v>
          </cell>
          <cell r="AK255">
            <v>0.04</v>
          </cell>
        </row>
        <row r="256">
          <cell r="B256" t="str">
            <v>End market exposure as % of revenues - Power Gen</v>
          </cell>
          <cell r="C256" t="str">
            <v>SALES_EMKT_PWR_GEN</v>
          </cell>
          <cell r="AB256">
            <v>0</v>
          </cell>
          <cell r="AE256">
            <v>3.4000000000000002E-2</v>
          </cell>
          <cell r="AF256">
            <v>0.06</v>
          </cell>
          <cell r="AG256">
            <v>5.5E-2</v>
          </cell>
          <cell r="AH256">
            <v>5.5E-2</v>
          </cell>
          <cell r="AI256">
            <v>0.06</v>
          </cell>
          <cell r="AJ256">
            <v>0.05</v>
          </cell>
          <cell r="AK256">
            <v>0.04</v>
          </cell>
        </row>
        <row r="257">
          <cell r="B257" t="str">
            <v>End market exposure as % of revenues - Pulp &amp; paper</v>
          </cell>
          <cell r="C257" t="str">
            <v>SALES_EMRKT_PULP</v>
          </cell>
          <cell r="AB257">
            <v>0</v>
          </cell>
          <cell r="AE257">
            <v>0.03</v>
          </cell>
          <cell r="AI257">
            <v>0</v>
          </cell>
          <cell r="AJ257">
            <v>0</v>
          </cell>
          <cell r="AK257">
            <v>0</v>
          </cell>
        </row>
        <row r="258">
          <cell r="B258" t="str">
            <v>End market exposure as % of revenues - Rail</v>
          </cell>
          <cell r="C258" t="str">
            <v>SALES_EMKT_RAIL</v>
          </cell>
          <cell r="AB258">
            <v>0</v>
          </cell>
        </row>
        <row r="259">
          <cell r="B259" t="str">
            <v>End market exposure as % of revenues - Res construction</v>
          </cell>
          <cell r="C259" t="str">
            <v>SALES_EMKT_RES_CONSRT</v>
          </cell>
          <cell r="AB259">
            <v>0</v>
          </cell>
        </row>
        <row r="260">
          <cell r="B260" t="str">
            <v>End market exposure as % of revenues - T&amp;D</v>
          </cell>
          <cell r="C260" t="str">
            <v>SALES_EMKT_TRN_DIST</v>
          </cell>
          <cell r="AB260">
            <v>0</v>
          </cell>
        </row>
        <row r="261">
          <cell r="B261" t="str">
            <v>End market exposure as % of revenues - Tech/telecom</v>
          </cell>
          <cell r="C261" t="str">
            <v>SALES_EMKT_TECH_TELCO</v>
          </cell>
          <cell r="AB261">
            <v>0</v>
          </cell>
        </row>
        <row r="262">
          <cell r="B262" t="str">
            <v>End market exposure as % of revenues - Vehicle</v>
          </cell>
          <cell r="C262" t="str">
            <v>SALES_EMKT_VHCLE</v>
          </cell>
          <cell r="AB262">
            <v>0</v>
          </cell>
          <cell r="AE262">
            <v>0.11</v>
          </cell>
          <cell r="AF262">
            <v>0.14000000000000001</v>
          </cell>
          <cell r="AG262">
            <v>0.13</v>
          </cell>
          <cell r="AH262">
            <v>0.12</v>
          </cell>
          <cell r="AI262">
            <v>0.11</v>
          </cell>
          <cell r="AJ262">
            <v>0.11</v>
          </cell>
          <cell r="AK262">
            <v>0.08</v>
          </cell>
        </row>
        <row r="263">
          <cell r="A263" t="str">
            <v>Geographical Breakdown</v>
          </cell>
        </row>
        <row r="264">
          <cell r="B264" t="str">
            <v>Sales - % Canada</v>
          </cell>
          <cell r="C264" t="str">
            <v>SALES_CANADA</v>
          </cell>
          <cell r="AC264">
            <v>6.1552963404115479E-2</v>
          </cell>
          <cell r="AD264">
            <v>2.7395102565034593E-2</v>
          </cell>
          <cell r="AE264">
            <v>2.9110606325353835E-2</v>
          </cell>
          <cell r="AF264">
            <v>2.7135727686289895E-2</v>
          </cell>
          <cell r="AG264">
            <v>3.4758386823301443E-2</v>
          </cell>
          <cell r="AH264">
            <v>3.6062799488627478E-2</v>
          </cell>
          <cell r="AI264">
            <v>4.2145334082411515E-2</v>
          </cell>
          <cell r="AJ264">
            <v>0.05</v>
          </cell>
          <cell r="AK264">
            <v>0.05</v>
          </cell>
          <cell r="AL264">
            <v>0.05</v>
          </cell>
          <cell r="AM264">
            <v>0.05</v>
          </cell>
          <cell r="AN264">
            <v>0.05</v>
          </cell>
          <cell r="AO264">
            <v>0.05</v>
          </cell>
          <cell r="AP264">
            <v>0.05</v>
          </cell>
        </row>
        <row r="265">
          <cell r="B265" t="str">
            <v>Sales - % United States</v>
          </cell>
          <cell r="C265" t="str">
            <v>SALES_US</v>
          </cell>
          <cell r="U265">
            <v>0.12307991714972824</v>
          </cell>
          <cell r="V265">
            <v>0.12307991714972824</v>
          </cell>
          <cell r="W265">
            <v>0.12307991714972824</v>
          </cell>
          <cell r="X265">
            <v>0.12307991714972824</v>
          </cell>
          <cell r="Y265">
            <v>0.12307991714972824</v>
          </cell>
          <cell r="Z265">
            <v>0.12137343625232899</v>
          </cell>
          <cell r="AA265">
            <v>0.11761829854172867</v>
          </cell>
          <cell r="AB265">
            <v>0.12479574541505546</v>
          </cell>
          <cell r="AC265">
            <v>0.14844703659588451</v>
          </cell>
          <cell r="AD265">
            <v>0.15525910847782098</v>
          </cell>
          <cell r="AE265">
            <v>0.15840177063311783</v>
          </cell>
          <cell r="AF265">
            <v>0.14654273907765503</v>
          </cell>
          <cell r="AG265">
            <v>0.27415856518436149</v>
          </cell>
          <cell r="AH265">
            <v>0.24813523779741922</v>
          </cell>
          <cell r="AI265">
            <v>0.15296693078130147</v>
          </cell>
          <cell r="AJ265">
            <v>0.17</v>
          </cell>
          <cell r="AK265">
            <v>0.17</v>
          </cell>
          <cell r="AL265">
            <v>0.17</v>
          </cell>
          <cell r="AM265">
            <v>0.17</v>
          </cell>
          <cell r="AN265">
            <v>0.17</v>
          </cell>
          <cell r="AO265">
            <v>0.17</v>
          </cell>
          <cell r="AP265">
            <v>0.17</v>
          </cell>
        </row>
        <row r="266">
          <cell r="B266" t="str">
            <v>Sales - % Other North Americas</v>
          </cell>
          <cell r="C266" t="str">
            <v>SALES_OTH_NO_AMER</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B267" t="str">
            <v>Sales - % Argentina</v>
          </cell>
          <cell r="C267" t="str">
            <v>SALES_ARGENTINA</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B268" t="str">
            <v>Sales - % Brazil</v>
          </cell>
          <cell r="C268" t="str">
            <v>SALES_BRAZIL</v>
          </cell>
          <cell r="U268">
            <v>3.2597967666152326E-2</v>
          </cell>
          <cell r="V268">
            <v>3.2597967666152326E-2</v>
          </cell>
          <cell r="W268">
            <v>3.2597967666152326E-2</v>
          </cell>
          <cell r="X268">
            <v>3.2597967666152326E-2</v>
          </cell>
          <cell r="Y268">
            <v>4.6651931551218426E-2</v>
          </cell>
          <cell r="Z268">
            <v>4.6204660391511602E-2</v>
          </cell>
          <cell r="AA268">
            <v>4.4991709536159177E-2</v>
          </cell>
          <cell r="AB268">
            <v>3.8770311278912804E-2</v>
          </cell>
          <cell r="AC268">
            <v>3.9423337577524947E-2</v>
          </cell>
          <cell r="AD268">
            <v>0</v>
          </cell>
          <cell r="AE268">
            <v>0</v>
          </cell>
          <cell r="AF268">
            <v>1.6664009907667404E-2</v>
          </cell>
          <cell r="AG268">
            <v>3.18187323152807E-2</v>
          </cell>
          <cell r="AH268">
            <v>3.3597910362651411E-2</v>
          </cell>
          <cell r="AI268">
            <v>1.6592727484065945E-2</v>
          </cell>
          <cell r="AJ268">
            <v>0.01</v>
          </cell>
          <cell r="AK268">
            <v>0.01</v>
          </cell>
          <cell r="AL268">
            <v>0.01</v>
          </cell>
          <cell r="AM268">
            <v>0.01</v>
          </cell>
          <cell r="AN268">
            <v>0.01</v>
          </cell>
          <cell r="AO268">
            <v>0.01</v>
          </cell>
          <cell r="AP268">
            <v>0.01</v>
          </cell>
        </row>
        <row r="269">
          <cell r="B269" t="str">
            <v>Sales - % Chile</v>
          </cell>
          <cell r="C269" t="str">
            <v>SALES_CHILE</v>
          </cell>
          <cell r="AC269">
            <v>0</v>
          </cell>
          <cell r="AD269">
            <v>0</v>
          </cell>
          <cell r="AE269">
            <v>0</v>
          </cell>
          <cell r="AF269">
            <v>0</v>
          </cell>
          <cell r="AG269">
            <v>0</v>
          </cell>
          <cell r="AH269">
            <v>0</v>
          </cell>
          <cell r="AI269">
            <v>1.4965419709796781E-2</v>
          </cell>
          <cell r="AJ269">
            <v>1.4965419709796781E-2</v>
          </cell>
          <cell r="AK269">
            <v>1.4965419709796781E-2</v>
          </cell>
          <cell r="AL269">
            <v>1.4965419709796781E-2</v>
          </cell>
          <cell r="AM269">
            <v>1.4965419709796781E-2</v>
          </cell>
          <cell r="AN269">
            <v>1.4965419709796781E-2</v>
          </cell>
          <cell r="AO269">
            <v>1.4965419709796781E-2</v>
          </cell>
          <cell r="AP269">
            <v>1.4965419709796781E-2</v>
          </cell>
        </row>
        <row r="270">
          <cell r="B270" t="str">
            <v>Sales - % Colombia</v>
          </cell>
          <cell r="C270" t="str">
            <v>SALES_COLOMBIA</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B271" t="str">
            <v>Sales - % Mexico</v>
          </cell>
          <cell r="C271" t="str">
            <v>SALES_MEXICO</v>
          </cell>
          <cell r="AC271">
            <v>0</v>
          </cell>
          <cell r="AD271">
            <v>2.1494432530018297E-2</v>
          </cell>
          <cell r="AE271">
            <v>2.55926378938785E-2</v>
          </cell>
          <cell r="AF271">
            <v>2.8889188625801622E-2</v>
          </cell>
          <cell r="AG271">
            <v>3.266649784755634E-2</v>
          </cell>
          <cell r="AH271">
            <v>2.924756500225335E-2</v>
          </cell>
          <cell r="AI271">
            <v>3.3495418353706966E-2</v>
          </cell>
          <cell r="AJ271">
            <v>0.02</v>
          </cell>
          <cell r="AK271">
            <v>0.02</v>
          </cell>
          <cell r="AL271">
            <v>0.02</v>
          </cell>
          <cell r="AM271">
            <v>0.02</v>
          </cell>
          <cell r="AN271">
            <v>0.02</v>
          </cell>
          <cell r="AO271">
            <v>0.02</v>
          </cell>
          <cell r="AP271">
            <v>0.02</v>
          </cell>
        </row>
        <row r="272">
          <cell r="B272" t="str">
            <v>Sales - % Venezuela</v>
          </cell>
          <cell r="C272" t="str">
            <v>SALES_VENEZUELA</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Sales - % Other Latin Americas</v>
          </cell>
          <cell r="C273" t="str">
            <v>SALES_OTH_LATAM</v>
          </cell>
          <cell r="AC273">
            <v>3.0576662422475059E-2</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Sales - % Austria</v>
          </cell>
          <cell r="C274" t="str">
            <v>SALES_AUSTRIA</v>
          </cell>
          <cell r="AC274">
            <v>0</v>
          </cell>
          <cell r="AD274">
            <v>0</v>
          </cell>
          <cell r="AE274">
            <v>0</v>
          </cell>
          <cell r="AF274">
            <v>0</v>
          </cell>
          <cell r="AG274">
            <v>0</v>
          </cell>
          <cell r="AH274">
            <v>0</v>
          </cell>
          <cell r="AI274">
            <v>1.1991708479435866E-2</v>
          </cell>
          <cell r="AJ274">
            <v>1.1991708479435866E-2</v>
          </cell>
          <cell r="AK274">
            <v>1.1991708479435866E-2</v>
          </cell>
          <cell r="AL274">
            <v>1.1991708479435866E-2</v>
          </cell>
          <cell r="AM274">
            <v>1.1991708479435866E-2</v>
          </cell>
          <cell r="AN274">
            <v>1.1991708479435866E-2</v>
          </cell>
          <cell r="AO274">
            <v>1.1991708479435866E-2</v>
          </cell>
          <cell r="AP274">
            <v>1.1991708479435866E-2</v>
          </cell>
        </row>
        <row r="275">
          <cell r="B275" t="str">
            <v>Sales - % Belgium</v>
          </cell>
          <cell r="C275" t="str">
            <v>SALES_BEL</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Sales - % France</v>
          </cell>
          <cell r="C276" t="str">
            <v>SALES_FRA</v>
          </cell>
          <cell r="U276">
            <v>3.9020253833215175E-2</v>
          </cell>
          <cell r="V276">
            <v>3.9020253833215175E-2</v>
          </cell>
          <cell r="W276">
            <v>3.9020253833215175E-2</v>
          </cell>
          <cell r="X276">
            <v>3.9020253833215175E-2</v>
          </cell>
          <cell r="Y276">
            <v>3.9020253833215175E-2</v>
          </cell>
          <cell r="Z276">
            <v>3.738476056815157E-2</v>
          </cell>
          <cell r="AA276">
            <v>3.1971429786148545E-2</v>
          </cell>
          <cell r="AB276">
            <v>2.8032355956114443E-2</v>
          </cell>
          <cell r="AC276">
            <v>3.556426784683471E-2</v>
          </cell>
          <cell r="AD276">
            <v>3.8105969733318791E-2</v>
          </cell>
          <cell r="AE276">
            <v>3.3012988525831441E-2</v>
          </cell>
          <cell r="AF276">
            <v>3.4811717533383198E-2</v>
          </cell>
          <cell r="AG276">
            <v>2.9847952701289263E-2</v>
          </cell>
          <cell r="AH276">
            <v>3.3000082776127364E-2</v>
          </cell>
          <cell r="AI276">
            <v>3.1916542358433907E-2</v>
          </cell>
          <cell r="AJ276">
            <v>0.04</v>
          </cell>
          <cell r="AK276">
            <v>0.04</v>
          </cell>
          <cell r="AL276">
            <v>0.04</v>
          </cell>
          <cell r="AM276">
            <v>0.04</v>
          </cell>
          <cell r="AN276">
            <v>0.04</v>
          </cell>
          <cell r="AO276">
            <v>0.04</v>
          </cell>
          <cell r="AP276">
            <v>0.04</v>
          </cell>
        </row>
        <row r="277">
          <cell r="B277" t="str">
            <v>Sales - % Germany</v>
          </cell>
          <cell r="C277" t="str">
            <v>SALES_GER</v>
          </cell>
          <cell r="U277">
            <v>7.8944076066558233E-2</v>
          </cell>
          <cell r="V277">
            <v>7.8944076066558233E-2</v>
          </cell>
          <cell r="W277">
            <v>7.8944076066558233E-2</v>
          </cell>
          <cell r="X277">
            <v>7.8944076066558233E-2</v>
          </cell>
          <cell r="Y277">
            <v>7.8944076066558233E-2</v>
          </cell>
          <cell r="Z277">
            <v>7.9500084690396114E-2</v>
          </cell>
          <cell r="AA277">
            <v>8.1607924833127843E-2</v>
          </cell>
          <cell r="AB277">
            <v>7.0365070182382847E-2</v>
          </cell>
          <cell r="AC277">
            <v>7.7809553588608804E-2</v>
          </cell>
          <cell r="AD277">
            <v>8.2403402275453452E-2</v>
          </cell>
          <cell r="AE277">
            <v>8.1309336595025913E-2</v>
          </cell>
          <cell r="AF277">
            <v>8.2240996652483647E-2</v>
          </cell>
          <cell r="AG277">
            <v>6.8911226837834558E-2</v>
          </cell>
          <cell r="AH277">
            <v>6.7131439292907921E-2</v>
          </cell>
          <cell r="AI277">
            <v>6.8811871597667523E-2</v>
          </cell>
          <cell r="AJ277">
            <v>0.08</v>
          </cell>
          <cell r="AK277">
            <v>0.08</v>
          </cell>
          <cell r="AL277">
            <v>0.08</v>
          </cell>
          <cell r="AM277">
            <v>0.08</v>
          </cell>
          <cell r="AN277">
            <v>0.08</v>
          </cell>
          <cell r="AO277">
            <v>0.08</v>
          </cell>
          <cell r="AP277">
            <v>0.08</v>
          </cell>
        </row>
        <row r="278">
          <cell r="B278" t="str">
            <v>Sales - % Greece</v>
          </cell>
          <cell r="C278" t="str">
            <v>SALES_GRE</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Sales - % Ireland</v>
          </cell>
          <cell r="C279" t="str">
            <v>SALES_IRE</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Sales - % Italy</v>
          </cell>
          <cell r="C280" t="str">
            <v>SALES_ITA</v>
          </cell>
          <cell r="U280">
            <v>3.9409483297885649E-2</v>
          </cell>
          <cell r="V280">
            <v>3.9409483297885649E-2</v>
          </cell>
          <cell r="W280">
            <v>3.9409483297885649E-2</v>
          </cell>
          <cell r="X280">
            <v>3.9409483297885649E-2</v>
          </cell>
          <cell r="Y280">
            <v>2.523040994203261E-2</v>
          </cell>
          <cell r="Z280">
            <v>2.8298690928448715E-2</v>
          </cell>
          <cell r="AA280">
            <v>3.1780111389821862E-2</v>
          </cell>
          <cell r="AB280">
            <v>3.714642389550285E-2</v>
          </cell>
          <cell r="AC280">
            <v>3.6728641523956135E-2</v>
          </cell>
          <cell r="AD280">
            <v>3.9366071753116932E-2</v>
          </cell>
          <cell r="AE280">
            <v>3.7800687285223365E-2</v>
          </cell>
          <cell r="AF280">
            <v>4.3664855983225628E-2</v>
          </cell>
          <cell r="AG280">
            <v>4.09679940986711E-2</v>
          </cell>
          <cell r="AH280">
            <v>3.5106275350189002E-2</v>
          </cell>
          <cell r="AI280">
            <v>3.7069683643619594E-2</v>
          </cell>
          <cell r="AJ280">
            <v>0.05</v>
          </cell>
          <cell r="AK280">
            <v>0.05</v>
          </cell>
          <cell r="AL280">
            <v>0.05</v>
          </cell>
          <cell r="AM280">
            <v>0.05</v>
          </cell>
          <cell r="AN280">
            <v>0.05</v>
          </cell>
          <cell r="AO280">
            <v>0.05</v>
          </cell>
          <cell r="AP280">
            <v>0.05</v>
          </cell>
        </row>
        <row r="281">
          <cell r="B281" t="str">
            <v>Sales - % Netherlands</v>
          </cell>
          <cell r="C281" t="str">
            <v>SALES_NETH</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B282" t="str">
            <v>Sales - % Norway</v>
          </cell>
          <cell r="C282" t="str">
            <v>SALES_NOR</v>
          </cell>
          <cell r="AC282">
            <v>0</v>
          </cell>
          <cell r="AD282">
            <v>0</v>
          </cell>
          <cell r="AE282">
            <v>0</v>
          </cell>
          <cell r="AF282">
            <v>0</v>
          </cell>
          <cell r="AG282">
            <v>0</v>
          </cell>
          <cell r="AH282">
            <v>0</v>
          </cell>
          <cell r="AI282">
            <v>1.2350103644007052E-2</v>
          </cell>
          <cell r="AJ282">
            <v>1.2350103644007052E-2</v>
          </cell>
          <cell r="AK282">
            <v>1.2350103644007052E-2</v>
          </cell>
          <cell r="AL282">
            <v>1.2350103644007052E-2</v>
          </cell>
          <cell r="AM282">
            <v>1.2350103644007052E-2</v>
          </cell>
          <cell r="AN282">
            <v>1.2350103644007052E-2</v>
          </cell>
          <cell r="AO282">
            <v>1.2350103644007052E-2</v>
          </cell>
          <cell r="AP282">
            <v>1.2350103644007052E-2</v>
          </cell>
        </row>
        <row r="283">
          <cell r="B283" t="str">
            <v>Sales - % Portugal</v>
          </cell>
          <cell r="C283" t="str">
            <v>SALES_POR</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B284" t="str">
            <v>Sales - % Spain</v>
          </cell>
          <cell r="C284" t="str">
            <v>SALES_SPA</v>
          </cell>
          <cell r="AC284">
            <v>2.0813250000000002E-2</v>
          </cell>
          <cell r="AD284">
            <v>0</v>
          </cell>
          <cell r="AE284">
            <v>0</v>
          </cell>
          <cell r="AF284">
            <v>0</v>
          </cell>
          <cell r="AG284">
            <v>0</v>
          </cell>
          <cell r="AH284">
            <v>0</v>
          </cell>
          <cell r="AI284">
            <v>1.0441891551560473E-2</v>
          </cell>
          <cell r="AJ284">
            <v>1.0441891551560473E-2</v>
          </cell>
          <cell r="AK284">
            <v>1.0441891551560473E-2</v>
          </cell>
          <cell r="AL284">
            <v>1.0441891551560473E-2</v>
          </cell>
          <cell r="AM284">
            <v>1.0441891551560473E-2</v>
          </cell>
          <cell r="AN284">
            <v>1.0441891551560473E-2</v>
          </cell>
          <cell r="AO284">
            <v>1.0441891551560473E-2</v>
          </cell>
          <cell r="AP284">
            <v>1.0441891551560473E-2</v>
          </cell>
        </row>
        <row r="285">
          <cell r="B285" t="str">
            <v>Sales - % Sweden</v>
          </cell>
          <cell r="C285" t="str">
            <v>SALES_SWE</v>
          </cell>
          <cell r="AC285">
            <v>0</v>
          </cell>
          <cell r="AD285">
            <v>4.1280457513964114E-2</v>
          </cell>
          <cell r="AE285">
            <v>4.1062379870697184E-2</v>
          </cell>
          <cell r="AF285">
            <v>3.910340514757274E-2</v>
          </cell>
          <cell r="AG285">
            <v>3.8942164774791635E-2</v>
          </cell>
          <cell r="AH285">
            <v>3.6338719913177039E-2</v>
          </cell>
          <cell r="AI285">
            <v>3.6338719913177039E-2</v>
          </cell>
          <cell r="AJ285">
            <v>3.6338719913177039E-2</v>
          </cell>
          <cell r="AK285">
            <v>3.6338719913177039E-2</v>
          </cell>
          <cell r="AL285">
            <v>3.6338719913177039E-2</v>
          </cell>
          <cell r="AM285">
            <v>3.6338719913177039E-2</v>
          </cell>
          <cell r="AN285">
            <v>3.6338719913177039E-2</v>
          </cell>
          <cell r="AO285">
            <v>3.6338719913177039E-2</v>
          </cell>
          <cell r="AP285">
            <v>3.6338719913177039E-2</v>
          </cell>
        </row>
        <row r="286">
          <cell r="B286" t="str">
            <v>Sales - % Switzerland</v>
          </cell>
          <cell r="C286" t="str">
            <v>SALES_SWIT</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Sales - % UK</v>
          </cell>
          <cell r="C287" t="str">
            <v>SALES_UK</v>
          </cell>
          <cell r="U287">
            <v>2.9567538262646482E-2</v>
          </cell>
          <cell r="V287">
            <v>2.9567538262646482E-2</v>
          </cell>
          <cell r="W287">
            <v>2.9567538262646482E-2</v>
          </cell>
          <cell r="X287">
            <v>2.9567538262646482E-2</v>
          </cell>
          <cell r="Y287">
            <v>1.6458845934637253E-2</v>
          </cell>
          <cell r="Z287">
            <v>1.6684008033489003E-2</v>
          </cell>
          <cell r="AA287">
            <v>1.8983036435525701E-2</v>
          </cell>
          <cell r="AB287">
            <v>2.3170843102030873E-2</v>
          </cell>
          <cell r="AC287">
            <v>0</v>
          </cell>
          <cell r="AD287">
            <v>3.7076078659445316E-2</v>
          </cell>
          <cell r="AE287">
            <v>4.4254179043625136E-2</v>
          </cell>
          <cell r="AF287">
            <v>3.4627788064203642E-2</v>
          </cell>
          <cell r="AG287">
            <v>3.2127010690653664E-2</v>
          </cell>
          <cell r="AH287">
            <v>2.7766792057170711E-2</v>
          </cell>
          <cell r="AI287">
            <v>3.7670237703171315E-2</v>
          </cell>
          <cell r="AJ287">
            <v>3.7670237703171315E-2</v>
          </cell>
          <cell r="AK287">
            <v>3.7670237703171315E-2</v>
          </cell>
          <cell r="AL287">
            <v>3.7670237703171315E-2</v>
          </cell>
          <cell r="AM287">
            <v>3.7670237703171315E-2</v>
          </cell>
          <cell r="AN287">
            <v>3.7670237703171315E-2</v>
          </cell>
          <cell r="AO287">
            <v>3.7670237703171315E-2</v>
          </cell>
          <cell r="AP287">
            <v>3.7670237703171315E-2</v>
          </cell>
        </row>
        <row r="288">
          <cell r="B288" t="str">
            <v>Sales - % Other Western Europe</v>
          </cell>
          <cell r="C288" t="str">
            <v>SALES_OTH_WEST_EURO</v>
          </cell>
          <cell r="AC288">
            <v>0.14154387911294974</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Sales - % Poland</v>
          </cell>
          <cell r="C289" t="str">
            <v>SALES_POLAND</v>
          </cell>
          <cell r="AC289">
            <v>0</v>
          </cell>
          <cell r="AD289">
            <v>0</v>
          </cell>
          <cell r="AE289">
            <v>0</v>
          </cell>
          <cell r="AF289">
            <v>0</v>
          </cell>
          <cell r="AG289">
            <v>0</v>
          </cell>
          <cell r="AH289">
            <v>0</v>
          </cell>
          <cell r="AI289">
            <v>1.3454348205118271E-2</v>
          </cell>
          <cell r="AJ289">
            <v>1.3454348205118271E-2</v>
          </cell>
          <cell r="AK289">
            <v>1.3454348205118271E-2</v>
          </cell>
          <cell r="AL289">
            <v>1.3454348205118271E-2</v>
          </cell>
          <cell r="AM289">
            <v>1.3454348205118271E-2</v>
          </cell>
          <cell r="AN289">
            <v>1.3454348205118271E-2</v>
          </cell>
          <cell r="AO289">
            <v>1.3454348205118271E-2</v>
          </cell>
          <cell r="AP289">
            <v>1.3454348205118271E-2</v>
          </cell>
        </row>
        <row r="290">
          <cell r="B290" t="str">
            <v>Sales - % Russia</v>
          </cell>
          <cell r="C290" t="str">
            <v>SALES_RUSSIA</v>
          </cell>
          <cell r="U290">
            <v>2.523040994203261E-2</v>
          </cell>
          <cell r="V290">
            <v>2.523040994203261E-2</v>
          </cell>
          <cell r="W290">
            <v>2.523040994203261E-2</v>
          </cell>
          <cell r="X290">
            <v>2.523040994203261E-2</v>
          </cell>
          <cell r="Y290">
            <v>3.9409483297885649E-2</v>
          </cell>
          <cell r="Z290">
            <v>3.6453166210951675E-2</v>
          </cell>
          <cell r="AA290">
            <v>3.5659623315335232E-2</v>
          </cell>
          <cell r="AB290">
            <v>3.143237016512905E-2</v>
          </cell>
          <cell r="AC290">
            <v>2.8770203963825285E-2</v>
          </cell>
          <cell r="AD290">
            <v>3.0702870367004715E-2</v>
          </cell>
          <cell r="AE290">
            <v>2.7374919913798125E-2</v>
          </cell>
          <cell r="AF290">
            <v>3.4235405196620598E-2</v>
          </cell>
          <cell r="AG290">
            <v>3.4769396765279049E-2</v>
          </cell>
          <cell r="AH290">
            <v>2.8530171898424495E-2</v>
          </cell>
          <cell r="AI290">
            <v>4.5322458784556076E-2</v>
          </cell>
          <cell r="AJ290">
            <v>4.5322458784556076E-2</v>
          </cell>
          <cell r="AK290">
            <v>4.5322458784556076E-2</v>
          </cell>
          <cell r="AL290">
            <v>4.5322458784556076E-2</v>
          </cell>
          <cell r="AM290">
            <v>4.5322458784556076E-2</v>
          </cell>
          <cell r="AN290">
            <v>4.5322458784556076E-2</v>
          </cell>
          <cell r="AO290">
            <v>4.5322458784556076E-2</v>
          </cell>
          <cell r="AP290">
            <v>4.5322458784556076E-2</v>
          </cell>
        </row>
        <row r="291">
          <cell r="B291" t="str">
            <v>Sales - % Turkey</v>
          </cell>
          <cell r="C291" t="str">
            <v>SALES_TURKEY</v>
          </cell>
          <cell r="AC291">
            <v>2.8770203963825285E-2</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B292" t="str">
            <v>Sales - % Other CEE</v>
          </cell>
          <cell r="C292" t="str">
            <v>SALES_OTH_CEE</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B293" t="str">
            <v>Sales - % Saudi Arabia</v>
          </cell>
          <cell r="C293" t="str">
            <v>SALES_SAUDI_ARABIA</v>
          </cell>
          <cell r="AC293">
            <v>4.0000000000000008E-2</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Sales - % United Arab Emirates</v>
          </cell>
          <cell r="C294" t="str">
            <v>SALES_UAE</v>
          </cell>
          <cell r="AC294">
            <v>0</v>
          </cell>
          <cell r="AD294">
            <v>0</v>
          </cell>
          <cell r="AE294">
            <v>0</v>
          </cell>
          <cell r="AF294">
            <v>0</v>
          </cell>
          <cell r="AG294">
            <v>0</v>
          </cell>
          <cell r="AH294">
            <v>0</v>
          </cell>
          <cell r="AI294">
            <v>0</v>
          </cell>
          <cell r="AJ294">
            <v>0.03</v>
          </cell>
          <cell r="AK294">
            <v>0.03</v>
          </cell>
          <cell r="AL294">
            <v>0.03</v>
          </cell>
          <cell r="AM294">
            <v>0.03</v>
          </cell>
          <cell r="AN294">
            <v>0.03</v>
          </cell>
          <cell r="AO294">
            <v>0.03</v>
          </cell>
          <cell r="AP294">
            <v>0.03</v>
          </cell>
        </row>
        <row r="295">
          <cell r="B295" t="str">
            <v>Sales - % Other Middle East</v>
          </cell>
          <cell r="C295" t="str">
            <v>SALES_OTH_ME</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row>
        <row r="296">
          <cell r="B296" t="str">
            <v>Sales - % Nigeria</v>
          </cell>
          <cell r="C296" t="str">
            <v>SALES_NIGERIA</v>
          </cell>
          <cell r="AC296">
            <v>3.7626237038538186E-2</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B297" t="str">
            <v>Sales - % South Africa</v>
          </cell>
          <cell r="C297" t="str">
            <v>SALES_SO_AFRICA</v>
          </cell>
          <cell r="U297">
            <v>4.9585053588556652E-2</v>
          </cell>
          <cell r="V297">
            <v>4.9585053588556652E-2</v>
          </cell>
          <cell r="W297">
            <v>4.9585053588556652E-2</v>
          </cell>
          <cell r="X297">
            <v>4.9585053588556652E-2</v>
          </cell>
          <cell r="Y297">
            <v>2.3756898397208667E-2</v>
          </cell>
          <cell r="Z297">
            <v>2.8226099160355216E-2</v>
          </cell>
          <cell r="AA297">
            <v>2.9176055439819736E-2</v>
          </cell>
          <cell r="AB297">
            <v>3.3533274467415684E-2</v>
          </cell>
          <cell r="AC297">
            <v>0</v>
          </cell>
          <cell r="AD297">
            <v>3.5791743908497209E-2</v>
          </cell>
          <cell r="AE297">
            <v>3.4702079329023243E-2</v>
          </cell>
          <cell r="AF297">
            <v>3.3548735178350268E-2</v>
          </cell>
          <cell r="AG297">
            <v>7.8688055313948499E-2</v>
          </cell>
          <cell r="AH297">
            <v>7.2806202691143879E-2</v>
          </cell>
          <cell r="AI297">
            <v>3.2507410062186402E-2</v>
          </cell>
          <cell r="AJ297">
            <v>0.06</v>
          </cell>
          <cell r="AK297">
            <v>0.06</v>
          </cell>
          <cell r="AL297">
            <v>0.06</v>
          </cell>
          <cell r="AM297">
            <v>0.06</v>
          </cell>
          <cell r="AN297">
            <v>0.06</v>
          </cell>
          <cell r="AO297">
            <v>0.06</v>
          </cell>
          <cell r="AP297">
            <v>0.06</v>
          </cell>
        </row>
        <row r="298">
          <cell r="B298" t="str">
            <v>Sales - % Other Africa</v>
          </cell>
          <cell r="C298" t="str">
            <v>SALES_OTH_AFRICA</v>
          </cell>
          <cell r="AC298">
            <v>2.2373762961461811E-2</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Sales - % Hong Kong</v>
          </cell>
          <cell r="C299" t="str">
            <v>SALES_HONG_KONG</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Sales - % Japan</v>
          </cell>
          <cell r="C300" t="str">
            <v>SALES_JAPAN</v>
          </cell>
          <cell r="U300">
            <v>2.2186079486217106E-2</v>
          </cell>
          <cell r="V300">
            <v>2.2186079486217106E-2</v>
          </cell>
          <cell r="W300">
            <v>2.2186079486217106E-2</v>
          </cell>
          <cell r="X300">
            <v>2.2186079486217106E-2</v>
          </cell>
          <cell r="Y300">
            <v>2.2186079486217106E-2</v>
          </cell>
          <cell r="Z300">
            <v>2.5395020204708785E-2</v>
          </cell>
          <cell r="AA300">
            <v>2.420177713532588E-2</v>
          </cell>
          <cell r="AB300">
            <v>2.320129099046981E-2</v>
          </cell>
          <cell r="AC300">
            <v>1.9619617433837014E-2</v>
          </cell>
          <cell r="AD300">
            <v>2.1773108938242886E-2</v>
          </cell>
          <cell r="AE300">
            <v>2.4218067447143107E-2</v>
          </cell>
          <cell r="AF300">
            <v>2.6939536252498369E-2</v>
          </cell>
          <cell r="AG300">
            <v>1.6283704184878945E-2</v>
          </cell>
          <cell r="AH300">
            <v>1.4973281705556118E-2</v>
          </cell>
          <cell r="AI300">
            <v>2.1716809701853967E-2</v>
          </cell>
          <cell r="AJ300">
            <v>0.03</v>
          </cell>
          <cell r="AK300">
            <v>0.03</v>
          </cell>
          <cell r="AL300">
            <v>0.03</v>
          </cell>
          <cell r="AM300">
            <v>0.03</v>
          </cell>
          <cell r="AN300">
            <v>0.03</v>
          </cell>
          <cell r="AO300">
            <v>0.03</v>
          </cell>
          <cell r="AP300">
            <v>0.03</v>
          </cell>
        </row>
        <row r="301">
          <cell r="B301" t="str">
            <v>Sales - % Singapore</v>
          </cell>
          <cell r="C301" t="str">
            <v>SALES_SINGAPORE</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Sales - % South Korea</v>
          </cell>
          <cell r="C302" t="str">
            <v>SALES_SK</v>
          </cell>
          <cell r="AC302">
            <v>0</v>
          </cell>
          <cell r="AD302">
            <v>0</v>
          </cell>
          <cell r="AE302">
            <v>0</v>
          </cell>
          <cell r="AF302">
            <v>0</v>
          </cell>
          <cell r="AG302">
            <v>0</v>
          </cell>
          <cell r="AH302">
            <v>0</v>
          </cell>
          <cell r="AI302">
            <v>1.1081191034309072E-2</v>
          </cell>
          <cell r="AJ302">
            <v>0.02</v>
          </cell>
          <cell r="AK302">
            <v>0.02</v>
          </cell>
          <cell r="AL302">
            <v>0.02</v>
          </cell>
          <cell r="AM302">
            <v>0.02</v>
          </cell>
          <cell r="AN302">
            <v>0.02</v>
          </cell>
          <cell r="AO302">
            <v>0.02</v>
          </cell>
          <cell r="AP302">
            <v>0.02</v>
          </cell>
        </row>
        <row r="303">
          <cell r="B303" t="str">
            <v>Sales - % Taiwan</v>
          </cell>
          <cell r="C303" t="str">
            <v>SALES_TAIWAN</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Sales - % Other Developed Asia</v>
          </cell>
          <cell r="C304" t="str">
            <v>SALES_OTH_DEV_ASIA</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Sales - % China</v>
          </cell>
          <cell r="C305" t="str">
            <v>SALES_CHINA</v>
          </cell>
          <cell r="U305">
            <v>6.7183785812586008E-2</v>
          </cell>
          <cell r="V305">
            <v>6.7183785812586008E-2</v>
          </cell>
          <cell r="W305">
            <v>6.7183785812586008E-2</v>
          </cell>
          <cell r="X305">
            <v>6.7183785812586008E-2</v>
          </cell>
          <cell r="Y305">
            <v>6.7183785812586008E-2</v>
          </cell>
          <cell r="Z305">
            <v>6.7522442954968911E-2</v>
          </cell>
          <cell r="AA305">
            <v>6.9735555461077334E-2</v>
          </cell>
          <cell r="AB305">
            <v>7.2506571669254741E-2</v>
          </cell>
          <cell r="AC305">
            <v>7.2429906542056069E-2</v>
          </cell>
          <cell r="AD305">
            <v>7.7968812475010002E-2</v>
          </cell>
          <cell r="AE305">
            <v>7.4622866794804593E-2</v>
          </cell>
          <cell r="AF305">
            <v>6.8286880924061641E-2</v>
          </cell>
          <cell r="AG305">
            <v>5.8341682539333015E-2</v>
          </cell>
          <cell r="AH305">
            <v>5.9000984116180891E-2</v>
          </cell>
          <cell r="AI305">
            <v>6.8811871597667523E-2</v>
          </cell>
          <cell r="AJ305">
            <v>0.08</v>
          </cell>
          <cell r="AK305">
            <v>0.08</v>
          </cell>
          <cell r="AL305">
            <v>0.08</v>
          </cell>
          <cell r="AM305">
            <v>0.08</v>
          </cell>
          <cell r="AN305">
            <v>0.08</v>
          </cell>
          <cell r="AO305">
            <v>0.08</v>
          </cell>
          <cell r="AP305">
            <v>0.08</v>
          </cell>
        </row>
        <row r="306">
          <cell r="B306" t="str">
            <v>Sales - % India</v>
          </cell>
          <cell r="C306" t="str">
            <v>SALES_INDIA</v>
          </cell>
          <cell r="U306">
            <v>2.5021894157387713E-2</v>
          </cell>
          <cell r="V306">
            <v>2.5021894157387713E-2</v>
          </cell>
          <cell r="W306">
            <v>2.5021894157387713E-2</v>
          </cell>
          <cell r="X306">
            <v>2.5021894157387713E-2</v>
          </cell>
          <cell r="Y306">
            <v>2.9567538262646482E-2</v>
          </cell>
          <cell r="Z306">
            <v>2.6798461054516418E-2</v>
          </cell>
          <cell r="AA306">
            <v>2.7284129076144723E-2</v>
          </cell>
          <cell r="AB306">
            <v>2.5413837550365883E-2</v>
          </cell>
          <cell r="AC306">
            <v>2.1148135208315134E-2</v>
          </cell>
          <cell r="AD306">
            <v>2.2657603625216582E-2</v>
          </cell>
          <cell r="AE306">
            <v>2.6792474809249227E-2</v>
          </cell>
          <cell r="AF306">
            <v>3.1390629406643528E-2</v>
          </cell>
          <cell r="AG306">
            <v>3.4670307287480592E-2</v>
          </cell>
          <cell r="AH306">
            <v>3.0342049352966603E-2</v>
          </cell>
          <cell r="AI306">
            <v>3.7670237703171315E-2</v>
          </cell>
          <cell r="AJ306">
            <v>0.04</v>
          </cell>
          <cell r="AK306">
            <v>0.04</v>
          </cell>
          <cell r="AL306">
            <v>0.04</v>
          </cell>
          <cell r="AM306">
            <v>0.04</v>
          </cell>
          <cell r="AN306">
            <v>0.04</v>
          </cell>
          <cell r="AO306">
            <v>0.04</v>
          </cell>
          <cell r="AP306">
            <v>0.04</v>
          </cell>
        </row>
        <row r="307">
          <cell r="B307" t="str">
            <v>Sales - % Indonesia</v>
          </cell>
          <cell r="C307" t="str">
            <v>SALES_INDONESIA</v>
          </cell>
          <cell r="AC307">
            <v>0</v>
          </cell>
          <cell r="AD307">
            <v>0</v>
          </cell>
          <cell r="AE307">
            <v>0</v>
          </cell>
          <cell r="AF307">
            <v>0</v>
          </cell>
          <cell r="AG307">
            <v>0</v>
          </cell>
          <cell r="AH307">
            <v>0</v>
          </cell>
          <cell r="AI307">
            <v>2.0447897092155991E-2</v>
          </cell>
          <cell r="AJ307">
            <v>0.03</v>
          </cell>
          <cell r="AK307">
            <v>0.03</v>
          </cell>
          <cell r="AL307">
            <v>0.03</v>
          </cell>
          <cell r="AM307">
            <v>0.03</v>
          </cell>
          <cell r="AN307">
            <v>0.03</v>
          </cell>
          <cell r="AO307">
            <v>0.03</v>
          </cell>
          <cell r="AP307">
            <v>0.03</v>
          </cell>
        </row>
        <row r="308">
          <cell r="B308" t="str">
            <v>Sales - % Thailand</v>
          </cell>
          <cell r="C308" t="str">
            <v>SALES_THAILAND</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Sales - % Other Emerging Asia</v>
          </cell>
          <cell r="C309" t="str">
            <v>SALES_OTH_EMERG_ASIA</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Sales - % Australia</v>
          </cell>
          <cell r="C310" t="str">
            <v>SALES_AUSTRA</v>
          </cell>
          <cell r="AC310">
            <v>0.05</v>
          </cell>
          <cell r="AD310">
            <v>5.3057564852846739E-2</v>
          </cell>
          <cell r="AE310">
            <v>4.222727007979498E-2</v>
          </cell>
          <cell r="AF310">
            <v>5.2554780326903971E-2</v>
          </cell>
          <cell r="AG310">
            <v>0.15298314377883229</v>
          </cell>
          <cell r="AH310">
            <v>0.13154046373026018</v>
          </cell>
          <cell r="AI310">
            <v>0.13154046373026018</v>
          </cell>
          <cell r="AJ310">
            <v>0.09</v>
          </cell>
          <cell r="AK310">
            <v>0.09</v>
          </cell>
          <cell r="AL310">
            <v>0.09</v>
          </cell>
          <cell r="AM310">
            <v>0.09</v>
          </cell>
          <cell r="AN310">
            <v>0.09</v>
          </cell>
          <cell r="AO310">
            <v>0.09</v>
          </cell>
          <cell r="AP310">
            <v>0.09</v>
          </cell>
        </row>
        <row r="311">
          <cell r="B311" t="str">
            <v>Sales - % New Zealand</v>
          </cell>
          <cell r="C311" t="str">
            <v>SALES_NZ</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B312" t="str">
            <v>Sales - % Others</v>
          </cell>
          <cell r="C312" t="str">
            <v>SALES_OTHER</v>
          </cell>
          <cell r="AC312">
            <v>0</v>
          </cell>
          <cell r="AD312">
            <v>0.31566767232500936</v>
          </cell>
          <cell r="AE312">
            <v>0.31951773545343354</v>
          </cell>
          <cell r="AF312">
            <v>0.29936360403663898</v>
          </cell>
          <cell r="AG312">
            <v>4.0065178856507511E-2</v>
          </cell>
          <cell r="AH312">
            <v>0.11642002446494426</v>
          </cell>
          <cell r="AI312">
            <v>0.11069072278636571</v>
          </cell>
          <cell r="AJ312">
            <v>1.7465112009176886E-2</v>
          </cell>
          <cell r="AK312">
            <v>1.7465112009176886E-2</v>
          </cell>
          <cell r="AL312">
            <v>1.7465112009176886E-2</v>
          </cell>
          <cell r="AM312">
            <v>1.7465112009176886E-2</v>
          </cell>
          <cell r="AN312">
            <v>1.7465112009176886E-2</v>
          </cell>
          <cell r="AO312">
            <v>1.7465112009176886E-2</v>
          </cell>
          <cell r="AP312">
            <v>1.7465112009176886E-2</v>
          </cell>
        </row>
        <row r="313">
          <cell r="B313" t="str">
            <v>% of CoGS from U.S. (GS estimate)</v>
          </cell>
          <cell r="C313" t="str">
            <v>COGS_PCT_US</v>
          </cell>
          <cell r="AD313">
            <v>0.1307885085640926</v>
          </cell>
          <cell r="AE313">
            <v>0.1307885085640926</v>
          </cell>
          <cell r="AF313">
            <v>0.1307885085640926</v>
          </cell>
          <cell r="AG313">
            <v>0.1307885085640926</v>
          </cell>
          <cell r="AH313">
            <v>0.1307885085640926</v>
          </cell>
          <cell r="AI313">
            <v>0.1307885085640926</v>
          </cell>
          <cell r="AJ313">
            <v>0.1307885085640926</v>
          </cell>
          <cell r="AK313">
            <v>0.1307885085640926</v>
          </cell>
          <cell r="AL313">
            <v>0.1307885085640926</v>
          </cell>
          <cell r="AM313">
            <v>0.1307885085640926</v>
          </cell>
          <cell r="AN313">
            <v>0.1307885085640926</v>
          </cell>
          <cell r="AO313">
            <v>0.1307885085640926</v>
          </cell>
          <cell r="AP313">
            <v>0.1307885085640926</v>
          </cell>
        </row>
        <row r="314">
          <cell r="B314" t="str">
            <v>% of CoGS from non-U.S. (GS estimate)</v>
          </cell>
          <cell r="C314" t="str">
            <v>COGS_PCT_ROW</v>
          </cell>
          <cell r="AD314">
            <v>0.86921149143590737</v>
          </cell>
          <cell r="AE314">
            <v>0.86921149143590737</v>
          </cell>
          <cell r="AF314">
            <v>0.86921149143590737</v>
          </cell>
          <cell r="AG314">
            <v>0.86921149143590737</v>
          </cell>
          <cell r="AH314">
            <v>0.86921149143590737</v>
          </cell>
          <cell r="AI314">
            <v>0.86921149143590737</v>
          </cell>
          <cell r="AJ314">
            <v>0.86921149143590737</v>
          </cell>
          <cell r="AK314">
            <v>0.86921149143590737</v>
          </cell>
          <cell r="AL314">
            <v>0.86921149143590737</v>
          </cell>
          <cell r="AM314">
            <v>0.86921149143590737</v>
          </cell>
          <cell r="AN314">
            <v>0.86921149143590737</v>
          </cell>
          <cell r="AO314">
            <v>0.86921149143590737</v>
          </cell>
          <cell r="AP314">
            <v>0.86921149143590737</v>
          </cell>
        </row>
        <row r="315">
          <cell r="B315" t="str">
            <v>% of SG&amp;A from U.S. (GS estimate)</v>
          </cell>
          <cell r="C315" t="str">
            <v>SGA_PCT_US</v>
          </cell>
          <cell r="AD315">
            <v>0.148447036596</v>
          </cell>
          <cell r="AE315">
            <v>0.148447036596</v>
          </cell>
          <cell r="AF315">
            <v>0.148447036596</v>
          </cell>
          <cell r="AG315">
            <v>0.148447036596</v>
          </cell>
          <cell r="AH315">
            <v>0.148447036596</v>
          </cell>
          <cell r="AI315">
            <v>0.148447036596</v>
          </cell>
          <cell r="AJ315">
            <v>0.148447036596</v>
          </cell>
          <cell r="AK315">
            <v>0.148447036596</v>
          </cell>
          <cell r="AL315">
            <v>0.148447036596</v>
          </cell>
          <cell r="AM315">
            <v>0.148447036596</v>
          </cell>
          <cell r="AN315">
            <v>0.148447036596</v>
          </cell>
          <cell r="AO315">
            <v>0.148447036596</v>
          </cell>
          <cell r="AP315">
            <v>0.148447036596</v>
          </cell>
        </row>
        <row r="316">
          <cell r="B316" t="str">
            <v>% of SG&amp;A from non-U.S. (GS estimate)</v>
          </cell>
          <cell r="C316" t="str">
            <v>SGA_PCT_ROW</v>
          </cell>
          <cell r="AD316">
            <v>0.851552963404</v>
          </cell>
          <cell r="AE316">
            <v>0.851552963404</v>
          </cell>
          <cell r="AF316">
            <v>0.851552963404</v>
          </cell>
          <cell r="AG316">
            <v>0.851552963404</v>
          </cell>
          <cell r="AH316">
            <v>0.851552963404</v>
          </cell>
          <cell r="AI316">
            <v>0.851552963404</v>
          </cell>
          <cell r="AJ316">
            <v>0.851552963404</v>
          </cell>
          <cell r="AK316">
            <v>0.851552963404</v>
          </cell>
          <cell r="AL316">
            <v>0.851552963404</v>
          </cell>
          <cell r="AM316">
            <v>0.851552963404</v>
          </cell>
          <cell r="AN316">
            <v>0.851552963404</v>
          </cell>
          <cell r="AO316">
            <v>0.851552963404</v>
          </cell>
          <cell r="AP316">
            <v>0.851552963404</v>
          </cell>
        </row>
        <row r="317">
          <cell r="B317" t="str">
            <v>Sales -% Consumer (C)</v>
          </cell>
          <cell r="C317" t="str">
            <v>SALES_CONS</v>
          </cell>
          <cell r="Y317">
            <v>0.19</v>
          </cell>
          <cell r="Z317">
            <v>0.19</v>
          </cell>
          <cell r="AA317">
            <v>0.19</v>
          </cell>
          <cell r="AB317">
            <v>0.19</v>
          </cell>
          <cell r="AC317">
            <v>0.19</v>
          </cell>
          <cell r="AD317">
            <v>0.19</v>
          </cell>
          <cell r="AE317">
            <v>0.19</v>
          </cell>
          <cell r="AF317">
            <v>0.19</v>
          </cell>
          <cell r="AG317">
            <v>0.19</v>
          </cell>
          <cell r="AH317">
            <v>0.19</v>
          </cell>
          <cell r="AI317">
            <v>0.19</v>
          </cell>
          <cell r="AJ317">
            <v>0.19</v>
          </cell>
          <cell r="AK317">
            <v>0.19</v>
          </cell>
          <cell r="AL317">
            <v>0.19</v>
          </cell>
          <cell r="AM317">
            <v>0.19</v>
          </cell>
          <cell r="AN317">
            <v>0.19</v>
          </cell>
          <cell r="AO317">
            <v>0.19</v>
          </cell>
          <cell r="AP317">
            <v>0.19</v>
          </cell>
        </row>
        <row r="318">
          <cell r="B318" t="str">
            <v>Sales -% Industry (I)</v>
          </cell>
          <cell r="C318" t="str">
            <v>SALES_IND</v>
          </cell>
          <cell r="Y318">
            <v>0.81</v>
          </cell>
          <cell r="Z318">
            <v>0.81</v>
          </cell>
          <cell r="AA318">
            <v>0.81</v>
          </cell>
          <cell r="AB318">
            <v>0.81</v>
          </cell>
          <cell r="AC318">
            <v>0.81</v>
          </cell>
          <cell r="AD318">
            <v>0.81</v>
          </cell>
          <cell r="AE318">
            <v>0.81</v>
          </cell>
          <cell r="AF318">
            <v>0.81</v>
          </cell>
          <cell r="AG318">
            <v>0.81</v>
          </cell>
          <cell r="AH318">
            <v>0.81</v>
          </cell>
          <cell r="AI318">
            <v>0.81</v>
          </cell>
          <cell r="AJ318">
            <v>0.81</v>
          </cell>
          <cell r="AK318">
            <v>0.81</v>
          </cell>
          <cell r="AL318">
            <v>0.81</v>
          </cell>
          <cell r="AM318">
            <v>0.81</v>
          </cell>
          <cell r="AN318">
            <v>0.81</v>
          </cell>
          <cell r="AO318">
            <v>0.81</v>
          </cell>
          <cell r="AP318">
            <v>0.81</v>
          </cell>
        </row>
        <row r="319">
          <cell r="B319" t="str">
            <v>Sales -% Government (G)</v>
          </cell>
          <cell r="C319" t="str">
            <v>SALES_GOV</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B320" t="str">
            <v>Sales - % Industry Sub-Segment: Financial Services</v>
          </cell>
          <cell r="C320" t="str">
            <v>SALES_FINAN</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cell r="AB323">
            <v>0</v>
          </cell>
        </row>
        <row r="324">
          <cell r="B324" t="str">
            <v>Sales - % Oil derivatives/NGLs/plastics</v>
          </cell>
          <cell r="C324" t="str">
            <v>SALES_OIL_DERIV_NGLS_PLASTICS</v>
          </cell>
          <cell r="AB324">
            <v>0</v>
          </cell>
        </row>
        <row r="325">
          <cell r="B325" t="str">
            <v>Sales - % Nat Gas</v>
          </cell>
          <cell r="C325" t="str">
            <v>SALES_NAT_GAS</v>
          </cell>
          <cell r="AB325">
            <v>0</v>
          </cell>
        </row>
        <row r="326">
          <cell r="B326" t="str">
            <v>Sales - % Gold</v>
          </cell>
          <cell r="C326" t="str">
            <v>SALES_GOLD</v>
          </cell>
          <cell r="AB326">
            <v>9.9900000000000003E-2</v>
          </cell>
        </row>
        <row r="327">
          <cell r="B327" t="str">
            <v>Sales - % Copper</v>
          </cell>
          <cell r="C327" t="str">
            <v>SALES_COPPER</v>
          </cell>
          <cell r="AB327">
            <v>9.6200000000000008E-2</v>
          </cell>
        </row>
        <row r="328">
          <cell r="B328" t="str">
            <v>Sales - % Silver</v>
          </cell>
          <cell r="C328" t="str">
            <v>SALES_SILVER</v>
          </cell>
          <cell r="AB328">
            <v>0</v>
          </cell>
        </row>
        <row r="329">
          <cell r="B329" t="str">
            <v>Sales - % Platinum</v>
          </cell>
          <cell r="C329" t="str">
            <v>SALES_PLATINUM</v>
          </cell>
          <cell r="AB329">
            <v>2.2199999999999998E-2</v>
          </cell>
        </row>
        <row r="330">
          <cell r="B330" t="str">
            <v>Sales - % Palladium</v>
          </cell>
          <cell r="C330" t="str">
            <v>SALES_PALLADIUM</v>
          </cell>
          <cell r="AB330">
            <v>0</v>
          </cell>
        </row>
        <row r="331">
          <cell r="B331" t="str">
            <v>Sales - % Aluminium</v>
          </cell>
          <cell r="C331" t="str">
            <v>SALES_ALUMINIUM</v>
          </cell>
          <cell r="AB331">
            <v>0</v>
          </cell>
        </row>
        <row r="332">
          <cell r="B332" t="str">
            <v>Sales - % Nickel</v>
          </cell>
          <cell r="C332" t="str">
            <v>SALES_NICKEL</v>
          </cell>
          <cell r="AB332">
            <v>0</v>
          </cell>
        </row>
        <row r="333">
          <cell r="B333" t="str">
            <v>Sales - % Zinc</v>
          </cell>
          <cell r="C333" t="str">
            <v>SALES_ZINC</v>
          </cell>
          <cell r="AB333">
            <v>0</v>
          </cell>
        </row>
        <row r="334">
          <cell r="B334" t="str">
            <v>Sales - % Steel</v>
          </cell>
          <cell r="C334" t="str">
            <v>SALES_STEEL</v>
          </cell>
          <cell r="AB334">
            <v>0</v>
          </cell>
        </row>
        <row r="335">
          <cell r="B335" t="str">
            <v>Sales - % Tin</v>
          </cell>
          <cell r="C335" t="str">
            <v>SALES_TIN</v>
          </cell>
          <cell r="AB335">
            <v>0</v>
          </cell>
        </row>
        <row r="336">
          <cell r="B336" t="str">
            <v>Sales - % Iron Ore</v>
          </cell>
          <cell r="C336" t="str">
            <v>SALES_IRON_ORE</v>
          </cell>
          <cell r="AB336">
            <v>6.2899999999999998E-2</v>
          </cell>
        </row>
        <row r="337">
          <cell r="B337" t="str">
            <v>Sales - % Ferrochrome</v>
          </cell>
          <cell r="C337" t="str">
            <v>SALES_FERROCHROME</v>
          </cell>
          <cell r="AB337">
            <v>0</v>
          </cell>
        </row>
        <row r="338">
          <cell r="B338" t="str">
            <v>Sales - % Diamonds</v>
          </cell>
          <cell r="C338" t="str">
            <v>SALES_DIAMONDS</v>
          </cell>
          <cell r="AB338">
            <v>0</v>
          </cell>
        </row>
        <row r="339">
          <cell r="B339" t="str">
            <v>Sales - % Coal: thermal</v>
          </cell>
          <cell r="C339" t="str">
            <v>SALES_COAL_THERMAL</v>
          </cell>
          <cell r="AB339">
            <v>4.07E-2</v>
          </cell>
        </row>
        <row r="340">
          <cell r="B340" t="str">
            <v>Sales - % Coal: Metallurgical</v>
          </cell>
          <cell r="C340" t="str">
            <v>SALES_COAL_MET</v>
          </cell>
          <cell r="AB340">
            <v>4.07E-2</v>
          </cell>
        </row>
        <row r="341">
          <cell r="B341" t="str">
            <v>Sales - % Paper/pulp</v>
          </cell>
          <cell r="C341" t="str">
            <v>SALES_PAPER_PULP</v>
          </cell>
          <cell r="AB341">
            <v>0</v>
          </cell>
        </row>
        <row r="342">
          <cell r="B342" t="str">
            <v>Sales - % Glass</v>
          </cell>
          <cell r="C342" t="str">
            <v>SALES_GLASS</v>
          </cell>
          <cell r="AB342">
            <v>0</v>
          </cell>
        </row>
        <row r="343">
          <cell r="B343" t="str">
            <v>Sales - % Cement</v>
          </cell>
          <cell r="C343" t="str">
            <v>SALES_CEMENT</v>
          </cell>
          <cell r="AB343">
            <v>0</v>
          </cell>
        </row>
        <row r="344">
          <cell r="B344" t="str">
            <v>Sales - % Palm oil</v>
          </cell>
          <cell r="C344" t="str">
            <v>SALES_PALM_OIL</v>
          </cell>
          <cell r="AB344">
            <v>0</v>
          </cell>
        </row>
        <row r="345">
          <cell r="B345" t="str">
            <v>Sales - % Other commodity</v>
          </cell>
          <cell r="C345" t="str">
            <v>SALES_OTH_COMMODITY</v>
          </cell>
          <cell r="AB345">
            <v>7.3999999999999483E-3</v>
          </cell>
        </row>
        <row r="346">
          <cell r="B346" t="str">
            <v>Sales - % Other (Non-Commodity) sales sources</v>
          </cell>
          <cell r="C346" t="str">
            <v>SALES_OTH_SALES_SOURCES</v>
          </cell>
          <cell r="AB346">
            <v>0.63</v>
          </cell>
        </row>
        <row r="347">
          <cell r="A347" t="str">
            <v>Commodities Exposure - Expense</v>
          </cell>
        </row>
        <row r="348">
          <cell r="B348" t="str">
            <v>Expense - % Oil/Petrol/Fuel</v>
          </cell>
          <cell r="C348" t="str">
            <v>EXP_OIL_PETRO_FUEL</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Expense - % Oil derivatives/NGLs/plastics</v>
          </cell>
          <cell r="C349" t="str">
            <v>EXP_OIL_DERIV_NGLS_PLASTICS</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Expense - % Nat Gas</v>
          </cell>
          <cell r="C350" t="str">
            <v>EXP_NAT_GAS</v>
          </cell>
          <cell r="AB350">
            <v>0</v>
          </cell>
        </row>
        <row r="351">
          <cell r="B351" t="str">
            <v>Expense - % Gold</v>
          </cell>
          <cell r="C351" t="str">
            <v>EXP_GOLD</v>
          </cell>
          <cell r="AB351">
            <v>0</v>
          </cell>
        </row>
        <row r="352">
          <cell r="B352" t="str">
            <v>Expense - % Copper</v>
          </cell>
          <cell r="C352" t="str">
            <v>EXP_COPPER</v>
          </cell>
          <cell r="AB352">
            <v>0</v>
          </cell>
        </row>
        <row r="353">
          <cell r="B353" t="str">
            <v>Expense - % Silver</v>
          </cell>
          <cell r="C353" t="str">
            <v>EXP_SILVER</v>
          </cell>
          <cell r="AB353">
            <v>0</v>
          </cell>
        </row>
        <row r="354">
          <cell r="B354" t="str">
            <v>Expense - % Platinum</v>
          </cell>
          <cell r="C354" t="str">
            <v>EXP_PLATINUM</v>
          </cell>
          <cell r="AB354">
            <v>0</v>
          </cell>
        </row>
        <row r="355">
          <cell r="B355" t="str">
            <v>Expense - % Palladium</v>
          </cell>
          <cell r="C355" t="str">
            <v>EXP_PALLADIUM</v>
          </cell>
          <cell r="AB355">
            <v>0</v>
          </cell>
        </row>
        <row r="356">
          <cell r="B356" t="str">
            <v>Expense - % Aluminium</v>
          </cell>
          <cell r="C356" t="str">
            <v>EXP_ALUMINIUM</v>
          </cell>
          <cell r="AB356">
            <v>0</v>
          </cell>
        </row>
        <row r="357">
          <cell r="B357" t="str">
            <v>Expense - % Nickel</v>
          </cell>
          <cell r="C357" t="str">
            <v>EXP_NICKEL</v>
          </cell>
          <cell r="AB357">
            <v>0</v>
          </cell>
        </row>
        <row r="358">
          <cell r="B358" t="str">
            <v>Expense - % Zinc</v>
          </cell>
          <cell r="C358" t="str">
            <v>EXP_ZINC</v>
          </cell>
          <cell r="AB358">
            <v>0</v>
          </cell>
        </row>
        <row r="359">
          <cell r="B359" t="str">
            <v>Expense - % Steel</v>
          </cell>
          <cell r="C359" t="str">
            <v>EXP_STEEL</v>
          </cell>
          <cell r="AB359">
            <v>0</v>
          </cell>
        </row>
        <row r="360">
          <cell r="B360" t="str">
            <v>Expense - % Tin</v>
          </cell>
          <cell r="C360" t="str">
            <v>EXP_TIN</v>
          </cell>
          <cell r="AB360">
            <v>0</v>
          </cell>
        </row>
        <row r="361">
          <cell r="B361" t="str">
            <v>Expense - % Iron Ore</v>
          </cell>
          <cell r="C361" t="str">
            <v>EXP_IRON_ORE</v>
          </cell>
          <cell r="AB361">
            <v>0</v>
          </cell>
        </row>
        <row r="362">
          <cell r="B362" t="str">
            <v>Expense - % Ferrochrome</v>
          </cell>
          <cell r="C362" t="str">
            <v>EXP_FERROCHROME</v>
          </cell>
          <cell r="AB362">
            <v>0</v>
          </cell>
        </row>
        <row r="363">
          <cell r="B363" t="str">
            <v>Expense - % Diamonds</v>
          </cell>
          <cell r="C363" t="str">
            <v>EXP_DIAMONDS</v>
          </cell>
          <cell r="AB363">
            <v>0</v>
          </cell>
        </row>
        <row r="364">
          <cell r="B364" t="str">
            <v>Expense - % Paper/pulp</v>
          </cell>
          <cell r="C364" t="str">
            <v>EXP_PAPER_PULP</v>
          </cell>
          <cell r="AB364">
            <v>0</v>
          </cell>
        </row>
        <row r="365">
          <cell r="B365" t="str">
            <v>Expense - % Lumber</v>
          </cell>
          <cell r="C365" t="str">
            <v>EXP_LUMBER</v>
          </cell>
          <cell r="AB365">
            <v>0</v>
          </cell>
        </row>
        <row r="366">
          <cell r="B366" t="str">
            <v>Expense - % Glass</v>
          </cell>
          <cell r="C366" t="str">
            <v>EXP_GLASS</v>
          </cell>
          <cell r="AB366">
            <v>0</v>
          </cell>
        </row>
        <row r="367">
          <cell r="B367" t="str">
            <v>Expense - % Cement</v>
          </cell>
          <cell r="C367" t="str">
            <v>EXP_CEMENT</v>
          </cell>
          <cell r="AB367">
            <v>0</v>
          </cell>
        </row>
        <row r="368">
          <cell r="B368" t="str">
            <v>Expense - % Rubber</v>
          </cell>
          <cell r="C368" t="str">
            <v>EXP_RUBBER</v>
          </cell>
          <cell r="AB368">
            <v>0</v>
          </cell>
        </row>
        <row r="369">
          <cell r="B369" t="str">
            <v>Expense - % Water</v>
          </cell>
          <cell r="C369" t="str">
            <v>EXP_WATER</v>
          </cell>
          <cell r="AB369">
            <v>0</v>
          </cell>
        </row>
        <row r="370">
          <cell r="B370" t="str">
            <v>Expense - % Other commodity</v>
          </cell>
          <cell r="C370" t="str">
            <v>EXP_OTH_COMMODITY</v>
          </cell>
          <cell r="AB370">
            <v>0</v>
          </cell>
        </row>
        <row r="371">
          <cell r="B371" t="str">
            <v>Expense - % Other (Non-Commodity) cost</v>
          </cell>
          <cell r="C371" t="str">
            <v>EXP_OTH_COST</v>
          </cell>
          <cell r="AB371">
            <v>1</v>
          </cell>
        </row>
        <row r="372">
          <cell r="A372" t="str">
            <v>FX Exposure - Sales</v>
          </cell>
        </row>
        <row r="373">
          <cell r="B373" t="str">
            <v>Sales - % FX: British Pounds/Pence</v>
          </cell>
          <cell r="C373" t="str">
            <v>SALES_FX_GPB</v>
          </cell>
        </row>
        <row r="374">
          <cell r="B374" t="str">
            <v>Sales - % FX: Euro</v>
          </cell>
          <cell r="C374" t="str">
            <v>SALES_FX_EUR</v>
          </cell>
          <cell r="N374">
            <v>0.55351415094339629</v>
          </cell>
          <cell r="O374">
            <v>0.54127226463104328</v>
          </cell>
          <cell r="P374">
            <v>0.5137828571428571</v>
          </cell>
          <cell r="Q374">
            <v>0.52709611451942739</v>
          </cell>
          <cell r="R374">
            <v>0.53899383983572902</v>
          </cell>
          <cell r="S374">
            <v>0.5441712763777915</v>
          </cell>
          <cell r="T374">
            <v>0.54193371177440031</v>
          </cell>
          <cell r="U374">
            <v>0.51637999053179739</v>
          </cell>
          <cell r="V374">
            <v>0.52422913582979425</v>
          </cell>
          <cell r="W374">
            <v>0.53765433528689566</v>
          </cell>
          <cell r="X374">
            <v>0.53599412869385021</v>
          </cell>
          <cell r="Y374">
            <v>0.49678899082568806</v>
          </cell>
          <cell r="Z374">
            <v>0.4786085904416213</v>
          </cell>
          <cell r="AA374">
            <v>0.48252625313549596</v>
          </cell>
          <cell r="AB374">
            <v>0.44282789838524694</v>
          </cell>
          <cell r="AC374">
            <v>0.47249292887652161</v>
          </cell>
          <cell r="AD374">
            <v>0.47473811139657768</v>
          </cell>
          <cell r="AE374">
            <v>0.47856417277829555</v>
          </cell>
          <cell r="AF374">
            <v>0.49471054485843802</v>
          </cell>
          <cell r="AG374">
            <v>0.49</v>
          </cell>
          <cell r="AH374">
            <v>0.47</v>
          </cell>
          <cell r="AI374">
            <v>0.45999999999999996</v>
          </cell>
          <cell r="AJ374">
            <v>0.44239204657245701</v>
          </cell>
          <cell r="AK374">
            <v>0.43322166612851148</v>
          </cell>
          <cell r="AL374">
            <v>0.43322166612851148</v>
          </cell>
          <cell r="AM374">
            <v>0.43322166612851148</v>
          </cell>
          <cell r="AN374">
            <v>0.43322166612851148</v>
          </cell>
          <cell r="AO374">
            <v>0.43322166612851148</v>
          </cell>
          <cell r="AP374">
            <v>0.43322166612851148</v>
          </cell>
        </row>
        <row r="375">
          <cell r="B375" t="str">
            <v>Sales - % FX: New Russian Ruble</v>
          </cell>
          <cell r="C375" t="str">
            <v>SALES_FX_RUB</v>
          </cell>
        </row>
        <row r="376">
          <cell r="B376" t="str">
            <v>Sales - % FX: U.S. Dollar</v>
          </cell>
          <cell r="C376" t="str">
            <v>SALES_FX_USD</v>
          </cell>
          <cell r="O376">
            <v>0.25323155216284987</v>
          </cell>
          <cell r="P376">
            <v>0.25766857142857141</v>
          </cell>
          <cell r="Q376">
            <v>0.23605316973415133</v>
          </cell>
          <cell r="R376">
            <v>0.22845995893223819</v>
          </cell>
          <cell r="S376">
            <v>0.21040770333947961</v>
          </cell>
          <cell r="T376">
            <v>0.19503753891228712</v>
          </cell>
          <cell r="U376">
            <v>0.19951080953132397</v>
          </cell>
          <cell r="V376">
            <v>0.19250508376101483</v>
          </cell>
          <cell r="W376">
            <v>0.17258912645648497</v>
          </cell>
          <cell r="X376">
            <v>0.16002547110756146</v>
          </cell>
          <cell r="Y376">
            <v>0.16269113149847095</v>
          </cell>
          <cell r="Z376">
            <v>0.16625529340592862</v>
          </cell>
          <cell r="AA376">
            <v>0.1657348752178904</v>
          </cell>
          <cell r="AB376">
            <v>0.17981650072567468</v>
          </cell>
          <cell r="AC376">
            <v>0.17995316454246679</v>
          </cell>
          <cell r="AD376">
            <v>0.19282563381647197</v>
          </cell>
          <cell r="AE376">
            <v>0.2095476529498379</v>
          </cell>
          <cell r="AF376">
            <v>0.20168648816556203</v>
          </cell>
          <cell r="AG376">
            <v>0.2</v>
          </cell>
          <cell r="AH376">
            <v>0.21</v>
          </cell>
          <cell r="AI376">
            <v>0.23</v>
          </cell>
          <cell r="AJ376">
            <v>0.22039743990370705</v>
          </cell>
          <cell r="AK376">
            <v>0.21677227962544399</v>
          </cell>
          <cell r="AL376">
            <v>0.21677227962544399</v>
          </cell>
          <cell r="AM376">
            <v>0.21677227962544399</v>
          </cell>
          <cell r="AN376">
            <v>0.21677227962544399</v>
          </cell>
          <cell r="AO376">
            <v>0.21677227962544399</v>
          </cell>
          <cell r="AP376">
            <v>0.21677227962544399</v>
          </cell>
        </row>
        <row r="377">
          <cell r="B377" t="str">
            <v>Sales - % FX: Brazilian Real</v>
          </cell>
          <cell r="C377" t="str">
            <v>SALES_FX_BRL</v>
          </cell>
          <cell r="O377">
            <v>3.9389312977099238E-2</v>
          </cell>
          <cell r="P377">
            <v>4.3154285714285714E-2</v>
          </cell>
          <cell r="Q377">
            <v>4.1165644171779141E-2</v>
          </cell>
          <cell r="R377">
            <v>4.1437371663244356E-2</v>
          </cell>
          <cell r="S377">
            <v>4.167178856791641E-2</v>
          </cell>
          <cell r="T377">
            <v>5.0485259110053103E-2</v>
          </cell>
          <cell r="U377">
            <v>5.6051759507653461E-2</v>
          </cell>
          <cell r="V377">
            <v>6.0022963383087331E-2</v>
          </cell>
          <cell r="W377">
            <v>6.3066089091709326E-2</v>
          </cell>
          <cell r="X377">
            <v>6.4562781963002136E-2</v>
          </cell>
          <cell r="Y377">
            <v>6.3413956074506533E-2</v>
          </cell>
          <cell r="Z377">
            <v>7.447065940713854E-2</v>
          </cell>
          <cell r="AA377">
            <v>8.1129628842311133E-2</v>
          </cell>
          <cell r="AB377">
            <v>8.2560870403637507E-2</v>
          </cell>
          <cell r="AC377">
            <v>8.0192609387703701E-2</v>
          </cell>
          <cell r="AD377">
            <v>7.7499636434146105E-2</v>
          </cell>
          <cell r="AE377">
            <v>6.4797515666798186E-2</v>
          </cell>
          <cell r="AF377">
            <v>5.0686442285017626E-2</v>
          </cell>
          <cell r="AG377">
            <v>0.05</v>
          </cell>
          <cell r="AH377">
            <v>0.05</v>
          </cell>
          <cell r="AI377">
            <v>0.05</v>
          </cell>
          <cell r="AJ377">
            <v>4.5368795064986173E-2</v>
          </cell>
          <cell r="AK377">
            <v>5.197570229254117E-2</v>
          </cell>
          <cell r="AL377">
            <v>5.197570229254117E-2</v>
          </cell>
          <cell r="AM377">
            <v>5.197570229254117E-2</v>
          </cell>
          <cell r="AN377">
            <v>5.197570229254117E-2</v>
          </cell>
          <cell r="AO377">
            <v>5.197570229254117E-2</v>
          </cell>
          <cell r="AP377">
            <v>5.197570229254117E-2</v>
          </cell>
        </row>
        <row r="378">
          <cell r="B378" t="str">
            <v>Sales - % FX: Japanese Yen</v>
          </cell>
          <cell r="C378" t="str">
            <v>SALES_FX_YEN</v>
          </cell>
        </row>
        <row r="379">
          <cell r="B379" t="str">
            <v>Sales - % FX: Chinese Renminbi</v>
          </cell>
          <cell r="C379" t="str">
            <v>SALES_FX_CNY</v>
          </cell>
          <cell r="O379">
            <v>0.113206106870229</v>
          </cell>
          <cell r="P379">
            <v>0.13291428571428571</v>
          </cell>
          <cell r="Q379">
            <v>0.13349693251533742</v>
          </cell>
          <cell r="R379">
            <v>0.12622176591375769</v>
          </cell>
          <cell r="S379">
            <v>0.10723212456463839</v>
          </cell>
          <cell r="T379">
            <v>0.11994140267350302</v>
          </cell>
          <cell r="U379">
            <v>0.14825627268423544</v>
          </cell>
          <cell r="V379">
            <v>0.14123863935038525</v>
          </cell>
          <cell r="W379">
            <v>0.1351780212652598</v>
          </cell>
          <cell r="X379">
            <v>0.14735467437995123</v>
          </cell>
          <cell r="Y379">
            <v>0.1727411731998888</v>
          </cell>
          <cell r="Z379">
            <v>0.18332728372655777</v>
          </cell>
          <cell r="AA379">
            <v>0.17358955826708047</v>
          </cell>
          <cell r="AB379">
            <v>0.18479473048544082</v>
          </cell>
          <cell r="AC379">
            <v>0.18479324836533945</v>
          </cell>
          <cell r="AD379">
            <v>0.19019596199524941</v>
          </cell>
          <cell r="AE379">
            <v>0.19935104278395019</v>
          </cell>
          <cell r="AF379">
            <v>0.20070760930196027</v>
          </cell>
          <cell r="AG379">
            <v>0.2</v>
          </cell>
          <cell r="AH379">
            <v>0.2</v>
          </cell>
          <cell r="AI379">
            <v>0.19</v>
          </cell>
          <cell r="AJ379">
            <v>0.20370820457622998</v>
          </cell>
          <cell r="AK379">
            <v>0.20435098482402325</v>
          </cell>
          <cell r="AL379">
            <v>0.20435098482402325</v>
          </cell>
          <cell r="AM379">
            <v>0.20435098482402325</v>
          </cell>
          <cell r="AN379">
            <v>0.20435098482402325</v>
          </cell>
          <cell r="AO379">
            <v>0.20435098482402325</v>
          </cell>
          <cell r="AP379">
            <v>0.20435098482402325</v>
          </cell>
        </row>
        <row r="380">
          <cell r="B380" t="str">
            <v>Sales - % FX: Indian Rupee</v>
          </cell>
          <cell r="C380" t="str">
            <v>SALES_FX_INR</v>
          </cell>
        </row>
        <row r="381">
          <cell r="B381" t="str">
            <v>Sales - % FX: South African Rand</v>
          </cell>
          <cell r="C381" t="str">
            <v>SALES_FX_ZAR</v>
          </cell>
        </row>
        <row r="382">
          <cell r="B382" t="str">
            <v>Sales - % FX: Nigerian Naira</v>
          </cell>
          <cell r="C382" t="str">
            <v>SALES_FX_NGN</v>
          </cell>
        </row>
        <row r="383">
          <cell r="B383" t="str">
            <v>Sales - % FX: Swiss Franc</v>
          </cell>
          <cell r="C383" t="str">
            <v>SALES_FX_CHF</v>
          </cell>
        </row>
        <row r="384">
          <cell r="B384" t="str">
            <v>Sales - % FX: UAE Dirham</v>
          </cell>
          <cell r="C384" t="str">
            <v>SALES_FX_AED</v>
          </cell>
        </row>
        <row r="385">
          <cell r="B385" t="str">
            <v>Sales - % FX: New Turkish Lira</v>
          </cell>
          <cell r="C385" t="str">
            <v>SALES_FX_TRY</v>
          </cell>
        </row>
        <row r="386">
          <cell r="B386" t="str">
            <v>Sales - % FX: Other Currency</v>
          </cell>
          <cell r="C386" t="str">
            <v>SALES_FX_OTH</v>
          </cell>
          <cell r="O386">
            <v>5.2900763358778628E-2</v>
          </cell>
          <cell r="P386">
            <v>5.2479999999999999E-2</v>
          </cell>
          <cell r="Q386">
            <v>6.2188139059304703E-2</v>
          </cell>
          <cell r="R386">
            <v>6.4887063655030802E-2</v>
          </cell>
          <cell r="S386">
            <v>9.6517107150174142E-2</v>
          </cell>
          <cell r="T386">
            <v>9.2602087529756461E-2</v>
          </cell>
          <cell r="U386">
            <v>7.9801167744989743E-2</v>
          </cell>
          <cell r="V386">
            <v>8.2004177675718298E-2</v>
          </cell>
          <cell r="W386">
            <v>9.1512427899650209E-2</v>
          </cell>
          <cell r="X386">
            <v>9.2062943855634946E-2</v>
          </cell>
          <cell r="Y386">
            <v>0.10432304698359744</v>
          </cell>
          <cell r="Z386">
            <v>9.7386569872958254E-2</v>
          </cell>
          <cell r="AA386">
            <v>9.7019684537222053E-2</v>
          </cell>
          <cell r="AB386">
            <v>0.10999999999999999</v>
          </cell>
          <cell r="AC386">
            <v>8.2568048827968435E-2</v>
          </cell>
          <cell r="AD386">
            <v>6.4740656357554896E-2</v>
          </cell>
          <cell r="AE386">
            <v>4.7739615821118193E-2</v>
          </cell>
          <cell r="AF386">
            <v>5.2208915389022136E-2</v>
          </cell>
          <cell r="AG386">
            <v>0.06</v>
          </cell>
          <cell r="AH386">
            <v>7.0000000000000007E-2</v>
          </cell>
          <cell r="AI386">
            <v>7.0000000000000007E-2</v>
          </cell>
          <cell r="AJ386">
            <v>8.8133513882619821E-2</v>
          </cell>
          <cell r="AK386">
            <v>9.3679367129480148E-2</v>
          </cell>
          <cell r="AL386">
            <v>9.3679367129480148E-2</v>
          </cell>
          <cell r="AM386">
            <v>9.3679367129480148E-2</v>
          </cell>
          <cell r="AN386">
            <v>9.3679367129480148E-2</v>
          </cell>
          <cell r="AO386">
            <v>9.3679367129480148E-2</v>
          </cell>
          <cell r="AP386">
            <v>9.3679367129480148E-2</v>
          </cell>
        </row>
        <row r="387">
          <cell r="A387" t="str">
            <v>Items to be removed</v>
          </cell>
        </row>
        <row r="388">
          <cell r="B388" t="str">
            <v>Sales - Total % Americas</v>
          </cell>
          <cell r="C388" t="str">
            <v>SALES_TOT_AM</v>
          </cell>
          <cell r="U388">
            <v>0.25556256903897745</v>
          </cell>
          <cell r="V388">
            <v>0.25252804714410215</v>
          </cell>
          <cell r="W388">
            <v>0.2356552155481943</v>
          </cell>
          <cell r="X388">
            <v>0.2245882530705636</v>
          </cell>
          <cell r="Y388">
            <v>0.22610508757297748</v>
          </cell>
          <cell r="Z388">
            <v>0.24072595281306716</v>
          </cell>
          <cell r="AA388">
            <v>0.24686450406020155</v>
          </cell>
          <cell r="AB388">
            <v>0.2623773711293122</v>
          </cell>
          <cell r="AC388">
            <v>0.26014577393017047</v>
          </cell>
          <cell r="AD388">
            <v>0.27032527025061809</v>
          </cell>
          <cell r="AE388">
            <v>0.2743451686166361</v>
          </cell>
          <cell r="AF388">
            <v>0.25237293045057968</v>
          </cell>
          <cell r="AG388">
            <v>0.25</v>
          </cell>
          <cell r="AH388">
            <v>0.26</v>
          </cell>
          <cell r="AI388">
            <v>0.28000000000000003</v>
          </cell>
          <cell r="AJ388">
            <v>0.26576623496869323</v>
          </cell>
          <cell r="AK388">
            <v>0.26874798191798516</v>
          </cell>
          <cell r="AL388">
            <v>0.26874798191798516</v>
          </cell>
          <cell r="AM388">
            <v>0.26874798191798516</v>
          </cell>
          <cell r="AN388">
            <v>0.26874798191798516</v>
          </cell>
          <cell r="AO388">
            <v>0.26874798191798516</v>
          </cell>
          <cell r="AP388">
            <v>0.26874798191798516</v>
          </cell>
        </row>
        <row r="389">
          <cell r="B389" t="str">
            <v>Sales - % Other Americas</v>
          </cell>
          <cell r="C389" t="str">
            <v>SALES_OTH_AM</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Sales - Total % EMEA</v>
          </cell>
          <cell r="C390" t="str">
            <v>SALES_TOT_EMEA</v>
          </cell>
          <cell r="U390">
            <v>0.49678899082568806</v>
          </cell>
          <cell r="V390">
            <v>0.49678899082568806</v>
          </cell>
          <cell r="W390">
            <v>0.49678899082568806</v>
          </cell>
          <cell r="X390">
            <v>0.49678899082568806</v>
          </cell>
          <cell r="Y390">
            <v>0.49678899082568806</v>
          </cell>
          <cell r="Z390">
            <v>0.4786085904416213</v>
          </cell>
          <cell r="AA390">
            <v>0.48252625313549602</v>
          </cell>
          <cell r="AB390">
            <v>0.44282789838524694</v>
          </cell>
          <cell r="AC390">
            <v>0.47249292887652161</v>
          </cell>
          <cell r="AD390">
            <v>0.47473811139657773</v>
          </cell>
          <cell r="AE390">
            <v>0.47</v>
          </cell>
          <cell r="AF390">
            <v>0.49471054485843802</v>
          </cell>
          <cell r="AG390">
            <v>0.49</v>
          </cell>
          <cell r="AH390">
            <v>0.47000000000000003</v>
          </cell>
          <cell r="AI390">
            <v>0.45999999999999996</v>
          </cell>
          <cell r="AJ390">
            <v>0.44239204657245701</v>
          </cell>
          <cell r="AK390">
            <v>0.43322166612851148</v>
          </cell>
          <cell r="AL390">
            <v>0.43322166612851148</v>
          </cell>
          <cell r="AM390">
            <v>0.43322166612851148</v>
          </cell>
          <cell r="AN390">
            <v>0.43322166612851148</v>
          </cell>
          <cell r="AO390">
            <v>0.43322166612851148</v>
          </cell>
          <cell r="AP390">
            <v>0.43322166612851148</v>
          </cell>
        </row>
        <row r="391">
          <cell r="B391" t="str">
            <v>Sales - % Western Europe-Ex UK</v>
          </cell>
          <cell r="C391" t="str">
            <v>SALES_EU_EX_UK</v>
          </cell>
          <cell r="U391">
            <v>0.15737381319765906</v>
          </cell>
          <cell r="V391">
            <v>0.15737381319765906</v>
          </cell>
          <cell r="W391">
            <v>0.15737381319765906</v>
          </cell>
          <cell r="X391">
            <v>0.15737381319765906</v>
          </cell>
          <cell r="Y391">
            <v>0.143194739841806</v>
          </cell>
          <cell r="Z391">
            <v>0.14518353618699639</v>
          </cell>
          <cell r="AA391">
            <v>0.14535946600909824</v>
          </cell>
          <cell r="AB391">
            <v>0.13554385003400016</v>
          </cell>
          <cell r="AC391">
            <v>0.17091571295939967</v>
          </cell>
          <cell r="AD391">
            <v>0.15987544376188917</v>
          </cell>
          <cell r="AE391">
            <v>0.27783769367140287</v>
          </cell>
          <cell r="AF391">
            <v>0.16071757016909249</v>
          </cell>
          <cell r="AG391">
            <v>0.13972717363779491</v>
          </cell>
          <cell r="AH391">
            <v>0.13523779741922429</v>
          </cell>
          <cell r="AI391">
            <v>0.1482399891512815</v>
          </cell>
          <cell r="AJ391">
            <v>0.18044189155156046</v>
          </cell>
          <cell r="AK391">
            <v>0.18044189155156046</v>
          </cell>
          <cell r="AL391">
            <v>0.18044189155156046</v>
          </cell>
          <cell r="AM391">
            <v>0.18044189155156046</v>
          </cell>
          <cell r="AN391">
            <v>0.18044189155156046</v>
          </cell>
          <cell r="AO391">
            <v>0.18044189155156046</v>
          </cell>
          <cell r="AP391">
            <v>0.18044189155156046</v>
          </cell>
        </row>
        <row r="392">
          <cell r="B392" t="str">
            <v>Sales - % Other Western Europe-Ex UK</v>
          </cell>
          <cell r="C392" t="str">
            <v>SALES_OTH_EU_EX_UK</v>
          </cell>
          <cell r="AE392">
            <v>0.12571468126532215</v>
          </cell>
        </row>
        <row r="393">
          <cell r="B393" t="str">
            <v>Sales - % Central &amp; Eastern Europe</v>
          </cell>
          <cell r="C393" t="str">
            <v>SALES_CEE</v>
          </cell>
          <cell r="AE393">
            <v>5.7540407927650569E-2</v>
          </cell>
        </row>
        <row r="394">
          <cell r="B394" t="str">
            <v>Sales - % Middle East</v>
          </cell>
          <cell r="C394" t="str">
            <v>SALES_ME</v>
          </cell>
          <cell r="AE394">
            <v>0.03</v>
          </cell>
        </row>
        <row r="395">
          <cell r="B395" t="str">
            <v>Sales - % Total Africa</v>
          </cell>
          <cell r="C395" t="str">
            <v>SALES_TOT_AFRICA</v>
          </cell>
          <cell r="U395">
            <v>4.9585053588556652E-2</v>
          </cell>
          <cell r="V395">
            <v>4.9585053588556652E-2</v>
          </cell>
          <cell r="W395">
            <v>4.9585053588556652E-2</v>
          </cell>
          <cell r="X395">
            <v>4.9585053588556652E-2</v>
          </cell>
          <cell r="Y395">
            <v>2.3756898397208667E-2</v>
          </cell>
          <cell r="Z395">
            <v>2.8226099160355216E-2</v>
          </cell>
          <cell r="AA395">
            <v>2.9176055439819736E-2</v>
          </cell>
          <cell r="AB395">
            <v>3.3533274467415684E-2</v>
          </cell>
          <cell r="AC395">
            <v>0.06</v>
          </cell>
          <cell r="AD395">
            <v>3.5791743908497209E-2</v>
          </cell>
          <cell r="AE395">
            <v>0.06</v>
          </cell>
          <cell r="AF395">
            <v>3.3548735178350268E-2</v>
          </cell>
          <cell r="AG395">
            <v>7.8688055313948499E-2</v>
          </cell>
          <cell r="AH395">
            <v>7.2806202691143879E-2</v>
          </cell>
          <cell r="AI395">
            <v>3.2507410062186402E-2</v>
          </cell>
          <cell r="AJ395">
            <v>0.06</v>
          </cell>
          <cell r="AK395">
            <v>0.06</v>
          </cell>
          <cell r="AL395">
            <v>0.06</v>
          </cell>
          <cell r="AM395">
            <v>0.06</v>
          </cell>
          <cell r="AN395">
            <v>0.06</v>
          </cell>
          <cell r="AO395">
            <v>0.06</v>
          </cell>
          <cell r="AP395">
            <v>0.06</v>
          </cell>
        </row>
        <row r="396">
          <cell r="B396" t="str">
            <v>Sales - % Other EMEA</v>
          </cell>
          <cell r="C396" t="str">
            <v>SALES_OTH_EMEA</v>
          </cell>
          <cell r="U396">
            <v>0.23503217583479327</v>
          </cell>
          <cell r="V396">
            <v>0.23503217583479327</v>
          </cell>
          <cell r="W396">
            <v>0.23503217583479327</v>
          </cell>
          <cell r="X396">
            <v>0.23503217583479327</v>
          </cell>
          <cell r="Y396">
            <v>0.27396902335415046</v>
          </cell>
          <cell r="Z396">
            <v>0.252061780849829</v>
          </cell>
          <cell r="AA396">
            <v>0.25334807193571707</v>
          </cell>
          <cell r="AB396">
            <v>0.21914756061667118</v>
          </cell>
          <cell r="AC396">
            <v>0.21280701195329665</v>
          </cell>
          <cell r="AD396">
            <v>0.21129197469974129</v>
          </cell>
          <cell r="AE396">
            <v>3.6771935732132777E-4</v>
          </cell>
          <cell r="AF396">
            <v>0.23158104625017101</v>
          </cell>
          <cell r="AG396">
            <v>0.20468836359232384</v>
          </cell>
          <cell r="AH396">
            <v>0.20565903593403662</v>
          </cell>
          <cell r="AI396">
            <v>0.19625990429880466</v>
          </cell>
          <cell r="AJ396">
            <v>0.11895745853316914</v>
          </cell>
          <cell r="AK396">
            <v>0.10978707808922361</v>
          </cell>
          <cell r="AL396">
            <v>0.10978707808922361</v>
          </cell>
          <cell r="AM396">
            <v>0.10978707808922361</v>
          </cell>
          <cell r="AN396">
            <v>0.10978707808922361</v>
          </cell>
          <cell r="AO396">
            <v>0.10978707808922361</v>
          </cell>
          <cell r="AP396">
            <v>0.10978707808922361</v>
          </cell>
        </row>
        <row r="397">
          <cell r="B397" t="str">
            <v>Sales - Total % Asia (incl Australia &amp; New Zealand)</v>
          </cell>
          <cell r="C397" t="str">
            <v>SALES_TOT_ASIA</v>
          </cell>
          <cell r="U397">
            <v>0.27706422018348631</v>
          </cell>
          <cell r="V397">
            <v>0.27706422018348631</v>
          </cell>
          <cell r="W397">
            <v>0.27706422018348631</v>
          </cell>
          <cell r="X397">
            <v>0.27706422018348631</v>
          </cell>
          <cell r="Y397">
            <v>0.27706422018348625</v>
          </cell>
          <cell r="Z397">
            <v>0.28071385359951595</v>
          </cell>
          <cell r="AA397">
            <v>0.27060924280430254</v>
          </cell>
          <cell r="AB397">
            <v>0.29479473048544086</v>
          </cell>
          <cell r="AC397">
            <v>0.26736129719330787</v>
          </cell>
          <cell r="AD397">
            <v>0.25493661835280429</v>
          </cell>
          <cell r="AE397">
            <v>0.25</v>
          </cell>
          <cell r="AF397">
            <v>0.25291652469098247</v>
          </cell>
          <cell r="AG397">
            <v>0.25999999999999995</v>
          </cell>
          <cell r="AH397">
            <v>0.27</v>
          </cell>
          <cell r="AI397">
            <v>0.26</v>
          </cell>
          <cell r="AJ397">
            <v>0.29184171845884982</v>
          </cell>
          <cell r="AK397">
            <v>0.29803035195350341</v>
          </cell>
          <cell r="AL397">
            <v>0.29803035195350341</v>
          </cell>
          <cell r="AM397">
            <v>0.29803035195350341</v>
          </cell>
          <cell r="AN397">
            <v>0.29803035195350341</v>
          </cell>
          <cell r="AO397">
            <v>0.29803035195350341</v>
          </cell>
          <cell r="AP397">
            <v>0.29803035195350341</v>
          </cell>
        </row>
        <row r="398">
          <cell r="B398" t="str">
            <v>Sales - % Other Asia</v>
          </cell>
          <cell r="C398" t="str">
            <v>SALES_OTH_AEJ</v>
          </cell>
          <cell r="U398">
            <v>0.16267246072729546</v>
          </cell>
          <cell r="V398">
            <v>0.16267246072729546</v>
          </cell>
          <cell r="W398">
            <v>0.16267246072729546</v>
          </cell>
          <cell r="X398">
            <v>0.16267246072729546</v>
          </cell>
          <cell r="Y398">
            <v>0.15812681662203665</v>
          </cell>
          <cell r="Z398">
            <v>0.16099792938532187</v>
          </cell>
          <cell r="AA398">
            <v>0.14938778113175463</v>
          </cell>
          <cell r="AB398">
            <v>0.17367303027535042</v>
          </cell>
          <cell r="AC398">
            <v>0.15416363800909966</v>
          </cell>
          <cell r="AD398">
            <v>0.13253709331433483</v>
          </cell>
          <cell r="AE398">
            <v>0.13253709331433483</v>
          </cell>
          <cell r="AF398">
            <v>0.12629947810777889</v>
          </cell>
          <cell r="AG398">
            <v>0.15070430598830742</v>
          </cell>
          <cell r="AH398">
            <v>0.16568368482529638</v>
          </cell>
          <cell r="AI398">
            <v>0.1318010809973072</v>
          </cell>
          <cell r="AJ398">
            <v>0.14184171845884982</v>
          </cell>
          <cell r="AK398">
            <v>0.14803035195350342</v>
          </cell>
          <cell r="AL398">
            <v>0.14803035195350342</v>
          </cell>
          <cell r="AM398">
            <v>0.14803035195350342</v>
          </cell>
          <cell r="AN398">
            <v>0.14803035195350342</v>
          </cell>
          <cell r="AO398">
            <v>0.14803035195350342</v>
          </cell>
          <cell r="AP398">
            <v>0.14803035195350342</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D430" t="str">
            <v>SEK</v>
          </cell>
          <cell r="Z430">
            <v>11229</v>
          </cell>
          <cell r="AA430">
            <v>16773.827018840613</v>
          </cell>
          <cell r="AB430">
            <v>16172</v>
          </cell>
          <cell r="AC430">
            <v>12940</v>
          </cell>
          <cell r="AD430">
            <v>10212.000002499099</v>
          </cell>
          <cell r="AE430">
            <v>10594.4</v>
          </cell>
          <cell r="AF430">
            <v>11018</v>
          </cell>
          <cell r="AG430">
            <v>14611</v>
          </cell>
          <cell r="AH430">
            <v>18590</v>
          </cell>
          <cell r="AI430">
            <v>19219</v>
          </cell>
          <cell r="AJ430">
            <v>14563</v>
          </cell>
          <cell r="AK430">
            <v>17486.400000000001</v>
          </cell>
          <cell r="AL430">
            <v>21858.979280259249</v>
          </cell>
          <cell r="AM430">
            <v>22876.489736641757</v>
          </cell>
          <cell r="AN430">
            <v>24096.25471709235</v>
          </cell>
          <cell r="AO430">
            <v>25562.43347425251</v>
          </cell>
          <cell r="AP430">
            <v>26415.439724292322</v>
          </cell>
          <cell r="AR430">
            <v>1660</v>
          </cell>
          <cell r="AS430">
            <v>1952</v>
          </cell>
          <cell r="AT430">
            <v>1887</v>
          </cell>
          <cell r="AU430">
            <v>2079</v>
          </cell>
          <cell r="AV430">
            <v>2041</v>
          </cell>
          <cell r="AW430">
            <v>2425</v>
          </cell>
          <cell r="AX430">
            <v>2261</v>
          </cell>
          <cell r="AY430">
            <v>2805</v>
          </cell>
          <cell r="AZ430">
            <v>2853</v>
          </cell>
          <cell r="BA430">
            <v>2995</v>
          </cell>
          <cell r="BB430">
            <v>2854</v>
          </cell>
          <cell r="BC430">
            <v>3365</v>
          </cell>
          <cell r="BD430">
            <v>3513</v>
          </cell>
          <cell r="BE430">
            <v>4043</v>
          </cell>
          <cell r="BF430">
            <v>3613</v>
          </cell>
          <cell r="BG430">
            <v>3775</v>
          </cell>
          <cell r="BH430">
            <v>3707</v>
          </cell>
          <cell r="BI430">
            <v>3959</v>
          </cell>
          <cell r="BJ430">
            <v>3700</v>
          </cell>
          <cell r="BK430">
            <v>2855</v>
          </cell>
          <cell r="BL430">
            <v>701</v>
          </cell>
          <cell r="BM430">
            <v>-225</v>
          </cell>
          <cell r="BN430">
            <v>231</v>
          </cell>
          <cell r="BO430">
            <v>933</v>
          </cell>
          <cell r="BP430">
            <v>1863</v>
          </cell>
          <cell r="BQ430">
            <v>3131</v>
          </cell>
          <cell r="BR430">
            <v>2732</v>
          </cell>
          <cell r="BS430">
            <v>3409</v>
          </cell>
          <cell r="BT430">
            <v>3191.0028548062619</v>
          </cell>
          <cell r="BU430">
            <v>3622.4839489913356</v>
          </cell>
          <cell r="BV430">
            <v>3495.0995523053098</v>
          </cell>
          <cell r="BW430">
            <v>3431.4690847396378</v>
          </cell>
          <cell r="BX430">
            <v>3969</v>
          </cell>
          <cell r="BY430">
            <v>4430</v>
          </cell>
          <cell r="BZ430">
            <v>3421</v>
          </cell>
          <cell r="CA430">
            <v>3119</v>
          </cell>
          <cell r="CB430">
            <v>2733</v>
          </cell>
          <cell r="CC430">
            <v>3298</v>
          </cell>
          <cell r="CD430">
            <v>2621</v>
          </cell>
          <cell r="CE430">
            <v>2470</v>
          </cell>
          <cell r="CF430">
            <v>2447</v>
          </cell>
          <cell r="CG430">
            <v>2660.0002005360002</v>
          </cell>
          <cell r="CH430">
            <v>2491.9998066902999</v>
          </cell>
          <cell r="CI430">
            <v>2612.9999952727999</v>
          </cell>
          <cell r="CJ430">
            <v>2977</v>
          </cell>
          <cell r="CK430">
            <v>2977</v>
          </cell>
          <cell r="CL430">
            <v>2325</v>
          </cell>
          <cell r="CM430">
            <v>2315.4</v>
          </cell>
          <cell r="CN430">
            <v>2413</v>
          </cell>
          <cell r="CO430">
            <v>2705</v>
          </cell>
          <cell r="CP430">
            <v>2623</v>
          </cell>
          <cell r="CQ430">
            <v>3277</v>
          </cell>
          <cell r="CR430">
            <v>3494</v>
          </cell>
          <cell r="CS430">
            <v>3718</v>
          </cell>
          <cell r="CT430">
            <v>3338</v>
          </cell>
          <cell r="CU430">
            <v>4061</v>
          </cell>
          <cell r="CV430">
            <v>4271</v>
          </cell>
          <cell r="CW430">
            <v>5067</v>
          </cell>
          <cell r="CX430">
            <v>4587</v>
          </cell>
          <cell r="CY430">
            <v>4699</v>
          </cell>
          <cell r="CZ430">
            <v>4589</v>
          </cell>
          <cell r="DA430">
            <v>4979</v>
          </cell>
          <cell r="DB430">
            <v>4626</v>
          </cell>
          <cell r="DC430">
            <v>5238</v>
          </cell>
          <cell r="DD430">
            <v>3727</v>
          </cell>
          <cell r="DE430">
            <v>2837</v>
          </cell>
          <cell r="DF430">
            <v>3494</v>
          </cell>
          <cell r="DG430">
            <v>4504</v>
          </cell>
          <cell r="DH430">
            <v>3930.3599999999997</v>
          </cell>
          <cell r="DI430">
            <v>4198.4799999999996</v>
          </cell>
          <cell r="DJ430">
            <v>4429.32</v>
          </cell>
          <cell r="DK430">
            <v>4914.24</v>
          </cell>
          <cell r="DL430">
            <v>5043</v>
          </cell>
        </row>
        <row r="431">
          <cell r="B431" t="str">
            <v>Division 1 EBIT</v>
          </cell>
          <cell r="C431" t="str">
            <v>DIV1_EBIT</v>
          </cell>
          <cell r="D431" t="str">
            <v>SEK</v>
          </cell>
          <cell r="AD431">
            <v>6544</v>
          </cell>
          <cell r="AE431">
            <v>6815</v>
          </cell>
          <cell r="AF431">
            <v>6970</v>
          </cell>
          <cell r="AG431">
            <v>8465</v>
          </cell>
          <cell r="AH431">
            <v>10361</v>
          </cell>
          <cell r="AI431">
            <v>9310</v>
          </cell>
          <cell r="AJ431">
            <v>6100</v>
          </cell>
          <cell r="AK431">
            <v>8183</v>
          </cell>
          <cell r="AL431">
            <v>9522.7775227951061</v>
          </cell>
          <cell r="AM431">
            <v>8790.5173779725119</v>
          </cell>
          <cell r="AN431">
            <v>8918.808467096067</v>
          </cell>
          <cell r="AO431">
            <v>8970.3628177064238</v>
          </cell>
          <cell r="AP431">
            <v>8417.7230328301157</v>
          </cell>
          <cell r="CF431">
            <v>1601</v>
          </cell>
          <cell r="CG431">
            <v>1668</v>
          </cell>
          <cell r="CH431">
            <v>1537</v>
          </cell>
          <cell r="CI431">
            <v>1738</v>
          </cell>
          <cell r="CJ431">
            <v>1906</v>
          </cell>
          <cell r="CK431">
            <v>1781</v>
          </cell>
          <cell r="CL431">
            <v>1481</v>
          </cell>
          <cell r="CM431">
            <v>1647</v>
          </cell>
          <cell r="CN431">
            <v>1652</v>
          </cell>
          <cell r="CO431">
            <v>1785</v>
          </cell>
          <cell r="CP431">
            <v>1650</v>
          </cell>
          <cell r="CQ431">
            <v>1883</v>
          </cell>
          <cell r="CR431">
            <v>2068</v>
          </cell>
          <cell r="CS431">
            <v>2110</v>
          </cell>
          <cell r="CT431">
            <v>1949</v>
          </cell>
          <cell r="CU431">
            <v>2338</v>
          </cell>
          <cell r="CV431">
            <v>2538</v>
          </cell>
          <cell r="CW431">
            <v>2761</v>
          </cell>
          <cell r="CX431">
            <v>2536</v>
          </cell>
          <cell r="CY431">
            <v>2480</v>
          </cell>
          <cell r="CZ431">
            <v>2654</v>
          </cell>
          <cell r="DA431">
            <v>2483</v>
          </cell>
          <cell r="DB431">
            <v>2173</v>
          </cell>
          <cell r="DC431">
            <v>2000</v>
          </cell>
          <cell r="DD431">
            <v>2054</v>
          </cell>
          <cell r="DE431">
            <v>927</v>
          </cell>
          <cell r="DF431">
            <v>1377</v>
          </cell>
          <cell r="DG431">
            <v>1742</v>
          </cell>
          <cell r="DH431">
            <v>2078</v>
          </cell>
          <cell r="DI431">
            <v>2162</v>
          </cell>
          <cell r="DJ431">
            <v>1866</v>
          </cell>
          <cell r="DK431">
            <v>2066</v>
          </cell>
          <cell r="DL431">
            <v>2392</v>
          </cell>
        </row>
        <row r="432">
          <cell r="B432" t="str">
            <v>Division 1 Name</v>
          </cell>
          <cell r="C432" t="str">
            <v>DIV1_NAME</v>
          </cell>
          <cell r="E432" t="str">
            <v>Manufacturing and Machining Solutions</v>
          </cell>
        </row>
        <row r="433">
          <cell r="B433" t="str">
            <v>Division 1 OGS</v>
          </cell>
          <cell r="C433" t="str">
            <v>DIV1_OGS</v>
          </cell>
          <cell r="AD433">
            <v>3.5805624199999997E-2</v>
          </cell>
          <cell r="AE433">
            <v>-3.5204228900000002E-2</v>
          </cell>
          <cell r="AF433">
            <v>-2.3865884600000001E-2</v>
          </cell>
          <cell r="AG433">
            <v>0.1</v>
          </cell>
          <cell r="AH433">
            <v>0.08</v>
          </cell>
          <cell r="AI433">
            <v>-0.06</v>
          </cell>
          <cell r="AJ433">
            <v>-0.189393377</v>
          </cell>
          <cell r="AK433">
            <v>0.14000000000000001</v>
          </cell>
          <cell r="AL433">
            <v>2.476222682666546E-2</v>
          </cell>
          <cell r="AM433">
            <v>-3.6728508649475598E-2</v>
          </cell>
          <cell r="AN433">
            <v>1.8042892547302798E-2</v>
          </cell>
          <cell r="AO433">
            <v>1.3056848017973754E-2</v>
          </cell>
          <cell r="AP433">
            <v>-1.880234359218497E-2</v>
          </cell>
          <cell r="CF433">
            <v>4.2978443200000001E-2</v>
          </cell>
          <cell r="CG433">
            <v>3.4902214299999998E-2</v>
          </cell>
          <cell r="CH433">
            <v>4.1318485000000002E-2</v>
          </cell>
          <cell r="CI433">
            <v>2.4563942799999999E-2</v>
          </cell>
          <cell r="CJ433">
            <v>-2.8919144999999999E-3</v>
          </cell>
          <cell r="CK433">
            <v>-2.7591806199999999E-2</v>
          </cell>
          <cell r="CL433">
            <v>-5.0337972000000002E-2</v>
          </cell>
          <cell r="CM433">
            <v>-5.7685526700000003E-2</v>
          </cell>
          <cell r="CN433">
            <v>-5.8656664499999997E-2</v>
          </cell>
          <cell r="CO433">
            <v>-1.381201E-2</v>
          </cell>
          <cell r="CP433">
            <v>-3.6534820400000001E-2</v>
          </cell>
          <cell r="CQ433">
            <v>1.4920160300000001E-2</v>
          </cell>
          <cell r="CR433">
            <v>7.0000000000000007E-2</v>
          </cell>
          <cell r="CS433">
            <v>0.05</v>
          </cell>
          <cell r="CT433">
            <v>0.1</v>
          </cell>
          <cell r="CU433">
            <v>0.1</v>
          </cell>
          <cell r="CV433">
            <v>0.1</v>
          </cell>
          <cell r="CW433">
            <v>0.11</v>
          </cell>
          <cell r="CX433">
            <v>7.0000000000000007E-2</v>
          </cell>
          <cell r="CY433">
            <v>0.03</v>
          </cell>
          <cell r="CZ433">
            <v>-0.01</v>
          </cell>
          <cell r="DA433">
            <v>-0.04</v>
          </cell>
          <cell r="DB433">
            <v>-7.0000000000000007E-2</v>
          </cell>
          <cell r="DC433">
            <v>-0.1</v>
          </cell>
          <cell r="DD433">
            <v>-0.12</v>
          </cell>
          <cell r="DE433">
            <v>-0.32</v>
          </cell>
          <cell r="DF433">
            <v>-0.21</v>
          </cell>
          <cell r="DG433">
            <v>-0.1057775418</v>
          </cell>
          <cell r="DH433">
            <v>-0.03</v>
          </cell>
          <cell r="DI433">
            <v>0.33</v>
          </cell>
          <cell r="DJ433">
            <v>0.18</v>
          </cell>
          <cell r="DK433">
            <v>0.12</v>
          </cell>
          <cell r="DL433">
            <v>0.06</v>
          </cell>
        </row>
        <row r="434">
          <cell r="B434" t="str">
            <v>Division 1 Order Backlog</v>
          </cell>
          <cell r="C434" t="str">
            <v>DIV1_ORDERBACKLOG</v>
          </cell>
        </row>
        <row r="435">
          <cell r="B435" t="str">
            <v>Division 1 Order Intake</v>
          </cell>
          <cell r="C435" t="str">
            <v>DIV1_ORDERINTAKE</v>
          </cell>
          <cell r="AD435">
            <v>32568</v>
          </cell>
          <cell r="AE435">
            <v>33860</v>
          </cell>
          <cell r="AF435">
            <v>33088</v>
          </cell>
          <cell r="AG435">
            <v>36636</v>
          </cell>
          <cell r="AH435">
            <v>40720</v>
          </cell>
          <cell r="AI435">
            <v>41163</v>
          </cell>
          <cell r="AJ435">
            <v>32677</v>
          </cell>
          <cell r="AK435">
            <v>37680</v>
          </cell>
          <cell r="AL435">
            <v>44596.57349819575</v>
          </cell>
          <cell r="AM435">
            <v>44545.158407774441</v>
          </cell>
          <cell r="AN435">
            <v>46305.882820098872</v>
          </cell>
          <cell r="AO435">
            <v>47859.529158896526</v>
          </cell>
          <cell r="AP435">
            <v>48000.719903318728</v>
          </cell>
          <cell r="CF435">
            <v>8071</v>
          </cell>
          <cell r="CG435">
            <v>8148</v>
          </cell>
          <cell r="CH435">
            <v>7978</v>
          </cell>
          <cell r="CI435">
            <v>8371</v>
          </cell>
          <cell r="CJ435">
            <v>8940</v>
          </cell>
          <cell r="CK435">
            <v>8705</v>
          </cell>
          <cell r="CL435">
            <v>8099</v>
          </cell>
          <cell r="CM435">
            <v>8116</v>
          </cell>
          <cell r="CN435">
            <v>8304</v>
          </cell>
          <cell r="CO435">
            <v>8320</v>
          </cell>
          <cell r="CP435">
            <v>7776</v>
          </cell>
          <cell r="CQ435">
            <v>8688</v>
          </cell>
          <cell r="CR435">
            <v>9450</v>
          </cell>
          <cell r="CS435">
            <v>9312</v>
          </cell>
          <cell r="CT435">
            <v>8450</v>
          </cell>
          <cell r="CU435">
            <v>9424</v>
          </cell>
          <cell r="CV435">
            <v>10198</v>
          </cell>
          <cell r="CW435">
            <v>10403</v>
          </cell>
          <cell r="CX435">
            <v>10403</v>
          </cell>
          <cell r="CY435">
            <v>10357</v>
          </cell>
          <cell r="CZ435">
            <v>11105</v>
          </cell>
          <cell r="DA435">
            <v>10629</v>
          </cell>
          <cell r="DB435">
            <v>9609</v>
          </cell>
          <cell r="DC435">
            <v>9820</v>
          </cell>
          <cell r="DD435">
            <v>10124</v>
          </cell>
          <cell r="DE435">
            <v>6821</v>
          </cell>
          <cell r="DF435">
            <v>7298</v>
          </cell>
          <cell r="DG435">
            <v>8434</v>
          </cell>
          <cell r="DH435">
            <v>9379</v>
          </cell>
          <cell r="DI435">
            <v>9270</v>
          </cell>
          <cell r="DJ435">
            <v>8666</v>
          </cell>
          <cell r="DK435">
            <v>10365</v>
          </cell>
          <cell r="DL435">
            <v>11764</v>
          </cell>
        </row>
        <row r="436">
          <cell r="B436" t="str">
            <v>Division 1 Sales</v>
          </cell>
          <cell r="C436" t="str">
            <v>DIV1_REVS</v>
          </cell>
          <cell r="D436" t="str">
            <v>SEK</v>
          </cell>
          <cell r="AD436">
            <v>32099</v>
          </cell>
          <cell r="AE436">
            <v>33809</v>
          </cell>
          <cell r="AF436">
            <v>32852</v>
          </cell>
          <cell r="AG436">
            <v>35778</v>
          </cell>
          <cell r="AH436">
            <v>40757</v>
          </cell>
          <cell r="AI436">
            <v>41123</v>
          </cell>
          <cell r="AJ436">
            <v>32477</v>
          </cell>
          <cell r="AK436">
            <v>36681</v>
          </cell>
          <cell r="AL436">
            <v>43766.076141011501</v>
          </cell>
          <cell r="AM436">
            <v>42969.672046934757</v>
          </cell>
          <cell r="AN436">
            <v>44619.009385167934</v>
          </cell>
          <cell r="AO436">
            <v>46172.108365103508</v>
          </cell>
          <cell r="AP436">
            <v>46394.875917093334</v>
          </cell>
          <cell r="CF436">
            <v>7703</v>
          </cell>
          <cell r="CG436">
            <v>8006</v>
          </cell>
          <cell r="CH436">
            <v>7981</v>
          </cell>
          <cell r="CI436">
            <v>8409</v>
          </cell>
          <cell r="CJ436">
            <v>8737</v>
          </cell>
          <cell r="CK436">
            <v>8661</v>
          </cell>
          <cell r="CL436">
            <v>8159</v>
          </cell>
          <cell r="CM436">
            <v>8253</v>
          </cell>
          <cell r="CN436">
            <v>8025</v>
          </cell>
          <cell r="CO436">
            <v>8235</v>
          </cell>
          <cell r="CP436">
            <v>7859</v>
          </cell>
          <cell r="CQ436">
            <v>8734</v>
          </cell>
          <cell r="CR436">
            <v>8909</v>
          </cell>
          <cell r="CS436">
            <v>9071</v>
          </cell>
          <cell r="CT436">
            <v>8488</v>
          </cell>
          <cell r="CU436">
            <v>9310</v>
          </cell>
          <cell r="CV436">
            <v>9761</v>
          </cell>
          <cell r="CW436">
            <v>10391</v>
          </cell>
          <cell r="CX436">
            <v>10100</v>
          </cell>
          <cell r="CY436">
            <v>10406</v>
          </cell>
          <cell r="CZ436">
            <v>10679</v>
          </cell>
          <cell r="DA436">
            <v>10674</v>
          </cell>
          <cell r="DB436">
            <v>9927</v>
          </cell>
          <cell r="DC436">
            <v>9844</v>
          </cell>
          <cell r="DD436">
            <v>9766</v>
          </cell>
          <cell r="DE436">
            <v>7247</v>
          </cell>
          <cell r="DF436">
            <v>7325</v>
          </cell>
          <cell r="DG436">
            <v>8139</v>
          </cell>
          <cell r="DH436">
            <v>8782</v>
          </cell>
          <cell r="DI436">
            <v>9083</v>
          </cell>
          <cell r="DJ436">
            <v>8820</v>
          </cell>
          <cell r="DK436">
            <v>9996</v>
          </cell>
          <cell r="DL436">
            <v>10877</v>
          </cell>
        </row>
        <row r="437">
          <cell r="B437" t="str">
            <v>Division 2 EBIT</v>
          </cell>
          <cell r="C437" t="str">
            <v>DIV2_EBIT</v>
          </cell>
          <cell r="D437" t="str">
            <v>SEK</v>
          </cell>
          <cell r="AD437">
            <v>2507.0000072263001</v>
          </cell>
          <cell r="AE437">
            <v>3493</v>
          </cell>
          <cell r="AF437">
            <v>3206</v>
          </cell>
          <cell r="AG437">
            <v>5864</v>
          </cell>
          <cell r="AH437">
            <v>7542</v>
          </cell>
          <cell r="AI437">
            <v>8911</v>
          </cell>
          <cell r="AJ437">
            <v>6885</v>
          </cell>
          <cell r="AK437">
            <v>8659</v>
          </cell>
          <cell r="AL437">
            <v>11405.481770614797</v>
          </cell>
          <cell r="AM437">
            <v>13003.635324476822</v>
          </cell>
          <cell r="AN437">
            <v>14033.401896615138</v>
          </cell>
          <cell r="AO437">
            <v>15374.73429681609</v>
          </cell>
          <cell r="AP437">
            <v>16718.58086530081</v>
          </cell>
          <cell r="CF437">
            <v>646</v>
          </cell>
          <cell r="CG437">
            <v>512.00020053599997</v>
          </cell>
          <cell r="CH437">
            <v>613.99980669029992</v>
          </cell>
          <cell r="CI437">
            <v>735</v>
          </cell>
          <cell r="CJ437">
            <v>874</v>
          </cell>
          <cell r="CK437">
            <v>969</v>
          </cell>
          <cell r="CL437">
            <v>907</v>
          </cell>
          <cell r="CM437">
            <v>743</v>
          </cell>
          <cell r="CN437">
            <v>705</v>
          </cell>
          <cell r="CO437">
            <v>698</v>
          </cell>
          <cell r="CP437">
            <v>817</v>
          </cell>
          <cell r="CQ437">
            <v>986</v>
          </cell>
          <cell r="CR437">
            <v>1173</v>
          </cell>
          <cell r="CS437">
            <v>1508</v>
          </cell>
          <cell r="CT437">
            <v>1471</v>
          </cell>
          <cell r="CU437">
            <v>1712</v>
          </cell>
          <cell r="CV437">
            <v>1402</v>
          </cell>
          <cell r="CW437">
            <v>1865</v>
          </cell>
          <cell r="CX437">
            <v>1966</v>
          </cell>
          <cell r="CY437">
            <v>2238</v>
          </cell>
          <cell r="CZ437">
            <v>1817</v>
          </cell>
          <cell r="DA437">
            <v>2126</v>
          </cell>
          <cell r="DB437">
            <v>2338</v>
          </cell>
          <cell r="DC437">
            <v>2630</v>
          </cell>
          <cell r="DD437">
            <v>1453</v>
          </cell>
          <cell r="DE437">
            <v>1601</v>
          </cell>
          <cell r="DF437">
            <v>1820</v>
          </cell>
          <cell r="DG437">
            <v>2011</v>
          </cell>
          <cell r="DH437">
            <v>1676</v>
          </cell>
          <cell r="DI437">
            <v>1859</v>
          </cell>
          <cell r="DJ437">
            <v>2339</v>
          </cell>
          <cell r="DK437">
            <v>2782</v>
          </cell>
          <cell r="DL437">
            <v>2413</v>
          </cell>
        </row>
        <row r="438">
          <cell r="B438" t="str">
            <v>Division 2 Name</v>
          </cell>
          <cell r="C438" t="str">
            <v>DIV2_NAME</v>
          </cell>
          <cell r="E438" t="str">
            <v>Mining and Rock Solutions</v>
          </cell>
        </row>
        <row r="439">
          <cell r="B439" t="str">
            <v>Division 2 OGS</v>
          </cell>
          <cell r="C439" t="str">
            <v>DIV2_OGS</v>
          </cell>
          <cell r="AD439">
            <v>-0.1228764297</v>
          </cell>
          <cell r="AE439">
            <v>-3.2361643599999997E-2</v>
          </cell>
          <cell r="AF439">
            <v>-3.3627229299999999E-2</v>
          </cell>
          <cell r="AG439">
            <v>0.21</v>
          </cell>
          <cell r="AH439">
            <v>0.15</v>
          </cell>
          <cell r="AI439">
            <v>0.04</v>
          </cell>
          <cell r="AJ439">
            <v>-0.04</v>
          </cell>
          <cell r="AK439">
            <v>0.16</v>
          </cell>
          <cell r="AL439">
            <v>0.16257059075296496</v>
          </cell>
          <cell r="AM439">
            <v>8.2824107847996292E-2</v>
          </cell>
          <cell r="AN439">
            <v>6.5000000000000002E-2</v>
          </cell>
          <cell r="AO439">
            <v>0.08</v>
          </cell>
          <cell r="AP439">
            <v>6.9999999999999993E-2</v>
          </cell>
          <cell r="CF439">
            <v>-0.15642489700000001</v>
          </cell>
          <cell r="CG439">
            <v>-0.15858431880000001</v>
          </cell>
          <cell r="CH439">
            <v>-7.2008973899999995E-2</v>
          </cell>
          <cell r="CI439">
            <v>-8.7869237599999997E-2</v>
          </cell>
          <cell r="CJ439">
            <v>-5.44430095E-2</v>
          </cell>
          <cell r="CK439">
            <v>-3.0942763700000001E-2</v>
          </cell>
          <cell r="CL439">
            <v>-1.75267297E-2</v>
          </cell>
          <cell r="CM439">
            <v>-2.3523504899999999E-2</v>
          </cell>
          <cell r="CN439">
            <v>-3.5882452500000002E-2</v>
          </cell>
          <cell r="CO439">
            <v>-4.2481762499999999E-2</v>
          </cell>
          <cell r="CP439">
            <v>-4.7038946599999999E-2</v>
          </cell>
          <cell r="CQ439">
            <v>-8.1991667999999993E-3</v>
          </cell>
          <cell r="CR439">
            <v>0.06</v>
          </cell>
          <cell r="CS439">
            <v>0.17</v>
          </cell>
          <cell r="CT439">
            <v>0.17</v>
          </cell>
          <cell r="CU439">
            <v>0.21</v>
          </cell>
          <cell r="CV439">
            <v>0.16</v>
          </cell>
          <cell r="CW439">
            <v>0.16</v>
          </cell>
          <cell r="CX439">
            <v>0.14000000000000001</v>
          </cell>
          <cell r="CY439">
            <v>0.15</v>
          </cell>
          <cell r="CZ439">
            <v>0.06</v>
          </cell>
          <cell r="DA439">
            <v>0.02</v>
          </cell>
          <cell r="DB439">
            <v>0.03</v>
          </cell>
          <cell r="DC439">
            <v>0.03</v>
          </cell>
          <cell r="DD439">
            <v>-0.02</v>
          </cell>
          <cell r="DE439">
            <v>-0.11</v>
          </cell>
          <cell r="DF439">
            <v>-0.01</v>
          </cell>
          <cell r="DG439">
            <v>-0.01</v>
          </cell>
          <cell r="DH439">
            <v>0.08</v>
          </cell>
          <cell r="DI439">
            <v>0.21</v>
          </cell>
          <cell r="DJ439">
            <v>0.12</v>
          </cell>
          <cell r="DK439">
            <v>0.2</v>
          </cell>
          <cell r="DL439">
            <v>0.13</v>
          </cell>
        </row>
        <row r="440">
          <cell r="B440" t="str">
            <v>Division 2 Order Backlog</v>
          </cell>
          <cell r="C440" t="str">
            <v>DIV2_ORDERBACKLOG</v>
          </cell>
        </row>
        <row r="441">
          <cell r="B441" t="str">
            <v>Division 2 Order Intake</v>
          </cell>
          <cell r="C441" t="str">
            <v>DIV2_ORDERINTAKE</v>
          </cell>
          <cell r="AD441">
            <v>29752</v>
          </cell>
          <cell r="AE441">
            <v>32335</v>
          </cell>
          <cell r="AF441">
            <v>31886</v>
          </cell>
          <cell r="AG441">
            <v>38973</v>
          </cell>
          <cell r="AH441">
            <v>43627</v>
          </cell>
          <cell r="AI441">
            <v>44379</v>
          </cell>
          <cell r="AJ441">
            <v>34832</v>
          </cell>
          <cell r="AK441">
            <v>47460</v>
          </cell>
          <cell r="AL441">
            <v>64670.909123803882</v>
          </cell>
          <cell r="AM441">
            <v>67257.745488756045</v>
          </cell>
          <cell r="AN441">
            <v>72638.365127856538</v>
          </cell>
          <cell r="AO441">
            <v>79902.201640642204</v>
          </cell>
          <cell r="AP441">
            <v>85495.355755487166</v>
          </cell>
          <cell r="CF441">
            <v>7176</v>
          </cell>
          <cell r="CG441">
            <v>7229</v>
          </cell>
          <cell r="CH441">
            <v>7767</v>
          </cell>
          <cell r="CI441">
            <v>7579</v>
          </cell>
          <cell r="CJ441">
            <v>8580</v>
          </cell>
          <cell r="CK441">
            <v>8757</v>
          </cell>
          <cell r="CL441">
            <v>7676</v>
          </cell>
          <cell r="CM441">
            <v>7322</v>
          </cell>
          <cell r="CN441">
            <v>7266</v>
          </cell>
          <cell r="CO441">
            <v>7539</v>
          </cell>
          <cell r="CP441">
            <v>7936</v>
          </cell>
          <cell r="CQ441">
            <v>9145</v>
          </cell>
          <cell r="CR441">
            <v>10247</v>
          </cell>
          <cell r="CS441">
            <v>9949</v>
          </cell>
          <cell r="CT441">
            <v>9191</v>
          </cell>
          <cell r="CU441">
            <v>9586</v>
          </cell>
          <cell r="CV441">
            <v>10230</v>
          </cell>
          <cell r="CW441">
            <v>11405</v>
          </cell>
          <cell r="CX441">
            <v>10047</v>
          </cell>
          <cell r="CY441">
            <v>10988</v>
          </cell>
          <cell r="CZ441">
            <v>11369</v>
          </cell>
          <cell r="DA441">
            <v>11318</v>
          </cell>
          <cell r="DB441">
            <v>11006</v>
          </cell>
          <cell r="DC441">
            <v>10686</v>
          </cell>
          <cell r="DD441">
            <v>8598</v>
          </cell>
          <cell r="DE441">
            <v>8400</v>
          </cell>
          <cell r="DF441">
            <v>8519</v>
          </cell>
          <cell r="DG441">
            <v>9314</v>
          </cell>
          <cell r="DH441">
            <v>10469</v>
          </cell>
          <cell r="DI441">
            <v>10399</v>
          </cell>
          <cell r="DJ441">
            <v>12122</v>
          </cell>
          <cell r="DK441">
            <v>14470</v>
          </cell>
          <cell r="DL441">
            <v>16060</v>
          </cell>
        </row>
        <row r="442">
          <cell r="B442" t="str">
            <v>Division 2 Sales</v>
          </cell>
          <cell r="C442" t="str">
            <v>DIV2_REVS</v>
          </cell>
          <cell r="D442" t="str">
            <v>SEK</v>
          </cell>
          <cell r="AD442">
            <v>30643</v>
          </cell>
          <cell r="AE442">
            <v>33131</v>
          </cell>
          <cell r="AF442">
            <v>31093</v>
          </cell>
          <cell r="AG442">
            <v>36547</v>
          </cell>
          <cell r="AH442">
            <v>41058</v>
          </cell>
          <cell r="AI442">
            <v>44777</v>
          </cell>
          <cell r="AJ442">
            <v>33572</v>
          </cell>
          <cell r="AK442">
            <v>41409</v>
          </cell>
          <cell r="AL442">
            <v>57747.446235299583</v>
          </cell>
          <cell r="AM442">
            <v>63685.275874944396</v>
          </cell>
          <cell r="AN442">
            <v>69098.524324314669</v>
          </cell>
          <cell r="AO442">
            <v>76008.376756746147</v>
          </cell>
          <cell r="AP442">
            <v>82849.130664853306</v>
          </cell>
          <cell r="CF442">
            <v>6975</v>
          </cell>
          <cell r="CG442">
            <v>7497</v>
          </cell>
          <cell r="CH442">
            <v>8005</v>
          </cell>
          <cell r="CI442">
            <v>8166</v>
          </cell>
          <cell r="CJ442">
            <v>8227</v>
          </cell>
          <cell r="CK442">
            <v>8561</v>
          </cell>
          <cell r="CL442">
            <v>8270</v>
          </cell>
          <cell r="CM442">
            <v>8073</v>
          </cell>
          <cell r="CN442">
            <v>7344</v>
          </cell>
          <cell r="CO442">
            <v>7540</v>
          </cell>
          <cell r="CP442">
            <v>7791</v>
          </cell>
          <cell r="CQ442">
            <v>8418</v>
          </cell>
          <cell r="CR442">
            <v>8378</v>
          </cell>
          <cell r="CS442">
            <v>9450</v>
          </cell>
          <cell r="CT442">
            <v>8987</v>
          </cell>
          <cell r="CU442">
            <v>9732</v>
          </cell>
          <cell r="CV442">
            <v>9324</v>
          </cell>
          <cell r="CW442">
            <v>10471</v>
          </cell>
          <cell r="CX442">
            <v>10406</v>
          </cell>
          <cell r="CY442">
            <v>11254</v>
          </cell>
          <cell r="CZ442">
            <v>10103</v>
          </cell>
          <cell r="DA442">
            <v>11233</v>
          </cell>
          <cell r="DB442">
            <v>11244</v>
          </cell>
          <cell r="DC442">
            <v>12197</v>
          </cell>
          <cell r="DD442">
            <v>8244</v>
          </cell>
          <cell r="DE442">
            <v>7899</v>
          </cell>
          <cell r="DF442">
            <v>8399</v>
          </cell>
          <cell r="DG442">
            <v>9031</v>
          </cell>
          <cell r="DH442">
            <v>8020</v>
          </cell>
          <cell r="DI442">
            <v>9090</v>
          </cell>
          <cell r="DJ442">
            <v>11114</v>
          </cell>
          <cell r="DK442">
            <v>13185</v>
          </cell>
          <cell r="DL442">
            <v>12029</v>
          </cell>
        </row>
        <row r="443">
          <cell r="B443" t="str">
            <v>Division 3 EBIT</v>
          </cell>
          <cell r="C443" t="str">
            <v>DIV3_EBIT</v>
          </cell>
          <cell r="D443" t="str">
            <v>SEK</v>
          </cell>
          <cell r="AA443">
            <v>1971.3969030874919</v>
          </cell>
          <cell r="AB443">
            <v>1312</v>
          </cell>
          <cell r="AC443">
            <v>1270</v>
          </cell>
          <cell r="AD443">
            <v>1808.9999952727999</v>
          </cell>
          <cell r="AE443">
            <v>818</v>
          </cell>
          <cell r="AF443">
            <v>1115</v>
          </cell>
          <cell r="AG443">
            <v>674</v>
          </cell>
          <cell r="AH443">
            <v>1331</v>
          </cell>
          <cell r="AI443">
            <v>1787</v>
          </cell>
          <cell r="AJ443">
            <v>1032</v>
          </cell>
          <cell r="AK443">
            <v>1448.6</v>
          </cell>
          <cell r="AL443">
            <v>2643.6392419291383</v>
          </cell>
          <cell r="AM443">
            <v>0</v>
          </cell>
          <cell r="AN443">
            <v>0</v>
          </cell>
          <cell r="AO443">
            <v>0</v>
          </cell>
          <cell r="AP443">
            <v>0</v>
          </cell>
          <cell r="CF443">
            <v>421</v>
          </cell>
          <cell r="CG443">
            <v>647</v>
          </cell>
          <cell r="CH443">
            <v>482</v>
          </cell>
          <cell r="CI443">
            <v>258.99999527279999</v>
          </cell>
          <cell r="CJ443">
            <v>365</v>
          </cell>
          <cell r="CK443">
            <v>286</v>
          </cell>
          <cell r="CL443">
            <v>49</v>
          </cell>
          <cell r="CM443">
            <v>118</v>
          </cell>
          <cell r="CN443">
            <v>216</v>
          </cell>
          <cell r="CO443">
            <v>297</v>
          </cell>
          <cell r="CP443">
            <v>197</v>
          </cell>
          <cell r="CQ443">
            <v>404</v>
          </cell>
          <cell r="CR443">
            <v>335</v>
          </cell>
          <cell r="CS443">
            <v>189</v>
          </cell>
          <cell r="CT443">
            <v>-64</v>
          </cell>
          <cell r="CU443">
            <v>214</v>
          </cell>
          <cell r="CV443">
            <v>369</v>
          </cell>
          <cell r="CW443">
            <v>557</v>
          </cell>
          <cell r="CX443">
            <v>237</v>
          </cell>
          <cell r="CY443">
            <v>247</v>
          </cell>
          <cell r="CZ443">
            <v>307</v>
          </cell>
          <cell r="DA443">
            <v>585</v>
          </cell>
          <cell r="DB443">
            <v>236</v>
          </cell>
          <cell r="DC443">
            <v>659</v>
          </cell>
          <cell r="DD443">
            <v>139</v>
          </cell>
          <cell r="DE443">
            <v>248</v>
          </cell>
          <cell r="DF443">
            <v>116</v>
          </cell>
          <cell r="DG443">
            <v>528</v>
          </cell>
          <cell r="DH443">
            <v>337.64</v>
          </cell>
          <cell r="DI443">
            <v>368.52</v>
          </cell>
          <cell r="DJ443">
            <v>300.68</v>
          </cell>
          <cell r="DK443">
            <v>436.76</v>
          </cell>
          <cell r="DL443">
            <v>710</v>
          </cell>
        </row>
        <row r="444">
          <cell r="B444" t="str">
            <v>Division 3 Name</v>
          </cell>
          <cell r="C444" t="str">
            <v>DIV3_NAME</v>
          </cell>
          <cell r="E444" t="str">
            <v>Materials Technology</v>
          </cell>
        </row>
        <row r="445">
          <cell r="B445" t="str">
            <v>Division 3 OGS</v>
          </cell>
          <cell r="C445" t="str">
            <v>DIV3_OGS</v>
          </cell>
          <cell r="AB445">
            <v>-6.2494363744232638E-2</v>
          </cell>
          <cell r="AC445">
            <v>-5.8242759518385943E-2</v>
          </cell>
          <cell r="AD445">
            <v>5.6061258000000003E-2</v>
          </cell>
          <cell r="AE445">
            <v>-8.3731393500000001E-2</v>
          </cell>
          <cell r="AF445">
            <v>-7.3277677900000004E-2</v>
          </cell>
          <cell r="AG445">
            <v>0.1</v>
          </cell>
          <cell r="AH445">
            <v>0.12</v>
          </cell>
          <cell r="AI445">
            <v>0.03</v>
          </cell>
          <cell r="AJ445">
            <v>-9.8583032200000004E-2</v>
          </cell>
          <cell r="AK445">
            <v>-0.04</v>
          </cell>
          <cell r="AL445">
            <v>-0.12334738906068889</v>
          </cell>
          <cell r="AM445">
            <v>0</v>
          </cell>
          <cell r="AN445">
            <v>0</v>
          </cell>
          <cell r="AO445">
            <v>0</v>
          </cell>
          <cell r="AP445">
            <v>0</v>
          </cell>
          <cell r="CF445">
            <v>3.0246400499999999E-2</v>
          </cell>
          <cell r="CG445">
            <v>-2.81464271E-2</v>
          </cell>
          <cell r="CH445">
            <v>0.1199238346</v>
          </cell>
          <cell r="CI445">
            <v>0.1192088791</v>
          </cell>
          <cell r="CJ445">
            <v>5.5406342999999997E-3</v>
          </cell>
          <cell r="CK445">
            <v>-8.0723397799999999E-2</v>
          </cell>
          <cell r="CL445">
            <v>-0.13467414999999999</v>
          </cell>
          <cell r="CM445">
            <v>-0.1219500463</v>
          </cell>
          <cell r="CN445">
            <v>-0.1242088737</v>
          </cell>
          <cell r="CO445">
            <v>-5.5518351600000002E-2</v>
          </cell>
          <cell r="CP445">
            <v>-7.2268811200000005E-2</v>
          </cell>
          <cell r="CQ445">
            <v>-3.7594705899999997E-2</v>
          </cell>
          <cell r="CR445">
            <v>-0.01</v>
          </cell>
          <cell r="CS445">
            <v>7.0000000000000007E-2</v>
          </cell>
          <cell r="CT445">
            <v>0.03</v>
          </cell>
          <cell r="CU445">
            <v>0.1</v>
          </cell>
          <cell r="CV445">
            <v>0.18</v>
          </cell>
          <cell r="CW445">
            <v>7.0000000000000007E-2</v>
          </cell>
          <cell r="CX445">
            <v>0.16</v>
          </cell>
          <cell r="CY445">
            <v>0.1</v>
          </cell>
          <cell r="CZ445">
            <v>0.04</v>
          </cell>
          <cell r="DA445">
            <v>0.03</v>
          </cell>
          <cell r="DB445">
            <v>0.03</v>
          </cell>
          <cell r="DC445">
            <v>0.01</v>
          </cell>
          <cell r="DD445">
            <v>-0.03</v>
          </cell>
          <cell r="DE445">
            <v>-0.13</v>
          </cell>
          <cell r="DF445">
            <v>-0.13</v>
          </cell>
          <cell r="DG445">
            <v>-0.1035288118</v>
          </cell>
          <cell r="DH445">
            <v>-0.13</v>
          </cell>
          <cell r="DI445">
            <v>-0.04</v>
          </cell>
          <cell r="DJ445">
            <v>0.01</v>
          </cell>
          <cell r="DK445">
            <v>0.01</v>
          </cell>
          <cell r="DL445">
            <v>0.12</v>
          </cell>
        </row>
        <row r="446">
          <cell r="B446" t="str">
            <v>Division 3 Order Backlog</v>
          </cell>
          <cell r="C446" t="str">
            <v>DIV3_ORDERBACKLOG</v>
          </cell>
        </row>
        <row r="447">
          <cell r="B447" t="str">
            <v>Division 3 Order Intake</v>
          </cell>
          <cell r="C447" t="str">
            <v>DIV3_ORDERINTAKE</v>
          </cell>
          <cell r="W447">
            <v>20808.839315835921</v>
          </cell>
          <cell r="X447">
            <v>19325.153875549491</v>
          </cell>
          <cell r="Y447">
            <v>14513.708748165389</v>
          </cell>
          <cell r="Z447">
            <v>18665.077598552711</v>
          </cell>
          <cell r="AA447">
            <v>16349.910258918442</v>
          </cell>
          <cell r="AB447">
            <v>14708</v>
          </cell>
          <cell r="AC447">
            <v>13415</v>
          </cell>
          <cell r="AD447">
            <v>14713</v>
          </cell>
          <cell r="AE447">
            <v>12625</v>
          </cell>
          <cell r="AF447">
            <v>12036</v>
          </cell>
          <cell r="AG447">
            <v>14739</v>
          </cell>
          <cell r="AH447">
            <v>16272</v>
          </cell>
          <cell r="AI447">
            <v>16475</v>
          </cell>
          <cell r="AJ447">
            <v>11910</v>
          </cell>
          <cell r="AK447">
            <v>15234</v>
          </cell>
          <cell r="AL447">
            <v>15487.517373150395</v>
          </cell>
          <cell r="AM447">
            <v>0</v>
          </cell>
          <cell r="AN447">
            <v>0</v>
          </cell>
          <cell r="AO447">
            <v>0</v>
          </cell>
          <cell r="AP447">
            <v>0</v>
          </cell>
          <cell r="CF447">
            <v>4633</v>
          </cell>
          <cell r="CG447">
            <v>3449</v>
          </cell>
          <cell r="CH447">
            <v>3335</v>
          </cell>
          <cell r="CI447">
            <v>3296</v>
          </cell>
          <cell r="CJ447">
            <v>3725</v>
          </cell>
          <cell r="CK447">
            <v>3054</v>
          </cell>
          <cell r="CL447">
            <v>2847</v>
          </cell>
          <cell r="CM447">
            <v>2999</v>
          </cell>
          <cell r="CN447">
            <v>3488</v>
          </cell>
          <cell r="CO447">
            <v>2753</v>
          </cell>
          <cell r="CP447">
            <v>2851</v>
          </cell>
          <cell r="CQ447">
            <v>2943</v>
          </cell>
          <cell r="CR447">
            <v>3746</v>
          </cell>
          <cell r="CS447">
            <v>3985</v>
          </cell>
          <cell r="CT447">
            <v>3045</v>
          </cell>
          <cell r="CU447">
            <v>3963</v>
          </cell>
          <cell r="CV447">
            <v>4024</v>
          </cell>
          <cell r="CW447">
            <v>4550</v>
          </cell>
          <cell r="CX447">
            <v>3677</v>
          </cell>
          <cell r="CY447">
            <v>3817</v>
          </cell>
          <cell r="CZ447">
            <v>4930</v>
          </cell>
          <cell r="DA447">
            <v>3535</v>
          </cell>
          <cell r="DB447">
            <v>3867</v>
          </cell>
          <cell r="DC447">
            <v>4143</v>
          </cell>
          <cell r="DD447">
            <v>4365</v>
          </cell>
          <cell r="DE447">
            <v>2377</v>
          </cell>
          <cell r="DF447">
            <v>2477</v>
          </cell>
          <cell r="DG447">
            <v>2691</v>
          </cell>
          <cell r="DH447">
            <v>3641</v>
          </cell>
          <cell r="DI447">
            <v>4041</v>
          </cell>
          <cell r="DJ447">
            <v>3422</v>
          </cell>
          <cell r="DK447">
            <v>4130</v>
          </cell>
          <cell r="DL447">
            <v>5858</v>
          </cell>
        </row>
        <row r="448">
          <cell r="B448" t="str">
            <v>Division 3 Sales</v>
          </cell>
          <cell r="C448" t="str">
            <v>DIV3_REVS</v>
          </cell>
          <cell r="D448" t="str">
            <v>SEK</v>
          </cell>
          <cell r="AA448">
            <v>16338</v>
          </cell>
          <cell r="AB448">
            <v>15366</v>
          </cell>
          <cell r="AC448">
            <v>14035</v>
          </cell>
          <cell r="AD448">
            <v>14906</v>
          </cell>
          <cell r="AE448">
            <v>13909</v>
          </cell>
          <cell r="AF448">
            <v>12931</v>
          </cell>
          <cell r="AG448">
            <v>13643</v>
          </cell>
          <cell r="AH448">
            <v>14697</v>
          </cell>
          <cell r="AI448">
            <v>15279</v>
          </cell>
          <cell r="AJ448">
            <v>13598</v>
          </cell>
          <cell r="AK448">
            <v>13405</v>
          </cell>
          <cell r="AL448">
            <v>12575.355152445267</v>
          </cell>
          <cell r="AM448">
            <v>0</v>
          </cell>
          <cell r="AN448">
            <v>0</v>
          </cell>
          <cell r="AO448">
            <v>0</v>
          </cell>
          <cell r="AP448">
            <v>0</v>
          </cell>
          <cell r="CF448">
            <v>3547</v>
          </cell>
          <cell r="CG448">
            <v>3866</v>
          </cell>
          <cell r="CH448">
            <v>3735</v>
          </cell>
          <cell r="CI448">
            <v>3758</v>
          </cell>
          <cell r="CJ448">
            <v>3712</v>
          </cell>
          <cell r="CK448">
            <v>3639</v>
          </cell>
          <cell r="CL448">
            <v>3161</v>
          </cell>
          <cell r="CM448">
            <v>3398</v>
          </cell>
          <cell r="CN448">
            <v>3231</v>
          </cell>
          <cell r="CO448">
            <v>3389</v>
          </cell>
          <cell r="CP448">
            <v>2945</v>
          </cell>
          <cell r="CQ448">
            <v>3366</v>
          </cell>
          <cell r="CR448">
            <v>3275</v>
          </cell>
          <cell r="CS448">
            <v>3755</v>
          </cell>
          <cell r="CT448">
            <v>2980</v>
          </cell>
          <cell r="CU448">
            <v>3633</v>
          </cell>
          <cell r="CV448">
            <v>3738</v>
          </cell>
          <cell r="CW448">
            <v>3871</v>
          </cell>
          <cell r="CX448">
            <v>3344</v>
          </cell>
          <cell r="CY448">
            <v>3842</v>
          </cell>
          <cell r="CZ448">
            <v>3773</v>
          </cell>
          <cell r="DA448">
            <v>4011</v>
          </cell>
          <cell r="DB448">
            <v>3482</v>
          </cell>
          <cell r="DC448">
            <v>4013</v>
          </cell>
          <cell r="DD448">
            <v>3782</v>
          </cell>
          <cell r="DE448">
            <v>3495</v>
          </cell>
          <cell r="DF448">
            <v>2886</v>
          </cell>
          <cell r="DG448">
            <v>3435</v>
          </cell>
          <cell r="DH448">
            <v>3162</v>
          </cell>
          <cell r="DI448">
            <v>3324</v>
          </cell>
          <cell r="DJ448">
            <v>3101</v>
          </cell>
          <cell r="DK448">
            <v>3818</v>
          </cell>
          <cell r="DL448">
            <v>4084</v>
          </cell>
        </row>
        <row r="449">
          <cell r="B449" t="str">
            <v>Division 4 EBIT</v>
          </cell>
          <cell r="C449" t="str">
            <v>DIV4_EBIT</v>
          </cell>
          <cell r="D449" t="str">
            <v>SEK</v>
          </cell>
          <cell r="AA449">
            <v>2530.1772171883013</v>
          </cell>
          <cell r="AB449">
            <v>289</v>
          </cell>
          <cell r="AC449">
            <v>905</v>
          </cell>
          <cell r="AD449">
            <v>-1250</v>
          </cell>
          <cell r="AE449">
            <v>-1059.5999999999999</v>
          </cell>
          <cell r="AF449">
            <v>-818</v>
          </cell>
          <cell r="AG449">
            <v>-774</v>
          </cell>
          <cell r="AH449">
            <v>-685</v>
          </cell>
          <cell r="AI449">
            <v>-649</v>
          </cell>
          <cell r="AJ449">
            <v>-461</v>
          </cell>
          <cell r="AK449">
            <v>-610.6</v>
          </cell>
          <cell r="AL449">
            <v>-610.6</v>
          </cell>
          <cell r="AM449">
            <v>-635.6</v>
          </cell>
          <cell r="AN449">
            <v>-685.6</v>
          </cell>
          <cell r="AO449">
            <v>-710.6</v>
          </cell>
          <cell r="AP449">
            <v>-710.6</v>
          </cell>
          <cell r="CF449">
            <v>-333</v>
          </cell>
          <cell r="CG449">
            <v>-342</v>
          </cell>
          <cell r="CH449">
            <v>-263</v>
          </cell>
          <cell r="CI449">
            <v>-312</v>
          </cell>
          <cell r="CJ449">
            <v>-305</v>
          </cell>
          <cell r="CK449">
            <v>-231</v>
          </cell>
          <cell r="CL449">
            <v>-220</v>
          </cell>
          <cell r="CM449">
            <v>-303.60000000000002</v>
          </cell>
          <cell r="CN449">
            <v>-254</v>
          </cell>
          <cell r="CO449">
            <v>-216</v>
          </cell>
          <cell r="CP449">
            <v>-154</v>
          </cell>
          <cell r="CQ449">
            <v>-193</v>
          </cell>
          <cell r="CR449">
            <v>-208</v>
          </cell>
          <cell r="CS449">
            <v>-212</v>
          </cell>
          <cell r="CT449">
            <v>-143</v>
          </cell>
          <cell r="CU449">
            <v>-211</v>
          </cell>
          <cell r="CV449">
            <v>-140</v>
          </cell>
          <cell r="CW449">
            <v>-188</v>
          </cell>
          <cell r="CX449">
            <v>-118</v>
          </cell>
          <cell r="CY449">
            <v>-238</v>
          </cell>
          <cell r="CZ449">
            <v>-166</v>
          </cell>
          <cell r="DA449">
            <v>-311</v>
          </cell>
          <cell r="DB449">
            <v>-121</v>
          </cell>
          <cell r="DC449">
            <v>-51</v>
          </cell>
          <cell r="DD449">
            <v>-138</v>
          </cell>
          <cell r="DE449">
            <v>-129</v>
          </cell>
          <cell r="DF449">
            <v>-82</v>
          </cell>
          <cell r="DG449">
            <v>-112</v>
          </cell>
          <cell r="DH449">
            <v>-106.64</v>
          </cell>
          <cell r="DI449">
            <v>-156.52000000000001</v>
          </cell>
          <cell r="DJ449">
            <v>-75.679999999999993</v>
          </cell>
          <cell r="DK449">
            <v>-271.76</v>
          </cell>
          <cell r="DL449">
            <v>-82</v>
          </cell>
        </row>
        <row r="450">
          <cell r="B450" t="str">
            <v>Division 4 Name</v>
          </cell>
          <cell r="C450" t="str">
            <v>DIV4_NAME</v>
          </cell>
          <cell r="E450" t="str">
            <v>Other</v>
          </cell>
        </row>
        <row r="451">
          <cell r="B451" t="str">
            <v>Division 4 OGS</v>
          </cell>
          <cell r="C451" t="str">
            <v>DIV4_OGS</v>
          </cell>
        </row>
        <row r="452">
          <cell r="B452" t="str">
            <v>Division 4 Order Backlog</v>
          </cell>
          <cell r="C452" t="str">
            <v>DIV4_ORDERBACKLOG</v>
          </cell>
        </row>
        <row r="453">
          <cell r="B453" t="str">
            <v>Division 4 Order Intake</v>
          </cell>
          <cell r="C453" t="str">
            <v>DIV4_ORDERINTAKE</v>
          </cell>
          <cell r="CF453" t="str">
            <v xml:space="preserve"> </v>
          </cell>
        </row>
        <row r="454">
          <cell r="B454" t="str">
            <v>Division 4 Sales</v>
          </cell>
          <cell r="C454" t="str">
            <v>DIV4_REVS</v>
          </cell>
          <cell r="D454" t="str">
            <v>SEK</v>
          </cell>
        </row>
        <row r="455">
          <cell r="B455" t="str">
            <v>Division 5 EBIT</v>
          </cell>
          <cell r="C455" t="str">
            <v>DIV5_EBIT</v>
          </cell>
          <cell r="D455" t="str">
            <v>SEK</v>
          </cell>
          <cell r="AJ455">
            <v>1038</v>
          </cell>
          <cell r="AK455">
            <v>1255</v>
          </cell>
          <cell r="AL455">
            <v>1541.3199868493439</v>
          </cell>
          <cell r="AM455">
            <v>1717.93703419242</v>
          </cell>
          <cell r="AN455">
            <v>1829.6443533811428</v>
          </cell>
          <cell r="AO455">
            <v>1927.9363597299944</v>
          </cell>
          <cell r="AP455">
            <v>1989.7358261613954</v>
          </cell>
          <cell r="DD455">
            <v>208</v>
          </cell>
          <cell r="DE455">
            <v>232</v>
          </cell>
          <cell r="DF455">
            <v>263</v>
          </cell>
          <cell r="DG455">
            <v>335</v>
          </cell>
          <cell r="DH455">
            <v>283</v>
          </cell>
          <cell r="DI455">
            <v>334</v>
          </cell>
          <cell r="DJ455">
            <v>300</v>
          </cell>
          <cell r="DK455">
            <v>338</v>
          </cell>
          <cell r="DL455">
            <v>320</v>
          </cell>
        </row>
        <row r="456">
          <cell r="B456" t="str">
            <v>Division 5 Name</v>
          </cell>
          <cell r="C456" t="str">
            <v>DIV5_NAME</v>
          </cell>
          <cell r="E456" t="str">
            <v>Rock Processing Solutions</v>
          </cell>
        </row>
        <row r="457">
          <cell r="B457" t="str">
            <v>Division 5 OGS</v>
          </cell>
          <cell r="C457" t="str">
            <v>DIV5_OGS</v>
          </cell>
          <cell r="AJ457">
            <v>-0.09</v>
          </cell>
          <cell r="AK457">
            <v>0.19</v>
          </cell>
          <cell r="AL457">
            <v>9.8339482976161366E-2</v>
          </cell>
          <cell r="AM457">
            <v>9.4524496387196622E-2</v>
          </cell>
          <cell r="AN457">
            <v>5.5E-2</v>
          </cell>
          <cell r="AO457">
            <v>0.05</v>
          </cell>
          <cell r="AP457">
            <v>0.03</v>
          </cell>
          <cell r="DD457">
            <v>-0.15</v>
          </cell>
          <cell r="DE457">
            <v>-0.16</v>
          </cell>
          <cell r="DF457">
            <v>-0.06</v>
          </cell>
          <cell r="DG457">
            <v>0</v>
          </cell>
          <cell r="DH457">
            <v>0.19</v>
          </cell>
          <cell r="DI457">
            <v>0.28999999999999998</v>
          </cell>
          <cell r="DJ457">
            <v>0.12</v>
          </cell>
          <cell r="DK457">
            <v>0.15</v>
          </cell>
          <cell r="DL457">
            <v>0.05</v>
          </cell>
        </row>
        <row r="458">
          <cell r="B458" t="str">
            <v>Division 5 Order Backlog</v>
          </cell>
          <cell r="C458" t="str">
            <v>DIV5_ORDERBACKLOG</v>
          </cell>
        </row>
        <row r="459">
          <cell r="B459" t="str">
            <v>Division 5 Order Intake</v>
          </cell>
          <cell r="C459" t="str">
            <v>DIV5_ORDERINTAKE</v>
          </cell>
          <cell r="AJ459">
            <v>6571</v>
          </cell>
          <cell r="AK459">
            <v>8524</v>
          </cell>
          <cell r="AL459">
            <v>9726.2643779427999</v>
          </cell>
          <cell r="AM459">
            <v>10698.890815737081</v>
          </cell>
          <cell r="AN459">
            <v>11554.802080996047</v>
          </cell>
          <cell r="AO459">
            <v>12363.638226665771</v>
          </cell>
          <cell r="AP459">
            <v>12981.820137999061</v>
          </cell>
          <cell r="DD459">
            <v>1973</v>
          </cell>
          <cell r="DE459">
            <v>1373</v>
          </cell>
          <cell r="DF459">
            <v>1614</v>
          </cell>
          <cell r="DG459">
            <v>1612</v>
          </cell>
          <cell r="DH459">
            <v>2358</v>
          </cell>
          <cell r="DI459">
            <v>2147</v>
          </cell>
          <cell r="DJ459">
            <v>2082</v>
          </cell>
          <cell r="DK459">
            <v>1937</v>
          </cell>
          <cell r="DL459">
            <v>2650</v>
          </cell>
        </row>
        <row r="460">
          <cell r="B460" t="str">
            <v>Division 5 Sales</v>
          </cell>
          <cell r="C460" t="str">
            <v>DIV5_REVS</v>
          </cell>
          <cell r="D460" t="str">
            <v>SEK</v>
          </cell>
          <cell r="AJ460">
            <v>6459</v>
          </cell>
          <cell r="AK460">
            <v>7610</v>
          </cell>
          <cell r="AL460">
            <v>9362.8502217241366</v>
          </cell>
          <cell r="AM460">
            <v>10435.125928115845</v>
          </cell>
          <cell r="AN460">
            <v>11217.760372724533</v>
          </cell>
          <cell r="AO460">
            <v>12003.00359881525</v>
          </cell>
          <cell r="AP460">
            <v>12603.153778756014</v>
          </cell>
          <cell r="DD460">
            <v>1531</v>
          </cell>
          <cell r="DE460">
            <v>1590</v>
          </cell>
          <cell r="DF460">
            <v>1536</v>
          </cell>
          <cell r="DG460">
            <v>1802</v>
          </cell>
          <cell r="DH460">
            <v>1727</v>
          </cell>
          <cell r="DI460">
            <v>1964</v>
          </cell>
          <cell r="DJ460">
            <v>1790</v>
          </cell>
          <cell r="DK460">
            <v>2129</v>
          </cell>
          <cell r="DL460">
            <v>2016</v>
          </cell>
        </row>
        <row r="461">
          <cell r="B461" t="str">
            <v>Division 6 EBIT</v>
          </cell>
          <cell r="C461" t="str">
            <v>DIV6_EBIT</v>
          </cell>
          <cell r="D461" t="str">
            <v>SEK</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row>
        <row r="466">
          <cell r="B466" t="str">
            <v>Division 6 Sales</v>
          </cell>
          <cell r="C466" t="str">
            <v>DIV6_REVS</v>
          </cell>
          <cell r="D466" t="str">
            <v>SEK</v>
          </cell>
        </row>
        <row r="467">
          <cell r="B467" t="str">
            <v>Group order backlog</v>
          </cell>
          <cell r="C467" t="str">
            <v>GROUP_ORDERBACKLOG</v>
          </cell>
        </row>
        <row r="468">
          <cell r="B468" t="str">
            <v>Group order intake</v>
          </cell>
          <cell r="C468" t="str">
            <v>GROUP_ORDERINTAKE</v>
          </cell>
          <cell r="R468">
            <v>50230</v>
          </cell>
          <cell r="S468">
            <v>49830</v>
          </cell>
          <cell r="T468">
            <v>56500</v>
          </cell>
          <cell r="U468">
            <v>66186</v>
          </cell>
          <cell r="V468">
            <v>77708</v>
          </cell>
          <cell r="W468">
            <v>92059</v>
          </cell>
          <cell r="X468">
            <v>92610</v>
          </cell>
          <cell r="Y468">
            <v>71285</v>
          </cell>
          <cell r="Z468">
            <v>93285</v>
          </cell>
          <cell r="AA468">
            <v>99076</v>
          </cell>
          <cell r="AB468">
            <v>83240</v>
          </cell>
          <cell r="AC468">
            <v>70657</v>
          </cell>
          <cell r="AD468">
            <v>82057</v>
          </cell>
          <cell r="AE468">
            <v>83597</v>
          </cell>
          <cell r="AF468">
            <v>81861</v>
          </cell>
          <cell r="AG468">
            <v>95444</v>
          </cell>
          <cell r="AH468">
            <v>102510</v>
          </cell>
          <cell r="AI468">
            <v>104076</v>
          </cell>
          <cell r="AJ468">
            <v>86287</v>
          </cell>
          <cell r="AK468">
            <v>93664</v>
          </cell>
          <cell r="AL468">
            <v>118993.74699994244</v>
          </cell>
          <cell r="AM468">
            <v>122501.79471226755</v>
          </cell>
          <cell r="AN468">
            <v>130499.05002895146</v>
          </cell>
          <cell r="AO468">
            <v>140125.36902620451</v>
          </cell>
          <cell r="AP468">
            <v>146477.89579680495</v>
          </cell>
          <cell r="CJ468">
            <v>22570</v>
          </cell>
          <cell r="CK468">
            <v>21762</v>
          </cell>
          <cell r="CL468">
            <v>19721</v>
          </cell>
          <cell r="CM468">
            <v>19526</v>
          </cell>
          <cell r="CN468">
            <v>20294</v>
          </cell>
          <cell r="CO468">
            <v>19863</v>
          </cell>
          <cell r="CP468">
            <v>19695</v>
          </cell>
          <cell r="CQ468">
            <v>21987</v>
          </cell>
          <cell r="CR468">
            <v>25426</v>
          </cell>
          <cell r="CS468">
            <v>24940</v>
          </cell>
          <cell r="CT468">
            <v>22173</v>
          </cell>
          <cell r="CU468">
            <v>24204</v>
          </cell>
          <cell r="CV468">
            <v>25476</v>
          </cell>
          <cell r="CW468">
            <v>27282</v>
          </cell>
          <cell r="CX468">
            <v>24559</v>
          </cell>
          <cell r="CY468">
            <v>25624</v>
          </cell>
          <cell r="CZ468">
            <v>27914</v>
          </cell>
          <cell r="DA468">
            <v>26057</v>
          </cell>
          <cell r="DB468">
            <v>24997</v>
          </cell>
          <cell r="DC468">
            <v>25178</v>
          </cell>
          <cell r="DD468">
            <v>25357</v>
          </cell>
          <cell r="DE468">
            <v>18971</v>
          </cell>
          <cell r="DF468">
            <v>19908</v>
          </cell>
          <cell r="DG468">
            <v>22051</v>
          </cell>
          <cell r="DH468">
            <v>25847</v>
          </cell>
          <cell r="DI468">
            <v>25857</v>
          </cell>
          <cell r="DJ468">
            <v>26292</v>
          </cell>
          <cell r="DK468">
            <v>30902</v>
          </cell>
          <cell r="DL468">
            <v>30474</v>
          </cell>
        </row>
        <row r="469">
          <cell r="B469" t="str">
            <v>Group organic sales growth</v>
          </cell>
          <cell r="C469" t="str">
            <v>GROUP_OGS</v>
          </cell>
          <cell r="M469">
            <v>0.04</v>
          </cell>
          <cell r="N469">
            <v>0.01</v>
          </cell>
          <cell r="O469">
            <v>-0.08</v>
          </cell>
          <cell r="P469">
            <v>0.12</v>
          </cell>
          <cell r="Q469">
            <v>0.03</v>
          </cell>
          <cell r="R469">
            <v>-7.0000000000000007E-2</v>
          </cell>
          <cell r="S469">
            <v>0.05</v>
          </cell>
          <cell r="T469">
            <v>0.15</v>
          </cell>
          <cell r="U469">
            <v>0.14000000000000001</v>
          </cell>
          <cell r="V469">
            <v>0.14000000000000001</v>
          </cell>
          <cell r="W469">
            <v>0.18</v>
          </cell>
          <cell r="X469">
            <v>0.05</v>
          </cell>
          <cell r="Y469">
            <v>-0.26</v>
          </cell>
          <cell r="Z469">
            <v>0.16931694901109906</v>
          </cell>
          <cell r="AA469">
            <v>0.20284496040434521</v>
          </cell>
          <cell r="AB469">
            <v>5.1735321013121241E-2</v>
          </cell>
          <cell r="AC469">
            <v>-5.8935237341290379E-2</v>
          </cell>
          <cell r="AD469">
            <v>-2.34589547E-2</v>
          </cell>
          <cell r="AE469">
            <v>-4.3398136974640684E-2</v>
          </cell>
          <cell r="AF469">
            <v>-3.636661737672451E-2</v>
          </cell>
          <cell r="AG469">
            <v>0.14449021801342421</v>
          </cell>
          <cell r="AH469">
            <v>0.11610657453936349</v>
          </cell>
          <cell r="AI469">
            <v>-3.7527975795755984E-3</v>
          </cell>
          <cell r="AJ469">
            <v>-0.110875153</v>
          </cell>
          <cell r="AK469">
            <v>0.15371421084569981</v>
          </cell>
          <cell r="AL469">
            <v>9.788275729483116E-2</v>
          </cell>
          <cell r="AM469">
            <v>3.6621298259077874E-2</v>
          </cell>
          <cell r="AN469">
            <v>4.6876493053417581E-2</v>
          </cell>
          <cell r="AO469">
            <v>5.3398470286917854E-2</v>
          </cell>
          <cell r="AP469">
            <v>3.5865311604014509E-2</v>
          </cell>
          <cell r="CF469">
            <v>-4.2469434100000002E-2</v>
          </cell>
          <cell r="CG469">
            <v>-5.3426065699999997E-2</v>
          </cell>
          <cell r="CH469">
            <v>1.04187849E-2</v>
          </cell>
          <cell r="CI469">
            <v>-2.8932317999999999E-3</v>
          </cell>
          <cell r="CJ469">
            <v>-1.7717918400000001E-2</v>
          </cell>
          <cell r="CK469">
            <v>-4.0770021500000003E-2</v>
          </cell>
          <cell r="CL469">
            <v>-5.5667872E-2</v>
          </cell>
          <cell r="CM469">
            <v>-5.5843151971135589E-2</v>
          </cell>
          <cell r="CN469">
            <v>-6.1363491663203713E-2</v>
          </cell>
          <cell r="CO469">
            <v>-3.2852857909251708E-2</v>
          </cell>
          <cell r="CP469">
            <v>-4.6735140389423176E-2</v>
          </cell>
          <cell r="CQ469">
            <v>-3.589667474584262E-3</v>
          </cell>
          <cell r="CR469">
            <v>5.2154838709677416E-2</v>
          </cell>
          <cell r="CS469">
            <v>0.09</v>
          </cell>
          <cell r="CT469">
            <v>0.12</v>
          </cell>
          <cell r="CU469">
            <v>0.15</v>
          </cell>
          <cell r="CV469">
            <v>0.14000000000000001</v>
          </cell>
          <cell r="CW469">
            <v>0.12446848626324294</v>
          </cell>
          <cell r="CX469">
            <v>0.11386653629919337</v>
          </cell>
          <cell r="CY469">
            <v>9.2718853362734291E-2</v>
          </cell>
          <cell r="CZ469">
            <v>2.678657494632607E-2</v>
          </cell>
          <cell r="DA469">
            <v>-3.6425019205110569E-3</v>
          </cell>
          <cell r="DB469">
            <v>-1.2348008385744239E-2</v>
          </cell>
          <cell r="DC469">
            <v>-2.605913261704965E-2</v>
          </cell>
          <cell r="DD469">
            <v>-7.0000000000000007E-2</v>
          </cell>
          <cell r="DE469">
            <v>-0.20391503974072075</v>
          </cell>
          <cell r="DF469">
            <v>-0.11074171820000001</v>
          </cell>
          <cell r="DG469">
            <v>-5.8531726200000002E-2</v>
          </cell>
          <cell r="DH469">
            <v>3.3643621104344712E-2</v>
          </cell>
          <cell r="DI469">
            <v>0.26956261950286803</v>
          </cell>
          <cell r="DJ469">
            <v>0.14546349942062572</v>
          </cell>
          <cell r="DK469">
            <v>0.16093084545646213</v>
          </cell>
          <cell r="DL469">
            <v>8.9366398618381984E-2</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cell r="AD472" t="str">
            <v/>
          </cell>
          <cell r="AE472">
            <v>-6.4647150000241349E-2</v>
          </cell>
          <cell r="AF472">
            <v>-1.0572820064358267E-2</v>
          </cell>
          <cell r="AG472">
            <v>0.14516095356469116</v>
          </cell>
          <cell r="AH472">
            <v>9.7998314215560531E-2</v>
          </cell>
          <cell r="AI472">
            <v>-1.5746826871442018E-2</v>
          </cell>
          <cell r="AJ472">
            <v>-0.11836696989999999</v>
          </cell>
          <cell r="AK472">
            <v>0.23531749460043197</v>
          </cell>
          <cell r="AL472">
            <v>7.3126017525309492E-2</v>
          </cell>
          <cell r="AM472">
            <v>1.0031242438385279E-2</v>
          </cell>
          <cell r="AN472">
            <v>4.5158813309496774E-2</v>
          </cell>
          <cell r="AO472">
            <v>5.3144056117253501E-2</v>
          </cell>
          <cell r="AP472">
            <v>2.4095777933546583E-2</v>
          </cell>
          <cell r="CF472">
            <v>3.3346948000000001E-2</v>
          </cell>
          <cell r="CG472">
            <v>-6.7185917000000001E-3</v>
          </cell>
          <cell r="CH472">
            <v>1.88584561E-2</v>
          </cell>
          <cell r="CI472">
            <v>-3.2198764800000002E-2</v>
          </cell>
          <cell r="CJ472">
            <v>-8.5409302800000003E-2</v>
          </cell>
          <cell r="CK472">
            <v>-2.4137615500000001E-2</v>
          </cell>
          <cell r="CL472">
            <v>-7.74478787E-2</v>
          </cell>
          <cell r="CM472">
            <v>-6.9803581899999995E-2</v>
          </cell>
          <cell r="CN472">
            <v>-6.6475053199999995E-2</v>
          </cell>
          <cell r="CO472">
            <v>-4.05449721E-2</v>
          </cell>
          <cell r="CP472">
            <v>0</v>
          </cell>
          <cell r="CQ472">
            <v>7.6770250200000001E-2</v>
          </cell>
          <cell r="CR472">
            <v>0.16</v>
          </cell>
          <cell r="CS472">
            <v>0.17</v>
          </cell>
          <cell r="CT472">
            <v>0.13</v>
          </cell>
          <cell r="CU472">
            <v>0.1480265691182133</v>
          </cell>
          <cell r="CV472">
            <v>6.61344537815126E-2</v>
          </cell>
          <cell r="CW472">
            <v>0.12538759356448423</v>
          </cell>
          <cell r="CX472">
            <v>0.10060814077153629</v>
          </cell>
          <cell r="CY472">
            <v>0.06</v>
          </cell>
          <cell r="CZ472">
            <v>0.06</v>
          </cell>
          <cell r="DA472">
            <v>-5.4638819333788606E-2</v>
          </cell>
          <cell r="DB472">
            <v>-0.01</v>
          </cell>
          <cell r="DC472">
            <v>-6.262777203719895E-2</v>
          </cell>
          <cell r="DD472">
            <v>-0.11</v>
          </cell>
          <cell r="DE472">
            <v>-0.2327776792</v>
          </cell>
          <cell r="DF472">
            <v>-0.11378661430000001</v>
          </cell>
          <cell r="DG472">
            <v>-1.5161625600000001E-2</v>
          </cell>
          <cell r="DH472">
            <v>0.17626093259241363</v>
          </cell>
          <cell r="DI472">
            <v>0.38825900928046286</v>
          </cell>
          <cell r="DJ472">
            <v>0.19369571453158169</v>
          </cell>
          <cell r="DK472">
            <v>0.20723657024793385</v>
          </cell>
          <cell r="DL472">
            <v>0.13012248941727461</v>
          </cell>
        </row>
        <row r="473">
          <cell r="B473" t="str">
            <v>Customer advances</v>
          </cell>
          <cell r="C473" t="str">
            <v>CUST_ADVANCES</v>
          </cell>
          <cell r="D473" t="str">
            <v>SEK</v>
          </cell>
        </row>
        <row r="474">
          <cell r="B474" t="str">
            <v>EBIT bridge - Pricing</v>
          </cell>
          <cell r="C474" t="str">
            <v>EBIT_BRIDGE_PRICE</v>
          </cell>
          <cell r="D474" t="str">
            <v>SEK</v>
          </cell>
        </row>
        <row r="475">
          <cell r="B475" t="str">
            <v>EBIT bridge - Volume</v>
          </cell>
          <cell r="C475" t="str">
            <v>EBIT_BRIDGE_VOL</v>
          </cell>
          <cell r="D475" t="str">
            <v>SEK</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-144</v>
          </cell>
          <cell r="AG475">
            <v>3644</v>
          </cell>
          <cell r="AH475">
            <v>2834</v>
          </cell>
          <cell r="AI475">
            <v>-1246</v>
          </cell>
          <cell r="AJ475">
            <v>-6120</v>
          </cell>
          <cell r="AK475">
            <v>4932.7941900439564</v>
          </cell>
          <cell r="AL475">
            <v>2010.7323881036655</v>
          </cell>
          <cell r="AM475">
            <v>331.61369855278951</v>
          </cell>
          <cell r="AN475">
            <v>1216.5131257374605</v>
          </cell>
          <cell r="AO475">
            <v>1515.8746251093949</v>
          </cell>
          <cell r="AP475">
            <v>789.19782227411463</v>
          </cell>
        </row>
        <row r="476">
          <cell r="B476" t="str">
            <v>EBIT bridge - Depreciation</v>
          </cell>
          <cell r="C476" t="str">
            <v>EBIT_BRIDGE_DEPREC</v>
          </cell>
          <cell r="D476" t="str">
            <v>SEK</v>
          </cell>
          <cell r="S476">
            <v>-650</v>
          </cell>
          <cell r="T476">
            <v>767</v>
          </cell>
          <cell r="U476">
            <v>-134</v>
          </cell>
          <cell r="V476">
            <v>-263</v>
          </cell>
          <cell r="W476">
            <v>-101</v>
          </cell>
          <cell r="X476">
            <v>-404</v>
          </cell>
          <cell r="Y476">
            <v>-568</v>
          </cell>
          <cell r="Z476">
            <v>67</v>
          </cell>
          <cell r="AA476">
            <v>114</v>
          </cell>
          <cell r="AB476">
            <v>-454</v>
          </cell>
          <cell r="AC476">
            <v>-368</v>
          </cell>
          <cell r="AD476">
            <v>545</v>
          </cell>
          <cell r="AE476">
            <v>-1176</v>
          </cell>
          <cell r="AF476">
            <v>817</v>
          </cell>
          <cell r="AG476">
            <v>-432</v>
          </cell>
          <cell r="AH476">
            <v>390</v>
          </cell>
          <cell r="AI476">
            <v>-1158</v>
          </cell>
          <cell r="AJ476">
            <v>189</v>
          </cell>
          <cell r="AK476">
            <v>-267.12824846331046</v>
          </cell>
          <cell r="AL476">
            <v>-789.43305935670469</v>
          </cell>
          <cell r="AM476">
            <v>637.79404107745609</v>
          </cell>
          <cell r="AN476">
            <v>-419.01336696579619</v>
          </cell>
          <cell r="AO476">
            <v>-493.94625760844247</v>
          </cell>
          <cell r="AP476">
            <v>-409.31685308559372</v>
          </cell>
        </row>
        <row r="477">
          <cell r="B477" t="str">
            <v>EBIT bridge - Mix</v>
          </cell>
          <cell r="C477" t="str">
            <v>EBIT_BRIDGE_MIX</v>
          </cell>
          <cell r="D477" t="str">
            <v>SEK</v>
          </cell>
        </row>
        <row r="478">
          <cell r="B478" t="str">
            <v>EBIT bridge - Raw materials</v>
          </cell>
          <cell r="C478" t="str">
            <v>EBIT_BRIDGE_RAW_MAT</v>
          </cell>
          <cell r="D478" t="str">
            <v>SEK</v>
          </cell>
          <cell r="S478">
            <v>0</v>
          </cell>
          <cell r="T478">
            <v>0</v>
          </cell>
          <cell r="U478">
            <v>0</v>
          </cell>
          <cell r="V478">
            <v>0</v>
          </cell>
          <cell r="W478">
            <v>-450</v>
          </cell>
          <cell r="X478">
            <v>-737</v>
          </cell>
          <cell r="Y478">
            <v>586</v>
          </cell>
          <cell r="Z478">
            <v>-80</v>
          </cell>
          <cell r="AA478">
            <v>-516</v>
          </cell>
          <cell r="AB478">
            <v>-57</v>
          </cell>
          <cell r="AC478">
            <v>-49</v>
          </cell>
          <cell r="AD478">
            <v>544</v>
          </cell>
          <cell r="AE478">
            <v>-615</v>
          </cell>
          <cell r="AF478">
            <v>401</v>
          </cell>
          <cell r="AG478">
            <v>-60</v>
          </cell>
          <cell r="AH478">
            <v>241</v>
          </cell>
          <cell r="AI478">
            <v>-230</v>
          </cell>
          <cell r="AJ478">
            <v>-262</v>
          </cell>
          <cell r="AK478">
            <v>647</v>
          </cell>
          <cell r="AL478">
            <v>-500</v>
          </cell>
          <cell r="AM478">
            <v>-175</v>
          </cell>
          <cell r="AN478">
            <v>0</v>
          </cell>
          <cell r="AO478">
            <v>0</v>
          </cell>
          <cell r="AP478">
            <v>0</v>
          </cell>
        </row>
        <row r="479">
          <cell r="B479" t="str">
            <v>EBIT bridge - Restructuring</v>
          </cell>
          <cell r="C479" t="str">
            <v>EBIT_BRIDGE_REST</v>
          </cell>
          <cell r="D479" t="str">
            <v>SEK</v>
          </cell>
          <cell r="S479">
            <v>0</v>
          </cell>
          <cell r="T479">
            <v>0</v>
          </cell>
          <cell r="U479">
            <v>0</v>
          </cell>
          <cell r="V479">
            <v>0</v>
          </cell>
          <cell r="W479">
            <v>0</v>
          </cell>
          <cell r="X479">
            <v>0</v>
          </cell>
          <cell r="Y479">
            <v>6000</v>
          </cell>
          <cell r="Z479">
            <v>0</v>
          </cell>
          <cell r="AA479">
            <v>0</v>
          </cell>
          <cell r="AB479">
            <v>410</v>
          </cell>
          <cell r="AC479">
            <v>410</v>
          </cell>
          <cell r="AD479">
            <v>130</v>
          </cell>
          <cell r="AE479">
            <v>579</v>
          </cell>
          <cell r="AF479">
            <v>657</v>
          </cell>
          <cell r="AG479">
            <v>288</v>
          </cell>
          <cell r="AH479">
            <v>174</v>
          </cell>
          <cell r="AI479">
            <v>340</v>
          </cell>
          <cell r="AJ479">
            <v>2855</v>
          </cell>
          <cell r="AK479">
            <v>-645</v>
          </cell>
          <cell r="AL479">
            <v>36.25</v>
          </cell>
          <cell r="AM479">
            <v>62.5</v>
          </cell>
          <cell r="AN479">
            <v>62.5</v>
          </cell>
          <cell r="AO479">
            <v>31.25</v>
          </cell>
          <cell r="AP479">
            <v>0</v>
          </cell>
        </row>
        <row r="480">
          <cell r="B480" t="str">
            <v>EBIT bridge - FX</v>
          </cell>
          <cell r="C480" t="str">
            <v>EBIT_BRIDGE_FX</v>
          </cell>
          <cell r="D480" t="str">
            <v>SEK</v>
          </cell>
          <cell r="S480">
            <v>-700</v>
          </cell>
          <cell r="T480">
            <v>-310</v>
          </cell>
          <cell r="U480">
            <v>-50</v>
          </cell>
          <cell r="V480">
            <v>200</v>
          </cell>
          <cell r="W480">
            <v>-800</v>
          </cell>
          <cell r="X480">
            <v>675</v>
          </cell>
          <cell r="Y480">
            <v>-18</v>
          </cell>
          <cell r="Z480">
            <v>-240</v>
          </cell>
          <cell r="AA480">
            <v>-1370</v>
          </cell>
          <cell r="AB480">
            <v>130</v>
          </cell>
          <cell r="AC480">
            <v>-1080</v>
          </cell>
          <cell r="AD480">
            <v>-50</v>
          </cell>
          <cell r="AE480">
            <v>1985</v>
          </cell>
          <cell r="AF480">
            <v>-288</v>
          </cell>
          <cell r="AG480">
            <v>46</v>
          </cell>
          <cell r="AH480">
            <v>765</v>
          </cell>
          <cell r="AI480">
            <v>1835</v>
          </cell>
          <cell r="AJ480">
            <v>-979</v>
          </cell>
          <cell r="AK480">
            <v>-880</v>
          </cell>
          <cell r="AL480">
            <v>3797.1033977970069</v>
          </cell>
          <cell r="AM480">
            <v>-130.83403382101096</v>
          </cell>
          <cell r="AN480">
            <v>0</v>
          </cell>
          <cell r="AO480">
            <v>0</v>
          </cell>
          <cell r="AP480">
            <v>0</v>
          </cell>
        </row>
        <row r="481">
          <cell r="B481" t="str">
            <v>EBIT bridge - M&amp;A</v>
          </cell>
          <cell r="C481" t="str">
            <v>EBIT_BRIDGE_MA</v>
          </cell>
          <cell r="D481" t="str">
            <v>SEK</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909</v>
          </cell>
          <cell r="AG481">
            <v>0</v>
          </cell>
          <cell r="AH481">
            <v>108</v>
          </cell>
          <cell r="AI481">
            <v>-81.8</v>
          </cell>
          <cell r="AJ481">
            <v>-289</v>
          </cell>
          <cell r="AK481">
            <v>-248</v>
          </cell>
          <cell r="AL481">
            <v>1093.4265537152792</v>
          </cell>
          <cell r="AM481">
            <v>282.43675057327152</v>
          </cell>
          <cell r="AN481">
            <v>309.76522167893023</v>
          </cell>
          <cell r="AO481">
            <v>338.00038965920692</v>
          </cell>
          <cell r="AP481">
            <v>373.12528085129344</v>
          </cell>
        </row>
        <row r="482">
          <cell r="B482" t="str">
            <v>EBIT bridge - Other</v>
          </cell>
          <cell r="C482" t="str">
            <v>EBIT_BRIDGE_OTH</v>
          </cell>
          <cell r="D482" t="str">
            <v>SEK</v>
          </cell>
          <cell r="S482">
            <v>1146</v>
          </cell>
          <cell r="T482">
            <v>1554</v>
          </cell>
          <cell r="U482">
            <v>2138</v>
          </cell>
          <cell r="V482">
            <v>2599</v>
          </cell>
          <cell r="W482">
            <v>3677</v>
          </cell>
          <cell r="X482">
            <v>-834</v>
          </cell>
          <cell r="Y482">
            <v>-17996</v>
          </cell>
          <cell r="Z482">
            <v>10584</v>
          </cell>
          <cell r="AA482">
            <v>3861</v>
          </cell>
          <cell r="AB482">
            <v>1093</v>
          </cell>
          <cell r="AC482">
            <v>-2725</v>
          </cell>
          <cell r="AD482">
            <v>-1868.9999975008996</v>
          </cell>
          <cell r="AE482">
            <v>-306.60000249910081</v>
          </cell>
          <cell r="AF482">
            <v>-1928.3999999999996</v>
          </cell>
          <cell r="AG482">
            <v>-592</v>
          </cell>
          <cell r="AH482">
            <v>200</v>
          </cell>
          <cell r="AI482">
            <v>1134.8</v>
          </cell>
          <cell r="AJ482">
            <v>-49</v>
          </cell>
          <cell r="AK482">
            <v>-1428.2659415806447</v>
          </cell>
          <cell r="AL482">
            <v>-1817.5</v>
          </cell>
          <cell r="AM482">
            <v>-25</v>
          </cell>
          <cell r="AN482">
            <v>50</v>
          </cell>
          <cell r="AO482">
            <v>75</v>
          </cell>
          <cell r="AP482">
            <v>100</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cell r="AE485">
            <v>-4.7055488320581554E-2</v>
          </cell>
          <cell r="AF485">
            <v>-1.7991271906695215E-2</v>
          </cell>
          <cell r="AG485">
            <v>9.7543520309477758E-2</v>
          </cell>
          <cell r="AH485">
            <v>6.1993667430942236E-2</v>
          </cell>
          <cell r="AI485">
            <v>-6.0203331640917769E-2</v>
          </cell>
          <cell r="AJ485">
            <v>-0.1849690541</v>
          </cell>
          <cell r="AK485">
            <v>0.16</v>
          </cell>
          <cell r="AL485">
            <v>1.5169250906312404E-2</v>
          </cell>
          <cell r="AM485">
            <v>-1.9684566302806066E-2</v>
          </cell>
          <cell r="AN485">
            <v>1.9185867325838088E-2</v>
          </cell>
          <cell r="AO485">
            <v>1.180065016428892E-2</v>
          </cell>
          <cell r="AP485">
            <v>-2.0676957573796763E-2</v>
          </cell>
          <cell r="CF485">
            <v>5.5122476900000002E-2</v>
          </cell>
          <cell r="CG485">
            <v>3.1680098900000002E-2</v>
          </cell>
          <cell r="CH485">
            <v>5.6386991599999998E-2</v>
          </cell>
          <cell r="CI485">
            <v>2.5518638199999999E-2</v>
          </cell>
          <cell r="CJ485">
            <v>-2.3891552199999999E-2</v>
          </cell>
          <cell r="CK485">
            <v>-3.9293625999999998E-2</v>
          </cell>
          <cell r="CL485">
            <v>-5.6153226700000003E-2</v>
          </cell>
          <cell r="CM485">
            <v>-6.8273744900000002E-2</v>
          </cell>
          <cell r="CN485">
            <v>-4.7914550899999998E-2</v>
          </cell>
          <cell r="CO485">
            <v>-8.6444234999999998E-3</v>
          </cell>
          <cell r="CP485">
            <v>-3.9542428800000001E-2</v>
          </cell>
          <cell r="CQ485">
            <v>2.6450893999999999E-2</v>
          </cell>
          <cell r="CR485">
            <v>0.1</v>
          </cell>
          <cell r="CS485">
            <v>0.06</v>
          </cell>
          <cell r="CT485">
            <v>0.11</v>
          </cell>
          <cell r="CU485">
            <v>0.12</v>
          </cell>
          <cell r="CV485">
            <v>0.08</v>
          </cell>
          <cell r="CW485">
            <v>0.08</v>
          </cell>
          <cell r="CX485">
            <v>0.08</v>
          </cell>
          <cell r="CY485">
            <v>0.01</v>
          </cell>
          <cell r="CZ485">
            <v>-0.01</v>
          </cell>
          <cell r="DA485">
            <v>-0.04</v>
          </cell>
          <cell r="DB485">
            <v>-0.09</v>
          </cell>
          <cell r="DC485">
            <v>-0.1</v>
          </cell>
          <cell r="DD485">
            <v>-0.12</v>
          </cell>
          <cell r="DE485">
            <v>-0.35</v>
          </cell>
          <cell r="DF485">
            <v>-0.19</v>
          </cell>
          <cell r="DG485">
            <v>-7.1549847099999994E-2</v>
          </cell>
          <cell r="DH485">
            <v>0</v>
          </cell>
          <cell r="DI485">
            <v>0.44</v>
          </cell>
          <cell r="DJ485">
            <v>0.16</v>
          </cell>
          <cell r="DK485">
            <v>0.11</v>
          </cell>
          <cell r="DL485">
            <v>0.06</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cell r="AE488">
            <v>-2.5819004685002186E-2</v>
          </cell>
          <cell r="AF488">
            <v>0.01</v>
          </cell>
          <cell r="AG488">
            <v>0.19622248008530391</v>
          </cell>
          <cell r="AH488">
            <v>9.948117927796167E-2</v>
          </cell>
          <cell r="AI488">
            <v>1.2651511600656197E-2</v>
          </cell>
          <cell r="AJ488">
            <v>0.01</v>
          </cell>
          <cell r="AK488">
            <v>0.28999999999999998</v>
          </cell>
          <cell r="AL488">
            <v>0.13064821569599258</v>
          </cell>
          <cell r="AM488">
            <v>0.02</v>
          </cell>
          <cell r="AN488">
            <v>6.0000000000000005E-2</v>
          </cell>
          <cell r="AO488">
            <v>0.08</v>
          </cell>
          <cell r="AP488">
            <v>0.05</v>
          </cell>
          <cell r="CF488">
            <v>-0.1237803462</v>
          </cell>
          <cell r="CG488">
            <v>-0.104577371</v>
          </cell>
          <cell r="CH488">
            <v>-3.2067341200000002E-2</v>
          </cell>
          <cell r="CI488">
            <v>-6.2225922199999999E-2</v>
          </cell>
          <cell r="CJ488">
            <v>-4.3198693500000003E-2</v>
          </cell>
          <cell r="CK488">
            <v>3.7705170099999998E-2</v>
          </cell>
          <cell r="CL488">
            <v>-5.7594640500000002E-2</v>
          </cell>
          <cell r="CM488">
            <v>-3.7390221100000003E-2</v>
          </cell>
          <cell r="CN488">
            <v>-9.04058108E-2</v>
          </cell>
          <cell r="CO488">
            <v>-6.6046717699999993E-2</v>
          </cell>
          <cell r="CP488">
            <v>4.90614246E-2</v>
          </cell>
          <cell r="CQ488">
            <v>0.18620890540000001</v>
          </cell>
          <cell r="CR488">
            <v>0.3</v>
          </cell>
          <cell r="CS488">
            <v>0.23</v>
          </cell>
          <cell r="CT488">
            <v>0.18</v>
          </cell>
          <cell r="CU488">
            <v>0.1</v>
          </cell>
          <cell r="CV488">
            <v>0.03</v>
          </cell>
          <cell r="CW488">
            <v>0.15</v>
          </cell>
          <cell r="CX488">
            <v>0.08</v>
          </cell>
          <cell r="CY488">
            <v>0.14000000000000001</v>
          </cell>
          <cell r="CZ488">
            <v>0.09</v>
          </cell>
          <cell r="DA488">
            <v>-0.01</v>
          </cell>
          <cell r="DB488">
            <v>0.05</v>
          </cell>
          <cell r="DC488">
            <v>-7.0000000000000007E-2</v>
          </cell>
          <cell r="DD488">
            <v>-7.0000000000000007E-2</v>
          </cell>
          <cell r="DE488">
            <v>-7.0000000000000007E-2</v>
          </cell>
          <cell r="DF488">
            <v>0.04</v>
          </cell>
          <cell r="DG488">
            <v>0.17</v>
          </cell>
          <cell r="DH488">
            <v>0.36</v>
          </cell>
          <cell r="DI488">
            <v>0.31</v>
          </cell>
          <cell r="DJ488">
            <v>0.21</v>
          </cell>
          <cell r="DK488">
            <v>0.3</v>
          </cell>
          <cell r="DL488">
            <v>0.22</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cell r="AE491">
            <v>-0.15418658658902332</v>
          </cell>
          <cell r="AF491">
            <v>-4.8128287743912868E-2</v>
          </cell>
          <cell r="AG491">
            <v>0.2202351474864977</v>
          </cell>
          <cell r="AH491">
            <v>0.12714295406744014</v>
          </cell>
          <cell r="AI491">
            <v>2.437266616878268E-2</v>
          </cell>
          <cell r="AJ491">
            <v>-0.27265897379999998</v>
          </cell>
          <cell r="AK491">
            <v>0.25</v>
          </cell>
          <cell r="AL491">
            <v>-4.4815137982654379E-2</v>
          </cell>
          <cell r="AM491">
            <v>0</v>
          </cell>
          <cell r="AN491">
            <v>0</v>
          </cell>
          <cell r="AO491">
            <v>0</v>
          </cell>
          <cell r="AP491">
            <v>0</v>
          </cell>
          <cell r="CF491">
            <v>0.25146022070000001</v>
          </cell>
          <cell r="CG491">
            <v>0.21820476059999999</v>
          </cell>
          <cell r="CH491">
            <v>2.0836001400000002E-2</v>
          </cell>
          <cell r="CI491">
            <v>-9.4936563900000007E-2</v>
          </cell>
          <cell r="CJ491">
            <v>-0.22833165459999999</v>
          </cell>
          <cell r="CK491">
            <v>-0.124445523</v>
          </cell>
          <cell r="CL491">
            <v>-0.1244354877</v>
          </cell>
          <cell r="CM491">
            <v>-0.11118984599999999</v>
          </cell>
          <cell r="CN491">
            <v>-5.7896375399999998E-2</v>
          </cell>
          <cell r="CO491">
            <v>-8.2451414900000006E-2</v>
          </cell>
          <cell r="CP491">
            <v>-2.2678207000000001E-3</v>
          </cell>
          <cell r="CQ491">
            <v>-4.4579035599999997E-2</v>
          </cell>
          <cell r="CR491">
            <v>0.05</v>
          </cell>
          <cell r="CS491">
            <v>0.4</v>
          </cell>
          <cell r="CT491">
            <v>0.09</v>
          </cell>
          <cell r="CU491">
            <v>0.38</v>
          </cell>
          <cell r="CV491">
            <v>0.13</v>
          </cell>
          <cell r="CW491">
            <v>0.17</v>
          </cell>
          <cell r="CX491">
            <v>0.22</v>
          </cell>
          <cell r="CY491">
            <v>0.01</v>
          </cell>
          <cell r="CZ491">
            <v>0.23</v>
          </cell>
          <cell r="DA491">
            <v>-0.2</v>
          </cell>
          <cell r="DB491">
            <v>0.04</v>
          </cell>
          <cell r="DC491">
            <v>0.06</v>
          </cell>
          <cell r="DD491">
            <v>-0.14000000000000001</v>
          </cell>
          <cell r="DE491">
            <v>-0.33</v>
          </cell>
          <cell r="DF491">
            <v>-0.34</v>
          </cell>
          <cell r="DG491">
            <v>-0.31056749210000001</v>
          </cell>
          <cell r="DH491">
            <v>-0.13</v>
          </cell>
          <cell r="DI491">
            <v>0.74</v>
          </cell>
          <cell r="DJ491">
            <v>0.28999999999999998</v>
          </cell>
          <cell r="DK491">
            <v>0.4</v>
          </cell>
          <cell r="DL491">
            <v>0.41</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cell r="AG497">
            <v>0</v>
          </cell>
          <cell r="AH497">
            <v>0</v>
          </cell>
          <cell r="AI497">
            <v>0</v>
          </cell>
          <cell r="AJ497">
            <v>-0.11</v>
          </cell>
          <cell r="AK497">
            <v>0.32</v>
          </cell>
          <cell r="AL497">
            <v>9.0489927743932497E-3</v>
          </cell>
          <cell r="AM497">
            <v>0.08</v>
          </cell>
          <cell r="AN497">
            <v>6.0000000000000005E-2</v>
          </cell>
          <cell r="AO497">
            <v>0.05</v>
          </cell>
          <cell r="AP497">
            <v>0.03</v>
          </cell>
          <cell r="DD497">
            <v>-0.15</v>
          </cell>
          <cell r="DE497">
            <v>-0.23</v>
          </cell>
          <cell r="DF497">
            <v>-0.03</v>
          </cell>
          <cell r="DG497">
            <v>0.01</v>
          </cell>
          <cell r="DH497">
            <v>0.28000000000000003</v>
          </cell>
          <cell r="DI497">
            <v>0.61</v>
          </cell>
          <cell r="DJ497">
            <v>0.26</v>
          </cell>
          <cell r="DK497">
            <v>0.18</v>
          </cell>
          <cell r="DL497">
            <v>0.01</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Sandvik</v>
          </cell>
        </row>
        <row r="502">
          <cell r="A502" t="str">
            <v>Reference Data</v>
          </cell>
        </row>
        <row r="503">
          <cell r="B503" t="str">
            <v>Ticker</v>
          </cell>
          <cell r="C503" t="str">
            <v>Ticker</v>
          </cell>
          <cell r="E503" t="str">
            <v>SAND.ST</v>
          </cell>
        </row>
        <row r="504">
          <cell r="B504" t="str">
            <v>Security Name</v>
          </cell>
          <cell r="C504" t="str">
            <v>Security Name</v>
          </cell>
          <cell r="E504" t="str">
            <v>Sandvik</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cell r="E510" t="str">
            <v>Sell</v>
          </cell>
        </row>
        <row r="511">
          <cell r="B511" t="str">
            <v>Pan Europe Conviction List</v>
          </cell>
          <cell r="C511" t="str">
            <v>EURO_CONVICTION</v>
          </cell>
        </row>
        <row r="512">
          <cell r="B512" t="str">
            <v>Legal rating</v>
          </cell>
          <cell r="C512" t="str">
            <v>LEGAL_RATING</v>
          </cell>
        </row>
        <row r="513">
          <cell r="B513" t="str">
            <v>Target price</v>
          </cell>
          <cell r="C513" t="str">
            <v>TARGET_PRICE</v>
          </cell>
          <cell r="D513" t="str">
            <v>SEK</v>
          </cell>
          <cell r="E513">
            <v>127</v>
          </cell>
        </row>
        <row r="514">
          <cell r="B514" t="str">
            <v>Target price period</v>
          </cell>
          <cell r="C514" t="str">
            <v>TP_PERIOD</v>
          </cell>
          <cell r="E514" t="str">
            <v>12 months</v>
          </cell>
        </row>
        <row r="515">
          <cell r="B515" t="str">
            <v>Fundamental value</v>
          </cell>
          <cell r="C515" t="str">
            <v>TARGET_PRICE_FUNDAMENTAL</v>
          </cell>
          <cell r="D515" t="str">
            <v>SEK</v>
          </cell>
        </row>
        <row r="516">
          <cell r="B516" t="str">
            <v>M&amp;A value</v>
          </cell>
          <cell r="C516" t="str">
            <v>TARGET_PRICE_MA</v>
          </cell>
          <cell r="D516" t="str">
            <v>SEK</v>
          </cell>
        </row>
        <row r="517">
          <cell r="B517" t="str">
            <v>Current shares outstanding (mn)</v>
          </cell>
          <cell r="C517" t="str">
            <v>NUM_SH</v>
          </cell>
          <cell r="E517">
            <v>1245.874</v>
          </cell>
        </row>
        <row r="518">
          <cell r="B518" t="str">
            <v>Free float</v>
          </cell>
          <cell r="C518" t="str">
            <v>FREE_FLOAT</v>
          </cell>
          <cell r="E518">
            <v>0.62748000000000004</v>
          </cell>
        </row>
        <row r="519">
          <cell r="B519" t="str">
            <v>Indirect Sales - % UK</v>
          </cell>
          <cell r="C519" t="str">
            <v>ACT1</v>
          </cell>
          <cell r="E519">
            <v>0.1153</v>
          </cell>
        </row>
        <row r="520">
          <cell r="B520" t="str">
            <v>Indirect Sales - % Europe-Ex UK</v>
          </cell>
          <cell r="C520" t="str">
            <v>ACT2</v>
          </cell>
          <cell r="E520">
            <v>4.9599999999999998E-2</v>
          </cell>
        </row>
        <row r="521">
          <cell r="B521" t="str">
            <v>Indirect Sales - % Austria</v>
          </cell>
          <cell r="C521" t="str">
            <v>ACT3</v>
          </cell>
          <cell r="E521">
            <v>3.85E-2</v>
          </cell>
        </row>
        <row r="522">
          <cell r="B522" t="str">
            <v>Indirect Sales - % Belgium</v>
          </cell>
          <cell r="C522" t="str">
            <v>ACT4</v>
          </cell>
          <cell r="E522">
            <v>2.1899999999999999E-2</v>
          </cell>
        </row>
        <row r="523">
          <cell r="B523" t="str">
            <v>Indirect Sales - % Denmark</v>
          </cell>
          <cell r="C523" t="str">
            <v>ACT5</v>
          </cell>
          <cell r="E523">
            <v>0</v>
          </cell>
        </row>
        <row r="524">
          <cell r="B524" t="str">
            <v>Indirect Sales - % Finland</v>
          </cell>
          <cell r="C524" t="str">
            <v>ACT6</v>
          </cell>
          <cell r="E524">
            <v>0</v>
          </cell>
        </row>
        <row r="525">
          <cell r="B525" t="str">
            <v>Indirect Sales - % France</v>
          </cell>
          <cell r="C525" t="str">
            <v>ACT7</v>
          </cell>
          <cell r="E525">
            <v>0</v>
          </cell>
        </row>
        <row r="526">
          <cell r="A526" t="str">
            <v>Publishing Items</v>
          </cell>
        </row>
        <row r="527">
          <cell r="B527" t="str">
            <v>Book value per share, BVPS (Pub)</v>
          </cell>
          <cell r="C527" t="str">
            <v>BVPS_PUB</v>
          </cell>
          <cell r="D527" t="str">
            <v>SEK</v>
          </cell>
          <cell r="F527">
            <v>0</v>
          </cell>
          <cell r="G527">
            <v>0</v>
          </cell>
          <cell r="H527">
            <v>0</v>
          </cell>
          <cell r="I527">
            <v>0</v>
          </cell>
          <cell r="J527">
            <v>0</v>
          </cell>
          <cell r="K527">
            <v>0</v>
          </cell>
          <cell r="L527">
            <v>0</v>
          </cell>
          <cell r="M527">
            <v>13.462698105914185</v>
          </cell>
          <cell r="N527">
            <v>14.39582528024739</v>
          </cell>
          <cell r="O527">
            <v>15.54619250096637</v>
          </cell>
          <cell r="P527">
            <v>17.373018940858138</v>
          </cell>
          <cell r="Q527">
            <v>19.099673332802169</v>
          </cell>
          <cell r="R527">
            <v>18.562514998800097</v>
          </cell>
          <cell r="S527">
            <v>17.150627949764019</v>
          </cell>
          <cell r="T527">
            <v>18.269915803108809</v>
          </cell>
          <cell r="U527">
            <v>19.799376211750822</v>
          </cell>
          <cell r="V527">
            <v>22.039956166231139</v>
          </cell>
          <cell r="W527">
            <v>24.120374272949508</v>
          </cell>
          <cell r="X527">
            <v>29.999157042906518</v>
          </cell>
          <cell r="Y527">
            <v>24.435065039067275</v>
          </cell>
          <cell r="Z527">
            <v>27.464686032975155</v>
          </cell>
          <cell r="AA527">
            <v>27.387976096846714</v>
          </cell>
          <cell r="AB527">
            <v>28.995709036387307</v>
          </cell>
          <cell r="AC527">
            <v>26.714264987013568</v>
          </cell>
          <cell r="AD527">
            <v>29.128194989421122</v>
          </cell>
          <cell r="AE527">
            <v>27.045901341373391</v>
          </cell>
          <cell r="AF527">
            <v>31.247957167889311</v>
          </cell>
          <cell r="AG527">
            <v>38.858054857117345</v>
          </cell>
          <cell r="AH527">
            <v>46.617229465252322</v>
          </cell>
          <cell r="AI527">
            <v>49.30220841112704</v>
          </cell>
          <cell r="AJ527">
            <v>51.882753793489407</v>
          </cell>
          <cell r="AK527">
            <v>61.649284988831191</v>
          </cell>
          <cell r="AL527">
            <v>56.999875688165638</v>
          </cell>
          <cell r="AM527">
            <v>64.141173500174204</v>
          </cell>
          <cell r="AN527">
            <v>71.039432035037322</v>
          </cell>
          <cell r="AO527">
            <v>78.254940545857622</v>
          </cell>
          <cell r="AP527">
            <v>85.545888168028895</v>
          </cell>
        </row>
        <row r="528">
          <cell r="B528" t="str">
            <v>DPS, dividend per share (Pub)</v>
          </cell>
          <cell r="C528" t="str">
            <v>DPS_PUB</v>
          </cell>
          <cell r="D528" t="str">
            <v>SEK</v>
          </cell>
          <cell r="K528">
            <v>1.2</v>
          </cell>
          <cell r="L528">
            <v>1.3</v>
          </cell>
          <cell r="M528">
            <v>1.4</v>
          </cell>
          <cell r="N528">
            <v>1.4</v>
          </cell>
          <cell r="O528">
            <v>1.6</v>
          </cell>
          <cell r="P528">
            <v>1.8</v>
          </cell>
          <cell r="Q528">
            <v>1.9</v>
          </cell>
          <cell r="R528">
            <v>2</v>
          </cell>
          <cell r="S528">
            <v>2.1</v>
          </cell>
          <cell r="T528">
            <v>2.2999999999999998</v>
          </cell>
          <cell r="U528">
            <v>2.7</v>
          </cell>
          <cell r="V528">
            <v>3.25</v>
          </cell>
          <cell r="W528">
            <v>4</v>
          </cell>
          <cell r="X528">
            <v>3.15</v>
          </cell>
          <cell r="Y528">
            <v>1</v>
          </cell>
          <cell r="Z528">
            <v>3</v>
          </cell>
          <cell r="AA528">
            <v>3.25</v>
          </cell>
          <cell r="AB528">
            <v>3.5</v>
          </cell>
          <cell r="AC528">
            <v>3.5</v>
          </cell>
          <cell r="AD528">
            <v>3.5</v>
          </cell>
          <cell r="AE528">
            <v>2.5</v>
          </cell>
          <cell r="AF528">
            <v>2.75</v>
          </cell>
          <cell r="AG528">
            <v>3.5</v>
          </cell>
          <cell r="AH528">
            <v>4.25</v>
          </cell>
          <cell r="AI528">
            <v>0</v>
          </cell>
          <cell r="AJ528">
            <v>4.5</v>
          </cell>
          <cell r="AK528">
            <v>4.75</v>
          </cell>
          <cell r="AL528">
            <v>4.75</v>
          </cell>
          <cell r="AM528">
            <v>6.1616580555333895</v>
          </cell>
          <cell r="AN528">
            <v>6.744416245334854</v>
          </cell>
          <cell r="AO528">
            <v>7.1925917251309732</v>
          </cell>
          <cell r="AP528">
            <v>7.4528837180819618</v>
          </cell>
        </row>
        <row r="529">
          <cell r="B529" t="str">
            <v>Special dividend per share</v>
          </cell>
          <cell r="C529" t="str">
            <v>DPS_SPECIAL_PUB</v>
          </cell>
          <cell r="D529" t="str">
            <v>SEK</v>
          </cell>
        </row>
        <row r="530">
          <cell r="B530" t="str">
            <v>EBITDA (Pub)</v>
          </cell>
          <cell r="C530" t="str">
            <v>EBITDA_PUB</v>
          </cell>
          <cell r="D530" t="str">
            <v>SEK</v>
          </cell>
          <cell r="F530">
            <v>0</v>
          </cell>
          <cell r="G530">
            <v>0</v>
          </cell>
          <cell r="H530">
            <v>0</v>
          </cell>
          <cell r="I530">
            <v>0</v>
          </cell>
          <cell r="J530">
            <v>0</v>
          </cell>
          <cell r="K530">
            <v>6265</v>
          </cell>
          <cell r="L530">
            <v>5254</v>
          </cell>
          <cell r="M530">
            <v>6456</v>
          </cell>
          <cell r="N530">
            <v>7494</v>
          </cell>
          <cell r="O530">
            <v>6698</v>
          </cell>
          <cell r="P530">
            <v>8503</v>
          </cell>
          <cell r="Q530">
            <v>8724</v>
          </cell>
          <cell r="R530">
            <v>8467</v>
          </cell>
          <cell r="S530">
            <v>8913</v>
          </cell>
          <cell r="T530">
            <v>10157</v>
          </cell>
          <cell r="U530">
            <v>12245</v>
          </cell>
          <cell r="V530">
            <v>15044</v>
          </cell>
          <cell r="W530">
            <v>17471</v>
          </cell>
          <cell r="X530">
            <v>16575</v>
          </cell>
          <cell r="Y530">
            <v>5147</v>
          </cell>
          <cell r="Z530">
            <v>15411</v>
          </cell>
          <cell r="AA530">
            <v>17386</v>
          </cell>
          <cell r="AB530">
            <v>18962</v>
          </cell>
          <cell r="AC530">
            <v>15518</v>
          </cell>
          <cell r="AD530">
            <v>14273.0000024991</v>
          </cell>
          <cell r="AE530">
            <v>15915.4</v>
          </cell>
          <cell r="AF530">
            <v>15733</v>
          </cell>
          <cell r="AG530">
            <v>18848</v>
          </cell>
          <cell r="AH530">
            <v>23032</v>
          </cell>
          <cell r="AI530">
            <v>29295</v>
          </cell>
          <cell r="AJ530">
            <v>20527</v>
          </cell>
          <cell r="AK530">
            <v>22669.4</v>
          </cell>
          <cell r="AL530">
            <v>27468.893671712533</v>
          </cell>
          <cell r="AM530">
            <v>27742.272884846123</v>
          </cell>
          <cell r="AN530">
            <v>29381.051232262511</v>
          </cell>
          <cell r="AO530">
            <v>31341.176247031115</v>
          </cell>
          <cell r="AP530">
            <v>32603.499350156519</v>
          </cell>
        </row>
        <row r="531">
          <cell r="B531" t="str">
            <v>EPS (Pub)</v>
          </cell>
          <cell r="C531" t="str">
            <v>EPS_PUB</v>
          </cell>
          <cell r="D531" t="str">
            <v>SEK</v>
          </cell>
          <cell r="K531">
            <v>2.82</v>
          </cell>
          <cell r="L531">
            <v>2.36</v>
          </cell>
          <cell r="M531">
            <v>2.8</v>
          </cell>
          <cell r="N531">
            <v>2.2400000000000002</v>
          </cell>
          <cell r="O531">
            <v>1.54</v>
          </cell>
          <cell r="P531">
            <v>2.75</v>
          </cell>
          <cell r="Q531">
            <v>3.08</v>
          </cell>
          <cell r="R531">
            <v>2.75</v>
          </cell>
          <cell r="S531">
            <v>2.71</v>
          </cell>
          <cell r="T531">
            <v>4.0199999999999996</v>
          </cell>
          <cell r="U531">
            <v>5.15</v>
          </cell>
          <cell r="V531">
            <v>6.61</v>
          </cell>
          <cell r="W531">
            <v>7.78</v>
          </cell>
          <cell r="X531">
            <v>6.59</v>
          </cell>
          <cell r="Y531">
            <v>0.25</v>
          </cell>
          <cell r="Z531">
            <v>6.25</v>
          </cell>
          <cell r="AA531">
            <v>7.7</v>
          </cell>
          <cell r="AB531">
            <v>7.78</v>
          </cell>
          <cell r="AC531">
            <v>5.91</v>
          </cell>
          <cell r="AD531">
            <v>4.82</v>
          </cell>
          <cell r="AE531">
            <v>5.44</v>
          </cell>
          <cell r="AF531">
            <v>5.5</v>
          </cell>
          <cell r="AG531">
            <v>7.27</v>
          </cell>
          <cell r="AH531">
            <v>10.55</v>
          </cell>
          <cell r="AI531">
            <v>11.63</v>
          </cell>
          <cell r="AJ531">
            <v>9.66</v>
          </cell>
          <cell r="AK531">
            <v>9.9499999999999993</v>
          </cell>
          <cell r="AL531">
            <v>10.75</v>
          </cell>
          <cell r="AM531">
            <v>12.87</v>
          </cell>
          <cell r="AN531">
            <v>13.49</v>
          </cell>
          <cell r="AO531">
            <v>14.39</v>
          </cell>
          <cell r="AP531">
            <v>14.91</v>
          </cell>
          <cell r="AR531">
            <v>6.21</v>
          </cell>
          <cell r="AS531">
            <v>7.68</v>
          </cell>
          <cell r="AT531">
            <v>7.53</v>
          </cell>
          <cell r="AU531">
            <v>8.42</v>
          </cell>
          <cell r="AV531">
            <v>5.52</v>
          </cell>
          <cell r="AW531">
            <v>1.3</v>
          </cell>
          <cell r="AX531">
            <v>1.29</v>
          </cell>
          <cell r="AY531">
            <v>1.59</v>
          </cell>
          <cell r="AZ531">
            <v>1.72</v>
          </cell>
          <cell r="BA531">
            <v>1.72</v>
          </cell>
          <cell r="BB531">
            <v>1.54</v>
          </cell>
          <cell r="BC531">
            <v>1.98</v>
          </cell>
          <cell r="BD531">
            <v>2.0699999999999998</v>
          </cell>
          <cell r="BE531">
            <v>2.33</v>
          </cell>
          <cell r="BF531">
            <v>2.02</v>
          </cell>
          <cell r="BG531">
            <v>1.76</v>
          </cell>
          <cell r="BH531">
            <v>1.69</v>
          </cell>
          <cell r="BI531">
            <v>2.0299999999999998</v>
          </cell>
          <cell r="BJ531">
            <v>1.92</v>
          </cell>
          <cell r="BK531">
            <v>1.23</v>
          </cell>
          <cell r="BL531">
            <v>-0.12</v>
          </cell>
          <cell r="BM531">
            <v>-0.52</v>
          </cell>
          <cell r="BN531">
            <v>0.14000000000000001</v>
          </cell>
          <cell r="BO531">
            <v>0.42</v>
          </cell>
          <cell r="BP531">
            <v>0.95</v>
          </cell>
          <cell r="BQ531">
            <v>1.75</v>
          </cell>
          <cell r="BR531">
            <v>1.48</v>
          </cell>
          <cell r="BS531">
            <v>2.0099999999999998</v>
          </cell>
          <cell r="BT531">
            <v>1.79</v>
          </cell>
          <cell r="BU531">
            <v>1.88</v>
          </cell>
          <cell r="BV531">
            <v>2.04</v>
          </cell>
          <cell r="BW531">
            <v>2.0699999999999998</v>
          </cell>
          <cell r="BX531">
            <v>2.08</v>
          </cell>
          <cell r="BY531">
            <v>2.33</v>
          </cell>
          <cell r="BZ531">
            <v>1.68</v>
          </cell>
          <cell r="CA531">
            <v>1.31</v>
          </cell>
          <cell r="CB531">
            <v>1.29</v>
          </cell>
          <cell r="CC531">
            <v>1.68</v>
          </cell>
          <cell r="CD531">
            <v>1.3</v>
          </cell>
          <cell r="CE531">
            <v>1.47</v>
          </cell>
          <cell r="CF531">
            <v>0</v>
          </cell>
          <cell r="CG531">
            <v>0.15</v>
          </cell>
          <cell r="CH531">
            <v>-0.18</v>
          </cell>
          <cell r="CI531">
            <v>-0.21</v>
          </cell>
          <cell r="CJ531">
            <v>1.86</v>
          </cell>
          <cell r="CK531">
            <v>1.43</v>
          </cell>
          <cell r="CL531">
            <v>1</v>
          </cell>
          <cell r="CM531">
            <v>1.0900000000000001</v>
          </cell>
          <cell r="CN531">
            <v>1.1599999999999999</v>
          </cell>
          <cell r="CO531">
            <v>1.33</v>
          </cell>
          <cell r="CP531">
            <v>1.28</v>
          </cell>
          <cell r="CQ531">
            <v>1.67</v>
          </cell>
          <cell r="CR531">
            <v>1.81</v>
          </cell>
          <cell r="CS531">
            <v>2.1</v>
          </cell>
          <cell r="CT531">
            <v>1.87</v>
          </cell>
          <cell r="CU531">
            <v>2</v>
          </cell>
          <cell r="CV531">
            <v>2.35</v>
          </cell>
          <cell r="CW531">
            <v>2.83</v>
          </cell>
          <cell r="CX531">
            <v>2.64</v>
          </cell>
          <cell r="CY531">
            <v>2.69</v>
          </cell>
          <cell r="CZ531">
            <v>2.5</v>
          </cell>
          <cell r="DA531">
            <v>2.79</v>
          </cell>
          <cell r="DB531">
            <v>2.94</v>
          </cell>
          <cell r="DC531">
            <v>3.38</v>
          </cell>
          <cell r="DD531">
            <v>2.23</v>
          </cell>
          <cell r="DE531">
            <v>1.93</v>
          </cell>
          <cell r="DF531">
            <v>2.57</v>
          </cell>
          <cell r="DG531">
            <v>2.91</v>
          </cell>
          <cell r="DH531">
            <v>2.2000000000000002</v>
          </cell>
          <cell r="DI531">
            <v>2.2799999999999998</v>
          </cell>
          <cell r="DJ531">
            <v>2.8</v>
          </cell>
          <cell r="DK531">
            <v>2.69</v>
          </cell>
          <cell r="DL531">
            <v>3.36</v>
          </cell>
        </row>
        <row r="532">
          <cell r="B532" t="str">
            <v>Consensus earnings equivalent estimate</v>
          </cell>
          <cell r="C532" t="str">
            <v>CEEE_EPS</v>
          </cell>
          <cell r="D532" t="str">
            <v>SEK</v>
          </cell>
        </row>
        <row r="533">
          <cell r="B533" t="str">
            <v>EV adjustment (Pub)</v>
          </cell>
          <cell r="C533" t="str">
            <v>EV_ADJ_PUB</v>
          </cell>
          <cell r="D533" t="str">
            <v>SEK</v>
          </cell>
          <cell r="K533">
            <v>1735</v>
          </cell>
          <cell r="L533">
            <v>3178</v>
          </cell>
          <cell r="M533">
            <v>386</v>
          </cell>
          <cell r="N533">
            <v>371</v>
          </cell>
          <cell r="O533">
            <v>311</v>
          </cell>
          <cell r="P533">
            <v>330</v>
          </cell>
          <cell r="Q533">
            <v>359</v>
          </cell>
          <cell r="R533">
            <v>439</v>
          </cell>
          <cell r="S533">
            <v>1134</v>
          </cell>
          <cell r="T533">
            <v>1330</v>
          </cell>
          <cell r="U533">
            <v>1985</v>
          </cell>
          <cell r="V533">
            <v>2300</v>
          </cell>
          <cell r="W533">
            <v>2781</v>
          </cell>
          <cell r="X533">
            <v>2113</v>
          </cell>
          <cell r="Y533">
            <v>2882</v>
          </cell>
          <cell r="Z533">
            <v>3376</v>
          </cell>
          <cell r="AA533">
            <v>1785</v>
          </cell>
          <cell r="AB533">
            <v>2184</v>
          </cell>
          <cell r="AC533">
            <v>2191</v>
          </cell>
          <cell r="AD533">
            <v>2243</v>
          </cell>
          <cell r="AE533">
            <v>2071.9613761532091</v>
          </cell>
          <cell r="AF533">
            <v>2373</v>
          </cell>
          <cell r="AG533">
            <v>2768</v>
          </cell>
          <cell r="AH533">
            <v>2447</v>
          </cell>
          <cell r="AI533">
            <v>2163</v>
          </cell>
          <cell r="AJ533">
            <v>508</v>
          </cell>
          <cell r="AK533">
            <v>595</v>
          </cell>
          <cell r="AL533">
            <v>420.81333670118715</v>
          </cell>
          <cell r="AM533">
            <v>420.81333670118715</v>
          </cell>
          <cell r="AN533">
            <v>420.81333670118715</v>
          </cell>
          <cell r="AO533">
            <v>420.81333670118715</v>
          </cell>
          <cell r="AP533">
            <v>0</v>
          </cell>
        </row>
        <row r="534">
          <cell r="B534" t="str">
            <v>Net debt (Pub)</v>
          </cell>
          <cell r="C534" t="str">
            <v>NET_DEBT_PUB</v>
          </cell>
          <cell r="D534" t="str">
            <v>SEK</v>
          </cell>
          <cell r="K534">
            <v>0</v>
          </cell>
          <cell r="L534">
            <v>0</v>
          </cell>
          <cell r="M534">
            <v>5550.9816213470785</v>
          </cell>
          <cell r="N534">
            <v>6839.2081659910273</v>
          </cell>
          <cell r="O534">
            <v>4314.5839407819858</v>
          </cell>
          <cell r="P534">
            <v>5001.6343833181272</v>
          </cell>
          <cell r="Q534">
            <v>8430.1579680019568</v>
          </cell>
          <cell r="R534">
            <v>8057.4211288669003</v>
          </cell>
          <cell r="S534">
            <v>5715.4181754907404</v>
          </cell>
          <cell r="T534">
            <v>6496.8559899923812</v>
          </cell>
          <cell r="U534">
            <v>7773.3433346814772</v>
          </cell>
          <cell r="V534">
            <v>15389.492245036165</v>
          </cell>
          <cell r="W534">
            <v>29119.734525343541</v>
          </cell>
          <cell r="X534">
            <v>33342.493543016768</v>
          </cell>
          <cell r="Y534">
            <v>30128.573350012699</v>
          </cell>
          <cell r="Z534">
            <v>25601.519606091104</v>
          </cell>
          <cell r="AA534">
            <v>28542.736434691826</v>
          </cell>
          <cell r="AB534">
            <v>24594.50771734121</v>
          </cell>
          <cell r="AC534">
            <v>27689.13298657813</v>
          </cell>
          <cell r="AD534">
            <v>33579</v>
          </cell>
          <cell r="AE534">
            <v>31221</v>
          </cell>
          <cell r="AF534">
            <v>31773</v>
          </cell>
          <cell r="AG534">
            <v>19086</v>
          </cell>
          <cell r="AH534">
            <v>14910</v>
          </cell>
          <cell r="AI534">
            <v>11131</v>
          </cell>
          <cell r="AJ534">
            <v>2646</v>
          </cell>
          <cell r="AK534">
            <v>26902</v>
          </cell>
          <cell r="AL534">
            <v>37683.763942928097</v>
          </cell>
          <cell r="AM534">
            <v>29593.922471453261</v>
          </cell>
          <cell r="AN534">
            <v>29593.922471453261</v>
          </cell>
          <cell r="AO534">
            <v>29593.922471453261</v>
          </cell>
          <cell r="AP534">
            <v>0</v>
          </cell>
        </row>
        <row r="535">
          <cell r="B535" t="str">
            <v>Net Debt (ex leases) (Pub)</v>
          </cell>
          <cell r="C535" t="str">
            <v>NET_DEBT_EX_LEASES_PUB</v>
          </cell>
          <cell r="D535" t="str">
            <v>SEK</v>
          </cell>
          <cell r="M535">
            <v>4482</v>
          </cell>
          <cell r="N535">
            <v>5729</v>
          </cell>
          <cell r="O535">
            <v>3241.9999999999995</v>
          </cell>
          <cell r="P535">
            <v>3829.9999999999995</v>
          </cell>
          <cell r="Q535">
            <v>7108</v>
          </cell>
          <cell r="R535">
            <v>6720</v>
          </cell>
          <cell r="S535">
            <v>4424</v>
          </cell>
          <cell r="T535">
            <v>5126</v>
          </cell>
          <cell r="U535">
            <v>6184</v>
          </cell>
          <cell r="V535">
            <v>13631</v>
          </cell>
          <cell r="W535">
            <v>26840</v>
          </cell>
          <cell r="X535">
            <v>30587.999999999996</v>
          </cell>
          <cell r="Y535">
            <v>27685</v>
          </cell>
          <cell r="Z535">
            <v>23200</v>
          </cell>
          <cell r="AA535">
            <v>25908</v>
          </cell>
          <cell r="AB535">
            <v>21818</v>
          </cell>
          <cell r="AC535">
            <v>25184</v>
          </cell>
          <cell r="AD535">
            <v>30742</v>
          </cell>
          <cell r="AE535">
            <v>28173</v>
          </cell>
          <cell r="AF535">
            <v>28579</v>
          </cell>
          <cell r="AG535">
            <v>16040</v>
          </cell>
          <cell r="AH535">
            <v>11557</v>
          </cell>
          <cell r="AI535">
            <v>7891</v>
          </cell>
          <cell r="AJ535">
            <v>-319</v>
          </cell>
          <cell r="AK535">
            <v>22952</v>
          </cell>
          <cell r="AL535">
            <v>33733.763942928097</v>
          </cell>
          <cell r="AM535">
            <v>25643.922471453261</v>
          </cell>
          <cell r="AN535">
            <v>25643.922471453261</v>
          </cell>
          <cell r="AO535">
            <v>25643.922471453261</v>
          </cell>
          <cell r="AP535">
            <v>-3950</v>
          </cell>
        </row>
        <row r="536">
          <cell r="B536" t="str">
            <v>Consensus equivalent net debt</v>
          </cell>
          <cell r="C536" t="str">
            <v>CEEE_NDEBT</v>
          </cell>
          <cell r="D536" t="str">
            <v>SEK</v>
          </cell>
        </row>
        <row r="537">
          <cell r="B537" t="str">
            <v>Net income (Pub)</v>
          </cell>
          <cell r="C537" t="str">
            <v>NI_PUB</v>
          </cell>
          <cell r="D537" t="str">
            <v>SEK</v>
          </cell>
          <cell r="F537">
            <v>0</v>
          </cell>
          <cell r="G537">
            <v>0</v>
          </cell>
          <cell r="H537">
            <v>0</v>
          </cell>
          <cell r="I537">
            <v>0</v>
          </cell>
          <cell r="J537">
            <v>0</v>
          </cell>
          <cell r="K537">
            <v>3923</v>
          </cell>
          <cell r="L537">
            <v>3286</v>
          </cell>
          <cell r="M537">
            <v>3625</v>
          </cell>
          <cell r="N537">
            <v>2895</v>
          </cell>
          <cell r="O537">
            <v>1995</v>
          </cell>
          <cell r="P537">
            <v>3552</v>
          </cell>
          <cell r="Q537">
            <v>3863</v>
          </cell>
          <cell r="R537">
            <v>3436</v>
          </cell>
          <cell r="S537">
            <v>3388</v>
          </cell>
          <cell r="T537">
            <v>4968</v>
          </cell>
          <cell r="U537">
            <v>6110</v>
          </cell>
          <cell r="V537">
            <v>7837</v>
          </cell>
          <cell r="W537">
            <v>9235</v>
          </cell>
          <cell r="X537">
            <v>7818</v>
          </cell>
          <cell r="Y537">
            <v>296</v>
          </cell>
          <cell r="Z537">
            <v>7411</v>
          </cell>
          <cell r="AA537">
            <v>9133</v>
          </cell>
          <cell r="AB537">
            <v>9690</v>
          </cell>
          <cell r="AC537">
            <v>7412</v>
          </cell>
          <cell r="AD537">
            <v>6043.0000024991004</v>
          </cell>
          <cell r="AE537">
            <v>6827.4</v>
          </cell>
          <cell r="AF537">
            <v>6894</v>
          </cell>
          <cell r="AG537">
            <v>9119</v>
          </cell>
          <cell r="AH537">
            <v>13239</v>
          </cell>
          <cell r="AI537">
            <v>14585</v>
          </cell>
          <cell r="AJ537">
            <v>12120</v>
          </cell>
          <cell r="AK537">
            <v>12486.400000000001</v>
          </cell>
          <cell r="AL537">
            <v>15587.804247239103</v>
          </cell>
          <cell r="AM537">
            <v>16142.195203296613</v>
          </cell>
          <cell r="AN537">
            <v>16920.202632641212</v>
          </cell>
          <cell r="AO537">
            <v>18044.572727440282</v>
          </cell>
          <cell r="AP537">
            <v>18697.58599117992</v>
          </cell>
          <cell r="AR537">
            <v>1660</v>
          </cell>
          <cell r="AS537">
            <v>1952</v>
          </cell>
          <cell r="AT537">
            <v>1887</v>
          </cell>
          <cell r="AU537">
            <v>2079</v>
          </cell>
          <cell r="AV537">
            <v>1363</v>
          </cell>
          <cell r="AW537">
            <v>1608</v>
          </cell>
          <cell r="AX537">
            <v>1529</v>
          </cell>
          <cell r="AY537">
            <v>1892</v>
          </cell>
          <cell r="AZ537">
            <v>1939</v>
          </cell>
          <cell r="BA537">
            <v>1987</v>
          </cell>
          <cell r="BB537">
            <v>1826</v>
          </cell>
          <cell r="BC537">
            <v>2354</v>
          </cell>
          <cell r="BD537">
            <v>2425</v>
          </cell>
          <cell r="BE537">
            <v>2711</v>
          </cell>
          <cell r="BF537">
            <v>2349</v>
          </cell>
          <cell r="BG537">
            <v>2658</v>
          </cell>
          <cell r="BH537">
            <v>2517</v>
          </cell>
          <cell r="BI537">
            <v>2586</v>
          </cell>
          <cell r="BJ537">
            <v>2386</v>
          </cell>
          <cell r="BK537">
            <v>1774</v>
          </cell>
          <cell r="BL537">
            <v>287</v>
          </cell>
          <cell r="BM537">
            <v>-255</v>
          </cell>
          <cell r="BN537">
            <v>0</v>
          </cell>
          <cell r="BO537">
            <v>422</v>
          </cell>
          <cell r="BP537">
            <v>1088</v>
          </cell>
          <cell r="BQ537">
            <v>1735</v>
          </cell>
          <cell r="BR537">
            <v>1760</v>
          </cell>
          <cell r="BS537">
            <v>2466</v>
          </cell>
          <cell r="BT537">
            <v>2046.0028548062619</v>
          </cell>
          <cell r="BU537">
            <v>2288.4839489913356</v>
          </cell>
          <cell r="BV537">
            <v>2534.0995523053098</v>
          </cell>
          <cell r="BW537">
            <v>2585.4690847396378</v>
          </cell>
          <cell r="BX537">
            <v>2655</v>
          </cell>
          <cell r="BY537">
            <v>2991</v>
          </cell>
          <cell r="BZ537">
            <v>2199</v>
          </cell>
          <cell r="CA537">
            <v>1711</v>
          </cell>
          <cell r="CB537">
            <v>1653</v>
          </cell>
          <cell r="CC537">
            <v>2191</v>
          </cell>
          <cell r="CD537">
            <v>1721</v>
          </cell>
          <cell r="CE537">
            <v>1926</v>
          </cell>
          <cell r="CF537">
            <v>1462</v>
          </cell>
          <cell r="CG537">
            <v>1641.0002005360002</v>
          </cell>
          <cell r="CH537">
            <v>1487.9998066902999</v>
          </cell>
          <cell r="CI537">
            <v>1493.9999952727999</v>
          </cell>
          <cell r="CJ537">
            <v>2335</v>
          </cell>
          <cell r="CK537">
            <v>1793</v>
          </cell>
          <cell r="CL537">
            <v>1251</v>
          </cell>
          <cell r="CM537">
            <v>1367.4</v>
          </cell>
          <cell r="CN537">
            <v>1455</v>
          </cell>
          <cell r="CO537">
            <v>1671</v>
          </cell>
          <cell r="CP537">
            <v>1611</v>
          </cell>
          <cell r="CQ537">
            <v>2100</v>
          </cell>
          <cell r="CR537">
            <v>2267</v>
          </cell>
          <cell r="CS537">
            <v>2633</v>
          </cell>
          <cell r="CT537">
            <v>2342</v>
          </cell>
          <cell r="CU537">
            <v>2506</v>
          </cell>
          <cell r="CV537">
            <v>2953</v>
          </cell>
          <cell r="CW537">
            <v>3545</v>
          </cell>
          <cell r="CX537">
            <v>3310</v>
          </cell>
          <cell r="CY537">
            <v>3376</v>
          </cell>
          <cell r="CZ537">
            <v>3163</v>
          </cell>
          <cell r="DA537">
            <v>3506</v>
          </cell>
          <cell r="DB537">
            <v>3699</v>
          </cell>
          <cell r="DC537">
            <v>4406</v>
          </cell>
          <cell r="DD537">
            <v>2800</v>
          </cell>
          <cell r="DE537">
            <v>2427</v>
          </cell>
          <cell r="DF537">
            <v>3221</v>
          </cell>
          <cell r="DG537">
            <v>3651</v>
          </cell>
          <cell r="DH537">
            <v>2859.3599999999997</v>
          </cell>
          <cell r="DI537">
            <v>2958.4799999999996</v>
          </cell>
          <cell r="DJ537">
            <v>3873.3199999999997</v>
          </cell>
          <cell r="DK537">
            <v>3620.24</v>
          </cell>
          <cell r="DL537">
            <v>3707</v>
          </cell>
        </row>
        <row r="538">
          <cell r="B538" t="str">
            <v>EBIT, operating profit (Pub)</v>
          </cell>
          <cell r="C538" t="str">
            <v>EBIT_PUB</v>
          </cell>
          <cell r="D538" t="str">
            <v>SEK</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11229</v>
          </cell>
          <cell r="AA538">
            <v>16773.827018840613</v>
          </cell>
          <cell r="AB538">
            <v>16172</v>
          </cell>
          <cell r="AC538">
            <v>12940</v>
          </cell>
          <cell r="AD538">
            <v>10212.000002499099</v>
          </cell>
          <cell r="AE538">
            <v>10594.4</v>
          </cell>
          <cell r="AF538">
            <v>11018</v>
          </cell>
          <cell r="AG538">
            <v>14611</v>
          </cell>
          <cell r="AH538">
            <v>18590</v>
          </cell>
          <cell r="AI538">
            <v>19219</v>
          </cell>
          <cell r="AJ538">
            <v>14563</v>
          </cell>
          <cell r="AK538">
            <v>17486.400000000001</v>
          </cell>
          <cell r="AL538">
            <v>21858.979280259249</v>
          </cell>
          <cell r="AM538">
            <v>22876.489736641757</v>
          </cell>
          <cell r="AN538">
            <v>24096.25471709235</v>
          </cell>
          <cell r="AO538">
            <v>25562.43347425251</v>
          </cell>
          <cell r="AP538">
            <v>26415.439724292322</v>
          </cell>
          <cell r="AR538">
            <v>1660</v>
          </cell>
          <cell r="AS538">
            <v>1952</v>
          </cell>
          <cell r="AT538">
            <v>1887</v>
          </cell>
          <cell r="AU538">
            <v>2079</v>
          </cell>
          <cell r="AV538">
            <v>2041</v>
          </cell>
          <cell r="AW538">
            <v>2425</v>
          </cell>
          <cell r="AX538">
            <v>2261</v>
          </cell>
          <cell r="AY538">
            <v>2805</v>
          </cell>
          <cell r="AZ538">
            <v>2853</v>
          </cell>
          <cell r="BA538">
            <v>2995</v>
          </cell>
          <cell r="BB538">
            <v>2854</v>
          </cell>
          <cell r="BC538">
            <v>3365</v>
          </cell>
          <cell r="BD538">
            <v>3513</v>
          </cell>
          <cell r="BE538">
            <v>4043</v>
          </cell>
          <cell r="BF538">
            <v>3613</v>
          </cell>
          <cell r="BG538">
            <v>3775</v>
          </cell>
          <cell r="BH538">
            <v>3707</v>
          </cell>
          <cell r="BI538">
            <v>3959</v>
          </cell>
          <cell r="BJ538">
            <v>3700</v>
          </cell>
          <cell r="BK538">
            <v>2855</v>
          </cell>
          <cell r="BL538">
            <v>701</v>
          </cell>
          <cell r="BM538">
            <v>-225</v>
          </cell>
          <cell r="BN538">
            <v>231</v>
          </cell>
          <cell r="BO538">
            <v>933</v>
          </cell>
          <cell r="BP538">
            <v>1863</v>
          </cell>
          <cell r="BQ538">
            <v>3131</v>
          </cell>
          <cell r="BR538">
            <v>2732</v>
          </cell>
          <cell r="BS538">
            <v>3409</v>
          </cell>
          <cell r="BT538">
            <v>3191.0028548062619</v>
          </cell>
          <cell r="BU538">
            <v>3622.4839489913356</v>
          </cell>
          <cell r="BV538">
            <v>3495.0995523053098</v>
          </cell>
          <cell r="BW538">
            <v>3431.4690847396378</v>
          </cell>
          <cell r="BX538">
            <v>3969</v>
          </cell>
          <cell r="BY538">
            <v>4430</v>
          </cell>
          <cell r="BZ538">
            <v>3421</v>
          </cell>
          <cell r="CA538">
            <v>3119</v>
          </cell>
          <cell r="CB538">
            <v>2733</v>
          </cell>
          <cell r="CC538">
            <v>3298</v>
          </cell>
          <cell r="CD538">
            <v>2621</v>
          </cell>
          <cell r="CE538">
            <v>2470</v>
          </cell>
          <cell r="CF538">
            <v>2447</v>
          </cell>
          <cell r="CG538">
            <v>2660.0002005360002</v>
          </cell>
          <cell r="CH538">
            <v>2491.9998066902999</v>
          </cell>
          <cell r="CI538">
            <v>2612.9999952727999</v>
          </cell>
          <cell r="CJ538">
            <v>2977</v>
          </cell>
          <cell r="CK538">
            <v>2977</v>
          </cell>
          <cell r="CL538">
            <v>2325</v>
          </cell>
          <cell r="CM538">
            <v>2315.4</v>
          </cell>
          <cell r="CN538">
            <v>2413</v>
          </cell>
          <cell r="CO538">
            <v>2705</v>
          </cell>
          <cell r="CP538">
            <v>2623</v>
          </cell>
          <cell r="CQ538">
            <v>3277</v>
          </cell>
          <cell r="CR538">
            <v>3494</v>
          </cell>
          <cell r="CS538">
            <v>3718</v>
          </cell>
          <cell r="CT538">
            <v>3338</v>
          </cell>
          <cell r="CU538">
            <v>4061</v>
          </cell>
          <cell r="CV538">
            <v>4271</v>
          </cell>
          <cell r="CW538">
            <v>5067</v>
          </cell>
          <cell r="CX538">
            <v>4587</v>
          </cell>
          <cell r="CY538">
            <v>4699</v>
          </cell>
          <cell r="CZ538">
            <v>4589</v>
          </cell>
          <cell r="DA538">
            <v>4979</v>
          </cell>
          <cell r="DB538">
            <v>4626</v>
          </cell>
          <cell r="DC538">
            <v>5238</v>
          </cell>
          <cell r="DD538">
            <v>3727</v>
          </cell>
          <cell r="DE538">
            <v>2837</v>
          </cell>
          <cell r="DF538">
            <v>3494</v>
          </cell>
          <cell r="DG538">
            <v>4504</v>
          </cell>
          <cell r="DH538">
            <v>3930.3599999999997</v>
          </cell>
          <cell r="DI538">
            <v>4198.4799999999996</v>
          </cell>
          <cell r="DJ538">
            <v>4429.32</v>
          </cell>
          <cell r="DK538">
            <v>4914.24</v>
          </cell>
          <cell r="DL538">
            <v>5043</v>
          </cell>
        </row>
        <row r="539">
          <cell r="B539" t="str">
            <v>Pre-tax profit (Pub)</v>
          </cell>
          <cell r="C539" t="str">
            <v>PTP_PUB</v>
          </cell>
          <cell r="D539" t="str">
            <v>SEK</v>
          </cell>
          <cell r="F539">
            <v>0</v>
          </cell>
          <cell r="G539">
            <v>0</v>
          </cell>
          <cell r="H539">
            <v>0</v>
          </cell>
          <cell r="I539">
            <v>0</v>
          </cell>
          <cell r="J539">
            <v>0</v>
          </cell>
          <cell r="K539">
            <v>5816</v>
          </cell>
          <cell r="L539">
            <v>4625</v>
          </cell>
          <cell r="M539">
            <v>5105</v>
          </cell>
          <cell r="N539">
            <v>4735</v>
          </cell>
          <cell r="O539">
            <v>3840</v>
          </cell>
          <cell r="P539">
            <v>5644</v>
          </cell>
          <cell r="Q539">
            <v>5781</v>
          </cell>
          <cell r="R539">
            <v>5063</v>
          </cell>
          <cell r="S539">
            <v>4787</v>
          </cell>
          <cell r="T539">
            <v>6999</v>
          </cell>
          <cell r="U539">
            <v>8908</v>
          </cell>
          <cell r="V539">
            <v>11249</v>
          </cell>
          <cell r="W539">
            <v>13116</v>
          </cell>
          <cell r="X539">
            <v>10923</v>
          </cell>
          <cell r="Y539">
            <v>-524</v>
          </cell>
          <cell r="Z539">
            <v>10189</v>
          </cell>
          <cell r="AA539">
            <v>11814</v>
          </cell>
          <cell r="AB539">
            <v>13101</v>
          </cell>
          <cell r="AC539">
            <v>9152</v>
          </cell>
          <cell r="AD539">
            <v>8296.0000024991004</v>
          </cell>
          <cell r="AE539">
            <v>8639.4</v>
          </cell>
          <cell r="AF539">
            <v>9382</v>
          </cell>
          <cell r="AG539">
            <v>12888</v>
          </cell>
          <cell r="AH539">
            <v>17874</v>
          </cell>
          <cell r="AI539">
            <v>17991</v>
          </cell>
          <cell r="AJ539">
            <v>14623</v>
          </cell>
          <cell r="AK539">
            <v>16476.400000000001</v>
          </cell>
          <cell r="AL539">
            <v>19839.099280259248</v>
          </cell>
          <cell r="AM539">
            <v>20835.009736641758</v>
          </cell>
          <cell r="AN539">
            <v>22054.77471709235</v>
          </cell>
          <cell r="AO539">
            <v>23520.95347425251</v>
          </cell>
          <cell r="AP539">
            <v>24373.959724292323</v>
          </cell>
          <cell r="AR539">
            <v>1660</v>
          </cell>
          <cell r="AS539">
            <v>1952</v>
          </cell>
          <cell r="AT539">
            <v>1887</v>
          </cell>
          <cell r="AU539">
            <v>2079</v>
          </cell>
          <cell r="AV539">
            <v>1892</v>
          </cell>
          <cell r="AW539">
            <v>2235</v>
          </cell>
          <cell r="AX539">
            <v>2126</v>
          </cell>
          <cell r="AY539">
            <v>2566</v>
          </cell>
          <cell r="AZ539">
            <v>2684</v>
          </cell>
          <cell r="BA539">
            <v>2695</v>
          </cell>
          <cell r="BB539">
            <v>2583</v>
          </cell>
          <cell r="BC539">
            <v>3151</v>
          </cell>
          <cell r="BD539">
            <v>3340</v>
          </cell>
          <cell r="BE539">
            <v>3745</v>
          </cell>
          <cell r="BF539">
            <v>3154</v>
          </cell>
          <cell r="BG539">
            <v>3308</v>
          </cell>
          <cell r="BH539">
            <v>3232</v>
          </cell>
          <cell r="BI539">
            <v>3478</v>
          </cell>
          <cell r="BJ539">
            <v>3149</v>
          </cell>
          <cell r="BK539">
            <v>2144</v>
          </cell>
          <cell r="BL539">
            <v>157</v>
          </cell>
          <cell r="BM539">
            <v>-683</v>
          </cell>
          <cell r="BN539">
            <v>-343</v>
          </cell>
          <cell r="BO539">
            <v>448</v>
          </cell>
          <cell r="BP539">
            <v>1468</v>
          </cell>
          <cell r="BQ539">
            <v>2697</v>
          </cell>
          <cell r="BR539">
            <v>2320</v>
          </cell>
          <cell r="BS539">
            <v>3034</v>
          </cell>
          <cell r="BT539">
            <v>2775.0028548062619</v>
          </cell>
          <cell r="BU539">
            <v>3133.4839489913356</v>
          </cell>
          <cell r="BV539">
            <v>2940.0995523053098</v>
          </cell>
          <cell r="BW539">
            <v>2922.4690847396378</v>
          </cell>
          <cell r="BX539">
            <v>3521</v>
          </cell>
          <cell r="BY539">
            <v>3885</v>
          </cell>
          <cell r="BZ539">
            <v>2948</v>
          </cell>
          <cell r="CA539">
            <v>2612</v>
          </cell>
          <cell r="CB539">
            <v>2254</v>
          </cell>
          <cell r="CC539">
            <v>2803</v>
          </cell>
          <cell r="CD539">
            <v>2234</v>
          </cell>
          <cell r="CE539">
            <v>1946</v>
          </cell>
          <cell r="CF539">
            <v>2011</v>
          </cell>
          <cell r="CG539">
            <v>2203.0002005360002</v>
          </cell>
          <cell r="CH539">
            <v>2030.9998066902999</v>
          </cell>
          <cell r="CI539">
            <v>2110.9999952727999</v>
          </cell>
          <cell r="CJ539">
            <v>2488</v>
          </cell>
          <cell r="CK539">
            <v>2441</v>
          </cell>
          <cell r="CL539">
            <v>1871</v>
          </cell>
          <cell r="CM539">
            <v>1811.4</v>
          </cell>
          <cell r="CN539">
            <v>1996</v>
          </cell>
          <cell r="CO539">
            <v>2287</v>
          </cell>
          <cell r="CP539">
            <v>2223</v>
          </cell>
          <cell r="CQ539">
            <v>2860</v>
          </cell>
          <cell r="CR539">
            <v>3107</v>
          </cell>
          <cell r="CS539">
            <v>3492</v>
          </cell>
          <cell r="CT539">
            <v>3145</v>
          </cell>
          <cell r="CU539">
            <v>3787</v>
          </cell>
          <cell r="CV539">
            <v>4018</v>
          </cell>
          <cell r="CW539">
            <v>4801</v>
          </cell>
          <cell r="CX539">
            <v>4447</v>
          </cell>
          <cell r="CY539">
            <v>4563</v>
          </cell>
          <cell r="CZ539">
            <v>4211</v>
          </cell>
          <cell r="DA539">
            <v>4592</v>
          </cell>
          <cell r="DB539">
            <v>4428</v>
          </cell>
          <cell r="DC539">
            <v>4965</v>
          </cell>
          <cell r="DD539">
            <v>3311</v>
          </cell>
          <cell r="DE539">
            <v>2857</v>
          </cell>
          <cell r="DF539">
            <v>4023</v>
          </cell>
          <cell r="DG539">
            <v>4425</v>
          </cell>
          <cell r="DH539">
            <v>3659.3599999999997</v>
          </cell>
          <cell r="DI539">
            <v>4101.4799999999996</v>
          </cell>
          <cell r="DJ539">
            <v>4495.32</v>
          </cell>
          <cell r="DK539">
            <v>5022.24</v>
          </cell>
          <cell r="DL539">
            <v>4744</v>
          </cell>
        </row>
        <row r="540">
          <cell r="B540" t="str">
            <v>Sales, revenue (Pub)</v>
          </cell>
          <cell r="C540" t="str">
            <v>REVS_PUB</v>
          </cell>
          <cell r="D540" t="str">
            <v>SEK</v>
          </cell>
          <cell r="F540">
            <v>16629</v>
          </cell>
          <cell r="G540">
            <v>16940</v>
          </cell>
          <cell r="H540">
            <v>16008</v>
          </cell>
          <cell r="I540">
            <v>19407</v>
          </cell>
          <cell r="J540">
            <v>22698</v>
          </cell>
          <cell r="K540">
            <v>29700</v>
          </cell>
          <cell r="L540">
            <v>28265</v>
          </cell>
          <cell r="M540">
            <v>34119</v>
          </cell>
          <cell r="N540">
            <v>42400</v>
          </cell>
          <cell r="O540">
            <v>39300</v>
          </cell>
          <cell r="P540">
            <v>43750</v>
          </cell>
          <cell r="Q540">
            <v>48900</v>
          </cell>
          <cell r="R540">
            <v>48700</v>
          </cell>
          <cell r="S540">
            <v>48810</v>
          </cell>
          <cell r="T540">
            <v>54610</v>
          </cell>
          <cell r="U540">
            <v>63370</v>
          </cell>
          <cell r="V540">
            <v>72289</v>
          </cell>
          <cell r="W540">
            <v>86338</v>
          </cell>
          <cell r="X540">
            <v>92654</v>
          </cell>
          <cell r="Y540">
            <v>71937</v>
          </cell>
          <cell r="Z540">
            <v>82654</v>
          </cell>
          <cell r="AA540">
            <v>94084</v>
          </cell>
          <cell r="AB540">
            <v>98529</v>
          </cell>
          <cell r="AC540">
            <v>87328</v>
          </cell>
          <cell r="AD540">
            <v>88821</v>
          </cell>
          <cell r="AE540">
            <v>85845</v>
          </cell>
          <cell r="AF540">
            <v>81553</v>
          </cell>
          <cell r="AG540">
            <v>90905</v>
          </cell>
          <cell r="AH540">
            <v>100072</v>
          </cell>
          <cell r="AI540">
            <v>103238</v>
          </cell>
          <cell r="AJ540">
            <v>86404</v>
          </cell>
          <cell r="AK540">
            <v>99105</v>
          </cell>
          <cell r="AL540">
            <v>110876.37259803523</v>
          </cell>
          <cell r="AM540">
            <v>117090.07384999501</v>
          </cell>
          <cell r="AN540">
            <v>124935.29408220714</v>
          </cell>
          <cell r="AO540">
            <v>134183.4887206649</v>
          </cell>
          <cell r="AP540">
            <v>141847.16036070266</v>
          </cell>
          <cell r="AR540">
            <v>12680</v>
          </cell>
          <cell r="AS540">
            <v>13980</v>
          </cell>
          <cell r="AT540">
            <v>13570</v>
          </cell>
          <cell r="AU540">
            <v>14380</v>
          </cell>
          <cell r="AV540">
            <v>14194</v>
          </cell>
          <cell r="AW540">
            <v>16150</v>
          </cell>
          <cell r="AX540">
            <v>15554</v>
          </cell>
          <cell r="AY540">
            <v>17473</v>
          </cell>
          <cell r="AZ540">
            <v>17481</v>
          </cell>
          <cell r="BA540">
            <v>17851</v>
          </cell>
          <cell r="BB540">
            <v>17587</v>
          </cell>
          <cell r="BC540">
            <v>19370</v>
          </cell>
          <cell r="BD540">
            <v>20409</v>
          </cell>
          <cell r="BE540">
            <v>22002</v>
          </cell>
          <cell r="BF540">
            <v>21216</v>
          </cell>
          <cell r="BG540">
            <v>22711</v>
          </cell>
          <cell r="BH540">
            <v>21990</v>
          </cell>
          <cell r="BI540">
            <v>24016</v>
          </cell>
          <cell r="BJ540">
            <v>22478</v>
          </cell>
          <cell r="BK540">
            <v>24171</v>
          </cell>
          <cell r="BL540">
            <v>19136</v>
          </cell>
          <cell r="BM540">
            <v>18011</v>
          </cell>
          <cell r="BN540">
            <v>16578</v>
          </cell>
          <cell r="BO540">
            <v>18211</v>
          </cell>
          <cell r="BP540">
            <v>18534</v>
          </cell>
          <cell r="BQ540">
            <v>20603</v>
          </cell>
          <cell r="BR540">
            <v>20241</v>
          </cell>
          <cell r="BS540">
            <v>23276</v>
          </cell>
          <cell r="BT540">
            <v>22030.002854806262</v>
          </cell>
          <cell r="BU540">
            <v>23421.483948991336</v>
          </cell>
          <cell r="BV540">
            <v>23528.09955230531</v>
          </cell>
          <cell r="BW540">
            <v>25104.469084739638</v>
          </cell>
          <cell r="BX540">
            <v>24838</v>
          </cell>
          <cell r="BY540">
            <v>25939</v>
          </cell>
          <cell r="BZ540">
            <v>23424</v>
          </cell>
          <cell r="CA540">
            <v>24328</v>
          </cell>
          <cell r="CB540">
            <v>22098</v>
          </cell>
          <cell r="CC540">
            <v>23043</v>
          </cell>
          <cell r="CD540">
            <v>20416</v>
          </cell>
          <cell r="CE540">
            <v>21770</v>
          </cell>
          <cell r="CF540">
            <v>19284</v>
          </cell>
          <cell r="CG540">
            <v>20632</v>
          </cell>
          <cell r="CH540">
            <v>20901</v>
          </cell>
          <cell r="CI540">
            <v>21699</v>
          </cell>
          <cell r="CJ540">
            <v>21955</v>
          </cell>
          <cell r="CK540">
            <v>22196</v>
          </cell>
          <cell r="CL540">
            <v>20741</v>
          </cell>
          <cell r="CM540">
            <v>20934</v>
          </cell>
          <cell r="CN540">
            <v>19695</v>
          </cell>
          <cell r="CO540">
            <v>20315</v>
          </cell>
          <cell r="CP540">
            <v>19708</v>
          </cell>
          <cell r="CQ540">
            <v>21814</v>
          </cell>
          <cell r="CR540">
            <v>21767</v>
          </cell>
          <cell r="CS540">
            <v>23552</v>
          </cell>
          <cell r="CT540">
            <v>21649</v>
          </cell>
          <cell r="CU540">
            <v>23936</v>
          </cell>
          <cell r="CV540">
            <v>23685</v>
          </cell>
          <cell r="CW540">
            <v>25717</v>
          </cell>
          <cell r="CX540">
            <v>23850</v>
          </cell>
          <cell r="CY540">
            <v>25502</v>
          </cell>
          <cell r="CZ540">
            <v>25026</v>
          </cell>
          <cell r="DA540">
            <v>26467</v>
          </cell>
          <cell r="DB540">
            <v>25163</v>
          </cell>
          <cell r="DC540">
            <v>26583</v>
          </cell>
          <cell r="DD540">
            <v>23620</v>
          </cell>
          <cell r="DE540">
            <v>20231</v>
          </cell>
          <cell r="DF540">
            <v>20146</v>
          </cell>
          <cell r="DG540">
            <v>22407</v>
          </cell>
          <cell r="DH540">
            <v>21693</v>
          </cell>
          <cell r="DI540">
            <v>23461</v>
          </cell>
          <cell r="DJ540">
            <v>24825</v>
          </cell>
          <cell r="DK540">
            <v>29126</v>
          </cell>
          <cell r="DL540">
            <v>24922</v>
          </cell>
        </row>
        <row r="541">
          <cell r="B541" t="str">
            <v>Total shareholders' equity (Pub)</v>
          </cell>
          <cell r="C541" t="str">
            <v>EQ_PUB</v>
          </cell>
          <cell r="D541" t="str">
            <v>SEK</v>
          </cell>
          <cell r="F541">
            <v>0</v>
          </cell>
          <cell r="G541">
            <v>0</v>
          </cell>
          <cell r="H541">
            <v>0</v>
          </cell>
          <cell r="I541">
            <v>0</v>
          </cell>
          <cell r="J541">
            <v>0</v>
          </cell>
          <cell r="K541">
            <v>0</v>
          </cell>
          <cell r="L541">
            <v>0</v>
          </cell>
          <cell r="M541">
            <v>18583</v>
          </cell>
          <cell r="N541">
            <v>19493</v>
          </cell>
          <cell r="O541">
            <v>20997</v>
          </cell>
          <cell r="P541">
            <v>23403</v>
          </cell>
          <cell r="Q541">
            <v>24939</v>
          </cell>
          <cell r="R541">
            <v>24169</v>
          </cell>
          <cell r="S541">
            <v>22286</v>
          </cell>
          <cell r="T541">
            <v>23551</v>
          </cell>
          <cell r="U541">
            <v>24507</v>
          </cell>
          <cell r="V541">
            <v>27198</v>
          </cell>
          <cell r="W541">
            <v>29823</v>
          </cell>
          <cell r="X541">
            <v>36725</v>
          </cell>
          <cell r="Y541">
            <v>29957</v>
          </cell>
          <cell r="Z541">
            <v>33813</v>
          </cell>
          <cell r="AA541">
            <v>33891</v>
          </cell>
          <cell r="AB541">
            <v>36232</v>
          </cell>
          <cell r="AC541">
            <v>33610</v>
          </cell>
          <cell r="AD541">
            <v>36672</v>
          </cell>
          <cell r="AE541">
            <v>34060</v>
          </cell>
          <cell r="AF541">
            <v>39290</v>
          </cell>
          <cell r="AG541">
            <v>48771</v>
          </cell>
          <cell r="AH541">
            <v>58518</v>
          </cell>
          <cell r="AI541">
            <v>61858</v>
          </cell>
          <cell r="AJ541">
            <v>65082</v>
          </cell>
          <cell r="AK541">
            <v>77332</v>
          </cell>
          <cell r="AL541">
            <v>71499.84606497534</v>
          </cell>
          <cell r="AM541">
            <v>80457.79006218951</v>
          </cell>
          <cell r="AN541">
            <v>89110.868992702322</v>
          </cell>
          <cell r="AO541">
            <v>98161.901851556147</v>
          </cell>
          <cell r="AP541">
            <v>107307.56447554109</v>
          </cell>
        </row>
        <row r="542">
          <cell r="A542" t="str">
            <v>Income Statement</v>
          </cell>
        </row>
        <row r="543">
          <cell r="B543" t="str">
            <v>Provision for income tax</v>
          </cell>
          <cell r="C543" t="str">
            <v>PROV_INC_TAX</v>
          </cell>
          <cell r="D543" t="str">
            <v>SEK</v>
          </cell>
          <cell r="F543">
            <v>0</v>
          </cell>
          <cell r="G543">
            <v>0</v>
          </cell>
          <cell r="H543">
            <v>0</v>
          </cell>
          <cell r="I543">
            <v>0</v>
          </cell>
          <cell r="J543">
            <v>0</v>
          </cell>
          <cell r="K543">
            <v>-1691</v>
          </cell>
          <cell r="L543">
            <v>-1204</v>
          </cell>
          <cell r="M543">
            <v>-1283</v>
          </cell>
          <cell r="N543">
            <v>-1675</v>
          </cell>
          <cell r="O543">
            <v>-1688</v>
          </cell>
          <cell r="P543">
            <v>-1881</v>
          </cell>
          <cell r="Q543">
            <v>-1712</v>
          </cell>
          <cell r="R543">
            <v>-1431</v>
          </cell>
          <cell r="S543">
            <v>-1212</v>
          </cell>
          <cell r="T543">
            <v>-1766</v>
          </cell>
          <cell r="U543">
            <v>-2427</v>
          </cell>
          <cell r="V543">
            <v>-3006</v>
          </cell>
          <cell r="W543">
            <v>-3403</v>
          </cell>
          <cell r="X543">
            <v>-2741</v>
          </cell>
          <cell r="Y543">
            <v>876</v>
          </cell>
          <cell r="Z543">
            <v>-2469</v>
          </cell>
          <cell r="AA543">
            <v>-2318</v>
          </cell>
          <cell r="AB543">
            <v>-3409</v>
          </cell>
          <cell r="AC543">
            <v>-1745</v>
          </cell>
          <cell r="AD543">
            <v>-2272</v>
          </cell>
          <cell r="AE543">
            <v>-1865</v>
          </cell>
          <cell r="AF543">
            <v>-2528</v>
          </cell>
          <cell r="AG543">
            <v>-3783</v>
          </cell>
          <cell r="AH543">
            <v>-4645</v>
          </cell>
          <cell r="AI543">
            <v>-3422</v>
          </cell>
          <cell r="AJ543">
            <v>-2517</v>
          </cell>
          <cell r="AK543">
            <v>-3967</v>
          </cell>
          <cell r="AL543">
            <v>-4196.2950330201456</v>
          </cell>
          <cell r="AM543">
            <v>-4634.7322394276043</v>
          </cell>
          <cell r="AN543">
            <v>-5072.5981849312411</v>
          </cell>
          <cell r="AO543">
            <v>-5409.8192990780772</v>
          </cell>
          <cell r="AP543">
            <v>-5606.0107365872345</v>
          </cell>
        </row>
        <row r="544">
          <cell r="B544" t="str">
            <v>Minority interest</v>
          </cell>
          <cell r="C544" t="str">
            <v>INC_MINORITY</v>
          </cell>
          <cell r="D544" t="str">
            <v>SEK</v>
          </cell>
          <cell r="F544">
            <v>0</v>
          </cell>
          <cell r="G544">
            <v>0</v>
          </cell>
          <cell r="H544">
            <v>0</v>
          </cell>
          <cell r="I544">
            <v>0</v>
          </cell>
          <cell r="J544">
            <v>0</v>
          </cell>
          <cell r="K544">
            <v>-202</v>
          </cell>
          <cell r="L544">
            <v>-135</v>
          </cell>
          <cell r="M544">
            <v>-197</v>
          </cell>
          <cell r="N544">
            <v>-165</v>
          </cell>
          <cell r="O544">
            <v>-157</v>
          </cell>
          <cell r="P544">
            <v>-211</v>
          </cell>
          <cell r="Q544">
            <v>-206</v>
          </cell>
          <cell r="R544">
            <v>-196</v>
          </cell>
          <cell r="S544">
            <v>-187</v>
          </cell>
          <cell r="T544">
            <v>-265</v>
          </cell>
          <cell r="U544">
            <v>-371</v>
          </cell>
          <cell r="V544">
            <v>-406</v>
          </cell>
          <cell r="W544">
            <v>-478</v>
          </cell>
          <cell r="X544">
            <v>-364</v>
          </cell>
          <cell r="Y544">
            <v>-56</v>
          </cell>
          <cell r="Z544">
            <v>-309</v>
          </cell>
          <cell r="AA544">
            <v>-363</v>
          </cell>
          <cell r="AB544">
            <v>-2</v>
          </cell>
          <cell r="AC544">
            <v>5</v>
          </cell>
          <cell r="AD544">
            <v>19</v>
          </cell>
          <cell r="AE544">
            <v>53</v>
          </cell>
          <cell r="AF544">
            <v>40</v>
          </cell>
          <cell r="AG544">
            <v>14</v>
          </cell>
          <cell r="AH544">
            <v>10</v>
          </cell>
          <cell r="AI544">
            <v>16</v>
          </cell>
          <cell r="AJ544">
            <v>14</v>
          </cell>
          <cell r="AK544">
            <v>-23</v>
          </cell>
          <cell r="AL544">
            <v>-55</v>
          </cell>
          <cell r="AM544">
            <v>-58.082293917539687</v>
          </cell>
          <cell r="AN544">
            <v>-61.97389951989787</v>
          </cell>
          <cell r="AO544">
            <v>-66.561447734152765</v>
          </cell>
          <cell r="AP544">
            <v>-70.36299652516675</v>
          </cell>
        </row>
        <row r="545">
          <cell r="B545" t="str">
            <v>Net income (pre-preferred dividends)</v>
          </cell>
          <cell r="C545" t="str">
            <v>NI_PRE_PREF</v>
          </cell>
          <cell r="D545" t="str">
            <v>SEK</v>
          </cell>
          <cell r="F545">
            <v>0</v>
          </cell>
          <cell r="G545">
            <v>0</v>
          </cell>
          <cell r="H545">
            <v>0</v>
          </cell>
          <cell r="I545">
            <v>0</v>
          </cell>
          <cell r="J545">
            <v>0</v>
          </cell>
          <cell r="K545">
            <v>3923</v>
          </cell>
          <cell r="L545">
            <v>3286</v>
          </cell>
          <cell r="M545">
            <v>3625</v>
          </cell>
          <cell r="N545">
            <v>2895</v>
          </cell>
          <cell r="O545">
            <v>1995</v>
          </cell>
          <cell r="P545">
            <v>3552</v>
          </cell>
          <cell r="Q545">
            <v>3863</v>
          </cell>
          <cell r="R545">
            <v>3436</v>
          </cell>
          <cell r="S545">
            <v>3388</v>
          </cell>
          <cell r="T545">
            <v>4968</v>
          </cell>
          <cell r="U545">
            <v>6110</v>
          </cell>
          <cell r="V545">
            <v>7837</v>
          </cell>
          <cell r="W545">
            <v>9235</v>
          </cell>
          <cell r="X545">
            <v>7818</v>
          </cell>
          <cell r="Y545">
            <v>296</v>
          </cell>
          <cell r="Z545">
            <v>7411</v>
          </cell>
          <cell r="AA545">
            <v>9133</v>
          </cell>
          <cell r="AB545">
            <v>9690</v>
          </cell>
          <cell r="AC545">
            <v>7412</v>
          </cell>
          <cell r="AD545">
            <v>6043.0000024991004</v>
          </cell>
          <cell r="AE545">
            <v>6827.4</v>
          </cell>
          <cell r="AF545">
            <v>6894</v>
          </cell>
          <cell r="AG545">
            <v>9119</v>
          </cell>
          <cell r="AH545">
            <v>13239</v>
          </cell>
          <cell r="AI545">
            <v>14585</v>
          </cell>
          <cell r="AJ545">
            <v>12120</v>
          </cell>
          <cell r="AK545">
            <v>12486.400000000001</v>
          </cell>
          <cell r="AL545">
            <v>15587.804247239103</v>
          </cell>
          <cell r="AM545">
            <v>16142.195203296613</v>
          </cell>
          <cell r="AN545">
            <v>16920.202632641212</v>
          </cell>
          <cell r="AO545">
            <v>18044.572727440282</v>
          </cell>
          <cell r="AP545">
            <v>18697.58599117992</v>
          </cell>
        </row>
        <row r="546">
          <cell r="B546" t="str">
            <v>Preferred dividends</v>
          </cell>
          <cell r="C546" t="str">
            <v>PREF_DIV</v>
          </cell>
          <cell r="D546" t="str">
            <v>SEK</v>
          </cell>
        </row>
        <row r="547">
          <cell r="B547" t="str">
            <v>Net income (pre-exceptionals)</v>
          </cell>
          <cell r="C547" t="str">
            <v>NET_EARNING</v>
          </cell>
          <cell r="D547" t="str">
            <v>SEK</v>
          </cell>
          <cell r="F547">
            <v>0</v>
          </cell>
          <cell r="G547">
            <v>0</v>
          </cell>
          <cell r="H547">
            <v>0</v>
          </cell>
          <cell r="I547">
            <v>0</v>
          </cell>
          <cell r="J547">
            <v>0</v>
          </cell>
          <cell r="K547">
            <v>3923</v>
          </cell>
          <cell r="L547">
            <v>3286</v>
          </cell>
          <cell r="M547">
            <v>3625</v>
          </cell>
          <cell r="N547">
            <v>2895</v>
          </cell>
          <cell r="O547">
            <v>1995</v>
          </cell>
          <cell r="P547">
            <v>3552</v>
          </cell>
          <cell r="Q547">
            <v>3863</v>
          </cell>
          <cell r="R547">
            <v>3436</v>
          </cell>
          <cell r="S547">
            <v>3388</v>
          </cell>
          <cell r="T547">
            <v>4968</v>
          </cell>
          <cell r="U547">
            <v>6110</v>
          </cell>
          <cell r="V547">
            <v>7837</v>
          </cell>
          <cell r="W547">
            <v>9235</v>
          </cell>
          <cell r="X547">
            <v>7818</v>
          </cell>
          <cell r="Y547">
            <v>296</v>
          </cell>
          <cell r="Z547">
            <v>7411</v>
          </cell>
          <cell r="AA547">
            <v>9133</v>
          </cell>
          <cell r="AB547">
            <v>9690</v>
          </cell>
          <cell r="AC547">
            <v>7412</v>
          </cell>
          <cell r="AD547">
            <v>6043.0000024991004</v>
          </cell>
          <cell r="AE547">
            <v>6827.4</v>
          </cell>
          <cell r="AF547">
            <v>6894</v>
          </cell>
          <cell r="AG547">
            <v>9119</v>
          </cell>
          <cell r="AH547">
            <v>13239</v>
          </cell>
          <cell r="AI547">
            <v>14585</v>
          </cell>
          <cell r="AJ547">
            <v>12120</v>
          </cell>
          <cell r="AK547">
            <v>12486.400000000001</v>
          </cell>
          <cell r="AL547">
            <v>15587.804247239103</v>
          </cell>
          <cell r="AM547">
            <v>16142.195203296613</v>
          </cell>
          <cell r="AN547">
            <v>16920.202632641212</v>
          </cell>
          <cell r="AO547">
            <v>18044.572727440282</v>
          </cell>
          <cell r="AP547">
            <v>18697.58599117992</v>
          </cell>
        </row>
        <row r="548">
          <cell r="B548" t="str">
            <v>Post-tax exceptionals</v>
          </cell>
          <cell r="C548" t="str">
            <v>TAX_EXC</v>
          </cell>
          <cell r="D548" t="str">
            <v>SEK</v>
          </cell>
          <cell r="K548">
            <v>-196</v>
          </cell>
          <cell r="L548">
            <v>-172</v>
          </cell>
          <cell r="M548">
            <v>-900</v>
          </cell>
          <cell r="N548">
            <v>-800</v>
          </cell>
          <cell r="O548">
            <v>1625</v>
          </cell>
          <cell r="P548">
            <v>160</v>
          </cell>
          <cell r="Q548">
            <v>-175</v>
          </cell>
          <cell r="R548">
            <v>0</v>
          </cell>
          <cell r="S548">
            <v>-600</v>
          </cell>
          <cell r="T548">
            <v>-122</v>
          </cell>
          <cell r="U548">
            <v>-89</v>
          </cell>
          <cell r="V548">
            <v>-136</v>
          </cell>
          <cell r="W548">
            <v>-119</v>
          </cell>
          <cell r="X548">
            <v>-346</v>
          </cell>
          <cell r="Y548">
            <v>-2510</v>
          </cell>
          <cell r="Z548">
            <v>-400</v>
          </cell>
          <cell r="AA548">
            <v>-3370</v>
          </cell>
          <cell r="AB548">
            <v>-1150</v>
          </cell>
          <cell r="AC548">
            <v>-2190</v>
          </cell>
          <cell r="AD548">
            <v>-32.000002499100447</v>
          </cell>
          <cell r="AE548">
            <v>-4580.3999999999996</v>
          </cell>
          <cell r="AF548">
            <v>-1386</v>
          </cell>
          <cell r="AG548">
            <v>3352</v>
          </cell>
          <cell r="AH548">
            <v>-525</v>
          </cell>
          <cell r="AI548">
            <v>-6046</v>
          </cell>
          <cell r="AJ548">
            <v>-3385</v>
          </cell>
          <cell r="AK548">
            <v>1974.5999999999985</v>
          </cell>
          <cell r="AL548">
            <v>-2099.624682263775</v>
          </cell>
          <cell r="AM548">
            <v>0</v>
          </cell>
          <cell r="AN548">
            <v>0</v>
          </cell>
          <cell r="AO548">
            <v>0</v>
          </cell>
          <cell r="AP548">
            <v>0</v>
          </cell>
        </row>
        <row r="549">
          <cell r="B549" t="str">
            <v>Net income (post-exceptionals)</v>
          </cell>
          <cell r="C549" t="str">
            <v>NET_INC</v>
          </cell>
          <cell r="D549" t="str">
            <v>SEK</v>
          </cell>
          <cell r="F549">
            <v>0</v>
          </cell>
          <cell r="G549">
            <v>0</v>
          </cell>
          <cell r="H549">
            <v>0</v>
          </cell>
          <cell r="I549">
            <v>0</v>
          </cell>
          <cell r="J549">
            <v>0</v>
          </cell>
          <cell r="K549">
            <v>3727</v>
          </cell>
          <cell r="L549">
            <v>3114</v>
          </cell>
          <cell r="M549">
            <v>2725</v>
          </cell>
          <cell r="N549">
            <v>2095</v>
          </cell>
          <cell r="O549">
            <v>3620</v>
          </cell>
          <cell r="P549">
            <v>3712</v>
          </cell>
          <cell r="Q549">
            <v>3688</v>
          </cell>
          <cell r="R549">
            <v>3436</v>
          </cell>
          <cell r="S549">
            <v>2788</v>
          </cell>
          <cell r="T549">
            <v>4846</v>
          </cell>
          <cell r="U549">
            <v>6021</v>
          </cell>
          <cell r="V549">
            <v>7701</v>
          </cell>
          <cell r="W549">
            <v>9116</v>
          </cell>
          <cell r="X549">
            <v>7472</v>
          </cell>
          <cell r="Y549">
            <v>-2214</v>
          </cell>
          <cell r="Z549">
            <v>7011</v>
          </cell>
          <cell r="AA549">
            <v>5763</v>
          </cell>
          <cell r="AB549">
            <v>8540</v>
          </cell>
          <cell r="AC549">
            <v>5222</v>
          </cell>
          <cell r="AD549">
            <v>6011</v>
          </cell>
          <cell r="AE549">
            <v>2247</v>
          </cell>
          <cell r="AF549">
            <v>5508</v>
          </cell>
          <cell r="AG549">
            <v>12471</v>
          </cell>
          <cell r="AH549">
            <v>12714</v>
          </cell>
          <cell r="AI549">
            <v>8539</v>
          </cell>
          <cell r="AJ549">
            <v>8735</v>
          </cell>
          <cell r="AK549">
            <v>14461</v>
          </cell>
          <cell r="AL549">
            <v>13488.179564975328</v>
          </cell>
          <cell r="AM549">
            <v>16142.195203296613</v>
          </cell>
          <cell r="AN549">
            <v>16920.202632641212</v>
          </cell>
          <cell r="AO549">
            <v>18044.572727440282</v>
          </cell>
          <cell r="AP549">
            <v>18697.58599117992</v>
          </cell>
        </row>
        <row r="550">
          <cell r="B550" t="str">
            <v>EPS (pre-exceptionals, basic)</v>
          </cell>
          <cell r="C550" t="str">
            <v>EPS</v>
          </cell>
          <cell r="D550" t="str">
            <v>SEK</v>
          </cell>
          <cell r="K550">
            <v>2.82</v>
          </cell>
          <cell r="L550">
            <v>2.36</v>
          </cell>
          <cell r="M550">
            <v>2.8</v>
          </cell>
          <cell r="N550">
            <v>2.2400000000000002</v>
          </cell>
          <cell r="O550">
            <v>1.54</v>
          </cell>
          <cell r="P550">
            <v>2.75</v>
          </cell>
          <cell r="Q550">
            <v>3.08</v>
          </cell>
          <cell r="R550">
            <v>2.75</v>
          </cell>
          <cell r="S550">
            <v>2.71</v>
          </cell>
          <cell r="T550">
            <v>4.0199999999999996</v>
          </cell>
          <cell r="U550">
            <v>5.15</v>
          </cell>
          <cell r="V550">
            <v>6.61</v>
          </cell>
          <cell r="W550">
            <v>7.78</v>
          </cell>
          <cell r="X550">
            <v>6.59</v>
          </cell>
          <cell r="Y550">
            <v>0.25</v>
          </cell>
          <cell r="Z550">
            <v>6.25</v>
          </cell>
          <cell r="AA550">
            <v>7.7</v>
          </cell>
          <cell r="AB550">
            <v>7.78</v>
          </cell>
          <cell r="AC550">
            <v>5.91</v>
          </cell>
          <cell r="AD550">
            <v>4.82</v>
          </cell>
          <cell r="AE550">
            <v>5.44</v>
          </cell>
          <cell r="AF550">
            <v>5.4959159301841698</v>
          </cell>
          <cell r="AG550">
            <v>7.27</v>
          </cell>
          <cell r="AH550">
            <v>10.55</v>
          </cell>
          <cell r="AI550">
            <v>11.63</v>
          </cell>
          <cell r="AJ550">
            <v>9.66</v>
          </cell>
          <cell r="AK550">
            <v>9.9499999999999993</v>
          </cell>
          <cell r="AL550">
            <v>12.43</v>
          </cell>
          <cell r="AM550">
            <v>12.87</v>
          </cell>
          <cell r="AN550">
            <v>13.49</v>
          </cell>
          <cell r="AO550">
            <v>14.39</v>
          </cell>
          <cell r="AP550">
            <v>14.91</v>
          </cell>
        </row>
        <row r="551">
          <cell r="B551" t="str">
            <v>EPS (pre-exceptionals, diluted)</v>
          </cell>
          <cell r="C551" t="str">
            <v>EPS_FUL_DIL</v>
          </cell>
          <cell r="D551" t="str">
            <v>SEK</v>
          </cell>
          <cell r="K551">
            <v>2.8172351885098745</v>
          </cell>
          <cell r="L551">
            <v>2.3597845601436265</v>
          </cell>
          <cell r="M551">
            <v>2.8024739080015464</v>
          </cell>
          <cell r="N551">
            <v>2.2381136451488208</v>
          </cell>
          <cell r="O551">
            <v>1.5423270197139545</v>
          </cell>
          <cell r="P551">
            <v>2.7460378817162736</v>
          </cell>
          <cell r="Q551">
            <v>3.0778424029957776</v>
          </cell>
          <cell r="R551">
            <v>2.7485801135909131</v>
          </cell>
          <cell r="S551">
            <v>2.7101831853451728</v>
          </cell>
          <cell r="T551">
            <v>4.0220207253886011</v>
          </cell>
          <cell r="U551">
            <v>5.1504678411868836</v>
          </cell>
          <cell r="V551">
            <v>6.6062547416336512</v>
          </cell>
          <cell r="W551">
            <v>7.7847087583242018</v>
          </cell>
          <cell r="X551">
            <v>6.5902385568574564</v>
          </cell>
          <cell r="Y551">
            <v>0.249518034000204</v>
          </cell>
          <cell r="Z551">
            <v>6.2472234796469994</v>
          </cell>
          <cell r="AA551">
            <v>7.698811501769808</v>
          </cell>
          <cell r="AB551">
            <v>7.7776725415250656</v>
          </cell>
          <cell r="AC551">
            <v>5.9088669675841405</v>
          </cell>
          <cell r="AD551">
            <v>4.8174963707336502</v>
          </cell>
          <cell r="AE551">
            <v>5.4428222253756022</v>
          </cell>
          <cell r="AF551">
            <v>5.4959159301841698</v>
          </cell>
          <cell r="AG551">
            <v>7.2696921043442773</v>
          </cell>
          <cell r="AH551">
            <v>10.554167536946363</v>
          </cell>
          <cell r="AI551">
            <v>11.627202471966365</v>
          </cell>
          <cell r="AJ551">
            <v>9.6620976318294378</v>
          </cell>
          <cell r="AK551">
            <v>9.9541927285540517</v>
          </cell>
          <cell r="AL551">
            <v>12.426640800550311</v>
          </cell>
          <cell r="AM551">
            <v>12.868602809100718</v>
          </cell>
          <cell r="AN551">
            <v>13.488832490669708</v>
          </cell>
          <cell r="AO551">
            <v>14.385183450261946</v>
          </cell>
          <cell r="AP551">
            <v>14.905767436163924</v>
          </cell>
        </row>
        <row r="552">
          <cell r="B552" t="str">
            <v>EPS (post-exceptionals, basic)</v>
          </cell>
          <cell r="C552" t="str">
            <v>EPS_POST_BASIC</v>
          </cell>
          <cell r="D552" t="str">
            <v>SEK</v>
          </cell>
          <cell r="K552">
            <v>2.6764811490125675</v>
          </cell>
          <cell r="L552">
            <v>2.2362657091561937</v>
          </cell>
          <cell r="M552">
            <v>2.1066872825666794</v>
          </cell>
          <cell r="N552">
            <v>1.619636644762273</v>
          </cell>
          <cell r="O552">
            <v>2.7986084267491305</v>
          </cell>
          <cell r="P552">
            <v>2.8697332817935832</v>
          </cell>
          <cell r="Q552">
            <v>2.9384112819695645</v>
          </cell>
          <cell r="R552">
            <v>2.7485801135909131</v>
          </cell>
          <cell r="S552">
            <v>2.2302215822734182</v>
          </cell>
          <cell r="T552">
            <v>3.9232512953367875</v>
          </cell>
          <cell r="U552">
            <v>5.0754446598668128</v>
          </cell>
          <cell r="V552">
            <v>6.4916125769198354</v>
          </cell>
          <cell r="W552">
            <v>7.6843968641996128</v>
          </cell>
          <cell r="X552">
            <v>6.2985754025120126</v>
          </cell>
          <cell r="Y552">
            <v>-1.8663274570150392</v>
          </cell>
          <cell r="Z552">
            <v>5.9100369472142908</v>
          </cell>
          <cell r="AA552">
            <v>4.8580149660242418</v>
          </cell>
          <cell r="AB552">
            <v>6.8546257486712134</v>
          </cell>
          <cell r="AC552">
            <v>4.1629928905456532</v>
          </cell>
          <cell r="AD552">
            <v>4.791985879944451</v>
          </cell>
          <cell r="AE552">
            <v>1.7913146352079823</v>
          </cell>
          <cell r="AF552">
            <v>4.390992884168031</v>
          </cell>
          <cell r="AG552">
            <v>9.9419158058205372</v>
          </cell>
          <cell r="AH552">
            <v>10.135636080122067</v>
          </cell>
          <cell r="AI552">
            <v>6.8073144949002939</v>
          </cell>
          <cell r="AJ552">
            <v>6.9635662387813637</v>
          </cell>
          <cell r="AK552">
            <v>11.52834932787834</v>
          </cell>
          <cell r="AL552">
            <v>10.752814177593921</v>
          </cell>
          <cell r="AM552">
            <v>12.868602809100718</v>
          </cell>
          <cell r="AN552">
            <v>13.488832490669708</v>
          </cell>
          <cell r="AO552">
            <v>14.385183450261946</v>
          </cell>
          <cell r="AP552">
            <v>14.905767436163924</v>
          </cell>
        </row>
        <row r="553">
          <cell r="B553" t="str">
            <v>EPS (post-exceptionals, diluted)</v>
          </cell>
          <cell r="C553" t="str">
            <v>FULLY_DIL_EPS</v>
          </cell>
          <cell r="D553" t="str">
            <v>SEK</v>
          </cell>
          <cell r="K553">
            <v>2.6764811490125675</v>
          </cell>
          <cell r="L553">
            <v>2.2362657091561937</v>
          </cell>
          <cell r="M553">
            <v>2.1066872825666794</v>
          </cell>
          <cell r="N553">
            <v>1.619636644762273</v>
          </cell>
          <cell r="O553">
            <v>2.7986084267491305</v>
          </cell>
          <cell r="P553">
            <v>2.8697332817935832</v>
          </cell>
          <cell r="Q553">
            <v>2.9384112819695645</v>
          </cell>
          <cell r="R553">
            <v>2.7485801135909131</v>
          </cell>
          <cell r="S553">
            <v>2.2302215822734182</v>
          </cell>
          <cell r="T553">
            <v>3.9232512953367875</v>
          </cell>
          <cell r="U553">
            <v>5.0754446598668128</v>
          </cell>
          <cell r="V553">
            <v>6.4916125769198354</v>
          </cell>
          <cell r="W553">
            <v>7.6843968641996128</v>
          </cell>
          <cell r="X553">
            <v>6.2985754025120126</v>
          </cell>
          <cell r="Y553">
            <v>-1.8663274570150392</v>
          </cell>
          <cell r="Z553">
            <v>5.9100369472142908</v>
          </cell>
          <cell r="AA553">
            <v>4.8580149660242418</v>
          </cell>
          <cell r="AB553">
            <v>6.8546257486712134</v>
          </cell>
          <cell r="AC553">
            <v>4.1629928905456532</v>
          </cell>
          <cell r="AD553">
            <v>4.791985879944451</v>
          </cell>
          <cell r="AE553">
            <v>1.7913146352079823</v>
          </cell>
          <cell r="AF553">
            <v>4.390992884168031</v>
          </cell>
          <cell r="AG553">
            <v>9.9419158058205372</v>
          </cell>
          <cell r="AH553">
            <v>10.135636080122067</v>
          </cell>
          <cell r="AI553">
            <v>6.8073144949002939</v>
          </cell>
          <cell r="AJ553">
            <v>6.9635662387813637</v>
          </cell>
          <cell r="AK553">
            <v>11.52834932787834</v>
          </cell>
          <cell r="AL553">
            <v>10.752814177593921</v>
          </cell>
          <cell r="AM553">
            <v>12.868602809100718</v>
          </cell>
          <cell r="AN553">
            <v>13.488832490669708</v>
          </cell>
          <cell r="AO553">
            <v>14.385183450261946</v>
          </cell>
          <cell r="AP553">
            <v>14.905767436163924</v>
          </cell>
        </row>
        <row r="554">
          <cell r="B554" t="str">
            <v>Common dividends paid</v>
          </cell>
          <cell r="C554" t="str">
            <v>COMMON_DIV_PAID</v>
          </cell>
          <cell r="D554" t="str">
            <v>SEK</v>
          </cell>
          <cell r="F554">
            <v>0</v>
          </cell>
          <cell r="G554">
            <v>0</v>
          </cell>
          <cell r="H554">
            <v>0</v>
          </cell>
          <cell r="I554">
            <v>0</v>
          </cell>
          <cell r="J554">
            <v>0</v>
          </cell>
          <cell r="K554">
            <v>-1671</v>
          </cell>
          <cell r="L554">
            <v>-1810.25</v>
          </cell>
          <cell r="M554">
            <v>-1810.8999999999999</v>
          </cell>
          <cell r="N554">
            <v>-1810.8999999999999</v>
          </cell>
          <cell r="O554">
            <v>-2069.6</v>
          </cell>
          <cell r="P554">
            <v>-2328.3000000000002</v>
          </cell>
          <cell r="Q554">
            <v>-2384.6899999999996</v>
          </cell>
          <cell r="R554">
            <v>-2500.1999999999998</v>
          </cell>
          <cell r="S554">
            <v>-2625.21</v>
          </cell>
          <cell r="T554">
            <v>-2840.96</v>
          </cell>
          <cell r="U554">
            <v>-3203.01</v>
          </cell>
          <cell r="V554">
            <v>-3855.4749999999999</v>
          </cell>
          <cell r="W554">
            <v>-4745.2</v>
          </cell>
          <cell r="X554">
            <v>-3736.8449999999998</v>
          </cell>
          <cell r="Y554">
            <v>-1186.287</v>
          </cell>
          <cell r="Z554">
            <v>-3558.8609999999999</v>
          </cell>
          <cell r="AA554">
            <v>-3855.4327499999999</v>
          </cell>
          <cell r="AB554">
            <v>-4360.5590000000002</v>
          </cell>
          <cell r="AC554">
            <v>-4390.3509999999997</v>
          </cell>
          <cell r="AD554">
            <v>-4390.3509999999997</v>
          </cell>
          <cell r="AE554">
            <v>-3135.9650000000001</v>
          </cell>
          <cell r="AF554">
            <v>-3449.5614999999998</v>
          </cell>
          <cell r="AG554">
            <v>-4390.3509999999997</v>
          </cell>
          <cell r="AH554">
            <v>-5331.1404999999995</v>
          </cell>
          <cell r="AI554">
            <v>0</v>
          </cell>
          <cell r="AJ554">
            <v>-5644.7370000000001</v>
          </cell>
          <cell r="AK554">
            <v>-5958.3334999999997</v>
          </cell>
          <cell r="AL554">
            <v>-5958.3334999999997</v>
          </cell>
          <cell r="AM554">
            <v>-7729.0976016483064</v>
          </cell>
          <cell r="AN554">
            <v>-8460.1013163206062</v>
          </cell>
          <cell r="AO554">
            <v>-9022.2863637201408</v>
          </cell>
          <cell r="AP554">
            <v>-9348.7929955899599</v>
          </cell>
        </row>
        <row r="555">
          <cell r="B555" t="str">
            <v>DPS, dividend per share</v>
          </cell>
          <cell r="C555" t="str">
            <v>DPS</v>
          </cell>
          <cell r="D555" t="str">
            <v>SEK</v>
          </cell>
          <cell r="K555">
            <v>1.2</v>
          </cell>
          <cell r="L555">
            <v>1.3</v>
          </cell>
          <cell r="M555">
            <v>1.4</v>
          </cell>
          <cell r="N555">
            <v>1.4</v>
          </cell>
          <cell r="O555">
            <v>1.6</v>
          </cell>
          <cell r="P555">
            <v>1.8</v>
          </cell>
          <cell r="Q555">
            <v>1.9</v>
          </cell>
          <cell r="R555">
            <v>2</v>
          </cell>
          <cell r="S555">
            <v>2.1</v>
          </cell>
          <cell r="T555">
            <v>2.2999999999999998</v>
          </cell>
          <cell r="U555">
            <v>2.7</v>
          </cell>
          <cell r="V555">
            <v>3.25</v>
          </cell>
          <cell r="W555">
            <v>4</v>
          </cell>
          <cell r="X555">
            <v>3.15</v>
          </cell>
          <cell r="Y555">
            <v>1</v>
          </cell>
          <cell r="Z555">
            <v>3</v>
          </cell>
          <cell r="AA555">
            <v>3.25</v>
          </cell>
          <cell r="AB555">
            <v>3.5</v>
          </cell>
          <cell r="AC555">
            <v>3.5</v>
          </cell>
          <cell r="AD555">
            <v>3.5</v>
          </cell>
          <cell r="AE555">
            <v>2.5</v>
          </cell>
          <cell r="AF555">
            <v>2.75</v>
          </cell>
          <cell r="AG555">
            <v>3.5</v>
          </cell>
          <cell r="AH555">
            <v>4.25</v>
          </cell>
          <cell r="AI555">
            <v>0</v>
          </cell>
          <cell r="AJ555">
            <v>4.5</v>
          </cell>
          <cell r="AK555">
            <v>4.75</v>
          </cell>
          <cell r="AL555">
            <v>4.75</v>
          </cell>
          <cell r="AM555">
            <v>6.1616580555333895</v>
          </cell>
          <cell r="AN555">
            <v>6.744416245334854</v>
          </cell>
          <cell r="AO555">
            <v>7.1925917251309732</v>
          </cell>
          <cell r="AP555">
            <v>7.4528837180819618</v>
          </cell>
        </row>
        <row r="556">
          <cell r="B556" t="str">
            <v>Weighted average shares outstanding, basic</v>
          </cell>
          <cell r="C556" t="str">
            <v>SH</v>
          </cell>
          <cell r="F556">
            <v>0</v>
          </cell>
          <cell r="G556">
            <v>0</v>
          </cell>
          <cell r="H556">
            <v>0</v>
          </cell>
          <cell r="I556">
            <v>0</v>
          </cell>
          <cell r="J556">
            <v>0</v>
          </cell>
          <cell r="K556">
            <v>1392.5</v>
          </cell>
          <cell r="L556">
            <v>1392.5</v>
          </cell>
          <cell r="M556">
            <v>1293.5</v>
          </cell>
          <cell r="N556">
            <v>1293.5</v>
          </cell>
          <cell r="O556">
            <v>1293.5</v>
          </cell>
          <cell r="P556">
            <v>1293.5</v>
          </cell>
          <cell r="Q556">
            <v>1255.0999999999999</v>
          </cell>
          <cell r="R556">
            <v>1250.0999999999999</v>
          </cell>
          <cell r="S556">
            <v>1250.0999999999999</v>
          </cell>
          <cell r="T556">
            <v>1235.2</v>
          </cell>
          <cell r="U556">
            <v>1186.3</v>
          </cell>
          <cell r="V556">
            <v>1186.3</v>
          </cell>
          <cell r="W556">
            <v>1186.3</v>
          </cell>
          <cell r="X556">
            <v>1186.3</v>
          </cell>
          <cell r="Y556">
            <v>1186.287</v>
          </cell>
          <cell r="Z556">
            <v>1186.287</v>
          </cell>
          <cell r="AA556">
            <v>1186.287</v>
          </cell>
          <cell r="AB556">
            <v>1245.874</v>
          </cell>
          <cell r="AC556">
            <v>1254.386</v>
          </cell>
          <cell r="AD556">
            <v>1254.386</v>
          </cell>
          <cell r="AE556">
            <v>1254.386</v>
          </cell>
          <cell r="AF556">
            <v>1254.386</v>
          </cell>
          <cell r="AG556">
            <v>1254.386</v>
          </cell>
          <cell r="AH556">
            <v>1254.386</v>
          </cell>
          <cell r="AI556">
            <v>1254.386</v>
          </cell>
          <cell r="AJ556">
            <v>1254.386</v>
          </cell>
          <cell r="AK556">
            <v>1254.386</v>
          </cell>
          <cell r="AL556">
            <v>1254.386</v>
          </cell>
          <cell r="AM556">
            <v>1254.386</v>
          </cell>
          <cell r="AN556">
            <v>1254.386</v>
          </cell>
          <cell r="AO556">
            <v>1254.386</v>
          </cell>
          <cell r="AP556">
            <v>1254.386</v>
          </cell>
          <cell r="AR556">
            <v>251.38300000000001</v>
          </cell>
          <cell r="AS556">
            <v>254.04499999999999</v>
          </cell>
          <cell r="AT556">
            <v>250.69499999999999</v>
          </cell>
          <cell r="AU556">
            <v>247.04499999999999</v>
          </cell>
          <cell r="AV556">
            <v>247.04499999999999</v>
          </cell>
          <cell r="AW556">
            <v>1235.2239999999999</v>
          </cell>
          <cell r="AX556">
            <v>1186.287</v>
          </cell>
          <cell r="AY556">
            <v>1186.287</v>
          </cell>
          <cell r="AZ556">
            <v>1186.287</v>
          </cell>
          <cell r="BA556">
            <v>1186.287</v>
          </cell>
          <cell r="BB556">
            <v>1186.287</v>
          </cell>
          <cell r="BC556">
            <v>1186.287</v>
          </cell>
          <cell r="BD556">
            <v>1186.287</v>
          </cell>
          <cell r="BE556">
            <v>1186.287</v>
          </cell>
          <cell r="BF556">
            <v>1186.287</v>
          </cell>
          <cell r="BG556">
            <v>1186.287</v>
          </cell>
          <cell r="BH556">
            <v>1186.287</v>
          </cell>
          <cell r="BI556">
            <v>1186.287</v>
          </cell>
          <cell r="BJ556">
            <v>1186.287</v>
          </cell>
          <cell r="BK556">
            <v>1186.287</v>
          </cell>
          <cell r="BL556">
            <v>1186.287</v>
          </cell>
          <cell r="BM556">
            <v>1186.287</v>
          </cell>
          <cell r="BN556">
            <v>1186.287</v>
          </cell>
          <cell r="BO556">
            <v>1186.287</v>
          </cell>
          <cell r="BP556">
            <v>1186.287</v>
          </cell>
          <cell r="BQ556">
            <v>1186.287</v>
          </cell>
          <cell r="BR556">
            <v>1186.287</v>
          </cell>
          <cell r="BS556">
            <v>1186.287</v>
          </cell>
          <cell r="BT556">
            <v>1186.287</v>
          </cell>
          <cell r="BU556">
            <v>1186.287</v>
          </cell>
          <cell r="BV556">
            <v>1186.287</v>
          </cell>
          <cell r="BW556">
            <v>1186.287</v>
          </cell>
          <cell r="BX556">
            <v>1254.386</v>
          </cell>
          <cell r="BY556">
            <v>1254.386</v>
          </cell>
          <cell r="BZ556">
            <v>1254.386</v>
          </cell>
          <cell r="CA556">
            <v>1254.386</v>
          </cell>
          <cell r="CB556">
            <v>1250.8474576271187</v>
          </cell>
          <cell r="CC556">
            <v>1254.386</v>
          </cell>
          <cell r="CD556">
            <v>1254.386</v>
          </cell>
          <cell r="CE556">
            <v>1254.386</v>
          </cell>
          <cell r="CF556">
            <v>1254.386</v>
          </cell>
          <cell r="CG556">
            <v>1254.386</v>
          </cell>
          <cell r="CH556">
            <v>1254.386</v>
          </cell>
          <cell r="CI556">
            <v>1254.386</v>
          </cell>
          <cell r="CJ556">
            <v>1254.386</v>
          </cell>
          <cell r="CK556">
            <v>1254.386</v>
          </cell>
          <cell r="CL556">
            <v>1254.386</v>
          </cell>
          <cell r="CM556">
            <v>1254.386</v>
          </cell>
          <cell r="CN556">
            <v>1254.386</v>
          </cell>
          <cell r="CO556">
            <v>1254.386</v>
          </cell>
          <cell r="CP556">
            <v>1254.386</v>
          </cell>
          <cell r="CQ556">
            <v>1254.386</v>
          </cell>
          <cell r="CR556">
            <v>1254.386</v>
          </cell>
          <cell r="CS556">
            <v>1254.386</v>
          </cell>
          <cell r="CT556">
            <v>1254.386</v>
          </cell>
          <cell r="CU556">
            <v>1254.386</v>
          </cell>
          <cell r="CV556">
            <v>1254.386</v>
          </cell>
          <cell r="CW556">
            <v>1254.386</v>
          </cell>
          <cell r="CX556">
            <v>1254.386</v>
          </cell>
          <cell r="CY556">
            <v>1254.386</v>
          </cell>
          <cell r="CZ556">
            <v>1254.386</v>
          </cell>
          <cell r="DA556">
            <v>1254.386</v>
          </cell>
          <cell r="DB556">
            <v>1254.386</v>
          </cell>
          <cell r="DC556">
            <v>1254.386</v>
          </cell>
          <cell r="DD556">
            <v>1254.386</v>
          </cell>
          <cell r="DE556">
            <v>1254.386</v>
          </cell>
          <cell r="DF556">
            <v>1254.386</v>
          </cell>
          <cell r="DG556">
            <v>1254.386</v>
          </cell>
          <cell r="DH556">
            <v>1254.386</v>
          </cell>
          <cell r="DI556">
            <v>1254.386</v>
          </cell>
          <cell r="DJ556">
            <v>1254.386</v>
          </cell>
          <cell r="DK556">
            <v>1254.386</v>
          </cell>
          <cell r="DL556">
            <v>1254.386</v>
          </cell>
        </row>
        <row r="557">
          <cell r="B557" t="str">
            <v>Diluted average shares outstanding (mn)</v>
          </cell>
          <cell r="C557" t="str">
            <v>DILUTE_SHARES</v>
          </cell>
          <cell r="F557">
            <v>0</v>
          </cell>
          <cell r="G557">
            <v>0</v>
          </cell>
          <cell r="H557">
            <v>0</v>
          </cell>
          <cell r="I557">
            <v>0</v>
          </cell>
          <cell r="J557">
            <v>0</v>
          </cell>
          <cell r="K557">
            <v>1392.5</v>
          </cell>
          <cell r="L557">
            <v>1392.5</v>
          </cell>
          <cell r="M557">
            <v>1293.5</v>
          </cell>
          <cell r="N557">
            <v>1293.5</v>
          </cell>
          <cell r="O557">
            <v>1293.5</v>
          </cell>
          <cell r="P557">
            <v>1293.5</v>
          </cell>
          <cell r="Q557">
            <v>1255.0999999999999</v>
          </cell>
          <cell r="R557">
            <v>1250.0999999999999</v>
          </cell>
          <cell r="S557">
            <v>1250.0999999999999</v>
          </cell>
          <cell r="T557">
            <v>1235.2</v>
          </cell>
          <cell r="U557">
            <v>1186.3</v>
          </cell>
          <cell r="V557">
            <v>1186.3</v>
          </cell>
          <cell r="W557">
            <v>1186.3</v>
          </cell>
          <cell r="X557">
            <v>1186.3</v>
          </cell>
          <cell r="Y557">
            <v>1186.287</v>
          </cell>
          <cell r="Z557">
            <v>1186.287</v>
          </cell>
          <cell r="AA557">
            <v>1186.287</v>
          </cell>
          <cell r="AB557">
            <v>1245.874</v>
          </cell>
          <cell r="AC557">
            <v>1254.386</v>
          </cell>
          <cell r="AD557">
            <v>1254.386</v>
          </cell>
          <cell r="AE557">
            <v>1254.386</v>
          </cell>
          <cell r="AF557">
            <v>1254.386</v>
          </cell>
          <cell r="AG557">
            <v>1254.386</v>
          </cell>
          <cell r="AH557">
            <v>1254.386</v>
          </cell>
          <cell r="AI557">
            <v>1254.386</v>
          </cell>
          <cell r="AJ557">
            <v>1254.386</v>
          </cell>
          <cell r="AK557">
            <v>1254.386</v>
          </cell>
          <cell r="AL557">
            <v>1254.386</v>
          </cell>
          <cell r="AM557">
            <v>1254.386</v>
          </cell>
          <cell r="AN557">
            <v>1254.386</v>
          </cell>
          <cell r="AO557">
            <v>1254.386</v>
          </cell>
          <cell r="AP557">
            <v>1254.386</v>
          </cell>
        </row>
        <row r="558">
          <cell r="B558" t="str">
            <v>Period-end shares outstanding</v>
          </cell>
          <cell r="C558" t="str">
            <v>NON_OP_ADD</v>
          </cell>
          <cell r="F558">
            <v>0</v>
          </cell>
          <cell r="G558">
            <v>0</v>
          </cell>
          <cell r="H558">
            <v>0</v>
          </cell>
          <cell r="I558">
            <v>0</v>
          </cell>
          <cell r="J558">
            <v>0</v>
          </cell>
          <cell r="K558">
            <v>1392.5</v>
          </cell>
          <cell r="L558">
            <v>1392.5</v>
          </cell>
          <cell r="M558">
            <v>1293.5</v>
          </cell>
          <cell r="N558">
            <v>1293.5</v>
          </cell>
          <cell r="O558">
            <v>1293.5</v>
          </cell>
          <cell r="P558">
            <v>1293.5</v>
          </cell>
          <cell r="Q558">
            <v>1255.0999999999999</v>
          </cell>
          <cell r="R558">
            <v>1250.0999999999999</v>
          </cell>
          <cell r="S558">
            <v>1250.0999999999999</v>
          </cell>
          <cell r="T558">
            <v>1235.2</v>
          </cell>
          <cell r="U558">
            <v>1186.3</v>
          </cell>
          <cell r="V558">
            <v>1186.3</v>
          </cell>
          <cell r="W558">
            <v>1186.3</v>
          </cell>
          <cell r="X558">
            <v>1186.3</v>
          </cell>
          <cell r="Y558">
            <v>1186.287</v>
          </cell>
          <cell r="Z558">
            <v>1186.287</v>
          </cell>
          <cell r="AA558">
            <v>1186.287</v>
          </cell>
          <cell r="AB558">
            <v>1245.874</v>
          </cell>
          <cell r="AC558">
            <v>1254.386</v>
          </cell>
          <cell r="AD558">
            <v>1254.386</v>
          </cell>
          <cell r="AE558">
            <v>1254.386</v>
          </cell>
          <cell r="AF558">
            <v>1254.386</v>
          </cell>
          <cell r="AG558">
            <v>1254.386</v>
          </cell>
          <cell r="AH558">
            <v>1254.386</v>
          </cell>
          <cell r="AI558">
            <v>1254.386</v>
          </cell>
          <cell r="AJ558">
            <v>1254.386</v>
          </cell>
          <cell r="AK558">
            <v>1254.386</v>
          </cell>
          <cell r="AL558">
            <v>1254.386</v>
          </cell>
          <cell r="AM558">
            <v>1254.386</v>
          </cell>
          <cell r="AN558">
            <v>1254.386</v>
          </cell>
          <cell r="AO558">
            <v>1254.386</v>
          </cell>
          <cell r="AP558">
            <v>1254.386</v>
          </cell>
        </row>
        <row r="559">
          <cell r="A559" t="str">
            <v>Additional Income Statement Items</v>
          </cell>
        </row>
        <row r="560">
          <cell r="B560" t="str">
            <v>Organic net income (excl. acquisitions)</v>
          </cell>
          <cell r="C560" t="str">
            <v>ORG_NI</v>
          </cell>
          <cell r="D560" t="str">
            <v>SEK</v>
          </cell>
        </row>
        <row r="561">
          <cell r="B561" t="str">
            <v>Organic EPS (excl. acquisitions)</v>
          </cell>
          <cell r="C561" t="str">
            <v>ORG_EPS</v>
          </cell>
          <cell r="D561" t="str">
            <v>SEK</v>
          </cell>
        </row>
        <row r="562">
          <cell r="B562" t="str">
            <v>Marginal tax rate</v>
          </cell>
          <cell r="C562" t="str">
            <v>MARGIN_TAX_RATE</v>
          </cell>
          <cell r="K562">
            <v>0.3008896797153025</v>
          </cell>
          <cell r="L562">
            <v>0.27037951942510668</v>
          </cell>
          <cell r="M562">
            <v>0.30511296076099881</v>
          </cell>
          <cell r="N562">
            <v>0.42566709021601018</v>
          </cell>
          <cell r="O562">
            <v>0.3088746569075938</v>
          </cell>
          <cell r="P562">
            <v>0.32408683666436938</v>
          </cell>
          <cell r="Q562">
            <v>0.30538708526578667</v>
          </cell>
          <cell r="R562">
            <v>0.28263875172822439</v>
          </cell>
          <cell r="S562">
            <v>0.28946739909242897</v>
          </cell>
          <cell r="T562">
            <v>0.25679802239348554</v>
          </cell>
          <cell r="U562">
            <v>0.27520126998525912</v>
          </cell>
          <cell r="V562">
            <v>0.27049401601727707</v>
          </cell>
          <cell r="W562">
            <v>0.26182965299684541</v>
          </cell>
          <cell r="X562">
            <v>0.25914720620213672</v>
          </cell>
          <cell r="Y562">
            <v>0.28872775214238627</v>
          </cell>
          <cell r="Z562">
            <v>0.25222188170395343</v>
          </cell>
          <cell r="AA562">
            <v>0.2745144481288489</v>
          </cell>
          <cell r="AB562">
            <v>0.28524809639360721</v>
          </cell>
          <cell r="AC562">
            <v>0.25064636598678541</v>
          </cell>
          <cell r="AD562">
            <v>0.27492739593417231</v>
          </cell>
          <cell r="AE562">
            <v>0.35135644310474756</v>
          </cell>
          <cell r="AF562">
            <v>0.26991244928464658</v>
          </cell>
          <cell r="AG562">
            <v>0.23219985268843604</v>
          </cell>
          <cell r="AH562">
            <v>0.25958421817368948</v>
          </cell>
          <cell r="AI562">
            <v>0.28164609053497941</v>
          </cell>
          <cell r="AJ562">
            <v>0.22333629103815439</v>
          </cell>
          <cell r="AK562">
            <v>0.21488543415849629</v>
          </cell>
          <cell r="AL562">
            <v>0.23200000000000001</v>
          </cell>
          <cell r="AM562">
            <v>0.23</v>
          </cell>
          <cell r="AN562">
            <v>0.23</v>
          </cell>
          <cell r="AO562">
            <v>0.23</v>
          </cell>
          <cell r="AP562">
            <v>0.23</v>
          </cell>
        </row>
        <row r="563">
          <cell r="A563" t="str">
            <v>Balance Sheet</v>
          </cell>
        </row>
        <row r="564">
          <cell r="B564" t="str">
            <v>BVPS, book value per share</v>
          </cell>
          <cell r="C564" t="str">
            <v>BVPS</v>
          </cell>
          <cell r="D564" t="str">
            <v>SEK</v>
          </cell>
          <cell r="M564">
            <v>13.462698105914185</v>
          </cell>
          <cell r="N564">
            <v>14.39582528024739</v>
          </cell>
          <cell r="O564">
            <v>15.54619250096637</v>
          </cell>
          <cell r="P564">
            <v>17.373018940858138</v>
          </cell>
          <cell r="Q564">
            <v>19.099673332802169</v>
          </cell>
          <cell r="R564">
            <v>18.562514998800097</v>
          </cell>
          <cell r="S564">
            <v>17.150627949764019</v>
          </cell>
          <cell r="T564">
            <v>18.269915803108809</v>
          </cell>
          <cell r="U564">
            <v>19.799376211750822</v>
          </cell>
          <cell r="V564">
            <v>22.039956166231139</v>
          </cell>
          <cell r="W564">
            <v>24.120374272949508</v>
          </cell>
          <cell r="X564">
            <v>29.999157042906518</v>
          </cell>
          <cell r="Y564">
            <v>24.435065039067275</v>
          </cell>
          <cell r="Z564">
            <v>27.464686032975155</v>
          </cell>
          <cell r="AA564">
            <v>27.387976096846714</v>
          </cell>
          <cell r="AB564">
            <v>28.995709036387307</v>
          </cell>
          <cell r="AC564">
            <v>26.714264987013568</v>
          </cell>
          <cell r="AD564">
            <v>29.128194989421122</v>
          </cell>
          <cell r="AE564">
            <v>27.045901341373391</v>
          </cell>
          <cell r="AF564">
            <v>31.247957167889311</v>
          </cell>
          <cell r="AG564">
            <v>38.858054857117345</v>
          </cell>
          <cell r="AH564">
            <v>46.617229465252322</v>
          </cell>
          <cell r="AI564">
            <v>49.30220841112704</v>
          </cell>
          <cell r="AJ564">
            <v>51.882753793489407</v>
          </cell>
          <cell r="AK564">
            <v>61.649284988831191</v>
          </cell>
          <cell r="AL564">
            <v>56.999875688165638</v>
          </cell>
          <cell r="AM564">
            <v>64.141173500174204</v>
          </cell>
          <cell r="AN564">
            <v>71.039432035037322</v>
          </cell>
          <cell r="AO564">
            <v>78.254940545857622</v>
          </cell>
          <cell r="AP564">
            <v>85.545888168028895</v>
          </cell>
        </row>
        <row r="565">
          <cell r="A565" t="str">
            <v>Cash Flow Statement</v>
          </cell>
        </row>
        <row r="566">
          <cell r="B566" t="str">
            <v>Net income (pre-preferred dividends)</v>
          </cell>
          <cell r="C566" t="str">
            <v>CF_NI_PRE_PREF</v>
          </cell>
          <cell r="D566" t="str">
            <v>SEK</v>
          </cell>
          <cell r="M566">
            <v>3625</v>
          </cell>
          <cell r="N566">
            <v>2895</v>
          </cell>
          <cell r="O566">
            <v>1995</v>
          </cell>
          <cell r="P566">
            <v>3552</v>
          </cell>
          <cell r="Q566">
            <v>3863</v>
          </cell>
          <cell r="R566">
            <v>3436</v>
          </cell>
          <cell r="S566">
            <v>3388</v>
          </cell>
          <cell r="T566">
            <v>4968</v>
          </cell>
          <cell r="U566">
            <v>6110</v>
          </cell>
          <cell r="V566">
            <v>7837</v>
          </cell>
          <cell r="W566">
            <v>9235</v>
          </cell>
          <cell r="X566">
            <v>7818</v>
          </cell>
          <cell r="Y566">
            <v>296</v>
          </cell>
          <cell r="Z566">
            <v>7411</v>
          </cell>
          <cell r="AA566">
            <v>9133</v>
          </cell>
          <cell r="AB566">
            <v>9690</v>
          </cell>
          <cell r="AC566">
            <v>7412</v>
          </cell>
          <cell r="AD566">
            <v>6043.0000024991004</v>
          </cell>
          <cell r="AE566">
            <v>6827.4</v>
          </cell>
          <cell r="AF566">
            <v>6894</v>
          </cell>
          <cell r="AG566">
            <v>9119</v>
          </cell>
          <cell r="AH566">
            <v>13239</v>
          </cell>
          <cell r="AI566">
            <v>14585</v>
          </cell>
          <cell r="AJ566">
            <v>12120</v>
          </cell>
          <cell r="AK566">
            <v>12486.400000000001</v>
          </cell>
          <cell r="AL566">
            <v>15587.804247239103</v>
          </cell>
          <cell r="AM566">
            <v>16142.195203296613</v>
          </cell>
          <cell r="AN566">
            <v>16920.202632641212</v>
          </cell>
          <cell r="AO566">
            <v>18044.572727440282</v>
          </cell>
          <cell r="AP566">
            <v>18697.58599117992</v>
          </cell>
        </row>
        <row r="567">
          <cell r="A567" t="str">
            <v>Other Items</v>
          </cell>
        </row>
        <row r="568">
          <cell r="B568" t="str">
            <v>Beta</v>
          </cell>
          <cell r="C568" t="str">
            <v>BETA_ANALYST</v>
          </cell>
          <cell r="M568">
            <v>1.2</v>
          </cell>
          <cell r="N568">
            <v>1.2</v>
          </cell>
          <cell r="O568">
            <v>1.2</v>
          </cell>
          <cell r="P568">
            <v>1.2</v>
          </cell>
          <cell r="Q568">
            <v>1.2</v>
          </cell>
          <cell r="R568">
            <v>1.2</v>
          </cell>
          <cell r="S568">
            <v>1.2</v>
          </cell>
          <cell r="T568">
            <v>1.2</v>
          </cell>
          <cell r="U568">
            <v>1.2</v>
          </cell>
          <cell r="V568">
            <v>1.2</v>
          </cell>
          <cell r="W568">
            <v>1.2</v>
          </cell>
          <cell r="X568">
            <v>1.2</v>
          </cell>
          <cell r="Y568">
            <v>1.2</v>
          </cell>
          <cell r="Z568">
            <v>1.2</v>
          </cell>
          <cell r="AA568">
            <v>1.2</v>
          </cell>
          <cell r="AB568">
            <v>1.2</v>
          </cell>
          <cell r="AC568">
            <v>1.2</v>
          </cell>
          <cell r="AD568">
            <v>1.2</v>
          </cell>
          <cell r="AE568">
            <v>1.2</v>
          </cell>
          <cell r="AF568">
            <v>1.2</v>
          </cell>
          <cell r="AG568">
            <v>1.2</v>
          </cell>
          <cell r="AH568">
            <v>1.2</v>
          </cell>
          <cell r="AI568">
            <v>1.2</v>
          </cell>
          <cell r="AJ568">
            <v>1.2</v>
          </cell>
          <cell r="AK568">
            <v>1.2</v>
          </cell>
          <cell r="AL568">
            <v>1.2</v>
          </cell>
          <cell r="AM568">
            <v>1.2</v>
          </cell>
          <cell r="AN568">
            <v>1.2</v>
          </cell>
          <cell r="AO568">
            <v>1.2</v>
          </cell>
          <cell r="AP568">
            <v>1.2</v>
          </cell>
        </row>
        <row r="569">
          <cell r="B569" t="str">
            <v>Market equity risk premium</v>
          </cell>
          <cell r="C569" t="str">
            <v>MKT_EQ_RISK_PREM</v>
          </cell>
        </row>
        <row r="570">
          <cell r="B570" t="str">
            <v>Risk-free rate</v>
          </cell>
          <cell r="C570" t="str">
            <v>RISK_FR_RATE</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Quicky"/>
      <sheetName val="5year"/>
      <sheetName val="Data"/>
      <sheetName val="Summary"/>
    </sheetNames>
    <sheetDataSet>
      <sheetData sheetId="0" refreshError="1"/>
      <sheetData sheetId="1" refreshError="1">
        <row r="2">
          <cell r="A2" t="str">
            <v>Profit &amp; loss statement</v>
          </cell>
        </row>
        <row r="3">
          <cell r="A3" t="str">
            <v>(DKKm)</v>
          </cell>
          <cell r="B3">
            <v>0</v>
          </cell>
          <cell r="C3">
            <v>0</v>
          </cell>
          <cell r="D3" t="str">
            <v>1997</v>
          </cell>
          <cell r="E3" t="str">
            <v>1998</v>
          </cell>
          <cell r="F3" t="str">
            <v>1999</v>
          </cell>
          <cell r="G3" t="str">
            <v>2000</v>
          </cell>
          <cell r="H3" t="str">
            <v>2001</v>
          </cell>
          <cell r="I3" t="str">
            <v>2002</v>
          </cell>
          <cell r="J3" t="str">
            <v>2003</v>
          </cell>
          <cell r="K3" t="str">
            <v>2004</v>
          </cell>
          <cell r="L3" t="str">
            <v>2005E</v>
          </cell>
          <cell r="M3" t="str">
            <v>2006E</v>
          </cell>
          <cell r="N3" t="str">
            <v>2007E</v>
          </cell>
        </row>
        <row r="4">
          <cell r="A4" t="str">
            <v>Total revenues</v>
          </cell>
          <cell r="B4">
            <v>0</v>
          </cell>
          <cell r="C4">
            <v>0</v>
          </cell>
          <cell r="D4">
            <v>12585</v>
          </cell>
          <cell r="E4">
            <v>13647</v>
          </cell>
          <cell r="F4">
            <v>16423</v>
          </cell>
          <cell r="G4">
            <v>20811</v>
          </cell>
          <cell r="H4">
            <v>23776</v>
          </cell>
          <cell r="I4">
            <v>24866</v>
          </cell>
          <cell r="J4">
            <v>26158</v>
          </cell>
          <cell r="K4">
            <v>29031</v>
          </cell>
          <cell r="L4">
            <v>33496</v>
          </cell>
          <cell r="M4">
            <v>37484.454695</v>
          </cell>
          <cell r="N4">
            <v>40640</v>
          </cell>
        </row>
        <row r="5">
          <cell r="A5" t="str">
            <v>Total expenses</v>
          </cell>
          <cell r="B5">
            <v>0</v>
          </cell>
          <cell r="C5">
            <v>0</v>
          </cell>
          <cell r="D5">
            <v>-9361</v>
          </cell>
          <cell r="E5">
            <v>-10506</v>
          </cell>
          <cell r="F5">
            <v>-12189</v>
          </cell>
          <cell r="G5">
            <v>-15015</v>
          </cell>
          <cell r="H5">
            <v>-17085</v>
          </cell>
          <cell r="I5">
            <v>-17675</v>
          </cell>
          <cell r="J5">
            <v>-18159</v>
          </cell>
          <cell r="K5">
            <v>-20159</v>
          </cell>
          <cell r="L5">
            <v>-23192</v>
          </cell>
          <cell r="M5">
            <v>-25778</v>
          </cell>
          <cell r="N5">
            <v>-27406</v>
          </cell>
        </row>
        <row r="6">
          <cell r="A6" t="str">
            <v>Profit before depreciation</v>
          </cell>
          <cell r="B6">
            <v>0</v>
          </cell>
          <cell r="C6">
            <v>0</v>
          </cell>
          <cell r="D6">
            <v>3224</v>
          </cell>
          <cell r="E6">
            <v>3141</v>
          </cell>
          <cell r="F6">
            <v>4234</v>
          </cell>
          <cell r="G6">
            <v>5796</v>
          </cell>
          <cell r="H6">
            <v>6691</v>
          </cell>
          <cell r="I6">
            <v>7191</v>
          </cell>
          <cell r="J6">
            <v>7999</v>
          </cell>
          <cell r="K6">
            <v>8872</v>
          </cell>
          <cell r="L6">
            <v>10304</v>
          </cell>
          <cell r="M6">
            <v>11706.454695</v>
          </cell>
          <cell r="N6">
            <v>13234</v>
          </cell>
        </row>
        <row r="7">
          <cell r="A7" t="str">
            <v>Depreciation</v>
          </cell>
          <cell r="B7">
            <v>0</v>
          </cell>
          <cell r="C7">
            <v>0</v>
          </cell>
          <cell r="D7">
            <v>-852</v>
          </cell>
          <cell r="E7">
            <v>-974</v>
          </cell>
          <cell r="F7">
            <v>-939</v>
          </cell>
          <cell r="G7">
            <v>-1038</v>
          </cell>
          <cell r="H7">
            <v>-1060</v>
          </cell>
          <cell r="I7">
            <v>-1239</v>
          </cell>
          <cell r="J7">
            <v>-1486</v>
          </cell>
          <cell r="K7">
            <v>-1643</v>
          </cell>
          <cell r="L7">
            <v>-2100</v>
          </cell>
          <cell r="M7">
            <v>-2300</v>
          </cell>
          <cell r="N7">
            <v>-2500</v>
          </cell>
        </row>
        <row r="8">
          <cell r="A8" t="str">
            <v>Goodwill amortisation</v>
          </cell>
          <cell r="B8">
            <v>0</v>
          </cell>
          <cell r="C8">
            <v>0</v>
          </cell>
          <cell r="D8">
            <v>-23</v>
          </cell>
          <cell r="E8">
            <v>-12</v>
          </cell>
          <cell r="F8">
            <v>-4</v>
          </cell>
          <cell r="G8">
            <v>-28</v>
          </cell>
          <cell r="H8">
            <v>-17</v>
          </cell>
          <cell r="I8">
            <v>-25</v>
          </cell>
          <cell r="J8">
            <v>-91</v>
          </cell>
          <cell r="K8">
            <v>-249</v>
          </cell>
          <cell r="L8">
            <v>-100</v>
          </cell>
          <cell r="M8">
            <v>-100</v>
          </cell>
          <cell r="N8">
            <v>-100</v>
          </cell>
        </row>
        <row r="9">
          <cell r="A9" t="str">
            <v>Operating profit</v>
          </cell>
          <cell r="B9">
            <v>0</v>
          </cell>
          <cell r="C9">
            <v>0</v>
          </cell>
          <cell r="D9">
            <v>2349</v>
          </cell>
          <cell r="E9">
            <v>2155</v>
          </cell>
          <cell r="F9">
            <v>3291</v>
          </cell>
          <cell r="G9">
            <v>4730</v>
          </cell>
          <cell r="H9">
            <v>5614</v>
          </cell>
          <cell r="I9">
            <v>5927</v>
          </cell>
          <cell r="J9">
            <v>6422</v>
          </cell>
          <cell r="K9">
            <v>6980</v>
          </cell>
          <cell r="L9">
            <v>8104</v>
          </cell>
          <cell r="M9">
            <v>9306.4546950000004</v>
          </cell>
          <cell r="N9">
            <v>10634</v>
          </cell>
        </row>
        <row r="10">
          <cell r="A10" t="str">
            <v>Associated companies</v>
          </cell>
          <cell r="B10">
            <v>0</v>
          </cell>
          <cell r="C10">
            <v>0</v>
          </cell>
          <cell r="D10">
            <v>0</v>
          </cell>
          <cell r="E10">
            <v>-26</v>
          </cell>
          <cell r="F10">
            <v>2</v>
          </cell>
          <cell r="G10">
            <v>3</v>
          </cell>
          <cell r="H10">
            <v>49</v>
          </cell>
          <cell r="I10">
            <v>72</v>
          </cell>
          <cell r="J10">
            <v>-59</v>
          </cell>
          <cell r="K10">
            <v>-117</v>
          </cell>
          <cell r="L10">
            <v>289</v>
          </cell>
          <cell r="M10">
            <v>-220</v>
          </cell>
          <cell r="N10">
            <v>-200</v>
          </cell>
        </row>
        <row r="11">
          <cell r="A11" t="str">
            <v>Net interest expenses</v>
          </cell>
          <cell r="B11">
            <v>0</v>
          </cell>
          <cell r="C11">
            <v>0</v>
          </cell>
          <cell r="D11">
            <v>280</v>
          </cell>
          <cell r="E11">
            <v>193</v>
          </cell>
          <cell r="F11">
            <v>117</v>
          </cell>
          <cell r="G11">
            <v>184</v>
          </cell>
          <cell r="H11">
            <v>192</v>
          </cell>
          <cell r="I11">
            <v>68</v>
          </cell>
          <cell r="J11">
            <v>111</v>
          </cell>
          <cell r="K11">
            <v>128</v>
          </cell>
          <cell r="L11">
            <v>-32.646112000000002</v>
          </cell>
          <cell r="M11">
            <v>108.91581099999999</v>
          </cell>
          <cell r="N11">
            <v>231.03383799999997</v>
          </cell>
        </row>
        <row r="12">
          <cell r="A12" t="str">
            <v>Foreign exchange items</v>
          </cell>
          <cell r="B12">
            <v>0</v>
          </cell>
          <cell r="C12">
            <v>0</v>
          </cell>
          <cell r="D12">
            <v>0</v>
          </cell>
          <cell r="E12">
            <v>86</v>
          </cell>
          <cell r="F12">
            <v>-300</v>
          </cell>
          <cell r="G12">
            <v>-195</v>
          </cell>
          <cell r="H12">
            <v>202</v>
          </cell>
          <cell r="I12">
            <v>346</v>
          </cell>
          <cell r="J12">
            <v>984</v>
          </cell>
          <cell r="K12">
            <v>533</v>
          </cell>
          <cell r="L12">
            <v>-95</v>
          </cell>
          <cell r="M12">
            <v>-200</v>
          </cell>
          <cell r="N12">
            <v>0</v>
          </cell>
        </row>
        <row r="13">
          <cell r="A13" t="str">
            <v>Other financial items</v>
          </cell>
          <cell r="B13">
            <v>0</v>
          </cell>
          <cell r="C13">
            <v>0</v>
          </cell>
          <cell r="D13">
            <v>105</v>
          </cell>
          <cell r="E13">
            <v>-10</v>
          </cell>
          <cell r="F13">
            <v>3</v>
          </cell>
          <cell r="G13">
            <v>32</v>
          </cell>
          <cell r="H13">
            <v>-27</v>
          </cell>
          <cell r="I13">
            <v>-85</v>
          </cell>
          <cell r="J13">
            <v>-84</v>
          </cell>
          <cell r="K13">
            <v>-67</v>
          </cell>
          <cell r="L13">
            <v>0</v>
          </cell>
          <cell r="M13">
            <v>0</v>
          </cell>
          <cell r="N13">
            <v>0</v>
          </cell>
        </row>
        <row r="14">
          <cell r="A14" t="str">
            <v>Gain, sale of fixed assets</v>
          </cell>
          <cell r="B14">
            <v>0</v>
          </cell>
          <cell r="C14">
            <v>0</v>
          </cell>
          <cell r="D14">
            <v>0</v>
          </cell>
          <cell r="E14">
            <v>0</v>
          </cell>
          <cell r="F14">
            <v>0</v>
          </cell>
          <cell r="G14">
            <v>0</v>
          </cell>
          <cell r="H14">
            <v>0</v>
          </cell>
          <cell r="I14">
            <v>0</v>
          </cell>
          <cell r="J14">
            <v>2</v>
          </cell>
          <cell r="K14">
            <v>0</v>
          </cell>
          <cell r="L14">
            <v>0</v>
          </cell>
          <cell r="M14">
            <v>0</v>
          </cell>
          <cell r="N14">
            <v>0</v>
          </cell>
        </row>
        <row r="15">
          <cell r="A15" t="str">
            <v>Reported pre-tax profit</v>
          </cell>
          <cell r="B15">
            <v>0</v>
          </cell>
          <cell r="C15">
            <v>0</v>
          </cell>
          <cell r="D15">
            <v>2734</v>
          </cell>
          <cell r="E15">
            <v>2398</v>
          </cell>
          <cell r="F15">
            <v>3113</v>
          </cell>
          <cell r="G15">
            <v>4754</v>
          </cell>
          <cell r="H15">
            <v>6030</v>
          </cell>
          <cell r="I15">
            <v>6328</v>
          </cell>
          <cell r="J15">
            <v>7376</v>
          </cell>
          <cell r="K15">
            <v>7457</v>
          </cell>
          <cell r="L15">
            <v>8265.3538879999996</v>
          </cell>
          <cell r="M15">
            <v>8995.3705059999993</v>
          </cell>
          <cell r="N15">
            <v>10665.033837999999</v>
          </cell>
        </row>
        <row r="16">
          <cell r="A16" t="str">
            <v>Minority interests</v>
          </cell>
          <cell r="B16">
            <v>0</v>
          </cell>
          <cell r="C16">
            <v>0</v>
          </cell>
          <cell r="D16">
            <v>0</v>
          </cell>
          <cell r="E16">
            <v>0</v>
          </cell>
          <cell r="F16">
            <v>0</v>
          </cell>
          <cell r="G16">
            <v>0</v>
          </cell>
          <cell r="H16">
            <v>0</v>
          </cell>
          <cell r="I16">
            <v>0</v>
          </cell>
          <cell r="J16">
            <v>0</v>
          </cell>
          <cell r="K16">
            <v>0</v>
          </cell>
          <cell r="L16">
            <v>0</v>
          </cell>
          <cell r="M16">
            <v>0</v>
          </cell>
          <cell r="N16">
            <v>0</v>
          </cell>
        </row>
        <row r="17">
          <cell r="A17" t="str">
            <v>Total taxes</v>
          </cell>
          <cell r="B17">
            <v>0</v>
          </cell>
          <cell r="C17">
            <v>0</v>
          </cell>
          <cell r="D17">
            <v>-1053</v>
          </cell>
          <cell r="E17">
            <v>-1160</v>
          </cell>
          <cell r="F17">
            <v>-1348</v>
          </cell>
          <cell r="G17">
            <v>-1753</v>
          </cell>
          <cell r="H17">
            <v>-2165</v>
          </cell>
          <cell r="I17">
            <v>-2212</v>
          </cell>
          <cell r="J17">
            <v>-2543</v>
          </cell>
          <cell r="K17">
            <v>-2444</v>
          </cell>
          <cell r="L17">
            <v>-2377.1157779999999</v>
          </cell>
          <cell r="M17">
            <v>-2788.5648569999998</v>
          </cell>
          <cell r="N17">
            <v>-3306.1604900000002</v>
          </cell>
        </row>
        <row r="18">
          <cell r="A18">
            <v>0</v>
          </cell>
          <cell r="B18">
            <v>0</v>
          </cell>
          <cell r="C18">
            <v>0</v>
          </cell>
          <cell r="D18">
            <v>0</v>
          </cell>
          <cell r="E18">
            <v>0</v>
          </cell>
          <cell r="F18">
            <v>0</v>
          </cell>
          <cell r="G18">
            <v>0</v>
          </cell>
          <cell r="H18">
            <v>0</v>
          </cell>
          <cell r="I18">
            <v>0</v>
          </cell>
          <cell r="J18">
            <v>0</v>
          </cell>
          <cell r="K18">
            <v>0</v>
          </cell>
          <cell r="L18">
            <v>0</v>
          </cell>
          <cell r="M18">
            <v>0</v>
          </cell>
          <cell r="N18">
            <v>0</v>
          </cell>
        </row>
        <row r="19">
          <cell r="A19" t="str">
            <v>Extraordinary items</v>
          </cell>
          <cell r="B19">
            <v>0</v>
          </cell>
          <cell r="C19">
            <v>0</v>
          </cell>
          <cell r="D19">
            <v>0</v>
          </cell>
          <cell r="E19">
            <v>0</v>
          </cell>
          <cell r="F19">
            <v>0</v>
          </cell>
          <cell r="G19">
            <v>0</v>
          </cell>
          <cell r="H19">
            <v>0</v>
          </cell>
          <cell r="I19">
            <v>0</v>
          </cell>
          <cell r="J19">
            <v>0</v>
          </cell>
          <cell r="K19">
            <v>0</v>
          </cell>
          <cell r="L19">
            <v>0</v>
          </cell>
          <cell r="M19">
            <v>0</v>
          </cell>
          <cell r="N19">
            <v>0</v>
          </cell>
        </row>
        <row r="20">
          <cell r="A20" t="str">
            <v>Net profit</v>
          </cell>
          <cell r="B20">
            <v>0</v>
          </cell>
          <cell r="C20">
            <v>0</v>
          </cell>
          <cell r="D20">
            <v>1681</v>
          </cell>
          <cell r="E20">
            <v>1238</v>
          </cell>
          <cell r="F20">
            <v>1765</v>
          </cell>
          <cell r="G20">
            <v>3001</v>
          </cell>
          <cell r="H20">
            <v>3865</v>
          </cell>
          <cell r="I20">
            <v>4116</v>
          </cell>
          <cell r="J20">
            <v>4833</v>
          </cell>
          <cell r="K20">
            <v>5013</v>
          </cell>
          <cell r="L20">
            <v>5888.2381100000002</v>
          </cell>
          <cell r="M20">
            <v>6206.8056489999999</v>
          </cell>
          <cell r="N20">
            <v>7358.8733480000001</v>
          </cell>
        </row>
        <row r="21">
          <cell r="A21" t="str">
            <v>Operating margin (%)</v>
          </cell>
          <cell r="B21">
            <v>0</v>
          </cell>
          <cell r="C21">
            <v>0</v>
          </cell>
          <cell r="D21">
            <v>18.665077</v>
          </cell>
          <cell r="E21">
            <v>15.791016000000001</v>
          </cell>
          <cell r="F21">
            <v>20.038969999999999</v>
          </cell>
          <cell r="G21">
            <v>22.728365</v>
          </cell>
          <cell r="H21">
            <v>23.612045999999999</v>
          </cell>
          <cell r="I21">
            <v>23.835760000000001</v>
          </cell>
          <cell r="J21">
            <v>24.550806999999999</v>
          </cell>
          <cell r="K21">
            <v>24.043264000000001</v>
          </cell>
          <cell r="L21">
            <v>24.193933999999999</v>
          </cell>
          <cell r="M21">
            <v>24.827504999999999</v>
          </cell>
          <cell r="N21">
            <v>26.166339000000001</v>
          </cell>
        </row>
        <row r="22">
          <cell r="A22" t="str">
            <v>Tax rate (%)</v>
          </cell>
          <cell r="B22">
            <v>0</v>
          </cell>
          <cell r="C22">
            <v>0</v>
          </cell>
          <cell r="D22">
            <v>38.514995999999996</v>
          </cell>
          <cell r="E22">
            <v>48.373645000000003</v>
          </cell>
          <cell r="F22">
            <v>43.302281000000001</v>
          </cell>
          <cell r="G22">
            <v>36.874211000000003</v>
          </cell>
          <cell r="H22">
            <v>35.903813999999997</v>
          </cell>
          <cell r="I22">
            <v>34.955751999999997</v>
          </cell>
          <cell r="J22">
            <v>34.476680999999999</v>
          </cell>
          <cell r="K22">
            <v>32.774574000000001</v>
          </cell>
          <cell r="L22">
            <v>28.76</v>
          </cell>
          <cell r="M22">
            <v>31</v>
          </cell>
          <cell r="N22">
            <v>31</v>
          </cell>
        </row>
        <row r="23">
          <cell r="A23" t="str">
            <v>ROE (%)</v>
          </cell>
          <cell r="B23">
            <v>0</v>
          </cell>
          <cell r="C23">
            <v>0</v>
          </cell>
          <cell r="D23">
            <v>21.231449000000001</v>
          </cell>
          <cell r="E23">
            <v>7.9557869999999999</v>
          </cell>
          <cell r="F23">
            <v>11.584405</v>
          </cell>
          <cell r="G23">
            <v>18.659454</v>
          </cell>
          <cell r="H23">
            <v>20.825475999999998</v>
          </cell>
          <cell r="I23">
            <v>19.263801000000001</v>
          </cell>
          <cell r="J23">
            <v>20.404458000000002</v>
          </cell>
          <cell r="K23">
            <v>19.551482</v>
          </cell>
          <cell r="L23">
            <v>21.687840999999999</v>
          </cell>
          <cell r="M23">
            <v>20.671239</v>
          </cell>
          <cell r="N23">
            <v>21.045743999999999</v>
          </cell>
        </row>
        <row r="24">
          <cell r="A24" t="str">
            <v>ROCE (%)</v>
          </cell>
          <cell r="B24">
            <v>0</v>
          </cell>
          <cell r="C24">
            <v>0</v>
          </cell>
          <cell r="D24">
            <v>30.259397669817545</v>
          </cell>
          <cell r="E24">
            <v>13.627390151728806</v>
          </cell>
          <cell r="F24">
            <v>20.153606282843448</v>
          </cell>
          <cell r="G24">
            <v>28.009079836120033</v>
          </cell>
          <cell r="H24">
            <v>29.208527321734866</v>
          </cell>
          <cell r="I24">
            <v>26.59962450635534</v>
          </cell>
          <cell r="J24">
            <v>26.067010410335833</v>
          </cell>
          <cell r="K24">
            <v>25.729043951064796</v>
          </cell>
          <cell r="L24">
            <v>29.163901571650197</v>
          </cell>
          <cell r="M24">
            <v>28.883011575099786</v>
          </cell>
          <cell r="N24">
            <v>28.999236523272646</v>
          </cell>
        </row>
        <row r="25">
          <cell r="A25" t="str">
            <v>Growth rates y-o-y (%)</v>
          </cell>
        </row>
        <row r="26">
          <cell r="A26" t="str">
            <v>Total revenues</v>
          </cell>
          <cell r="B26">
            <v>0</v>
          </cell>
          <cell r="C26">
            <v>0</v>
          </cell>
          <cell r="D26">
            <v>0</v>
          </cell>
          <cell r="E26">
            <v>8.4386170000000007</v>
          </cell>
          <cell r="F26">
            <v>20.341467000000002</v>
          </cell>
          <cell r="G26">
            <v>26.718626</v>
          </cell>
          <cell r="H26">
            <v>14.247273</v>
          </cell>
          <cell r="I26">
            <v>4.5844550000000002</v>
          </cell>
          <cell r="J26">
            <v>5.1958500000000001</v>
          </cell>
          <cell r="K26">
            <v>10.983256000000001</v>
          </cell>
          <cell r="L26">
            <v>15.380110999999999</v>
          </cell>
          <cell r="M26">
            <v>11.907257</v>
          </cell>
          <cell r="N26">
            <v>8.4182769999999998</v>
          </cell>
        </row>
        <row r="27">
          <cell r="A27" t="str">
            <v>Operating profit</v>
          </cell>
          <cell r="B27">
            <v>0</v>
          </cell>
          <cell r="C27">
            <v>0</v>
          </cell>
          <cell r="D27">
            <v>0</v>
          </cell>
          <cell r="E27">
            <v>-8.2588340000000002</v>
          </cell>
          <cell r="F27">
            <v>52.714616999999997</v>
          </cell>
          <cell r="G27">
            <v>43.725310999999998</v>
          </cell>
          <cell r="H27">
            <v>18.689218</v>
          </cell>
          <cell r="I27">
            <v>5.5753469999999998</v>
          </cell>
          <cell r="J27">
            <v>8.3516110000000001</v>
          </cell>
          <cell r="K27">
            <v>8.6888819999999996</v>
          </cell>
          <cell r="L27">
            <v>16.103152000000001</v>
          </cell>
          <cell r="M27">
            <v>14.837792</v>
          </cell>
          <cell r="N27">
            <v>14.26478</v>
          </cell>
        </row>
        <row r="28">
          <cell r="A28" t="str">
            <v>Pre-tax profit</v>
          </cell>
          <cell r="B28">
            <v>0</v>
          </cell>
          <cell r="C28">
            <v>0</v>
          </cell>
          <cell r="D28">
            <v>0</v>
          </cell>
          <cell r="E28">
            <v>-12.289685</v>
          </cell>
          <cell r="F28">
            <v>29.816514000000002</v>
          </cell>
          <cell r="G28">
            <v>52.714422999999996</v>
          </cell>
          <cell r="H28">
            <v>26.840554999999998</v>
          </cell>
          <cell r="I28">
            <v>4.9419570000000004</v>
          </cell>
          <cell r="J28">
            <v>16.561315</v>
          </cell>
          <cell r="K28">
            <v>1.0981559999999999</v>
          </cell>
          <cell r="L28">
            <v>10.840202</v>
          </cell>
          <cell r="M28">
            <v>8.8322489999999991</v>
          </cell>
          <cell r="N28">
            <v>18.561363</v>
          </cell>
        </row>
        <row r="31">
          <cell r="A31" t="str">
            <v>Valuation</v>
          </cell>
        </row>
        <row r="32">
          <cell r="A32" t="str">
            <v>(DKKm)</v>
          </cell>
          <cell r="B32">
            <v>0</v>
          </cell>
          <cell r="C32">
            <v>0</v>
          </cell>
          <cell r="D32" t="str">
            <v>1997</v>
          </cell>
          <cell r="E32" t="str">
            <v>1998</v>
          </cell>
          <cell r="F32" t="str">
            <v>1999</v>
          </cell>
          <cell r="G32" t="str">
            <v>2000</v>
          </cell>
          <cell r="H32" t="str">
            <v>2001</v>
          </cell>
          <cell r="I32" t="str">
            <v>2002</v>
          </cell>
          <cell r="J32" t="str">
            <v>2003</v>
          </cell>
          <cell r="K32" t="str">
            <v>2004</v>
          </cell>
          <cell r="L32" t="str">
            <v>2005E</v>
          </cell>
          <cell r="M32" t="str">
            <v>2006E</v>
          </cell>
          <cell r="N32" t="str">
            <v>2007E</v>
          </cell>
        </row>
        <row r="33">
          <cell r="A33" t="str">
            <v xml:space="preserve">No of shares, fully dil. (y/e) </v>
          </cell>
          <cell r="B33">
            <v>0</v>
          </cell>
          <cell r="C33">
            <v>0</v>
          </cell>
          <cell r="D33">
            <v>74.403000000000006</v>
          </cell>
          <cell r="E33">
            <v>74.203000000000003</v>
          </cell>
          <cell r="F33">
            <v>70.924999999999997</v>
          </cell>
          <cell r="G33">
            <v>70</v>
          </cell>
          <cell r="H33">
            <v>348.2</v>
          </cell>
          <cell r="I33">
            <v>349.5</v>
          </cell>
          <cell r="J33">
            <v>339.1</v>
          </cell>
          <cell r="K33">
            <v>332.57</v>
          </cell>
          <cell r="L33">
            <v>323.33999999999997</v>
          </cell>
          <cell r="M33">
            <v>323.33999999999997</v>
          </cell>
          <cell r="N33">
            <v>323.33999999999997</v>
          </cell>
        </row>
        <row r="34">
          <cell r="A34" t="str">
            <v>Share price, y/e</v>
          </cell>
          <cell r="B34">
            <v>0</v>
          </cell>
          <cell r="C34">
            <v>0</v>
          </cell>
          <cell r="D34">
            <v>184.24</v>
          </cell>
          <cell r="E34">
            <v>157.91999999999999</v>
          </cell>
          <cell r="F34">
            <v>184.24</v>
          </cell>
          <cell r="G34">
            <v>285</v>
          </cell>
          <cell r="H34">
            <v>341.5</v>
          </cell>
          <cell r="I34">
            <v>204.5</v>
          </cell>
          <cell r="J34">
            <v>240.5</v>
          </cell>
          <cell r="K34">
            <v>299</v>
          </cell>
          <cell r="L34">
            <v>344.5</v>
          </cell>
          <cell r="M34">
            <v>344.5</v>
          </cell>
          <cell r="N34">
            <v>344.5</v>
          </cell>
        </row>
        <row r="36">
          <cell r="A36" t="str">
            <v>EPS (excl. EO)</v>
          </cell>
          <cell r="B36">
            <v>0</v>
          </cell>
          <cell r="C36">
            <v>0</v>
          </cell>
          <cell r="D36">
            <v>4.5199999999999996</v>
          </cell>
          <cell r="E36">
            <v>3.34</v>
          </cell>
          <cell r="F36">
            <v>5.49</v>
          </cell>
          <cell r="G36">
            <v>8.57</v>
          </cell>
          <cell r="H36">
            <v>11.1</v>
          </cell>
          <cell r="I36">
            <v>11.8</v>
          </cell>
          <cell r="J36">
            <v>14.1</v>
          </cell>
          <cell r="K36">
            <v>14.8</v>
          </cell>
          <cell r="L36">
            <v>16.3</v>
          </cell>
          <cell r="M36">
            <v>19.2</v>
          </cell>
          <cell r="N36">
            <v>22.8</v>
          </cell>
        </row>
        <row r="37">
          <cell r="A37" t="str">
            <v>EPS (excl. EO &amp; GW)</v>
          </cell>
          <cell r="B37">
            <v>0</v>
          </cell>
          <cell r="C37">
            <v>0</v>
          </cell>
          <cell r="D37">
            <v>4.58</v>
          </cell>
          <cell r="E37">
            <v>3.37</v>
          </cell>
          <cell r="F37">
            <v>5.5</v>
          </cell>
          <cell r="G37">
            <v>8.65</v>
          </cell>
          <cell r="H37">
            <v>11.1</v>
          </cell>
          <cell r="I37">
            <v>11.8</v>
          </cell>
          <cell r="J37">
            <v>14.4</v>
          </cell>
          <cell r="K37">
            <v>15.6</v>
          </cell>
          <cell r="L37">
            <v>16.600000000000001</v>
          </cell>
          <cell r="M37">
            <v>19.5</v>
          </cell>
          <cell r="N37">
            <v>23.1</v>
          </cell>
        </row>
        <row r="38">
          <cell r="A38" t="str">
            <v>Cash earnings/share</v>
          </cell>
          <cell r="B38">
            <v>0</v>
          </cell>
          <cell r="C38">
            <v>0</v>
          </cell>
          <cell r="D38">
            <v>7.4</v>
          </cell>
          <cell r="E38">
            <v>5.66</v>
          </cell>
          <cell r="F38">
            <v>7.83</v>
          </cell>
          <cell r="G38">
            <v>12.3</v>
          </cell>
          <cell r="H38">
            <v>16.600000000000001</v>
          </cell>
          <cell r="I38">
            <v>16.3</v>
          </cell>
          <cell r="J38">
            <v>21.9</v>
          </cell>
          <cell r="K38">
            <v>22.1</v>
          </cell>
          <cell r="L38">
            <v>22.1</v>
          </cell>
          <cell r="M38">
            <v>27.3</v>
          </cell>
          <cell r="N38">
            <v>31.4</v>
          </cell>
        </row>
        <row r="39">
          <cell r="A39" t="str">
            <v>Dividend/share</v>
          </cell>
          <cell r="B39">
            <v>0</v>
          </cell>
          <cell r="C39">
            <v>0</v>
          </cell>
          <cell r="D39">
            <v>1.2</v>
          </cell>
          <cell r="E39">
            <v>1.4</v>
          </cell>
          <cell r="F39">
            <v>1.6</v>
          </cell>
          <cell r="G39">
            <v>2.65</v>
          </cell>
          <cell r="H39">
            <v>3.35</v>
          </cell>
          <cell r="I39">
            <v>3.6</v>
          </cell>
          <cell r="J39">
            <v>4.4000000000000004</v>
          </cell>
          <cell r="K39">
            <v>4.8</v>
          </cell>
          <cell r="L39">
            <v>5.4</v>
          </cell>
          <cell r="M39">
            <v>6</v>
          </cell>
          <cell r="N39">
            <v>6.5</v>
          </cell>
        </row>
        <row r="41">
          <cell r="A41" t="str">
            <v>PER (excl. EO)</v>
          </cell>
          <cell r="B41">
            <v>0</v>
          </cell>
          <cell r="C41">
            <v>0</v>
          </cell>
          <cell r="D41">
            <v>40.773375145370224</v>
          </cell>
          <cell r="E41">
            <v>47.326893615184879</v>
          </cell>
          <cell r="F41">
            <v>33.550099071490443</v>
          </cell>
          <cell r="G41">
            <v>33.238919252285257</v>
          </cell>
          <cell r="H41">
            <v>30.765923752941795</v>
          </cell>
          <cell r="I41">
            <v>17.364613753249603</v>
          </cell>
          <cell r="J41">
            <v>16.99871771003453</v>
          </cell>
          <cell r="K41">
            <v>20.160679944890546</v>
          </cell>
          <cell r="L41">
            <v>21.164380022815752</v>
          </cell>
          <cell r="M41">
            <v>17.946531318390218</v>
          </cell>
          <cell r="N41">
            <v>15.136913492385606</v>
          </cell>
        </row>
        <row r="42">
          <cell r="A42" t="str">
            <v>PER (excl. EO &amp; GW)</v>
          </cell>
          <cell r="B42">
            <v>0</v>
          </cell>
          <cell r="C42">
            <v>0</v>
          </cell>
          <cell r="D42">
            <v>40.239226125998556</v>
          </cell>
          <cell r="E42">
            <v>46.90558595688946</v>
          </cell>
          <cell r="F42">
            <v>33.489098891360463</v>
          </cell>
          <cell r="G42">
            <v>32.931507282321924</v>
          </cell>
          <cell r="H42">
            <v>30.765923752941795</v>
          </cell>
          <cell r="I42">
            <v>17.364613753249603</v>
          </cell>
          <cell r="J42">
            <v>16.644577757742145</v>
          </cell>
          <cell r="K42">
            <v>19.126798922075647</v>
          </cell>
          <cell r="L42">
            <v>20.781891227222694</v>
          </cell>
          <cell r="M42">
            <v>17.67043083656883</v>
          </cell>
          <cell r="N42">
            <v>14.940330200276701</v>
          </cell>
        </row>
        <row r="43">
          <cell r="A43" t="str">
            <v xml:space="preserve">CEM </v>
          </cell>
          <cell r="B43">
            <v>0</v>
          </cell>
          <cell r="C43">
            <v>0</v>
          </cell>
          <cell r="D43">
            <v>24.90553968468754</v>
          </cell>
          <cell r="E43">
            <v>27.887047568324324</v>
          </cell>
          <cell r="F43">
            <v>23.539410497728721</v>
          </cell>
          <cell r="G43">
            <v>23.246329526916803</v>
          </cell>
          <cell r="H43">
            <v>20.601230161890076</v>
          </cell>
          <cell r="I43">
            <v>12.576588038699237</v>
          </cell>
          <cell r="J43">
            <v>10.983261783053315</v>
          </cell>
          <cell r="K43">
            <v>13.507816982723231</v>
          </cell>
          <cell r="L43">
            <v>15.585154934083615</v>
          </cell>
          <cell r="M43">
            <v>12.619585684898798</v>
          </cell>
          <cell r="N43">
            <v>10.964860629460023</v>
          </cell>
        </row>
        <row r="44">
          <cell r="A44" t="str">
            <v xml:space="preserve">Dividend yield </v>
          </cell>
          <cell r="B44">
            <v>0</v>
          </cell>
          <cell r="C44">
            <v>0</v>
          </cell>
          <cell r="D44">
            <v>0.6513243595310465</v>
          </cell>
          <cell r="E44">
            <v>0.88652482269503552</v>
          </cell>
          <cell r="F44">
            <v>0.86843247937472867</v>
          </cell>
          <cell r="G44">
            <v>0.92982456140350866</v>
          </cell>
          <cell r="H44">
            <v>0.9809663250366033</v>
          </cell>
          <cell r="I44">
            <v>1.7603911980440097</v>
          </cell>
          <cell r="J44">
            <v>1.8295218295218296</v>
          </cell>
          <cell r="K44">
            <v>1.6053511705685617</v>
          </cell>
          <cell r="L44">
            <v>1.567489114658926</v>
          </cell>
          <cell r="M44">
            <v>1.741654571843251</v>
          </cell>
          <cell r="N44">
            <v>1.8867924528301887</v>
          </cell>
        </row>
        <row r="46">
          <cell r="A46" t="str">
            <v xml:space="preserve">EV/EBITDA  </v>
          </cell>
          <cell r="B46">
            <v>0</v>
          </cell>
          <cell r="C46">
            <v>0</v>
          </cell>
          <cell r="D46">
            <v>21.083450248138956</v>
          </cell>
          <cell r="E46">
            <v>18.969402504012841</v>
          </cell>
          <cell r="F46">
            <v>15.127740793201131</v>
          </cell>
          <cell r="G46">
            <v>16.843593723055701</v>
          </cell>
          <cell r="H46">
            <v>17.473189910979229</v>
          </cell>
          <cell r="I46">
            <v>9.833367754371471</v>
          </cell>
          <cell r="J46">
            <v>10.12765113350126</v>
          </cell>
          <cell r="K46">
            <v>11.127861793260992</v>
          </cell>
          <cell r="L46">
            <v>10.492441940809968</v>
          </cell>
          <cell r="M46">
            <v>9.3801826450332761</v>
          </cell>
          <cell r="N46">
            <v>7.9408797194261149</v>
          </cell>
        </row>
        <row r="47">
          <cell r="A47" t="str">
            <v xml:space="preserve">EV/EBIT  </v>
          </cell>
          <cell r="B47">
            <v>0</v>
          </cell>
          <cell r="C47">
            <v>0</v>
          </cell>
          <cell r="D47">
            <v>28.937013026819919</v>
          </cell>
          <cell r="E47">
            <v>27.754668294974163</v>
          </cell>
          <cell r="F47">
            <v>19.459796538111142</v>
          </cell>
          <cell r="G47">
            <v>20.637227973800972</v>
          </cell>
          <cell r="H47">
            <v>20.796274059685679</v>
          </cell>
          <cell r="I47">
            <v>11.905275879313219</v>
          </cell>
          <cell r="J47">
            <v>12.637678767876789</v>
          </cell>
          <cell r="K47">
            <v>14.195603963281362</v>
          </cell>
          <cell r="L47">
            <v>13.242754376146788</v>
          </cell>
          <cell r="M47">
            <v>11.857764837840309</v>
          </cell>
          <cell r="N47">
            <v>9.919630655836686</v>
          </cell>
        </row>
        <row r="48">
          <cell r="A48" t="str">
            <v xml:space="preserve">Price/Book value </v>
          </cell>
          <cell r="B48">
            <v>0</v>
          </cell>
          <cell r="C48">
            <v>0</v>
          </cell>
          <cell r="D48">
            <v>4.3283892340198227</v>
          </cell>
          <cell r="E48">
            <v>3.8327133246443608</v>
          </cell>
          <cell r="F48">
            <v>4.3026743652714581</v>
          </cell>
          <cell r="G48">
            <v>5.8742123376885571</v>
          </cell>
          <cell r="H48">
            <v>5.9050652941139248</v>
          </cell>
          <cell r="I48">
            <v>3.1630708737767521</v>
          </cell>
          <cell r="J48">
            <v>3.2916350465543269</v>
          </cell>
          <cell r="K48">
            <v>3.7518272904654646</v>
          </cell>
          <cell r="L48">
            <v>4.0074479204806011</v>
          </cell>
          <cell r="M48">
            <v>3.4532586407021713</v>
          </cell>
          <cell r="N48">
            <v>2.9565796117462564</v>
          </cell>
        </row>
        <row r="49">
          <cell r="A49" t="str">
            <v xml:space="preserve">Price/adjusted equity </v>
          </cell>
          <cell r="B49">
            <v>0</v>
          </cell>
          <cell r="C49">
            <v>0</v>
          </cell>
          <cell r="D49">
            <v>4.3283892340198227</v>
          </cell>
          <cell r="E49">
            <v>3.8327133246443608</v>
          </cell>
          <cell r="F49">
            <v>4.3026743652714581</v>
          </cell>
          <cell r="G49">
            <v>5.8742123376885571</v>
          </cell>
          <cell r="H49">
            <v>5.9050652941139248</v>
          </cell>
          <cell r="I49">
            <v>3.1630708737767521</v>
          </cell>
          <cell r="J49">
            <v>3.2916350465543269</v>
          </cell>
          <cell r="K49">
            <v>3.7518272904654646</v>
          </cell>
          <cell r="L49">
            <v>4.0074479204806011</v>
          </cell>
          <cell r="M49">
            <v>3.4532586407021713</v>
          </cell>
          <cell r="N49">
            <v>2.9565796117462564</v>
          </cell>
        </row>
        <row r="50">
          <cell r="A50" t="str">
            <v>Free cash flow/Market cap (%)</v>
          </cell>
          <cell r="B50">
            <v>0</v>
          </cell>
          <cell r="C50">
            <v>0</v>
          </cell>
          <cell r="D50">
            <v>0.73792331389139898</v>
          </cell>
          <cell r="E50">
            <v>-0.1203745377182525</v>
          </cell>
          <cell r="F50">
            <v>1.9531929866590807</v>
          </cell>
          <cell r="G50">
            <v>2.6509998573669944</v>
          </cell>
          <cell r="H50">
            <v>0.15205548871915187</v>
          </cell>
          <cell r="I50">
            <v>2.1658707210463946</v>
          </cell>
          <cell r="J50">
            <v>2.8312072520149236</v>
          </cell>
          <cell r="K50">
            <v>5.5272168389352139</v>
          </cell>
          <cell r="L50">
            <v>2.5026716161529921</v>
          </cell>
          <cell r="M50">
            <v>4.615187827557059</v>
          </cell>
          <cell r="N50">
            <v>5.5475420557810189</v>
          </cell>
        </row>
        <row r="53">
          <cell r="A53" t="str">
            <v>Main shareholders</v>
          </cell>
          <cell r="F53" t="str">
            <v>Management</v>
          </cell>
          <cell r="K53" t="str">
            <v>Company information</v>
          </cell>
        </row>
        <row r="54">
          <cell r="A54" t="str">
            <v>Name</v>
          </cell>
          <cell r="C54" t="str">
            <v>(%)   Votes</v>
          </cell>
          <cell r="D54" t="str">
            <v>Capital</v>
          </cell>
          <cell r="F54" t="str">
            <v>Title</v>
          </cell>
          <cell r="H54" t="str">
            <v>Name</v>
          </cell>
          <cell r="K54" t="str">
            <v>Contact</v>
          </cell>
        </row>
        <row r="55">
          <cell r="A55" t="str">
            <v>The Novo Nordisk Foundation</v>
          </cell>
          <cell r="C55">
            <v>70.67</v>
          </cell>
          <cell r="D55">
            <v>25.5</v>
          </cell>
          <cell r="F55" t="str">
            <v>COB</v>
          </cell>
          <cell r="H55" t="str">
            <v>Mads Øvlisen</v>
          </cell>
          <cell r="K55" t="str">
            <v>Internet</v>
          </cell>
          <cell r="N55" t="str">
            <v>www.novonordisk.com</v>
          </cell>
        </row>
        <row r="56">
          <cell r="A56" t="str">
            <v>Capital</v>
          </cell>
          <cell r="C56">
            <v>4.37</v>
          </cell>
          <cell r="D56">
            <v>10.01</v>
          </cell>
          <cell r="F56" t="str">
            <v>CEO</v>
          </cell>
          <cell r="H56" t="str">
            <v>Lars Rebien Sørensen</v>
          </cell>
          <cell r="K56" t="str">
            <v>Phone number</v>
          </cell>
          <cell r="N56" t="str">
            <v>(45) 4444 8888</v>
          </cell>
        </row>
        <row r="57">
          <cell r="A57" t="str">
            <v>Fidelity</v>
          </cell>
          <cell r="C57">
            <v>1.88</v>
          </cell>
          <cell r="D57">
            <v>4.3</v>
          </cell>
          <cell r="F57" t="str">
            <v>CFO</v>
          </cell>
          <cell r="H57" t="str">
            <v>Jesper Brandgaard</v>
          </cell>
          <cell r="K57" t="str">
            <v>Fax number</v>
          </cell>
          <cell r="N57" t="str">
            <v>(45) 4449 0555</v>
          </cell>
        </row>
      </sheetData>
      <sheetData sheetId="2" refreshError="1">
        <row r="2">
          <cell r="A2">
            <v>36854</v>
          </cell>
          <cell r="B2">
            <v>311</v>
          </cell>
          <cell r="C2">
            <v>260.58999999999997</v>
          </cell>
          <cell r="F2">
            <v>311</v>
          </cell>
        </row>
        <row r="3">
          <cell r="A3">
            <v>36861</v>
          </cell>
          <cell r="B3">
            <v>328</v>
          </cell>
          <cell r="C3">
            <v>261.55</v>
          </cell>
          <cell r="F3">
            <v>326.79610017205118</v>
          </cell>
        </row>
        <row r="4">
          <cell r="A4">
            <v>36868</v>
          </cell>
          <cell r="B4">
            <v>320</v>
          </cell>
          <cell r="C4">
            <v>257.92</v>
          </cell>
          <cell r="F4">
            <v>323.31265508684857</v>
          </cell>
        </row>
        <row r="5">
          <cell r="A5">
            <v>36875</v>
          </cell>
          <cell r="B5">
            <v>322</v>
          </cell>
          <cell r="C5">
            <v>262.79000000000002</v>
          </cell>
          <cell r="F5">
            <v>319.30431142737541</v>
          </cell>
        </row>
        <row r="6">
          <cell r="A6">
            <v>36882</v>
          </cell>
          <cell r="B6">
            <v>275</v>
          </cell>
          <cell r="C6">
            <v>247.48</v>
          </cell>
          <cell r="F6">
            <v>289.56784386617102</v>
          </cell>
        </row>
        <row r="7">
          <cell r="A7">
            <v>36889</v>
          </cell>
          <cell r="B7">
            <v>285</v>
          </cell>
          <cell r="C7">
            <v>252.76</v>
          </cell>
          <cell r="F7">
            <v>293.82873081183732</v>
          </cell>
        </row>
        <row r="8">
          <cell r="A8">
            <v>36896</v>
          </cell>
          <cell r="B8">
            <v>288</v>
          </cell>
          <cell r="C8">
            <v>261.41000000000003</v>
          </cell>
          <cell r="F8">
            <v>287.09659156114913</v>
          </cell>
        </row>
        <row r="9">
          <cell r="A9">
            <v>36903</v>
          </cell>
          <cell r="B9">
            <v>278</v>
          </cell>
          <cell r="C9">
            <v>263.60000000000002</v>
          </cell>
          <cell r="F9">
            <v>274.82556904400604</v>
          </cell>
        </row>
        <row r="10">
          <cell r="A10">
            <v>36910</v>
          </cell>
          <cell r="B10">
            <v>290.8</v>
          </cell>
          <cell r="C10">
            <v>273.20999999999998</v>
          </cell>
          <cell r="F10">
            <v>277.36749020899674</v>
          </cell>
        </row>
        <row r="11">
          <cell r="A11">
            <v>36917</v>
          </cell>
          <cell r="B11">
            <v>311</v>
          </cell>
          <cell r="C11">
            <v>279.77999999999997</v>
          </cell>
          <cell r="F11">
            <v>289.66863249696189</v>
          </cell>
        </row>
        <row r="12">
          <cell r="A12">
            <v>36924</v>
          </cell>
          <cell r="B12">
            <v>310</v>
          </cell>
          <cell r="C12">
            <v>273.39</v>
          </cell>
          <cell r="F12">
            <v>295.48593584256923</v>
          </cell>
        </row>
        <row r="13">
          <cell r="A13">
            <v>36931</v>
          </cell>
          <cell r="B13">
            <v>318</v>
          </cell>
          <cell r="C13">
            <v>273.07</v>
          </cell>
          <cell r="F13">
            <v>303.46658365986741</v>
          </cell>
        </row>
        <row r="14">
          <cell r="A14">
            <v>36938</v>
          </cell>
          <cell r="B14">
            <v>329</v>
          </cell>
          <cell r="C14">
            <v>274.66000000000003</v>
          </cell>
          <cell r="F14">
            <v>312.14632636714475</v>
          </cell>
        </row>
        <row r="15">
          <cell r="A15">
            <v>36945</v>
          </cell>
          <cell r="B15">
            <v>339</v>
          </cell>
          <cell r="C15">
            <v>262.67</v>
          </cell>
          <cell r="F15">
            <v>336.31556706133165</v>
          </cell>
        </row>
        <row r="16">
          <cell r="A16">
            <v>36952</v>
          </cell>
          <cell r="B16">
            <v>325.2</v>
          </cell>
          <cell r="C16">
            <v>256.60000000000002</v>
          </cell>
          <cell r="F16">
            <v>330.25669524551824</v>
          </cell>
        </row>
        <row r="17">
          <cell r="A17">
            <v>36959</v>
          </cell>
          <cell r="B17">
            <v>339</v>
          </cell>
          <cell r="C17">
            <v>258.61</v>
          </cell>
          <cell r="F17">
            <v>341.59549128030619</v>
          </cell>
        </row>
        <row r="18">
          <cell r="A18">
            <v>36966</v>
          </cell>
          <cell r="B18">
            <v>328.4</v>
          </cell>
          <cell r="C18">
            <v>242.75</v>
          </cell>
          <cell r="F18">
            <v>352.53452523171978</v>
          </cell>
        </row>
        <row r="19">
          <cell r="A19">
            <v>36973</v>
          </cell>
          <cell r="B19">
            <v>340</v>
          </cell>
          <cell r="C19">
            <v>238.33</v>
          </cell>
          <cell r="F19">
            <v>371.75596861494557</v>
          </cell>
        </row>
        <row r="20">
          <cell r="A20">
            <v>36980</v>
          </cell>
          <cell r="B20">
            <v>344</v>
          </cell>
          <cell r="C20">
            <v>243.28</v>
          </cell>
          <cell r="F20">
            <v>368.47648799736925</v>
          </cell>
        </row>
        <row r="21">
          <cell r="A21">
            <v>36987</v>
          </cell>
          <cell r="B21">
            <v>322</v>
          </cell>
          <cell r="C21">
            <v>235.71</v>
          </cell>
          <cell r="F21">
            <v>355.98820584616686</v>
          </cell>
        </row>
        <row r="22">
          <cell r="A22">
            <v>37001</v>
          </cell>
          <cell r="B22">
            <v>302</v>
          </cell>
          <cell r="C22">
            <v>244.76</v>
          </cell>
          <cell r="F22">
            <v>321.53203137767605</v>
          </cell>
        </row>
        <row r="23">
          <cell r="A23">
            <v>37008</v>
          </cell>
          <cell r="B23">
            <v>315.5</v>
          </cell>
          <cell r="C23">
            <v>242.94</v>
          </cell>
          <cell r="F23">
            <v>338.42160615789902</v>
          </cell>
        </row>
        <row r="24">
          <cell r="A24">
            <v>37015</v>
          </cell>
          <cell r="B24">
            <v>309</v>
          </cell>
          <cell r="C24">
            <v>242.98</v>
          </cell>
          <cell r="F24">
            <v>331.39480615688529</v>
          </cell>
        </row>
        <row r="25">
          <cell r="A25">
            <v>37022</v>
          </cell>
          <cell r="B25">
            <v>327</v>
          </cell>
          <cell r="C25">
            <v>249.14</v>
          </cell>
          <cell r="F25">
            <v>342.02829734285945</v>
          </cell>
        </row>
        <row r="26">
          <cell r="A26">
            <v>37029</v>
          </cell>
          <cell r="B26">
            <v>343</v>
          </cell>
          <cell r="C26">
            <v>253.71</v>
          </cell>
          <cell r="F26">
            <v>352.30132828820302</v>
          </cell>
        </row>
        <row r="27">
          <cell r="A27">
            <v>37036</v>
          </cell>
          <cell r="B27">
            <v>348.5</v>
          </cell>
          <cell r="C27">
            <v>258.70999999999998</v>
          </cell>
          <cell r="F27">
            <v>351.03248811410458</v>
          </cell>
        </row>
        <row r="28">
          <cell r="A28">
            <v>37043</v>
          </cell>
          <cell r="B28">
            <v>365</v>
          </cell>
          <cell r="C28">
            <v>258.48</v>
          </cell>
          <cell r="F28">
            <v>367.97953419993803</v>
          </cell>
        </row>
        <row r="29">
          <cell r="A29">
            <v>37050</v>
          </cell>
          <cell r="B29">
            <v>360</v>
          </cell>
          <cell r="C29">
            <v>255.58</v>
          </cell>
          <cell r="F29">
            <v>367.05689021050154</v>
          </cell>
        </row>
        <row r="30">
          <cell r="A30">
            <v>37057</v>
          </cell>
          <cell r="B30">
            <v>363.5</v>
          </cell>
          <cell r="C30">
            <v>250.7</v>
          </cell>
          <cell r="F30">
            <v>377.83990825688073</v>
          </cell>
        </row>
        <row r="31">
          <cell r="A31">
            <v>37064</v>
          </cell>
          <cell r="B31">
            <v>382</v>
          </cell>
          <cell r="C31">
            <v>251.31</v>
          </cell>
          <cell r="F31">
            <v>396.10592495324499</v>
          </cell>
        </row>
        <row r="32">
          <cell r="A32">
            <v>37071</v>
          </cell>
          <cell r="B32">
            <v>389</v>
          </cell>
          <cell r="C32">
            <v>252.96</v>
          </cell>
          <cell r="F32">
            <v>400.73335705249838</v>
          </cell>
        </row>
        <row r="33">
          <cell r="A33">
            <v>37078</v>
          </cell>
          <cell r="B33">
            <v>380</v>
          </cell>
          <cell r="C33">
            <v>252.99</v>
          </cell>
          <cell r="F33">
            <v>391.4154709672319</v>
          </cell>
        </row>
        <row r="34">
          <cell r="A34">
            <v>37085</v>
          </cell>
          <cell r="B34">
            <v>380</v>
          </cell>
          <cell r="C34">
            <v>251.58</v>
          </cell>
          <cell r="F34">
            <v>393.60918991970738</v>
          </cell>
        </row>
        <row r="35">
          <cell r="A35">
            <v>37092</v>
          </cell>
          <cell r="B35">
            <v>368</v>
          </cell>
          <cell r="C35">
            <v>250.18</v>
          </cell>
          <cell r="F35">
            <v>383.31249500359735</v>
          </cell>
        </row>
        <row r="36">
          <cell r="A36">
            <v>37099</v>
          </cell>
          <cell r="B36">
            <v>380</v>
          </cell>
          <cell r="C36">
            <v>249.29</v>
          </cell>
          <cell r="F36">
            <v>397.22491876930485</v>
          </cell>
        </row>
        <row r="37">
          <cell r="A37">
            <v>37106</v>
          </cell>
          <cell r="B37">
            <v>378.5</v>
          </cell>
          <cell r="C37">
            <v>254.28</v>
          </cell>
          <cell r="F37">
            <v>387.89253971999369</v>
          </cell>
        </row>
        <row r="38">
          <cell r="A38">
            <v>37113</v>
          </cell>
          <cell r="B38">
            <v>351</v>
          </cell>
          <cell r="C38">
            <v>244.38</v>
          </cell>
          <cell r="F38">
            <v>374.2822244046157</v>
          </cell>
        </row>
        <row r="39">
          <cell r="A39">
            <v>37120</v>
          </cell>
          <cell r="B39">
            <v>359</v>
          </cell>
          <cell r="C39">
            <v>245.16</v>
          </cell>
          <cell r="F39">
            <v>381.59491760482945</v>
          </cell>
        </row>
        <row r="40">
          <cell r="A40">
            <v>37127</v>
          </cell>
          <cell r="B40">
            <v>359</v>
          </cell>
          <cell r="C40">
            <v>243.66</v>
          </cell>
          <cell r="F40">
            <v>383.94406139702858</v>
          </cell>
        </row>
        <row r="41">
          <cell r="A41">
            <v>37134</v>
          </cell>
          <cell r="B41">
            <v>342</v>
          </cell>
          <cell r="C41">
            <v>231.92</v>
          </cell>
          <cell r="F41">
            <v>384.27811314246293</v>
          </cell>
        </row>
        <row r="42">
          <cell r="A42">
            <v>37141</v>
          </cell>
          <cell r="B42">
            <v>357</v>
          </cell>
          <cell r="C42">
            <v>227.99</v>
          </cell>
          <cell r="F42">
            <v>408.04697574455014</v>
          </cell>
        </row>
        <row r="43">
          <cell r="A43">
            <v>37148</v>
          </cell>
          <cell r="B43">
            <v>345</v>
          </cell>
          <cell r="C43">
            <v>218.69</v>
          </cell>
          <cell r="F43">
            <v>411.10041611413413</v>
          </cell>
        </row>
        <row r="44">
          <cell r="A44">
            <v>37155</v>
          </cell>
          <cell r="B44">
            <v>317</v>
          </cell>
          <cell r="C44">
            <v>193.1</v>
          </cell>
          <cell r="F44">
            <v>427.79404453650955</v>
          </cell>
        </row>
        <row r="45">
          <cell r="A45">
            <v>37162</v>
          </cell>
          <cell r="B45">
            <v>339</v>
          </cell>
          <cell r="C45">
            <v>206.35</v>
          </cell>
          <cell r="F45">
            <v>428.10763266295129</v>
          </cell>
        </row>
        <row r="46">
          <cell r="A46">
            <v>37169</v>
          </cell>
          <cell r="B46">
            <v>338</v>
          </cell>
          <cell r="C46">
            <v>208.24</v>
          </cell>
          <cell r="F46">
            <v>422.97070687668071</v>
          </cell>
        </row>
        <row r="47">
          <cell r="A47">
            <v>37176</v>
          </cell>
          <cell r="B47">
            <v>342</v>
          </cell>
          <cell r="C47">
            <v>215.8</v>
          </cell>
          <cell r="F47">
            <v>412.98322520852633</v>
          </cell>
        </row>
        <row r="48">
          <cell r="A48">
            <v>37183</v>
          </cell>
          <cell r="B48">
            <v>333.5</v>
          </cell>
          <cell r="C48">
            <v>213.34</v>
          </cell>
          <cell r="F48">
            <v>407.36273085216084</v>
          </cell>
        </row>
        <row r="49">
          <cell r="A49">
            <v>37190</v>
          </cell>
          <cell r="B49">
            <v>350</v>
          </cell>
          <cell r="C49">
            <v>220.55</v>
          </cell>
          <cell r="F49">
            <v>413.5411471321695</v>
          </cell>
        </row>
        <row r="50">
          <cell r="A50">
            <v>37197</v>
          </cell>
          <cell r="B50">
            <v>340</v>
          </cell>
          <cell r="C50">
            <v>213.92</v>
          </cell>
          <cell r="F50">
            <v>414.17632759910242</v>
          </cell>
        </row>
        <row r="51">
          <cell r="A51">
            <v>37204</v>
          </cell>
          <cell r="B51">
            <v>312.5</v>
          </cell>
          <cell r="C51">
            <v>212.86</v>
          </cell>
          <cell r="F51">
            <v>382.5724654702621</v>
          </cell>
        </row>
        <row r="52">
          <cell r="A52">
            <v>37211</v>
          </cell>
          <cell r="B52">
            <v>306</v>
          </cell>
          <cell r="C52">
            <v>213.63</v>
          </cell>
          <cell r="F52">
            <v>373.2647100126386</v>
          </cell>
        </row>
        <row r="53">
          <cell r="A53">
            <v>37218</v>
          </cell>
          <cell r="B53">
            <v>313</v>
          </cell>
          <cell r="C53">
            <v>216.73</v>
          </cell>
          <cell r="F53">
            <v>376.34231532321314</v>
          </cell>
        </row>
        <row r="54">
          <cell r="A54">
            <v>37225</v>
          </cell>
          <cell r="B54">
            <v>323</v>
          </cell>
          <cell r="C54">
            <v>218.06</v>
          </cell>
          <cell r="F54">
            <v>385.99729432266349</v>
          </cell>
        </row>
        <row r="55">
          <cell r="A55">
            <v>37232</v>
          </cell>
          <cell r="B55">
            <v>326</v>
          </cell>
          <cell r="C55">
            <v>216.33</v>
          </cell>
          <cell r="F55">
            <v>392.69791522211432</v>
          </cell>
        </row>
        <row r="56">
          <cell r="A56">
            <v>37239</v>
          </cell>
          <cell r="B56">
            <v>320</v>
          </cell>
          <cell r="C56">
            <v>208.19</v>
          </cell>
          <cell r="F56">
            <v>400.54181276718379</v>
          </cell>
        </row>
        <row r="57">
          <cell r="A57">
            <v>37246</v>
          </cell>
          <cell r="B57">
            <v>328</v>
          </cell>
          <cell r="C57">
            <v>212.4</v>
          </cell>
          <cell r="F57">
            <v>402.41770244821083</v>
          </cell>
        </row>
        <row r="58">
          <cell r="A58">
            <v>37253</v>
          </cell>
          <cell r="B58">
            <v>341.5</v>
          </cell>
          <cell r="C58">
            <v>219.72</v>
          </cell>
          <cell r="F58">
            <v>405.0222328417986</v>
          </cell>
        </row>
        <row r="59">
          <cell r="A59">
            <v>37260</v>
          </cell>
          <cell r="B59">
            <v>315.5</v>
          </cell>
          <cell r="C59">
            <v>220.98</v>
          </cell>
          <cell r="F59">
            <v>372.05242555887406</v>
          </cell>
        </row>
        <row r="60">
          <cell r="A60">
            <v>37267</v>
          </cell>
          <cell r="B60">
            <v>304</v>
          </cell>
          <cell r="C60">
            <v>218.25</v>
          </cell>
          <cell r="F60">
            <v>362.97530355097359</v>
          </cell>
        </row>
        <row r="61">
          <cell r="A61">
            <v>37274</v>
          </cell>
          <cell r="B61">
            <v>305</v>
          </cell>
          <cell r="C61">
            <v>216.09</v>
          </cell>
          <cell r="F61">
            <v>367.80947753250956</v>
          </cell>
        </row>
        <row r="62">
          <cell r="A62">
            <v>37281</v>
          </cell>
          <cell r="B62">
            <v>300</v>
          </cell>
          <cell r="C62">
            <v>216.21</v>
          </cell>
          <cell r="F62">
            <v>361.57902039683637</v>
          </cell>
        </row>
        <row r="63">
          <cell r="A63">
            <v>37288</v>
          </cell>
          <cell r="B63">
            <v>315</v>
          </cell>
          <cell r="C63">
            <v>220.87</v>
          </cell>
          <cell r="F63">
            <v>371.64780187440573</v>
          </cell>
        </row>
        <row r="64">
          <cell r="A64">
            <v>37295</v>
          </cell>
          <cell r="B64">
            <v>317</v>
          </cell>
          <cell r="C64">
            <v>217.69</v>
          </cell>
          <cell r="F64">
            <v>379.47094492167753</v>
          </cell>
        </row>
        <row r="65">
          <cell r="A65">
            <v>37302</v>
          </cell>
          <cell r="B65">
            <v>335</v>
          </cell>
          <cell r="C65">
            <v>221.87</v>
          </cell>
          <cell r="F65">
            <v>393.46306395637077</v>
          </cell>
        </row>
        <row r="66">
          <cell r="A66">
            <v>37309</v>
          </cell>
          <cell r="B66">
            <v>319</v>
          </cell>
          <cell r="C66">
            <v>219</v>
          </cell>
          <cell r="F66">
            <v>379.58086757990861</v>
          </cell>
        </row>
        <row r="67">
          <cell r="A67">
            <v>37316</v>
          </cell>
          <cell r="B67">
            <v>326.5</v>
          </cell>
          <cell r="C67">
            <v>225.27</v>
          </cell>
          <cell r="F67">
            <v>377.69181426732359</v>
          </cell>
        </row>
        <row r="68">
          <cell r="A68">
            <v>37323</v>
          </cell>
          <cell r="B68">
            <v>328</v>
          </cell>
          <cell r="C68">
            <v>228.24</v>
          </cell>
          <cell r="F68">
            <v>374.48966000701012</v>
          </cell>
        </row>
        <row r="69">
          <cell r="A69">
            <v>37330</v>
          </cell>
          <cell r="B69">
            <v>323</v>
          </cell>
          <cell r="C69">
            <v>225.1</v>
          </cell>
          <cell r="F69">
            <v>373.92523322967565</v>
          </cell>
        </row>
        <row r="70">
          <cell r="A70">
            <v>37337</v>
          </cell>
          <cell r="B70">
            <v>329</v>
          </cell>
          <cell r="C70">
            <v>228.56</v>
          </cell>
          <cell r="F70">
            <v>375.10548652432618</v>
          </cell>
        </row>
        <row r="71">
          <cell r="A71">
            <v>37351</v>
          </cell>
          <cell r="B71">
            <v>334</v>
          </cell>
          <cell r="C71">
            <v>228.2</v>
          </cell>
          <cell r="F71">
            <v>381.40692375109552</v>
          </cell>
        </row>
        <row r="72">
          <cell r="A72">
            <v>37358</v>
          </cell>
          <cell r="B72">
            <v>259</v>
          </cell>
          <cell r="C72">
            <v>217.17</v>
          </cell>
          <cell r="F72">
            <v>310.78330340286414</v>
          </cell>
        </row>
        <row r="73">
          <cell r="A73">
            <v>37365</v>
          </cell>
          <cell r="B73">
            <v>257</v>
          </cell>
          <cell r="C73">
            <v>216.11</v>
          </cell>
          <cell r="F73">
            <v>309.89602517236591</v>
          </cell>
        </row>
        <row r="74">
          <cell r="A74">
            <v>37379</v>
          </cell>
          <cell r="B74">
            <v>270</v>
          </cell>
          <cell r="C74">
            <v>217.35</v>
          </cell>
          <cell r="F74">
            <v>323.71428571428572</v>
          </cell>
        </row>
        <row r="75">
          <cell r="A75">
            <v>37386</v>
          </cell>
          <cell r="B75">
            <v>271</v>
          </cell>
          <cell r="C75">
            <v>219.84</v>
          </cell>
          <cell r="F75">
            <v>321.23312409024737</v>
          </cell>
        </row>
        <row r="76">
          <cell r="A76">
            <v>37393</v>
          </cell>
          <cell r="B76">
            <v>265.5</v>
          </cell>
          <cell r="C76">
            <v>217.71</v>
          </cell>
          <cell r="F76">
            <v>317.79268292682923</v>
          </cell>
        </row>
        <row r="77">
          <cell r="A77">
            <v>37400</v>
          </cell>
          <cell r="B77">
            <v>253</v>
          </cell>
          <cell r="C77">
            <v>213.35</v>
          </cell>
          <cell r="F77">
            <v>309.01931099132878</v>
          </cell>
        </row>
        <row r="78">
          <cell r="A78">
            <v>37407</v>
          </cell>
          <cell r="B78">
            <v>254</v>
          </cell>
          <cell r="C78">
            <v>212.02</v>
          </cell>
          <cell r="F78">
            <v>312.18686916328647</v>
          </cell>
        </row>
        <row r="79">
          <cell r="A79">
            <v>37414</v>
          </cell>
          <cell r="B79">
            <v>239.5</v>
          </cell>
          <cell r="C79">
            <v>209.69</v>
          </cell>
          <cell r="F79">
            <v>297.63605799036674</v>
          </cell>
        </row>
        <row r="80">
          <cell r="A80">
            <v>37421</v>
          </cell>
          <cell r="B80">
            <v>237.5</v>
          </cell>
          <cell r="C80">
            <v>205.41</v>
          </cell>
          <cell r="F80">
            <v>301.30044788471838</v>
          </cell>
        </row>
        <row r="81">
          <cell r="A81">
            <v>37428</v>
          </cell>
          <cell r="B81">
            <v>232.5</v>
          </cell>
          <cell r="C81">
            <v>199.23</v>
          </cell>
          <cell r="F81">
            <v>304.10668574009935</v>
          </cell>
        </row>
        <row r="82">
          <cell r="A82">
            <v>37435</v>
          </cell>
          <cell r="B82">
            <v>249</v>
          </cell>
          <cell r="C82">
            <v>206.04</v>
          </cell>
          <cell r="F82">
            <v>314.92384973791496</v>
          </cell>
        </row>
        <row r="83">
          <cell r="A83">
            <v>37442</v>
          </cell>
          <cell r="B83">
            <v>245</v>
          </cell>
          <cell r="C83">
            <v>207.41</v>
          </cell>
          <cell r="F83">
            <v>307.81808977387783</v>
          </cell>
        </row>
        <row r="84">
          <cell r="A84">
            <v>37449</v>
          </cell>
          <cell r="B84">
            <v>218</v>
          </cell>
          <cell r="C84">
            <v>199.33</v>
          </cell>
          <cell r="F84">
            <v>284.99784277329047</v>
          </cell>
        </row>
        <row r="85">
          <cell r="A85">
            <v>37456</v>
          </cell>
          <cell r="B85">
            <v>211.5</v>
          </cell>
          <cell r="C85">
            <v>196.12</v>
          </cell>
          <cell r="F85">
            <v>281.02582602488269</v>
          </cell>
        </row>
        <row r="86">
          <cell r="A86">
            <v>37463</v>
          </cell>
          <cell r="B86">
            <v>168</v>
          </cell>
          <cell r="C86">
            <v>179.55</v>
          </cell>
          <cell r="F86">
            <v>243.82690058479528</v>
          </cell>
        </row>
        <row r="87">
          <cell r="A87">
            <v>37470</v>
          </cell>
          <cell r="B87">
            <v>183</v>
          </cell>
          <cell r="C87">
            <v>184.78</v>
          </cell>
          <cell r="F87">
            <v>258.07971641952588</v>
          </cell>
        </row>
        <row r="88">
          <cell r="A88">
            <v>37477</v>
          </cell>
          <cell r="B88">
            <v>210.5</v>
          </cell>
          <cell r="C88">
            <v>181.73</v>
          </cell>
          <cell r="F88">
            <v>301.84446706652727</v>
          </cell>
        </row>
        <row r="89">
          <cell r="A89">
            <v>37484</v>
          </cell>
          <cell r="B89">
            <v>215.5</v>
          </cell>
          <cell r="C89">
            <v>182.97</v>
          </cell>
          <cell r="F89">
            <v>306.91995955621138</v>
          </cell>
        </row>
        <row r="90">
          <cell r="A90">
            <v>37491</v>
          </cell>
          <cell r="B90">
            <v>229</v>
          </cell>
          <cell r="C90">
            <v>188.59</v>
          </cell>
          <cell r="F90">
            <v>316.42775332732379</v>
          </cell>
        </row>
        <row r="91">
          <cell r="A91">
            <v>37498</v>
          </cell>
          <cell r="B91">
            <v>229.5</v>
          </cell>
          <cell r="C91">
            <v>191.07</v>
          </cell>
          <cell r="F91">
            <v>313.00259067357513</v>
          </cell>
        </row>
        <row r="92">
          <cell r="A92">
            <v>37505</v>
          </cell>
          <cell r="B92">
            <v>225</v>
          </cell>
          <cell r="C92">
            <v>187.81</v>
          </cell>
          <cell r="F92">
            <v>312.19184281987111</v>
          </cell>
        </row>
        <row r="93">
          <cell r="A93">
            <v>37512</v>
          </cell>
          <cell r="B93">
            <v>225</v>
          </cell>
          <cell r="C93">
            <v>183.99</v>
          </cell>
          <cell r="F93">
            <v>318.6735692157182</v>
          </cell>
        </row>
        <row r="94">
          <cell r="A94">
            <v>37519</v>
          </cell>
          <cell r="B94">
            <v>210.5</v>
          </cell>
          <cell r="C94">
            <v>175.76</v>
          </cell>
          <cell r="F94">
            <v>312.09714952207554</v>
          </cell>
        </row>
        <row r="95">
          <cell r="A95">
            <v>37526</v>
          </cell>
          <cell r="B95">
            <v>210</v>
          </cell>
          <cell r="C95">
            <v>169.97</v>
          </cell>
          <cell r="F95">
            <v>321.96211096075774</v>
          </cell>
        </row>
        <row r="96">
          <cell r="A96">
            <v>37533</v>
          </cell>
          <cell r="B96">
            <v>201</v>
          </cell>
          <cell r="C96">
            <v>166.02</v>
          </cell>
          <cell r="F96">
            <v>315.49566317311161</v>
          </cell>
        </row>
        <row r="97">
          <cell r="A97">
            <v>37540</v>
          </cell>
          <cell r="B97">
            <v>205</v>
          </cell>
          <cell r="C97">
            <v>168.92</v>
          </cell>
          <cell r="F97">
            <v>316.25</v>
          </cell>
        </row>
        <row r="98">
          <cell r="A98">
            <v>37547</v>
          </cell>
          <cell r="B98">
            <v>222.5</v>
          </cell>
          <cell r="C98">
            <v>176.15</v>
          </cell>
          <cell r="F98">
            <v>329.15852966221968</v>
          </cell>
        </row>
        <row r="99">
          <cell r="A99">
            <v>37554</v>
          </cell>
          <cell r="B99">
            <v>217</v>
          </cell>
          <cell r="C99">
            <v>170.52</v>
          </cell>
          <cell r="F99">
            <v>331.62110016420354</v>
          </cell>
        </row>
        <row r="100">
          <cell r="A100">
            <v>37561</v>
          </cell>
          <cell r="B100">
            <v>214</v>
          </cell>
          <cell r="C100">
            <v>171.92</v>
          </cell>
          <cell r="F100">
            <v>324.37331316891573</v>
          </cell>
        </row>
        <row r="101">
          <cell r="A101">
            <v>37568</v>
          </cell>
          <cell r="B101">
            <v>220.5</v>
          </cell>
          <cell r="C101">
            <v>172.57</v>
          </cell>
          <cell r="F101">
            <v>332.9668830039983</v>
          </cell>
        </row>
        <row r="102">
          <cell r="A102">
            <v>37575</v>
          </cell>
          <cell r="B102">
            <v>215</v>
          </cell>
          <cell r="C102">
            <v>169.94</v>
          </cell>
          <cell r="F102">
            <v>329.68606567023653</v>
          </cell>
        </row>
        <row r="103">
          <cell r="A103">
            <v>37582</v>
          </cell>
          <cell r="B103">
            <v>230</v>
          </cell>
          <cell r="C103">
            <v>174.11</v>
          </cell>
          <cell r="F103">
            <v>344.24042272126809</v>
          </cell>
        </row>
        <row r="104">
          <cell r="A104">
            <v>37589</v>
          </cell>
          <cell r="B104">
            <v>230</v>
          </cell>
          <cell r="C104">
            <v>173.72</v>
          </cell>
          <cell r="F104">
            <v>345.01323969606256</v>
          </cell>
        </row>
        <row r="105">
          <cell r="A105">
            <v>37596</v>
          </cell>
          <cell r="B105">
            <v>218.5</v>
          </cell>
          <cell r="C105">
            <v>166.89</v>
          </cell>
          <cell r="F105">
            <v>341.17631373958892</v>
          </cell>
        </row>
        <row r="106">
          <cell r="A106">
            <v>37603</v>
          </cell>
          <cell r="B106">
            <v>216</v>
          </cell>
          <cell r="C106">
            <v>169.66</v>
          </cell>
          <cell r="F106">
            <v>331.76612047624661</v>
          </cell>
        </row>
        <row r="107">
          <cell r="A107">
            <v>37610</v>
          </cell>
          <cell r="B107">
            <v>205</v>
          </cell>
          <cell r="C107">
            <v>171.8</v>
          </cell>
          <cell r="F107">
            <v>310.94848661233988</v>
          </cell>
        </row>
        <row r="108">
          <cell r="A108">
            <v>37617</v>
          </cell>
          <cell r="B108">
            <v>206.5</v>
          </cell>
          <cell r="C108">
            <v>172.16</v>
          </cell>
          <cell r="F108">
            <v>312.56874419144975</v>
          </cell>
        </row>
        <row r="109">
          <cell r="A109">
            <v>37624</v>
          </cell>
          <cell r="B109">
            <v>211</v>
          </cell>
          <cell r="C109">
            <v>177.47</v>
          </cell>
          <cell r="F109">
            <v>309.82413929114779</v>
          </cell>
        </row>
        <row r="110">
          <cell r="A110">
            <v>37631</v>
          </cell>
          <cell r="B110">
            <v>212.5</v>
          </cell>
          <cell r="C110">
            <v>178.23</v>
          </cell>
          <cell r="F110">
            <v>310.69615104078997</v>
          </cell>
        </row>
        <row r="111">
          <cell r="A111">
            <v>37638</v>
          </cell>
          <cell r="B111">
            <v>200</v>
          </cell>
          <cell r="C111">
            <v>174.81</v>
          </cell>
          <cell r="F111">
            <v>298.14083862479265</v>
          </cell>
        </row>
        <row r="112">
          <cell r="A112">
            <v>37645</v>
          </cell>
          <cell r="B112">
            <v>183</v>
          </cell>
          <cell r="C112">
            <v>169.66</v>
          </cell>
          <cell r="F112">
            <v>281.07962984793113</v>
          </cell>
        </row>
        <row r="113">
          <cell r="A113">
            <v>37652</v>
          </cell>
          <cell r="B113">
            <v>189.5</v>
          </cell>
          <cell r="C113">
            <v>163.44999999999999</v>
          </cell>
          <cell r="F113">
            <v>302.12178036096662</v>
          </cell>
        </row>
        <row r="114">
          <cell r="A114">
            <v>37659</v>
          </cell>
          <cell r="B114">
            <v>194.5</v>
          </cell>
          <cell r="C114">
            <v>161.83000000000001</v>
          </cell>
          <cell r="F114">
            <v>313.19752209108316</v>
          </cell>
        </row>
        <row r="115">
          <cell r="A115">
            <v>37666</v>
          </cell>
          <cell r="B115">
            <v>199.5</v>
          </cell>
          <cell r="C115">
            <v>161.04</v>
          </cell>
          <cell r="F115">
            <v>322.82479508196724</v>
          </cell>
        </row>
        <row r="116">
          <cell r="A116">
            <v>37673</v>
          </cell>
          <cell r="B116">
            <v>194.5</v>
          </cell>
          <cell r="C116">
            <v>156.57</v>
          </cell>
          <cell r="F116">
            <v>323.71945455706708</v>
          </cell>
        </row>
        <row r="117">
          <cell r="A117">
            <v>37680</v>
          </cell>
          <cell r="B117">
            <v>198</v>
          </cell>
          <cell r="C117">
            <v>157.44999999999999</v>
          </cell>
          <cell r="F117">
            <v>327.70288980628766</v>
          </cell>
        </row>
        <row r="118">
          <cell r="A118">
            <v>37687</v>
          </cell>
          <cell r="B118">
            <v>207</v>
          </cell>
          <cell r="C118">
            <v>154.49</v>
          </cell>
          <cell r="F118">
            <v>349.16259952100455</v>
          </cell>
        </row>
        <row r="119">
          <cell r="A119">
            <v>37694</v>
          </cell>
          <cell r="B119">
            <v>217</v>
          </cell>
          <cell r="C119">
            <v>158.22999999999999</v>
          </cell>
          <cell r="F119">
            <v>357.37868924982621</v>
          </cell>
        </row>
        <row r="120">
          <cell r="A120">
            <v>37701</v>
          </cell>
          <cell r="B120">
            <v>235</v>
          </cell>
          <cell r="C120">
            <v>167.06</v>
          </cell>
          <cell r="F120">
            <v>366.56680234646228</v>
          </cell>
        </row>
        <row r="121">
          <cell r="A121">
            <v>37708</v>
          </cell>
          <cell r="B121">
            <v>230</v>
          </cell>
          <cell r="C121">
            <v>168.19</v>
          </cell>
          <cell r="F121">
            <v>356.35709614126876</v>
          </cell>
        </row>
        <row r="122">
          <cell r="A122">
            <v>37715</v>
          </cell>
          <cell r="B122">
            <v>236.5</v>
          </cell>
          <cell r="C122">
            <v>173.56</v>
          </cell>
          <cell r="F122">
            <v>355.09066029038945</v>
          </cell>
        </row>
        <row r="123">
          <cell r="A123">
            <v>37722</v>
          </cell>
          <cell r="B123">
            <v>239.5</v>
          </cell>
          <cell r="C123">
            <v>175.26</v>
          </cell>
          <cell r="F123">
            <v>356.1069553805774</v>
          </cell>
        </row>
        <row r="124">
          <cell r="A124">
            <v>37736</v>
          </cell>
          <cell r="B124">
            <v>239</v>
          </cell>
          <cell r="C124">
            <v>178.49</v>
          </cell>
          <cell r="F124">
            <v>348.93276934282028</v>
          </cell>
        </row>
        <row r="125">
          <cell r="A125">
            <v>37743</v>
          </cell>
          <cell r="B125">
            <v>240</v>
          </cell>
          <cell r="C125">
            <v>181.08</v>
          </cell>
          <cell r="F125">
            <v>345.38104705102711</v>
          </cell>
        </row>
        <row r="126">
          <cell r="A126">
            <v>37750</v>
          </cell>
          <cell r="B126">
            <v>232.5</v>
          </cell>
          <cell r="C126">
            <v>180.21</v>
          </cell>
          <cell r="F126">
            <v>336.20317962377226</v>
          </cell>
        </row>
        <row r="127">
          <cell r="A127">
            <v>37764</v>
          </cell>
          <cell r="B127">
            <v>239.5</v>
          </cell>
          <cell r="C127">
            <v>186.23</v>
          </cell>
          <cell r="F127">
            <v>335.1302421736562</v>
          </cell>
        </row>
        <row r="128">
          <cell r="A128">
            <v>37771</v>
          </cell>
          <cell r="B128">
            <v>220.5</v>
          </cell>
          <cell r="C128">
            <v>186.78</v>
          </cell>
          <cell r="F128">
            <v>307.63515901060066</v>
          </cell>
        </row>
        <row r="129">
          <cell r="A129">
            <v>37778</v>
          </cell>
          <cell r="B129">
            <v>234.5</v>
          </cell>
          <cell r="C129">
            <v>192.08</v>
          </cell>
          <cell r="F129">
            <v>318.14012390670547</v>
          </cell>
        </row>
        <row r="130">
          <cell r="A130">
            <v>37785</v>
          </cell>
          <cell r="B130">
            <v>243</v>
          </cell>
          <cell r="C130">
            <v>194.67</v>
          </cell>
          <cell r="F130">
            <v>325.28571428571428</v>
          </cell>
        </row>
        <row r="131">
          <cell r="A131">
            <v>37792</v>
          </cell>
          <cell r="B131">
            <v>243</v>
          </cell>
          <cell r="C131">
            <v>194.37</v>
          </cell>
          <cell r="F131">
            <v>325.78777589134125</v>
          </cell>
        </row>
        <row r="132">
          <cell r="A132">
            <v>37799</v>
          </cell>
          <cell r="B132">
            <v>227.5</v>
          </cell>
          <cell r="C132">
            <v>195.24</v>
          </cell>
          <cell r="F132">
            <v>303.64794611759879</v>
          </cell>
        </row>
        <row r="133">
          <cell r="A133">
            <v>37806</v>
          </cell>
          <cell r="B133">
            <v>232.5</v>
          </cell>
          <cell r="C133">
            <v>193.06</v>
          </cell>
          <cell r="F133">
            <v>313.82562415829273</v>
          </cell>
        </row>
        <row r="134">
          <cell r="A134">
            <v>37813</v>
          </cell>
          <cell r="B134">
            <v>229.5</v>
          </cell>
          <cell r="C134">
            <v>192.35</v>
          </cell>
          <cell r="F134">
            <v>310.91970366519365</v>
          </cell>
        </row>
        <row r="135">
          <cell r="A135">
            <v>37820</v>
          </cell>
          <cell r="B135">
            <v>228</v>
          </cell>
          <cell r="C135">
            <v>195.05</v>
          </cell>
          <cell r="F135">
            <v>304.61174057933863</v>
          </cell>
        </row>
        <row r="136">
          <cell r="A136">
            <v>37827</v>
          </cell>
          <cell r="B136">
            <v>228</v>
          </cell>
          <cell r="C136">
            <v>194.67</v>
          </cell>
          <cell r="F136">
            <v>305.20634920634922</v>
          </cell>
        </row>
        <row r="137">
          <cell r="A137">
            <v>37834</v>
          </cell>
          <cell r="B137">
            <v>218.5</v>
          </cell>
          <cell r="C137">
            <v>193.37</v>
          </cell>
          <cell r="F137">
            <v>294.45578424781502</v>
          </cell>
        </row>
        <row r="138">
          <cell r="A138">
            <v>37841</v>
          </cell>
          <cell r="B138">
            <v>225.5</v>
          </cell>
          <cell r="C138">
            <v>200.43</v>
          </cell>
          <cell r="F138">
            <v>293.18487751334624</v>
          </cell>
        </row>
        <row r="139">
          <cell r="A139">
            <v>37848</v>
          </cell>
          <cell r="B139">
            <v>235</v>
          </cell>
          <cell r="C139">
            <v>209.1</v>
          </cell>
          <cell r="F139">
            <v>292.86776661884261</v>
          </cell>
        </row>
        <row r="140">
          <cell r="A140">
            <v>37855</v>
          </cell>
          <cell r="B140">
            <v>238</v>
          </cell>
          <cell r="C140">
            <v>214.41</v>
          </cell>
          <cell r="F140">
            <v>289.26085537055172</v>
          </cell>
        </row>
        <row r="141">
          <cell r="A141">
            <v>37862</v>
          </cell>
          <cell r="B141">
            <v>240</v>
          </cell>
          <cell r="C141">
            <v>217.54</v>
          </cell>
          <cell r="F141">
            <v>287.49471361588672</v>
          </cell>
        </row>
        <row r="142">
          <cell r="A142">
            <v>37869</v>
          </cell>
          <cell r="B142">
            <v>244.5</v>
          </cell>
          <cell r="C142">
            <v>225.75</v>
          </cell>
          <cell r="F142">
            <v>282.23368770764114</v>
          </cell>
        </row>
        <row r="143">
          <cell r="A143">
            <v>37876</v>
          </cell>
          <cell r="B143">
            <v>245</v>
          </cell>
          <cell r="C143">
            <v>225.1</v>
          </cell>
          <cell r="F143">
            <v>283.62749888938248</v>
          </cell>
        </row>
        <row r="144">
          <cell r="A144">
            <v>37883</v>
          </cell>
          <cell r="B144">
            <v>241</v>
          </cell>
          <cell r="C144">
            <v>225.15</v>
          </cell>
          <cell r="F144">
            <v>278.93488785254272</v>
          </cell>
        </row>
        <row r="145">
          <cell r="A145">
            <v>37890</v>
          </cell>
          <cell r="B145">
            <v>239</v>
          </cell>
          <cell r="C145">
            <v>221.1</v>
          </cell>
          <cell r="F145">
            <v>281.6870646766169</v>
          </cell>
        </row>
        <row r="146">
          <cell r="A146">
            <v>37897</v>
          </cell>
          <cell r="B146">
            <v>238</v>
          </cell>
          <cell r="C146">
            <v>222.79</v>
          </cell>
          <cell r="F146">
            <v>278.38062749674583</v>
          </cell>
        </row>
        <row r="147">
          <cell r="A147">
            <v>37904</v>
          </cell>
          <cell r="B147">
            <v>233</v>
          </cell>
          <cell r="C147">
            <v>224.2</v>
          </cell>
          <cell r="F147">
            <v>270.81833184656557</v>
          </cell>
        </row>
        <row r="148">
          <cell r="A148">
            <v>37911</v>
          </cell>
          <cell r="B148">
            <v>239</v>
          </cell>
          <cell r="C148">
            <v>232.74</v>
          </cell>
          <cell r="F148">
            <v>267.59908051903409</v>
          </cell>
        </row>
        <row r="149">
          <cell r="A149">
            <v>37918</v>
          </cell>
          <cell r="B149">
            <v>240</v>
          </cell>
          <cell r="C149">
            <v>228.16</v>
          </cell>
          <cell r="F149">
            <v>274.11290322580641</v>
          </cell>
        </row>
        <row r="150">
          <cell r="A150">
            <v>37925</v>
          </cell>
          <cell r="B150">
            <v>230</v>
          </cell>
          <cell r="C150">
            <v>230.98</v>
          </cell>
          <cell r="F150">
            <v>259.48437094120703</v>
          </cell>
        </row>
        <row r="151">
          <cell r="A151">
            <v>37932</v>
          </cell>
          <cell r="B151">
            <v>233.5</v>
          </cell>
          <cell r="C151">
            <v>231.94</v>
          </cell>
          <cell r="F151">
            <v>262.34269638699658</v>
          </cell>
        </row>
        <row r="152">
          <cell r="A152">
            <v>37939</v>
          </cell>
          <cell r="B152">
            <v>244.5</v>
          </cell>
          <cell r="C152">
            <v>228.82</v>
          </cell>
          <cell r="F152">
            <v>278.44705445328202</v>
          </cell>
        </row>
        <row r="153">
          <cell r="A153">
            <v>37946</v>
          </cell>
          <cell r="B153">
            <v>244</v>
          </cell>
          <cell r="C153">
            <v>223.36</v>
          </cell>
          <cell r="F153">
            <v>284.6703080229226</v>
          </cell>
        </row>
        <row r="154">
          <cell r="A154">
            <v>37953</v>
          </cell>
          <cell r="B154">
            <v>238</v>
          </cell>
          <cell r="C154">
            <v>220.97</v>
          </cell>
          <cell r="F154">
            <v>280.67348508847351</v>
          </cell>
        </row>
        <row r="155">
          <cell r="A155">
            <v>37960</v>
          </cell>
          <cell r="B155">
            <v>236.5</v>
          </cell>
          <cell r="C155">
            <v>221.64</v>
          </cell>
          <cell r="F155">
            <v>278.0614284425194</v>
          </cell>
        </row>
        <row r="156">
          <cell r="A156">
            <v>37967</v>
          </cell>
          <cell r="B156">
            <v>231</v>
          </cell>
          <cell r="C156">
            <v>223.17</v>
          </cell>
          <cell r="F156">
            <v>269.73289420621052</v>
          </cell>
        </row>
        <row r="157">
          <cell r="A157">
            <v>37974</v>
          </cell>
          <cell r="B157">
            <v>242.5</v>
          </cell>
          <cell r="C157">
            <v>223.37</v>
          </cell>
          <cell r="F157">
            <v>282.90761964453594</v>
          </cell>
        </row>
        <row r="158">
          <cell r="A158">
            <v>37988</v>
          </cell>
          <cell r="B158">
            <v>243</v>
          </cell>
          <cell r="C158">
            <v>230.32</v>
          </cell>
          <cell r="F158">
            <v>274.93647968044456</v>
          </cell>
        </row>
        <row r="159">
          <cell r="A159">
            <v>37995</v>
          </cell>
          <cell r="B159">
            <v>230.5</v>
          </cell>
          <cell r="C159">
            <v>235.28</v>
          </cell>
          <cell r="F159">
            <v>255.29579649778984</v>
          </cell>
        </row>
        <row r="160">
          <cell r="A160">
            <v>38002</v>
          </cell>
          <cell r="B160">
            <v>237.5</v>
          </cell>
          <cell r="C160">
            <v>241.02</v>
          </cell>
          <cell r="F160">
            <v>256.78418803418799</v>
          </cell>
        </row>
        <row r="161">
          <cell r="A161">
            <v>38009</v>
          </cell>
          <cell r="B161">
            <v>235.5</v>
          </cell>
          <cell r="C161">
            <v>242.63</v>
          </cell>
          <cell r="F161">
            <v>252.93222190166094</v>
          </cell>
        </row>
        <row r="162">
          <cell r="A162">
            <v>38016</v>
          </cell>
          <cell r="B162">
            <v>238.5</v>
          </cell>
          <cell r="C162">
            <v>240.75</v>
          </cell>
          <cell r="F162">
            <v>258.1545794392523</v>
          </cell>
        </row>
        <row r="163">
          <cell r="A163">
            <v>38023</v>
          </cell>
          <cell r="B163">
            <v>265</v>
          </cell>
          <cell r="C163">
            <v>248.63</v>
          </cell>
          <cell r="F163">
            <v>277.74745605920441</v>
          </cell>
        </row>
        <row r="164">
          <cell r="A164">
            <v>38030</v>
          </cell>
          <cell r="B164">
            <v>269</v>
          </cell>
          <cell r="C164">
            <v>252.81</v>
          </cell>
          <cell r="F164">
            <v>277.27823266484711</v>
          </cell>
        </row>
        <row r="165">
          <cell r="A165">
            <v>38037</v>
          </cell>
          <cell r="B165">
            <v>276</v>
          </cell>
          <cell r="C165">
            <v>249.13</v>
          </cell>
          <cell r="F165">
            <v>288.69602215710671</v>
          </cell>
        </row>
        <row r="166">
          <cell r="A166">
            <v>38044</v>
          </cell>
          <cell r="B166">
            <v>278</v>
          </cell>
          <cell r="C166">
            <v>252.56</v>
          </cell>
          <cell r="F166">
            <v>286.83885017421602</v>
          </cell>
        </row>
        <row r="167">
          <cell r="A167">
            <v>38051</v>
          </cell>
          <cell r="B167">
            <v>286</v>
          </cell>
          <cell r="C167">
            <v>255.85</v>
          </cell>
          <cell r="F167">
            <v>291.29857338284148</v>
          </cell>
        </row>
        <row r="168">
          <cell r="A168">
            <v>38058</v>
          </cell>
          <cell r="B168">
            <v>279.5</v>
          </cell>
          <cell r="C168">
            <v>247.8</v>
          </cell>
          <cell r="F168">
            <v>293.92617029862788</v>
          </cell>
        </row>
        <row r="169">
          <cell r="A169">
            <v>38065</v>
          </cell>
          <cell r="B169">
            <v>285</v>
          </cell>
          <cell r="C169">
            <v>247.93</v>
          </cell>
          <cell r="F169">
            <v>299.55289799540191</v>
          </cell>
        </row>
        <row r="170">
          <cell r="A170">
            <v>38072</v>
          </cell>
          <cell r="B170">
            <v>275</v>
          </cell>
          <cell r="C170">
            <v>241.11</v>
          </cell>
          <cell r="F170">
            <v>297.2180747376716</v>
          </cell>
        </row>
        <row r="171">
          <cell r="A171">
            <v>38079</v>
          </cell>
          <cell r="B171">
            <v>288</v>
          </cell>
          <cell r="C171">
            <v>243.58</v>
          </cell>
          <cell r="F171">
            <v>308.11199605878966</v>
          </cell>
        </row>
        <row r="172">
          <cell r="A172">
            <v>38093</v>
          </cell>
          <cell r="B172">
            <v>285</v>
          </cell>
          <cell r="C172">
            <v>243.43</v>
          </cell>
          <cell r="F172">
            <v>305.09037505648433</v>
          </cell>
        </row>
        <row r="173">
          <cell r="A173">
            <v>38100</v>
          </cell>
          <cell r="B173">
            <v>302.5</v>
          </cell>
          <cell r="C173">
            <v>246.61</v>
          </cell>
          <cell r="F173">
            <v>319.64833137342356</v>
          </cell>
        </row>
        <row r="174">
          <cell r="A174">
            <v>38107</v>
          </cell>
          <cell r="B174">
            <v>295</v>
          </cell>
          <cell r="C174">
            <v>238.1</v>
          </cell>
          <cell r="F174">
            <v>322.86455270894584</v>
          </cell>
        </row>
        <row r="175">
          <cell r="A175">
            <v>38121</v>
          </cell>
          <cell r="B175">
            <v>280</v>
          </cell>
          <cell r="C175">
            <v>235.72</v>
          </cell>
          <cell r="F175">
            <v>309.54182928898695</v>
          </cell>
        </row>
        <row r="176">
          <cell r="A176">
            <v>38128</v>
          </cell>
          <cell r="B176">
            <v>284.5</v>
          </cell>
          <cell r="C176">
            <v>235.57</v>
          </cell>
          <cell r="F176">
            <v>314.71687821029838</v>
          </cell>
        </row>
        <row r="177">
          <cell r="A177">
            <v>38135</v>
          </cell>
          <cell r="B177">
            <v>280</v>
          </cell>
          <cell r="C177">
            <v>236.6</v>
          </cell>
          <cell r="F177">
            <v>308.39053254437869</v>
          </cell>
        </row>
        <row r="178">
          <cell r="A178">
            <v>38142</v>
          </cell>
          <cell r="B178">
            <v>290</v>
          </cell>
          <cell r="C178">
            <v>240.86</v>
          </cell>
          <cell r="F178">
            <v>313.755293531512</v>
          </cell>
        </row>
        <row r="179">
          <cell r="A179">
            <v>38149</v>
          </cell>
          <cell r="B179">
            <v>290.5</v>
          </cell>
          <cell r="C179">
            <v>242.7</v>
          </cell>
          <cell r="F179">
            <v>311.91345282241446</v>
          </cell>
        </row>
        <row r="180">
          <cell r="A180">
            <v>38156</v>
          </cell>
          <cell r="B180">
            <v>304</v>
          </cell>
          <cell r="C180">
            <v>243.62</v>
          </cell>
          <cell r="F180">
            <v>325.17592972662334</v>
          </cell>
        </row>
        <row r="181">
          <cell r="A181">
            <v>38163</v>
          </cell>
          <cell r="B181">
            <v>316</v>
          </cell>
          <cell r="C181">
            <v>245.11</v>
          </cell>
          <cell r="F181">
            <v>335.95708049447182</v>
          </cell>
        </row>
        <row r="182">
          <cell r="A182">
            <v>38170</v>
          </cell>
          <cell r="B182">
            <v>328.5</v>
          </cell>
          <cell r="C182">
            <v>251.08</v>
          </cell>
          <cell r="F182">
            <v>340.94238888003815</v>
          </cell>
        </row>
        <row r="183">
          <cell r="A183">
            <v>38177</v>
          </cell>
          <cell r="B183">
            <v>316</v>
          </cell>
          <cell r="C183">
            <v>248.67</v>
          </cell>
          <cell r="F183">
            <v>331.14746451119959</v>
          </cell>
        </row>
        <row r="184">
          <cell r="A184">
            <v>38184</v>
          </cell>
          <cell r="B184">
            <v>314</v>
          </cell>
          <cell r="C184">
            <v>251.2</v>
          </cell>
          <cell r="F184">
            <v>325.73749999999995</v>
          </cell>
        </row>
        <row r="185">
          <cell r="A185">
            <v>38191</v>
          </cell>
          <cell r="B185">
            <v>312.5</v>
          </cell>
          <cell r="C185">
            <v>246.39</v>
          </cell>
          <cell r="F185">
            <v>330.51006534356105</v>
          </cell>
        </row>
        <row r="186">
          <cell r="A186">
            <v>38198</v>
          </cell>
          <cell r="B186">
            <v>314</v>
          </cell>
          <cell r="C186">
            <v>248.34</v>
          </cell>
          <cell r="F186">
            <v>329.48884593702178</v>
          </cell>
        </row>
        <row r="187">
          <cell r="A187">
            <v>38205</v>
          </cell>
          <cell r="B187">
            <v>305</v>
          </cell>
          <cell r="C187">
            <v>248.08</v>
          </cell>
          <cell r="F187">
            <v>320.38032086423726</v>
          </cell>
        </row>
        <row r="188">
          <cell r="A188">
            <v>38212</v>
          </cell>
          <cell r="B188">
            <v>320.5</v>
          </cell>
          <cell r="C188">
            <v>247.02</v>
          </cell>
          <cell r="F188">
            <v>338.10661080074487</v>
          </cell>
        </row>
        <row r="189">
          <cell r="A189">
            <v>38219</v>
          </cell>
          <cell r="B189">
            <v>321</v>
          </cell>
          <cell r="C189">
            <v>248.46</v>
          </cell>
          <cell r="F189">
            <v>336.67145617000722</v>
          </cell>
        </row>
        <row r="190">
          <cell r="A190">
            <v>38226</v>
          </cell>
          <cell r="B190">
            <v>322</v>
          </cell>
          <cell r="C190">
            <v>250.62</v>
          </cell>
          <cell r="F190">
            <v>334.80959221131593</v>
          </cell>
        </row>
        <row r="191">
          <cell r="A191">
            <v>38233</v>
          </cell>
          <cell r="B191">
            <v>329</v>
          </cell>
          <cell r="C191">
            <v>252.6</v>
          </cell>
          <cell r="F191">
            <v>339.40661124307201</v>
          </cell>
        </row>
        <row r="192">
          <cell r="A192">
            <v>38240</v>
          </cell>
          <cell r="B192">
            <v>327.5</v>
          </cell>
          <cell r="C192">
            <v>255.59</v>
          </cell>
          <cell r="F192">
            <v>333.90674517782384</v>
          </cell>
        </row>
        <row r="193">
          <cell r="A193">
            <v>38247</v>
          </cell>
          <cell r="B193">
            <v>318.5</v>
          </cell>
          <cell r="C193">
            <v>255.29</v>
          </cell>
          <cell r="F193">
            <v>325.11228406909788</v>
          </cell>
        </row>
        <row r="194">
          <cell r="A194">
            <v>38254</v>
          </cell>
          <cell r="B194">
            <v>324</v>
          </cell>
          <cell r="C194">
            <v>257.25</v>
          </cell>
          <cell r="F194">
            <v>328.2066472303207</v>
          </cell>
        </row>
        <row r="195">
          <cell r="A195">
            <v>38261</v>
          </cell>
          <cell r="B195">
            <v>326</v>
          </cell>
          <cell r="C195">
            <v>261.14999999999998</v>
          </cell>
          <cell r="F195">
            <v>325.30093815814666</v>
          </cell>
        </row>
        <row r="196">
          <cell r="A196">
            <v>38268</v>
          </cell>
          <cell r="B196">
            <v>316</v>
          </cell>
          <cell r="C196">
            <v>261.11</v>
          </cell>
          <cell r="F196">
            <v>315.37068668377304</v>
          </cell>
        </row>
        <row r="197">
          <cell r="A197">
            <v>38275</v>
          </cell>
          <cell r="B197">
            <v>318</v>
          </cell>
          <cell r="C197">
            <v>259.36</v>
          </cell>
          <cell r="F197">
            <v>319.50809685379392</v>
          </cell>
        </row>
        <row r="198">
          <cell r="A198">
            <v>38282</v>
          </cell>
          <cell r="B198">
            <v>312</v>
          </cell>
          <cell r="C198">
            <v>258.82</v>
          </cell>
          <cell r="F198">
            <v>314.13368364114052</v>
          </cell>
        </row>
        <row r="199">
          <cell r="A199">
            <v>38289</v>
          </cell>
          <cell r="B199">
            <v>289.5</v>
          </cell>
          <cell r="C199">
            <v>253.16</v>
          </cell>
          <cell r="F199">
            <v>297.99654368778636</v>
          </cell>
        </row>
        <row r="200">
          <cell r="A200">
            <v>38296</v>
          </cell>
          <cell r="B200">
            <v>306</v>
          </cell>
          <cell r="C200">
            <v>260.36</v>
          </cell>
          <cell r="F200">
            <v>306.27031802120138</v>
          </cell>
        </row>
        <row r="201">
          <cell r="A201">
            <v>38303</v>
          </cell>
          <cell r="B201">
            <v>299.5</v>
          </cell>
          <cell r="C201">
            <v>262.77</v>
          </cell>
          <cell r="F201">
            <v>297.01527952201542</v>
          </cell>
        </row>
        <row r="202">
          <cell r="A202">
            <v>38310</v>
          </cell>
          <cell r="B202">
            <v>299</v>
          </cell>
          <cell r="C202">
            <v>264.52</v>
          </cell>
          <cell r="F202">
            <v>294.5577272039921</v>
          </cell>
        </row>
        <row r="203">
          <cell r="A203">
            <v>38317</v>
          </cell>
          <cell r="B203">
            <v>298.5</v>
          </cell>
          <cell r="C203">
            <v>266.87</v>
          </cell>
          <cell r="F203">
            <v>291.47568104320453</v>
          </cell>
        </row>
        <row r="204">
          <cell r="A204">
            <v>38324</v>
          </cell>
          <cell r="B204">
            <v>298.5</v>
          </cell>
          <cell r="C204">
            <v>269.12</v>
          </cell>
          <cell r="F204">
            <v>289.0387745243757</v>
          </cell>
        </row>
        <row r="205">
          <cell r="A205">
            <v>38331</v>
          </cell>
          <cell r="B205">
            <v>294.5</v>
          </cell>
          <cell r="C205">
            <v>263.97000000000003</v>
          </cell>
          <cell r="F205">
            <v>290.72907906201453</v>
          </cell>
        </row>
        <row r="206">
          <cell r="A206">
            <v>38338</v>
          </cell>
          <cell r="B206">
            <v>301</v>
          </cell>
          <cell r="C206">
            <v>263.79000000000002</v>
          </cell>
          <cell r="F206">
            <v>297.34861063724929</v>
          </cell>
        </row>
        <row r="207">
          <cell r="A207">
            <v>38359</v>
          </cell>
          <cell r="B207">
            <v>298.5</v>
          </cell>
          <cell r="C207">
            <v>275.20999999999998</v>
          </cell>
          <cell r="F207">
            <v>282.64276370771415</v>
          </cell>
        </row>
        <row r="208">
          <cell r="A208">
            <v>38366</v>
          </cell>
          <cell r="B208">
            <v>292.5</v>
          </cell>
          <cell r="C208">
            <v>274.27</v>
          </cell>
          <cell r="F208">
            <v>277.91072665621465</v>
          </cell>
        </row>
        <row r="209">
          <cell r="A209">
            <v>38373</v>
          </cell>
          <cell r="B209">
            <v>283</v>
          </cell>
          <cell r="C209">
            <v>272.81</v>
          </cell>
          <cell r="F209">
            <v>270.32355852058208</v>
          </cell>
        </row>
        <row r="210">
          <cell r="A210">
            <v>38380</v>
          </cell>
          <cell r="B210">
            <v>298</v>
          </cell>
          <cell r="C210">
            <v>276.75</v>
          </cell>
          <cell r="F210">
            <v>280.59916892502258</v>
          </cell>
        </row>
        <row r="211">
          <cell r="A211">
            <v>38387</v>
          </cell>
          <cell r="B211">
            <v>299</v>
          </cell>
          <cell r="C211">
            <v>283.58999999999997</v>
          </cell>
          <cell r="F211">
            <v>274.75020275750205</v>
          </cell>
        </row>
        <row r="212">
          <cell r="A212">
            <v>38394</v>
          </cell>
          <cell r="B212">
            <v>317.5</v>
          </cell>
          <cell r="C212">
            <v>289.36</v>
          </cell>
          <cell r="F212">
            <v>285.93214335084321</v>
          </cell>
        </row>
        <row r="213">
          <cell r="A213">
            <v>38401</v>
          </cell>
          <cell r="B213">
            <v>314</v>
          </cell>
          <cell r="C213">
            <v>292.52999999999997</v>
          </cell>
          <cell r="F213">
            <v>279.71578983352134</v>
          </cell>
        </row>
        <row r="214">
          <cell r="A214">
            <v>38408</v>
          </cell>
          <cell r="B214">
            <v>316.5</v>
          </cell>
          <cell r="C214">
            <v>294.58999999999997</v>
          </cell>
          <cell r="F214">
            <v>279.97126514817205</v>
          </cell>
        </row>
        <row r="215">
          <cell r="A215">
            <v>38415</v>
          </cell>
          <cell r="B215">
            <v>322.5</v>
          </cell>
          <cell r="C215">
            <v>302.95</v>
          </cell>
          <cell r="F215">
            <v>277.40642020135334</v>
          </cell>
        </row>
        <row r="216">
          <cell r="A216">
            <v>38422</v>
          </cell>
          <cell r="B216">
            <v>314.5</v>
          </cell>
          <cell r="C216">
            <v>298.64</v>
          </cell>
          <cell r="F216">
            <v>274.42926265738015</v>
          </cell>
        </row>
        <row r="217">
          <cell r="A217">
            <v>38429</v>
          </cell>
          <cell r="B217">
            <v>324</v>
          </cell>
          <cell r="C217">
            <v>299.74</v>
          </cell>
          <cell r="F217">
            <v>281.68132381397209</v>
          </cell>
        </row>
        <row r="218">
          <cell r="A218">
            <v>38443</v>
          </cell>
          <cell r="B218">
            <v>320.5</v>
          </cell>
          <cell r="C218">
            <v>302.27999999999997</v>
          </cell>
          <cell r="F218">
            <v>276.29712518195049</v>
          </cell>
        </row>
        <row r="219">
          <cell r="A219">
            <v>38450</v>
          </cell>
          <cell r="B219">
            <v>333</v>
          </cell>
          <cell r="C219">
            <v>312.08</v>
          </cell>
          <cell r="F219">
            <v>278.05841450910026</v>
          </cell>
        </row>
        <row r="220">
          <cell r="A220">
            <v>38457</v>
          </cell>
          <cell r="B220">
            <v>339</v>
          </cell>
          <cell r="C220">
            <v>306.26</v>
          </cell>
          <cell r="F220">
            <v>288.44775680794095</v>
          </cell>
        </row>
        <row r="221">
          <cell r="A221">
            <v>38471</v>
          </cell>
          <cell r="B221">
            <v>291.5</v>
          </cell>
          <cell r="C221">
            <v>291.38</v>
          </cell>
          <cell r="F221">
            <v>260.69731965131439</v>
          </cell>
        </row>
        <row r="222">
          <cell r="A222">
            <v>38478</v>
          </cell>
          <cell r="B222">
            <v>305</v>
          </cell>
          <cell r="C222">
            <v>297.77999999999997</v>
          </cell>
          <cell r="F222">
            <v>266.90828799785072</v>
          </cell>
        </row>
        <row r="223">
          <cell r="A223">
            <v>38485</v>
          </cell>
          <cell r="B223">
            <v>309</v>
          </cell>
          <cell r="C223">
            <v>301.73</v>
          </cell>
          <cell r="F223">
            <v>266.86875683558145</v>
          </cell>
        </row>
        <row r="224">
          <cell r="A224">
            <v>38492</v>
          </cell>
          <cell r="B224">
            <v>304</v>
          </cell>
          <cell r="C224">
            <v>303.26</v>
          </cell>
          <cell r="F224">
            <v>261.2258787838818</v>
          </cell>
        </row>
        <row r="225">
          <cell r="A225">
            <v>38499</v>
          </cell>
          <cell r="B225">
            <v>309</v>
          </cell>
          <cell r="C225">
            <v>309.49</v>
          </cell>
          <cell r="F225">
            <v>260.17742091828489</v>
          </cell>
        </row>
        <row r="226">
          <cell r="A226">
            <v>38506</v>
          </cell>
          <cell r="B226">
            <v>309.5</v>
          </cell>
          <cell r="C226">
            <v>312.39</v>
          </cell>
          <cell r="F226">
            <v>258.17921508370944</v>
          </cell>
        </row>
        <row r="227">
          <cell r="A227">
            <v>38513</v>
          </cell>
          <cell r="B227">
            <v>308.5</v>
          </cell>
          <cell r="C227">
            <v>318.24</v>
          </cell>
          <cell r="F227">
            <v>252.6144262192056</v>
          </cell>
        </row>
        <row r="228">
          <cell r="A228">
            <v>38520</v>
          </cell>
          <cell r="B228">
            <v>313.5</v>
          </cell>
          <cell r="C228">
            <v>326.36</v>
          </cell>
          <cell r="F228">
            <v>250.32162336070593</v>
          </cell>
        </row>
        <row r="229">
          <cell r="A229">
            <v>38527</v>
          </cell>
          <cell r="B229">
            <v>312</v>
          </cell>
          <cell r="C229">
            <v>328.59</v>
          </cell>
          <cell r="F229">
            <v>247.43321464438966</v>
          </cell>
        </row>
        <row r="230">
          <cell r="A230">
            <v>38534</v>
          </cell>
          <cell r="B230">
            <v>317.5</v>
          </cell>
          <cell r="C230">
            <v>329.79</v>
          </cell>
          <cell r="F230">
            <v>250.87881682282659</v>
          </cell>
        </row>
        <row r="231">
          <cell r="A231">
            <v>38541</v>
          </cell>
          <cell r="B231">
            <v>316.5</v>
          </cell>
          <cell r="C231">
            <v>334.15</v>
          </cell>
          <cell r="F231">
            <v>246.82548256770909</v>
          </cell>
        </row>
        <row r="232">
          <cell r="A232">
            <v>38548</v>
          </cell>
          <cell r="B232">
            <v>315.5</v>
          </cell>
          <cell r="C232">
            <v>334.68</v>
          </cell>
          <cell r="F232">
            <v>245.65598482132182</v>
          </cell>
        </row>
        <row r="233">
          <cell r="A233">
            <v>38555</v>
          </cell>
          <cell r="B233">
            <v>314</v>
          </cell>
          <cell r="C233">
            <v>333.25</v>
          </cell>
          <cell r="F233">
            <v>245.53716429107274</v>
          </cell>
        </row>
        <row r="234">
          <cell r="A234">
            <v>38562</v>
          </cell>
          <cell r="B234">
            <v>318</v>
          </cell>
          <cell r="C234">
            <v>338.06</v>
          </cell>
          <cell r="F234">
            <v>245.12695971129381</v>
          </cell>
        </row>
        <row r="235">
          <cell r="A235">
            <v>38569</v>
          </cell>
          <cell r="B235">
            <v>332</v>
          </cell>
          <cell r="C235">
            <v>346.33</v>
          </cell>
          <cell r="F235">
            <v>249.80764011203186</v>
          </cell>
        </row>
        <row r="236">
          <cell r="A236">
            <v>38576</v>
          </cell>
          <cell r="B236">
            <v>322.5</v>
          </cell>
          <cell r="C236">
            <v>347.54</v>
          </cell>
          <cell r="F236">
            <v>241.81468320193355</v>
          </cell>
        </row>
        <row r="237">
          <cell r="A237">
            <v>38583</v>
          </cell>
          <cell r="B237">
            <v>332.5</v>
          </cell>
          <cell r="C237">
            <v>356.88</v>
          </cell>
          <cell r="F237">
            <v>242.78798195471867</v>
          </cell>
        </row>
        <row r="238">
          <cell r="A238">
            <v>38590</v>
          </cell>
          <cell r="B238">
            <v>313.5</v>
          </cell>
          <cell r="C238">
            <v>343.94</v>
          </cell>
          <cell r="F238">
            <v>237.52679246380183</v>
          </cell>
        </row>
        <row r="239">
          <cell r="A239">
            <v>38597</v>
          </cell>
          <cell r="B239">
            <v>315.5</v>
          </cell>
          <cell r="C239">
            <v>351.65</v>
          </cell>
          <cell r="F239">
            <v>233.80106640125123</v>
          </cell>
        </row>
        <row r="240">
          <cell r="A240">
            <v>38604</v>
          </cell>
          <cell r="B240">
            <v>314.5</v>
          </cell>
          <cell r="C240">
            <v>353.09</v>
          </cell>
          <cell r="F240">
            <v>232.10953298025998</v>
          </cell>
        </row>
        <row r="241">
          <cell r="A241">
            <v>38611</v>
          </cell>
          <cell r="B241">
            <v>313.5</v>
          </cell>
          <cell r="C241">
            <v>359.52</v>
          </cell>
          <cell r="F241">
            <v>227.23343624833112</v>
          </cell>
        </row>
        <row r="242">
          <cell r="A242">
            <v>38618</v>
          </cell>
          <cell r="B242">
            <v>305</v>
          </cell>
          <cell r="C242">
            <v>354.44</v>
          </cell>
          <cell r="F242">
            <v>224.24091524658613</v>
          </cell>
        </row>
        <row r="243">
          <cell r="A243">
            <v>38625</v>
          </cell>
          <cell r="B243">
            <v>307</v>
          </cell>
          <cell r="C243">
            <v>354.72</v>
          </cell>
          <cell r="F243">
            <v>225.53318110058635</v>
          </cell>
        </row>
        <row r="244">
          <cell r="A244">
            <v>38639</v>
          </cell>
          <cell r="B244">
            <v>309.5</v>
          </cell>
          <cell r="C244">
            <v>341.46</v>
          </cell>
          <cell r="F244">
            <v>236.19927663562351</v>
          </cell>
        </row>
        <row r="245">
          <cell r="A245">
            <v>38646</v>
          </cell>
          <cell r="B245">
            <v>303.5</v>
          </cell>
          <cell r="C245">
            <v>328.64</v>
          </cell>
          <cell r="F245">
            <v>240.6556262171373</v>
          </cell>
        </row>
        <row r="246">
          <cell r="A246">
            <v>38653</v>
          </cell>
          <cell r="B246">
            <v>314.5</v>
          </cell>
          <cell r="C246">
            <v>335.07</v>
          </cell>
          <cell r="F246">
            <v>244.59233891425671</v>
          </cell>
        </row>
        <row r="247">
          <cell r="A247">
            <v>38660</v>
          </cell>
          <cell r="B247">
            <v>328</v>
          </cell>
          <cell r="C247">
            <v>347.71</v>
          </cell>
          <cell r="F247">
            <v>245.81841189496993</v>
          </cell>
        </row>
        <row r="248">
          <cell r="A248">
            <v>38667</v>
          </cell>
          <cell r="B248">
            <v>342</v>
          </cell>
          <cell r="C248">
            <v>347.03</v>
          </cell>
          <cell r="F248">
            <v>256.81289802034405</v>
          </cell>
        </row>
        <row r="249">
          <cell r="A249">
            <v>38674</v>
          </cell>
          <cell r="B249">
            <v>344.5</v>
          </cell>
          <cell r="C249">
            <v>353.94</v>
          </cell>
          <cell r="F249">
            <v>253.6397553257614</v>
          </cell>
        </row>
      </sheetData>
      <sheetData sheetId="3" refreshError="1">
        <row r="2">
          <cell r="B2" t="str">
            <v>Novo Nordisk</v>
          </cell>
          <cell r="C2" t="str">
            <v>NVOMDL.XLS</v>
          </cell>
          <cell r="D2" t="str">
            <v>DKK</v>
          </cell>
          <cell r="E2" t="str">
            <v>DKK</v>
          </cell>
          <cell r="F2" t="str">
            <v>DK</v>
          </cell>
          <cell r="G2" t="str">
            <v>Denmark</v>
          </cell>
          <cell r="H2" t="str">
            <v>NOVOb.CO</v>
          </cell>
          <cell r="I2">
            <v>636</v>
          </cell>
          <cell r="K2">
            <v>2</v>
          </cell>
          <cell r="L2" t="str">
            <v>2/Accumulate</v>
          </cell>
          <cell r="M2">
            <v>38624</v>
          </cell>
          <cell r="N2">
            <v>60</v>
          </cell>
          <cell r="O2" t="str">
            <v>Denmark (Enskilda index)</v>
          </cell>
          <cell r="P2">
            <v>247</v>
          </cell>
          <cell r="Q2">
            <v>234</v>
          </cell>
          <cell r="R2">
            <v>344.5</v>
          </cell>
          <cell r="S2">
            <v>38674</v>
          </cell>
          <cell r="T2">
            <v>403</v>
          </cell>
          <cell r="U2">
            <v>347</v>
          </cell>
          <cell r="V2">
            <v>280.5</v>
          </cell>
          <cell r="W2">
            <v>971010.53571428568</v>
          </cell>
          <cell r="X2">
            <v>15.798319327731104</v>
          </cell>
          <cell r="Y2">
            <v>4.7112462006078992</v>
          </cell>
          <cell r="Z2">
            <v>12.398042414355626</v>
          </cell>
          <cell r="AA2">
            <v>8.4031071892536566</v>
          </cell>
          <cell r="AB2">
            <v>4.595866797267667</v>
          </cell>
          <cell r="AC2">
            <v>-13.604390052342341</v>
          </cell>
          <cell r="AD2">
            <v>9.2101486401100487</v>
          </cell>
          <cell r="AE2">
            <v>4.0472476985985217</v>
          </cell>
          <cell r="AF2">
            <v>6.1106033043185848</v>
          </cell>
          <cell r="AG2">
            <v>11.199081969237534</v>
          </cell>
          <cell r="AH2">
            <v>2.8815745050580377</v>
          </cell>
          <cell r="AI2">
            <v>1.7145609759332547</v>
          </cell>
          <cell r="AJ2">
            <v>74.5</v>
          </cell>
          <cell r="AK2" t="str">
            <v>www.novonordisk.com</v>
          </cell>
          <cell r="AL2" t="str">
            <v>(45) 4444 8888</v>
          </cell>
          <cell r="AM2" t="str">
            <v>(45) 4449 0555</v>
          </cell>
          <cell r="AN2" t="str">
            <v>Mads Øvlisen</v>
          </cell>
          <cell r="AO2" t="str">
            <v>Lars Rebien Sørensen</v>
          </cell>
          <cell r="AP2" t="str">
            <v>Jesper Brandgaard</v>
          </cell>
          <cell r="AQ2" t="str">
            <v>The Novo Nordisk Foundation</v>
          </cell>
          <cell r="AR2">
            <v>25.5</v>
          </cell>
          <cell r="AS2">
            <v>70.67</v>
          </cell>
          <cell r="AT2" t="str">
            <v>Capital</v>
          </cell>
          <cell r="AU2">
            <v>10.01</v>
          </cell>
          <cell r="AV2">
            <v>4.37</v>
          </cell>
          <cell r="AW2" t="str">
            <v>Fidelity</v>
          </cell>
          <cell r="AX2">
            <v>4.3</v>
          </cell>
          <cell r="AY2">
            <v>1.88</v>
          </cell>
          <cell r="BF2">
            <v>2004</v>
          </cell>
          <cell r="BG2" t="str">
            <v>Healthcare</v>
          </cell>
          <cell r="BH2" t="str">
            <v>Henrik Simonsen, Lars Hevreng</v>
          </cell>
          <cell r="BI2" t="str">
            <v>(45) 3697 7525</v>
          </cell>
          <cell r="BJ2" t="str">
            <v>henrik.simonsen@enskilda.dk</v>
          </cell>
          <cell r="BK2">
            <v>0</v>
          </cell>
          <cell r="BL2">
            <v>12</v>
          </cell>
          <cell r="BM2" t="str">
            <v>NOVOb.CO/NOVOB DC</v>
          </cell>
          <cell r="BN2">
            <v>1</v>
          </cell>
          <cell r="BO2">
            <v>0</v>
          </cell>
          <cell r="BP2" t="str">
            <v>Delphi Economics</v>
          </cell>
          <cell r="BQ2">
            <v>0</v>
          </cell>
          <cell r="BR2">
            <v>0</v>
          </cell>
          <cell r="BS2">
            <v>1</v>
          </cell>
          <cell r="BT2">
            <v>0</v>
          </cell>
          <cell r="BU2">
            <v>1</v>
          </cell>
          <cell r="BV2">
            <v>0</v>
          </cell>
          <cell r="BW2">
            <v>0</v>
          </cell>
          <cell r="BX2">
            <v>0</v>
          </cell>
          <cell r="BY2">
            <v>0</v>
          </cell>
          <cell r="BZ2">
            <v>0</v>
          </cell>
          <cell r="CA2">
            <v>0</v>
          </cell>
          <cell r="CB2">
            <v>0</v>
          </cell>
          <cell r="CC2">
            <v>0</v>
          </cell>
          <cell r="CD2" t="str">
            <v>Sweden</v>
          </cell>
          <cell r="CE2">
            <v>36</v>
          </cell>
          <cell r="CF2">
            <v>15</v>
          </cell>
          <cell r="CG2" t="str">
            <v>Mogens Thorsager Jensen</v>
          </cell>
        </row>
        <row r="5">
          <cell r="A5">
            <v>49</v>
          </cell>
          <cell r="F5" t="str">
            <v>DKK</v>
          </cell>
          <cell r="G5">
            <v>6.3335999999999997</v>
          </cell>
          <cell r="H5">
            <v>7.4583500000000003</v>
          </cell>
        </row>
        <row r="7">
          <cell r="A7" t="str">
            <v>(DKKm)</v>
          </cell>
        </row>
        <row r="10">
          <cell r="M10" t="str">
            <v>OtherOperatingExpenses</v>
          </cell>
        </row>
        <row r="13">
          <cell r="A13">
            <v>49</v>
          </cell>
          <cell r="B13">
            <v>1997</v>
          </cell>
          <cell r="C13" t="str">
            <v>1997</v>
          </cell>
          <cell r="D13">
            <v>38652.953472222223</v>
          </cell>
          <cell r="E13" t="str">
            <v>db_simonseh</v>
          </cell>
          <cell r="F13" t="str">
            <v>H</v>
          </cell>
          <cell r="G13">
            <v>12585</v>
          </cell>
          <cell r="H13">
            <v>0</v>
          </cell>
          <cell r="I13">
            <v>12585</v>
          </cell>
          <cell r="J13">
            <v>0</v>
          </cell>
          <cell r="K13">
            <v>0</v>
          </cell>
          <cell r="L13">
            <v>0</v>
          </cell>
          <cell r="M13">
            <v>617</v>
          </cell>
          <cell r="N13">
            <v>0</v>
          </cell>
          <cell r="O13">
            <v>-9361</v>
          </cell>
          <cell r="P13">
            <v>-3638</v>
          </cell>
          <cell r="Q13">
            <v>-2191</v>
          </cell>
          <cell r="R13">
            <v>-5024</v>
          </cell>
          <cell r="S13">
            <v>3224</v>
          </cell>
          <cell r="T13">
            <v>25.617799000000002</v>
          </cell>
          <cell r="U13">
            <v>-852</v>
          </cell>
          <cell r="V13">
            <v>-23</v>
          </cell>
          <cell r="W13">
            <v>2349</v>
          </cell>
          <cell r="X13">
            <v>18.665077</v>
          </cell>
          <cell r="Y13">
            <v>0</v>
          </cell>
          <cell r="Z13">
            <v>404</v>
          </cell>
          <cell r="AA13">
            <v>24.249700000000001</v>
          </cell>
          <cell r="AB13">
            <v>-124</v>
          </cell>
          <cell r="AC13">
            <v>10.504023999999999</v>
          </cell>
          <cell r="AD13">
            <v>0</v>
          </cell>
          <cell r="AE13">
            <v>105</v>
          </cell>
          <cell r="AF13">
            <v>0</v>
          </cell>
          <cell r="AG13">
            <v>99</v>
          </cell>
          <cell r="AH13">
            <v>2734</v>
          </cell>
          <cell r="AI13">
            <v>21.724274999999999</v>
          </cell>
          <cell r="AJ13">
            <v>0</v>
          </cell>
          <cell r="AK13">
            <v>-1053</v>
          </cell>
          <cell r="AL13">
            <v>38.514995999999996</v>
          </cell>
          <cell r="AM13">
            <v>0</v>
          </cell>
          <cell r="AN13">
            <v>38.514995999999996</v>
          </cell>
          <cell r="AO13">
            <v>1681</v>
          </cell>
          <cell r="AP13">
            <v>13.357170999999999</v>
          </cell>
          <cell r="AQ13">
            <v>0</v>
          </cell>
          <cell r="AR13">
            <v>0</v>
          </cell>
          <cell r="AS13">
            <v>0</v>
          </cell>
          <cell r="AT13">
            <v>1681</v>
          </cell>
          <cell r="AU13">
            <v>0</v>
          </cell>
          <cell r="AV13">
            <v>0</v>
          </cell>
          <cell r="AW13">
            <v>0</v>
          </cell>
          <cell r="AX13">
            <v>0</v>
          </cell>
          <cell r="AY13">
            <v>1681</v>
          </cell>
          <cell r="AZ13">
            <v>3224</v>
          </cell>
          <cell r="BA13">
            <v>2349</v>
          </cell>
          <cell r="BB13">
            <v>21.231449000000001</v>
          </cell>
          <cell r="BC13">
            <v>21.905128999999999</v>
          </cell>
          <cell r="BD13">
            <v>30.259397669817545</v>
          </cell>
          <cell r="BE13">
            <v>20.904156</v>
          </cell>
          <cell r="BF13">
            <v>0</v>
          </cell>
          <cell r="BG13">
            <v>0</v>
          </cell>
          <cell r="BH13">
            <v>0</v>
          </cell>
          <cell r="BI13">
            <v>0</v>
          </cell>
          <cell r="BJ13">
            <v>0</v>
          </cell>
          <cell r="BK13">
            <v>55933.333333000002</v>
          </cell>
          <cell r="BL13">
            <v>0</v>
          </cell>
          <cell r="BM13">
            <v>0</v>
          </cell>
          <cell r="BN13">
            <v>60</v>
          </cell>
          <cell r="BO13">
            <v>4.5186349999999997</v>
          </cell>
          <cell r="BP13">
            <v>4.5186349999999997</v>
          </cell>
          <cell r="BQ13">
            <v>26.556692000000002</v>
          </cell>
          <cell r="BR13">
            <v>0</v>
          </cell>
          <cell r="BS13">
            <v>13785</v>
          </cell>
          <cell r="BT13">
            <v>0</v>
          </cell>
          <cell r="BU13">
            <v>912.94885699999998</v>
          </cell>
          <cell r="BV13">
            <v>170.402612</v>
          </cell>
          <cell r="BW13">
            <v>0</v>
          </cell>
          <cell r="BX13">
            <v>0</v>
          </cell>
          <cell r="BY13">
            <v>0</v>
          </cell>
          <cell r="BZ13">
            <v>0</v>
          </cell>
          <cell r="CA13">
            <v>196</v>
          </cell>
          <cell r="CB13">
            <v>2752</v>
          </cell>
          <cell r="CC13">
            <v>-3651</v>
          </cell>
          <cell r="CD13">
            <v>0</v>
          </cell>
          <cell r="CE13">
            <v>-3651</v>
          </cell>
          <cell r="CF13">
            <v>3224</v>
          </cell>
          <cell r="CG13">
            <v>2325</v>
          </cell>
          <cell r="CH13">
            <v>-1950</v>
          </cell>
          <cell r="CI13">
            <v>0</v>
          </cell>
          <cell r="CJ13">
            <v>155</v>
          </cell>
          <cell r="CK13">
            <v>-25</v>
          </cell>
          <cell r="CL13">
            <v>0</v>
          </cell>
          <cell r="CM13">
            <v>505</v>
          </cell>
          <cell r="CN13">
            <v>655</v>
          </cell>
          <cell r="CO13">
            <v>-212</v>
          </cell>
          <cell r="CP13">
            <v>0</v>
          </cell>
          <cell r="CQ13">
            <v>0</v>
          </cell>
          <cell r="CR13">
            <v>0</v>
          </cell>
          <cell r="CS13">
            <v>505</v>
          </cell>
          <cell r="CT13">
            <v>0</v>
          </cell>
          <cell r="CU13">
            <v>43</v>
          </cell>
          <cell r="CV13">
            <v>991</v>
          </cell>
          <cell r="CW13">
            <v>2752</v>
          </cell>
          <cell r="CX13">
            <v>7.397551</v>
          </cell>
          <cell r="CY13">
            <v>6.2497480000000003</v>
          </cell>
          <cell r="CZ13">
            <v>1.357472</v>
          </cell>
          <cell r="DA13">
            <v>0</v>
          </cell>
          <cell r="DB13">
            <v>0</v>
          </cell>
          <cell r="DC13">
            <v>0</v>
          </cell>
          <cell r="DD13">
            <v>119.230769</v>
          </cell>
          <cell r="DE13">
            <v>15.494636</v>
          </cell>
          <cell r="DF13">
            <v>228.87323900000001</v>
          </cell>
          <cell r="DG13">
            <v>0</v>
          </cell>
          <cell r="DH13">
            <v>1875</v>
          </cell>
          <cell r="DI13">
            <v>2928</v>
          </cell>
          <cell r="DJ13">
            <v>3936</v>
          </cell>
          <cell r="DK13">
            <v>3155</v>
          </cell>
          <cell r="DL13">
            <v>0</v>
          </cell>
          <cell r="DM13">
            <v>10019</v>
          </cell>
          <cell r="DN13">
            <v>0</v>
          </cell>
          <cell r="DO13">
            <v>38</v>
          </cell>
          <cell r="DP13">
            <v>277</v>
          </cell>
          <cell r="DQ13">
            <v>8967</v>
          </cell>
          <cell r="DR13">
            <v>3173</v>
          </cell>
          <cell r="DS13">
            <v>12455</v>
          </cell>
          <cell r="DT13">
            <v>22474</v>
          </cell>
          <cell r="DU13">
            <v>448</v>
          </cell>
          <cell r="DV13">
            <v>2564</v>
          </cell>
          <cell r="DW13">
            <v>1301</v>
          </cell>
          <cell r="DX13">
            <v>428</v>
          </cell>
          <cell r="DY13">
            <v>4741</v>
          </cell>
          <cell r="DZ13">
            <v>900</v>
          </cell>
          <cell r="EA13">
            <v>0</v>
          </cell>
          <cell r="EB13">
            <v>0</v>
          </cell>
          <cell r="EC13">
            <v>160</v>
          </cell>
          <cell r="ED13">
            <v>219</v>
          </cell>
          <cell r="EE13">
            <v>619</v>
          </cell>
          <cell r="EF13">
            <v>1898</v>
          </cell>
          <cell r="EG13">
            <v>0</v>
          </cell>
          <cell r="EH13">
            <v>750</v>
          </cell>
          <cell r="EI13">
            <v>2539</v>
          </cell>
          <cell r="EJ13">
            <v>12546</v>
          </cell>
          <cell r="EK13">
            <v>15835</v>
          </cell>
          <cell r="EL13">
            <v>22474</v>
          </cell>
          <cell r="EM13">
            <v>0</v>
          </cell>
          <cell r="EN13">
            <v>0</v>
          </cell>
          <cell r="EO13">
            <v>0</v>
          </cell>
          <cell r="EP13">
            <v>55.998041999999998</v>
          </cell>
          <cell r="EQ13">
            <v>114.154946</v>
          </cell>
          <cell r="ER13">
            <v>91.503774000000007</v>
          </cell>
          <cell r="ES13">
            <v>12.993245999999999</v>
          </cell>
          <cell r="ET13">
            <v>74.363130999999996</v>
          </cell>
          <cell r="EU13">
            <v>29.010726999999999</v>
          </cell>
          <cell r="EV13">
            <v>0</v>
          </cell>
          <cell r="EW13">
            <v>-567</v>
          </cell>
          <cell r="EX13">
            <v>-3.580676</v>
          </cell>
          <cell r="EY13">
            <v>14.910009000000001</v>
          </cell>
          <cell r="EZ13">
            <v>70.459197000000003</v>
          </cell>
          <cell r="FA13">
            <v>22.201612999999998</v>
          </cell>
          <cell r="FB13">
            <v>1.4477960000000001</v>
          </cell>
          <cell r="FC13">
            <v>2.113267</v>
          </cell>
          <cell r="FD13">
            <v>42.565488000000002</v>
          </cell>
          <cell r="FE13">
            <v>42.565488000000002</v>
          </cell>
          <cell r="FF13">
            <v>-1.524132</v>
          </cell>
          <cell r="FG13">
            <v>0</v>
          </cell>
          <cell r="FH13">
            <v>0</v>
          </cell>
          <cell r="FI13">
            <v>0</v>
          </cell>
          <cell r="FJ13">
            <v>0</v>
          </cell>
          <cell r="FK13">
            <v>0</v>
          </cell>
          <cell r="FL13">
            <v>12585</v>
          </cell>
          <cell r="FM13">
            <v>0</v>
          </cell>
          <cell r="FN13">
            <v>0</v>
          </cell>
          <cell r="FO13">
            <v>0</v>
          </cell>
          <cell r="FP13">
            <v>0</v>
          </cell>
          <cell r="FQ13">
            <v>0</v>
          </cell>
          <cell r="FR13">
            <v>0</v>
          </cell>
          <cell r="FS13">
            <v>0</v>
          </cell>
          <cell r="FT13">
            <v>0</v>
          </cell>
          <cell r="FU13">
            <v>0</v>
          </cell>
          <cell r="FV13">
            <v>0</v>
          </cell>
          <cell r="FW13">
            <v>0</v>
          </cell>
          <cell r="FX13">
            <v>3651</v>
          </cell>
          <cell r="FY13">
            <v>12455</v>
          </cell>
          <cell r="FZ13">
            <v>-838</v>
          </cell>
          <cell r="GA13">
            <v>15268</v>
          </cell>
          <cell r="GB13">
            <v>18196</v>
          </cell>
          <cell r="GC13">
            <v>74.403000000000006</v>
          </cell>
          <cell r="GD13">
            <v>74.403000000000006</v>
          </cell>
          <cell r="GE13">
            <v>0</v>
          </cell>
          <cell r="GF13">
            <v>0</v>
          </cell>
          <cell r="GG13">
            <v>74.403000000000006</v>
          </cell>
          <cell r="GH13">
            <v>74.403000000000006</v>
          </cell>
          <cell r="GI13">
            <v>372.01499999999999</v>
          </cell>
          <cell r="GJ13">
            <v>372.01499999999999</v>
          </cell>
          <cell r="GK13">
            <v>6</v>
          </cell>
          <cell r="GL13">
            <v>1.2</v>
          </cell>
          <cell r="GM13">
            <v>6</v>
          </cell>
          <cell r="GN13">
            <v>1.2</v>
          </cell>
          <cell r="GO13">
            <v>74.403000000000006</v>
          </cell>
          <cell r="GP13">
            <v>74.403000000000006</v>
          </cell>
          <cell r="GQ13">
            <v>372.01499999999999</v>
          </cell>
          <cell r="GR13">
            <v>372.01499999999999</v>
          </cell>
          <cell r="GS13">
            <v>344.5</v>
          </cell>
          <cell r="GT13">
            <v>184.24</v>
          </cell>
          <cell r="GU13">
            <v>184.24</v>
          </cell>
          <cell r="GV13">
            <v>99.64</v>
          </cell>
          <cell r="GW13">
            <v>132.6473789558232</v>
          </cell>
          <cell r="GX13">
            <v>128159.1675</v>
          </cell>
          <cell r="GY13">
            <v>68540.04359999999</v>
          </cell>
          <cell r="GZ13">
            <v>68540.04359999999</v>
          </cell>
          <cell r="HA13">
            <v>37067.5746</v>
          </cell>
          <cell r="HB13">
            <v>49346.814682250566</v>
          </cell>
          <cell r="HC13">
            <v>76.239837915653737</v>
          </cell>
          <cell r="HD13">
            <v>40.773375145370224</v>
          </cell>
          <cell r="HE13">
            <v>8.0934112631341151</v>
          </cell>
          <cell r="HF13">
            <v>4.3283892340198227</v>
          </cell>
          <cell r="HG13">
            <v>8.0934112631341151</v>
          </cell>
          <cell r="HH13">
            <v>4.3283892340198227</v>
          </cell>
          <cell r="HI13">
            <v>46.569466030041561</v>
          </cell>
          <cell r="HJ13">
            <v>24.90553968468754</v>
          </cell>
          <cell r="HK13">
            <v>0.34833091436865021</v>
          </cell>
          <cell r="HL13">
            <v>0.6513243595310465</v>
          </cell>
          <cell r="HM13">
            <v>54.317653256704979</v>
          </cell>
          <cell r="HN13">
            <v>28.937013026819919</v>
          </cell>
          <cell r="HO13">
            <v>39.575734336228287</v>
          </cell>
          <cell r="HP13">
            <v>21.083450248138956</v>
          </cell>
          <cell r="HQ13">
            <v>10.138432061978545</v>
          </cell>
          <cell r="HR13">
            <v>5.4011158998808098</v>
          </cell>
          <cell r="HS13">
            <v>253.78052970297028</v>
          </cell>
          <cell r="HT13">
            <v>135.72285861386138</v>
          </cell>
          <cell r="HU13">
            <v>2.0206508542678967</v>
          </cell>
          <cell r="HV13">
            <v>1</v>
          </cell>
          <cell r="HW13">
            <v>0</v>
          </cell>
          <cell r="HX13">
            <v>0</v>
          </cell>
          <cell r="HY13">
            <v>0</v>
          </cell>
          <cell r="HZ13">
            <v>0</v>
          </cell>
          <cell r="IA13">
            <v>0</v>
          </cell>
          <cell r="IB13">
            <v>0</v>
          </cell>
          <cell r="IC13">
            <v>0</v>
          </cell>
          <cell r="ID13">
            <v>0</v>
          </cell>
          <cell r="IE13">
            <v>0</v>
          </cell>
          <cell r="IF13">
            <v>0</v>
          </cell>
          <cell r="IG13">
            <v>0</v>
          </cell>
          <cell r="IH13">
            <v>0</v>
          </cell>
          <cell r="II13">
            <v>0</v>
          </cell>
          <cell r="IJ13">
            <v>0</v>
          </cell>
          <cell r="IK13">
            <v>277</v>
          </cell>
          <cell r="IL13">
            <v>23</v>
          </cell>
          <cell r="IM13">
            <v>300</v>
          </cell>
          <cell r="IN13">
            <v>0</v>
          </cell>
          <cell r="IO13">
            <v>0</v>
          </cell>
          <cell r="IP13">
            <v>0</v>
          </cell>
          <cell r="IQ13">
            <v>4.5804604653038181</v>
          </cell>
        </row>
        <row r="14">
          <cell r="A14">
            <v>49</v>
          </cell>
          <cell r="B14">
            <v>1998</v>
          </cell>
          <cell r="C14" t="str">
            <v>1998</v>
          </cell>
          <cell r="D14">
            <v>38652.953472222223</v>
          </cell>
          <cell r="E14" t="str">
            <v>db_simonseh</v>
          </cell>
          <cell r="F14" t="str">
            <v>H</v>
          </cell>
          <cell r="G14">
            <v>13647</v>
          </cell>
          <cell r="H14">
            <v>0</v>
          </cell>
          <cell r="I14">
            <v>13647</v>
          </cell>
          <cell r="J14">
            <v>0</v>
          </cell>
          <cell r="K14">
            <v>0</v>
          </cell>
          <cell r="L14">
            <v>0</v>
          </cell>
          <cell r="M14">
            <v>663</v>
          </cell>
          <cell r="N14">
            <v>0</v>
          </cell>
          <cell r="O14">
            <v>-10506</v>
          </cell>
          <cell r="P14">
            <v>-3751</v>
          </cell>
          <cell r="Q14">
            <v>-2795</v>
          </cell>
          <cell r="R14">
            <v>-5609</v>
          </cell>
          <cell r="S14">
            <v>3141</v>
          </cell>
          <cell r="T14">
            <v>23.016047</v>
          </cell>
          <cell r="U14">
            <v>-974</v>
          </cell>
          <cell r="V14">
            <v>-12</v>
          </cell>
          <cell r="W14">
            <v>2155</v>
          </cell>
          <cell r="X14">
            <v>15.791016000000001</v>
          </cell>
          <cell r="Y14">
            <v>-26</v>
          </cell>
          <cell r="Z14">
            <v>287</v>
          </cell>
          <cell r="AA14">
            <v>12.236197000000001</v>
          </cell>
          <cell r="AB14">
            <v>-94</v>
          </cell>
          <cell r="AC14">
            <v>4.3357929999999998</v>
          </cell>
          <cell r="AD14">
            <v>86</v>
          </cell>
          <cell r="AE14">
            <v>-10</v>
          </cell>
          <cell r="AF14">
            <v>0</v>
          </cell>
          <cell r="AG14">
            <v>99</v>
          </cell>
          <cell r="AH14">
            <v>2398</v>
          </cell>
          <cell r="AI14">
            <v>17.571626999999999</v>
          </cell>
          <cell r="AJ14">
            <v>0</v>
          </cell>
          <cell r="AK14">
            <v>-1160</v>
          </cell>
          <cell r="AL14">
            <v>48.373645000000003</v>
          </cell>
          <cell r="AM14">
            <v>0</v>
          </cell>
          <cell r="AN14">
            <v>48.373645000000003</v>
          </cell>
          <cell r="AO14">
            <v>1238</v>
          </cell>
          <cell r="AP14">
            <v>9.0715909999999997</v>
          </cell>
          <cell r="AQ14">
            <v>0</v>
          </cell>
          <cell r="AR14">
            <v>0</v>
          </cell>
          <cell r="AS14">
            <v>0</v>
          </cell>
          <cell r="AT14">
            <v>1238</v>
          </cell>
          <cell r="AU14">
            <v>0</v>
          </cell>
          <cell r="AV14">
            <v>0</v>
          </cell>
          <cell r="AW14">
            <v>0</v>
          </cell>
          <cell r="AX14">
            <v>0</v>
          </cell>
          <cell r="AY14">
            <v>1238</v>
          </cell>
          <cell r="AZ14">
            <v>3115</v>
          </cell>
          <cell r="BA14">
            <v>2129</v>
          </cell>
          <cell r="BB14">
            <v>7.9557869999999999</v>
          </cell>
          <cell r="BC14">
            <v>8.1382860000000008</v>
          </cell>
          <cell r="BD14">
            <v>13.627390151728806</v>
          </cell>
          <cell r="BE14">
            <v>9.5402400000000007</v>
          </cell>
          <cell r="BF14">
            <v>8.4386170000000007</v>
          </cell>
          <cell r="BG14">
            <v>12.270417999999999</v>
          </cell>
          <cell r="BH14">
            <v>-2.5744419999999999</v>
          </cell>
          <cell r="BI14">
            <v>-8.2588340000000002</v>
          </cell>
          <cell r="BJ14">
            <v>-12.289685</v>
          </cell>
          <cell r="BK14">
            <v>-26.353361</v>
          </cell>
          <cell r="BL14">
            <v>-26.154861</v>
          </cell>
          <cell r="BM14">
            <v>-26.154861</v>
          </cell>
          <cell r="BN14">
            <v>16.666667</v>
          </cell>
          <cell r="BO14">
            <v>3.336792</v>
          </cell>
          <cell r="BP14">
            <v>3.336792</v>
          </cell>
          <cell r="BQ14">
            <v>41.956462000000002</v>
          </cell>
          <cell r="BR14">
            <v>0</v>
          </cell>
          <cell r="BS14">
            <v>14857</v>
          </cell>
          <cell r="BT14">
            <v>0</v>
          </cell>
          <cell r="BU14">
            <v>918.55690900000002</v>
          </cell>
          <cell r="BV14">
            <v>145.04947200000001</v>
          </cell>
          <cell r="BW14">
            <v>0</v>
          </cell>
          <cell r="BX14">
            <v>0</v>
          </cell>
          <cell r="BY14">
            <v>0</v>
          </cell>
          <cell r="BZ14">
            <v>0</v>
          </cell>
          <cell r="CA14">
            <v>-149</v>
          </cell>
          <cell r="CB14">
            <v>2101</v>
          </cell>
          <cell r="CC14">
            <v>-573</v>
          </cell>
          <cell r="CD14">
            <v>0</v>
          </cell>
          <cell r="CE14">
            <v>-573</v>
          </cell>
          <cell r="CF14">
            <v>139</v>
          </cell>
          <cell r="CG14">
            <v>1667</v>
          </cell>
          <cell r="CH14">
            <v>-1767</v>
          </cell>
          <cell r="CI14">
            <v>0</v>
          </cell>
          <cell r="CJ14">
            <v>119</v>
          </cell>
          <cell r="CK14">
            <v>-91</v>
          </cell>
          <cell r="CL14">
            <v>0</v>
          </cell>
          <cell r="CM14">
            <v>-72</v>
          </cell>
          <cell r="CN14">
            <v>124</v>
          </cell>
          <cell r="CO14">
            <v>517</v>
          </cell>
          <cell r="CP14">
            <v>-428</v>
          </cell>
          <cell r="CQ14">
            <v>-1970</v>
          </cell>
          <cell r="CR14">
            <v>0</v>
          </cell>
          <cell r="CS14">
            <v>-2470</v>
          </cell>
          <cell r="CT14">
            <v>0</v>
          </cell>
          <cell r="CU14">
            <v>45</v>
          </cell>
          <cell r="CV14">
            <v>-1784</v>
          </cell>
          <cell r="CW14">
            <v>2101</v>
          </cell>
          <cell r="CX14">
            <v>5.6628439999999998</v>
          </cell>
          <cell r="CY14">
            <v>4.49308</v>
          </cell>
          <cell r="CZ14">
            <v>-0.19406200000000001</v>
          </cell>
          <cell r="DA14">
            <v>-23.449750999999999</v>
          </cell>
          <cell r="DB14">
            <v>-28.107824999999998</v>
          </cell>
          <cell r="DC14">
            <v>-114.29585400000001</v>
          </cell>
          <cell r="DD14">
            <v>94.340689999999995</v>
          </cell>
          <cell r="DE14">
            <v>12.947901</v>
          </cell>
          <cell r="DF14">
            <v>181.41683800000001</v>
          </cell>
          <cell r="DG14">
            <v>75.738301000000007</v>
          </cell>
          <cell r="DH14">
            <v>1773.4042549999999</v>
          </cell>
          <cell r="DI14">
            <v>1476</v>
          </cell>
          <cell r="DJ14">
            <v>4895</v>
          </cell>
          <cell r="DK14">
            <v>3253</v>
          </cell>
          <cell r="DL14">
            <v>0</v>
          </cell>
          <cell r="DM14">
            <v>9624</v>
          </cell>
          <cell r="DN14">
            <v>0</v>
          </cell>
          <cell r="DO14">
            <v>86</v>
          </cell>
          <cell r="DP14">
            <v>126</v>
          </cell>
          <cell r="DQ14">
            <v>9744</v>
          </cell>
          <cell r="DR14">
            <v>2578</v>
          </cell>
          <cell r="DS14">
            <v>12534</v>
          </cell>
          <cell r="DT14">
            <v>22158</v>
          </cell>
          <cell r="DU14">
            <v>637</v>
          </cell>
          <cell r="DV14">
            <v>2725</v>
          </cell>
          <cell r="DW14">
            <v>829</v>
          </cell>
          <cell r="DX14">
            <v>562</v>
          </cell>
          <cell r="DY14">
            <v>4753</v>
          </cell>
          <cell r="DZ14">
            <v>997</v>
          </cell>
          <cell r="EA14">
            <v>0</v>
          </cell>
          <cell r="EB14">
            <v>0</v>
          </cell>
          <cell r="EC14">
            <v>149</v>
          </cell>
          <cell r="ED14">
            <v>204</v>
          </cell>
          <cell r="EE14">
            <v>768</v>
          </cell>
          <cell r="EF14">
            <v>2118</v>
          </cell>
          <cell r="EG14">
            <v>0</v>
          </cell>
          <cell r="EH14">
            <v>754</v>
          </cell>
          <cell r="EI14">
            <v>2565</v>
          </cell>
          <cell r="EJ14">
            <v>11968</v>
          </cell>
          <cell r="EK14">
            <v>15287</v>
          </cell>
          <cell r="EL14">
            <v>22158</v>
          </cell>
          <cell r="EM14">
            <v>0</v>
          </cell>
          <cell r="EN14">
            <v>0</v>
          </cell>
          <cell r="EO14">
            <v>0</v>
          </cell>
          <cell r="EP14">
            <v>61.589494000000002</v>
          </cell>
          <cell r="EQ14">
            <v>130.920715</v>
          </cell>
          <cell r="ER14">
            <v>87.004103000000001</v>
          </cell>
          <cell r="ES14">
            <v>17.037078000000001</v>
          </cell>
          <cell r="ET14">
            <v>72.882317999999998</v>
          </cell>
          <cell r="EU14">
            <v>30.951858000000001</v>
          </cell>
          <cell r="EV14">
            <v>0</v>
          </cell>
          <cell r="EW14">
            <v>499</v>
          </cell>
          <cell r="EX14">
            <v>3.264211</v>
          </cell>
          <cell r="EY14">
            <v>12.919473999999999</v>
          </cell>
          <cell r="EZ14">
            <v>68.990883999999994</v>
          </cell>
          <cell r="FA14">
            <v>25.978722999999999</v>
          </cell>
          <cell r="FB14">
            <v>1.340417</v>
          </cell>
          <cell r="FC14">
            <v>2.024826</v>
          </cell>
          <cell r="FD14">
            <v>41.203186000000002</v>
          </cell>
          <cell r="FE14">
            <v>41.203186000000002</v>
          </cell>
          <cell r="FF14">
            <v>1.344959</v>
          </cell>
          <cell r="FG14">
            <v>0</v>
          </cell>
          <cell r="FH14">
            <v>0</v>
          </cell>
          <cell r="FI14">
            <v>0</v>
          </cell>
          <cell r="FJ14">
            <v>0</v>
          </cell>
          <cell r="FK14">
            <v>0</v>
          </cell>
          <cell r="FL14">
            <v>13647</v>
          </cell>
          <cell r="FM14">
            <v>0</v>
          </cell>
          <cell r="FN14">
            <v>0</v>
          </cell>
          <cell r="FO14">
            <v>0</v>
          </cell>
          <cell r="FP14">
            <v>0</v>
          </cell>
          <cell r="FQ14">
            <v>0</v>
          </cell>
          <cell r="FR14">
            <v>0</v>
          </cell>
          <cell r="FS14">
            <v>0</v>
          </cell>
          <cell r="FT14">
            <v>0</v>
          </cell>
          <cell r="FU14">
            <v>0</v>
          </cell>
          <cell r="FV14">
            <v>0</v>
          </cell>
          <cell r="FW14">
            <v>0</v>
          </cell>
          <cell r="FX14">
            <v>4224</v>
          </cell>
          <cell r="FY14">
            <v>12534</v>
          </cell>
          <cell r="FZ14">
            <v>-972</v>
          </cell>
          <cell r="GA14">
            <v>15786</v>
          </cell>
          <cell r="GB14">
            <v>17262</v>
          </cell>
          <cell r="GC14">
            <v>74.203000000000003</v>
          </cell>
          <cell r="GD14">
            <v>74.203000000000003</v>
          </cell>
          <cell r="GE14">
            <v>0</v>
          </cell>
          <cell r="GF14">
            <v>0</v>
          </cell>
          <cell r="GG14">
            <v>74.203000000000003</v>
          </cell>
          <cell r="GH14">
            <v>74.203000000000003</v>
          </cell>
          <cell r="GI14">
            <v>371.01499999999999</v>
          </cell>
          <cell r="GJ14">
            <v>371.01499999999999</v>
          </cell>
          <cell r="GK14">
            <v>7</v>
          </cell>
          <cell r="GL14">
            <v>1.4</v>
          </cell>
          <cell r="GM14">
            <v>7</v>
          </cell>
          <cell r="GN14">
            <v>1.4</v>
          </cell>
          <cell r="GO14">
            <v>74.203000000000003</v>
          </cell>
          <cell r="GP14">
            <v>74.203000000000003</v>
          </cell>
          <cell r="GQ14">
            <v>371.01499999999999</v>
          </cell>
          <cell r="GR14">
            <v>371.01499999999999</v>
          </cell>
          <cell r="GS14">
            <v>344.5</v>
          </cell>
          <cell r="GT14">
            <v>157.91999999999999</v>
          </cell>
          <cell r="GU14">
            <v>225.6</v>
          </cell>
          <cell r="GV14">
            <v>127.84</v>
          </cell>
          <cell r="GW14">
            <v>176.96325532258049</v>
          </cell>
          <cell r="GX14">
            <v>127814.6675</v>
          </cell>
          <cell r="GY14">
            <v>58590.688799999996</v>
          </cell>
          <cell r="GZ14">
            <v>83700.983999999997</v>
          </cell>
          <cell r="HA14">
            <v>47430.557599999993</v>
          </cell>
          <cell r="HB14">
            <v>65656.022173507197</v>
          </cell>
          <cell r="HC14">
            <v>103.24287519270005</v>
          </cell>
          <cell r="HD14">
            <v>47.326893615184879</v>
          </cell>
          <cell r="HE14">
            <v>8.3610039281913782</v>
          </cell>
          <cell r="HF14">
            <v>3.8327133246443608</v>
          </cell>
          <cell r="HG14">
            <v>8.3610039281913782</v>
          </cell>
          <cell r="HH14">
            <v>3.8327133246443608</v>
          </cell>
          <cell r="HI14">
            <v>60.835156327809848</v>
          </cell>
          <cell r="HJ14">
            <v>27.887047568324324</v>
          </cell>
          <cell r="HK14">
            <v>0.40638606676342526</v>
          </cell>
          <cell r="HL14">
            <v>0.88652482269503552</v>
          </cell>
          <cell r="HM14">
            <v>60.269453968999528</v>
          </cell>
          <cell r="HN14">
            <v>27.754668294974163</v>
          </cell>
          <cell r="HO14">
            <v>41.192188603531299</v>
          </cell>
          <cell r="HP14">
            <v>18.969402504012841</v>
          </cell>
          <cell r="HQ14">
            <v>9.4023351285996917</v>
          </cell>
          <cell r="HR14">
            <v>4.3298665494247821</v>
          </cell>
          <cell r="HS14">
            <v>-1775.2037152777777</v>
          </cell>
          <cell r="HT14">
            <v>-813.75956666666661</v>
          </cell>
          <cell r="HU14">
            <v>2.5614558657675213</v>
          </cell>
          <cell r="HV14">
            <v>1</v>
          </cell>
          <cell r="HW14">
            <v>0</v>
          </cell>
          <cell r="HX14">
            <v>0</v>
          </cell>
          <cell r="HY14">
            <v>0</v>
          </cell>
          <cell r="HZ14">
            <v>0</v>
          </cell>
          <cell r="IA14">
            <v>0</v>
          </cell>
          <cell r="IB14">
            <v>0</v>
          </cell>
          <cell r="IC14">
            <v>0</v>
          </cell>
          <cell r="ID14">
            <v>0</v>
          </cell>
          <cell r="IE14">
            <v>0</v>
          </cell>
          <cell r="IF14">
            <v>0</v>
          </cell>
          <cell r="IG14">
            <v>0</v>
          </cell>
          <cell r="IH14">
            <v>0</v>
          </cell>
          <cell r="II14">
            <v>0</v>
          </cell>
          <cell r="IJ14">
            <v>0</v>
          </cell>
          <cell r="IK14">
            <v>126</v>
          </cell>
          <cell r="IL14">
            <v>35</v>
          </cell>
          <cell r="IM14">
            <v>161</v>
          </cell>
          <cell r="IN14">
            <v>0</v>
          </cell>
          <cell r="IO14">
            <v>0</v>
          </cell>
          <cell r="IP14">
            <v>0</v>
          </cell>
          <cell r="IQ14">
            <v>3.3691360187593493</v>
          </cell>
        </row>
        <row r="15">
          <cell r="A15">
            <v>49</v>
          </cell>
          <cell r="B15">
            <v>1999</v>
          </cell>
          <cell r="C15" t="str">
            <v>1999</v>
          </cell>
          <cell r="D15">
            <v>38652.953472222223</v>
          </cell>
          <cell r="E15" t="str">
            <v>db_simonseh</v>
          </cell>
          <cell r="F15" t="str">
            <v>H</v>
          </cell>
          <cell r="G15">
            <v>16423</v>
          </cell>
          <cell r="H15">
            <v>0</v>
          </cell>
          <cell r="I15">
            <v>16423</v>
          </cell>
          <cell r="J15">
            <v>0</v>
          </cell>
          <cell r="K15">
            <v>0</v>
          </cell>
          <cell r="L15">
            <v>0</v>
          </cell>
          <cell r="M15">
            <v>726</v>
          </cell>
          <cell r="N15">
            <v>-350</v>
          </cell>
          <cell r="O15">
            <v>-12189</v>
          </cell>
          <cell r="P15">
            <v>-4227</v>
          </cell>
          <cell r="Q15">
            <v>-2748</v>
          </cell>
          <cell r="R15">
            <v>-6533</v>
          </cell>
          <cell r="S15">
            <v>4234</v>
          </cell>
          <cell r="T15">
            <v>25.780916999999999</v>
          </cell>
          <cell r="U15">
            <v>-939</v>
          </cell>
          <cell r="V15">
            <v>-4</v>
          </cell>
          <cell r="W15">
            <v>3291</v>
          </cell>
          <cell r="X15">
            <v>20.038969999999999</v>
          </cell>
          <cell r="Y15">
            <v>2</v>
          </cell>
          <cell r="Z15">
            <v>197</v>
          </cell>
          <cell r="AA15">
            <v>7.7028350000000003</v>
          </cell>
          <cell r="AB15">
            <v>-80</v>
          </cell>
          <cell r="AC15">
            <v>3.844306</v>
          </cell>
          <cell r="AD15">
            <v>-300</v>
          </cell>
          <cell r="AE15">
            <v>3</v>
          </cell>
          <cell r="AF15">
            <v>0</v>
          </cell>
          <cell r="AG15">
            <v>99</v>
          </cell>
          <cell r="AH15">
            <v>3113</v>
          </cell>
          <cell r="AI15">
            <v>18.955124000000001</v>
          </cell>
          <cell r="AJ15">
            <v>0</v>
          </cell>
          <cell r="AK15">
            <v>-1348</v>
          </cell>
          <cell r="AL15">
            <v>43.302281000000001</v>
          </cell>
          <cell r="AM15">
            <v>0</v>
          </cell>
          <cell r="AN15">
            <v>43.302281000000001</v>
          </cell>
          <cell r="AO15">
            <v>1765</v>
          </cell>
          <cell r="AP15">
            <v>10.747123</v>
          </cell>
          <cell r="AQ15">
            <v>0</v>
          </cell>
          <cell r="AR15">
            <v>0</v>
          </cell>
          <cell r="AS15">
            <v>0</v>
          </cell>
          <cell r="AT15">
            <v>1765</v>
          </cell>
          <cell r="AU15">
            <v>0</v>
          </cell>
          <cell r="AV15">
            <v>198.44201699999999</v>
          </cell>
          <cell r="AW15">
            <v>0</v>
          </cell>
          <cell r="AX15">
            <v>0</v>
          </cell>
          <cell r="AY15">
            <v>1963.4420170000001</v>
          </cell>
          <cell r="AZ15">
            <v>4236</v>
          </cell>
          <cell r="BA15">
            <v>3293</v>
          </cell>
          <cell r="BB15">
            <v>11.584405</v>
          </cell>
          <cell r="BC15">
            <v>13.007451</v>
          </cell>
          <cell r="BD15">
            <v>20.153606282843448</v>
          </cell>
          <cell r="BE15">
            <v>14.557912999999999</v>
          </cell>
          <cell r="BF15">
            <v>20.341467000000002</v>
          </cell>
          <cell r="BG15">
            <v>14.270797</v>
          </cell>
          <cell r="BH15">
            <v>34.797834999999999</v>
          </cell>
          <cell r="BI15">
            <v>52.714616999999997</v>
          </cell>
          <cell r="BJ15">
            <v>29.816514000000002</v>
          </cell>
          <cell r="BK15">
            <v>42.568658999999997</v>
          </cell>
          <cell r="BL15">
            <v>47.940657999999999</v>
          </cell>
          <cell r="BM15">
            <v>64.573882999999995</v>
          </cell>
          <cell r="BN15">
            <v>39.285713999999999</v>
          </cell>
          <cell r="BO15">
            <v>4.9364720000000002</v>
          </cell>
          <cell r="BP15">
            <v>5.4914889999999996</v>
          </cell>
          <cell r="BQ15">
            <v>39.501891000000001</v>
          </cell>
          <cell r="BR15">
            <v>0</v>
          </cell>
          <cell r="BS15">
            <v>14350</v>
          </cell>
          <cell r="BT15">
            <v>0</v>
          </cell>
          <cell r="BU15">
            <v>1144.45993</v>
          </cell>
          <cell r="BV15">
            <v>229.33797899999999</v>
          </cell>
          <cell r="BW15">
            <v>0</v>
          </cell>
          <cell r="BX15">
            <v>0</v>
          </cell>
          <cell r="BY15">
            <v>0</v>
          </cell>
          <cell r="BZ15">
            <v>0</v>
          </cell>
          <cell r="CA15">
            <v>-106</v>
          </cell>
          <cell r="CB15">
            <v>2798.4420169999999</v>
          </cell>
          <cell r="CC15">
            <v>-202</v>
          </cell>
          <cell r="CD15">
            <v>0</v>
          </cell>
          <cell r="CE15">
            <v>-202</v>
          </cell>
          <cell r="CF15">
            <v>-12</v>
          </cell>
          <cell r="CG15">
            <v>2584.4420169999999</v>
          </cell>
          <cell r="CH15">
            <v>-1361</v>
          </cell>
          <cell r="CI15">
            <v>-29</v>
          </cell>
          <cell r="CJ15">
            <v>92</v>
          </cell>
          <cell r="CK15">
            <v>0</v>
          </cell>
          <cell r="CL15">
            <v>0</v>
          </cell>
          <cell r="CM15">
            <v>1286.4420170000001</v>
          </cell>
          <cell r="CN15">
            <v>93</v>
          </cell>
          <cell r="CO15">
            <v>2151</v>
          </cell>
          <cell r="CP15">
            <v>-562</v>
          </cell>
          <cell r="CQ15">
            <v>-1448</v>
          </cell>
          <cell r="CR15">
            <v>0</v>
          </cell>
          <cell r="CS15">
            <v>-723.55798300000004</v>
          </cell>
          <cell r="CT15">
            <v>0</v>
          </cell>
          <cell r="CU15">
            <v>24</v>
          </cell>
          <cell r="CV15">
            <v>1544.4420170000001</v>
          </cell>
          <cell r="CW15">
            <v>2798.4420169999999</v>
          </cell>
          <cell r="CX15">
            <v>7.8268740000000001</v>
          </cell>
          <cell r="CY15">
            <v>7.2283439999999999</v>
          </cell>
          <cell r="CZ15">
            <v>3.5980089999999998</v>
          </cell>
          <cell r="DA15">
            <v>38.214542999999999</v>
          </cell>
          <cell r="DB15">
            <v>60.877265000000001</v>
          </cell>
          <cell r="DC15">
            <v>-1954.0489669999999</v>
          </cell>
          <cell r="DD15">
            <v>185.93108000000001</v>
          </cell>
          <cell r="DE15">
            <v>8.4637399999999996</v>
          </cell>
          <cell r="DF15">
            <v>148.029819</v>
          </cell>
          <cell r="DG15">
            <v>141.535707</v>
          </cell>
          <cell r="DH15">
            <v>3230.552522</v>
          </cell>
          <cell r="DI15">
            <v>3442</v>
          </cell>
          <cell r="DJ15">
            <v>5481</v>
          </cell>
          <cell r="DK15">
            <v>3583</v>
          </cell>
          <cell r="DL15">
            <v>0</v>
          </cell>
          <cell r="DM15">
            <v>12506</v>
          </cell>
          <cell r="DN15">
            <v>0</v>
          </cell>
          <cell r="DO15">
            <v>99</v>
          </cell>
          <cell r="DP15">
            <v>95</v>
          </cell>
          <cell r="DQ15">
            <v>10189</v>
          </cell>
          <cell r="DR15">
            <v>193</v>
          </cell>
          <cell r="DS15">
            <v>10576</v>
          </cell>
          <cell r="DT15">
            <v>23082</v>
          </cell>
          <cell r="DU15">
            <v>807</v>
          </cell>
          <cell r="DV15">
            <v>3140</v>
          </cell>
          <cell r="DW15">
            <v>994</v>
          </cell>
          <cell r="DX15">
            <v>691</v>
          </cell>
          <cell r="DY15">
            <v>5632</v>
          </cell>
          <cell r="DZ15">
            <v>1007</v>
          </cell>
          <cell r="EA15">
            <v>0</v>
          </cell>
          <cell r="EB15">
            <v>0</v>
          </cell>
          <cell r="EC15">
            <v>186</v>
          </cell>
          <cell r="ED15">
            <v>270</v>
          </cell>
          <cell r="EE15">
            <v>802</v>
          </cell>
          <cell r="EF15">
            <v>2265</v>
          </cell>
          <cell r="EG15">
            <v>0</v>
          </cell>
          <cell r="EH15">
            <v>754</v>
          </cell>
          <cell r="EI15">
            <v>2565</v>
          </cell>
          <cell r="EJ15">
            <v>11866</v>
          </cell>
          <cell r="EK15">
            <v>15185</v>
          </cell>
          <cell r="EL15">
            <v>23082</v>
          </cell>
          <cell r="EM15">
            <v>0</v>
          </cell>
          <cell r="EN15">
            <v>0</v>
          </cell>
          <cell r="EO15">
            <v>0</v>
          </cell>
          <cell r="EP15">
            <v>71.150679999999994</v>
          </cell>
          <cell r="EQ15">
            <v>121.81483299999999</v>
          </cell>
          <cell r="ER15">
            <v>79.631918999999996</v>
          </cell>
          <cell r="ES15">
            <v>17.935517000000001</v>
          </cell>
          <cell r="ET15">
            <v>69.786275000000003</v>
          </cell>
          <cell r="EU15">
            <v>26.950009000000001</v>
          </cell>
          <cell r="EV15">
            <v>0</v>
          </cell>
          <cell r="EW15">
            <v>-1255</v>
          </cell>
          <cell r="EX15">
            <v>-8.2647349999999999</v>
          </cell>
          <cell r="EY15">
            <v>14.402371</v>
          </cell>
          <cell r="EZ15">
            <v>65.787193000000002</v>
          </cell>
          <cell r="FA15">
            <v>43.6</v>
          </cell>
          <cell r="FB15">
            <v>1.5843389999999999</v>
          </cell>
          <cell r="FC15">
            <v>2.220526</v>
          </cell>
          <cell r="FD15">
            <v>42.819879999999998</v>
          </cell>
          <cell r="FE15">
            <v>42.819879999999998</v>
          </cell>
          <cell r="FF15">
            <v>-3.5389499999999998</v>
          </cell>
          <cell r="FG15">
            <v>0</v>
          </cell>
          <cell r="FH15">
            <v>0</v>
          </cell>
          <cell r="FI15">
            <v>0</v>
          </cell>
          <cell r="FJ15">
            <v>0</v>
          </cell>
          <cell r="FK15">
            <v>0</v>
          </cell>
          <cell r="FL15">
            <v>16423</v>
          </cell>
          <cell r="FM15">
            <v>0</v>
          </cell>
          <cell r="FN15">
            <v>0</v>
          </cell>
          <cell r="FO15">
            <v>0</v>
          </cell>
          <cell r="FP15">
            <v>0</v>
          </cell>
          <cell r="FQ15">
            <v>0</v>
          </cell>
          <cell r="FR15">
            <v>0</v>
          </cell>
          <cell r="FS15">
            <v>0</v>
          </cell>
          <cell r="FT15">
            <v>0</v>
          </cell>
          <cell r="FU15">
            <v>0</v>
          </cell>
          <cell r="FV15">
            <v>0</v>
          </cell>
          <cell r="FW15">
            <v>0</v>
          </cell>
          <cell r="FX15">
            <v>4426</v>
          </cell>
          <cell r="FY15">
            <v>10576</v>
          </cell>
          <cell r="FZ15">
            <v>-1072</v>
          </cell>
          <cell r="GA15">
            <v>13930</v>
          </cell>
          <cell r="GB15">
            <v>17372</v>
          </cell>
          <cell r="GC15">
            <v>70.924999999999997</v>
          </cell>
          <cell r="GD15">
            <v>71.508551999999995</v>
          </cell>
          <cell r="GE15">
            <v>0</v>
          </cell>
          <cell r="GF15">
            <v>0</v>
          </cell>
          <cell r="GG15">
            <v>70.924999999999997</v>
          </cell>
          <cell r="GH15">
            <v>71.508551999999995</v>
          </cell>
          <cell r="GI15">
            <v>354.625</v>
          </cell>
          <cell r="GJ15">
            <v>357.54275999999999</v>
          </cell>
          <cell r="GK15">
            <v>8</v>
          </cell>
          <cell r="GL15">
            <v>1.6</v>
          </cell>
          <cell r="GM15">
            <v>9.75</v>
          </cell>
          <cell r="GN15">
            <v>1.95</v>
          </cell>
          <cell r="GO15">
            <v>70.924999999999997</v>
          </cell>
          <cell r="GP15">
            <v>71.508551999999995</v>
          </cell>
          <cell r="GQ15">
            <v>354.625</v>
          </cell>
          <cell r="GR15">
            <v>357.54275999999999</v>
          </cell>
          <cell r="GS15">
            <v>344.5</v>
          </cell>
          <cell r="GT15">
            <v>184.24</v>
          </cell>
          <cell r="GU15">
            <v>188.94</v>
          </cell>
          <cell r="GV15">
            <v>124.08</v>
          </cell>
          <cell r="GW15">
            <v>152.58198342629478</v>
          </cell>
          <cell r="GX15">
            <v>122168.3125</v>
          </cell>
          <cell r="GY15">
            <v>65336.11</v>
          </cell>
          <cell r="GZ15">
            <v>67002.847500000003</v>
          </cell>
          <cell r="HA15">
            <v>44001.87</v>
          </cell>
          <cell r="HB15">
            <v>54109.385872549785</v>
          </cell>
          <cell r="HC15">
            <v>62.733440784457557</v>
          </cell>
          <cell r="HD15">
            <v>33.550099071490443</v>
          </cell>
          <cell r="HE15">
            <v>8.0453284782675709</v>
          </cell>
          <cell r="HF15">
            <v>4.3026743652714581</v>
          </cell>
          <cell r="HG15">
            <v>8.0453284782675709</v>
          </cell>
          <cell r="HH15">
            <v>4.3026743652714581</v>
          </cell>
          <cell r="HI15">
            <v>44.015018000800829</v>
          </cell>
          <cell r="HJ15">
            <v>23.539410497728721</v>
          </cell>
          <cell r="HK15">
            <v>0.46444121915820036</v>
          </cell>
          <cell r="HL15">
            <v>0.86843247937472867</v>
          </cell>
          <cell r="HM15">
            <v>36.718284998481629</v>
          </cell>
          <cell r="HN15">
            <v>19.459796538111142</v>
          </cell>
          <cell r="HO15">
            <v>28.544219192634561</v>
          </cell>
          <cell r="HP15">
            <v>15.127740793201131</v>
          </cell>
          <cell r="HQ15">
            <v>7.3624375875296844</v>
          </cell>
          <cell r="HR15">
            <v>3.9019125616513421</v>
          </cell>
          <cell r="HS15">
            <v>94.966046573088562</v>
          </cell>
          <cell r="HT15">
            <v>50.788227636069188</v>
          </cell>
          <cell r="HU15">
            <v>1.5741189675621245</v>
          </cell>
          <cell r="HV15">
            <v>1</v>
          </cell>
          <cell r="HW15">
            <v>0</v>
          </cell>
          <cell r="HX15">
            <v>0</v>
          </cell>
          <cell r="HY15">
            <v>0</v>
          </cell>
          <cell r="HZ15">
            <v>0</v>
          </cell>
          <cell r="IA15">
            <v>0</v>
          </cell>
          <cell r="IB15">
            <v>0</v>
          </cell>
          <cell r="IC15">
            <v>0</v>
          </cell>
          <cell r="ID15">
            <v>0</v>
          </cell>
          <cell r="IE15">
            <v>0</v>
          </cell>
          <cell r="IF15">
            <v>0</v>
          </cell>
          <cell r="IG15">
            <v>0</v>
          </cell>
          <cell r="IH15">
            <v>0</v>
          </cell>
          <cell r="II15">
            <v>0</v>
          </cell>
          <cell r="IJ15">
            <v>0</v>
          </cell>
          <cell r="IK15">
            <v>95</v>
          </cell>
          <cell r="IL15">
            <v>39</v>
          </cell>
          <cell r="IM15">
            <v>134</v>
          </cell>
          <cell r="IN15">
            <v>0</v>
          </cell>
          <cell r="IO15">
            <v>0</v>
          </cell>
          <cell r="IP15">
            <v>0</v>
          </cell>
          <cell r="IQ15">
            <v>5.5026761470432239</v>
          </cell>
        </row>
        <row r="16">
          <cell r="A16">
            <v>49</v>
          </cell>
          <cell r="B16">
            <v>2000</v>
          </cell>
          <cell r="C16" t="str">
            <v>2000</v>
          </cell>
          <cell r="D16">
            <v>38652.953472222223</v>
          </cell>
          <cell r="E16" t="str">
            <v>db_simonseh</v>
          </cell>
          <cell r="F16" t="str">
            <v>H</v>
          </cell>
          <cell r="G16">
            <v>20811</v>
          </cell>
          <cell r="H16">
            <v>0</v>
          </cell>
          <cell r="I16">
            <v>20811</v>
          </cell>
          <cell r="J16">
            <v>0</v>
          </cell>
          <cell r="K16">
            <v>0</v>
          </cell>
          <cell r="L16">
            <v>0</v>
          </cell>
          <cell r="M16">
            <v>485</v>
          </cell>
          <cell r="N16">
            <v>0</v>
          </cell>
          <cell r="O16">
            <v>-15015</v>
          </cell>
          <cell r="P16">
            <v>-5044</v>
          </cell>
          <cell r="Q16">
            <v>-3390</v>
          </cell>
          <cell r="R16">
            <v>-8132</v>
          </cell>
          <cell r="S16">
            <v>5796</v>
          </cell>
          <cell r="T16">
            <v>27.850656000000001</v>
          </cell>
          <cell r="U16">
            <v>-1038</v>
          </cell>
          <cell r="V16">
            <v>-28</v>
          </cell>
          <cell r="W16">
            <v>4730</v>
          </cell>
          <cell r="X16">
            <v>22.728365</v>
          </cell>
          <cell r="Y16">
            <v>3</v>
          </cell>
          <cell r="Z16">
            <v>326</v>
          </cell>
          <cell r="AA16">
            <v>8.5642980000000009</v>
          </cell>
          <cell r="AB16">
            <v>-142</v>
          </cell>
          <cell r="AC16">
            <v>7.1753410000000004</v>
          </cell>
          <cell r="AD16">
            <v>-195</v>
          </cell>
          <cell r="AE16">
            <v>32</v>
          </cell>
          <cell r="AF16">
            <v>0</v>
          </cell>
          <cell r="AG16">
            <v>99</v>
          </cell>
          <cell r="AH16">
            <v>4754</v>
          </cell>
          <cell r="AI16">
            <v>22.843688</v>
          </cell>
          <cell r="AJ16">
            <v>0</v>
          </cell>
          <cell r="AK16">
            <v>-1753</v>
          </cell>
          <cell r="AL16">
            <v>36.874211000000003</v>
          </cell>
          <cell r="AM16">
            <v>0</v>
          </cell>
          <cell r="AN16">
            <v>36.874211000000003</v>
          </cell>
          <cell r="AO16">
            <v>3001</v>
          </cell>
          <cell r="AP16">
            <v>14.420259</v>
          </cell>
          <cell r="AQ16">
            <v>0</v>
          </cell>
          <cell r="AR16">
            <v>0</v>
          </cell>
          <cell r="AS16">
            <v>0</v>
          </cell>
          <cell r="AT16">
            <v>3001</v>
          </cell>
          <cell r="AU16">
            <v>0</v>
          </cell>
          <cell r="AV16">
            <v>0</v>
          </cell>
          <cell r="AW16">
            <v>0</v>
          </cell>
          <cell r="AX16">
            <v>0</v>
          </cell>
          <cell r="AY16">
            <v>3001</v>
          </cell>
          <cell r="AZ16">
            <v>5799</v>
          </cell>
          <cell r="BA16">
            <v>4733</v>
          </cell>
          <cell r="BB16">
            <v>18.659454</v>
          </cell>
          <cell r="BC16">
            <v>18.908206</v>
          </cell>
          <cell r="BD16">
            <v>28.009079836120033</v>
          </cell>
          <cell r="BE16">
            <v>19.720012000000001</v>
          </cell>
          <cell r="BF16">
            <v>26.718626</v>
          </cell>
          <cell r="BG16">
            <v>22.456595</v>
          </cell>
          <cell r="BH16">
            <v>36.891827999999997</v>
          </cell>
          <cell r="BI16">
            <v>43.725310999999998</v>
          </cell>
          <cell r="BJ16">
            <v>52.714422999999996</v>
          </cell>
          <cell r="BK16">
            <v>70.028328999999999</v>
          </cell>
          <cell r="BL16">
            <v>73.692565000000002</v>
          </cell>
          <cell r="BM16">
            <v>56.137729</v>
          </cell>
          <cell r="BN16">
            <v>35.897435999999999</v>
          </cell>
          <cell r="BO16">
            <v>8.5742860000000007</v>
          </cell>
          <cell r="BP16">
            <v>8.5742860000000007</v>
          </cell>
          <cell r="BQ16">
            <v>30.906365000000001</v>
          </cell>
          <cell r="BR16">
            <v>0</v>
          </cell>
          <cell r="BS16">
            <v>12698</v>
          </cell>
          <cell r="BT16">
            <v>0</v>
          </cell>
          <cell r="BU16">
            <v>1638.919515</v>
          </cell>
          <cell r="BV16">
            <v>372.49960600000003</v>
          </cell>
          <cell r="BW16">
            <v>0</v>
          </cell>
          <cell r="BX16">
            <v>0</v>
          </cell>
          <cell r="BY16">
            <v>0</v>
          </cell>
          <cell r="BZ16">
            <v>0</v>
          </cell>
          <cell r="CA16">
            <v>227</v>
          </cell>
          <cell r="CB16">
            <v>4291</v>
          </cell>
          <cell r="CC16">
            <v>91</v>
          </cell>
          <cell r="CD16">
            <v>0</v>
          </cell>
          <cell r="CE16">
            <v>91</v>
          </cell>
          <cell r="CF16">
            <v>818</v>
          </cell>
          <cell r="CG16">
            <v>5200</v>
          </cell>
          <cell r="CH16">
            <v>-2366</v>
          </cell>
          <cell r="CI16">
            <v>-63</v>
          </cell>
          <cell r="CJ16">
            <v>310</v>
          </cell>
          <cell r="CK16">
            <v>0</v>
          </cell>
          <cell r="CL16">
            <v>-427</v>
          </cell>
          <cell r="CM16">
            <v>2654</v>
          </cell>
          <cell r="CN16">
            <v>0</v>
          </cell>
          <cell r="CO16">
            <v>4</v>
          </cell>
          <cell r="CP16">
            <v>-691</v>
          </cell>
          <cell r="CQ16">
            <v>-2472</v>
          </cell>
          <cell r="CR16">
            <v>0</v>
          </cell>
          <cell r="CS16">
            <v>-509</v>
          </cell>
          <cell r="CT16">
            <v>0</v>
          </cell>
          <cell r="CU16">
            <v>1025</v>
          </cell>
          <cell r="CV16">
            <v>520</v>
          </cell>
          <cell r="CW16">
            <v>4291</v>
          </cell>
          <cell r="CX16">
            <v>12.26</v>
          </cell>
          <cell r="CY16">
            <v>14.857143000000001</v>
          </cell>
          <cell r="CZ16">
            <v>7.5828569999999997</v>
          </cell>
          <cell r="DA16">
            <v>56.639809</v>
          </cell>
          <cell r="DB16">
            <v>105.54006699999999</v>
          </cell>
          <cell r="DC16">
            <v>110.751486</v>
          </cell>
          <cell r="DD16">
            <v>214.079868</v>
          </cell>
          <cell r="DE16">
            <v>11.671711999999999</v>
          </cell>
          <cell r="DF16">
            <v>234.00770700000001</v>
          </cell>
          <cell r="DG16">
            <v>259.87006500000001</v>
          </cell>
          <cell r="DH16">
            <v>3661.9718309999998</v>
          </cell>
          <cell r="DI16">
            <v>3845</v>
          </cell>
          <cell r="DJ16">
            <v>4629</v>
          </cell>
          <cell r="DK16">
            <v>3972</v>
          </cell>
          <cell r="DL16">
            <v>409</v>
          </cell>
          <cell r="DM16">
            <v>12855</v>
          </cell>
          <cell r="DN16">
            <v>0</v>
          </cell>
          <cell r="DO16">
            <v>90</v>
          </cell>
          <cell r="DP16">
            <v>32</v>
          </cell>
          <cell r="DQ16">
            <v>10899</v>
          </cell>
          <cell r="DR16">
            <v>1044</v>
          </cell>
          <cell r="DS16">
            <v>12065</v>
          </cell>
          <cell r="DT16">
            <v>24920</v>
          </cell>
          <cell r="DU16">
            <v>977</v>
          </cell>
          <cell r="DV16">
            <v>3698</v>
          </cell>
          <cell r="DW16">
            <v>821</v>
          </cell>
          <cell r="DX16">
            <v>0</v>
          </cell>
          <cell r="DY16">
            <v>5496</v>
          </cell>
          <cell r="DZ16">
            <v>950</v>
          </cell>
          <cell r="EA16">
            <v>0</v>
          </cell>
          <cell r="EB16">
            <v>0</v>
          </cell>
          <cell r="EC16">
            <v>0</v>
          </cell>
          <cell r="ED16">
            <v>523</v>
          </cell>
          <cell r="EE16">
            <v>970</v>
          </cell>
          <cell r="EF16">
            <v>2443</v>
          </cell>
          <cell r="EG16">
            <v>0</v>
          </cell>
          <cell r="EH16">
            <v>754</v>
          </cell>
          <cell r="EI16">
            <v>2565</v>
          </cell>
          <cell r="EJ16">
            <v>13662</v>
          </cell>
          <cell r="EK16">
            <v>16981</v>
          </cell>
          <cell r="EL16">
            <v>24920</v>
          </cell>
          <cell r="EM16">
            <v>0</v>
          </cell>
          <cell r="EN16">
            <v>0</v>
          </cell>
          <cell r="EO16">
            <v>0</v>
          </cell>
          <cell r="EP16">
            <v>83.511235999999997</v>
          </cell>
          <cell r="EQ16">
            <v>81.187112999999997</v>
          </cell>
          <cell r="ER16">
            <v>69.664119999999997</v>
          </cell>
          <cell r="ES16">
            <v>17.135408999999999</v>
          </cell>
          <cell r="ET16">
            <v>64.858487999999994</v>
          </cell>
          <cell r="EU16">
            <v>20.83033</v>
          </cell>
          <cell r="EV16">
            <v>0</v>
          </cell>
          <cell r="EW16">
            <v>-2074</v>
          </cell>
          <cell r="EX16">
            <v>-12.213651</v>
          </cell>
          <cell r="EY16">
            <v>10.429303000000001</v>
          </cell>
          <cell r="EZ16">
            <v>68.142054999999999</v>
          </cell>
          <cell r="FA16">
            <v>35.605634000000002</v>
          </cell>
          <cell r="FB16">
            <v>1.616266</v>
          </cell>
          <cell r="FC16">
            <v>2.3389739999999999</v>
          </cell>
          <cell r="FD16">
            <v>48.517142999999997</v>
          </cell>
          <cell r="FE16">
            <v>48.517142999999997</v>
          </cell>
          <cell r="FF16">
            <v>-5.9257140000000001</v>
          </cell>
          <cell r="FG16">
            <v>0</v>
          </cell>
          <cell r="FH16">
            <v>0</v>
          </cell>
          <cell r="FI16">
            <v>0</v>
          </cell>
          <cell r="FJ16">
            <v>0</v>
          </cell>
          <cell r="FK16">
            <v>0</v>
          </cell>
          <cell r="FL16">
            <v>20811</v>
          </cell>
          <cell r="FM16">
            <v>0</v>
          </cell>
          <cell r="FN16">
            <v>0</v>
          </cell>
          <cell r="FO16">
            <v>0</v>
          </cell>
          <cell r="FP16">
            <v>0</v>
          </cell>
          <cell r="FQ16">
            <v>0</v>
          </cell>
          <cell r="FR16">
            <v>0</v>
          </cell>
          <cell r="FS16">
            <v>0</v>
          </cell>
          <cell r="FT16">
            <v>0</v>
          </cell>
          <cell r="FU16">
            <v>0</v>
          </cell>
          <cell r="FV16">
            <v>0</v>
          </cell>
          <cell r="FW16">
            <v>0</v>
          </cell>
          <cell r="FX16">
            <v>4335</v>
          </cell>
          <cell r="FY16">
            <v>12065</v>
          </cell>
          <cell r="FZ16">
            <v>-1493</v>
          </cell>
          <cell r="GA16">
            <v>14907</v>
          </cell>
          <cell r="GB16">
            <v>18752</v>
          </cell>
          <cell r="GC16">
            <v>70</v>
          </cell>
          <cell r="GD16">
            <v>70</v>
          </cell>
          <cell r="GE16">
            <v>0</v>
          </cell>
          <cell r="GF16">
            <v>0</v>
          </cell>
          <cell r="GG16">
            <v>70</v>
          </cell>
          <cell r="GH16">
            <v>70</v>
          </cell>
          <cell r="GI16">
            <v>350</v>
          </cell>
          <cell r="GJ16">
            <v>350</v>
          </cell>
          <cell r="GK16">
            <v>13.25</v>
          </cell>
          <cell r="GL16">
            <v>2.65</v>
          </cell>
          <cell r="GM16">
            <v>13.25</v>
          </cell>
          <cell r="GN16">
            <v>2.65</v>
          </cell>
          <cell r="GO16">
            <v>70</v>
          </cell>
          <cell r="GP16">
            <v>70</v>
          </cell>
          <cell r="GQ16">
            <v>350</v>
          </cell>
          <cell r="GR16">
            <v>350</v>
          </cell>
          <cell r="GS16">
            <v>344.5</v>
          </cell>
          <cell r="GT16">
            <v>285</v>
          </cell>
          <cell r="GU16">
            <v>366.6</v>
          </cell>
          <cell r="GV16">
            <v>174.84</v>
          </cell>
          <cell r="GW16">
            <v>266.65651921568627</v>
          </cell>
          <cell r="GX16">
            <v>120575</v>
          </cell>
          <cell r="GY16">
            <v>99750</v>
          </cell>
          <cell r="GZ16">
            <v>128310</v>
          </cell>
          <cell r="HA16">
            <v>61194</v>
          </cell>
          <cell r="HB16">
            <v>93329.781725490189</v>
          </cell>
          <cell r="HC16">
            <v>40.178272569867623</v>
          </cell>
          <cell r="HD16">
            <v>33.238919252285257</v>
          </cell>
          <cell r="HE16">
            <v>7.1005829836270458</v>
          </cell>
          <cell r="HF16">
            <v>5.8742123376885571</v>
          </cell>
          <cell r="HG16">
            <v>7.1005829836270458</v>
          </cell>
          <cell r="HH16">
            <v>5.8742123376885571</v>
          </cell>
          <cell r="HI16">
            <v>28.099510603588907</v>
          </cell>
          <cell r="HJ16">
            <v>23.246329526916803</v>
          </cell>
          <cell r="HK16">
            <v>0.76923076923076916</v>
          </cell>
          <cell r="HL16">
            <v>0.92982456140350866</v>
          </cell>
          <cell r="HM16">
            <v>25.037185717304034</v>
          </cell>
          <cell r="HN16">
            <v>20.637227973800972</v>
          </cell>
          <cell r="HO16">
            <v>20.434730125883775</v>
          </cell>
          <cell r="HP16">
            <v>16.843593723055701</v>
          </cell>
          <cell r="HQ16">
            <v>5.6941521310845227</v>
          </cell>
          <cell r="HR16">
            <v>4.6934794099274422</v>
          </cell>
          <cell r="HS16">
            <v>45.431424265259984</v>
          </cell>
          <cell r="HT16">
            <v>37.584777694046721</v>
          </cell>
          <cell r="HU16">
            <v>2.3384947399458258</v>
          </cell>
          <cell r="HV16">
            <v>1</v>
          </cell>
          <cell r="HW16">
            <v>0</v>
          </cell>
          <cell r="HX16">
            <v>0</v>
          </cell>
          <cell r="HY16">
            <v>0</v>
          </cell>
          <cell r="HZ16">
            <v>0</v>
          </cell>
          <cell r="IA16">
            <v>0</v>
          </cell>
          <cell r="IB16">
            <v>0</v>
          </cell>
          <cell r="IC16">
            <v>0</v>
          </cell>
          <cell r="ID16">
            <v>0</v>
          </cell>
          <cell r="IE16">
            <v>0</v>
          </cell>
          <cell r="IF16">
            <v>0</v>
          </cell>
          <cell r="IG16">
            <v>0</v>
          </cell>
          <cell r="IH16">
            <v>0</v>
          </cell>
          <cell r="II16">
            <v>0</v>
          </cell>
          <cell r="IJ16">
            <v>0</v>
          </cell>
          <cell r="IK16">
            <v>32</v>
          </cell>
          <cell r="IL16">
            <v>67</v>
          </cell>
          <cell r="IM16">
            <v>99</v>
          </cell>
          <cell r="IN16">
            <v>0</v>
          </cell>
          <cell r="IO16">
            <v>0</v>
          </cell>
          <cell r="IP16">
            <v>0</v>
          </cell>
          <cell r="IQ16">
            <v>8.6542857142857148</v>
          </cell>
        </row>
        <row r="17">
          <cell r="A17">
            <v>49</v>
          </cell>
          <cell r="B17">
            <v>2001</v>
          </cell>
          <cell r="C17" t="str">
            <v>2001</v>
          </cell>
          <cell r="D17">
            <v>38652.953472222223</v>
          </cell>
          <cell r="E17" t="str">
            <v>db_simonseh</v>
          </cell>
          <cell r="F17" t="str">
            <v>H</v>
          </cell>
          <cell r="G17">
            <v>23776</v>
          </cell>
          <cell r="H17">
            <v>0</v>
          </cell>
          <cell r="I17">
            <v>23776</v>
          </cell>
          <cell r="J17">
            <v>0</v>
          </cell>
          <cell r="K17">
            <v>0</v>
          </cell>
          <cell r="L17">
            <v>0</v>
          </cell>
          <cell r="M17">
            <v>867</v>
          </cell>
          <cell r="N17">
            <v>0</v>
          </cell>
          <cell r="O17">
            <v>-17085</v>
          </cell>
          <cell r="P17">
            <v>-5979</v>
          </cell>
          <cell r="Q17">
            <v>-3970</v>
          </cell>
          <cell r="R17">
            <v>-9080</v>
          </cell>
          <cell r="S17">
            <v>6691</v>
          </cell>
          <cell r="T17">
            <v>28.141824</v>
          </cell>
          <cell r="U17">
            <v>-1060</v>
          </cell>
          <cell r="V17">
            <v>-17</v>
          </cell>
          <cell r="W17">
            <v>5614</v>
          </cell>
          <cell r="X17">
            <v>23.612045999999999</v>
          </cell>
          <cell r="Y17">
            <v>49</v>
          </cell>
          <cell r="Z17">
            <v>297</v>
          </cell>
          <cell r="AA17">
            <v>8.2454190000000001</v>
          </cell>
          <cell r="AB17">
            <v>-105</v>
          </cell>
          <cell r="AC17">
            <v>5.6879739999999996</v>
          </cell>
          <cell r="AD17">
            <v>202</v>
          </cell>
          <cell r="AE17">
            <v>-27</v>
          </cell>
          <cell r="AF17">
            <v>0</v>
          </cell>
          <cell r="AG17">
            <v>99</v>
          </cell>
          <cell r="AH17">
            <v>6030</v>
          </cell>
          <cell r="AI17">
            <v>25.361709000000001</v>
          </cell>
          <cell r="AJ17">
            <v>0</v>
          </cell>
          <cell r="AK17">
            <v>-2165</v>
          </cell>
          <cell r="AL17">
            <v>35.903813999999997</v>
          </cell>
          <cell r="AM17">
            <v>0</v>
          </cell>
          <cell r="AN17">
            <v>35.903813999999997</v>
          </cell>
          <cell r="AO17">
            <v>3865</v>
          </cell>
          <cell r="AP17">
            <v>16.255887999999999</v>
          </cell>
          <cell r="AQ17">
            <v>0</v>
          </cell>
          <cell r="AR17">
            <v>0</v>
          </cell>
          <cell r="AS17">
            <v>0</v>
          </cell>
          <cell r="AT17">
            <v>3865</v>
          </cell>
          <cell r="AU17">
            <v>0</v>
          </cell>
          <cell r="AV17">
            <v>0</v>
          </cell>
          <cell r="AW17">
            <v>0</v>
          </cell>
          <cell r="AX17">
            <v>0</v>
          </cell>
          <cell r="AY17">
            <v>3865</v>
          </cell>
          <cell r="AZ17">
            <v>6740</v>
          </cell>
          <cell r="BA17">
            <v>5663</v>
          </cell>
          <cell r="BB17">
            <v>20.825475999999998</v>
          </cell>
          <cell r="BC17">
            <v>20.94303</v>
          </cell>
          <cell r="BD17">
            <v>29.208527321734866</v>
          </cell>
          <cell r="BE17">
            <v>21.042266999999999</v>
          </cell>
          <cell r="BF17">
            <v>14.247273</v>
          </cell>
          <cell r="BG17">
            <v>12.940738</v>
          </cell>
          <cell r="BH17">
            <v>15.441684</v>
          </cell>
          <cell r="BI17">
            <v>18.689218</v>
          </cell>
          <cell r="BJ17">
            <v>26.840554999999998</v>
          </cell>
          <cell r="BK17">
            <v>28.790403000000001</v>
          </cell>
          <cell r="BL17">
            <v>29.456178000000001</v>
          </cell>
          <cell r="BM17">
            <v>29.456178000000001</v>
          </cell>
          <cell r="BN17">
            <v>26.415094</v>
          </cell>
          <cell r="BO17">
            <v>11.099943</v>
          </cell>
          <cell r="BP17">
            <v>11.099943</v>
          </cell>
          <cell r="BQ17">
            <v>30.180336</v>
          </cell>
          <cell r="BR17">
            <v>0</v>
          </cell>
          <cell r="BS17">
            <v>14771</v>
          </cell>
          <cell r="BT17">
            <v>0</v>
          </cell>
          <cell r="BU17">
            <v>1609.6405119999999</v>
          </cell>
          <cell r="BV17">
            <v>380.06905399999999</v>
          </cell>
          <cell r="BW17">
            <v>0</v>
          </cell>
          <cell r="BX17">
            <v>0</v>
          </cell>
          <cell r="BY17">
            <v>0</v>
          </cell>
          <cell r="BZ17">
            <v>0</v>
          </cell>
          <cell r="CA17">
            <v>879</v>
          </cell>
          <cell r="CB17">
            <v>5772</v>
          </cell>
          <cell r="CC17">
            <v>-1278</v>
          </cell>
          <cell r="CD17">
            <v>0</v>
          </cell>
          <cell r="CE17">
            <v>-1278</v>
          </cell>
          <cell r="CF17">
            <v>-178</v>
          </cell>
          <cell r="CG17">
            <v>4316</v>
          </cell>
          <cell r="CH17">
            <v>-3943</v>
          </cell>
          <cell r="CI17">
            <v>-305</v>
          </cell>
          <cell r="CJ17">
            <v>114</v>
          </cell>
          <cell r="CK17">
            <v>0</v>
          </cell>
          <cell r="CL17">
            <v>0</v>
          </cell>
          <cell r="CM17">
            <v>182</v>
          </cell>
          <cell r="CN17">
            <v>0</v>
          </cell>
          <cell r="CO17">
            <v>-64</v>
          </cell>
          <cell r="CP17">
            <v>-916</v>
          </cell>
          <cell r="CQ17">
            <v>-24</v>
          </cell>
          <cell r="CR17">
            <v>0</v>
          </cell>
          <cell r="CS17">
            <v>-758</v>
          </cell>
          <cell r="CT17">
            <v>0</v>
          </cell>
          <cell r="CU17">
            <v>32</v>
          </cell>
          <cell r="CV17">
            <v>-790</v>
          </cell>
          <cell r="CW17">
            <v>5772</v>
          </cell>
          <cell r="CX17">
            <v>16.57668</v>
          </cell>
          <cell r="CY17">
            <v>12.395175</v>
          </cell>
          <cell r="CZ17">
            <v>0.52268800000000004</v>
          </cell>
          <cell r="DA17">
            <v>35.209462000000002</v>
          </cell>
          <cell r="DB17">
            <v>-16.570936</v>
          </cell>
          <cell r="DC17">
            <v>-93.106977000000001</v>
          </cell>
          <cell r="DD17">
            <v>101.600753</v>
          </cell>
          <cell r="DE17">
            <v>17.866755999999999</v>
          </cell>
          <cell r="DF17">
            <v>400.75471700000003</v>
          </cell>
          <cell r="DG17">
            <v>243.70412200000001</v>
          </cell>
          <cell r="DH17">
            <v>4110.4761900000003</v>
          </cell>
          <cell r="DI17">
            <v>3062</v>
          </cell>
          <cell r="DJ17">
            <v>5643</v>
          </cell>
          <cell r="DK17">
            <v>4760</v>
          </cell>
          <cell r="DL17">
            <v>399</v>
          </cell>
          <cell r="DM17">
            <v>13864</v>
          </cell>
          <cell r="DN17">
            <v>0</v>
          </cell>
          <cell r="DO17">
            <v>94</v>
          </cell>
          <cell r="DP17">
            <v>14</v>
          </cell>
          <cell r="DQ17">
            <v>13626</v>
          </cell>
          <cell r="DR17">
            <v>1307</v>
          </cell>
          <cell r="DS17">
            <v>15041</v>
          </cell>
          <cell r="DT17">
            <v>28905</v>
          </cell>
          <cell r="DU17">
            <v>970</v>
          </cell>
          <cell r="DV17">
            <v>4219</v>
          </cell>
          <cell r="DW17">
            <v>817</v>
          </cell>
          <cell r="DX17">
            <v>0</v>
          </cell>
          <cell r="DY17">
            <v>6006</v>
          </cell>
          <cell r="DZ17">
            <v>863</v>
          </cell>
          <cell r="EA17">
            <v>0</v>
          </cell>
          <cell r="EB17">
            <v>0</v>
          </cell>
          <cell r="EC17">
            <v>241</v>
          </cell>
          <cell r="ED17">
            <v>300</v>
          </cell>
          <cell r="EE17">
            <v>1358</v>
          </cell>
          <cell r="EF17">
            <v>2762</v>
          </cell>
          <cell r="EG17">
            <v>0</v>
          </cell>
          <cell r="EH17">
            <v>709</v>
          </cell>
          <cell r="EI17">
            <v>2565</v>
          </cell>
          <cell r="EJ17">
            <v>16863</v>
          </cell>
          <cell r="EK17">
            <v>20137</v>
          </cell>
          <cell r="EL17">
            <v>28905</v>
          </cell>
          <cell r="EM17">
            <v>0</v>
          </cell>
          <cell r="EN17">
            <v>0</v>
          </cell>
          <cell r="EO17">
            <v>0</v>
          </cell>
          <cell r="EP17">
            <v>82.255664999999993</v>
          </cell>
          <cell r="EQ17">
            <v>86.629164000000003</v>
          </cell>
          <cell r="ER17">
            <v>73.073688000000004</v>
          </cell>
          <cell r="ES17">
            <v>14.891067</v>
          </cell>
          <cell r="ET17">
            <v>64.768463999999994</v>
          </cell>
          <cell r="EU17">
            <v>23.607839999999999</v>
          </cell>
          <cell r="EV17">
            <v>0</v>
          </cell>
          <cell r="EW17">
            <v>-1141</v>
          </cell>
          <cell r="EX17">
            <v>-5.6661869999999999</v>
          </cell>
          <cell r="EY17">
            <v>9.5396529999999995</v>
          </cell>
          <cell r="EZ17">
            <v>69.666148000000007</v>
          </cell>
          <cell r="FA17">
            <v>56.295237999999998</v>
          </cell>
          <cell r="FB17">
            <v>1.5158180000000001</v>
          </cell>
          <cell r="FC17">
            <v>2.3083580000000001</v>
          </cell>
          <cell r="FD17">
            <v>57.831705999999997</v>
          </cell>
          <cell r="FE17">
            <v>57.831705999999997</v>
          </cell>
          <cell r="FF17">
            <v>-3.2768519999999999</v>
          </cell>
          <cell r="FG17">
            <v>0</v>
          </cell>
          <cell r="FH17">
            <v>0</v>
          </cell>
          <cell r="FI17">
            <v>0</v>
          </cell>
          <cell r="FJ17">
            <v>0</v>
          </cell>
          <cell r="FK17">
            <v>0</v>
          </cell>
          <cell r="FL17">
            <v>23776</v>
          </cell>
          <cell r="FM17">
            <v>0</v>
          </cell>
          <cell r="FN17">
            <v>0</v>
          </cell>
          <cell r="FO17">
            <v>0</v>
          </cell>
          <cell r="FP17">
            <v>0</v>
          </cell>
          <cell r="FQ17">
            <v>0</v>
          </cell>
          <cell r="FR17">
            <v>0</v>
          </cell>
          <cell r="FS17">
            <v>0</v>
          </cell>
          <cell r="FT17">
            <v>0</v>
          </cell>
          <cell r="FU17">
            <v>0</v>
          </cell>
          <cell r="FV17">
            <v>0</v>
          </cell>
          <cell r="FW17">
            <v>0</v>
          </cell>
          <cell r="FX17">
            <v>5613</v>
          </cell>
          <cell r="FY17">
            <v>15041</v>
          </cell>
          <cell r="FZ17">
            <v>-1658</v>
          </cell>
          <cell r="GA17">
            <v>18996</v>
          </cell>
          <cell r="GB17">
            <v>22058</v>
          </cell>
          <cell r="GC17">
            <v>348.2</v>
          </cell>
          <cell r="GD17">
            <v>348.2</v>
          </cell>
          <cell r="GE17">
            <v>0</v>
          </cell>
          <cell r="GF17">
            <v>0</v>
          </cell>
          <cell r="GG17">
            <v>348.2</v>
          </cell>
          <cell r="GH17">
            <v>348.2</v>
          </cell>
          <cell r="GI17">
            <v>348.2</v>
          </cell>
          <cell r="GJ17">
            <v>348.2</v>
          </cell>
          <cell r="GK17">
            <v>3.35</v>
          </cell>
          <cell r="GL17">
            <v>3.35</v>
          </cell>
          <cell r="GM17">
            <v>3.35</v>
          </cell>
          <cell r="GN17">
            <v>3.35</v>
          </cell>
          <cell r="GO17">
            <v>348.2</v>
          </cell>
          <cell r="GP17">
            <v>348.2</v>
          </cell>
          <cell r="GQ17">
            <v>348.2</v>
          </cell>
          <cell r="GR17">
            <v>348.2</v>
          </cell>
          <cell r="GS17">
            <v>344.5</v>
          </cell>
          <cell r="GT17">
            <v>341.5</v>
          </cell>
          <cell r="GU17">
            <v>395</v>
          </cell>
          <cell r="GV17">
            <v>277.2</v>
          </cell>
          <cell r="GW17">
            <v>335.88425196850397</v>
          </cell>
          <cell r="GX17">
            <v>119954.9</v>
          </cell>
          <cell r="GY17">
            <v>118910.3</v>
          </cell>
          <cell r="GZ17">
            <v>137539</v>
          </cell>
          <cell r="HA17">
            <v>96521.04</v>
          </cell>
          <cell r="HB17">
            <v>116954.89653543309</v>
          </cell>
          <cell r="HC17">
            <v>31.036195411093555</v>
          </cell>
          <cell r="HD17">
            <v>30.765923752941795</v>
          </cell>
          <cell r="HE17">
            <v>5.9569399526273701</v>
          </cell>
          <cell r="HF17">
            <v>5.9050652941139248</v>
          </cell>
          <cell r="HG17">
            <v>5.9569399526273701</v>
          </cell>
          <cell r="HH17">
            <v>5.9050652941139248</v>
          </cell>
          <cell r="HI17">
            <v>20.782207293619713</v>
          </cell>
          <cell r="HJ17">
            <v>20.601230161890076</v>
          </cell>
          <cell r="HK17">
            <v>0.97242380261248185</v>
          </cell>
          <cell r="HL17">
            <v>0.9809663250366033</v>
          </cell>
          <cell r="HM17">
            <v>20.98073459297192</v>
          </cell>
          <cell r="HN17">
            <v>20.796274059685679</v>
          </cell>
          <cell r="HO17">
            <v>17.628175074183975</v>
          </cell>
          <cell r="HP17">
            <v>17.473189910979229</v>
          </cell>
          <cell r="HQ17">
            <v>4.9972198855989234</v>
          </cell>
          <cell r="HR17">
            <v>4.9532848250336476</v>
          </cell>
          <cell r="HS17">
            <v>659.09285714285716</v>
          </cell>
          <cell r="HT17">
            <v>653.35329670329668</v>
          </cell>
          <cell r="HU17">
            <v>1.1704228673370649</v>
          </cell>
          <cell r="HV17">
            <v>1</v>
          </cell>
          <cell r="HW17">
            <v>0</v>
          </cell>
          <cell r="HX17">
            <v>0</v>
          </cell>
          <cell r="HY17">
            <v>0</v>
          </cell>
          <cell r="HZ17">
            <v>0</v>
          </cell>
          <cell r="IA17">
            <v>0</v>
          </cell>
          <cell r="IB17">
            <v>0</v>
          </cell>
          <cell r="IC17">
            <v>0</v>
          </cell>
          <cell r="ID17">
            <v>0</v>
          </cell>
          <cell r="IE17">
            <v>0</v>
          </cell>
          <cell r="IF17">
            <v>0</v>
          </cell>
          <cell r="IG17">
            <v>0</v>
          </cell>
          <cell r="IH17">
            <v>0</v>
          </cell>
          <cell r="II17">
            <v>0</v>
          </cell>
          <cell r="IJ17">
            <v>0</v>
          </cell>
          <cell r="IK17">
            <v>14</v>
          </cell>
          <cell r="IL17">
            <v>84</v>
          </cell>
          <cell r="IM17">
            <v>98</v>
          </cell>
          <cell r="IN17">
            <v>0</v>
          </cell>
          <cell r="IO17">
            <v>0</v>
          </cell>
          <cell r="IP17">
            <v>0</v>
          </cell>
          <cell r="IQ17">
            <v>11.148765077541643</v>
          </cell>
        </row>
        <row r="18">
          <cell r="A18">
            <v>49</v>
          </cell>
          <cell r="B18">
            <v>2002</v>
          </cell>
          <cell r="C18" t="str">
            <v>2002</v>
          </cell>
          <cell r="D18">
            <v>38652.953472222223</v>
          </cell>
          <cell r="E18" t="str">
            <v>db_simonseh</v>
          </cell>
          <cell r="F18" t="str">
            <v>H</v>
          </cell>
          <cell r="G18">
            <v>24866</v>
          </cell>
          <cell r="H18">
            <v>0</v>
          </cell>
          <cell r="I18">
            <v>24866</v>
          </cell>
          <cell r="J18">
            <v>0</v>
          </cell>
          <cell r="K18">
            <v>0</v>
          </cell>
          <cell r="L18">
            <v>0</v>
          </cell>
          <cell r="M18">
            <v>758</v>
          </cell>
          <cell r="N18">
            <v>0</v>
          </cell>
          <cell r="O18">
            <v>-17675</v>
          </cell>
          <cell r="P18">
            <v>-6598</v>
          </cell>
          <cell r="Q18">
            <v>-3952</v>
          </cell>
          <cell r="R18">
            <v>-9147</v>
          </cell>
          <cell r="S18">
            <v>7191</v>
          </cell>
          <cell r="T18">
            <v>28.919006</v>
          </cell>
          <cell r="U18">
            <v>-1239</v>
          </cell>
          <cell r="V18">
            <v>-25</v>
          </cell>
          <cell r="W18">
            <v>5927</v>
          </cell>
          <cell r="X18">
            <v>23.835760000000001</v>
          </cell>
          <cell r="Y18">
            <v>72</v>
          </cell>
          <cell r="Z18">
            <v>164</v>
          </cell>
          <cell r="AA18">
            <v>6.6075749999999998</v>
          </cell>
          <cell r="AB18">
            <v>-96</v>
          </cell>
          <cell r="AC18">
            <v>5.3244590000000001</v>
          </cell>
          <cell r="AD18">
            <v>346</v>
          </cell>
          <cell r="AE18">
            <v>-85</v>
          </cell>
          <cell r="AF18">
            <v>0</v>
          </cell>
          <cell r="AG18">
            <v>99</v>
          </cell>
          <cell r="AH18">
            <v>6328</v>
          </cell>
          <cell r="AI18">
            <v>25.448402999999999</v>
          </cell>
          <cell r="AJ18">
            <v>0</v>
          </cell>
          <cell r="AK18">
            <v>-2212</v>
          </cell>
          <cell r="AL18">
            <v>34.955751999999997</v>
          </cell>
          <cell r="AM18">
            <v>0</v>
          </cell>
          <cell r="AN18">
            <v>34.955751999999997</v>
          </cell>
          <cell r="AO18">
            <v>4116</v>
          </cell>
          <cell r="AP18">
            <v>16.552723</v>
          </cell>
          <cell r="AQ18">
            <v>0</v>
          </cell>
          <cell r="AR18">
            <v>0</v>
          </cell>
          <cell r="AS18">
            <v>0</v>
          </cell>
          <cell r="AT18">
            <v>4116</v>
          </cell>
          <cell r="AU18">
            <v>0</v>
          </cell>
          <cell r="AV18">
            <v>0</v>
          </cell>
          <cell r="AW18">
            <v>0</v>
          </cell>
          <cell r="AX18">
            <v>0</v>
          </cell>
          <cell r="AY18">
            <v>4116</v>
          </cell>
          <cell r="AZ18">
            <v>7263</v>
          </cell>
          <cell r="BA18">
            <v>5999</v>
          </cell>
          <cell r="BB18">
            <v>19.263801000000001</v>
          </cell>
          <cell r="BC18">
            <v>19.55331</v>
          </cell>
          <cell r="BD18">
            <v>26.59962450635534</v>
          </cell>
          <cell r="BE18">
            <v>19.825834</v>
          </cell>
          <cell r="BF18">
            <v>4.5844550000000002</v>
          </cell>
          <cell r="BG18">
            <v>4.2781630000000002</v>
          </cell>
          <cell r="BH18">
            <v>7.4727249999999996</v>
          </cell>
          <cell r="BI18">
            <v>5.5753469999999998</v>
          </cell>
          <cell r="BJ18">
            <v>4.9419570000000004</v>
          </cell>
          <cell r="BK18">
            <v>6.4941789999999999</v>
          </cell>
          <cell r="BL18">
            <v>6.0980629999999998</v>
          </cell>
          <cell r="BM18">
            <v>6.0980629999999998</v>
          </cell>
          <cell r="BN18">
            <v>7.4626869999999998</v>
          </cell>
          <cell r="BO18">
            <v>11.776824</v>
          </cell>
          <cell r="BP18">
            <v>11.776824</v>
          </cell>
          <cell r="BQ18">
            <v>30.568512999999999</v>
          </cell>
          <cell r="BR18">
            <v>0</v>
          </cell>
          <cell r="BS18">
            <v>17073</v>
          </cell>
          <cell r="BT18">
            <v>8689</v>
          </cell>
          <cell r="BU18">
            <v>1456.4517069999999</v>
          </cell>
          <cell r="BV18">
            <v>347.15632900000003</v>
          </cell>
          <cell r="BW18">
            <v>0</v>
          </cell>
          <cell r="BX18">
            <v>0</v>
          </cell>
          <cell r="BY18">
            <v>0</v>
          </cell>
          <cell r="BZ18">
            <v>0</v>
          </cell>
          <cell r="CA18">
            <v>375</v>
          </cell>
          <cell r="CB18">
            <v>5683</v>
          </cell>
          <cell r="CC18">
            <v>-1320</v>
          </cell>
          <cell r="CD18">
            <v>0</v>
          </cell>
          <cell r="CE18">
            <v>-1320</v>
          </cell>
          <cell r="CF18">
            <v>475</v>
          </cell>
          <cell r="CG18">
            <v>4838</v>
          </cell>
          <cell r="CH18">
            <v>-3943</v>
          </cell>
          <cell r="CI18">
            <v>0</v>
          </cell>
          <cell r="CJ18">
            <v>102</v>
          </cell>
          <cell r="CK18">
            <v>1085</v>
          </cell>
          <cell r="CL18">
            <v>-529</v>
          </cell>
          <cell r="CM18">
            <v>1553</v>
          </cell>
          <cell r="CN18">
            <v>0</v>
          </cell>
          <cell r="CO18">
            <v>-18</v>
          </cell>
          <cell r="CP18">
            <v>-1161</v>
          </cell>
          <cell r="CQ18">
            <v>-386</v>
          </cell>
          <cell r="CR18">
            <v>39</v>
          </cell>
          <cell r="CS18">
            <v>45</v>
          </cell>
          <cell r="CT18">
            <v>0</v>
          </cell>
          <cell r="CU18">
            <v>0</v>
          </cell>
          <cell r="CV18">
            <v>27</v>
          </cell>
          <cell r="CW18">
            <v>5683</v>
          </cell>
          <cell r="CX18">
            <v>16.260372</v>
          </cell>
          <cell r="CY18">
            <v>13.842632</v>
          </cell>
          <cell r="CZ18">
            <v>4.4434909999999999</v>
          </cell>
          <cell r="DA18">
            <v>-1.9081509999999999</v>
          </cell>
          <cell r="DB18">
            <v>11.677585000000001</v>
          </cell>
          <cell r="DC18">
            <v>750.12278100000003</v>
          </cell>
          <cell r="DD18">
            <v>122.698453</v>
          </cell>
          <cell r="DE18">
            <v>15.856992999999999</v>
          </cell>
          <cell r="DF18">
            <v>318.24051700000001</v>
          </cell>
          <cell r="DG18">
            <v>287.97618999999997</v>
          </cell>
          <cell r="DH18">
            <v>5039.5833329999996</v>
          </cell>
          <cell r="DI18">
            <v>1738</v>
          </cell>
          <cell r="DJ18">
            <v>6024</v>
          </cell>
          <cell r="DK18">
            <v>5919</v>
          </cell>
          <cell r="DL18">
            <v>559</v>
          </cell>
          <cell r="DM18">
            <v>14240</v>
          </cell>
          <cell r="DN18">
            <v>0</v>
          </cell>
          <cell r="DO18">
            <v>79</v>
          </cell>
          <cell r="DP18">
            <v>363</v>
          </cell>
          <cell r="DQ18">
            <v>15681</v>
          </cell>
          <cell r="DR18">
            <v>1249</v>
          </cell>
          <cell r="DS18">
            <v>17372</v>
          </cell>
          <cell r="DT18">
            <v>31612</v>
          </cell>
          <cell r="DU18">
            <v>864</v>
          </cell>
          <cell r="DV18">
            <v>4705</v>
          </cell>
          <cell r="DW18">
            <v>564</v>
          </cell>
          <cell r="DX18">
            <v>0</v>
          </cell>
          <cell r="DY18">
            <v>6133</v>
          </cell>
          <cell r="DZ18">
            <v>824</v>
          </cell>
          <cell r="EA18">
            <v>0</v>
          </cell>
          <cell r="EB18">
            <v>0</v>
          </cell>
          <cell r="EC18">
            <v>297</v>
          </cell>
          <cell r="ED18">
            <v>223</v>
          </cell>
          <cell r="EE18">
            <v>1539</v>
          </cell>
          <cell r="EF18">
            <v>2883</v>
          </cell>
          <cell r="EG18">
            <v>0</v>
          </cell>
          <cell r="EH18">
            <v>709</v>
          </cell>
          <cell r="EI18">
            <v>2565</v>
          </cell>
          <cell r="EJ18">
            <v>19322</v>
          </cell>
          <cell r="EK18">
            <v>22596</v>
          </cell>
          <cell r="EL18">
            <v>31612</v>
          </cell>
          <cell r="EM18">
            <v>0</v>
          </cell>
          <cell r="EN18">
            <v>0</v>
          </cell>
          <cell r="EO18">
            <v>0</v>
          </cell>
          <cell r="EP18">
            <v>78.660003000000003</v>
          </cell>
          <cell r="EQ18">
            <v>88.424355000000006</v>
          </cell>
          <cell r="ER18">
            <v>86.883093000000002</v>
          </cell>
          <cell r="ES18">
            <v>12.682378</v>
          </cell>
          <cell r="ET18">
            <v>69.063179000000005</v>
          </cell>
          <cell r="EU18">
            <v>27.881444999999999</v>
          </cell>
          <cell r="EV18">
            <v>0</v>
          </cell>
          <cell r="EW18">
            <v>-53</v>
          </cell>
          <cell r="EX18">
            <v>-0.23455500000000001</v>
          </cell>
          <cell r="EY18">
            <v>7.4570720000000001</v>
          </cell>
          <cell r="EZ18">
            <v>71.479185000000001</v>
          </cell>
          <cell r="FA18">
            <v>63.447916999999997</v>
          </cell>
          <cell r="FB18">
            <v>1.356759</v>
          </cell>
          <cell r="FC18">
            <v>2.3218649999999998</v>
          </cell>
          <cell r="FD18">
            <v>64.652360999999999</v>
          </cell>
          <cell r="FE18">
            <v>64.652360999999999</v>
          </cell>
          <cell r="FF18">
            <v>-0.151645</v>
          </cell>
          <cell r="FG18">
            <v>0</v>
          </cell>
          <cell r="FH18">
            <v>0</v>
          </cell>
          <cell r="FI18">
            <v>0</v>
          </cell>
          <cell r="FJ18">
            <v>0</v>
          </cell>
          <cell r="FK18">
            <v>0</v>
          </cell>
          <cell r="FL18">
            <v>24866</v>
          </cell>
          <cell r="FM18">
            <v>0</v>
          </cell>
          <cell r="FN18">
            <v>0</v>
          </cell>
          <cell r="FO18">
            <v>0</v>
          </cell>
          <cell r="FP18">
            <v>0</v>
          </cell>
          <cell r="FQ18">
            <v>0</v>
          </cell>
          <cell r="FR18">
            <v>0</v>
          </cell>
          <cell r="FS18">
            <v>0</v>
          </cell>
          <cell r="FT18">
            <v>0</v>
          </cell>
          <cell r="FU18">
            <v>0</v>
          </cell>
          <cell r="FV18">
            <v>0</v>
          </cell>
          <cell r="FW18">
            <v>0</v>
          </cell>
          <cell r="FX18">
            <v>6933</v>
          </cell>
          <cell r="FY18">
            <v>17372</v>
          </cell>
          <cell r="FZ18">
            <v>-1762</v>
          </cell>
          <cell r="GA18">
            <v>22543</v>
          </cell>
          <cell r="GB18">
            <v>24281</v>
          </cell>
          <cell r="GC18">
            <v>349.5</v>
          </cell>
          <cell r="GD18">
            <v>349.5</v>
          </cell>
          <cell r="GE18">
            <v>0</v>
          </cell>
          <cell r="GF18">
            <v>0</v>
          </cell>
          <cell r="GG18">
            <v>349.5</v>
          </cell>
          <cell r="GH18">
            <v>349.5</v>
          </cell>
          <cell r="GI18">
            <v>349.5</v>
          </cell>
          <cell r="GJ18">
            <v>349.5</v>
          </cell>
          <cell r="GK18">
            <v>3.6</v>
          </cell>
          <cell r="GL18">
            <v>3.6</v>
          </cell>
          <cell r="GM18">
            <v>3.6</v>
          </cell>
          <cell r="GN18">
            <v>3.6</v>
          </cell>
          <cell r="GO18">
            <v>349.5</v>
          </cell>
          <cell r="GP18">
            <v>349.5</v>
          </cell>
          <cell r="GQ18">
            <v>349.5</v>
          </cell>
          <cell r="GR18">
            <v>349.5</v>
          </cell>
          <cell r="GS18">
            <v>344.5</v>
          </cell>
          <cell r="GT18">
            <v>204.5</v>
          </cell>
          <cell r="GU18">
            <v>339.5</v>
          </cell>
          <cell r="GV18">
            <v>168</v>
          </cell>
          <cell r="GW18">
            <v>251.21799999999999</v>
          </cell>
          <cell r="GX18">
            <v>120402.75</v>
          </cell>
          <cell r="GY18">
            <v>71472.75</v>
          </cell>
          <cell r="GZ18">
            <v>118655.25</v>
          </cell>
          <cell r="HA18">
            <v>58716</v>
          </cell>
          <cell r="HB18">
            <v>87800.690999999992</v>
          </cell>
          <cell r="HC18">
            <v>29.252368889948599</v>
          </cell>
          <cell r="HD18">
            <v>17.364613753249603</v>
          </cell>
          <cell r="HE18">
            <v>5.3284983668268513</v>
          </cell>
          <cell r="HF18">
            <v>3.1630708737767521</v>
          </cell>
          <cell r="HG18">
            <v>5.3284983668268513</v>
          </cell>
          <cell r="HH18">
            <v>3.1630708737767521</v>
          </cell>
          <cell r="HI18">
            <v>21.186477160547128</v>
          </cell>
          <cell r="HJ18">
            <v>12.576588038699237</v>
          </cell>
          <cell r="HK18">
            <v>1.0449927431059507</v>
          </cell>
          <cell r="HL18">
            <v>1.7603911980440097</v>
          </cell>
          <cell r="HM18">
            <v>20.061635272545423</v>
          </cell>
          <cell r="HN18">
            <v>11.905275879313219</v>
          </cell>
          <cell r="HO18">
            <v>16.570253338840701</v>
          </cell>
          <cell r="HP18">
            <v>9.833367754371471</v>
          </cell>
          <cell r="HQ18">
            <v>4.8399320357114135</v>
          </cell>
          <cell r="HR18">
            <v>2.8721849111236226</v>
          </cell>
          <cell r="HS18">
            <v>77.529137153895689</v>
          </cell>
          <cell r="HT18">
            <v>46.022376046361877</v>
          </cell>
          <cell r="HU18">
            <v>1.0381743677777207</v>
          </cell>
          <cell r="HV18">
            <v>1</v>
          </cell>
          <cell r="HW18">
            <v>0</v>
          </cell>
          <cell r="HX18">
            <v>0</v>
          </cell>
          <cell r="HY18">
            <v>0</v>
          </cell>
          <cell r="HZ18">
            <v>0</v>
          </cell>
          <cell r="IA18">
            <v>0</v>
          </cell>
          <cell r="IB18">
            <v>0</v>
          </cell>
          <cell r="IC18">
            <v>0</v>
          </cell>
          <cell r="ID18">
            <v>0</v>
          </cell>
          <cell r="IE18">
            <v>0</v>
          </cell>
          <cell r="IF18">
            <v>0</v>
          </cell>
          <cell r="IG18">
            <v>0</v>
          </cell>
          <cell r="IH18">
            <v>0</v>
          </cell>
          <cell r="II18">
            <v>0</v>
          </cell>
          <cell r="IJ18">
            <v>0</v>
          </cell>
          <cell r="IK18">
            <v>363</v>
          </cell>
          <cell r="IL18">
            <v>109</v>
          </cell>
          <cell r="IM18">
            <v>472</v>
          </cell>
          <cell r="IN18">
            <v>0</v>
          </cell>
          <cell r="IO18">
            <v>0</v>
          </cell>
          <cell r="IP18">
            <v>0</v>
          </cell>
          <cell r="IQ18">
            <v>11.848354792560801</v>
          </cell>
        </row>
        <row r="19">
          <cell r="A19">
            <v>49</v>
          </cell>
          <cell r="B19">
            <v>2003</v>
          </cell>
          <cell r="C19" t="str">
            <v>2003</v>
          </cell>
          <cell r="D19">
            <v>38652.953472222223</v>
          </cell>
          <cell r="E19" t="str">
            <v>db_simonseh</v>
          </cell>
          <cell r="F19" t="str">
            <v>H</v>
          </cell>
          <cell r="G19">
            <v>26158</v>
          </cell>
          <cell r="H19">
            <v>0</v>
          </cell>
          <cell r="I19">
            <v>26158</v>
          </cell>
          <cell r="J19">
            <v>0</v>
          </cell>
          <cell r="K19">
            <v>0</v>
          </cell>
          <cell r="L19">
            <v>0</v>
          </cell>
          <cell r="M19">
            <v>1036</v>
          </cell>
          <cell r="N19">
            <v>0</v>
          </cell>
          <cell r="O19">
            <v>-18159</v>
          </cell>
          <cell r="P19">
            <v>-7409</v>
          </cell>
          <cell r="Q19">
            <v>-4055</v>
          </cell>
          <cell r="R19">
            <v>-9308</v>
          </cell>
          <cell r="S19">
            <v>7999</v>
          </cell>
          <cell r="T19">
            <v>30.579554999999999</v>
          </cell>
          <cell r="U19">
            <v>-1486</v>
          </cell>
          <cell r="V19">
            <v>-91</v>
          </cell>
          <cell r="W19">
            <v>6422</v>
          </cell>
          <cell r="X19">
            <v>24.550806999999999</v>
          </cell>
          <cell r="Y19">
            <v>-59</v>
          </cell>
          <cell r="Z19">
            <v>285</v>
          </cell>
          <cell r="AA19">
            <v>11.148054</v>
          </cell>
          <cell r="AB19">
            <v>-174</v>
          </cell>
          <cell r="AC19">
            <v>9.5735899999999994</v>
          </cell>
          <cell r="AD19">
            <v>984</v>
          </cell>
          <cell r="AE19">
            <v>-84</v>
          </cell>
          <cell r="AF19">
            <v>2</v>
          </cell>
          <cell r="AG19">
            <v>99</v>
          </cell>
          <cell r="AH19">
            <v>7376</v>
          </cell>
          <cell r="AI19">
            <v>28.197873999999999</v>
          </cell>
          <cell r="AJ19">
            <v>0</v>
          </cell>
          <cell r="AK19">
            <v>-2543</v>
          </cell>
          <cell r="AL19">
            <v>34.476680999999999</v>
          </cell>
          <cell r="AM19">
            <v>0</v>
          </cell>
          <cell r="AN19">
            <v>34.476680999999999</v>
          </cell>
          <cell r="AO19">
            <v>4833</v>
          </cell>
          <cell r="AP19">
            <v>18.476182999999999</v>
          </cell>
          <cell r="AQ19">
            <v>0</v>
          </cell>
          <cell r="AR19">
            <v>0</v>
          </cell>
          <cell r="AS19">
            <v>0</v>
          </cell>
          <cell r="AT19">
            <v>4833</v>
          </cell>
          <cell r="AU19">
            <v>0</v>
          </cell>
          <cell r="AV19">
            <v>0</v>
          </cell>
          <cell r="AW19">
            <v>0</v>
          </cell>
          <cell r="AX19">
            <v>0</v>
          </cell>
          <cell r="AY19">
            <v>4833</v>
          </cell>
          <cell r="AZ19">
            <v>7940</v>
          </cell>
          <cell r="BA19">
            <v>6363</v>
          </cell>
          <cell r="BB19">
            <v>20.404458000000002</v>
          </cell>
          <cell r="BC19">
            <v>21.097733000000002</v>
          </cell>
          <cell r="BD19">
            <v>26.067010410335833</v>
          </cell>
          <cell r="BE19">
            <v>19.230537000000002</v>
          </cell>
          <cell r="BF19">
            <v>5.1958500000000001</v>
          </cell>
          <cell r="BG19">
            <v>4.2082480000000002</v>
          </cell>
          <cell r="BH19">
            <v>11.236268000000001</v>
          </cell>
          <cell r="BI19">
            <v>8.3516110000000001</v>
          </cell>
          <cell r="BJ19">
            <v>16.561315</v>
          </cell>
          <cell r="BK19">
            <v>17.419824999999999</v>
          </cell>
          <cell r="BL19">
            <v>20.13533</v>
          </cell>
          <cell r="BM19">
            <v>20.13533</v>
          </cell>
          <cell r="BN19">
            <v>22.222221999999999</v>
          </cell>
          <cell r="BO19">
            <v>14.148126</v>
          </cell>
          <cell r="BP19">
            <v>14.148126</v>
          </cell>
          <cell r="BQ19">
            <v>31.099523999999999</v>
          </cell>
          <cell r="BR19">
            <v>0</v>
          </cell>
          <cell r="BS19">
            <v>18381</v>
          </cell>
          <cell r="BT19">
            <v>9377</v>
          </cell>
          <cell r="BU19">
            <v>1423.0999400000001</v>
          </cell>
          <cell r="BV19">
            <v>349.38251500000001</v>
          </cell>
          <cell r="BW19">
            <v>0</v>
          </cell>
          <cell r="BX19">
            <v>0</v>
          </cell>
          <cell r="BY19">
            <v>0</v>
          </cell>
          <cell r="BZ19">
            <v>0</v>
          </cell>
          <cell r="CA19">
            <v>1011</v>
          </cell>
          <cell r="CB19">
            <v>7480</v>
          </cell>
          <cell r="CC19">
            <v>-691</v>
          </cell>
          <cell r="CD19">
            <v>0</v>
          </cell>
          <cell r="CE19">
            <v>-691</v>
          </cell>
          <cell r="CF19">
            <v>-644</v>
          </cell>
          <cell r="CG19">
            <v>6145</v>
          </cell>
          <cell r="CH19">
            <v>-2458</v>
          </cell>
          <cell r="CI19">
            <v>0</v>
          </cell>
          <cell r="CJ19">
            <v>185</v>
          </cell>
          <cell r="CK19">
            <v>-1516</v>
          </cell>
          <cell r="CL19">
            <v>-30</v>
          </cell>
          <cell r="CM19">
            <v>2326</v>
          </cell>
          <cell r="CN19">
            <v>476</v>
          </cell>
          <cell r="CO19">
            <v>-23</v>
          </cell>
          <cell r="CP19">
            <v>-1243</v>
          </cell>
          <cell r="CQ19">
            <v>-1619</v>
          </cell>
          <cell r="CR19">
            <v>15</v>
          </cell>
          <cell r="CS19">
            <v>-521</v>
          </cell>
          <cell r="CT19">
            <v>0</v>
          </cell>
          <cell r="CU19">
            <v>0</v>
          </cell>
          <cell r="CV19">
            <v>-68</v>
          </cell>
          <cell r="CW19">
            <v>7480</v>
          </cell>
          <cell r="CX19">
            <v>21.896955999999999</v>
          </cell>
          <cell r="CY19">
            <v>17.988876000000001</v>
          </cell>
          <cell r="CZ19">
            <v>6.8091330000000001</v>
          </cell>
          <cell r="DA19">
            <v>34.664541999999997</v>
          </cell>
          <cell r="DB19">
            <v>29.95271</v>
          </cell>
          <cell r="DC19">
            <v>53.238387000000003</v>
          </cell>
          <cell r="DD19">
            <v>250</v>
          </cell>
          <cell r="DE19">
            <v>9.3967430000000007</v>
          </cell>
          <cell r="DF19">
            <v>165.41049799999999</v>
          </cell>
          <cell r="DG19">
            <v>442.723343</v>
          </cell>
          <cell r="DH19">
            <v>3531.609195</v>
          </cell>
          <cell r="DI19">
            <v>3090</v>
          </cell>
          <cell r="DJ19">
            <v>6571</v>
          </cell>
          <cell r="DK19">
            <v>6531</v>
          </cell>
          <cell r="DL19">
            <v>579</v>
          </cell>
          <cell r="DM19">
            <v>16771</v>
          </cell>
          <cell r="DN19">
            <v>0</v>
          </cell>
          <cell r="DO19">
            <v>80</v>
          </cell>
          <cell r="DP19">
            <v>331</v>
          </cell>
          <cell r="DQ19">
            <v>16342</v>
          </cell>
          <cell r="DR19">
            <v>1040</v>
          </cell>
          <cell r="DS19">
            <v>17793</v>
          </cell>
          <cell r="DT19">
            <v>34564</v>
          </cell>
          <cell r="DU19">
            <v>1008</v>
          </cell>
          <cell r="DV19">
            <v>5049</v>
          </cell>
          <cell r="DW19">
            <v>975</v>
          </cell>
          <cell r="DX19">
            <v>0</v>
          </cell>
          <cell r="DY19">
            <v>7032</v>
          </cell>
          <cell r="DZ19">
            <v>753</v>
          </cell>
          <cell r="EA19">
            <v>0</v>
          </cell>
          <cell r="EB19">
            <v>0</v>
          </cell>
          <cell r="EC19">
            <v>222</v>
          </cell>
          <cell r="ED19">
            <v>271</v>
          </cell>
          <cell r="EE19">
            <v>1510</v>
          </cell>
          <cell r="EF19">
            <v>2756</v>
          </cell>
          <cell r="EG19">
            <v>0</v>
          </cell>
          <cell r="EH19">
            <v>709</v>
          </cell>
          <cell r="EI19">
            <v>2565</v>
          </cell>
          <cell r="EJ19">
            <v>21502</v>
          </cell>
          <cell r="EK19">
            <v>24776</v>
          </cell>
          <cell r="EL19">
            <v>34564</v>
          </cell>
          <cell r="EM19">
            <v>0</v>
          </cell>
          <cell r="EN19">
            <v>0</v>
          </cell>
          <cell r="EO19">
            <v>0</v>
          </cell>
          <cell r="EP19">
            <v>75.679897999999994</v>
          </cell>
          <cell r="EQ19">
            <v>91.689539999999994</v>
          </cell>
          <cell r="ER19">
            <v>91.131394</v>
          </cell>
          <cell r="ES19">
            <v>14.065296</v>
          </cell>
          <cell r="ET19">
            <v>70.452061</v>
          </cell>
          <cell r="EU19">
            <v>29.145959000000001</v>
          </cell>
          <cell r="EV19">
            <v>0</v>
          </cell>
          <cell r="EW19">
            <v>-1140</v>
          </cell>
          <cell r="EX19">
            <v>-4.6012269999999997</v>
          </cell>
          <cell r="EY19">
            <v>7.87052</v>
          </cell>
          <cell r="EZ19">
            <v>71.681517999999997</v>
          </cell>
          <cell r="FA19">
            <v>38.545977000000001</v>
          </cell>
          <cell r="FB19">
            <v>1.4561999999999999</v>
          </cell>
          <cell r="FC19">
            <v>2.384954</v>
          </cell>
          <cell r="FD19">
            <v>73.063992999999996</v>
          </cell>
          <cell r="FE19">
            <v>73.063992999999996</v>
          </cell>
          <cell r="FF19">
            <v>-3.3618399999999999</v>
          </cell>
          <cell r="FG19">
            <v>0</v>
          </cell>
          <cell r="FH19">
            <v>0</v>
          </cell>
          <cell r="FI19">
            <v>0</v>
          </cell>
          <cell r="FJ19">
            <v>0</v>
          </cell>
          <cell r="FK19">
            <v>0</v>
          </cell>
          <cell r="FL19">
            <v>26158</v>
          </cell>
          <cell r="FM19">
            <v>0</v>
          </cell>
          <cell r="FN19">
            <v>0</v>
          </cell>
          <cell r="FO19">
            <v>0</v>
          </cell>
          <cell r="FP19">
            <v>0</v>
          </cell>
          <cell r="FQ19">
            <v>0</v>
          </cell>
          <cell r="FR19">
            <v>0</v>
          </cell>
          <cell r="FS19">
            <v>0</v>
          </cell>
          <cell r="FT19">
            <v>0</v>
          </cell>
          <cell r="FU19">
            <v>0</v>
          </cell>
          <cell r="FV19">
            <v>0</v>
          </cell>
          <cell r="FW19">
            <v>0</v>
          </cell>
          <cell r="FX19">
            <v>7624</v>
          </cell>
          <cell r="FY19">
            <v>17793</v>
          </cell>
          <cell r="FZ19">
            <v>-1781</v>
          </cell>
          <cell r="GA19">
            <v>23636</v>
          </cell>
          <cell r="GB19">
            <v>26726</v>
          </cell>
          <cell r="GC19">
            <v>339.1</v>
          </cell>
          <cell r="GD19">
            <v>341.6</v>
          </cell>
          <cell r="GE19">
            <v>0</v>
          </cell>
          <cell r="GF19">
            <v>0</v>
          </cell>
          <cell r="GG19">
            <v>339.1</v>
          </cell>
          <cell r="GH19">
            <v>341.6</v>
          </cell>
          <cell r="GI19">
            <v>339.1</v>
          </cell>
          <cell r="GJ19">
            <v>341.6</v>
          </cell>
          <cell r="GK19">
            <v>4.4000000000000004</v>
          </cell>
          <cell r="GL19">
            <v>4.4000000000000004</v>
          </cell>
          <cell r="GM19">
            <v>4.4000000000000004</v>
          </cell>
          <cell r="GN19">
            <v>4.4000000000000004</v>
          </cell>
          <cell r="GO19">
            <v>339.1</v>
          </cell>
          <cell r="GP19">
            <v>341.6</v>
          </cell>
          <cell r="GQ19">
            <v>339.1</v>
          </cell>
          <cell r="GR19">
            <v>341.6</v>
          </cell>
          <cell r="GS19">
            <v>344.5</v>
          </cell>
          <cell r="GT19">
            <v>240.5</v>
          </cell>
          <cell r="GU19">
            <v>251</v>
          </cell>
          <cell r="GV19">
            <v>175</v>
          </cell>
          <cell r="GW19">
            <v>227.55220883534136</v>
          </cell>
          <cell r="GX19">
            <v>116819.95</v>
          </cell>
          <cell r="GY19">
            <v>81553.55</v>
          </cell>
          <cell r="GZ19">
            <v>85114.1</v>
          </cell>
          <cell r="HA19">
            <v>59342.5</v>
          </cell>
          <cell r="HB19">
            <v>77162.954016064265</v>
          </cell>
          <cell r="HC19">
            <v>24.349514557617031</v>
          </cell>
          <cell r="HD19">
            <v>16.99871771003453</v>
          </cell>
          <cell r="HE19">
            <v>4.7150447964156577</v>
          </cell>
          <cell r="HF19">
            <v>3.2916350465543269</v>
          </cell>
          <cell r="HG19">
            <v>4.7150447964156577</v>
          </cell>
          <cell r="HH19">
            <v>3.2916350465543269</v>
          </cell>
          <cell r="HI19">
            <v>15.732780391941237</v>
          </cell>
          <cell r="HJ19">
            <v>10.983261783053315</v>
          </cell>
          <cell r="HK19">
            <v>1.2772133526850509</v>
          </cell>
          <cell r="HL19">
            <v>1.8295218295218296</v>
          </cell>
          <cell r="HM19">
            <v>18.18009586672953</v>
          </cell>
          <cell r="HN19">
            <v>12.637678767876789</v>
          </cell>
          <cell r="HO19">
            <v>14.569263224181361</v>
          </cell>
          <cell r="HP19">
            <v>10.12765113350126</v>
          </cell>
          <cell r="HQ19">
            <v>4.422354537808701</v>
          </cell>
          <cell r="HR19">
            <v>3.0741474883400874</v>
          </cell>
          <cell r="HS19">
            <v>50.223538263112644</v>
          </cell>
          <cell r="HT19">
            <v>35.061715391229583</v>
          </cell>
          <cell r="HU19">
            <v>1.2014121925699583</v>
          </cell>
          <cell r="HV19">
            <v>1</v>
          </cell>
          <cell r="HW19">
            <v>0</v>
          </cell>
          <cell r="HX19">
            <v>0</v>
          </cell>
          <cell r="HY19">
            <v>0</v>
          </cell>
          <cell r="HZ19">
            <v>0</v>
          </cell>
          <cell r="IA19">
            <v>0</v>
          </cell>
          <cell r="IB19">
            <v>0</v>
          </cell>
          <cell r="IC19">
            <v>0</v>
          </cell>
          <cell r="ID19">
            <v>0</v>
          </cell>
          <cell r="IE19">
            <v>0</v>
          </cell>
          <cell r="IF19">
            <v>0</v>
          </cell>
          <cell r="IG19">
            <v>0</v>
          </cell>
          <cell r="IH19">
            <v>0</v>
          </cell>
          <cell r="II19">
            <v>0</v>
          </cell>
          <cell r="IJ19">
            <v>0</v>
          </cell>
          <cell r="IK19">
            <v>331</v>
          </cell>
          <cell r="IL19">
            <v>200</v>
          </cell>
          <cell r="IM19">
            <v>531</v>
          </cell>
          <cell r="IN19">
            <v>0</v>
          </cell>
          <cell r="IO19">
            <v>0</v>
          </cell>
          <cell r="IP19">
            <v>0</v>
          </cell>
          <cell r="IQ19">
            <v>14.414519906323184</v>
          </cell>
        </row>
        <row r="20">
          <cell r="A20">
            <v>49</v>
          </cell>
          <cell r="B20">
            <v>2004</v>
          </cell>
          <cell r="C20" t="str">
            <v>2004</v>
          </cell>
          <cell r="D20">
            <v>38652.953472222223</v>
          </cell>
          <cell r="E20" t="str">
            <v>db_simonseh</v>
          </cell>
          <cell r="F20" t="str">
            <v>H</v>
          </cell>
          <cell r="G20">
            <v>29031</v>
          </cell>
          <cell r="H20">
            <v>0</v>
          </cell>
          <cell r="I20">
            <v>29031</v>
          </cell>
          <cell r="J20">
            <v>0</v>
          </cell>
          <cell r="K20">
            <v>0</v>
          </cell>
          <cell r="L20">
            <v>0</v>
          </cell>
          <cell r="M20">
            <v>575</v>
          </cell>
          <cell r="N20">
            <v>0</v>
          </cell>
          <cell r="O20">
            <v>-20159</v>
          </cell>
          <cell r="P20">
            <v>-8050</v>
          </cell>
          <cell r="Q20">
            <v>-4352</v>
          </cell>
          <cell r="R20">
            <v>-10224</v>
          </cell>
          <cell r="S20">
            <v>8872</v>
          </cell>
          <cell r="T20">
            <v>30.560434999999998</v>
          </cell>
          <cell r="U20">
            <v>-1643</v>
          </cell>
          <cell r="V20">
            <v>-249</v>
          </cell>
          <cell r="W20">
            <v>6980</v>
          </cell>
          <cell r="X20">
            <v>24.043264000000001</v>
          </cell>
          <cell r="Y20">
            <v>-117</v>
          </cell>
          <cell r="Z20">
            <v>235</v>
          </cell>
          <cell r="AA20">
            <v>6.4524990000000004</v>
          </cell>
          <cell r="AB20">
            <v>-107</v>
          </cell>
          <cell r="AC20">
            <v>5.4942229999999999</v>
          </cell>
          <cell r="AD20">
            <v>533</v>
          </cell>
          <cell r="AE20">
            <v>-67</v>
          </cell>
          <cell r="AF20">
            <v>0</v>
          </cell>
          <cell r="AG20">
            <v>99</v>
          </cell>
          <cell r="AH20">
            <v>7457</v>
          </cell>
          <cell r="AI20">
            <v>25.686335</v>
          </cell>
          <cell r="AJ20">
            <v>0</v>
          </cell>
          <cell r="AK20">
            <v>-2444</v>
          </cell>
          <cell r="AL20">
            <v>32.774574000000001</v>
          </cell>
          <cell r="AM20">
            <v>0</v>
          </cell>
          <cell r="AN20">
            <v>32.774574000000001</v>
          </cell>
          <cell r="AO20">
            <v>5013</v>
          </cell>
          <cell r="AP20">
            <v>17.267748000000001</v>
          </cell>
          <cell r="AQ20">
            <v>0</v>
          </cell>
          <cell r="AR20">
            <v>0</v>
          </cell>
          <cell r="AS20">
            <v>0</v>
          </cell>
          <cell r="AT20">
            <v>5013</v>
          </cell>
          <cell r="AU20">
            <v>0</v>
          </cell>
          <cell r="AV20">
            <v>0</v>
          </cell>
          <cell r="AW20">
            <v>0</v>
          </cell>
          <cell r="AX20">
            <v>0</v>
          </cell>
          <cell r="AY20">
            <v>5013</v>
          </cell>
          <cell r="AZ20">
            <v>8755</v>
          </cell>
          <cell r="BA20">
            <v>6863</v>
          </cell>
          <cell r="BB20">
            <v>19.551482</v>
          </cell>
          <cell r="BC20">
            <v>20.784043</v>
          </cell>
          <cell r="BD20">
            <v>25.729043951064796</v>
          </cell>
          <cell r="BE20">
            <v>19.064682999999999</v>
          </cell>
          <cell r="BF20">
            <v>10.983256000000001</v>
          </cell>
          <cell r="BG20">
            <v>11.729834</v>
          </cell>
          <cell r="BH20">
            <v>10.913864</v>
          </cell>
          <cell r="BI20">
            <v>8.6888819999999996</v>
          </cell>
          <cell r="BJ20">
            <v>1.0981559999999999</v>
          </cell>
          <cell r="BK20">
            <v>3.7243949999999999</v>
          </cell>
          <cell r="BL20">
            <v>4.8255330000000001</v>
          </cell>
          <cell r="BM20">
            <v>4.8255330000000001</v>
          </cell>
          <cell r="BN20">
            <v>9.0909089999999999</v>
          </cell>
          <cell r="BO20">
            <v>14.830849000000001</v>
          </cell>
          <cell r="BP20">
            <v>14.830849000000001</v>
          </cell>
          <cell r="BQ20">
            <v>32.364970999999997</v>
          </cell>
          <cell r="BR20">
            <v>0</v>
          </cell>
          <cell r="BS20">
            <v>19520</v>
          </cell>
          <cell r="BT20">
            <v>10063</v>
          </cell>
          <cell r="BU20">
            <v>1487.2438520000001</v>
          </cell>
          <cell r="BV20">
            <v>357.58196700000002</v>
          </cell>
          <cell r="BW20">
            <v>0</v>
          </cell>
          <cell r="BX20">
            <v>0</v>
          </cell>
          <cell r="BY20">
            <v>0</v>
          </cell>
          <cell r="BZ20">
            <v>0</v>
          </cell>
          <cell r="CA20">
            <v>460</v>
          </cell>
          <cell r="CB20">
            <v>7482</v>
          </cell>
          <cell r="CC20">
            <v>-162</v>
          </cell>
          <cell r="CD20">
            <v>0</v>
          </cell>
          <cell r="CE20">
            <v>-162</v>
          </cell>
          <cell r="CF20">
            <v>269</v>
          </cell>
          <cell r="CG20">
            <v>7589</v>
          </cell>
          <cell r="CH20">
            <v>-3139</v>
          </cell>
          <cell r="CI20">
            <v>0</v>
          </cell>
          <cell r="CJ20">
            <v>140</v>
          </cell>
          <cell r="CK20">
            <v>1310</v>
          </cell>
          <cell r="CL20">
            <v>-312</v>
          </cell>
          <cell r="CM20">
            <v>5588</v>
          </cell>
          <cell r="CN20">
            <v>505</v>
          </cell>
          <cell r="CO20">
            <v>-574</v>
          </cell>
          <cell r="CP20">
            <v>-1488</v>
          </cell>
          <cell r="CQ20">
            <v>-1982</v>
          </cell>
          <cell r="CR20">
            <v>87</v>
          </cell>
          <cell r="CS20">
            <v>2205</v>
          </cell>
          <cell r="CT20">
            <v>0</v>
          </cell>
          <cell r="CU20">
            <v>0</v>
          </cell>
          <cell r="CV20">
            <v>2136</v>
          </cell>
          <cell r="CW20">
            <v>7482</v>
          </cell>
          <cell r="CX20">
            <v>22.135331000000001</v>
          </cell>
          <cell r="CY20">
            <v>22.451888</v>
          </cell>
          <cell r="CZ20">
            <v>16.531974000000002</v>
          </cell>
          <cell r="DA20">
            <v>1.088622</v>
          </cell>
          <cell r="DB20">
            <v>24.809843000000001</v>
          </cell>
          <cell r="DC20">
            <v>142.79115400000001</v>
          </cell>
          <cell r="DD20">
            <v>241.764893</v>
          </cell>
          <cell r="DE20">
            <v>10.812580000000001</v>
          </cell>
          <cell r="DF20">
            <v>191.052952</v>
          </cell>
          <cell r="DG20">
            <v>439.17824100000001</v>
          </cell>
          <cell r="DH20">
            <v>7092.5233639999997</v>
          </cell>
          <cell r="DI20">
            <v>3959</v>
          </cell>
          <cell r="DJ20">
            <v>6627</v>
          </cell>
          <cell r="DK20">
            <v>7163</v>
          </cell>
          <cell r="DL20">
            <v>769</v>
          </cell>
          <cell r="DM20">
            <v>18518</v>
          </cell>
          <cell r="DN20">
            <v>0</v>
          </cell>
          <cell r="DO20">
            <v>159</v>
          </cell>
          <cell r="DP20">
            <v>314</v>
          </cell>
          <cell r="DQ20">
            <v>17559</v>
          </cell>
          <cell r="DR20">
            <v>883</v>
          </cell>
          <cell r="DS20">
            <v>18915</v>
          </cell>
          <cell r="DT20">
            <v>37433</v>
          </cell>
          <cell r="DU20">
            <v>1061</v>
          </cell>
          <cell r="DV20">
            <v>5712</v>
          </cell>
          <cell r="DW20">
            <v>507</v>
          </cell>
          <cell r="DX20">
            <v>0</v>
          </cell>
          <cell r="DY20">
            <v>7280</v>
          </cell>
          <cell r="DZ20">
            <v>1188</v>
          </cell>
          <cell r="EA20">
            <v>0</v>
          </cell>
          <cell r="EB20">
            <v>0</v>
          </cell>
          <cell r="EC20">
            <v>250</v>
          </cell>
          <cell r="ED20">
            <v>358</v>
          </cell>
          <cell r="EE20">
            <v>1853</v>
          </cell>
          <cell r="EF20">
            <v>3649</v>
          </cell>
          <cell r="EG20">
            <v>0</v>
          </cell>
          <cell r="EH20">
            <v>709</v>
          </cell>
          <cell r="EI20">
            <v>2565</v>
          </cell>
          <cell r="EJ20">
            <v>23230</v>
          </cell>
          <cell r="EK20">
            <v>26504</v>
          </cell>
          <cell r="EL20">
            <v>37433</v>
          </cell>
          <cell r="EM20">
            <v>0</v>
          </cell>
          <cell r="EN20">
            <v>0</v>
          </cell>
          <cell r="EO20">
            <v>0</v>
          </cell>
          <cell r="EP20">
            <v>77.554563999999999</v>
          </cell>
          <cell r="EQ20">
            <v>83.319727</v>
          </cell>
          <cell r="ER20">
            <v>90.058729999999997</v>
          </cell>
          <cell r="ES20">
            <v>13.339706</v>
          </cell>
          <cell r="ET20">
            <v>71.815645000000004</v>
          </cell>
          <cell r="EU20">
            <v>26.819607000000001</v>
          </cell>
          <cell r="EV20">
            <v>0</v>
          </cell>
          <cell r="EW20">
            <v>-2014</v>
          </cell>
          <cell r="EX20">
            <v>-7.5988530000000001</v>
          </cell>
          <cell r="EY20">
            <v>7.3385150000000001</v>
          </cell>
          <cell r="EZ20">
            <v>70.803836000000004</v>
          </cell>
          <cell r="FA20">
            <v>67.429907</v>
          </cell>
          <cell r="FB20">
            <v>1.5597529999999999</v>
          </cell>
          <cell r="FC20">
            <v>2.5436809999999999</v>
          </cell>
          <cell r="FD20">
            <v>79.694500000000005</v>
          </cell>
          <cell r="FE20">
            <v>79.694500000000005</v>
          </cell>
          <cell r="FF20">
            <v>-6.0558680000000003</v>
          </cell>
          <cell r="FG20">
            <v>0</v>
          </cell>
          <cell r="FH20">
            <v>0</v>
          </cell>
          <cell r="FI20">
            <v>0</v>
          </cell>
          <cell r="FJ20">
            <v>0</v>
          </cell>
          <cell r="FK20">
            <v>0</v>
          </cell>
          <cell r="FL20">
            <v>29031</v>
          </cell>
          <cell r="FM20">
            <v>0</v>
          </cell>
          <cell r="FN20">
            <v>0</v>
          </cell>
          <cell r="FO20">
            <v>0</v>
          </cell>
          <cell r="FP20">
            <v>0</v>
          </cell>
          <cell r="FQ20">
            <v>0</v>
          </cell>
          <cell r="FR20">
            <v>0</v>
          </cell>
          <cell r="FS20">
            <v>-100</v>
          </cell>
          <cell r="FT20">
            <v>0</v>
          </cell>
          <cell r="FU20">
            <v>0</v>
          </cell>
          <cell r="FV20">
            <v>0</v>
          </cell>
          <cell r="FW20">
            <v>-100</v>
          </cell>
          <cell r="FX20">
            <v>7786</v>
          </cell>
          <cell r="FY20">
            <v>18915</v>
          </cell>
          <cell r="FZ20">
            <v>-2211</v>
          </cell>
          <cell r="GA20">
            <v>24490</v>
          </cell>
          <cell r="GB20">
            <v>28449</v>
          </cell>
          <cell r="GC20">
            <v>332.57</v>
          </cell>
          <cell r="GD20">
            <v>338.01166699999999</v>
          </cell>
          <cell r="GE20">
            <v>0</v>
          </cell>
          <cell r="GF20">
            <v>0</v>
          </cell>
          <cell r="GG20">
            <v>332.57</v>
          </cell>
          <cell r="GH20">
            <v>338.01166699999999</v>
          </cell>
          <cell r="GI20">
            <v>332.57</v>
          </cell>
          <cell r="GJ20">
            <v>338.01166699999999</v>
          </cell>
          <cell r="GK20">
            <v>4.8</v>
          </cell>
          <cell r="GL20">
            <v>4.8</v>
          </cell>
          <cell r="GM20">
            <v>4.8</v>
          </cell>
          <cell r="GN20">
            <v>4.8</v>
          </cell>
          <cell r="GO20">
            <v>332.57</v>
          </cell>
          <cell r="GP20">
            <v>338.01166699999999</v>
          </cell>
          <cell r="GQ20">
            <v>332.57</v>
          </cell>
          <cell r="GR20">
            <v>338.01166699999999</v>
          </cell>
          <cell r="GS20">
            <v>344.5</v>
          </cell>
          <cell r="GT20">
            <v>299</v>
          </cell>
          <cell r="GU20">
            <v>333.5</v>
          </cell>
          <cell r="GV20">
            <v>230.5</v>
          </cell>
          <cell r="GW20">
            <v>294.26574803149606</v>
          </cell>
          <cell r="GX20">
            <v>114570.36499999999</v>
          </cell>
          <cell r="GY20">
            <v>99438.43</v>
          </cell>
          <cell r="GZ20">
            <v>110912.095</v>
          </cell>
          <cell r="HA20">
            <v>76657.384999999995</v>
          </cell>
          <cell r="HB20">
            <v>97863.959822834644</v>
          </cell>
          <cell r="HC20">
            <v>23.228609501721714</v>
          </cell>
          <cell r="HD20">
            <v>20.160679944890546</v>
          </cell>
          <cell r="HE20">
            <v>4.3227575303189054</v>
          </cell>
          <cell r="HF20">
            <v>3.7518272904654646</v>
          </cell>
          <cell r="HG20">
            <v>4.3227575303189054</v>
          </cell>
          <cell r="HH20">
            <v>3.7518272904654646</v>
          </cell>
          <cell r="HI20">
            <v>15.563354349659374</v>
          </cell>
          <cell r="HJ20">
            <v>13.507816982723231</v>
          </cell>
          <cell r="HK20">
            <v>1.3933236574746009</v>
          </cell>
          <cell r="HL20">
            <v>1.6053511705685617</v>
          </cell>
          <cell r="HM20">
            <v>16.400461168585167</v>
          </cell>
          <cell r="HN20">
            <v>14.195603963281362</v>
          </cell>
          <cell r="HO20">
            <v>12.856238149628782</v>
          </cell>
          <cell r="HP20">
            <v>11.127861793260992</v>
          </cell>
          <cell r="HQ20">
            <v>3.8771094691881087</v>
          </cell>
          <cell r="HR20">
            <v>3.355875787950811</v>
          </cell>
          <cell r="HS20">
            <v>20.502928596993556</v>
          </cell>
          <cell r="HT20">
            <v>17.794994631352896</v>
          </cell>
          <cell r="HU20">
            <v>1.5799454755680173</v>
          </cell>
          <cell r="HV20">
            <v>1</v>
          </cell>
          <cell r="HW20">
            <v>0</v>
          </cell>
          <cell r="HX20">
            <v>0</v>
          </cell>
          <cell r="HY20">
            <v>0</v>
          </cell>
          <cell r="HZ20">
            <v>0</v>
          </cell>
          <cell r="IA20">
            <v>0</v>
          </cell>
          <cell r="IB20">
            <v>0</v>
          </cell>
          <cell r="IC20">
            <v>0</v>
          </cell>
          <cell r="ID20">
            <v>0</v>
          </cell>
          <cell r="IE20">
            <v>0</v>
          </cell>
          <cell r="IF20">
            <v>0</v>
          </cell>
          <cell r="IG20">
            <v>0</v>
          </cell>
          <cell r="IH20">
            <v>0</v>
          </cell>
          <cell r="II20">
            <v>0</v>
          </cell>
          <cell r="IJ20">
            <v>0</v>
          </cell>
          <cell r="IK20">
            <v>314</v>
          </cell>
          <cell r="IL20">
            <v>449</v>
          </cell>
          <cell r="IM20">
            <v>763</v>
          </cell>
          <cell r="IN20">
            <v>0</v>
          </cell>
          <cell r="IO20">
            <v>0</v>
          </cell>
          <cell r="IP20">
            <v>0</v>
          </cell>
          <cell r="IQ20">
            <v>15.567509981837402</v>
          </cell>
        </row>
        <row r="21">
          <cell r="A21">
            <v>49</v>
          </cell>
          <cell r="B21">
            <v>2005</v>
          </cell>
          <cell r="C21" t="str">
            <v>2005E</v>
          </cell>
          <cell r="D21">
            <v>38652.953472222223</v>
          </cell>
          <cell r="E21" t="str">
            <v>db_simonseh</v>
          </cell>
          <cell r="F21" t="str">
            <v>F</v>
          </cell>
          <cell r="G21">
            <v>33496</v>
          </cell>
          <cell r="H21">
            <v>0</v>
          </cell>
          <cell r="I21">
            <v>33496</v>
          </cell>
          <cell r="J21">
            <v>0</v>
          </cell>
          <cell r="K21">
            <v>0</v>
          </cell>
          <cell r="L21">
            <v>0</v>
          </cell>
          <cell r="M21">
            <v>374</v>
          </cell>
          <cell r="N21">
            <v>0</v>
          </cell>
          <cell r="O21">
            <v>-23192</v>
          </cell>
          <cell r="P21">
            <v>-9078</v>
          </cell>
          <cell r="Q21">
            <v>-4979</v>
          </cell>
          <cell r="R21">
            <v>-11709</v>
          </cell>
          <cell r="S21">
            <v>10304</v>
          </cell>
          <cell r="T21">
            <v>30.761882</v>
          </cell>
          <cell r="U21">
            <v>-2100</v>
          </cell>
          <cell r="V21">
            <v>-100</v>
          </cell>
          <cell r="W21">
            <v>8104</v>
          </cell>
          <cell r="X21">
            <v>24.193933999999999</v>
          </cell>
          <cell r="Y21">
            <v>289</v>
          </cell>
          <cell r="Z21">
            <v>92.222887999999998</v>
          </cell>
          <cell r="AA21">
            <v>3</v>
          </cell>
          <cell r="AB21">
            <v>-124.869</v>
          </cell>
          <cell r="AC21">
            <v>6.42</v>
          </cell>
          <cell r="AD21">
            <v>-95</v>
          </cell>
          <cell r="AE21">
            <v>0</v>
          </cell>
          <cell r="AF21">
            <v>0</v>
          </cell>
          <cell r="AG21">
            <v>99</v>
          </cell>
          <cell r="AH21">
            <v>8265.3538879999996</v>
          </cell>
          <cell r="AI21">
            <v>24.675644999999999</v>
          </cell>
          <cell r="AJ21">
            <v>0</v>
          </cell>
          <cell r="AK21">
            <v>-2377.1157779999999</v>
          </cell>
          <cell r="AL21">
            <v>28.76</v>
          </cell>
          <cell r="AM21">
            <v>0</v>
          </cell>
          <cell r="AN21">
            <v>28.76</v>
          </cell>
          <cell r="AO21">
            <v>5888.2381100000002</v>
          </cell>
          <cell r="AP21">
            <v>17.578928999999999</v>
          </cell>
          <cell r="AQ21">
            <v>0</v>
          </cell>
          <cell r="AR21">
            <v>0</v>
          </cell>
          <cell r="AS21">
            <v>0</v>
          </cell>
          <cell r="AT21">
            <v>5888.2381100000002</v>
          </cell>
          <cell r="AU21">
            <v>0</v>
          </cell>
          <cell r="AV21">
            <v>-550</v>
          </cell>
          <cell r="AW21">
            <v>0</v>
          </cell>
          <cell r="AX21">
            <v>0</v>
          </cell>
          <cell r="AY21">
            <v>5338.2381100000002</v>
          </cell>
          <cell r="AZ21">
            <v>10593</v>
          </cell>
          <cell r="BA21">
            <v>8393</v>
          </cell>
          <cell r="BB21">
            <v>21.687840999999999</v>
          </cell>
          <cell r="BC21">
            <v>20.227062</v>
          </cell>
          <cell r="BD21">
            <v>29.163901571650197</v>
          </cell>
          <cell r="BE21">
            <v>21.930183</v>
          </cell>
          <cell r="BF21">
            <v>15.380110999999999</v>
          </cell>
          <cell r="BG21">
            <v>15.15124</v>
          </cell>
          <cell r="BH21">
            <v>16.140667000000001</v>
          </cell>
          <cell r="BI21">
            <v>16.103152000000001</v>
          </cell>
          <cell r="BJ21">
            <v>10.840202</v>
          </cell>
          <cell r="BK21">
            <v>17.459368000000001</v>
          </cell>
          <cell r="BL21">
            <v>21.061233000000001</v>
          </cell>
          <cell r="BM21">
            <v>9.7533209999999997</v>
          </cell>
          <cell r="BN21">
            <v>12.5</v>
          </cell>
          <cell r="BO21">
            <v>17.954408999999998</v>
          </cell>
          <cell r="BP21">
            <v>16.277349000000001</v>
          </cell>
          <cell r="BQ21">
            <v>30.076177999999999</v>
          </cell>
          <cell r="BR21">
            <v>0</v>
          </cell>
          <cell r="BS21">
            <v>21500</v>
          </cell>
          <cell r="BT21">
            <v>0</v>
          </cell>
          <cell r="BU21">
            <v>1557.9534880000001</v>
          </cell>
          <cell r="BV21">
            <v>376.93023299999999</v>
          </cell>
          <cell r="BW21">
            <v>0</v>
          </cell>
          <cell r="BX21">
            <v>0</v>
          </cell>
          <cell r="BY21">
            <v>0</v>
          </cell>
          <cell r="BZ21">
            <v>0</v>
          </cell>
          <cell r="CA21">
            <v>0</v>
          </cell>
          <cell r="CB21">
            <v>7249.2381100000002</v>
          </cell>
          <cell r="CC21">
            <v>-1072.7095890000001</v>
          </cell>
          <cell r="CD21">
            <v>0</v>
          </cell>
          <cell r="CE21">
            <v>-1072.7095890000001</v>
          </cell>
          <cell r="CF21">
            <v>650</v>
          </cell>
          <cell r="CG21">
            <v>6826.5285210000002</v>
          </cell>
          <cell r="CH21">
            <v>-4000</v>
          </cell>
          <cell r="CI21">
            <v>0</v>
          </cell>
          <cell r="CJ21">
            <v>0</v>
          </cell>
          <cell r="CK21">
            <v>0</v>
          </cell>
          <cell r="CL21">
            <v>0</v>
          </cell>
          <cell r="CM21">
            <v>2826.5285210000002</v>
          </cell>
          <cell r="CN21">
            <v>0</v>
          </cell>
          <cell r="CO21">
            <v>0</v>
          </cell>
          <cell r="CP21">
            <v>-1596.336</v>
          </cell>
          <cell r="CQ21">
            <v>-3000</v>
          </cell>
          <cell r="CR21">
            <v>0</v>
          </cell>
          <cell r="CS21">
            <v>-1769.8074790000001</v>
          </cell>
          <cell r="CT21">
            <v>0</v>
          </cell>
          <cell r="CU21">
            <v>0</v>
          </cell>
          <cell r="CV21">
            <v>-1769.8074790000001</v>
          </cell>
          <cell r="CW21">
            <v>7249.2381100000002</v>
          </cell>
          <cell r="CX21">
            <v>22.104368000000001</v>
          </cell>
          <cell r="CY21">
            <v>20.815442999999998</v>
          </cell>
          <cell r="CZ21">
            <v>8.6186469999999993</v>
          </cell>
          <cell r="DA21">
            <v>-0.139877</v>
          </cell>
          <cell r="DB21">
            <v>-7.2886749999999996</v>
          </cell>
          <cell r="DC21">
            <v>-47.866796999999998</v>
          </cell>
          <cell r="DD21">
            <v>170.66321300000001</v>
          </cell>
          <cell r="DE21">
            <v>11.941724000000001</v>
          </cell>
          <cell r="DF21">
            <v>190.47619</v>
          </cell>
          <cell r="DG21">
            <v>402.745045</v>
          </cell>
          <cell r="DH21">
            <v>5466.952182</v>
          </cell>
          <cell r="DI21">
            <v>2189.1925209999999</v>
          </cell>
          <cell r="DJ21">
            <v>7525.1287670000002</v>
          </cell>
          <cell r="DK21">
            <v>7341.5890410000002</v>
          </cell>
          <cell r="DL21">
            <v>500</v>
          </cell>
          <cell r="DM21">
            <v>17555.910328999998</v>
          </cell>
          <cell r="DN21">
            <v>0</v>
          </cell>
          <cell r="DO21">
            <v>448</v>
          </cell>
          <cell r="DP21">
            <v>214</v>
          </cell>
          <cell r="DQ21">
            <v>20009</v>
          </cell>
          <cell r="DR21">
            <v>883</v>
          </cell>
          <cell r="DS21">
            <v>21554</v>
          </cell>
          <cell r="DT21">
            <v>39109.910328999998</v>
          </cell>
          <cell r="DU21">
            <v>1193.0082190000001</v>
          </cell>
          <cell r="DV21">
            <v>5139.1123289999996</v>
          </cell>
          <cell r="DW21">
            <v>652.27955899999995</v>
          </cell>
          <cell r="DX21">
            <v>175.88767100000001</v>
          </cell>
          <cell r="DY21">
            <v>7160.2877779999999</v>
          </cell>
          <cell r="DZ21">
            <v>1042.7204409999999</v>
          </cell>
          <cell r="EA21">
            <v>650</v>
          </cell>
          <cell r="EB21">
            <v>0</v>
          </cell>
          <cell r="EC21">
            <v>250</v>
          </cell>
          <cell r="ED21">
            <v>358</v>
          </cell>
          <cell r="EE21">
            <v>1853</v>
          </cell>
          <cell r="EF21">
            <v>4153.7204410000004</v>
          </cell>
          <cell r="EG21">
            <v>0</v>
          </cell>
          <cell r="EH21">
            <v>-2291</v>
          </cell>
          <cell r="EI21">
            <v>2565</v>
          </cell>
          <cell r="EJ21">
            <v>27521.902109999999</v>
          </cell>
          <cell r="EK21">
            <v>27795.902109999999</v>
          </cell>
          <cell r="EL21">
            <v>39109.910328999998</v>
          </cell>
          <cell r="EM21">
            <v>0</v>
          </cell>
          <cell r="EN21">
            <v>0</v>
          </cell>
          <cell r="EO21">
            <v>0</v>
          </cell>
          <cell r="EP21">
            <v>85.645810999999995</v>
          </cell>
          <cell r="EQ21">
            <v>82</v>
          </cell>
          <cell r="ER21">
            <v>80</v>
          </cell>
          <cell r="ES21">
            <v>13</v>
          </cell>
          <cell r="ET21">
            <v>56</v>
          </cell>
          <cell r="EU21">
            <v>26.447067000000001</v>
          </cell>
          <cell r="EV21">
            <v>0</v>
          </cell>
          <cell r="EW21">
            <v>-244.192521</v>
          </cell>
          <cell r="EX21">
            <v>-0.87851999999999997</v>
          </cell>
          <cell r="EY21">
            <v>6.9974340000000002</v>
          </cell>
          <cell r="EZ21">
            <v>71.071250000000006</v>
          </cell>
          <cell r="FA21">
            <v>65.638571999999996</v>
          </cell>
          <cell r="FB21">
            <v>1.4265239999999999</v>
          </cell>
          <cell r="FC21">
            <v>2.4518439999999999</v>
          </cell>
          <cell r="FD21">
            <v>85.964934999999997</v>
          </cell>
          <cell r="FE21">
            <v>85.964934999999997</v>
          </cell>
          <cell r="FF21">
            <v>-0.75521899999999997</v>
          </cell>
          <cell r="FG21">
            <v>0</v>
          </cell>
          <cell r="FH21">
            <v>0</v>
          </cell>
          <cell r="FI21">
            <v>0</v>
          </cell>
          <cell r="FJ21">
            <v>0</v>
          </cell>
          <cell r="FK21">
            <v>0</v>
          </cell>
          <cell r="FL21">
            <v>33496</v>
          </cell>
          <cell r="FM21">
            <v>0</v>
          </cell>
          <cell r="FN21">
            <v>0</v>
          </cell>
          <cell r="FO21">
            <v>0</v>
          </cell>
          <cell r="FP21">
            <v>0</v>
          </cell>
          <cell r="FQ21">
            <v>0</v>
          </cell>
          <cell r="FR21">
            <v>0</v>
          </cell>
          <cell r="FS21">
            <v>0</v>
          </cell>
          <cell r="FT21">
            <v>0</v>
          </cell>
          <cell r="FU21">
            <v>0</v>
          </cell>
          <cell r="FV21">
            <v>0</v>
          </cell>
          <cell r="FW21">
            <v>0</v>
          </cell>
          <cell r="FX21">
            <v>8858.7095890000001</v>
          </cell>
          <cell r="FY21">
            <v>21554</v>
          </cell>
          <cell r="FZ21">
            <v>-2861</v>
          </cell>
          <cell r="GA21">
            <v>27551.709588999998</v>
          </cell>
          <cell r="GB21">
            <v>29740.902109999999</v>
          </cell>
          <cell r="GC21">
            <v>323.33999999999997</v>
          </cell>
          <cell r="GD21">
            <v>327.95499999999998</v>
          </cell>
          <cell r="GE21">
            <v>0</v>
          </cell>
          <cell r="GF21">
            <v>0</v>
          </cell>
          <cell r="GG21">
            <v>323.33999999999997</v>
          </cell>
          <cell r="GH21">
            <v>327.95499999999998</v>
          </cell>
          <cell r="GI21">
            <v>323.33999999999997</v>
          </cell>
          <cell r="GJ21">
            <v>327.95499999999998</v>
          </cell>
          <cell r="GK21">
            <v>5.4</v>
          </cell>
          <cell r="GL21">
            <v>5.4</v>
          </cell>
          <cell r="GM21">
            <v>5.4</v>
          </cell>
          <cell r="GN21">
            <v>5.4</v>
          </cell>
          <cell r="GO21">
            <v>323.33999999999997</v>
          </cell>
          <cell r="GP21">
            <v>327.95499999999998</v>
          </cell>
          <cell r="GQ21">
            <v>323.33999999999997</v>
          </cell>
          <cell r="GR21">
            <v>327.95499999999998</v>
          </cell>
          <cell r="GS21">
            <v>344.5</v>
          </cell>
          <cell r="GT21">
            <v>344.5</v>
          </cell>
          <cell r="GU21">
            <v>344.5</v>
          </cell>
          <cell r="GV21">
            <v>283</v>
          </cell>
          <cell r="GW21">
            <v>314.53794642857144</v>
          </cell>
          <cell r="GX21">
            <v>111390.63</v>
          </cell>
          <cell r="GY21">
            <v>111390.63</v>
          </cell>
          <cell r="GZ21">
            <v>111390.63</v>
          </cell>
          <cell r="HA21">
            <v>91505.22</v>
          </cell>
          <cell r="HB21">
            <v>101702.69959821428</v>
          </cell>
          <cell r="HC21">
            <v>21.164380022815752</v>
          </cell>
          <cell r="HD21">
            <v>21.164380022815752</v>
          </cell>
          <cell r="HE21">
            <v>4.0074479204806011</v>
          </cell>
          <cell r="HF21">
            <v>4.0074479204806011</v>
          </cell>
          <cell r="HG21">
            <v>4.0074479204806011</v>
          </cell>
          <cell r="HH21">
            <v>4.0074479204806011</v>
          </cell>
          <cell r="HI21">
            <v>15.585154934083615</v>
          </cell>
          <cell r="HJ21">
            <v>15.585154934083615</v>
          </cell>
          <cell r="HK21">
            <v>1.567489114658926</v>
          </cell>
          <cell r="HL21">
            <v>1.567489114658926</v>
          </cell>
          <cell r="HM21">
            <v>13.242754376146788</v>
          </cell>
          <cell r="HN21">
            <v>13.242754376146788</v>
          </cell>
          <cell r="HO21">
            <v>10.492441940809968</v>
          </cell>
          <cell r="HP21">
            <v>10.492441940809968</v>
          </cell>
          <cell r="HQ21">
            <v>3.3182003068724621</v>
          </cell>
          <cell r="HR21">
            <v>3.3182003068724621</v>
          </cell>
          <cell r="HS21">
            <v>39.408988507425711</v>
          </cell>
          <cell r="HT21">
            <v>39.408988507425711</v>
          </cell>
          <cell r="HU21">
            <v>1.5314969017710094</v>
          </cell>
          <cell r="HV21">
            <v>1</v>
          </cell>
          <cell r="HW21">
            <v>0</v>
          </cell>
          <cell r="HX21">
            <v>0</v>
          </cell>
          <cell r="HY21">
            <v>0</v>
          </cell>
          <cell r="HZ21">
            <v>0</v>
          </cell>
          <cell r="IA21">
            <v>0</v>
          </cell>
          <cell r="IB21">
            <v>0</v>
          </cell>
          <cell r="IC21">
            <v>0</v>
          </cell>
          <cell r="ID21">
            <v>0</v>
          </cell>
          <cell r="IE21">
            <v>0</v>
          </cell>
          <cell r="IF21">
            <v>0</v>
          </cell>
          <cell r="IG21">
            <v>0</v>
          </cell>
          <cell r="IH21">
            <v>0</v>
          </cell>
          <cell r="II21">
            <v>0</v>
          </cell>
          <cell r="IJ21">
            <v>0</v>
          </cell>
          <cell r="IK21">
            <v>214</v>
          </cell>
          <cell r="IL21">
            <v>549</v>
          </cell>
          <cell r="IM21">
            <v>763</v>
          </cell>
          <cell r="IN21">
            <v>0</v>
          </cell>
          <cell r="IO21">
            <v>0</v>
          </cell>
          <cell r="IP21">
            <v>0</v>
          </cell>
          <cell r="IQ21">
            <v>16.582269244256072</v>
          </cell>
        </row>
        <row r="22">
          <cell r="A22">
            <v>49</v>
          </cell>
          <cell r="B22">
            <v>2006</v>
          </cell>
          <cell r="C22" t="str">
            <v>2006E</v>
          </cell>
          <cell r="D22">
            <v>38652.953472222223</v>
          </cell>
          <cell r="E22" t="str">
            <v>db_simonseh</v>
          </cell>
          <cell r="F22" t="str">
            <v>F</v>
          </cell>
          <cell r="G22">
            <v>37484.454695</v>
          </cell>
          <cell r="H22">
            <v>0</v>
          </cell>
          <cell r="I22">
            <v>37484.454695</v>
          </cell>
          <cell r="J22">
            <v>0</v>
          </cell>
          <cell r="K22">
            <v>0</v>
          </cell>
          <cell r="L22">
            <v>0</v>
          </cell>
          <cell r="M22">
            <v>350</v>
          </cell>
          <cell r="N22">
            <v>0</v>
          </cell>
          <cell r="O22">
            <v>-25778</v>
          </cell>
          <cell r="P22">
            <v>-9598</v>
          </cell>
          <cell r="Q22">
            <v>-5970</v>
          </cell>
          <cell r="R22">
            <v>-12960</v>
          </cell>
          <cell r="S22">
            <v>11706.454695</v>
          </cell>
          <cell r="T22">
            <v>31.230159</v>
          </cell>
          <cell r="U22">
            <v>-2300</v>
          </cell>
          <cell r="V22">
            <v>-100</v>
          </cell>
          <cell r="W22">
            <v>9306.4546950000004</v>
          </cell>
          <cell r="X22">
            <v>24.827504999999999</v>
          </cell>
          <cell r="Y22">
            <v>-220</v>
          </cell>
          <cell r="Z22">
            <v>147.815811</v>
          </cell>
          <cell r="AA22">
            <v>3.8</v>
          </cell>
          <cell r="AB22">
            <v>-38.9</v>
          </cell>
          <cell r="AC22">
            <v>2</v>
          </cell>
          <cell r="AD22">
            <v>-200</v>
          </cell>
          <cell r="AE22">
            <v>0</v>
          </cell>
          <cell r="AF22">
            <v>0</v>
          </cell>
          <cell r="AG22">
            <v>99</v>
          </cell>
          <cell r="AH22">
            <v>8995.3705059999993</v>
          </cell>
          <cell r="AI22">
            <v>23.997603000000002</v>
          </cell>
          <cell r="AJ22">
            <v>0</v>
          </cell>
          <cell r="AK22">
            <v>-2788.5648569999998</v>
          </cell>
          <cell r="AL22">
            <v>31</v>
          </cell>
          <cell r="AM22">
            <v>0</v>
          </cell>
          <cell r="AN22">
            <v>31</v>
          </cell>
          <cell r="AO22">
            <v>6206.8056489999999</v>
          </cell>
          <cell r="AP22">
            <v>16.558346</v>
          </cell>
          <cell r="AQ22">
            <v>0</v>
          </cell>
          <cell r="AR22">
            <v>0</v>
          </cell>
          <cell r="AS22">
            <v>0</v>
          </cell>
          <cell r="AT22">
            <v>6206.8056489999999</v>
          </cell>
          <cell r="AU22">
            <v>0</v>
          </cell>
          <cell r="AV22">
            <v>0</v>
          </cell>
          <cell r="AW22">
            <v>0</v>
          </cell>
          <cell r="AX22">
            <v>0</v>
          </cell>
          <cell r="AY22">
            <v>6206.8056489999999</v>
          </cell>
          <cell r="AZ22">
            <v>11486.454695</v>
          </cell>
          <cell r="BA22">
            <v>9086.4546950000004</v>
          </cell>
          <cell r="BB22">
            <v>20.671239</v>
          </cell>
          <cell r="BC22">
            <v>21.119634000000001</v>
          </cell>
          <cell r="BD22">
            <v>28.883011575099786</v>
          </cell>
          <cell r="BE22">
            <v>21.931895000000001</v>
          </cell>
          <cell r="BF22">
            <v>11.907257</v>
          </cell>
          <cell r="BG22">
            <v>10.971959999999999</v>
          </cell>
          <cell r="BH22">
            <v>13.610779000000001</v>
          </cell>
          <cell r="BI22">
            <v>14.837792</v>
          </cell>
          <cell r="BJ22">
            <v>8.8322489999999991</v>
          </cell>
          <cell r="BK22">
            <v>5.4102350000000001</v>
          </cell>
          <cell r="BL22">
            <v>6.9147449999999999</v>
          </cell>
          <cell r="BM22">
            <v>17.930198000000001</v>
          </cell>
          <cell r="BN22">
            <v>11.111110999999999</v>
          </cell>
          <cell r="BO22">
            <v>19.195910000000001</v>
          </cell>
          <cell r="BP22">
            <v>19.195910000000001</v>
          </cell>
          <cell r="BQ22">
            <v>31.256658000000002</v>
          </cell>
          <cell r="BR22">
            <v>0</v>
          </cell>
          <cell r="BS22">
            <v>23000</v>
          </cell>
          <cell r="BT22">
            <v>0</v>
          </cell>
          <cell r="BU22">
            <v>1629.7589</v>
          </cell>
          <cell r="BV22">
            <v>404.62846500000001</v>
          </cell>
          <cell r="BW22">
            <v>0</v>
          </cell>
          <cell r="BX22">
            <v>0</v>
          </cell>
          <cell r="BY22">
            <v>0</v>
          </cell>
          <cell r="BZ22">
            <v>0</v>
          </cell>
          <cell r="CA22">
            <v>0</v>
          </cell>
          <cell r="CB22">
            <v>8826.8056489999999</v>
          </cell>
          <cell r="CC22">
            <v>-1179.375153</v>
          </cell>
          <cell r="CD22">
            <v>0</v>
          </cell>
          <cell r="CE22">
            <v>-1179.375153</v>
          </cell>
          <cell r="CF22">
            <v>0</v>
          </cell>
          <cell r="CG22">
            <v>7647.4304959999999</v>
          </cell>
          <cell r="CH22">
            <v>-2500</v>
          </cell>
          <cell r="CI22">
            <v>0</v>
          </cell>
          <cell r="CJ22">
            <v>0</v>
          </cell>
          <cell r="CK22">
            <v>0</v>
          </cell>
          <cell r="CL22">
            <v>0</v>
          </cell>
          <cell r="CM22">
            <v>5147.4304959999999</v>
          </cell>
          <cell r="CN22">
            <v>0</v>
          </cell>
          <cell r="CO22">
            <v>0</v>
          </cell>
          <cell r="CP22">
            <v>-1746.0360000000001</v>
          </cell>
          <cell r="CQ22">
            <v>0</v>
          </cell>
          <cell r="CR22">
            <v>0</v>
          </cell>
          <cell r="CS22">
            <v>3401.3944959999999</v>
          </cell>
          <cell r="CT22">
            <v>0</v>
          </cell>
          <cell r="CU22">
            <v>0</v>
          </cell>
          <cell r="CV22">
            <v>3401.3944959999999</v>
          </cell>
          <cell r="CW22">
            <v>8826.8056489999999</v>
          </cell>
          <cell r="CX22">
            <v>27.298836000000001</v>
          </cell>
          <cell r="CY22">
            <v>23.651358999999999</v>
          </cell>
          <cell r="CZ22">
            <v>15.919560000000001</v>
          </cell>
          <cell r="DA22">
            <v>23.499734</v>
          </cell>
          <cell r="DB22">
            <v>13.624098999999999</v>
          </cell>
          <cell r="DC22">
            <v>84.710651999999996</v>
          </cell>
          <cell r="DD22">
            <v>305.89722</v>
          </cell>
          <cell r="DE22">
            <v>6.6694310000000003</v>
          </cell>
          <cell r="DF22">
            <v>108.695652</v>
          </cell>
          <cell r="DG22">
            <v>451.17584099999999</v>
          </cell>
          <cell r="DH22">
            <v>19659.204361</v>
          </cell>
          <cell r="DI22">
            <v>5590.5870169999998</v>
          </cell>
          <cell r="DJ22">
            <v>8215.7708920000005</v>
          </cell>
          <cell r="DK22">
            <v>8010.37662</v>
          </cell>
          <cell r="DL22">
            <v>500</v>
          </cell>
          <cell r="DM22">
            <v>22316.734529000001</v>
          </cell>
          <cell r="DN22">
            <v>0</v>
          </cell>
          <cell r="DO22">
            <v>228</v>
          </cell>
          <cell r="DP22">
            <v>114</v>
          </cell>
          <cell r="DQ22">
            <v>20209</v>
          </cell>
          <cell r="DR22">
            <v>883</v>
          </cell>
          <cell r="DS22">
            <v>21434</v>
          </cell>
          <cell r="DT22">
            <v>43750.734529000001</v>
          </cell>
          <cell r="DU22">
            <v>1335.06277</v>
          </cell>
          <cell r="DV22">
            <v>5186.2053759999999</v>
          </cell>
          <cell r="DW22">
            <v>337.75388500000003</v>
          </cell>
          <cell r="DX22">
            <v>166.794624</v>
          </cell>
          <cell r="DY22">
            <v>7025.8166549999996</v>
          </cell>
          <cell r="DZ22">
            <v>1357.2461149999999</v>
          </cell>
          <cell r="EA22">
            <v>650</v>
          </cell>
          <cell r="EB22">
            <v>0</v>
          </cell>
          <cell r="EC22">
            <v>250</v>
          </cell>
          <cell r="ED22">
            <v>358</v>
          </cell>
          <cell r="EE22">
            <v>1853</v>
          </cell>
          <cell r="EF22">
            <v>4468.2461149999999</v>
          </cell>
          <cell r="EG22">
            <v>0</v>
          </cell>
          <cell r="EH22">
            <v>-2291</v>
          </cell>
          <cell r="EI22">
            <v>2565</v>
          </cell>
          <cell r="EJ22">
            <v>31982.671759000001</v>
          </cell>
          <cell r="EK22">
            <v>32256.671759000001</v>
          </cell>
          <cell r="EL22">
            <v>43750.734529000001</v>
          </cell>
          <cell r="EM22">
            <v>0</v>
          </cell>
          <cell r="EN22">
            <v>0</v>
          </cell>
          <cell r="EO22">
            <v>0</v>
          </cell>
          <cell r="EP22">
            <v>85.677314999999993</v>
          </cell>
          <cell r="EQ22">
            <v>80</v>
          </cell>
          <cell r="ER22">
            <v>78</v>
          </cell>
          <cell r="ES22">
            <v>13</v>
          </cell>
          <cell r="ET22">
            <v>50.5</v>
          </cell>
          <cell r="EU22">
            <v>26.779326999999999</v>
          </cell>
          <cell r="EV22">
            <v>0</v>
          </cell>
          <cell r="EW22">
            <v>-3645.5870169999998</v>
          </cell>
          <cell r="EX22">
            <v>-11.301807999999999</v>
          </cell>
          <cell r="EY22">
            <v>6.0297599999999996</v>
          </cell>
          <cell r="EZ22">
            <v>73.728297999999995</v>
          </cell>
          <cell r="FA22">
            <v>243.04037299999999</v>
          </cell>
          <cell r="FB22">
            <v>2.0362559999999998</v>
          </cell>
          <cell r="FC22">
            <v>3.17639</v>
          </cell>
          <cell r="FD22">
            <v>99.760845000000003</v>
          </cell>
          <cell r="FE22">
            <v>99.760845000000003</v>
          </cell>
          <cell r="FF22">
            <v>-11.274779000000001</v>
          </cell>
          <cell r="FG22">
            <v>0</v>
          </cell>
          <cell r="FH22">
            <v>0</v>
          </cell>
          <cell r="FI22">
            <v>0</v>
          </cell>
          <cell r="FJ22">
            <v>0</v>
          </cell>
          <cell r="FK22">
            <v>0</v>
          </cell>
          <cell r="FL22">
            <v>37484.454695</v>
          </cell>
          <cell r="FM22">
            <v>0</v>
          </cell>
          <cell r="FN22">
            <v>0</v>
          </cell>
          <cell r="FO22">
            <v>0</v>
          </cell>
          <cell r="FP22">
            <v>0</v>
          </cell>
          <cell r="FQ22">
            <v>0</v>
          </cell>
          <cell r="FR22">
            <v>0</v>
          </cell>
          <cell r="FS22">
            <v>0</v>
          </cell>
          <cell r="FT22">
            <v>0</v>
          </cell>
          <cell r="FU22">
            <v>0</v>
          </cell>
          <cell r="FV22">
            <v>0</v>
          </cell>
          <cell r="FW22">
            <v>0</v>
          </cell>
          <cell r="FX22">
            <v>10038.084741999999</v>
          </cell>
          <cell r="FY22">
            <v>21434</v>
          </cell>
          <cell r="FZ22">
            <v>-2861</v>
          </cell>
          <cell r="GA22">
            <v>28611.084741999999</v>
          </cell>
          <cell r="GB22">
            <v>34201.671758999997</v>
          </cell>
          <cell r="GC22">
            <v>323.33999999999997</v>
          </cell>
          <cell r="GD22">
            <v>323.33999999999997</v>
          </cell>
          <cell r="GE22">
            <v>0</v>
          </cell>
          <cell r="GF22">
            <v>0</v>
          </cell>
          <cell r="GG22">
            <v>323.33999999999997</v>
          </cell>
          <cell r="GH22">
            <v>323.33999999999997</v>
          </cell>
          <cell r="GI22">
            <v>323.33999999999997</v>
          </cell>
          <cell r="GJ22">
            <v>323.33999999999997</v>
          </cell>
          <cell r="GK22">
            <v>6</v>
          </cell>
          <cell r="GL22">
            <v>6</v>
          </cell>
          <cell r="GM22">
            <v>6</v>
          </cell>
          <cell r="GN22">
            <v>6</v>
          </cell>
          <cell r="GO22">
            <v>323.33999999999997</v>
          </cell>
          <cell r="GP22">
            <v>323.33999999999997</v>
          </cell>
          <cell r="GQ22">
            <v>323.33999999999997</v>
          </cell>
          <cell r="GR22">
            <v>323.33999999999997</v>
          </cell>
          <cell r="GS22">
            <v>344.5</v>
          </cell>
          <cell r="GT22">
            <v>344.5</v>
          </cell>
          <cell r="GU22">
            <v>344.5</v>
          </cell>
          <cell r="GV22">
            <v>283</v>
          </cell>
          <cell r="GW22">
            <v>314.53794642857144</v>
          </cell>
          <cell r="GX22">
            <v>111390.63</v>
          </cell>
          <cell r="GY22">
            <v>111390.63</v>
          </cell>
          <cell r="GZ22">
            <v>111390.63</v>
          </cell>
          <cell r="HA22">
            <v>91505.22</v>
          </cell>
          <cell r="HB22">
            <v>101702.69959821428</v>
          </cell>
          <cell r="HC22">
            <v>17.946531318390218</v>
          </cell>
          <cell r="HD22">
            <v>17.946531318390218</v>
          </cell>
          <cell r="HE22">
            <v>3.4532586407021713</v>
          </cell>
          <cell r="HF22">
            <v>3.4532586407021713</v>
          </cell>
          <cell r="HG22">
            <v>3.4532586407021713</v>
          </cell>
          <cell r="HH22">
            <v>3.4532586407021713</v>
          </cell>
          <cell r="HI22">
            <v>12.619585684898798</v>
          </cell>
          <cell r="HJ22">
            <v>12.619585684898798</v>
          </cell>
          <cell r="HK22">
            <v>1.741654571843251</v>
          </cell>
          <cell r="HL22">
            <v>1.741654571843251</v>
          </cell>
          <cell r="HM22">
            <v>11.857764837840309</v>
          </cell>
          <cell r="HN22">
            <v>11.857764837840309</v>
          </cell>
          <cell r="HO22">
            <v>9.3801826450332761</v>
          </cell>
          <cell r="HP22">
            <v>9.3801826450332761</v>
          </cell>
          <cell r="HQ22">
            <v>2.8743927011794561</v>
          </cell>
          <cell r="HR22">
            <v>2.8743927011794561</v>
          </cell>
          <cell r="HS22">
            <v>21.6400454725052</v>
          </cell>
          <cell r="HT22">
            <v>21.6400454725052</v>
          </cell>
          <cell r="HU22">
            <v>1.6056035532507098</v>
          </cell>
          <cell r="HV22">
            <v>1</v>
          </cell>
          <cell r="HW22">
            <v>0</v>
          </cell>
          <cell r="HX22">
            <v>0</v>
          </cell>
          <cell r="HY22">
            <v>0</v>
          </cell>
          <cell r="HZ22">
            <v>0</v>
          </cell>
          <cell r="IA22">
            <v>0</v>
          </cell>
          <cell r="IB22">
            <v>0</v>
          </cell>
          <cell r="IC22">
            <v>0</v>
          </cell>
          <cell r="ID22">
            <v>0</v>
          </cell>
          <cell r="IE22">
            <v>0</v>
          </cell>
          <cell r="IF22">
            <v>0</v>
          </cell>
          <cell r="IG22">
            <v>0</v>
          </cell>
          <cell r="IH22">
            <v>0</v>
          </cell>
          <cell r="II22">
            <v>0</v>
          </cell>
          <cell r="IJ22">
            <v>0</v>
          </cell>
          <cell r="IK22">
            <v>114</v>
          </cell>
          <cell r="IL22">
            <v>649</v>
          </cell>
          <cell r="IM22">
            <v>763</v>
          </cell>
          <cell r="IN22">
            <v>0</v>
          </cell>
          <cell r="IO22">
            <v>0</v>
          </cell>
          <cell r="IP22">
            <v>0</v>
          </cell>
          <cell r="IQ22">
            <v>19.505182312735823</v>
          </cell>
        </row>
        <row r="23">
          <cell r="A23">
            <v>49</v>
          </cell>
          <cell r="B23">
            <v>2007</v>
          </cell>
          <cell r="C23" t="str">
            <v>2007E</v>
          </cell>
          <cell r="D23">
            <v>38652.953472222223</v>
          </cell>
          <cell r="E23" t="str">
            <v>db_simonseh</v>
          </cell>
          <cell r="F23" t="str">
            <v>F</v>
          </cell>
          <cell r="G23">
            <v>40640</v>
          </cell>
          <cell r="H23">
            <v>0</v>
          </cell>
          <cell r="I23">
            <v>40640</v>
          </cell>
          <cell r="J23">
            <v>0</v>
          </cell>
          <cell r="K23">
            <v>0</v>
          </cell>
          <cell r="L23">
            <v>0</v>
          </cell>
          <cell r="M23">
            <v>350</v>
          </cell>
          <cell r="N23">
            <v>0</v>
          </cell>
          <cell r="O23">
            <v>-27406</v>
          </cell>
          <cell r="P23">
            <v>-9937</v>
          </cell>
          <cell r="Q23">
            <v>-6700</v>
          </cell>
          <cell r="R23">
            <v>-13719</v>
          </cell>
          <cell r="S23">
            <v>13234</v>
          </cell>
          <cell r="T23">
            <v>32.563975999999997</v>
          </cell>
          <cell r="U23">
            <v>-2500</v>
          </cell>
          <cell r="V23">
            <v>-100</v>
          </cell>
          <cell r="W23">
            <v>10634</v>
          </cell>
          <cell r="X23">
            <v>26.166339000000001</v>
          </cell>
          <cell r="Y23">
            <v>-200</v>
          </cell>
          <cell r="Z23">
            <v>269.93383799999998</v>
          </cell>
          <cell r="AA23">
            <v>3.5</v>
          </cell>
          <cell r="AB23">
            <v>-38.9</v>
          </cell>
          <cell r="AC23">
            <v>2</v>
          </cell>
          <cell r="AD23">
            <v>0</v>
          </cell>
          <cell r="AE23">
            <v>0</v>
          </cell>
          <cell r="AF23">
            <v>0</v>
          </cell>
          <cell r="AG23">
            <v>99</v>
          </cell>
          <cell r="AH23">
            <v>10665.033837999999</v>
          </cell>
          <cell r="AI23">
            <v>26.242701</v>
          </cell>
          <cell r="AJ23">
            <v>0</v>
          </cell>
          <cell r="AK23">
            <v>-3306.1604900000002</v>
          </cell>
          <cell r="AL23">
            <v>31</v>
          </cell>
          <cell r="AM23">
            <v>0</v>
          </cell>
          <cell r="AN23">
            <v>31</v>
          </cell>
          <cell r="AO23">
            <v>7358.8733480000001</v>
          </cell>
          <cell r="AP23">
            <v>18.107464</v>
          </cell>
          <cell r="AQ23">
            <v>0</v>
          </cell>
          <cell r="AR23">
            <v>0</v>
          </cell>
          <cell r="AS23">
            <v>0</v>
          </cell>
          <cell r="AT23">
            <v>7358.8733480000001</v>
          </cell>
          <cell r="AU23">
            <v>0</v>
          </cell>
          <cell r="AV23">
            <v>0</v>
          </cell>
          <cell r="AW23">
            <v>0</v>
          </cell>
          <cell r="AX23">
            <v>0</v>
          </cell>
          <cell r="AY23">
            <v>7358.8733480000001</v>
          </cell>
          <cell r="AZ23">
            <v>13034</v>
          </cell>
          <cell r="BA23">
            <v>10434</v>
          </cell>
          <cell r="BB23">
            <v>21.045743999999999</v>
          </cell>
          <cell r="BC23">
            <v>21.370850999999998</v>
          </cell>
          <cell r="BD23">
            <v>28.999236523272646</v>
          </cell>
          <cell r="BE23">
            <v>22.444254999999998</v>
          </cell>
          <cell r="BF23">
            <v>8.4182769999999998</v>
          </cell>
          <cell r="BG23">
            <v>6.4873310000000002</v>
          </cell>
          <cell r="BH23">
            <v>13.048743999999999</v>
          </cell>
          <cell r="BI23">
            <v>14.26478</v>
          </cell>
          <cell r="BJ23">
            <v>18.561363</v>
          </cell>
          <cell r="BK23">
            <v>18.561363</v>
          </cell>
          <cell r="BL23">
            <v>18.561363</v>
          </cell>
          <cell r="BM23">
            <v>18.561363</v>
          </cell>
          <cell r="BN23">
            <v>8.3333329999999997</v>
          </cell>
          <cell r="BO23">
            <v>22.758932999999999</v>
          </cell>
          <cell r="BP23">
            <v>22.758932999999999</v>
          </cell>
          <cell r="BQ23">
            <v>28.560213999999998</v>
          </cell>
          <cell r="BR23">
            <v>0</v>
          </cell>
          <cell r="BS23">
            <v>24500</v>
          </cell>
          <cell r="BT23">
            <v>0</v>
          </cell>
          <cell r="BU23">
            <v>1658.7755099999999</v>
          </cell>
          <cell r="BV23">
            <v>434.04081600000001</v>
          </cell>
          <cell r="BW23">
            <v>0</v>
          </cell>
          <cell r="BX23">
            <v>0</v>
          </cell>
          <cell r="BY23">
            <v>0</v>
          </cell>
          <cell r="BZ23">
            <v>0</v>
          </cell>
          <cell r="CA23">
            <v>0</v>
          </cell>
          <cell r="CB23">
            <v>10158.873347999999</v>
          </cell>
          <cell r="CC23">
            <v>-975.21662800000001</v>
          </cell>
          <cell r="CD23">
            <v>0</v>
          </cell>
          <cell r="CE23">
            <v>-975.21662800000001</v>
          </cell>
          <cell r="CF23">
            <v>0</v>
          </cell>
          <cell r="CG23">
            <v>9183.6567200000009</v>
          </cell>
          <cell r="CH23">
            <v>-3000</v>
          </cell>
          <cell r="CI23">
            <v>0</v>
          </cell>
          <cell r="CJ23">
            <v>0</v>
          </cell>
          <cell r="CK23">
            <v>0</v>
          </cell>
          <cell r="CL23">
            <v>0</v>
          </cell>
          <cell r="CM23">
            <v>6183.65672</v>
          </cell>
          <cell r="CN23">
            <v>0</v>
          </cell>
          <cell r="CO23">
            <v>0</v>
          </cell>
          <cell r="CP23">
            <v>-1940.04</v>
          </cell>
          <cell r="CQ23">
            <v>0</v>
          </cell>
          <cell r="CR23">
            <v>0</v>
          </cell>
          <cell r="CS23">
            <v>4243.61672</v>
          </cell>
          <cell r="CT23">
            <v>0</v>
          </cell>
          <cell r="CU23">
            <v>0</v>
          </cell>
          <cell r="CV23">
            <v>4243.61672</v>
          </cell>
          <cell r="CW23">
            <v>10158.873347999999</v>
          </cell>
          <cell r="CX23">
            <v>31.418548000000001</v>
          </cell>
          <cell r="CY23">
            <v>28.402476</v>
          </cell>
          <cell r="CZ23">
            <v>19.124317000000001</v>
          </cell>
          <cell r="DA23">
            <v>15.091163999999999</v>
          </cell>
          <cell r="DB23">
            <v>20.088135999999999</v>
          </cell>
          <cell r="DC23">
            <v>20.130942000000001</v>
          </cell>
          <cell r="DD23">
            <v>306.12189100000001</v>
          </cell>
          <cell r="DE23">
            <v>7.3818900000000003</v>
          </cell>
          <cell r="DF23">
            <v>120</v>
          </cell>
          <cell r="DG23">
            <v>541.80865600000004</v>
          </cell>
          <cell r="DH23">
            <v>23608.372031999999</v>
          </cell>
          <cell r="DI23">
            <v>9834.2037369999998</v>
          </cell>
          <cell r="DJ23">
            <v>8684.712329</v>
          </cell>
          <cell r="DK23">
            <v>8573.3698629999999</v>
          </cell>
          <cell r="DL23">
            <v>500</v>
          </cell>
          <cell r="DM23">
            <v>27592.285929000001</v>
          </cell>
          <cell r="DN23">
            <v>0</v>
          </cell>
          <cell r="DO23">
            <v>28</v>
          </cell>
          <cell r="DP23">
            <v>14</v>
          </cell>
          <cell r="DQ23">
            <v>20709</v>
          </cell>
          <cell r="DR23">
            <v>883</v>
          </cell>
          <cell r="DS23">
            <v>21634</v>
          </cell>
          <cell r="DT23">
            <v>49226.285928999998</v>
          </cell>
          <cell r="DU23">
            <v>1391.7808219999999</v>
          </cell>
          <cell r="DV23">
            <v>5622.7945209999998</v>
          </cell>
          <cell r="DW23">
            <v>135.48548500000001</v>
          </cell>
          <cell r="DX23">
            <v>-269.79452099999997</v>
          </cell>
          <cell r="DY23">
            <v>6880.2663069999999</v>
          </cell>
          <cell r="DZ23">
            <v>1559.5145150000001</v>
          </cell>
          <cell r="EA23">
            <v>650</v>
          </cell>
          <cell r="EB23">
            <v>0</v>
          </cell>
          <cell r="EC23">
            <v>250</v>
          </cell>
          <cell r="ED23">
            <v>358</v>
          </cell>
          <cell r="EE23">
            <v>1853</v>
          </cell>
          <cell r="EF23">
            <v>4670.5145149999998</v>
          </cell>
          <cell r="EG23">
            <v>0</v>
          </cell>
          <cell r="EH23">
            <v>-2291</v>
          </cell>
          <cell r="EI23">
            <v>2565</v>
          </cell>
          <cell r="EJ23">
            <v>37401.505106999997</v>
          </cell>
          <cell r="EK23">
            <v>37675.505106999997</v>
          </cell>
          <cell r="EL23">
            <v>49226.285928999998</v>
          </cell>
          <cell r="EM23">
            <v>0</v>
          </cell>
          <cell r="EN23">
            <v>0</v>
          </cell>
          <cell r="EO23">
            <v>0</v>
          </cell>
          <cell r="EP23">
            <v>82.557518000000002</v>
          </cell>
          <cell r="EQ23">
            <v>78</v>
          </cell>
          <cell r="ER23">
            <v>77</v>
          </cell>
          <cell r="ES23">
            <v>12.5</v>
          </cell>
          <cell r="ET23">
            <v>50.5</v>
          </cell>
          <cell r="EU23">
            <v>27.099658999999999</v>
          </cell>
          <cell r="EV23">
            <v>0</v>
          </cell>
          <cell r="EW23">
            <v>-7889.2037369999998</v>
          </cell>
          <cell r="EX23">
            <v>-20.939875000000001</v>
          </cell>
          <cell r="EY23">
            <v>5.1625050000000003</v>
          </cell>
          <cell r="EZ23">
            <v>76.535340000000005</v>
          </cell>
          <cell r="FA23">
            <v>280.306782</v>
          </cell>
          <cell r="FB23">
            <v>2.7642699999999998</v>
          </cell>
          <cell r="FC23">
            <v>4.010351</v>
          </cell>
          <cell r="FD23">
            <v>116.519778</v>
          </cell>
          <cell r="FE23">
            <v>116.519778</v>
          </cell>
          <cell r="FF23">
            <v>-24.399096</v>
          </cell>
          <cell r="FG23">
            <v>0</v>
          </cell>
          <cell r="FH23">
            <v>0</v>
          </cell>
          <cell r="FI23">
            <v>0</v>
          </cell>
          <cell r="FJ23">
            <v>0</v>
          </cell>
          <cell r="FK23">
            <v>0</v>
          </cell>
          <cell r="FL23">
            <v>40640</v>
          </cell>
          <cell r="FM23">
            <v>0</v>
          </cell>
          <cell r="FN23">
            <v>0</v>
          </cell>
          <cell r="FO23">
            <v>0</v>
          </cell>
          <cell r="FP23">
            <v>0</v>
          </cell>
          <cell r="FQ23">
            <v>0</v>
          </cell>
          <cell r="FR23">
            <v>0</v>
          </cell>
          <cell r="FS23">
            <v>0</v>
          </cell>
          <cell r="FT23">
            <v>0</v>
          </cell>
          <cell r="FU23">
            <v>0</v>
          </cell>
          <cell r="FV23">
            <v>0</v>
          </cell>
          <cell r="FW23">
            <v>0</v>
          </cell>
          <cell r="FX23">
            <v>11013.301369999999</v>
          </cell>
          <cell r="FY23">
            <v>21634</v>
          </cell>
          <cell r="FZ23">
            <v>-2861</v>
          </cell>
          <cell r="GA23">
            <v>29786.301370000001</v>
          </cell>
          <cell r="GB23">
            <v>39620.505106999997</v>
          </cell>
          <cell r="GC23">
            <v>323.33999999999997</v>
          </cell>
          <cell r="GD23">
            <v>323.33999999999997</v>
          </cell>
          <cell r="GE23">
            <v>0</v>
          </cell>
          <cell r="GF23">
            <v>0</v>
          </cell>
          <cell r="GG23">
            <v>323.33999999999997</v>
          </cell>
          <cell r="GH23">
            <v>323.33999999999997</v>
          </cell>
          <cell r="GI23">
            <v>323.33999999999997</v>
          </cell>
          <cell r="GJ23">
            <v>323.33999999999997</v>
          </cell>
          <cell r="GK23">
            <v>6.5</v>
          </cell>
          <cell r="GL23">
            <v>6.5</v>
          </cell>
          <cell r="GM23">
            <v>6.5</v>
          </cell>
          <cell r="GN23">
            <v>6.5</v>
          </cell>
          <cell r="GO23">
            <v>323.33999999999997</v>
          </cell>
          <cell r="GP23">
            <v>323.33999999999997</v>
          </cell>
          <cell r="GQ23">
            <v>323.33999999999997</v>
          </cell>
          <cell r="GR23">
            <v>323.33999999999997</v>
          </cell>
          <cell r="GS23">
            <v>344.5</v>
          </cell>
          <cell r="GT23">
            <v>344.5</v>
          </cell>
          <cell r="GU23">
            <v>344.5</v>
          </cell>
          <cell r="GV23">
            <v>283</v>
          </cell>
          <cell r="GW23">
            <v>314.53794642857144</v>
          </cell>
          <cell r="GX23">
            <v>111390.63</v>
          </cell>
          <cell r="GY23">
            <v>111390.63</v>
          </cell>
          <cell r="GZ23">
            <v>111390.63</v>
          </cell>
          <cell r="HA23">
            <v>91505.22</v>
          </cell>
          <cell r="HB23">
            <v>101702.69959821428</v>
          </cell>
          <cell r="HC23">
            <v>15.136913492385606</v>
          </cell>
          <cell r="HD23">
            <v>15.136913492385606</v>
          </cell>
          <cell r="HE23">
            <v>2.9565796117462564</v>
          </cell>
          <cell r="HF23">
            <v>2.9565796117462564</v>
          </cell>
          <cell r="HG23">
            <v>2.9565796117462564</v>
          </cell>
          <cell r="HH23">
            <v>2.9565796117462564</v>
          </cell>
          <cell r="HI23">
            <v>10.964860629460023</v>
          </cell>
          <cell r="HJ23">
            <v>10.964860629460023</v>
          </cell>
          <cell r="HK23">
            <v>1.8867924528301887</v>
          </cell>
          <cell r="HL23">
            <v>1.8867924528301887</v>
          </cell>
          <cell r="HM23">
            <v>9.919630655836686</v>
          </cell>
          <cell r="HN23">
            <v>9.919630655836686</v>
          </cell>
          <cell r="HO23">
            <v>7.9408797194261149</v>
          </cell>
          <cell r="HP23">
            <v>7.9408797194261149</v>
          </cell>
          <cell r="HQ23">
            <v>2.5467870635580705</v>
          </cell>
          <cell r="HR23">
            <v>2.5467870635580705</v>
          </cell>
          <cell r="HS23">
            <v>18.013715030416499</v>
          </cell>
          <cell r="HT23">
            <v>18.013715030416499</v>
          </cell>
          <cell r="HU23">
            <v>1.4845959133571085</v>
          </cell>
          <cell r="HV23">
            <v>1</v>
          </cell>
          <cell r="HW23">
            <v>0</v>
          </cell>
          <cell r="HX23">
            <v>0</v>
          </cell>
          <cell r="HY23">
            <v>0</v>
          </cell>
          <cell r="HZ23">
            <v>0</v>
          </cell>
          <cell r="IA23">
            <v>0</v>
          </cell>
          <cell r="IB23">
            <v>0</v>
          </cell>
          <cell r="IC23">
            <v>0</v>
          </cell>
          <cell r="ID23">
            <v>0</v>
          </cell>
          <cell r="IE23">
            <v>0</v>
          </cell>
          <cell r="IF23">
            <v>0</v>
          </cell>
          <cell r="IG23">
            <v>0</v>
          </cell>
          <cell r="IH23">
            <v>0</v>
          </cell>
          <cell r="II23">
            <v>0</v>
          </cell>
          <cell r="IJ23">
            <v>0</v>
          </cell>
          <cell r="IK23">
            <v>0</v>
          </cell>
          <cell r="IL23">
            <v>0</v>
          </cell>
          <cell r="IM23">
            <v>0</v>
          </cell>
          <cell r="IN23">
            <v>0</v>
          </cell>
          <cell r="IO23">
            <v>0</v>
          </cell>
          <cell r="IP23">
            <v>0</v>
          </cell>
          <cell r="IQ23">
            <v>23.068204824642795</v>
          </cell>
        </row>
      </sheetData>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YA "/>
      <sheetName val="BA vs GS Airlines"/>
      <sheetName val="DDETABLE"/>
      <sheetName val="Chart1"/>
      <sheetName val="sheet2"/>
      <sheetName val="Sheet1"/>
      <sheetName val="AF-KLM"/>
      <sheetName val="LHA-KLM"/>
      <sheetName val="BA-LHA"/>
      <sheetName val="AF-LHA"/>
      <sheetName val="AF-BA"/>
      <sheetName val="RYA-EZJ"/>
      <sheetName val="RYA-LHA (2)"/>
      <sheetName val="BA-KLM (2)"/>
      <sheetName val="BA-KLM S-T"/>
      <sheetName val="AF-LHA S-T"/>
      <sheetName val="RYA-LHA"/>
      <sheetName val="BA-KLM"/>
      <sheetName val="Comments"/>
      <sheetName val="Control"/>
      <sheetName val="APPEND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BAE"/>
      <sheetName val="DDETABLE"/>
      <sheetName val="Comments"/>
      <sheetName val="Control"/>
    </sheetNames>
    <sheetDataSet>
      <sheetData sheetId="0"/>
      <sheetData sheetId="1"/>
      <sheetData sheetId="2">
        <row r="2">
          <cell r="AC2" t="str">
            <v>Setup</v>
          </cell>
          <cell r="AK2" t="str">
            <v>YES</v>
          </cell>
          <cell r="AM2" t="str">
            <v>S</v>
          </cell>
          <cell r="AN2" t="str">
            <v>No Headings</v>
          </cell>
          <cell r="AO2" t="str">
            <v>X</v>
          </cell>
          <cell r="AP2" t="str">
            <v>D</v>
          </cell>
          <cell r="AQ2">
            <v>1</v>
          </cell>
        </row>
        <row r="3">
          <cell r="AD3" t="str">
            <v>J:\APPS_PUB\DSDE2270</v>
          </cell>
          <cell r="AK3" t="str">
            <v>NO</v>
          </cell>
          <cell r="AM3" t="str">
            <v>TS</v>
          </cell>
          <cell r="AN3" t="str">
            <v>Row Headings</v>
          </cell>
          <cell r="AO3" t="str">
            <v>R</v>
          </cell>
          <cell r="AP3" t="str">
            <v>W</v>
          </cell>
          <cell r="AQ3">
            <v>2</v>
          </cell>
        </row>
        <row r="4">
          <cell r="AD4" t="str">
            <v>J:\apps_pub\dsde2270</v>
          </cell>
          <cell r="AM4" t="str">
            <v>CAF</v>
          </cell>
          <cell r="AN4" t="str">
            <v>Col Headings</v>
          </cell>
          <cell r="AO4" t="str">
            <v>C</v>
          </cell>
          <cell r="AP4" t="str">
            <v>M</v>
          </cell>
          <cell r="AQ4">
            <v>2</v>
          </cell>
        </row>
        <row r="5">
          <cell r="H5">
            <v>20</v>
          </cell>
          <cell r="AN5" t="str">
            <v>Row/Col Headings</v>
          </cell>
          <cell r="AO5" t="str">
            <v>RC</v>
          </cell>
          <cell r="AP5" t="str">
            <v>Q</v>
          </cell>
          <cell r="AQ5">
            <v>1</v>
          </cell>
        </row>
        <row r="6">
          <cell r="E6" t="str">
            <v>K:\Aerospace\Models\A_Datastream - 15 yr val - BAE Systems.xls</v>
          </cell>
          <cell r="H6">
            <v>10</v>
          </cell>
          <cell r="AN6" t="str">
            <v>Titles/ Row Col Heading</v>
          </cell>
          <cell r="AO6" t="str">
            <v>RCH</v>
          </cell>
          <cell r="AP6" t="str">
            <v>Y</v>
          </cell>
        </row>
        <row r="7">
          <cell r="AN7" t="str">
            <v>Titles/Row Headings</v>
          </cell>
          <cell r="AO7" t="str">
            <v>RH</v>
          </cell>
        </row>
        <row r="8">
          <cell r="AD8">
            <v>11</v>
          </cell>
          <cell r="AN8" t="str">
            <v>Transposed/No Heading</v>
          </cell>
          <cell r="AO8" t="str">
            <v>T</v>
          </cell>
        </row>
        <row r="9">
          <cell r="E9" t="str">
            <v>Last Updated : 02 Dec 2007  14:53</v>
          </cell>
          <cell r="AD9" t="str">
            <v>Windows (32-bit) NT 5.00</v>
          </cell>
          <cell r="AN9" t="str">
            <v>Transposed/Row Heading</v>
          </cell>
          <cell r="AO9" t="str">
            <v>TR</v>
          </cell>
        </row>
        <row r="10">
          <cell r="AD10">
            <v>20642476</v>
          </cell>
          <cell r="AN10" t="str">
            <v>Transposed/Col Heading</v>
          </cell>
          <cell r="AO10" t="str">
            <v>TC</v>
          </cell>
        </row>
        <row r="11">
          <cell r="AD11">
            <v>1048576</v>
          </cell>
          <cell r="AN11" t="str">
            <v>Transposed/Row Col Heading</v>
          </cell>
          <cell r="AO11" t="str">
            <v>TRC</v>
          </cell>
        </row>
        <row r="12">
          <cell r="B12" t="str">
            <v>Update</v>
          </cell>
          <cell r="AO12" t="str">
            <v>HRC</v>
          </cell>
        </row>
        <row r="13">
          <cell r="O13" t="str">
            <v>Size(Rows)</v>
          </cell>
          <cell r="P13" t="str">
            <v>Size(Cols)</v>
          </cell>
          <cell r="Q13" t="str">
            <v>Total Size</v>
          </cell>
          <cell r="R13" t="str">
            <v>Start_Time</v>
          </cell>
          <cell r="S13" t="str">
            <v>Finish_Time</v>
          </cell>
          <cell r="T13" t="str">
            <v>Duration</v>
          </cell>
          <cell r="AH13" t="b">
            <v>0</v>
          </cell>
          <cell r="AO13" t="str">
            <v>HRCT</v>
          </cell>
        </row>
        <row r="14">
          <cell r="AO14" t="str">
            <v>TRCH</v>
          </cell>
        </row>
        <row r="15">
          <cell r="B15" t="str">
            <v>NO</v>
          </cell>
          <cell r="O15">
            <v>2616</v>
          </cell>
          <cell r="P15">
            <v>2</v>
          </cell>
          <cell r="Q15">
            <v>5232</v>
          </cell>
          <cell r="R15">
            <v>0.44843749999999999</v>
          </cell>
          <cell r="S15">
            <v>0.44849537037037041</v>
          </cell>
          <cell r="T15">
            <v>5.7870370370370366E-5</v>
          </cell>
        </row>
        <row r="16">
          <cell r="O16">
            <v>2613</v>
          </cell>
          <cell r="P16">
            <v>1</v>
          </cell>
          <cell r="Q16">
            <v>2613</v>
          </cell>
          <cell r="R16">
            <v>0.44858796296296299</v>
          </cell>
          <cell r="S16">
            <v>0.44859953703703703</v>
          </cell>
          <cell r="T16">
            <v>1.1574074074074073E-5</v>
          </cell>
        </row>
        <row r="17">
          <cell r="O17">
            <v>2613</v>
          </cell>
          <cell r="P17">
            <v>1</v>
          </cell>
          <cell r="Q17">
            <v>2613</v>
          </cell>
          <cell r="R17">
            <v>0.44866898148148149</v>
          </cell>
          <cell r="S17">
            <v>0.44869212962962962</v>
          </cell>
          <cell r="T17">
            <v>2.3148148148148147E-5</v>
          </cell>
        </row>
        <row r="18">
          <cell r="O18">
            <v>2066</v>
          </cell>
          <cell r="P18">
            <v>2</v>
          </cell>
          <cell r="Q18">
            <v>4132</v>
          </cell>
          <cell r="R18">
            <v>0.61965277777777772</v>
          </cell>
          <cell r="S18">
            <v>0.6196990740740741</v>
          </cell>
          <cell r="T18">
            <v>4.6296296296296294E-5</v>
          </cell>
        </row>
        <row r="19">
          <cell r="O19">
            <v>2066</v>
          </cell>
          <cell r="P19">
            <v>1</v>
          </cell>
          <cell r="Q19">
            <v>2066</v>
          </cell>
          <cell r="R19">
            <v>0.61974537037037036</v>
          </cell>
          <cell r="S19">
            <v>0.61976851851851855</v>
          </cell>
          <cell r="T19">
            <v>2.3148148148148147E-5</v>
          </cell>
        </row>
        <row r="20">
          <cell r="O20">
            <v>2066</v>
          </cell>
          <cell r="P20">
            <v>1</v>
          </cell>
          <cell r="Q20">
            <v>2066</v>
          </cell>
          <cell r="R20">
            <v>0.61980324074074067</v>
          </cell>
          <cell r="S20">
            <v>0.61983796296296301</v>
          </cell>
          <cell r="T20">
            <v>3.4722222222222222E-5</v>
          </cell>
        </row>
        <row r="21">
          <cell r="O21">
            <v>2616</v>
          </cell>
          <cell r="P21">
            <v>2</v>
          </cell>
          <cell r="Q21">
            <v>5232</v>
          </cell>
          <cell r="R21">
            <v>0.44909722222222226</v>
          </cell>
          <cell r="S21">
            <v>0.44913194444444443</v>
          </cell>
          <cell r="T21">
            <v>3.4722222222222222E-5</v>
          </cell>
        </row>
        <row r="22">
          <cell r="O22">
            <v>2066</v>
          </cell>
          <cell r="P22">
            <v>2</v>
          </cell>
          <cell r="Q22">
            <v>4132</v>
          </cell>
          <cell r="R22">
            <v>0.61987268518518512</v>
          </cell>
          <cell r="S22">
            <v>0.61989583333333331</v>
          </cell>
          <cell r="T22">
            <v>2.3148148148148147E-5</v>
          </cell>
        </row>
        <row r="23">
          <cell r="O23">
            <v>2616</v>
          </cell>
          <cell r="P23">
            <v>2</v>
          </cell>
          <cell r="Q23">
            <v>5232</v>
          </cell>
          <cell r="R23">
            <v>0.4493287037037037</v>
          </cell>
          <cell r="S23">
            <v>0.44935185185185184</v>
          </cell>
          <cell r="T23">
            <v>2.3148148148148147E-5</v>
          </cell>
        </row>
        <row r="24">
          <cell r="O24">
            <v>2613</v>
          </cell>
          <cell r="P24">
            <v>1</v>
          </cell>
          <cell r="Q24">
            <v>2613</v>
          </cell>
          <cell r="R24">
            <v>0.44944444444444448</v>
          </cell>
          <cell r="S24">
            <v>0.44946759259259261</v>
          </cell>
          <cell r="T24">
            <v>2.3148148148148147E-5</v>
          </cell>
        </row>
        <row r="25">
          <cell r="O25">
            <v>2613</v>
          </cell>
          <cell r="P25">
            <v>1</v>
          </cell>
          <cell r="Q25">
            <v>2613</v>
          </cell>
          <cell r="R25">
            <v>0.44952546296296297</v>
          </cell>
          <cell r="S25">
            <v>0.44953703703703707</v>
          </cell>
          <cell r="T25">
            <v>1.1574074074074073E-5</v>
          </cell>
        </row>
        <row r="26">
          <cell r="O26">
            <v>2613</v>
          </cell>
          <cell r="P26">
            <v>1</v>
          </cell>
          <cell r="Q26">
            <v>2613</v>
          </cell>
          <cell r="R26">
            <v>0.44960648148148147</v>
          </cell>
          <cell r="S26">
            <v>0.44961805555555556</v>
          </cell>
          <cell r="T26">
            <v>1.1574074074074073E-5</v>
          </cell>
        </row>
        <row r="27">
          <cell r="O27">
            <v>2613</v>
          </cell>
          <cell r="P27">
            <v>1</v>
          </cell>
          <cell r="Q27">
            <v>2613</v>
          </cell>
          <cell r="R27">
            <v>0.44968750000000002</v>
          </cell>
          <cell r="S27">
            <v>0.44974537037037038</v>
          </cell>
          <cell r="T27">
            <v>5.7870370370370366E-5</v>
          </cell>
        </row>
        <row r="28">
          <cell r="O28">
            <v>2613</v>
          </cell>
          <cell r="P28">
            <v>1</v>
          </cell>
          <cell r="Q28">
            <v>2613</v>
          </cell>
          <cell r="R28">
            <v>0.44981481481481483</v>
          </cell>
          <cell r="S28">
            <v>0.44988425925925929</v>
          </cell>
          <cell r="T28">
            <v>6.9444444444444444E-5</v>
          </cell>
        </row>
        <row r="29">
          <cell r="O29">
            <v>2066</v>
          </cell>
          <cell r="P29">
            <v>2</v>
          </cell>
          <cell r="Q29">
            <v>4132</v>
          </cell>
          <cell r="R29">
            <v>0.61993055555555554</v>
          </cell>
          <cell r="S29">
            <v>0.61996527777777777</v>
          </cell>
          <cell r="T29">
            <v>3.4722222222222222E-5</v>
          </cell>
        </row>
        <row r="30">
          <cell r="O30">
            <v>2066</v>
          </cell>
          <cell r="P30">
            <v>1</v>
          </cell>
          <cell r="Q30">
            <v>2066</v>
          </cell>
          <cell r="R30">
            <v>0.61998842592592596</v>
          </cell>
          <cell r="S30">
            <v>0.62001157407407403</v>
          </cell>
          <cell r="T30">
            <v>2.3148148148148147E-5</v>
          </cell>
        </row>
        <row r="31">
          <cell r="O31">
            <v>2066</v>
          </cell>
          <cell r="P31">
            <v>1</v>
          </cell>
          <cell r="Q31">
            <v>2066</v>
          </cell>
          <cell r="R31">
            <v>0.62002314814814818</v>
          </cell>
          <cell r="S31">
            <v>0.62003472222222222</v>
          </cell>
          <cell r="T31">
            <v>1.1574074074074073E-5</v>
          </cell>
        </row>
        <row r="32">
          <cell r="O32">
            <v>2066</v>
          </cell>
          <cell r="P32">
            <v>1</v>
          </cell>
          <cell r="Q32">
            <v>2066</v>
          </cell>
          <cell r="R32">
            <v>0.62004629629629626</v>
          </cell>
          <cell r="S32">
            <v>0.62006944444444445</v>
          </cell>
          <cell r="T32">
            <v>2.3148148148148147E-5</v>
          </cell>
        </row>
        <row r="33">
          <cell r="O33">
            <v>2066</v>
          </cell>
          <cell r="P33">
            <v>1</v>
          </cell>
          <cell r="Q33">
            <v>2066</v>
          </cell>
          <cell r="R33">
            <v>0.62008101851851849</v>
          </cell>
          <cell r="S33">
            <v>0.62013888888888891</v>
          </cell>
          <cell r="T33">
            <v>5.7870370370370366E-5</v>
          </cell>
        </row>
        <row r="34">
          <cell r="O34">
            <v>2066</v>
          </cell>
          <cell r="P34">
            <v>1</v>
          </cell>
          <cell r="Q34">
            <v>2066</v>
          </cell>
          <cell r="R34">
            <v>0.62015046296296295</v>
          </cell>
          <cell r="S34">
            <v>0.62020833333333336</v>
          </cell>
          <cell r="T34">
            <v>5.7870370370370366E-5</v>
          </cell>
        </row>
      </sheetData>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5"/>
      <sheetName val="Sheet4"/>
      <sheetName val="MigrationOutput_QP_RR.L"/>
      <sheetName val="QP_RR.L_migrated"/>
      <sheetName val="_QP_RR.L"/>
      <sheetName val="EBITDA to FCF OLD"/>
      <sheetName val="Power Systems NEW"/>
      <sheetName val="Nuclear"/>
      <sheetName val="Power Systems OLD"/>
      <sheetName val="RR.L_Exchange_Sheet"/>
      <sheetName val="DCF Valuation"/>
      <sheetName val="DCF Feed"/>
      <sheetName val="Income Statement"/>
      <sheetName val="Balance Sheet"/>
      <sheetName val="Cash Flow Statement"/>
      <sheetName val="Interims"/>
      <sheetName val="Civil Aerospace"/>
      <sheetName val="Defense"/>
      <sheetName val="Power Systems"/>
      <sheetName val="AoB"/>
      <sheetName val="Multiples"/>
      <sheetName val="Results table"/>
      <sheetName val="GS vs. Consensus (VA)"/>
      <sheetName val="Key Charts"/>
      <sheetName val="PPI"/>
      <sheetName val="GS vs. Consensus_link to Ref"/>
      <sheetName val="Regional Breakdown"/>
      <sheetName val="Exhibits"/>
      <sheetName val="Old tabs &gt;&gt;"/>
      <sheetName val="Rights Issue"/>
      <sheetName val="Fx Impacts"/>
      <sheetName val="Civil Aerospace OLD"/>
      <sheetName val="Marine"/>
      <sheetName val="TotalCare Net Debtor adjustment"/>
      <sheetName val="Exhibit 2"/>
      <sheetName val="Exhibit"/>
      <sheetName val="DCF"/>
      <sheetName val="OpMod"/>
      <sheetName val="Old vs New (annual)"/>
      <sheetName val="GS vs. Consensus (Company)"/>
      <sheetName val="VA Consens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Issuer: Rolls-Royce</v>
          </cell>
          <cell r="F1">
            <v>2006</v>
          </cell>
          <cell r="G1">
            <v>2007</v>
          </cell>
          <cell r="H1">
            <v>2008</v>
          </cell>
          <cell r="I1">
            <v>2009</v>
          </cell>
          <cell r="J1">
            <v>2010</v>
          </cell>
          <cell r="K1">
            <v>2011</v>
          </cell>
          <cell r="L1">
            <v>2012</v>
          </cell>
          <cell r="M1">
            <v>2013</v>
          </cell>
          <cell r="N1">
            <v>2014</v>
          </cell>
          <cell r="O1">
            <v>2015</v>
          </cell>
          <cell r="P1">
            <v>2016</v>
          </cell>
          <cell r="Q1">
            <v>2017</v>
          </cell>
          <cell r="R1">
            <v>2018</v>
          </cell>
          <cell r="S1">
            <v>2019</v>
          </cell>
          <cell r="T1">
            <v>2020</v>
          </cell>
          <cell r="U1">
            <v>2021</v>
          </cell>
          <cell r="V1">
            <v>2022</v>
          </cell>
          <cell r="W1">
            <v>2023</v>
          </cell>
          <cell r="X1" t="str">
            <v>2024</v>
          </cell>
          <cell r="Y1">
            <v>2025</v>
          </cell>
          <cell r="Z1">
            <v>2026</v>
          </cell>
          <cell r="AA1">
            <v>2027</v>
          </cell>
          <cell r="AB1">
            <v>2028</v>
          </cell>
          <cell r="AC1">
            <v>2029</v>
          </cell>
          <cell r="AD1">
            <v>2030</v>
          </cell>
          <cell r="AF1" t="str">
            <v>2019 H1</v>
          </cell>
          <cell r="AG1" t="str">
            <v>2019 H2</v>
          </cell>
          <cell r="AH1" t="str">
            <v>2020 H1</v>
          </cell>
          <cell r="AI1" t="str">
            <v>2020 H2</v>
          </cell>
          <cell r="AJ1" t="str">
            <v>2021 H1</v>
          </cell>
          <cell r="AK1" t="str">
            <v>2021 H2</v>
          </cell>
          <cell r="AL1" t="str">
            <v>2022 H1</v>
          </cell>
          <cell r="AM1" t="str">
            <v>2022 H2</v>
          </cell>
          <cell r="AN1" t="str">
            <v>2023 H1</v>
          </cell>
          <cell r="AO1" t="str">
            <v>2023 H2</v>
          </cell>
          <cell r="AP1" t="str">
            <v>2024 H1</v>
          </cell>
          <cell r="AQ1" t="str">
            <v>2024 H2</v>
          </cell>
          <cell r="AR1" t="str">
            <v>2025 H1</v>
          </cell>
          <cell r="AS1" t="str">
            <v>2025 H2</v>
          </cell>
          <cell r="AT1" t="str">
            <v>2026 H1</v>
          </cell>
          <cell r="AU1" t="str">
            <v>2026 H2</v>
          </cell>
        </row>
        <row r="2">
          <cell r="A2" t="str">
            <v>ISSUER ID: 208001098</v>
          </cell>
          <cell r="B2"/>
          <cell r="C2"/>
          <cell r="D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Estimate</v>
          </cell>
          <cell r="Z2" t="str">
            <v>Estimate</v>
          </cell>
          <cell r="AA2" t="str">
            <v>Estimate</v>
          </cell>
          <cell r="AB2" t="str">
            <v>Estimate</v>
          </cell>
          <cell r="AC2" t="str">
            <v>Estimate</v>
          </cell>
          <cell r="AD2" t="str">
            <v>Estimate</v>
          </cell>
          <cell r="AF2" t="str">
            <v>Actual</v>
          </cell>
          <cell r="AG2" t="str">
            <v>Actual</v>
          </cell>
          <cell r="AH2" t="str">
            <v>Actual</v>
          </cell>
          <cell r="AI2" t="str">
            <v>Actual</v>
          </cell>
          <cell r="AJ2" t="str">
            <v>Actual</v>
          </cell>
          <cell r="AK2" t="str">
            <v>Actual</v>
          </cell>
          <cell r="AL2" t="str">
            <v>Actual</v>
          </cell>
          <cell r="AM2" t="str">
            <v>Actual</v>
          </cell>
          <cell r="AN2" t="str">
            <v>Actual</v>
          </cell>
          <cell r="AO2" t="str">
            <v>Actual</v>
          </cell>
          <cell r="AP2" t="str">
            <v>Actual</v>
          </cell>
          <cell r="AQ2" t="str">
            <v>Actual</v>
          </cell>
          <cell r="AR2" t="str">
            <v>Actual</v>
          </cell>
          <cell r="AS2" t="str">
            <v>Estimate</v>
          </cell>
          <cell r="AT2" t="str">
            <v>Estimate</v>
          </cell>
          <cell r="AU2" t="str">
            <v>Estimate</v>
          </cell>
        </row>
        <row r="3">
          <cell r="A3"/>
          <cell r="B3"/>
          <cell r="C3"/>
          <cell r="D3"/>
          <cell r="F3">
            <v>39082</v>
          </cell>
          <cell r="G3">
            <v>39447</v>
          </cell>
          <cell r="H3">
            <v>39813</v>
          </cell>
          <cell r="I3">
            <v>40178</v>
          </cell>
          <cell r="J3">
            <v>40543</v>
          </cell>
          <cell r="K3">
            <v>40908</v>
          </cell>
          <cell r="L3">
            <v>41274</v>
          </cell>
          <cell r="M3">
            <v>41639</v>
          </cell>
          <cell r="N3">
            <v>42004</v>
          </cell>
          <cell r="O3">
            <v>42369</v>
          </cell>
          <cell r="P3">
            <v>42735</v>
          </cell>
          <cell r="Q3">
            <v>43100</v>
          </cell>
          <cell r="R3">
            <v>43465</v>
          </cell>
          <cell r="S3">
            <v>43830</v>
          </cell>
          <cell r="T3">
            <v>44196</v>
          </cell>
          <cell r="U3">
            <v>44561</v>
          </cell>
          <cell r="V3">
            <v>44926</v>
          </cell>
          <cell r="W3">
            <v>45291</v>
          </cell>
          <cell r="X3">
            <v>45657</v>
          </cell>
          <cell r="Y3">
            <v>46022</v>
          </cell>
          <cell r="Z3">
            <v>46387</v>
          </cell>
          <cell r="AA3">
            <v>46752</v>
          </cell>
          <cell r="AB3">
            <v>47118</v>
          </cell>
          <cell r="AC3">
            <v>47483</v>
          </cell>
          <cell r="AD3">
            <v>47848</v>
          </cell>
          <cell r="AF3">
            <v>43646</v>
          </cell>
          <cell r="AG3">
            <v>43830</v>
          </cell>
          <cell r="AH3">
            <v>44012</v>
          </cell>
          <cell r="AI3">
            <v>44196</v>
          </cell>
          <cell r="AJ3">
            <v>44377</v>
          </cell>
          <cell r="AK3">
            <v>44561</v>
          </cell>
          <cell r="AL3">
            <v>44742</v>
          </cell>
          <cell r="AM3">
            <v>44926</v>
          </cell>
          <cell r="AN3">
            <v>45107</v>
          </cell>
          <cell r="AO3">
            <v>45291</v>
          </cell>
          <cell r="AP3">
            <v>45473</v>
          </cell>
          <cell r="AQ3">
            <v>45657</v>
          </cell>
          <cell r="AR3">
            <v>45838</v>
          </cell>
          <cell r="AS3">
            <v>46022</v>
          </cell>
          <cell r="AT3">
            <v>46203</v>
          </cell>
          <cell r="AU3">
            <v>46387</v>
          </cell>
        </row>
        <row r="4">
          <cell r="A4" t="str">
            <v>Issuer: Rolls-Royce</v>
          </cell>
          <cell r="B4"/>
          <cell r="C4"/>
          <cell r="D4"/>
        </row>
        <row r="5">
          <cell r="A5" t="str">
            <v>Reference Data</v>
          </cell>
          <cell r="B5"/>
          <cell r="C5"/>
          <cell r="D5"/>
        </row>
        <row r="6">
          <cell r="B6" t="str">
            <v>Issuer Name</v>
          </cell>
          <cell r="C6" t="str">
            <v>Issuer Name</v>
          </cell>
          <cell r="E6" t="str">
            <v>Rolls-Royce</v>
          </cell>
        </row>
        <row r="7">
          <cell r="B7" t="str">
            <v>Reporting Currency</v>
          </cell>
          <cell r="C7" t="str">
            <v>CURRENCY_ISO</v>
          </cell>
          <cell r="E7" t="str">
            <v>GBP</v>
          </cell>
        </row>
        <row r="8">
          <cell r="A8" t="str">
            <v>General Information</v>
          </cell>
          <cell r="B8"/>
          <cell r="C8"/>
          <cell r="D8"/>
        </row>
        <row r="9">
          <cell r="B9" t="str">
            <v>M&amp;A probability (1 = high, 3 = low)</v>
          </cell>
          <cell r="C9" t="str">
            <v>MA_PROB</v>
          </cell>
          <cell r="E9">
            <v>3</v>
          </cell>
        </row>
        <row r="10">
          <cell r="A10" t="str">
            <v>Income Statement</v>
          </cell>
          <cell r="B10"/>
          <cell r="C10"/>
          <cell r="D10"/>
          <cell r="F10">
            <v>2006</v>
          </cell>
          <cell r="G10">
            <v>2007</v>
          </cell>
          <cell r="H10">
            <v>2008</v>
          </cell>
          <cell r="I10">
            <v>2009</v>
          </cell>
          <cell r="J10">
            <v>2010</v>
          </cell>
          <cell r="K10">
            <v>2011</v>
          </cell>
          <cell r="L10">
            <v>2012</v>
          </cell>
          <cell r="M10">
            <v>2013</v>
          </cell>
          <cell r="N10">
            <v>2014</v>
          </cell>
          <cell r="O10">
            <v>2015</v>
          </cell>
          <cell r="P10">
            <v>2016</v>
          </cell>
          <cell r="Q10">
            <v>2017</v>
          </cell>
          <cell r="R10">
            <v>2018</v>
          </cell>
          <cell r="S10">
            <v>2019</v>
          </cell>
          <cell r="T10">
            <v>2020</v>
          </cell>
          <cell r="U10">
            <v>2021</v>
          </cell>
          <cell r="V10">
            <v>2022</v>
          </cell>
          <cell r="W10">
            <v>2023</v>
          </cell>
          <cell r="X10">
            <v>2024</v>
          </cell>
          <cell r="Y10">
            <v>2025</v>
          </cell>
          <cell r="Z10">
            <v>2026</v>
          </cell>
          <cell r="AA10">
            <v>2027</v>
          </cell>
          <cell r="AB10">
            <v>2028</v>
          </cell>
          <cell r="AC10">
            <v>2029</v>
          </cell>
          <cell r="AD10">
            <v>2030</v>
          </cell>
        </row>
        <row r="11">
          <cell r="B11" t="str">
            <v>Sales, net revenue</v>
          </cell>
          <cell r="C11" t="str">
            <v>SALES</v>
          </cell>
          <cell r="D11" t="str">
            <v>GBP</v>
          </cell>
          <cell r="F11">
            <v>7156</v>
          </cell>
          <cell r="G11">
            <v>7435</v>
          </cell>
          <cell r="H11">
            <v>9082</v>
          </cell>
          <cell r="I11">
            <v>10414</v>
          </cell>
          <cell r="J11">
            <v>11085</v>
          </cell>
          <cell r="K11">
            <v>11124</v>
          </cell>
          <cell r="L11">
            <v>12161</v>
          </cell>
          <cell r="M11">
            <v>15513</v>
          </cell>
          <cell r="N11">
            <v>13736</v>
          </cell>
          <cell r="O11">
            <v>13725</v>
          </cell>
          <cell r="P11">
            <v>14955</v>
          </cell>
          <cell r="Q11">
            <v>14747</v>
          </cell>
          <cell r="R11">
            <v>15729</v>
          </cell>
          <cell r="S11">
            <v>16587</v>
          </cell>
          <cell r="T11">
            <v>11491</v>
          </cell>
          <cell r="U11">
            <v>11218</v>
          </cell>
          <cell r="V11">
            <v>13520</v>
          </cell>
          <cell r="W11">
            <v>16486</v>
          </cell>
          <cell r="X11">
            <v>18909</v>
          </cell>
          <cell r="Y11">
            <v>20169.542352738506</v>
          </cell>
          <cell r="Z11">
            <v>21866.558848151377</v>
          </cell>
          <cell r="AA11">
            <v>23427.228784068495</v>
          </cell>
          <cell r="AB11">
            <v>25184.305443668211</v>
          </cell>
          <cell r="AC11">
            <v>27052.349075848215</v>
          </cell>
          <cell r="AD11">
            <v>29090.337553023943</v>
          </cell>
          <cell r="AE11"/>
          <cell r="AF11"/>
          <cell r="AG11"/>
          <cell r="AH11"/>
          <cell r="AI11"/>
          <cell r="AJ11"/>
          <cell r="AK11"/>
          <cell r="AL11"/>
          <cell r="AM11"/>
          <cell r="AN11"/>
          <cell r="AO11"/>
          <cell r="AP11"/>
          <cell r="AQ11"/>
          <cell r="AR11"/>
          <cell r="AS11"/>
          <cell r="AT11"/>
          <cell r="AU11"/>
        </row>
        <row r="12">
          <cell r="B12" t="str">
            <v>Cost of goods sold, COGS</v>
          </cell>
          <cell r="C12" t="str">
            <v>COST_GD_SD</v>
          </cell>
          <cell r="D12" t="str">
            <v>GBP</v>
          </cell>
          <cell r="F12">
            <v>-5566</v>
          </cell>
          <cell r="G12">
            <v>-6003</v>
          </cell>
          <cell r="H12">
            <v>-7311</v>
          </cell>
          <cell r="I12">
            <v>-8303</v>
          </cell>
          <cell r="J12">
            <v>-8885</v>
          </cell>
          <cell r="K12">
            <v>-8676</v>
          </cell>
          <cell r="L12">
            <v>-9416</v>
          </cell>
          <cell r="M12">
            <v>-12197</v>
          </cell>
          <cell r="N12">
            <v>-10533</v>
          </cell>
          <cell r="O12">
            <v>-10459</v>
          </cell>
          <cell r="P12">
            <v>-11907</v>
          </cell>
          <cell r="Q12">
            <v>-12325</v>
          </cell>
          <cell r="R12">
            <v>-14531</v>
          </cell>
          <cell r="S12">
            <v>-15645</v>
          </cell>
          <cell r="T12">
            <v>-11678</v>
          </cell>
          <cell r="U12">
            <v>-9082</v>
          </cell>
          <cell r="V12">
            <v>-10763</v>
          </cell>
          <cell r="W12">
            <v>-12866</v>
          </cell>
          <cell r="X12">
            <v>-14688</v>
          </cell>
          <cell r="Y12">
            <v>-14522.070493971725</v>
          </cell>
          <cell r="Z12">
            <v>-15722.055811820839</v>
          </cell>
          <cell r="AA12">
            <v>-16820.750266961179</v>
          </cell>
          <cell r="AB12">
            <v>-18057.147003110105</v>
          </cell>
          <cell r="AC12">
            <v>-19369.481938307319</v>
          </cell>
          <cell r="AD12">
            <v>-20799.59135041212</v>
          </cell>
          <cell r="AE12"/>
          <cell r="AF12"/>
          <cell r="AG12"/>
          <cell r="AH12"/>
          <cell r="AI12"/>
          <cell r="AJ12"/>
          <cell r="AK12"/>
          <cell r="AL12"/>
          <cell r="AM12"/>
          <cell r="AN12"/>
          <cell r="AO12"/>
          <cell r="AP12"/>
          <cell r="AQ12"/>
          <cell r="AR12"/>
          <cell r="AS12"/>
          <cell r="AT12"/>
          <cell r="AU12"/>
        </row>
        <row r="13">
          <cell r="B13" t="str">
            <v>SG&amp;A, selling, general and admin. expense</v>
          </cell>
          <cell r="C13" t="str">
            <v>SEL_GL_AD</v>
          </cell>
          <cell r="D13" t="str">
            <v>GBP</v>
          </cell>
          <cell r="F13">
            <v>-632</v>
          </cell>
          <cell r="G13">
            <v>-653</v>
          </cell>
          <cell r="H13">
            <v>-666</v>
          </cell>
          <cell r="I13">
            <v>-740</v>
          </cell>
          <cell r="J13">
            <v>-836</v>
          </cell>
          <cell r="K13">
            <v>-984</v>
          </cell>
          <cell r="L13">
            <v>-993</v>
          </cell>
          <cell r="M13">
            <v>-1323</v>
          </cell>
          <cell r="N13">
            <v>-1124</v>
          </cell>
          <cell r="O13">
            <v>-1059</v>
          </cell>
          <cell r="P13">
            <v>-2208</v>
          </cell>
          <cell r="Q13">
            <v>-1222</v>
          </cell>
          <cell r="R13">
            <v>-1595</v>
          </cell>
          <cell r="S13">
            <v>-1128</v>
          </cell>
          <cell r="T13">
            <v>-808</v>
          </cell>
          <cell r="U13">
            <v>-890</v>
          </cell>
          <cell r="V13">
            <v>-1077</v>
          </cell>
          <cell r="W13">
            <v>-1110</v>
          </cell>
          <cell r="X13">
            <v>-1284</v>
          </cell>
          <cell r="Y13">
            <v>-1369.5960855104045</v>
          </cell>
          <cell r="Z13">
            <v>-1484.8305865474836</v>
          </cell>
          <cell r="AA13">
            <v>-1590.806587272936</v>
          </cell>
          <cell r="AB13">
            <v>-1710.1194240663165</v>
          </cell>
          <cell r="AC13">
            <v>-1836.9673813204879</v>
          </cell>
          <cell r="AD13">
            <v>-1975.3553026644845</v>
          </cell>
          <cell r="AE13"/>
          <cell r="AF13"/>
          <cell r="AG13"/>
          <cell r="AH13"/>
          <cell r="AI13"/>
          <cell r="AJ13"/>
          <cell r="AK13"/>
          <cell r="AL13"/>
          <cell r="AM13"/>
          <cell r="AN13"/>
          <cell r="AO13"/>
          <cell r="AP13"/>
          <cell r="AQ13"/>
          <cell r="AR13"/>
          <cell r="AS13"/>
          <cell r="AT13"/>
          <cell r="AU13"/>
        </row>
        <row r="14">
          <cell r="B14" t="str">
            <v>Total operating expense</v>
          </cell>
          <cell r="C14" t="str">
            <v>OP_COST</v>
          </cell>
          <cell r="D14" t="str">
            <v>GBP</v>
          </cell>
          <cell r="F14">
            <v>-6198</v>
          </cell>
          <cell r="G14">
            <v>-6656</v>
          </cell>
          <cell r="H14">
            <v>-7977</v>
          </cell>
          <cell r="I14">
            <v>-9043</v>
          </cell>
          <cell r="J14">
            <v>-9721</v>
          </cell>
          <cell r="K14">
            <v>-9660</v>
          </cell>
          <cell r="L14">
            <v>-10409</v>
          </cell>
          <cell r="M14">
            <v>-13520</v>
          </cell>
          <cell r="N14">
            <v>-11657</v>
          </cell>
          <cell r="O14">
            <v>-11518</v>
          </cell>
          <cell r="P14">
            <v>-14115</v>
          </cell>
          <cell r="Q14">
            <v>-13547</v>
          </cell>
          <cell r="R14">
            <v>-16126</v>
          </cell>
          <cell r="S14">
            <v>-16773</v>
          </cell>
          <cell r="T14">
            <v>-12486</v>
          </cell>
          <cell r="U14">
            <v>-9972</v>
          </cell>
          <cell r="V14">
            <v>-11840</v>
          </cell>
          <cell r="W14">
            <v>-13976</v>
          </cell>
          <cell r="X14">
            <v>-15972</v>
          </cell>
          <cell r="Y14">
            <v>-15891.666579482129</v>
          </cell>
          <cell r="Z14">
            <v>-17206.886398368322</v>
          </cell>
          <cell r="AA14">
            <v>-18411.556854234113</v>
          </cell>
          <cell r="AB14">
            <v>-19767.266427176422</v>
          </cell>
          <cell r="AC14">
            <v>-21206.449319627805</v>
          </cell>
          <cell r="AD14">
            <v>-22774.946653076604</v>
          </cell>
          <cell r="AE14"/>
          <cell r="AF14"/>
          <cell r="AG14"/>
          <cell r="AH14"/>
          <cell r="AI14"/>
          <cell r="AJ14"/>
          <cell r="AK14"/>
          <cell r="AL14"/>
          <cell r="AM14"/>
          <cell r="AN14"/>
          <cell r="AO14"/>
          <cell r="AP14"/>
          <cell r="AQ14"/>
          <cell r="AR14"/>
          <cell r="AS14"/>
          <cell r="AT14"/>
          <cell r="AU14"/>
        </row>
        <row r="15">
          <cell r="B15" t="str">
            <v>R&amp;D expense</v>
          </cell>
          <cell r="C15" t="str">
            <v>RD_EXP</v>
          </cell>
          <cell r="D15" t="str">
            <v>GBP</v>
          </cell>
          <cell r="F15">
            <v>-370</v>
          </cell>
          <cell r="G15">
            <v>-381</v>
          </cell>
          <cell r="H15">
            <v>-403</v>
          </cell>
          <cell r="I15">
            <v>-379</v>
          </cell>
          <cell r="J15">
            <v>-422</v>
          </cell>
          <cell r="K15">
            <v>-463</v>
          </cell>
          <cell r="L15">
            <v>-531</v>
          </cell>
          <cell r="M15">
            <v>-683</v>
          </cell>
          <cell r="N15">
            <v>-793</v>
          </cell>
          <cell r="O15">
            <v>-818</v>
          </cell>
          <cell r="P15">
            <v>-918</v>
          </cell>
          <cell r="Q15">
            <v>-843</v>
          </cell>
          <cell r="R15">
            <v>-768</v>
          </cell>
          <cell r="S15">
            <v>-770</v>
          </cell>
          <cell r="T15">
            <v>-1254</v>
          </cell>
          <cell r="U15">
            <v>-778</v>
          </cell>
          <cell r="V15">
            <v>-891</v>
          </cell>
          <cell r="W15">
            <v>-739</v>
          </cell>
          <cell r="X15">
            <v>-203</v>
          </cell>
          <cell r="Y15">
            <v>-216.53271445374779</v>
          </cell>
          <cell r="Z15">
            <v>-234.75125316911152</v>
          </cell>
          <cell r="AA15">
            <v>-251.50602586947511</v>
          </cell>
          <cell r="AB15">
            <v>-270.36934819740054</v>
          </cell>
          <cell r="AC15">
            <v>-290.42397072278743</v>
          </cell>
          <cell r="AD15">
            <v>-312.30305797577137</v>
          </cell>
          <cell r="AE15"/>
          <cell r="AF15"/>
          <cell r="AG15"/>
          <cell r="AH15"/>
          <cell r="AI15"/>
          <cell r="AJ15"/>
          <cell r="AK15"/>
          <cell r="AL15"/>
          <cell r="AM15"/>
          <cell r="AN15"/>
          <cell r="AO15"/>
          <cell r="AP15"/>
          <cell r="AQ15"/>
          <cell r="AR15"/>
          <cell r="AS15"/>
          <cell r="AT15"/>
          <cell r="AU15"/>
        </row>
        <row r="16">
          <cell r="B16" t="str">
            <v>Other operating income/(expense) (incl. leases)</v>
          </cell>
          <cell r="C16" t="str">
            <v>OTH_OP_INC_EXP</v>
          </cell>
          <cell r="D16" t="str">
            <v>GBP</v>
          </cell>
          <cell r="F16">
            <v>160</v>
          </cell>
          <cell r="G16">
            <v>434</v>
          </cell>
          <cell r="H16">
            <v>217</v>
          </cell>
          <cell r="I16">
            <v>-9</v>
          </cell>
          <cell r="J16">
            <v>68</v>
          </cell>
          <cell r="K16">
            <v>205</v>
          </cell>
          <cell r="L16">
            <v>274</v>
          </cell>
          <cell r="M16">
            <v>521</v>
          </cell>
          <cell r="N16">
            <v>392</v>
          </cell>
          <cell r="O16">
            <v>103</v>
          </cell>
          <cell r="P16">
            <v>993</v>
          </cell>
          <cell r="Q16">
            <v>-51</v>
          </cell>
          <cell r="R16">
            <v>1781</v>
          </cell>
          <cell r="S16">
            <v>1764</v>
          </cell>
          <cell r="T16">
            <v>241</v>
          </cell>
          <cell r="U16">
            <v>-54</v>
          </cell>
          <cell r="V16">
            <v>-137</v>
          </cell>
          <cell r="W16">
            <v>-181</v>
          </cell>
          <cell r="X16">
            <v>-270</v>
          </cell>
          <cell r="Y16">
            <v>-804.76873096422537</v>
          </cell>
          <cell r="Z16">
            <v>-679.29688564006074</v>
          </cell>
          <cell r="AA16">
            <v>-602.56314983204834</v>
          </cell>
          <cell r="AB16">
            <v>-503.08982477878385</v>
          </cell>
          <cell r="AC16">
            <v>-292.23277417027606</v>
          </cell>
          <cell r="AD16">
            <v>-154.07909988537773</v>
          </cell>
          <cell r="AE16"/>
          <cell r="AF16"/>
          <cell r="AG16"/>
          <cell r="AH16"/>
          <cell r="AI16"/>
          <cell r="AJ16"/>
          <cell r="AK16"/>
          <cell r="AL16"/>
          <cell r="AM16"/>
          <cell r="AN16"/>
          <cell r="AO16"/>
          <cell r="AP16"/>
          <cell r="AQ16"/>
          <cell r="AR16"/>
          <cell r="AS16"/>
          <cell r="AT16"/>
          <cell r="AU16"/>
        </row>
        <row r="17">
          <cell r="B17" t="str">
            <v>Total operating expense (incl. D&amp;A)</v>
          </cell>
          <cell r="C17" t="str">
            <v>TOT_OPS_EXP_DDA</v>
          </cell>
          <cell r="D17" t="str">
            <v>GBP</v>
          </cell>
          <cell r="F17">
            <v>-6408</v>
          </cell>
          <cell r="G17">
            <v>-6603</v>
          </cell>
          <cell r="H17">
            <v>-8163</v>
          </cell>
          <cell r="I17">
            <v>-9431</v>
          </cell>
          <cell r="J17">
            <v>-10075</v>
          </cell>
          <cell r="K17">
            <v>-9918</v>
          </cell>
          <cell r="L17">
            <v>-10666</v>
          </cell>
          <cell r="M17">
            <v>-13682</v>
          </cell>
          <cell r="N17">
            <v>-12058</v>
          </cell>
          <cell r="O17">
            <v>-12233</v>
          </cell>
          <cell r="P17">
            <v>-14040</v>
          </cell>
          <cell r="Q17">
            <v>-14441</v>
          </cell>
          <cell r="R17">
            <v>-15113</v>
          </cell>
          <cell r="S17">
            <v>-15779</v>
          </cell>
          <cell r="T17">
            <v>-13499</v>
          </cell>
          <cell r="U17">
            <v>-10804</v>
          </cell>
          <cell r="V17">
            <v>-12868</v>
          </cell>
          <cell r="W17">
            <v>-14896</v>
          </cell>
          <cell r="X17">
            <v>-16445</v>
          </cell>
          <cell r="Y17">
            <v>-16912.968024900103</v>
          </cell>
          <cell r="Z17">
            <v>-18120.934537177494</v>
          </cell>
          <cell r="AA17">
            <v>-19265.626029935636</v>
          </cell>
          <cell r="AB17">
            <v>-20540.725600152608</v>
          </cell>
          <cell r="AC17">
            <v>-21789.106064520867</v>
          </cell>
          <cell r="AD17">
            <v>-23241.328810937754</v>
          </cell>
          <cell r="AE17"/>
          <cell r="AF17"/>
          <cell r="AG17"/>
          <cell r="AH17"/>
          <cell r="AI17"/>
          <cell r="AJ17"/>
          <cell r="AK17"/>
          <cell r="AL17"/>
          <cell r="AM17"/>
          <cell r="AN17"/>
          <cell r="AO17"/>
          <cell r="AP17"/>
          <cell r="AQ17"/>
          <cell r="AR17"/>
          <cell r="AS17"/>
          <cell r="AT17"/>
          <cell r="AU17"/>
        </row>
        <row r="18">
          <cell r="B18" t="str">
            <v>Total operating expense (excl. D&amp;A)</v>
          </cell>
          <cell r="C18" t="str">
            <v>TOT_OPS_EXP</v>
          </cell>
          <cell r="D18" t="str">
            <v>GBP</v>
          </cell>
          <cell r="F18">
            <v>-6187</v>
          </cell>
          <cell r="G18">
            <v>-6370</v>
          </cell>
          <cell r="H18">
            <v>-7848</v>
          </cell>
          <cell r="I18">
            <v>-9116</v>
          </cell>
          <cell r="J18">
            <v>-9708</v>
          </cell>
          <cell r="K18">
            <v>-9508</v>
          </cell>
          <cell r="L18">
            <v>-10179</v>
          </cell>
          <cell r="M18">
            <v>-12882</v>
          </cell>
          <cell r="N18">
            <v>-11316</v>
          </cell>
          <cell r="O18">
            <v>-11423</v>
          </cell>
          <cell r="P18">
            <v>-12986</v>
          </cell>
          <cell r="Q18">
            <v>-13648</v>
          </cell>
          <cell r="R18">
            <v>-14027</v>
          </cell>
          <cell r="S18">
            <v>-14875</v>
          </cell>
          <cell r="T18">
            <v>-11776</v>
          </cell>
          <cell r="U18">
            <v>-10052</v>
          </cell>
          <cell r="V18">
            <v>-12151</v>
          </cell>
          <cell r="W18">
            <v>-14201</v>
          </cell>
          <cell r="X18">
            <v>-16165</v>
          </cell>
          <cell r="Y18">
            <v>-16284.607154173214</v>
          </cell>
          <cell r="Z18">
            <v>-17461.571461890711</v>
          </cell>
          <cell r="AA18">
            <v>-18582.6298235656</v>
          </cell>
          <cell r="AB18">
            <v>-19831.68797791412</v>
          </cell>
          <cell r="AC18">
            <v>-21054.527988345999</v>
          </cell>
          <cell r="AD18">
            <v>-22480.501639476533</v>
          </cell>
          <cell r="AE18"/>
          <cell r="AF18"/>
          <cell r="AG18"/>
          <cell r="AH18"/>
          <cell r="AI18"/>
          <cell r="AJ18"/>
          <cell r="AK18"/>
          <cell r="AL18"/>
          <cell r="AM18"/>
          <cell r="AN18"/>
          <cell r="AO18"/>
          <cell r="AP18"/>
          <cell r="AQ18"/>
          <cell r="AR18"/>
          <cell r="AS18"/>
          <cell r="AT18"/>
          <cell r="AU18"/>
        </row>
        <row r="19">
          <cell r="B19" t="str">
            <v>EBITDA</v>
          </cell>
          <cell r="C19" t="str">
            <v>EBITDA_CALC</v>
          </cell>
          <cell r="D19" t="str">
            <v>GBP</v>
          </cell>
          <cell r="F19">
            <v>969</v>
          </cell>
          <cell r="G19">
            <v>1065</v>
          </cell>
          <cell r="H19">
            <v>1234</v>
          </cell>
          <cell r="I19">
            <v>1298</v>
          </cell>
          <cell r="J19">
            <v>1377</v>
          </cell>
          <cell r="K19">
            <v>1616</v>
          </cell>
          <cell r="L19">
            <v>1966</v>
          </cell>
          <cell r="M19">
            <v>2631</v>
          </cell>
          <cell r="N19">
            <v>2420</v>
          </cell>
          <cell r="O19">
            <v>2302</v>
          </cell>
          <cell r="P19">
            <v>1969</v>
          </cell>
          <cell r="Q19">
            <v>1099</v>
          </cell>
          <cell r="R19">
            <v>1702</v>
          </cell>
          <cell r="S19">
            <v>1712</v>
          </cell>
          <cell r="T19">
            <v>-285</v>
          </cell>
          <cell r="U19">
            <v>1166</v>
          </cell>
          <cell r="V19">
            <v>1369</v>
          </cell>
          <cell r="W19">
            <v>2285</v>
          </cell>
          <cell r="X19">
            <v>2744</v>
          </cell>
          <cell r="Y19">
            <v>3884.935198565292</v>
          </cell>
          <cell r="Z19">
            <v>4404.9873862606664</v>
          </cell>
          <cell r="AA19">
            <v>4844.5989605028926</v>
          </cell>
          <cell r="AB19">
            <v>5352.6174657540896</v>
          </cell>
          <cell r="AC19">
            <v>5997.8210875022105</v>
          </cell>
          <cell r="AD19">
            <v>6609.8359135474129</v>
          </cell>
          <cell r="AE19"/>
          <cell r="AF19"/>
          <cell r="AG19"/>
          <cell r="AH19"/>
          <cell r="AI19"/>
          <cell r="AJ19"/>
          <cell r="AK19"/>
          <cell r="AL19"/>
          <cell r="AM19"/>
          <cell r="AN19"/>
          <cell r="AO19"/>
          <cell r="AP19"/>
          <cell r="AQ19"/>
          <cell r="AR19"/>
          <cell r="AS19"/>
          <cell r="AT19"/>
          <cell r="AU19"/>
        </row>
        <row r="20">
          <cell r="B20" t="str">
            <v>Depreciation</v>
          </cell>
          <cell r="C20" t="str">
            <v>DEPREC</v>
          </cell>
          <cell r="D20" t="str">
            <v>GBP</v>
          </cell>
          <cell r="F20">
            <v>-161</v>
          </cell>
          <cell r="G20">
            <v>-170</v>
          </cell>
          <cell r="H20">
            <v>-208</v>
          </cell>
          <cell r="I20">
            <v>-194</v>
          </cell>
          <cell r="J20">
            <v>-237</v>
          </cell>
          <cell r="K20">
            <v>-241</v>
          </cell>
          <cell r="L20">
            <v>-256</v>
          </cell>
          <cell r="M20">
            <v>-372</v>
          </cell>
          <cell r="N20">
            <v>-375</v>
          </cell>
          <cell r="O20">
            <v>-378</v>
          </cell>
          <cell r="P20">
            <v>-426</v>
          </cell>
          <cell r="Q20">
            <v>-450</v>
          </cell>
          <cell r="R20">
            <v>-521</v>
          </cell>
          <cell r="S20">
            <v>-532</v>
          </cell>
          <cell r="T20">
            <v>-821</v>
          </cell>
          <cell r="U20">
            <v>-462</v>
          </cell>
          <cell r="V20">
            <v>-430</v>
          </cell>
          <cell r="W20">
            <v>-423</v>
          </cell>
          <cell r="X20">
            <v>-400</v>
          </cell>
          <cell r="Y20">
            <v>-406.49590484676452</v>
          </cell>
          <cell r="Z20">
            <v>-418.83092795711894</v>
          </cell>
          <cell r="AA20">
            <v>-425.29668974528232</v>
          </cell>
          <cell r="AB20">
            <v>-432.01026235813606</v>
          </cell>
          <cell r="AC20">
            <v>-437.00223634053702</v>
          </cell>
          <cell r="AD20">
            <v>-440.83345837795741</v>
          </cell>
          <cell r="AE20"/>
          <cell r="AF20"/>
          <cell r="AG20"/>
          <cell r="AH20"/>
          <cell r="AI20"/>
          <cell r="AJ20"/>
          <cell r="AK20"/>
          <cell r="AL20"/>
          <cell r="AM20"/>
          <cell r="AN20"/>
          <cell r="AO20"/>
          <cell r="AP20"/>
          <cell r="AQ20"/>
          <cell r="AR20"/>
          <cell r="AS20"/>
          <cell r="AT20"/>
          <cell r="AU20"/>
        </row>
        <row r="21">
          <cell r="B21" t="str">
            <v>Amortization</v>
          </cell>
          <cell r="C21" t="str">
            <v>GOODWILL_AMORT</v>
          </cell>
          <cell r="D21" t="str">
            <v>GBP</v>
          </cell>
          <cell r="F21">
            <v>-60</v>
          </cell>
          <cell r="G21">
            <v>-63</v>
          </cell>
          <cell r="H21">
            <v>-107</v>
          </cell>
          <cell r="I21">
            <v>-121</v>
          </cell>
          <cell r="J21">
            <v>-130</v>
          </cell>
          <cell r="K21">
            <v>-169</v>
          </cell>
          <cell r="L21">
            <v>-231</v>
          </cell>
          <cell r="M21">
            <v>-428</v>
          </cell>
          <cell r="N21">
            <v>-367</v>
          </cell>
          <cell r="O21">
            <v>-432</v>
          </cell>
          <cell r="P21">
            <v>-628</v>
          </cell>
          <cell r="Q21">
            <v>-343</v>
          </cell>
          <cell r="R21">
            <v>-565</v>
          </cell>
          <cell r="S21">
            <v>-372</v>
          </cell>
          <cell r="T21">
            <v>-902</v>
          </cell>
          <cell r="U21">
            <v>-290</v>
          </cell>
          <cell r="V21">
            <v>-287</v>
          </cell>
          <cell r="W21">
            <v>-272</v>
          </cell>
          <cell r="X21">
            <v>120</v>
          </cell>
          <cell r="Y21">
            <v>-221.86496588012361</v>
          </cell>
          <cell r="Z21">
            <v>-240.53214732966518</v>
          </cell>
          <cell r="AA21">
            <v>-257.69951662475347</v>
          </cell>
          <cell r="AB21">
            <v>-277.02735988035033</v>
          </cell>
          <cell r="AC21">
            <v>-297.5758398343304</v>
          </cell>
          <cell r="AD21">
            <v>-319.9937130832634</v>
          </cell>
          <cell r="AE21"/>
          <cell r="AF21"/>
          <cell r="AG21"/>
          <cell r="AH21"/>
          <cell r="AI21"/>
          <cell r="AJ21"/>
          <cell r="AK21"/>
          <cell r="AL21"/>
          <cell r="AM21"/>
          <cell r="AN21"/>
          <cell r="AO21"/>
          <cell r="AP21"/>
          <cell r="AQ21"/>
          <cell r="AR21"/>
          <cell r="AS21"/>
          <cell r="AT21"/>
          <cell r="AU21"/>
        </row>
        <row r="22">
          <cell r="B22" t="str">
            <v>EBIT, operating profit</v>
          </cell>
          <cell r="C22" t="str">
            <v>EBIT</v>
          </cell>
          <cell r="D22" t="str">
            <v>GBP</v>
          </cell>
          <cell r="F22">
            <v>748</v>
          </cell>
          <cell r="G22">
            <v>832</v>
          </cell>
          <cell r="H22">
            <v>919</v>
          </cell>
          <cell r="I22">
            <v>983</v>
          </cell>
          <cell r="J22">
            <v>1010</v>
          </cell>
          <cell r="K22">
            <v>1206</v>
          </cell>
          <cell r="L22">
            <v>1479</v>
          </cell>
          <cell r="M22">
            <v>1831</v>
          </cell>
          <cell r="N22">
            <v>1678</v>
          </cell>
          <cell r="O22">
            <v>1492</v>
          </cell>
          <cell r="P22">
            <v>915</v>
          </cell>
          <cell r="Q22">
            <v>306</v>
          </cell>
          <cell r="R22">
            <v>616</v>
          </cell>
          <cell r="S22">
            <v>808</v>
          </cell>
          <cell r="T22">
            <v>-2008</v>
          </cell>
          <cell r="U22">
            <v>414</v>
          </cell>
          <cell r="V22">
            <v>652</v>
          </cell>
          <cell r="W22">
            <v>1590</v>
          </cell>
          <cell r="X22">
            <v>2464</v>
          </cell>
          <cell r="Y22">
            <v>3256.5743278384039</v>
          </cell>
          <cell r="Z22">
            <v>3745.6243109738825</v>
          </cell>
          <cell r="AA22">
            <v>4161.6027541328567</v>
          </cell>
          <cell r="AB22">
            <v>4643.579843515603</v>
          </cell>
          <cell r="AC22">
            <v>5263.2430113273431</v>
          </cell>
          <cell r="AD22">
            <v>5849.0087420861919</v>
          </cell>
          <cell r="AE22"/>
          <cell r="AF22"/>
          <cell r="AG22"/>
          <cell r="AH22"/>
          <cell r="AI22"/>
          <cell r="AJ22"/>
          <cell r="AK22"/>
          <cell r="AL22"/>
          <cell r="AM22"/>
          <cell r="AN22"/>
          <cell r="AO22"/>
          <cell r="AP22"/>
          <cell r="AQ22"/>
          <cell r="AR22"/>
          <cell r="AS22"/>
          <cell r="AT22"/>
          <cell r="AU22"/>
        </row>
        <row r="23">
          <cell r="B23" t="str">
            <v>Interest income</v>
          </cell>
          <cell r="C23" t="str">
            <v>INT_INC_IND</v>
          </cell>
          <cell r="D23" t="str">
            <v>GBP</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325.1418333333333</v>
          </cell>
          <cell r="Z23">
            <v>395.62274958101511</v>
          </cell>
          <cell r="AA23">
            <v>397.29013775994594</v>
          </cell>
          <cell r="AB23">
            <v>435.85386169959867</v>
          </cell>
          <cell r="AC23">
            <v>474.86423348660054</v>
          </cell>
          <cell r="AD23">
            <v>487.92361495288702</v>
          </cell>
          <cell r="AE23"/>
          <cell r="AF23"/>
          <cell r="AG23"/>
          <cell r="AH23"/>
          <cell r="AI23"/>
          <cell r="AJ23"/>
          <cell r="AK23"/>
          <cell r="AL23"/>
          <cell r="AM23"/>
          <cell r="AN23"/>
          <cell r="AO23"/>
          <cell r="AP23"/>
          <cell r="AQ23"/>
          <cell r="AR23"/>
          <cell r="AS23"/>
          <cell r="AT23"/>
          <cell r="AU23"/>
        </row>
        <row r="24">
          <cell r="B24" t="str">
            <v>Interest expense</v>
          </cell>
          <cell r="C24" t="str">
            <v>INT_EXP_IND</v>
          </cell>
          <cell r="D24" t="str">
            <v>GBP</v>
          </cell>
          <cell r="F24">
            <v>0</v>
          </cell>
          <cell r="G24">
            <v>0</v>
          </cell>
          <cell r="H24">
            <v>0</v>
          </cell>
          <cell r="I24">
            <v>0</v>
          </cell>
          <cell r="J24">
            <v>0</v>
          </cell>
          <cell r="K24">
            <v>0</v>
          </cell>
          <cell r="L24">
            <v>0</v>
          </cell>
          <cell r="M24">
            <v>0</v>
          </cell>
          <cell r="N24">
            <v>-61</v>
          </cell>
          <cell r="O24">
            <v>-60</v>
          </cell>
          <cell r="P24">
            <v>-102</v>
          </cell>
          <cell r="Q24">
            <v>-107</v>
          </cell>
          <cell r="R24">
            <v>-150</v>
          </cell>
          <cell r="S24">
            <v>-225</v>
          </cell>
          <cell r="T24">
            <v>-1986</v>
          </cell>
          <cell r="U24">
            <v>-378</v>
          </cell>
          <cell r="V24">
            <v>-446</v>
          </cell>
          <cell r="W24">
            <v>-328</v>
          </cell>
          <cell r="X24">
            <v>-171</v>
          </cell>
          <cell r="Y24">
            <v>-501.67916666666667</v>
          </cell>
          <cell r="Z24">
            <v>-425.11388888888888</v>
          </cell>
          <cell r="AA24">
            <v>-353.91685185185185</v>
          </cell>
          <cell r="AB24">
            <v>-349.02413580246912</v>
          </cell>
          <cell r="AC24">
            <v>-345.1149588477366</v>
          </cell>
          <cell r="AD24">
            <v>-340.33198216735252</v>
          </cell>
          <cell r="AE24"/>
          <cell r="AF24"/>
          <cell r="AG24"/>
          <cell r="AH24"/>
          <cell r="AI24"/>
          <cell r="AJ24"/>
          <cell r="AK24"/>
          <cell r="AL24"/>
          <cell r="AM24"/>
          <cell r="AN24"/>
          <cell r="AO24"/>
          <cell r="AP24"/>
          <cell r="AQ24"/>
          <cell r="AR24"/>
          <cell r="AS24"/>
          <cell r="AT24"/>
          <cell r="AU24"/>
        </row>
        <row r="25">
          <cell r="B25" t="str">
            <v>Net interest income/(expense)</v>
          </cell>
          <cell r="C25" t="str">
            <v>NET_INT_EXP</v>
          </cell>
          <cell r="D25" t="str">
            <v>GBP</v>
          </cell>
          <cell r="F25">
            <v>0</v>
          </cell>
          <cell r="G25">
            <v>0</v>
          </cell>
          <cell r="H25">
            <v>0</v>
          </cell>
          <cell r="I25">
            <v>0</v>
          </cell>
          <cell r="J25">
            <v>0</v>
          </cell>
          <cell r="K25">
            <v>0</v>
          </cell>
          <cell r="L25">
            <v>0</v>
          </cell>
          <cell r="M25">
            <v>0</v>
          </cell>
          <cell r="N25">
            <v>-61</v>
          </cell>
          <cell r="O25">
            <v>-60</v>
          </cell>
          <cell r="P25">
            <v>-102</v>
          </cell>
          <cell r="Q25">
            <v>-107</v>
          </cell>
          <cell r="R25">
            <v>-150</v>
          </cell>
          <cell r="S25">
            <v>-225</v>
          </cell>
          <cell r="T25">
            <v>-1986</v>
          </cell>
          <cell r="U25">
            <v>-378</v>
          </cell>
          <cell r="V25">
            <v>-446</v>
          </cell>
          <cell r="W25">
            <v>-328</v>
          </cell>
          <cell r="X25">
            <v>-171</v>
          </cell>
          <cell r="Y25">
            <v>-176.53733333333338</v>
          </cell>
          <cell r="Z25">
            <v>-29.491139307873766</v>
          </cell>
          <cell r="AA25">
            <v>43.37328590809409</v>
          </cell>
          <cell r="AB25">
            <v>86.829725897129549</v>
          </cell>
          <cell r="AC25">
            <v>129.74927463886394</v>
          </cell>
          <cell r="AD25">
            <v>147.5916327855345</v>
          </cell>
          <cell r="AE25"/>
          <cell r="AF25"/>
          <cell r="AG25"/>
          <cell r="AH25"/>
          <cell r="AI25"/>
          <cell r="AJ25"/>
          <cell r="AK25"/>
          <cell r="AL25"/>
          <cell r="AM25"/>
          <cell r="AN25"/>
          <cell r="AO25"/>
          <cell r="AP25"/>
          <cell r="AQ25"/>
          <cell r="AR25"/>
          <cell r="AS25"/>
          <cell r="AT25"/>
          <cell r="AU25"/>
        </row>
        <row r="26">
          <cell r="B26" t="str">
            <v>Income/(loss) from unconsolidated subs &amp; associates</v>
          </cell>
          <cell r="C26" t="str">
            <v>ASSOCIATE</v>
          </cell>
          <cell r="D26" t="str">
            <v>GBP</v>
          </cell>
          <cell r="F26"/>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row>
        <row r="27">
          <cell r="B27" t="str">
            <v>Profit/(loss) on disposals of assets, pre-tax</v>
          </cell>
          <cell r="C27" t="str">
            <v>PROFIT_ON_DISP</v>
          </cell>
          <cell r="D27" t="str">
            <v>GBP</v>
          </cell>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row>
        <row r="28">
          <cell r="B28" t="str">
            <v>Other non-ops income/(expense)</v>
          </cell>
          <cell r="C28" t="str">
            <v>OTH_COST_INC</v>
          </cell>
          <cell r="D28" t="str">
            <v>GBP</v>
          </cell>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row>
        <row r="29">
          <cell r="B29" t="str">
            <v>Pre-tax profit</v>
          </cell>
          <cell r="C29" t="str">
            <v>PT_PROF</v>
          </cell>
          <cell r="D29" t="str">
            <v>GBP</v>
          </cell>
          <cell r="F29">
            <v>748</v>
          </cell>
          <cell r="G29">
            <v>832</v>
          </cell>
          <cell r="H29">
            <v>919</v>
          </cell>
          <cell r="I29">
            <v>983</v>
          </cell>
          <cell r="J29">
            <v>1010</v>
          </cell>
          <cell r="K29">
            <v>1206</v>
          </cell>
          <cell r="L29">
            <v>1479</v>
          </cell>
          <cell r="M29">
            <v>1831</v>
          </cell>
          <cell r="N29">
            <v>1617</v>
          </cell>
          <cell r="O29">
            <v>1432</v>
          </cell>
          <cell r="P29">
            <v>813</v>
          </cell>
          <cell r="Q29">
            <v>199</v>
          </cell>
          <cell r="R29">
            <v>466</v>
          </cell>
          <cell r="S29">
            <v>583</v>
          </cell>
          <cell r="T29">
            <v>-3994</v>
          </cell>
          <cell r="U29">
            <v>36</v>
          </cell>
          <cell r="V29">
            <v>206</v>
          </cell>
          <cell r="W29">
            <v>1262</v>
          </cell>
          <cell r="X29">
            <v>2293</v>
          </cell>
          <cell r="Y29">
            <v>3080.0369945050707</v>
          </cell>
          <cell r="Z29">
            <v>3716.1331716660088</v>
          </cell>
          <cell r="AA29">
            <v>4204.9760400409505</v>
          </cell>
          <cell r="AB29">
            <v>4730.4095694127327</v>
          </cell>
          <cell r="AC29">
            <v>5392.9922859662074</v>
          </cell>
          <cell r="AD29">
            <v>5996.6003748717267</v>
          </cell>
          <cell r="AE29"/>
          <cell r="AF29"/>
          <cell r="AG29"/>
          <cell r="AH29"/>
          <cell r="AI29"/>
          <cell r="AJ29"/>
          <cell r="AK29"/>
          <cell r="AL29"/>
          <cell r="AM29"/>
          <cell r="AN29"/>
          <cell r="AO29"/>
          <cell r="AP29"/>
          <cell r="AQ29"/>
          <cell r="AR29"/>
          <cell r="AS29"/>
          <cell r="AT29"/>
          <cell r="AU29"/>
        </row>
        <row r="30">
          <cell r="A30" t="str">
            <v>Additional Income Statement Items</v>
          </cell>
          <cell r="B30"/>
          <cell r="C30"/>
          <cell r="D30"/>
        </row>
        <row r="31">
          <cell r="B31" t="str">
            <v>Organic revenues (excl. acquisitions)</v>
          </cell>
          <cell r="C31" t="str">
            <v>ORG_REV</v>
          </cell>
          <cell r="D31" t="str">
            <v>GBP</v>
          </cell>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row>
        <row r="32">
          <cell r="B32" t="str">
            <v>Organic sales growth (excl. acquisitions)</v>
          </cell>
          <cell r="C32" t="str">
            <v>ORG_REV_GRTH</v>
          </cell>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row>
        <row r="33">
          <cell r="B33" t="str">
            <v>Operating lease cost</v>
          </cell>
          <cell r="C33" t="str">
            <v>LEASE_PAY</v>
          </cell>
          <cell r="D33" t="str">
            <v>GBP</v>
          </cell>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row>
        <row r="34">
          <cell r="B34" t="str">
            <v>Lease payments (deemed interest portion)</v>
          </cell>
          <cell r="C34" t="str">
            <v>LEASE_DEEM_INT</v>
          </cell>
          <cell r="D34" t="str">
            <v>GBP</v>
          </cell>
          <cell r="F34"/>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row>
        <row r="35">
          <cell r="B35" t="str">
            <v>Lease payments (deemed depreciation portion)</v>
          </cell>
          <cell r="C35" t="str">
            <v>LEASE_DEEM_DEPR</v>
          </cell>
          <cell r="D35" t="str">
            <v>GBP</v>
          </cell>
          <cell r="F35"/>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row>
        <row r="36">
          <cell r="B36" t="str">
            <v>Gross interest charge</v>
          </cell>
          <cell r="C36" t="str">
            <v>NET_INT_CH</v>
          </cell>
          <cell r="D36" t="str">
            <v>GBP</v>
          </cell>
          <cell r="F36"/>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row>
        <row r="37">
          <cell r="B37" t="str">
            <v>Income from associates (operating)</v>
          </cell>
          <cell r="C37" t="str">
            <v>ASSOCIATE_OP</v>
          </cell>
          <cell r="D37" t="str">
            <v>GBP</v>
          </cell>
          <cell r="F37"/>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row>
        <row r="38">
          <cell r="B38" t="str">
            <v>Goodwill amortization</v>
          </cell>
          <cell r="C38" t="str">
            <v>GW_AMORT</v>
          </cell>
          <cell r="D38" t="str">
            <v>GBP</v>
          </cell>
          <cell r="F38"/>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row>
        <row r="39">
          <cell r="B39" t="str">
            <v>Other intangible amortization</v>
          </cell>
          <cell r="C39" t="str">
            <v>OTH_INT_AMORT</v>
          </cell>
          <cell r="D39" t="str">
            <v>GBP</v>
          </cell>
          <cell r="F39"/>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row>
        <row r="40">
          <cell r="B40" t="str">
            <v>Depreciation ROU assets   (applicable to IFRS cos.)</v>
          </cell>
          <cell r="C40" t="str">
            <v>DEPR_ROU_ASSETS</v>
          </cell>
          <cell r="D40" t="str">
            <v>GBP</v>
          </cell>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row>
        <row r="41">
          <cell r="B41" t="str">
            <v>Lease interest charge  (applicable to IFRS cos.)</v>
          </cell>
          <cell r="C41" t="str">
            <v>LEASE_INT_CHG</v>
          </cell>
          <cell r="D41" t="str">
            <v>GBP</v>
          </cell>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row>
        <row r="42">
          <cell r="B42" t="str">
            <v>Lease standard adopted (US GAAP ASC 842/ IFRS 16)</v>
          </cell>
          <cell r="C42" t="str">
            <v>LEASE_ADOPT</v>
          </cell>
          <cell r="E42" t="str">
            <v>Y</v>
          </cell>
        </row>
        <row r="43">
          <cell r="A43" t="str">
            <v>Balance Sheet</v>
          </cell>
          <cell r="B43"/>
          <cell r="C43"/>
          <cell r="D43"/>
          <cell r="F43">
            <v>2006</v>
          </cell>
          <cell r="G43">
            <v>2007</v>
          </cell>
          <cell r="H43">
            <v>2008</v>
          </cell>
          <cell r="I43">
            <v>2009</v>
          </cell>
          <cell r="J43">
            <v>2010</v>
          </cell>
          <cell r="K43">
            <v>2011</v>
          </cell>
          <cell r="L43">
            <v>2012</v>
          </cell>
          <cell r="M43">
            <v>2013</v>
          </cell>
          <cell r="N43">
            <v>2014</v>
          </cell>
          <cell r="O43">
            <v>2015</v>
          </cell>
          <cell r="P43">
            <v>2016</v>
          </cell>
          <cell r="Q43">
            <v>2017</v>
          </cell>
          <cell r="R43">
            <v>2018</v>
          </cell>
          <cell r="S43">
            <v>2019</v>
          </cell>
          <cell r="T43">
            <v>2020</v>
          </cell>
          <cell r="U43">
            <v>2021</v>
          </cell>
          <cell r="V43">
            <v>2022</v>
          </cell>
          <cell r="W43">
            <v>2023</v>
          </cell>
          <cell r="X43">
            <v>2024</v>
          </cell>
          <cell r="Y43">
            <v>2025</v>
          </cell>
          <cell r="Z43">
            <v>2026</v>
          </cell>
          <cell r="AA43">
            <v>2027</v>
          </cell>
          <cell r="AB43">
            <v>2028</v>
          </cell>
          <cell r="AC43">
            <v>2029</v>
          </cell>
          <cell r="AD43">
            <v>2030</v>
          </cell>
        </row>
        <row r="44">
          <cell r="B44" t="str">
            <v>Cash &amp; cash equivalents</v>
          </cell>
          <cell r="C44" t="str">
            <v>CASH_EQ</v>
          </cell>
          <cell r="D44" t="str">
            <v>GBP</v>
          </cell>
          <cell r="F44">
            <v>2185</v>
          </cell>
          <cell r="G44">
            <v>1897</v>
          </cell>
          <cell r="H44">
            <v>2471</v>
          </cell>
          <cell r="I44">
            <v>2962</v>
          </cell>
          <cell r="J44">
            <v>2859</v>
          </cell>
          <cell r="K44">
            <v>1310</v>
          </cell>
          <cell r="L44">
            <v>2585</v>
          </cell>
          <cell r="M44">
            <v>3990</v>
          </cell>
          <cell r="N44">
            <v>2862</v>
          </cell>
          <cell r="O44">
            <v>3176</v>
          </cell>
          <cell r="P44">
            <v>2771</v>
          </cell>
          <cell r="Q44">
            <v>2953</v>
          </cell>
          <cell r="R44">
            <v>4974</v>
          </cell>
          <cell r="S44">
            <v>4443</v>
          </cell>
          <cell r="T44">
            <v>3452</v>
          </cell>
          <cell r="U44">
            <v>2621</v>
          </cell>
          <cell r="V44">
            <v>2607</v>
          </cell>
          <cell r="W44">
            <v>3784</v>
          </cell>
          <cell r="X44">
            <v>5575</v>
          </cell>
          <cell r="Y44">
            <v>6603.2419115740122</v>
          </cell>
          <cell r="Z44">
            <v>7583.9766354309722</v>
          </cell>
          <cell r="AA44">
            <v>10096.037900514657</v>
          </cell>
          <cell r="AB44">
            <v>13008.5946184028</v>
          </cell>
          <cell r="AC44">
            <v>16261.038374517666</v>
          </cell>
          <cell r="AD44">
            <v>19961.833510839006</v>
          </cell>
          <cell r="AE44"/>
          <cell r="AF44"/>
          <cell r="AG44"/>
          <cell r="AH44"/>
          <cell r="AI44"/>
          <cell r="AJ44"/>
          <cell r="AK44"/>
          <cell r="AL44"/>
          <cell r="AM44"/>
          <cell r="AN44"/>
          <cell r="AO44"/>
          <cell r="AP44"/>
          <cell r="AQ44"/>
          <cell r="AR44"/>
          <cell r="AS44"/>
          <cell r="AT44"/>
          <cell r="AU44"/>
        </row>
        <row r="45">
          <cell r="B45" t="str">
            <v>Accounts receivable</v>
          </cell>
          <cell r="C45" t="str">
            <v>DEBTORS</v>
          </cell>
          <cell r="D45" t="str">
            <v>GBP</v>
          </cell>
          <cell r="F45">
            <v>2465</v>
          </cell>
          <cell r="G45">
            <v>2585</v>
          </cell>
          <cell r="H45">
            <v>3929</v>
          </cell>
          <cell r="I45">
            <v>3877</v>
          </cell>
          <cell r="J45">
            <v>3943</v>
          </cell>
          <cell r="K45">
            <v>4009</v>
          </cell>
          <cell r="L45">
            <v>4119</v>
          </cell>
          <cell r="M45">
            <v>5092</v>
          </cell>
          <cell r="N45">
            <v>5509</v>
          </cell>
          <cell r="O45">
            <v>6244</v>
          </cell>
          <cell r="P45">
            <v>6956</v>
          </cell>
          <cell r="Q45">
            <v>6298</v>
          </cell>
          <cell r="R45">
            <v>4690</v>
          </cell>
          <cell r="S45">
            <v>5065</v>
          </cell>
          <cell r="T45">
            <v>5455</v>
          </cell>
          <cell r="U45">
            <v>5383</v>
          </cell>
          <cell r="V45">
            <v>6936</v>
          </cell>
          <cell r="W45">
            <v>8123</v>
          </cell>
          <cell r="X45">
            <v>8713</v>
          </cell>
          <cell r="Y45">
            <v>8537.9874458443974</v>
          </cell>
          <cell r="Z45">
            <v>8787.3542997407858</v>
          </cell>
          <cell r="AA45">
            <v>9158.549473562487</v>
          </cell>
          <cell r="AB45">
            <v>9776.3326363709912</v>
          </cell>
          <cell r="AC45">
            <v>10203.576601010587</v>
          </cell>
          <cell r="AD45">
            <v>10651.90491111427</v>
          </cell>
          <cell r="AE45"/>
          <cell r="AF45"/>
          <cell r="AG45"/>
          <cell r="AH45"/>
          <cell r="AI45"/>
          <cell r="AJ45"/>
          <cell r="AK45"/>
          <cell r="AL45"/>
          <cell r="AM45"/>
          <cell r="AN45"/>
          <cell r="AO45"/>
          <cell r="AP45"/>
          <cell r="AQ45"/>
          <cell r="AR45"/>
          <cell r="AS45"/>
          <cell r="AT45"/>
          <cell r="AU45"/>
        </row>
        <row r="46">
          <cell r="B46" t="str">
            <v>Inventory</v>
          </cell>
          <cell r="C46" t="str">
            <v>STOCKS</v>
          </cell>
          <cell r="D46" t="str">
            <v>GBP</v>
          </cell>
          <cell r="F46">
            <v>1845</v>
          </cell>
          <cell r="G46">
            <v>2203</v>
          </cell>
          <cell r="H46">
            <v>2600</v>
          </cell>
          <cell r="I46">
            <v>2432</v>
          </cell>
          <cell r="J46">
            <v>2429</v>
          </cell>
          <cell r="K46">
            <v>2561</v>
          </cell>
          <cell r="L46">
            <v>2726</v>
          </cell>
          <cell r="M46">
            <v>3319</v>
          </cell>
          <cell r="N46">
            <v>2768</v>
          </cell>
          <cell r="O46">
            <v>2637</v>
          </cell>
          <cell r="P46">
            <v>3086</v>
          </cell>
          <cell r="Q46">
            <v>3803</v>
          </cell>
          <cell r="R46">
            <v>4287</v>
          </cell>
          <cell r="S46">
            <v>4320</v>
          </cell>
          <cell r="T46">
            <v>3690</v>
          </cell>
          <cell r="U46">
            <v>3666</v>
          </cell>
          <cell r="V46">
            <v>4708</v>
          </cell>
          <cell r="W46">
            <v>4848</v>
          </cell>
          <cell r="X46">
            <v>5092</v>
          </cell>
          <cell r="Y46">
            <v>4535.660373459662</v>
          </cell>
          <cell r="Z46">
            <v>4522.7831787429814</v>
          </cell>
          <cell r="AA46">
            <v>4308.8771231804658</v>
          </cell>
          <cell r="AB46">
            <v>4155.6173924965724</v>
          </cell>
          <cell r="AC46">
            <v>4298.432978090118</v>
          </cell>
          <cell r="AD46">
            <v>4501.8293607741298</v>
          </cell>
          <cell r="AE46"/>
          <cell r="AF46"/>
          <cell r="AG46"/>
          <cell r="AH46"/>
          <cell r="AI46"/>
          <cell r="AJ46"/>
          <cell r="AK46"/>
          <cell r="AL46"/>
          <cell r="AM46"/>
          <cell r="AN46"/>
          <cell r="AO46"/>
          <cell r="AP46"/>
          <cell r="AQ46"/>
          <cell r="AR46"/>
          <cell r="AS46"/>
          <cell r="AT46"/>
          <cell r="AU46"/>
        </row>
        <row r="47">
          <cell r="B47" t="str">
            <v>Other current assets</v>
          </cell>
          <cell r="C47" t="str">
            <v>OTH_CUR_ASS</v>
          </cell>
          <cell r="D47" t="str">
            <v>GBP</v>
          </cell>
          <cell r="F47">
            <v>683</v>
          </cell>
          <cell r="G47">
            <v>568</v>
          </cell>
          <cell r="H47">
            <v>412</v>
          </cell>
          <cell r="I47">
            <v>103</v>
          </cell>
          <cell r="J47">
            <v>593</v>
          </cell>
          <cell r="K47">
            <v>435</v>
          </cell>
          <cell r="L47">
            <v>163</v>
          </cell>
          <cell r="M47">
            <v>417</v>
          </cell>
          <cell r="N47">
            <v>49</v>
          </cell>
          <cell r="O47">
            <v>59</v>
          </cell>
          <cell r="P47">
            <v>45</v>
          </cell>
          <cell r="Q47">
            <v>63</v>
          </cell>
          <cell r="R47">
            <v>2869</v>
          </cell>
          <cell r="S47">
            <v>2244</v>
          </cell>
          <cell r="T47">
            <v>2022</v>
          </cell>
          <cell r="U47">
            <v>3645</v>
          </cell>
          <cell r="V47">
            <v>1760</v>
          </cell>
          <cell r="W47">
            <v>1465</v>
          </cell>
          <cell r="X47">
            <v>2246</v>
          </cell>
          <cell r="Y47">
            <v>2046.5633882190805</v>
          </cell>
          <cell r="Z47">
            <v>1963.6591193705965</v>
          </cell>
          <cell r="AA47">
            <v>1838.6337270441097</v>
          </cell>
          <cell r="AB47">
            <v>1944.0583266200927</v>
          </cell>
          <cell r="AC47">
            <v>2056.1409445508925</v>
          </cell>
          <cell r="AD47">
            <v>2178.4202531814362</v>
          </cell>
          <cell r="AE47"/>
          <cell r="AF47"/>
          <cell r="AG47"/>
          <cell r="AH47"/>
          <cell r="AI47"/>
          <cell r="AJ47"/>
          <cell r="AK47"/>
          <cell r="AL47"/>
          <cell r="AM47"/>
          <cell r="AN47"/>
          <cell r="AO47"/>
          <cell r="AP47"/>
          <cell r="AQ47"/>
          <cell r="AR47"/>
          <cell r="AS47"/>
          <cell r="AT47"/>
          <cell r="AU47"/>
        </row>
        <row r="48">
          <cell r="B48" t="str">
            <v>Total current assets</v>
          </cell>
          <cell r="C48" t="str">
            <v>CUR_ASS</v>
          </cell>
          <cell r="D48" t="str">
            <v>GBP</v>
          </cell>
          <cell r="F48">
            <v>7178</v>
          </cell>
          <cell r="G48">
            <v>7253</v>
          </cell>
          <cell r="H48">
            <v>9412</v>
          </cell>
          <cell r="I48">
            <v>9374</v>
          </cell>
          <cell r="J48">
            <v>9824</v>
          </cell>
          <cell r="K48">
            <v>8315</v>
          </cell>
          <cell r="L48">
            <v>9593</v>
          </cell>
          <cell r="M48">
            <v>12818</v>
          </cell>
          <cell r="N48">
            <v>11188</v>
          </cell>
          <cell r="O48">
            <v>12116</v>
          </cell>
          <cell r="P48">
            <v>12858</v>
          </cell>
          <cell r="Q48">
            <v>13117</v>
          </cell>
          <cell r="R48">
            <v>16820</v>
          </cell>
          <cell r="S48">
            <v>16072</v>
          </cell>
          <cell r="T48">
            <v>14619</v>
          </cell>
          <cell r="U48">
            <v>15315</v>
          </cell>
          <cell r="V48">
            <v>16011</v>
          </cell>
          <cell r="W48">
            <v>18220</v>
          </cell>
          <cell r="X48">
            <v>21626</v>
          </cell>
          <cell r="Y48">
            <v>21723.453119097154</v>
          </cell>
          <cell r="Z48">
            <v>22857.773233285337</v>
          </cell>
          <cell r="AA48">
            <v>25402.098224301721</v>
          </cell>
          <cell r="AB48">
            <v>28884.602973890454</v>
          </cell>
          <cell r="AC48">
            <v>32819.188898169261</v>
          </cell>
          <cell r="AD48">
            <v>37293.988035908842</v>
          </cell>
          <cell r="AE48"/>
          <cell r="AF48"/>
          <cell r="AG48"/>
          <cell r="AH48"/>
          <cell r="AI48"/>
          <cell r="AJ48"/>
          <cell r="AK48"/>
          <cell r="AL48"/>
          <cell r="AM48"/>
          <cell r="AN48"/>
          <cell r="AO48"/>
          <cell r="AP48"/>
          <cell r="AQ48"/>
          <cell r="AR48"/>
          <cell r="AS48"/>
          <cell r="AT48"/>
          <cell r="AU48"/>
        </row>
        <row r="49">
          <cell r="B49" t="str">
            <v>Gross fixed assets, PP&amp;E</v>
          </cell>
          <cell r="C49" t="str">
            <v>GR_FIX_ASS</v>
          </cell>
          <cell r="D49" t="str">
            <v>GBP</v>
          </cell>
          <cell r="F49">
            <v>1706</v>
          </cell>
          <cell r="G49">
            <v>1813</v>
          </cell>
          <cell r="H49">
            <v>1995</v>
          </cell>
          <cell r="I49">
            <v>2009</v>
          </cell>
          <cell r="J49">
            <v>2136</v>
          </cell>
          <cell r="K49">
            <v>4297</v>
          </cell>
          <cell r="L49">
            <v>4695</v>
          </cell>
          <cell r="M49">
            <v>5811</v>
          </cell>
          <cell r="N49">
            <v>6050</v>
          </cell>
          <cell r="O49">
            <v>6316</v>
          </cell>
          <cell r="P49">
            <v>7366</v>
          </cell>
          <cell r="Q49">
            <v>8360</v>
          </cell>
          <cell r="R49">
            <v>9152</v>
          </cell>
          <cell r="S49">
            <v>10803</v>
          </cell>
          <cell r="T49">
            <v>10317</v>
          </cell>
          <cell r="U49">
            <v>9400</v>
          </cell>
          <cell r="V49">
            <v>9621</v>
          </cell>
          <cell r="W49">
            <v>9168</v>
          </cell>
          <cell r="X49">
            <v>9187</v>
          </cell>
          <cell r="Y49">
            <v>9883.9037143690584</v>
          </cell>
          <cell r="Z49">
            <v>10644.858689365727</v>
          </cell>
          <cell r="AA49">
            <v>11464.61158915066</v>
          </cell>
          <cell r="AB49">
            <v>12351.204136886114</v>
          </cell>
          <cell r="AC49">
            <v>13308.433659033573</v>
          </cell>
          <cell r="AD49">
            <v>14344.341233934396</v>
          </cell>
          <cell r="AE49"/>
          <cell r="AF49"/>
          <cell r="AG49"/>
          <cell r="AH49"/>
          <cell r="AI49"/>
          <cell r="AJ49"/>
          <cell r="AK49"/>
          <cell r="AL49"/>
          <cell r="AM49"/>
          <cell r="AN49"/>
          <cell r="AO49"/>
          <cell r="AP49"/>
          <cell r="AQ49"/>
          <cell r="AR49"/>
          <cell r="AS49"/>
          <cell r="AT49"/>
          <cell r="AU49"/>
        </row>
        <row r="50">
          <cell r="B50" t="str">
            <v>Accumulated depreciation</v>
          </cell>
          <cell r="C50" t="str">
            <v>ACC_DDA</v>
          </cell>
          <cell r="D50" t="str">
            <v>GBP</v>
          </cell>
          <cell r="F50">
            <v>0</v>
          </cell>
          <cell r="G50">
            <v>0</v>
          </cell>
          <cell r="H50">
            <v>0</v>
          </cell>
          <cell r="I50">
            <v>0</v>
          </cell>
          <cell r="J50">
            <v>0</v>
          </cell>
          <cell r="K50">
            <v>-1959</v>
          </cell>
          <cell r="L50">
            <v>-2131</v>
          </cell>
          <cell r="M50">
            <v>-2419</v>
          </cell>
          <cell r="N50">
            <v>-2604</v>
          </cell>
          <cell r="O50">
            <v>-2826</v>
          </cell>
          <cell r="P50">
            <v>-3252</v>
          </cell>
          <cell r="Q50">
            <v>-3702</v>
          </cell>
          <cell r="R50">
            <v>-4223</v>
          </cell>
          <cell r="S50">
            <v>-3991</v>
          </cell>
          <cell r="T50">
            <v>-4397</v>
          </cell>
          <cell r="U50">
            <v>-4280</v>
          </cell>
          <cell r="V50">
            <v>-4624</v>
          </cell>
          <cell r="W50">
            <v>-4535</v>
          </cell>
          <cell r="X50">
            <v>-4702</v>
          </cell>
          <cell r="Y50">
            <v>-5108.4959048467645</v>
          </cell>
          <cell r="Z50">
            <v>-5527.326832803883</v>
          </cell>
          <cell r="AA50">
            <v>-5952.6235225491655</v>
          </cell>
          <cell r="AB50">
            <v>-6384.6337849073016</v>
          </cell>
          <cell r="AC50">
            <v>-6821.6360212478385</v>
          </cell>
          <cell r="AD50">
            <v>-7262.4694796257954</v>
          </cell>
          <cell r="AE50"/>
          <cell r="AF50"/>
          <cell r="AG50"/>
          <cell r="AH50"/>
          <cell r="AI50"/>
          <cell r="AJ50"/>
          <cell r="AK50"/>
          <cell r="AL50"/>
          <cell r="AM50"/>
          <cell r="AN50"/>
          <cell r="AO50"/>
          <cell r="AP50"/>
          <cell r="AQ50"/>
          <cell r="AR50"/>
          <cell r="AS50"/>
          <cell r="AT50"/>
          <cell r="AU50"/>
        </row>
        <row r="51">
          <cell r="B51" t="str">
            <v>Net PP&amp;E</v>
          </cell>
          <cell r="C51" t="str">
            <v>NET_FIX_ASS</v>
          </cell>
          <cell r="D51" t="str">
            <v>GBP</v>
          </cell>
          <cell r="F51">
            <v>1706</v>
          </cell>
          <cell r="G51">
            <v>1813</v>
          </cell>
          <cell r="H51">
            <v>1995</v>
          </cell>
          <cell r="I51">
            <v>2009</v>
          </cell>
          <cell r="J51">
            <v>2136</v>
          </cell>
          <cell r="K51">
            <v>2338</v>
          </cell>
          <cell r="L51">
            <v>2564</v>
          </cell>
          <cell r="M51">
            <v>3392</v>
          </cell>
          <cell r="N51">
            <v>3446</v>
          </cell>
          <cell r="O51">
            <v>3490</v>
          </cell>
          <cell r="P51">
            <v>4114</v>
          </cell>
          <cell r="Q51">
            <v>4658</v>
          </cell>
          <cell r="R51">
            <v>4929</v>
          </cell>
          <cell r="S51">
            <v>6812</v>
          </cell>
          <cell r="T51">
            <v>5920</v>
          </cell>
          <cell r="U51">
            <v>5120</v>
          </cell>
          <cell r="V51">
            <v>4997</v>
          </cell>
          <cell r="W51">
            <v>4633</v>
          </cell>
          <cell r="X51">
            <v>4485</v>
          </cell>
          <cell r="Y51">
            <v>4775.4078095222931</v>
          </cell>
          <cell r="Z51">
            <v>5117.5318565618445</v>
          </cell>
          <cell r="AA51">
            <v>5511.9880666014942</v>
          </cell>
          <cell r="AB51">
            <v>5966.5703519788121</v>
          </cell>
          <cell r="AC51">
            <v>6486.797637785734</v>
          </cell>
          <cell r="AD51">
            <v>7081.8717543086013</v>
          </cell>
          <cell r="AE51"/>
          <cell r="AF51"/>
          <cell r="AG51"/>
          <cell r="AH51"/>
          <cell r="AI51"/>
          <cell r="AJ51"/>
          <cell r="AK51"/>
          <cell r="AL51"/>
          <cell r="AM51"/>
          <cell r="AN51"/>
          <cell r="AO51"/>
          <cell r="AP51"/>
          <cell r="AQ51"/>
          <cell r="AR51"/>
          <cell r="AS51"/>
          <cell r="AT51"/>
          <cell r="AU51"/>
        </row>
        <row r="52">
          <cell r="B52" t="str">
            <v>Gross intangibles</v>
          </cell>
          <cell r="C52" t="str">
            <v>GR_INTANG</v>
          </cell>
          <cell r="D52" t="str">
            <v>GBP</v>
          </cell>
          <cell r="F52">
            <v>1460</v>
          </cell>
          <cell r="G52">
            <v>1761</v>
          </cell>
          <cell r="H52">
            <v>2286</v>
          </cell>
          <cell r="I52">
            <v>2472</v>
          </cell>
          <cell r="J52">
            <v>3773</v>
          </cell>
          <cell r="K52">
            <v>3734</v>
          </cell>
          <cell r="L52">
            <v>3950</v>
          </cell>
          <cell r="M52">
            <v>6446</v>
          </cell>
          <cell r="N52">
            <v>6600</v>
          </cell>
          <cell r="O52">
            <v>6878</v>
          </cell>
          <cell r="P52">
            <v>7941</v>
          </cell>
          <cell r="Q52">
            <v>8769</v>
          </cell>
          <cell r="R52">
            <v>9064</v>
          </cell>
          <cell r="S52">
            <v>8353</v>
          </cell>
          <cell r="T52">
            <v>8903</v>
          </cell>
          <cell r="U52">
            <v>7672</v>
          </cell>
          <cell r="V52">
            <v>8050</v>
          </cell>
          <cell r="W52">
            <v>7995</v>
          </cell>
          <cell r="X52">
            <v>8105</v>
          </cell>
          <cell r="Y52">
            <v>8490.2531747959765</v>
          </cell>
          <cell r="Z52">
            <v>8913.7314829053048</v>
          </cell>
          <cell r="AA52">
            <v>9369.0362508867875</v>
          </cell>
          <cell r="AB52">
            <v>9860.223658101062</v>
          </cell>
          <cell r="AC52">
            <v>10387.844847867173</v>
          </cell>
          <cell r="AD52">
            <v>10955.214375274583</v>
          </cell>
          <cell r="AE52"/>
          <cell r="AF52"/>
          <cell r="AG52"/>
          <cell r="AH52"/>
          <cell r="AI52"/>
          <cell r="AJ52"/>
          <cell r="AK52"/>
          <cell r="AL52"/>
          <cell r="AM52"/>
          <cell r="AN52"/>
          <cell r="AO52"/>
          <cell r="AP52"/>
          <cell r="AQ52"/>
          <cell r="AR52"/>
          <cell r="AS52"/>
          <cell r="AT52"/>
          <cell r="AU52"/>
        </row>
        <row r="53">
          <cell r="B53" t="str">
            <v>Accumulated amortization</v>
          </cell>
          <cell r="C53" t="str">
            <v>ACC_AMORT</v>
          </cell>
          <cell r="D53" t="str">
            <v>GBP</v>
          </cell>
          <cell r="F53">
            <v>0</v>
          </cell>
          <cell r="G53">
            <v>0</v>
          </cell>
          <cell r="H53">
            <v>0</v>
          </cell>
          <cell r="I53">
            <v>0</v>
          </cell>
          <cell r="J53">
            <v>-889</v>
          </cell>
          <cell r="K53">
            <v>-852</v>
          </cell>
          <cell r="L53">
            <v>-1049</v>
          </cell>
          <cell r="M53">
            <v>-1459</v>
          </cell>
          <cell r="N53">
            <v>-1796</v>
          </cell>
          <cell r="O53">
            <v>-2233</v>
          </cell>
          <cell r="P53">
            <v>-2861</v>
          </cell>
          <cell r="Q53">
            <v>-3204</v>
          </cell>
          <cell r="R53">
            <v>-3769</v>
          </cell>
          <cell r="S53">
            <v>-2911</v>
          </cell>
          <cell r="T53">
            <v>-3758</v>
          </cell>
          <cell r="U53">
            <v>-3631</v>
          </cell>
          <cell r="V53">
            <v>-3952</v>
          </cell>
          <cell r="W53">
            <v>-3986</v>
          </cell>
          <cell r="X53">
            <v>-3703</v>
          </cell>
          <cell r="Y53">
            <v>-3924.8649658801237</v>
          </cell>
          <cell r="Z53">
            <v>-4165.3971132097886</v>
          </cell>
          <cell r="AA53">
            <v>-4423.096629834542</v>
          </cell>
          <cell r="AB53">
            <v>-4700.1239897148926</v>
          </cell>
          <cell r="AC53">
            <v>-4997.6998295492231</v>
          </cell>
          <cell r="AD53">
            <v>-5317.6935426324862</v>
          </cell>
          <cell r="AE53"/>
          <cell r="AF53"/>
          <cell r="AG53"/>
          <cell r="AH53"/>
          <cell r="AI53"/>
          <cell r="AJ53"/>
          <cell r="AK53"/>
          <cell r="AL53"/>
          <cell r="AM53"/>
          <cell r="AN53"/>
          <cell r="AO53"/>
          <cell r="AP53"/>
          <cell r="AQ53"/>
          <cell r="AR53"/>
          <cell r="AS53"/>
          <cell r="AT53"/>
          <cell r="AU53"/>
        </row>
        <row r="54">
          <cell r="B54" t="str">
            <v>Net intangible assets</v>
          </cell>
          <cell r="C54" t="str">
            <v>NET_INTANG</v>
          </cell>
          <cell r="D54" t="str">
            <v>GBP</v>
          </cell>
          <cell r="F54">
            <v>1460</v>
          </cell>
          <cell r="G54">
            <v>1761</v>
          </cell>
          <cell r="H54">
            <v>2286</v>
          </cell>
          <cell r="I54">
            <v>2472</v>
          </cell>
          <cell r="J54">
            <v>2884</v>
          </cell>
          <cell r="K54">
            <v>2882</v>
          </cell>
          <cell r="L54">
            <v>2901</v>
          </cell>
          <cell r="M54">
            <v>4987</v>
          </cell>
          <cell r="N54">
            <v>4804</v>
          </cell>
          <cell r="O54">
            <v>4645</v>
          </cell>
          <cell r="P54">
            <v>5080</v>
          </cell>
          <cell r="Q54">
            <v>5565</v>
          </cell>
          <cell r="R54">
            <v>5295</v>
          </cell>
          <cell r="S54">
            <v>5442</v>
          </cell>
          <cell r="T54">
            <v>5145</v>
          </cell>
          <cell r="U54">
            <v>4041</v>
          </cell>
          <cell r="V54">
            <v>4098</v>
          </cell>
          <cell r="W54">
            <v>4009</v>
          </cell>
          <cell r="X54">
            <v>4402</v>
          </cell>
          <cell r="Y54">
            <v>4565.3882089158524</v>
          </cell>
          <cell r="Z54">
            <v>4748.3343696955162</v>
          </cell>
          <cell r="AA54">
            <v>4945.9396210522445</v>
          </cell>
          <cell r="AB54">
            <v>5160.0996683861686</v>
          </cell>
          <cell r="AC54">
            <v>5390.1450183179495</v>
          </cell>
          <cell r="AD54">
            <v>5637.5208326420961</v>
          </cell>
          <cell r="AE54"/>
          <cell r="AF54"/>
          <cell r="AG54"/>
          <cell r="AH54"/>
          <cell r="AI54"/>
          <cell r="AJ54"/>
          <cell r="AK54"/>
          <cell r="AL54"/>
          <cell r="AM54"/>
          <cell r="AN54"/>
          <cell r="AO54"/>
          <cell r="AP54"/>
          <cell r="AQ54"/>
          <cell r="AR54"/>
          <cell r="AS54"/>
          <cell r="AT54"/>
          <cell r="AU54"/>
        </row>
        <row r="55">
          <cell r="B55" t="str">
            <v>Equity method investments</v>
          </cell>
          <cell r="C55" t="str">
            <v>FIX_ASS_INV</v>
          </cell>
          <cell r="D55" t="str">
            <v>GBP</v>
          </cell>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row>
        <row r="56">
          <cell r="B56" t="str">
            <v>Investments in securities</v>
          </cell>
          <cell r="C56" t="str">
            <v>INV_SECUR</v>
          </cell>
          <cell r="D56" t="str">
            <v>GBP</v>
          </cell>
          <cell r="F56">
            <v>291</v>
          </cell>
          <cell r="G56">
            <v>341</v>
          </cell>
          <cell r="H56">
            <v>398</v>
          </cell>
          <cell r="I56">
            <v>495</v>
          </cell>
          <cell r="J56">
            <v>404</v>
          </cell>
          <cell r="K56">
            <v>1690</v>
          </cell>
          <cell r="L56">
            <v>1806</v>
          </cell>
          <cell r="M56">
            <v>628</v>
          </cell>
          <cell r="N56">
            <v>570</v>
          </cell>
          <cell r="O56">
            <v>609</v>
          </cell>
          <cell r="P56">
            <v>882</v>
          </cell>
          <cell r="Q56">
            <v>401</v>
          </cell>
          <cell r="R56">
            <v>434</v>
          </cell>
          <cell r="S56">
            <v>416</v>
          </cell>
          <cell r="T56">
            <v>413</v>
          </cell>
          <cell r="U56">
            <v>440</v>
          </cell>
          <cell r="V56">
            <v>458</v>
          </cell>
          <cell r="W56">
            <v>510</v>
          </cell>
          <cell r="X56">
            <v>597</v>
          </cell>
          <cell r="Y56">
            <v>597</v>
          </cell>
          <cell r="Z56">
            <v>597</v>
          </cell>
          <cell r="AA56">
            <v>597</v>
          </cell>
          <cell r="AB56">
            <v>597</v>
          </cell>
          <cell r="AC56">
            <v>597</v>
          </cell>
          <cell r="AD56">
            <v>597</v>
          </cell>
          <cell r="AE56"/>
          <cell r="AF56"/>
          <cell r="AG56"/>
          <cell r="AH56"/>
          <cell r="AI56"/>
          <cell r="AJ56"/>
          <cell r="AK56"/>
          <cell r="AL56"/>
          <cell r="AM56"/>
          <cell r="AN56"/>
          <cell r="AO56"/>
          <cell r="AP56"/>
          <cell r="AQ56"/>
          <cell r="AR56"/>
          <cell r="AS56"/>
          <cell r="AT56"/>
          <cell r="AU56"/>
        </row>
        <row r="57">
          <cell r="B57" t="str">
            <v>Other long-term assets</v>
          </cell>
          <cell r="C57" t="str">
            <v>OTH_LT_ASS</v>
          </cell>
          <cell r="D57" t="str">
            <v>GBP</v>
          </cell>
          <cell r="F57">
            <v>163</v>
          </cell>
          <cell r="G57">
            <v>291</v>
          </cell>
          <cell r="H57">
            <v>1138</v>
          </cell>
          <cell r="I57">
            <v>1072</v>
          </cell>
          <cell r="J57">
            <v>986</v>
          </cell>
          <cell r="K57">
            <v>1234</v>
          </cell>
          <cell r="L57">
            <v>1282</v>
          </cell>
          <cell r="M57">
            <v>1238</v>
          </cell>
          <cell r="N57">
            <v>2216</v>
          </cell>
          <cell r="O57">
            <v>1464</v>
          </cell>
          <cell r="P57">
            <v>2604</v>
          </cell>
          <cell r="Q57">
            <v>4186</v>
          </cell>
          <cell r="R57">
            <v>4379</v>
          </cell>
          <cell r="S57">
            <v>3524</v>
          </cell>
          <cell r="T57">
            <v>3420</v>
          </cell>
          <cell r="U57">
            <v>3758</v>
          </cell>
          <cell r="V57">
            <v>3886</v>
          </cell>
          <cell r="W57">
            <v>4140</v>
          </cell>
          <cell r="X57">
            <v>4576</v>
          </cell>
          <cell r="Y57">
            <v>4576</v>
          </cell>
          <cell r="Z57">
            <v>4576</v>
          </cell>
          <cell r="AA57">
            <v>4576</v>
          </cell>
          <cell r="AB57">
            <v>4576</v>
          </cell>
          <cell r="AC57">
            <v>4576</v>
          </cell>
          <cell r="AD57">
            <v>4576</v>
          </cell>
          <cell r="AE57"/>
          <cell r="AF57"/>
          <cell r="AG57"/>
          <cell r="AH57"/>
          <cell r="AI57"/>
          <cell r="AJ57"/>
          <cell r="AK57"/>
          <cell r="AL57"/>
          <cell r="AM57"/>
          <cell r="AN57"/>
          <cell r="AO57"/>
          <cell r="AP57"/>
          <cell r="AQ57"/>
          <cell r="AR57"/>
          <cell r="AS57"/>
          <cell r="AT57"/>
          <cell r="AU57"/>
        </row>
        <row r="58">
          <cell r="B58" t="str">
            <v>Total assets</v>
          </cell>
          <cell r="C58" t="str">
            <v>TOT_ASSET</v>
          </cell>
          <cell r="D58" t="str">
            <v>GBP</v>
          </cell>
          <cell r="F58">
            <v>10798</v>
          </cell>
          <cell r="G58">
            <v>11459</v>
          </cell>
          <cell r="H58">
            <v>15229</v>
          </cell>
          <cell r="I58">
            <v>15422</v>
          </cell>
          <cell r="J58">
            <v>16234</v>
          </cell>
          <cell r="K58">
            <v>16459</v>
          </cell>
          <cell r="L58">
            <v>18146</v>
          </cell>
          <cell r="M58">
            <v>23063</v>
          </cell>
          <cell r="N58">
            <v>22224</v>
          </cell>
          <cell r="O58">
            <v>22324</v>
          </cell>
          <cell r="P58">
            <v>25538</v>
          </cell>
          <cell r="Q58">
            <v>27927</v>
          </cell>
          <cell r="R58">
            <v>31857</v>
          </cell>
          <cell r="S58">
            <v>32266</v>
          </cell>
          <cell r="T58">
            <v>29517</v>
          </cell>
          <cell r="U58">
            <v>28674</v>
          </cell>
          <cell r="V58">
            <v>29450</v>
          </cell>
          <cell r="W58">
            <v>31512</v>
          </cell>
          <cell r="X58">
            <v>35686</v>
          </cell>
          <cell r="Y58">
            <v>36237.249137535298</v>
          </cell>
          <cell r="Z58">
            <v>37896.639459542697</v>
          </cell>
          <cell r="AA58">
            <v>41033.025911955461</v>
          </cell>
          <cell r="AB58">
            <v>45184.272994255436</v>
          </cell>
          <cell r="AC58">
            <v>49869.131554272943</v>
          </cell>
          <cell r="AD58">
            <v>55186.380622859535</v>
          </cell>
          <cell r="AE58"/>
          <cell r="AF58"/>
          <cell r="AG58"/>
          <cell r="AH58"/>
          <cell r="AI58"/>
          <cell r="AJ58"/>
          <cell r="AK58"/>
          <cell r="AL58"/>
          <cell r="AM58"/>
          <cell r="AN58"/>
          <cell r="AO58"/>
          <cell r="AP58"/>
          <cell r="AQ58"/>
          <cell r="AR58"/>
          <cell r="AS58"/>
          <cell r="AT58"/>
          <cell r="AU58"/>
        </row>
        <row r="59">
          <cell r="B59" t="str">
            <v>Accounts payable</v>
          </cell>
          <cell r="C59" t="str">
            <v>ACC_PAY_GQ</v>
          </cell>
          <cell r="D59" t="str">
            <v>GBP</v>
          </cell>
          <cell r="F59">
            <v>3688</v>
          </cell>
          <cell r="G59">
            <v>4326</v>
          </cell>
          <cell r="H59">
            <v>5735</v>
          </cell>
          <cell r="I59">
            <v>5628</v>
          </cell>
          <cell r="J59">
            <v>5910</v>
          </cell>
          <cell r="K59">
            <v>6263</v>
          </cell>
          <cell r="L59">
            <v>6401</v>
          </cell>
          <cell r="M59">
            <v>7045</v>
          </cell>
          <cell r="N59">
            <v>6791</v>
          </cell>
          <cell r="O59">
            <v>6923</v>
          </cell>
          <cell r="P59">
            <v>7957</v>
          </cell>
          <cell r="Q59">
            <v>10989</v>
          </cell>
          <cell r="R59">
            <v>8292</v>
          </cell>
          <cell r="S59">
            <v>8450</v>
          </cell>
          <cell r="T59">
            <v>6653</v>
          </cell>
          <cell r="U59">
            <v>6016</v>
          </cell>
          <cell r="V59">
            <v>6983</v>
          </cell>
          <cell r="W59">
            <v>6896</v>
          </cell>
          <cell r="X59">
            <v>8009</v>
          </cell>
          <cell r="Y59">
            <v>7782.6911534878709</v>
          </cell>
          <cell r="Z59">
            <v>8372.7901228410992</v>
          </cell>
          <cell r="AA59">
            <v>9095.2193536183095</v>
          </cell>
          <cell r="AB59">
            <v>10254.49399936492</v>
          </cell>
          <cell r="AC59">
            <v>11142.567229484681</v>
          </cell>
          <cell r="AD59">
            <v>11825.413991232144</v>
          </cell>
          <cell r="AE59"/>
          <cell r="AF59"/>
          <cell r="AG59"/>
          <cell r="AH59"/>
          <cell r="AI59"/>
          <cell r="AJ59"/>
          <cell r="AK59"/>
          <cell r="AL59"/>
          <cell r="AM59"/>
          <cell r="AN59"/>
          <cell r="AO59"/>
          <cell r="AP59"/>
          <cell r="AQ59"/>
          <cell r="AR59"/>
          <cell r="AS59"/>
          <cell r="AT59"/>
          <cell r="AU59"/>
        </row>
        <row r="60">
          <cell r="B60" t="str">
            <v>Short-term debt</v>
          </cell>
          <cell r="C60" t="str">
            <v>SHORT_T_DEBT</v>
          </cell>
          <cell r="D60" t="str">
            <v>GBP</v>
          </cell>
          <cell r="F60">
            <v>400</v>
          </cell>
          <cell r="G60">
            <v>34</v>
          </cell>
          <cell r="H60">
            <v>23</v>
          </cell>
          <cell r="I60">
            <v>126</v>
          </cell>
          <cell r="J60">
            <v>717</v>
          </cell>
          <cell r="K60">
            <v>20</v>
          </cell>
          <cell r="L60">
            <v>149</v>
          </cell>
          <cell r="M60">
            <v>207</v>
          </cell>
          <cell r="N60">
            <v>68</v>
          </cell>
          <cell r="O60">
            <v>419</v>
          </cell>
          <cell r="P60">
            <v>172</v>
          </cell>
          <cell r="Q60">
            <v>82</v>
          </cell>
          <cell r="R60">
            <v>858</v>
          </cell>
          <cell r="S60">
            <v>435</v>
          </cell>
          <cell r="T60">
            <v>1013</v>
          </cell>
          <cell r="U60">
            <v>9</v>
          </cell>
          <cell r="V60">
            <v>3</v>
          </cell>
          <cell r="W60">
            <v>531</v>
          </cell>
          <cell r="X60">
            <v>801</v>
          </cell>
          <cell r="Y60">
            <v>801</v>
          </cell>
          <cell r="Z60">
            <v>801</v>
          </cell>
          <cell r="AA60">
            <v>801</v>
          </cell>
          <cell r="AB60">
            <v>801</v>
          </cell>
          <cell r="AC60">
            <v>801</v>
          </cell>
          <cell r="AD60">
            <v>801</v>
          </cell>
          <cell r="AE60"/>
          <cell r="AF60"/>
          <cell r="AG60"/>
          <cell r="AH60"/>
          <cell r="AI60"/>
          <cell r="AJ60"/>
          <cell r="AK60"/>
          <cell r="AL60"/>
          <cell r="AM60"/>
          <cell r="AN60"/>
          <cell r="AO60"/>
          <cell r="AP60"/>
          <cell r="AQ60"/>
          <cell r="AR60"/>
          <cell r="AS60"/>
          <cell r="AT60"/>
          <cell r="AU60"/>
        </row>
        <row r="61">
          <cell r="B61" t="str">
            <v>Current lease liabilities (op lease: US GAAP)</v>
          </cell>
          <cell r="C61" t="str">
            <v>ST_LEASE_LIAB</v>
          </cell>
          <cell r="D61" t="str">
            <v>GBP</v>
          </cell>
          <cell r="F61"/>
          <cell r="G61"/>
          <cell r="H61"/>
          <cell r="I61"/>
          <cell r="J61"/>
          <cell r="K61"/>
          <cell r="L61"/>
          <cell r="M61"/>
          <cell r="N61"/>
          <cell r="O61"/>
          <cell r="P61"/>
          <cell r="Q61"/>
          <cell r="R61"/>
          <cell r="S61">
            <v>340</v>
          </cell>
          <cell r="T61">
            <v>259</v>
          </cell>
          <cell r="U61">
            <v>270</v>
          </cell>
          <cell r="V61">
            <v>355</v>
          </cell>
          <cell r="W61">
            <v>278</v>
          </cell>
          <cell r="X61">
            <v>296</v>
          </cell>
          <cell r="Y61">
            <v>296</v>
          </cell>
          <cell r="Z61">
            <v>296</v>
          </cell>
          <cell r="AA61">
            <v>296</v>
          </cell>
          <cell r="AB61">
            <v>296</v>
          </cell>
          <cell r="AC61">
            <v>296</v>
          </cell>
          <cell r="AD61">
            <v>296</v>
          </cell>
          <cell r="AE61"/>
          <cell r="AF61"/>
          <cell r="AG61"/>
          <cell r="AH61"/>
          <cell r="AI61"/>
          <cell r="AJ61"/>
          <cell r="AK61"/>
          <cell r="AL61"/>
          <cell r="AM61"/>
          <cell r="AN61"/>
          <cell r="AO61"/>
          <cell r="AP61"/>
          <cell r="AQ61"/>
          <cell r="AR61"/>
          <cell r="AS61"/>
          <cell r="AT61"/>
          <cell r="AU61"/>
        </row>
        <row r="62">
          <cell r="B62" t="str">
            <v>Other current liabilities</v>
          </cell>
          <cell r="C62" t="str">
            <v>OTH_CUR_LIABS</v>
          </cell>
          <cell r="D62" t="str">
            <v>GBP</v>
          </cell>
          <cell r="F62">
            <v>670.07887172116443</v>
          </cell>
          <cell r="G62">
            <v>692.11677494586002</v>
          </cell>
          <cell r="H62">
            <v>3123.135685952675</v>
          </cell>
          <cell r="I62">
            <v>861.89557991087531</v>
          </cell>
          <cell r="J62">
            <v>837.61845807540794</v>
          </cell>
          <cell r="K62">
            <v>975.04178192715517</v>
          </cell>
          <cell r="L62">
            <v>965.57142098555687</v>
          </cell>
          <cell r="M62">
            <v>2528</v>
          </cell>
          <cell r="N62">
            <v>826</v>
          </cell>
          <cell r="O62">
            <v>831</v>
          </cell>
          <cell r="P62">
            <v>1405</v>
          </cell>
          <cell r="Q62">
            <v>1360</v>
          </cell>
          <cell r="R62">
            <v>6077</v>
          </cell>
          <cell r="S62">
            <v>5766</v>
          </cell>
          <cell r="T62">
            <v>6003</v>
          </cell>
          <cell r="U62">
            <v>5587</v>
          </cell>
          <cell r="V62">
            <v>6577</v>
          </cell>
          <cell r="W62">
            <v>7221</v>
          </cell>
          <cell r="X62">
            <v>7657</v>
          </cell>
          <cell r="Y62">
            <v>8171.4996502716604</v>
          </cell>
          <cell r="Z62">
            <v>8770.7330735337819</v>
          </cell>
          <cell r="AA62">
            <v>9536.5467316742361</v>
          </cell>
          <cell r="AB62">
            <v>10586.512789602804</v>
          </cell>
          <cell r="AC62">
            <v>12037.247264339447</v>
          </cell>
          <cell r="AD62">
            <v>13953.676211725995</v>
          </cell>
          <cell r="AE62"/>
          <cell r="AF62"/>
          <cell r="AG62"/>
          <cell r="AH62"/>
          <cell r="AI62"/>
          <cell r="AJ62"/>
          <cell r="AK62"/>
          <cell r="AL62"/>
          <cell r="AM62"/>
          <cell r="AN62"/>
          <cell r="AO62"/>
          <cell r="AP62"/>
          <cell r="AQ62"/>
          <cell r="AR62"/>
          <cell r="AS62"/>
          <cell r="AT62"/>
          <cell r="AU62"/>
        </row>
        <row r="63">
          <cell r="B63" t="str">
            <v>Total current liabilities</v>
          </cell>
          <cell r="C63" t="str">
            <v>SHORT_TERM_LIABS</v>
          </cell>
          <cell r="D63" t="str">
            <v>GBP</v>
          </cell>
          <cell r="F63">
            <v>4462</v>
          </cell>
          <cell r="G63">
            <v>4754</v>
          </cell>
          <cell r="H63">
            <v>8573</v>
          </cell>
          <cell r="I63">
            <v>6312</v>
          </cell>
          <cell r="J63">
            <v>7178</v>
          </cell>
          <cell r="K63">
            <v>6943</v>
          </cell>
          <cell r="L63">
            <v>7208</v>
          </cell>
          <cell r="M63">
            <v>9780</v>
          </cell>
          <cell r="N63">
            <v>7685</v>
          </cell>
          <cell r="O63">
            <v>8173</v>
          </cell>
          <cell r="P63">
            <v>9534</v>
          </cell>
          <cell r="Q63">
            <v>12431</v>
          </cell>
          <cell r="R63">
            <v>15227</v>
          </cell>
          <cell r="S63">
            <v>14991</v>
          </cell>
          <cell r="T63">
            <v>13928</v>
          </cell>
          <cell r="U63">
            <v>11882</v>
          </cell>
          <cell r="V63">
            <v>13918</v>
          </cell>
          <cell r="W63">
            <v>14926</v>
          </cell>
          <cell r="X63">
            <v>16763</v>
          </cell>
          <cell r="Y63">
            <v>17051.190803759531</v>
          </cell>
          <cell r="Z63">
            <v>18240.523196374881</v>
          </cell>
          <cell r="AA63">
            <v>19728.766085292547</v>
          </cell>
          <cell r="AB63">
            <v>21938.006788967723</v>
          </cell>
          <cell r="AC63">
            <v>24276.814493824128</v>
          </cell>
          <cell r="AD63">
            <v>26876.090202958141</v>
          </cell>
          <cell r="AE63"/>
          <cell r="AF63"/>
          <cell r="AG63"/>
          <cell r="AH63"/>
          <cell r="AI63"/>
          <cell r="AJ63"/>
          <cell r="AK63"/>
          <cell r="AL63"/>
          <cell r="AM63"/>
          <cell r="AN63"/>
          <cell r="AO63"/>
          <cell r="AP63"/>
          <cell r="AQ63"/>
          <cell r="AR63"/>
          <cell r="AS63"/>
          <cell r="AT63"/>
          <cell r="AU63"/>
        </row>
        <row r="64">
          <cell r="B64" t="str">
            <v>Long-term  debt</v>
          </cell>
          <cell r="C64" t="str">
            <v>LT_DEBT</v>
          </cell>
          <cell r="D64" t="str">
            <v>GBP</v>
          </cell>
          <cell r="F64">
            <v>990</v>
          </cell>
          <cell r="G64">
            <v>1030</v>
          </cell>
          <cell r="H64">
            <v>1325</v>
          </cell>
          <cell r="I64">
            <v>1787</v>
          </cell>
          <cell r="J64">
            <v>1135</v>
          </cell>
          <cell r="K64">
            <v>1184</v>
          </cell>
          <cell r="L64">
            <v>1234</v>
          </cell>
          <cell r="M64">
            <v>2164</v>
          </cell>
          <cell r="N64">
            <v>2193</v>
          </cell>
          <cell r="O64">
            <v>2883</v>
          </cell>
          <cell r="P64">
            <v>3185</v>
          </cell>
          <cell r="Q64">
            <v>3406</v>
          </cell>
          <cell r="R64">
            <v>3804</v>
          </cell>
          <cell r="S64">
            <v>2896</v>
          </cell>
          <cell r="T64">
            <v>4274</v>
          </cell>
          <cell r="U64">
            <v>6023</v>
          </cell>
          <cell r="V64">
            <v>4105</v>
          </cell>
          <cell r="W64">
            <v>3568</v>
          </cell>
          <cell r="X64">
            <v>2776</v>
          </cell>
          <cell r="Y64">
            <v>2006</v>
          </cell>
          <cell r="Z64">
            <v>996</v>
          </cell>
          <cell r="AA64">
            <v>996</v>
          </cell>
          <cell r="AB64">
            <v>996</v>
          </cell>
          <cell r="AC64">
            <v>996</v>
          </cell>
          <cell r="AD64">
            <v>996</v>
          </cell>
          <cell r="AE64"/>
          <cell r="AF64"/>
          <cell r="AG64"/>
          <cell r="AH64"/>
          <cell r="AI64"/>
          <cell r="AJ64"/>
          <cell r="AK64"/>
          <cell r="AL64"/>
          <cell r="AM64"/>
          <cell r="AN64"/>
          <cell r="AO64"/>
          <cell r="AP64"/>
          <cell r="AQ64"/>
          <cell r="AR64"/>
          <cell r="AS64"/>
          <cell r="AT64"/>
          <cell r="AU64"/>
        </row>
        <row r="65">
          <cell r="B65" t="str">
            <v>Non-current lease liabilities (op lease: US GAAP)</v>
          </cell>
          <cell r="C65" t="str">
            <v>LT_LEASE_LIAB</v>
          </cell>
          <cell r="D65" t="str">
            <v>GBP</v>
          </cell>
          <cell r="F65"/>
          <cell r="G65"/>
          <cell r="H65"/>
          <cell r="I65"/>
          <cell r="J65"/>
          <cell r="K65"/>
          <cell r="L65"/>
          <cell r="M65"/>
          <cell r="N65"/>
          <cell r="O65"/>
          <cell r="P65"/>
          <cell r="Q65"/>
          <cell r="R65"/>
          <cell r="S65">
            <v>2014</v>
          </cell>
          <cell r="T65">
            <v>1784</v>
          </cell>
          <cell r="U65">
            <v>1474</v>
          </cell>
          <cell r="V65">
            <v>1492</v>
          </cell>
          <cell r="W65">
            <v>1382</v>
          </cell>
          <cell r="X65">
            <v>1259</v>
          </cell>
          <cell r="Y65">
            <v>1259</v>
          </cell>
          <cell r="Z65">
            <v>1259</v>
          </cell>
          <cell r="AA65">
            <v>1259</v>
          </cell>
          <cell r="AB65">
            <v>1259</v>
          </cell>
          <cell r="AC65">
            <v>1259</v>
          </cell>
          <cell r="AD65">
            <v>1259</v>
          </cell>
          <cell r="AE65"/>
          <cell r="AF65"/>
          <cell r="AG65"/>
          <cell r="AH65"/>
          <cell r="AI65"/>
          <cell r="AJ65"/>
          <cell r="AK65"/>
          <cell r="AL65"/>
          <cell r="AM65"/>
          <cell r="AN65"/>
          <cell r="AO65"/>
          <cell r="AP65"/>
          <cell r="AQ65"/>
          <cell r="AR65"/>
          <cell r="AS65"/>
          <cell r="AT65"/>
          <cell r="AU65"/>
        </row>
        <row r="66">
          <cell r="B66" t="str">
            <v>Other long-term liabilities</v>
          </cell>
          <cell r="C66" t="str">
            <v>OTH_LT_CRED_GQ</v>
          </cell>
          <cell r="D66" t="str">
            <v>GBP</v>
          </cell>
          <cell r="F66">
            <v>2621</v>
          </cell>
          <cell r="G66">
            <v>2126</v>
          </cell>
          <cell r="H66">
            <v>2800</v>
          </cell>
          <cell r="I66">
            <v>3541</v>
          </cell>
          <cell r="J66">
            <v>3942</v>
          </cell>
          <cell r="K66">
            <v>3930</v>
          </cell>
          <cell r="L66">
            <v>3708</v>
          </cell>
          <cell r="M66">
            <v>4816</v>
          </cell>
          <cell r="N66">
            <v>5959</v>
          </cell>
          <cell r="O66">
            <v>6252</v>
          </cell>
          <cell r="P66">
            <v>10955</v>
          </cell>
          <cell r="Q66">
            <v>11157</v>
          </cell>
          <cell r="R66">
            <v>13878</v>
          </cell>
          <cell r="S66">
            <v>15719</v>
          </cell>
          <cell r="T66">
            <v>8348</v>
          </cell>
          <cell r="U66">
            <v>6434</v>
          </cell>
          <cell r="V66">
            <v>10354</v>
          </cell>
          <cell r="W66">
            <v>15265</v>
          </cell>
          <cell r="X66">
            <v>15769</v>
          </cell>
          <cell r="Y66">
            <v>16126.20517923071</v>
          </cell>
          <cell r="Z66">
            <v>16438.683029083975</v>
          </cell>
          <cell r="AA66">
            <v>16692.67116020717</v>
          </cell>
          <cell r="AB66">
            <v>16864.652457816632</v>
          </cell>
          <cell r="AC66">
            <v>17071.088056686873</v>
          </cell>
          <cell r="AD66">
            <v>17296.918075430462</v>
          </cell>
          <cell r="AE66"/>
          <cell r="AF66"/>
          <cell r="AG66"/>
          <cell r="AH66"/>
          <cell r="AI66"/>
          <cell r="AJ66"/>
          <cell r="AK66"/>
          <cell r="AL66"/>
          <cell r="AM66"/>
          <cell r="AN66"/>
          <cell r="AO66"/>
          <cell r="AP66"/>
          <cell r="AQ66"/>
          <cell r="AR66"/>
          <cell r="AS66"/>
          <cell r="AT66"/>
          <cell r="AU66"/>
        </row>
        <row r="67">
          <cell r="B67" t="str">
            <v>Total long-term liabilities</v>
          </cell>
          <cell r="C67" t="str">
            <v>TOT_LT_LIAB</v>
          </cell>
          <cell r="D67" t="str">
            <v>GBP</v>
          </cell>
          <cell r="F67">
            <v>3611</v>
          </cell>
          <cell r="G67">
            <v>3156</v>
          </cell>
          <cell r="H67">
            <v>4125</v>
          </cell>
          <cell r="I67">
            <v>5328</v>
          </cell>
          <cell r="J67">
            <v>5077</v>
          </cell>
          <cell r="K67">
            <v>5114</v>
          </cell>
          <cell r="L67">
            <v>4942</v>
          </cell>
          <cell r="M67">
            <v>6980</v>
          </cell>
          <cell r="N67">
            <v>8152</v>
          </cell>
          <cell r="O67">
            <v>9135</v>
          </cell>
          <cell r="P67">
            <v>14140</v>
          </cell>
          <cell r="Q67">
            <v>14563</v>
          </cell>
          <cell r="R67">
            <v>17682</v>
          </cell>
          <cell r="S67">
            <v>20629</v>
          </cell>
          <cell r="T67">
            <v>20464</v>
          </cell>
          <cell r="U67">
            <v>21428</v>
          </cell>
          <cell r="V67">
            <v>21548</v>
          </cell>
          <cell r="W67">
            <v>20215</v>
          </cell>
          <cell r="X67">
            <v>19804</v>
          </cell>
          <cell r="Y67">
            <v>19391.20517923071</v>
          </cell>
          <cell r="Z67">
            <v>18693.683029083975</v>
          </cell>
          <cell r="AA67">
            <v>18947.67116020717</v>
          </cell>
          <cell r="AB67">
            <v>19119.652457816632</v>
          </cell>
          <cell r="AC67">
            <v>19326.088056686873</v>
          </cell>
          <cell r="AD67">
            <v>19551.918075430462</v>
          </cell>
          <cell r="AE67"/>
          <cell r="AF67"/>
          <cell r="AG67"/>
          <cell r="AH67"/>
          <cell r="AI67"/>
          <cell r="AJ67"/>
          <cell r="AK67"/>
          <cell r="AL67"/>
          <cell r="AM67"/>
          <cell r="AN67"/>
          <cell r="AO67"/>
          <cell r="AP67"/>
          <cell r="AQ67"/>
          <cell r="AR67"/>
          <cell r="AS67"/>
          <cell r="AT67"/>
          <cell r="AU67"/>
        </row>
        <row r="68">
          <cell r="B68" t="str">
            <v>Total liabilities</v>
          </cell>
          <cell r="C68" t="str">
            <v>TOT_LIAB</v>
          </cell>
          <cell r="D68" t="str">
            <v>GBP</v>
          </cell>
          <cell r="F68">
            <v>8073</v>
          </cell>
          <cell r="G68">
            <v>7910</v>
          </cell>
          <cell r="H68">
            <v>12698</v>
          </cell>
          <cell r="I68">
            <v>11640</v>
          </cell>
          <cell r="J68">
            <v>12255</v>
          </cell>
          <cell r="K68">
            <v>12057</v>
          </cell>
          <cell r="L68">
            <v>12150</v>
          </cell>
          <cell r="M68">
            <v>16760</v>
          </cell>
          <cell r="N68">
            <v>15837</v>
          </cell>
          <cell r="O68">
            <v>17308</v>
          </cell>
          <cell r="P68">
            <v>23674</v>
          </cell>
          <cell r="Q68">
            <v>26994</v>
          </cell>
          <cell r="R68">
            <v>32909</v>
          </cell>
          <cell r="S68">
            <v>35620</v>
          </cell>
          <cell r="T68">
            <v>34392</v>
          </cell>
          <cell r="U68">
            <v>33310</v>
          </cell>
          <cell r="V68">
            <v>35466</v>
          </cell>
          <cell r="W68">
            <v>35141</v>
          </cell>
          <cell r="X68">
            <v>36567</v>
          </cell>
          <cell r="Y68">
            <v>36442.395982990245</v>
          </cell>
          <cell r="Z68">
            <v>36934.206225458853</v>
          </cell>
          <cell r="AA68">
            <v>38676.437245499721</v>
          </cell>
          <cell r="AB68">
            <v>41057.659246784358</v>
          </cell>
          <cell r="AC68">
            <v>43602.902550511004</v>
          </cell>
          <cell r="AD68">
            <v>46428.008278388603</v>
          </cell>
          <cell r="AE68"/>
          <cell r="AF68"/>
          <cell r="AG68"/>
          <cell r="AH68"/>
          <cell r="AI68"/>
          <cell r="AJ68"/>
          <cell r="AK68"/>
          <cell r="AL68"/>
          <cell r="AM68"/>
          <cell r="AN68"/>
          <cell r="AO68"/>
          <cell r="AP68"/>
          <cell r="AQ68"/>
          <cell r="AR68"/>
          <cell r="AS68"/>
          <cell r="AT68"/>
          <cell r="AU68"/>
        </row>
        <row r="69">
          <cell r="B69" t="str">
            <v>Preferred shares</v>
          </cell>
          <cell r="C69" t="str">
            <v>PREF_SH</v>
          </cell>
          <cell r="D69" t="str">
            <v>GBP</v>
          </cell>
          <cell r="F69"/>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row>
        <row r="70">
          <cell r="B70" t="str">
            <v>Total common equity</v>
          </cell>
          <cell r="C70" t="str">
            <v>ORD_SH_FUND</v>
          </cell>
          <cell r="D70" t="str">
            <v>GBP</v>
          </cell>
          <cell r="F70">
            <v>2718</v>
          </cell>
          <cell r="G70">
            <v>3537</v>
          </cell>
          <cell r="H70">
            <v>2522</v>
          </cell>
          <cell r="I70">
            <v>3782</v>
          </cell>
          <cell r="J70">
            <v>3975</v>
          </cell>
          <cell r="K70">
            <v>4401</v>
          </cell>
          <cell r="L70">
            <v>5979</v>
          </cell>
          <cell r="M70">
            <v>5605</v>
          </cell>
          <cell r="N70">
            <v>6382</v>
          </cell>
          <cell r="O70">
            <v>5014</v>
          </cell>
          <cell r="P70">
            <v>1862</v>
          </cell>
          <cell r="Q70">
            <v>930</v>
          </cell>
          <cell r="R70">
            <v>-1074</v>
          </cell>
          <cell r="S70">
            <v>-3376</v>
          </cell>
          <cell r="T70">
            <v>-4897</v>
          </cell>
          <cell r="U70">
            <v>-4662</v>
          </cell>
          <cell r="V70">
            <v>-6050</v>
          </cell>
          <cell r="W70">
            <v>-3681</v>
          </cell>
          <cell r="X70">
            <v>-912</v>
          </cell>
          <cell r="Y70">
            <v>-199.14684545494356</v>
          </cell>
          <cell r="Z70">
            <v>1005.4332340838395</v>
          </cell>
          <cell r="AA70">
            <v>2436.5886664557447</v>
          </cell>
          <cell r="AB70">
            <v>4243.6137474710822</v>
          </cell>
          <cell r="AC70">
            <v>6420.2290037619487</v>
          </cell>
          <cell r="AD70">
            <v>8949.3723444709449</v>
          </cell>
          <cell r="AE70"/>
          <cell r="AF70"/>
          <cell r="AG70"/>
          <cell r="AH70"/>
          <cell r="AI70"/>
          <cell r="AJ70"/>
          <cell r="AK70"/>
          <cell r="AL70"/>
          <cell r="AM70"/>
          <cell r="AN70"/>
          <cell r="AO70"/>
          <cell r="AP70"/>
          <cell r="AQ70"/>
          <cell r="AR70"/>
          <cell r="AS70"/>
          <cell r="AT70"/>
          <cell r="AU70"/>
        </row>
        <row r="71">
          <cell r="B71" t="str">
            <v>Minority interest</v>
          </cell>
          <cell r="C71" t="str">
            <v>MINORITIES</v>
          </cell>
          <cell r="D71" t="str">
            <v>GBP</v>
          </cell>
          <cell r="F71">
            <v>7</v>
          </cell>
          <cell r="G71">
            <v>12</v>
          </cell>
          <cell r="H71">
            <v>9</v>
          </cell>
          <cell r="I71">
            <v>0</v>
          </cell>
          <cell r="J71">
            <v>4</v>
          </cell>
          <cell r="K71">
            <v>1</v>
          </cell>
          <cell r="L71">
            <v>17</v>
          </cell>
          <cell r="M71">
            <v>698</v>
          </cell>
          <cell r="N71">
            <v>5</v>
          </cell>
          <cell r="O71">
            <v>2</v>
          </cell>
          <cell r="P71">
            <v>2</v>
          </cell>
          <cell r="Q71">
            <v>3</v>
          </cell>
          <cell r="R71">
            <v>22</v>
          </cell>
          <cell r="S71">
            <v>22</v>
          </cell>
          <cell r="T71">
            <v>22</v>
          </cell>
          <cell r="U71">
            <v>26</v>
          </cell>
          <cell r="V71">
            <v>34</v>
          </cell>
          <cell r="W71">
            <v>52</v>
          </cell>
          <cell r="X71">
            <v>31</v>
          </cell>
          <cell r="Y71">
            <v>-6</v>
          </cell>
          <cell r="Z71">
            <v>-43</v>
          </cell>
          <cell r="AA71">
            <v>-80</v>
          </cell>
          <cell r="AB71">
            <v>-117</v>
          </cell>
          <cell r="AC71">
            <v>-154</v>
          </cell>
          <cell r="AD71">
            <v>-191</v>
          </cell>
          <cell r="AE71"/>
          <cell r="AF71"/>
          <cell r="AG71"/>
          <cell r="AH71"/>
          <cell r="AI71"/>
          <cell r="AJ71"/>
          <cell r="AK71"/>
          <cell r="AL71"/>
          <cell r="AM71"/>
          <cell r="AN71"/>
          <cell r="AO71"/>
          <cell r="AP71"/>
          <cell r="AQ71"/>
          <cell r="AR71"/>
          <cell r="AS71"/>
          <cell r="AT71"/>
          <cell r="AU71"/>
        </row>
        <row r="72">
          <cell r="B72" t="str">
            <v>Total shareholders' equity</v>
          </cell>
          <cell r="C72" t="str">
            <v>EQ</v>
          </cell>
          <cell r="D72" t="str">
            <v>GBP</v>
          </cell>
          <cell r="F72">
            <v>2725</v>
          </cell>
          <cell r="G72">
            <v>3549</v>
          </cell>
          <cell r="H72">
            <v>2531</v>
          </cell>
          <cell r="I72">
            <v>3782</v>
          </cell>
          <cell r="J72">
            <v>3979</v>
          </cell>
          <cell r="K72">
            <v>4402</v>
          </cell>
          <cell r="L72">
            <v>5996</v>
          </cell>
          <cell r="M72">
            <v>6303</v>
          </cell>
          <cell r="N72">
            <v>6387</v>
          </cell>
          <cell r="O72">
            <v>5016</v>
          </cell>
          <cell r="P72">
            <v>1864</v>
          </cell>
          <cell r="Q72">
            <v>933</v>
          </cell>
          <cell r="R72">
            <v>-1052</v>
          </cell>
          <cell r="S72">
            <v>-3354</v>
          </cell>
          <cell r="T72">
            <v>-4875</v>
          </cell>
          <cell r="U72">
            <v>-4636</v>
          </cell>
          <cell r="V72">
            <v>-6016</v>
          </cell>
          <cell r="W72">
            <v>-3629</v>
          </cell>
          <cell r="X72">
            <v>-881</v>
          </cell>
          <cell r="Y72">
            <v>-205.14684545494356</v>
          </cell>
          <cell r="Z72">
            <v>962.43323408383947</v>
          </cell>
          <cell r="AA72">
            <v>2356.5886664557447</v>
          </cell>
          <cell r="AB72">
            <v>4126.6137474710822</v>
          </cell>
          <cell r="AC72">
            <v>6266.2290037619487</v>
          </cell>
          <cell r="AD72">
            <v>8758.3723444709449</v>
          </cell>
          <cell r="AE72"/>
          <cell r="AF72"/>
          <cell r="AG72"/>
          <cell r="AH72"/>
          <cell r="AI72"/>
          <cell r="AJ72"/>
          <cell r="AK72"/>
          <cell r="AL72"/>
          <cell r="AM72"/>
          <cell r="AN72"/>
          <cell r="AO72"/>
          <cell r="AP72"/>
          <cell r="AQ72"/>
          <cell r="AR72"/>
          <cell r="AS72"/>
          <cell r="AT72"/>
          <cell r="AU72"/>
        </row>
        <row r="73">
          <cell r="B73" t="str">
            <v>Total liabilities and equity</v>
          </cell>
          <cell r="C73" t="str">
            <v>TOT_LIAB_EQ</v>
          </cell>
          <cell r="D73" t="str">
            <v>GBP</v>
          </cell>
          <cell r="F73">
            <v>10798</v>
          </cell>
          <cell r="G73">
            <v>11459</v>
          </cell>
          <cell r="H73">
            <v>15229</v>
          </cell>
          <cell r="I73">
            <v>15422</v>
          </cell>
          <cell r="J73">
            <v>16234</v>
          </cell>
          <cell r="K73">
            <v>16459</v>
          </cell>
          <cell r="L73">
            <v>18146</v>
          </cell>
          <cell r="M73">
            <v>23063</v>
          </cell>
          <cell r="N73">
            <v>22224</v>
          </cell>
          <cell r="O73">
            <v>22324</v>
          </cell>
          <cell r="P73">
            <v>25538</v>
          </cell>
          <cell r="Q73">
            <v>27927</v>
          </cell>
          <cell r="R73">
            <v>31857</v>
          </cell>
          <cell r="S73">
            <v>32266</v>
          </cell>
          <cell r="T73">
            <v>29517</v>
          </cell>
          <cell r="U73">
            <v>28674</v>
          </cell>
          <cell r="V73">
            <v>29450</v>
          </cell>
          <cell r="W73">
            <v>31512</v>
          </cell>
          <cell r="X73">
            <v>35686</v>
          </cell>
          <cell r="Y73">
            <v>36237.249137535298</v>
          </cell>
          <cell r="Z73">
            <v>37896.63945954269</v>
          </cell>
          <cell r="AA73">
            <v>41033.025911955468</v>
          </cell>
          <cell r="AB73">
            <v>45184.272994255443</v>
          </cell>
          <cell r="AC73">
            <v>49869.13155427295</v>
          </cell>
          <cell r="AD73">
            <v>55186.380622859549</v>
          </cell>
          <cell r="AE73"/>
          <cell r="AF73"/>
          <cell r="AG73"/>
          <cell r="AH73"/>
          <cell r="AI73"/>
          <cell r="AJ73"/>
          <cell r="AK73"/>
          <cell r="AL73"/>
          <cell r="AM73"/>
          <cell r="AN73"/>
          <cell r="AO73"/>
          <cell r="AP73"/>
          <cell r="AQ73"/>
          <cell r="AR73"/>
          <cell r="AS73"/>
          <cell r="AT73"/>
          <cell r="AU73"/>
        </row>
        <row r="74">
          <cell r="A74" t="str">
            <v>Additional Balance Sheet Items</v>
          </cell>
          <cell r="B74"/>
          <cell r="C74"/>
          <cell r="D74"/>
        </row>
        <row r="75">
          <cell r="B75" t="str">
            <v>Total US$ debt (in US$)</v>
          </cell>
          <cell r="C75" t="str">
            <v>TOT_USD_DEBT</v>
          </cell>
          <cell r="F75"/>
          <cell r="G75"/>
          <cell r="H75"/>
          <cell r="I75"/>
          <cell r="J75"/>
          <cell r="K75"/>
          <cell r="L75"/>
          <cell r="M75"/>
          <cell r="N75"/>
          <cell r="O75"/>
          <cell r="P75"/>
          <cell r="Q75"/>
          <cell r="R75"/>
          <cell r="S75"/>
          <cell r="T75"/>
          <cell r="U75"/>
          <cell r="V75"/>
          <cell r="W75"/>
          <cell r="X75">
            <v>2000</v>
          </cell>
          <cell r="Y75"/>
          <cell r="Z75"/>
          <cell r="AA75"/>
          <cell r="AB75"/>
          <cell r="AC75"/>
          <cell r="AD75"/>
          <cell r="AE75"/>
          <cell r="AF75"/>
          <cell r="AG75"/>
          <cell r="AH75"/>
          <cell r="AI75"/>
          <cell r="AJ75"/>
          <cell r="AK75"/>
          <cell r="AL75"/>
          <cell r="AM75"/>
          <cell r="AN75"/>
          <cell r="AO75"/>
          <cell r="AP75"/>
          <cell r="AQ75"/>
          <cell r="AR75"/>
          <cell r="AS75"/>
          <cell r="AT75"/>
          <cell r="AU75"/>
        </row>
        <row r="76">
          <cell r="B76" t="str">
            <v>% US$ debt hedged (principal)</v>
          </cell>
          <cell r="C76" t="str">
            <v>TOT_PCT_USD_DEBT_HEDGED</v>
          </cell>
          <cell r="F76"/>
          <cell r="G76"/>
          <cell r="H76"/>
          <cell r="I76"/>
          <cell r="J76"/>
          <cell r="K76"/>
          <cell r="L76"/>
          <cell r="M76"/>
          <cell r="N76"/>
          <cell r="O76"/>
          <cell r="P76"/>
          <cell r="Q76"/>
          <cell r="R76"/>
          <cell r="S76"/>
          <cell r="T76"/>
          <cell r="U76"/>
          <cell r="V76"/>
          <cell r="W76"/>
          <cell r="X76">
            <v>1</v>
          </cell>
          <cell r="Y76"/>
          <cell r="Z76"/>
          <cell r="AA76"/>
          <cell r="AB76"/>
          <cell r="AC76"/>
          <cell r="AD76"/>
          <cell r="AE76"/>
          <cell r="AF76"/>
          <cell r="AG76"/>
          <cell r="AH76"/>
          <cell r="AI76"/>
          <cell r="AJ76"/>
          <cell r="AK76"/>
          <cell r="AL76"/>
          <cell r="AM76"/>
          <cell r="AN76"/>
          <cell r="AO76"/>
          <cell r="AP76"/>
          <cell r="AQ76"/>
          <cell r="AR76"/>
          <cell r="AS76"/>
          <cell r="AT76"/>
          <cell r="AU76"/>
        </row>
        <row r="77">
          <cell r="B77" t="str">
            <v>% Floating debt (local currency debt)</v>
          </cell>
          <cell r="C77" t="str">
            <v>FLOATING_PCT_LOCAL_DEBT</v>
          </cell>
          <cell r="F77"/>
          <cell r="G77"/>
          <cell r="H77"/>
          <cell r="I77"/>
          <cell r="J77"/>
          <cell r="K77"/>
          <cell r="L77"/>
          <cell r="M77"/>
          <cell r="N77"/>
          <cell r="O77"/>
          <cell r="P77"/>
          <cell r="Q77"/>
          <cell r="R77"/>
          <cell r="S77"/>
          <cell r="T77"/>
          <cell r="U77"/>
          <cell r="V77"/>
          <cell r="W77"/>
          <cell r="X77">
            <v>5.28E-2</v>
          </cell>
          <cell r="Y77"/>
          <cell r="Z77"/>
          <cell r="AA77"/>
          <cell r="AB77"/>
          <cell r="AC77"/>
          <cell r="AD77"/>
          <cell r="AE77"/>
          <cell r="AF77"/>
          <cell r="AG77"/>
          <cell r="AH77"/>
          <cell r="AI77"/>
          <cell r="AJ77"/>
          <cell r="AK77"/>
          <cell r="AL77"/>
          <cell r="AM77"/>
          <cell r="AN77"/>
          <cell r="AO77"/>
          <cell r="AP77"/>
          <cell r="AQ77"/>
          <cell r="AR77"/>
          <cell r="AS77"/>
          <cell r="AT77"/>
          <cell r="AU77"/>
        </row>
        <row r="78">
          <cell r="B78" t="str">
            <v>% floating debt hedged (rates)</v>
          </cell>
          <cell r="C78" t="str">
            <v>FLOATING_PCT_LOCAL_DEBT_HEDGED</v>
          </cell>
          <cell r="F78"/>
          <cell r="G78"/>
          <cell r="H78"/>
          <cell r="I78"/>
          <cell r="J78"/>
          <cell r="K78"/>
          <cell r="L78"/>
          <cell r="M78"/>
          <cell r="N78"/>
          <cell r="O78"/>
          <cell r="P78"/>
          <cell r="Q78"/>
          <cell r="R78"/>
          <cell r="S78"/>
          <cell r="T78"/>
          <cell r="U78"/>
          <cell r="V78"/>
          <cell r="W78"/>
          <cell r="X78">
            <v>0.5</v>
          </cell>
          <cell r="Y78"/>
          <cell r="Z78"/>
          <cell r="AA78"/>
          <cell r="AB78"/>
          <cell r="AC78"/>
          <cell r="AD78"/>
          <cell r="AE78"/>
          <cell r="AF78"/>
          <cell r="AG78"/>
          <cell r="AH78"/>
          <cell r="AI78"/>
          <cell r="AJ78"/>
          <cell r="AK78"/>
          <cell r="AL78"/>
          <cell r="AM78"/>
          <cell r="AN78"/>
          <cell r="AO78"/>
          <cell r="AP78"/>
          <cell r="AQ78"/>
          <cell r="AR78"/>
          <cell r="AS78"/>
          <cell r="AT78"/>
          <cell r="AU78"/>
        </row>
        <row r="79">
          <cell r="B79" t="str">
            <v>Net debt</v>
          </cell>
          <cell r="C79" t="str">
            <v>NET_DEBT</v>
          </cell>
          <cell r="D79" t="str">
            <v>GBP</v>
          </cell>
          <cell r="F79">
            <v>-829</v>
          </cell>
          <cell r="G79">
            <v>-873</v>
          </cell>
          <cell r="H79">
            <v>-1124</v>
          </cell>
          <cell r="I79">
            <v>-1051</v>
          </cell>
          <cell r="J79">
            <v>-1335</v>
          </cell>
          <cell r="K79">
            <v>-117</v>
          </cell>
          <cell r="L79">
            <v>-1213</v>
          </cell>
          <cell r="M79">
            <v>-1940</v>
          </cell>
          <cell r="N79">
            <v>-608</v>
          </cell>
          <cell r="O79">
            <v>124</v>
          </cell>
          <cell r="P79">
            <v>583</v>
          </cell>
          <cell r="Q79">
            <v>532</v>
          </cell>
          <cell r="R79">
            <v>-318</v>
          </cell>
          <cell r="S79">
            <v>1236</v>
          </cell>
          <cell r="T79">
            <v>3878</v>
          </cell>
          <cell r="U79">
            <v>5147</v>
          </cell>
          <cell r="V79">
            <v>3337</v>
          </cell>
          <cell r="W79">
            <v>1975</v>
          </cell>
          <cell r="X79">
            <v>-443</v>
          </cell>
          <cell r="Y79">
            <v>-2241.2419115740122</v>
          </cell>
          <cell r="Z79">
            <v>-4231.9766354309722</v>
          </cell>
          <cell r="AA79">
            <v>-6744.0379005146569</v>
          </cell>
          <cell r="AB79">
            <v>-9656.5946184027998</v>
          </cell>
          <cell r="AC79">
            <v>-12909.038374517666</v>
          </cell>
          <cell r="AD79">
            <v>-16609.833510839006</v>
          </cell>
          <cell r="AE79"/>
          <cell r="AF79"/>
          <cell r="AG79"/>
          <cell r="AH79"/>
          <cell r="AI79"/>
          <cell r="AJ79"/>
          <cell r="AK79"/>
          <cell r="AL79"/>
          <cell r="AM79"/>
          <cell r="AN79"/>
          <cell r="AO79"/>
          <cell r="AP79"/>
          <cell r="AQ79"/>
          <cell r="AR79"/>
          <cell r="AS79"/>
          <cell r="AT79"/>
          <cell r="AU79"/>
        </row>
        <row r="80">
          <cell r="B80" t="str">
            <v>Capitalized operating leases (off-balance sheet)</v>
          </cell>
          <cell r="C80" t="str">
            <v>CAP_LEASES</v>
          </cell>
          <cell r="D80" t="str">
            <v>GBP</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row>
        <row r="81">
          <cell r="B81" t="str">
            <v>Deferred income taxes</v>
          </cell>
          <cell r="C81" t="str">
            <v>DEF_INC_TAX</v>
          </cell>
          <cell r="D81" t="str">
            <v>GBP</v>
          </cell>
          <cell r="F81"/>
          <cell r="G81"/>
          <cell r="H81"/>
          <cell r="I81"/>
          <cell r="J81"/>
          <cell r="K81"/>
          <cell r="L81"/>
          <cell r="M81"/>
          <cell r="N81">
            <v>369</v>
          </cell>
          <cell r="O81">
            <v>318</v>
          </cell>
          <cell r="P81">
            <v>876</v>
          </cell>
          <cell r="Q81">
            <v>1451</v>
          </cell>
          <cell r="R81">
            <v>2092</v>
          </cell>
          <cell r="S81">
            <v>1887</v>
          </cell>
          <cell r="T81">
            <v>1826</v>
          </cell>
          <cell r="U81">
            <v>2249</v>
          </cell>
          <cell r="V81">
            <v>2731</v>
          </cell>
          <cell r="W81">
            <v>2998</v>
          </cell>
          <cell r="X81">
            <v>3660</v>
          </cell>
          <cell r="Y81">
            <v>3660</v>
          </cell>
          <cell r="Z81">
            <v>3660</v>
          </cell>
          <cell r="AA81">
            <v>3660</v>
          </cell>
          <cell r="AB81">
            <v>3660</v>
          </cell>
          <cell r="AC81">
            <v>3660</v>
          </cell>
          <cell r="AD81">
            <v>3660</v>
          </cell>
          <cell r="AE81"/>
          <cell r="AF81"/>
          <cell r="AG81"/>
          <cell r="AH81"/>
          <cell r="AI81"/>
          <cell r="AJ81"/>
          <cell r="AK81"/>
          <cell r="AL81"/>
          <cell r="AM81"/>
          <cell r="AN81"/>
          <cell r="AO81"/>
          <cell r="AP81"/>
          <cell r="AQ81"/>
          <cell r="AR81"/>
          <cell r="AS81"/>
          <cell r="AT81"/>
          <cell r="AU81"/>
        </row>
        <row r="82">
          <cell r="B82" t="str">
            <v>Associates (mkt value) used in EV calculation</v>
          </cell>
          <cell r="C82" t="str">
            <v>MV_ASSOCIATES</v>
          </cell>
          <cell r="D82" t="str">
            <v>GBP</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row>
        <row r="83">
          <cell r="B83" t="str">
            <v>Net debt adjustment</v>
          </cell>
          <cell r="C83" t="str">
            <v>NET_DEBT_ADJ</v>
          </cell>
          <cell r="D83" t="str">
            <v>GBP</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row>
        <row r="84">
          <cell r="B84" t="str">
            <v>Company borrowing margin</v>
          </cell>
          <cell r="C84" t="str">
            <v>CO_BOR_MARGIN</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row>
        <row r="85">
          <cell r="B85" t="str">
            <v>Unfunded pensions &amp; other provisions</v>
          </cell>
          <cell r="C85" t="str">
            <v>UNF_PENS</v>
          </cell>
          <cell r="D85" t="str">
            <v>GBP</v>
          </cell>
          <cell r="F85"/>
          <cell r="G85"/>
          <cell r="H85"/>
          <cell r="I85"/>
          <cell r="J85"/>
          <cell r="K85"/>
          <cell r="L85"/>
          <cell r="M85"/>
          <cell r="N85"/>
          <cell r="O85"/>
          <cell r="P85"/>
          <cell r="Q85"/>
          <cell r="R85"/>
          <cell r="S85"/>
          <cell r="T85"/>
          <cell r="U85"/>
          <cell r="V85"/>
          <cell r="W85">
            <v>253</v>
          </cell>
          <cell r="X85">
            <v>191</v>
          </cell>
          <cell r="Y85">
            <v>191</v>
          </cell>
          <cell r="Z85">
            <v>191</v>
          </cell>
          <cell r="AA85">
            <v>191</v>
          </cell>
          <cell r="AB85">
            <v>191</v>
          </cell>
          <cell r="AC85">
            <v>191</v>
          </cell>
          <cell r="AD85">
            <v>191</v>
          </cell>
          <cell r="AE85"/>
          <cell r="AF85"/>
          <cell r="AG85"/>
          <cell r="AH85"/>
          <cell r="AI85"/>
          <cell r="AJ85"/>
          <cell r="AK85"/>
          <cell r="AL85"/>
          <cell r="AM85"/>
          <cell r="AN85"/>
          <cell r="AO85"/>
          <cell r="AP85"/>
          <cell r="AQ85"/>
          <cell r="AR85"/>
          <cell r="AS85"/>
          <cell r="AT85"/>
          <cell r="AU85"/>
        </row>
        <row r="86">
          <cell r="B86" t="str">
            <v>Unfunded pension liabilities (off balance sheet)</v>
          </cell>
          <cell r="C86" t="str">
            <v>UNF_PENS_OFF</v>
          </cell>
          <cell r="D86" t="str">
            <v>GBP</v>
          </cell>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row>
        <row r="87">
          <cell r="B87" t="str">
            <v>Unfunded pension liabilities &amp; other, used in EV</v>
          </cell>
          <cell r="C87" t="str">
            <v>UNF_PENS_LIAB_OTH</v>
          </cell>
          <cell r="D87" t="str">
            <v>GBP</v>
          </cell>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row>
        <row r="88">
          <cell r="B88" t="str">
            <v>Adjustment for unfunded pensions &amp; goodwill</v>
          </cell>
          <cell r="C88" t="str">
            <v>ADJ_UNF_PENS_GOOD</v>
          </cell>
          <cell r="D88" t="str">
            <v>GBP</v>
          </cell>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row>
        <row r="89">
          <cell r="B89" t="str">
            <v>Other GCI adjustments</v>
          </cell>
          <cell r="C89" t="str">
            <v>OTH_GCI_ADJ</v>
          </cell>
          <cell r="D89" t="str">
            <v>GBP</v>
          </cell>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row>
        <row r="90">
          <cell r="B90" t="str">
            <v>GCI inflator</v>
          </cell>
          <cell r="C90" t="str">
            <v>GCI_INFL</v>
          </cell>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row>
        <row r="91">
          <cell r="B91" t="str">
            <v>Minority interest</v>
          </cell>
          <cell r="C91" t="str">
            <v>BAL_MINO_INT</v>
          </cell>
          <cell r="D91" t="str">
            <v>GBP</v>
          </cell>
          <cell r="F91">
            <v>7</v>
          </cell>
          <cell r="G91">
            <v>12</v>
          </cell>
          <cell r="H91">
            <v>9</v>
          </cell>
          <cell r="I91">
            <v>0</v>
          </cell>
          <cell r="J91">
            <v>4</v>
          </cell>
          <cell r="K91">
            <v>1</v>
          </cell>
          <cell r="L91">
            <v>17</v>
          </cell>
          <cell r="M91">
            <v>698</v>
          </cell>
          <cell r="N91">
            <v>5</v>
          </cell>
          <cell r="O91">
            <v>2</v>
          </cell>
          <cell r="P91">
            <v>2</v>
          </cell>
          <cell r="Q91">
            <v>3</v>
          </cell>
          <cell r="R91">
            <v>22</v>
          </cell>
          <cell r="S91">
            <v>22</v>
          </cell>
          <cell r="T91">
            <v>22</v>
          </cell>
          <cell r="U91">
            <v>26</v>
          </cell>
          <cell r="V91">
            <v>34</v>
          </cell>
          <cell r="W91">
            <v>52</v>
          </cell>
          <cell r="X91">
            <v>31</v>
          </cell>
          <cell r="Y91">
            <v>-6</v>
          </cell>
          <cell r="Z91">
            <v>-43</v>
          </cell>
          <cell r="AA91">
            <v>-80</v>
          </cell>
          <cell r="AB91">
            <v>-117</v>
          </cell>
          <cell r="AC91">
            <v>-154</v>
          </cell>
          <cell r="AD91">
            <v>-191</v>
          </cell>
          <cell r="AE91"/>
          <cell r="AF91"/>
          <cell r="AG91"/>
          <cell r="AH91"/>
          <cell r="AI91"/>
          <cell r="AJ91"/>
          <cell r="AK91"/>
          <cell r="AL91"/>
          <cell r="AM91"/>
          <cell r="AN91"/>
          <cell r="AO91"/>
          <cell r="AP91"/>
          <cell r="AQ91"/>
          <cell r="AR91"/>
          <cell r="AS91"/>
          <cell r="AT91"/>
          <cell r="AU91"/>
        </row>
        <row r="92">
          <cell r="B92" t="str">
            <v>Right-of-use assets (op lease assets under US GAAP)</v>
          </cell>
          <cell r="C92" t="str">
            <v>ROU_ASSET</v>
          </cell>
          <cell r="D92" t="str">
            <v>GBP</v>
          </cell>
          <cell r="F92">
            <v>0</v>
          </cell>
          <cell r="G92">
            <v>0</v>
          </cell>
          <cell r="H92">
            <v>0</v>
          </cell>
          <cell r="I92">
            <v>0</v>
          </cell>
          <cell r="J92">
            <v>0</v>
          </cell>
          <cell r="K92">
            <v>0</v>
          </cell>
          <cell r="L92">
            <v>0</v>
          </cell>
          <cell r="M92">
            <v>0</v>
          </cell>
          <cell r="N92">
            <v>0</v>
          </cell>
          <cell r="O92">
            <v>0</v>
          </cell>
          <cell r="P92">
            <v>0</v>
          </cell>
          <cell r="Q92">
            <v>0</v>
          </cell>
          <cell r="R92">
            <v>0</v>
          </cell>
          <cell r="S92">
            <v>2009</v>
          </cell>
          <cell r="T92">
            <v>1405</v>
          </cell>
          <cell r="U92">
            <v>1203</v>
          </cell>
          <cell r="V92">
            <v>1061</v>
          </cell>
          <cell r="W92">
            <v>905</v>
          </cell>
          <cell r="X92">
            <v>761</v>
          </cell>
          <cell r="Y92">
            <v>886.03676387696464</v>
          </cell>
          <cell r="Z92">
            <v>1018.3032408009606</v>
          </cell>
          <cell r="AA92">
            <v>1162.0967660288093</v>
          </cell>
          <cell r="AB92">
            <v>1319.4338825230543</v>
          </cell>
          <cell r="AC92">
            <v>1493.3155162197963</v>
          </cell>
          <cell r="AD92">
            <v>1686.8616964562141</v>
          </cell>
          <cell r="AE92"/>
          <cell r="AF92"/>
          <cell r="AG92"/>
          <cell r="AH92"/>
          <cell r="AI92"/>
          <cell r="AJ92"/>
          <cell r="AK92"/>
          <cell r="AL92"/>
          <cell r="AM92"/>
          <cell r="AN92"/>
          <cell r="AO92"/>
          <cell r="AP92"/>
          <cell r="AQ92"/>
          <cell r="AR92"/>
          <cell r="AS92"/>
          <cell r="AT92"/>
          <cell r="AU92"/>
        </row>
        <row r="93">
          <cell r="A93" t="str">
            <v>Cash Flow Statement</v>
          </cell>
          <cell r="B93"/>
          <cell r="C93"/>
          <cell r="D93"/>
          <cell r="F93">
            <v>2006</v>
          </cell>
          <cell r="G93">
            <v>2007</v>
          </cell>
          <cell r="H93">
            <v>2008</v>
          </cell>
          <cell r="I93">
            <v>2009</v>
          </cell>
          <cell r="J93">
            <v>2010</v>
          </cell>
          <cell r="K93">
            <v>2011</v>
          </cell>
          <cell r="L93">
            <v>2012</v>
          </cell>
          <cell r="M93">
            <v>2013</v>
          </cell>
          <cell r="N93">
            <v>2014</v>
          </cell>
          <cell r="O93">
            <v>2015</v>
          </cell>
          <cell r="P93">
            <v>2016</v>
          </cell>
          <cell r="Q93">
            <v>2017</v>
          </cell>
          <cell r="R93">
            <v>2018</v>
          </cell>
          <cell r="S93">
            <v>2019</v>
          </cell>
          <cell r="T93">
            <v>2020</v>
          </cell>
          <cell r="U93">
            <v>2021</v>
          </cell>
          <cell r="V93">
            <v>2022</v>
          </cell>
          <cell r="W93">
            <v>2023</v>
          </cell>
          <cell r="X93">
            <v>2024</v>
          </cell>
          <cell r="Y93">
            <v>2025</v>
          </cell>
          <cell r="Z93">
            <v>2026</v>
          </cell>
          <cell r="AA93">
            <v>2027</v>
          </cell>
          <cell r="AB93">
            <v>2028</v>
          </cell>
          <cell r="AC93">
            <v>2029</v>
          </cell>
          <cell r="AD93">
            <v>2030</v>
          </cell>
        </row>
        <row r="94">
          <cell r="B94" t="str">
            <v>Minority interest add-back</v>
          </cell>
          <cell r="C94" t="str">
            <v>CF_INC_MINORITY</v>
          </cell>
          <cell r="D94" t="str">
            <v>GBP</v>
          </cell>
          <cell r="F94"/>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row>
        <row r="95">
          <cell r="B95" t="str">
            <v>Depreciation &amp; amortization add-back</v>
          </cell>
          <cell r="C95" t="str">
            <v>DEPR_AMORT</v>
          </cell>
          <cell r="D95" t="str">
            <v>GBP</v>
          </cell>
          <cell r="F95">
            <v>161</v>
          </cell>
          <cell r="G95">
            <v>170</v>
          </cell>
          <cell r="H95">
            <v>208</v>
          </cell>
          <cell r="I95">
            <v>194</v>
          </cell>
          <cell r="J95">
            <v>237</v>
          </cell>
          <cell r="K95">
            <v>241</v>
          </cell>
          <cell r="L95">
            <v>256</v>
          </cell>
          <cell r="M95">
            <v>372</v>
          </cell>
          <cell r="N95">
            <v>375</v>
          </cell>
          <cell r="O95">
            <v>378</v>
          </cell>
          <cell r="P95">
            <v>426</v>
          </cell>
          <cell r="Q95">
            <v>450</v>
          </cell>
          <cell r="R95">
            <v>521</v>
          </cell>
          <cell r="S95">
            <v>943</v>
          </cell>
          <cell r="T95">
            <v>1553</v>
          </cell>
          <cell r="U95">
            <v>719</v>
          </cell>
          <cell r="V95">
            <v>717</v>
          </cell>
          <cell r="W95">
            <v>757</v>
          </cell>
          <cell r="X95">
            <v>665</v>
          </cell>
          <cell r="Y95">
            <v>668.99222126369682</v>
          </cell>
          <cell r="Z95">
            <v>681.5464905062081</v>
          </cell>
          <cell r="AA95">
            <v>683.33567755766251</v>
          </cell>
          <cell r="AB95">
            <v>684.21824882144904</v>
          </cell>
          <cell r="AC95">
            <v>680.86537885064888</v>
          </cell>
          <cell r="AD95">
            <v>673.97769100848063</v>
          </cell>
          <cell r="AE95"/>
          <cell r="AF95"/>
          <cell r="AG95"/>
          <cell r="AH95"/>
          <cell r="AI95"/>
          <cell r="AJ95"/>
          <cell r="AK95"/>
          <cell r="AL95"/>
          <cell r="AM95"/>
          <cell r="AN95"/>
          <cell r="AO95"/>
          <cell r="AP95"/>
          <cell r="AQ95"/>
          <cell r="AR95"/>
          <cell r="AS95"/>
          <cell r="AT95"/>
          <cell r="AU95"/>
        </row>
        <row r="96">
          <cell r="B96" t="str">
            <v>(Increase)/decrease in working capital</v>
          </cell>
          <cell r="C96" t="str">
            <v>WORK_CAP</v>
          </cell>
          <cell r="D96" t="str">
            <v>GBP</v>
          </cell>
          <cell r="F96">
            <v>256</v>
          </cell>
          <cell r="G96">
            <v>291</v>
          </cell>
          <cell r="H96">
            <v>-38</v>
          </cell>
          <cell r="I96">
            <v>-78</v>
          </cell>
          <cell r="J96">
            <v>366</v>
          </cell>
          <cell r="K96">
            <v>214</v>
          </cell>
          <cell r="L96">
            <v>-200</v>
          </cell>
          <cell r="M96">
            <v>-38</v>
          </cell>
          <cell r="N96">
            <v>-498</v>
          </cell>
          <cell r="O96">
            <v>-531</v>
          </cell>
          <cell r="P96">
            <v>127</v>
          </cell>
          <cell r="Q96">
            <v>1078</v>
          </cell>
          <cell r="R96">
            <v>1954</v>
          </cell>
          <cell r="S96">
            <v>1767</v>
          </cell>
          <cell r="T96">
            <v>-1808</v>
          </cell>
          <cell r="U96">
            <v>-810</v>
          </cell>
          <cell r="V96">
            <v>810</v>
          </cell>
          <cell r="W96">
            <v>1157</v>
          </cell>
          <cell r="X96">
            <v>1262</v>
          </cell>
          <cell r="Y96">
            <v>1368.9795962363914</v>
          </cell>
          <cell r="Z96">
            <v>1035.7470022841269</v>
          </cell>
          <cell r="AA96">
            <v>1455.9791629849647</v>
          </cell>
          <cell r="AB96">
            <v>1639.2926719745856</v>
          </cell>
          <cell r="AC96">
            <v>1656.665536692461</v>
          </cell>
          <cell r="AD96">
            <v>1825.2717077157731</v>
          </cell>
          <cell r="AE96"/>
          <cell r="AF96"/>
          <cell r="AG96"/>
          <cell r="AH96"/>
          <cell r="AI96"/>
          <cell r="AJ96"/>
          <cell r="AK96"/>
          <cell r="AL96"/>
          <cell r="AM96"/>
          <cell r="AN96"/>
          <cell r="AO96"/>
          <cell r="AP96"/>
          <cell r="AQ96"/>
          <cell r="AR96"/>
          <cell r="AS96"/>
          <cell r="AT96"/>
          <cell r="AU96"/>
        </row>
        <row r="97">
          <cell r="B97" t="str">
            <v>Other operating cash flow items</v>
          </cell>
          <cell r="C97" t="str">
            <v>OTH_OP_CF</v>
          </cell>
          <cell r="D97" t="str">
            <v>GBP</v>
          </cell>
          <cell r="F97">
            <v>19</v>
          </cell>
          <cell r="G97">
            <v>-218</v>
          </cell>
          <cell r="H97">
            <v>62</v>
          </cell>
          <cell r="I97">
            <v>-340</v>
          </cell>
          <cell r="J97">
            <v>-264</v>
          </cell>
          <cell r="K97">
            <v>-269</v>
          </cell>
          <cell r="L97">
            <v>-878</v>
          </cell>
          <cell r="M97">
            <v>-99</v>
          </cell>
          <cell r="N97">
            <v>36</v>
          </cell>
          <cell r="O97">
            <v>-244</v>
          </cell>
          <cell r="P97">
            <v>822</v>
          </cell>
          <cell r="Q97">
            <v>-382</v>
          </cell>
          <cell r="R97">
            <v>912</v>
          </cell>
          <cell r="S97">
            <v>439</v>
          </cell>
          <cell r="T97">
            <v>-673</v>
          </cell>
          <cell r="U97">
            <v>-737</v>
          </cell>
          <cell r="V97">
            <v>-921</v>
          </cell>
          <cell r="W97">
            <v>-1374</v>
          </cell>
          <cell r="X97">
            <v>-1067</v>
          </cell>
          <cell r="Y97">
            <v>-444.89160847641023</v>
          </cell>
          <cell r="Z97">
            <v>-157.34238579541136</v>
          </cell>
          <cell r="AA97">
            <v>-326.93572524713744</v>
          </cell>
          <cell r="AB97">
            <v>-390.86025249332107</v>
          </cell>
          <cell r="AC97">
            <v>-472.51702458794119</v>
          </cell>
          <cell r="AD97">
            <v>-518.32503853605954</v>
          </cell>
          <cell r="AE97"/>
          <cell r="AF97"/>
          <cell r="AG97"/>
          <cell r="AH97"/>
          <cell r="AI97"/>
          <cell r="AJ97"/>
          <cell r="AK97"/>
          <cell r="AL97"/>
          <cell r="AM97"/>
          <cell r="AN97"/>
          <cell r="AO97"/>
          <cell r="AP97"/>
          <cell r="AQ97"/>
          <cell r="AR97"/>
          <cell r="AS97"/>
          <cell r="AT97"/>
          <cell r="AU97"/>
        </row>
        <row r="98">
          <cell r="B98" t="str">
            <v>Cash flow from operating activities</v>
          </cell>
          <cell r="C98" t="str">
            <v>CF_OPS</v>
          </cell>
          <cell r="D98" t="str">
            <v>GBP</v>
          </cell>
          <cell r="F98">
            <v>1072</v>
          </cell>
          <cell r="G98">
            <v>705</v>
          </cell>
          <cell r="H98">
            <v>1015</v>
          </cell>
          <cell r="I98">
            <v>859</v>
          </cell>
          <cell r="J98">
            <v>1378</v>
          </cell>
          <cell r="K98">
            <v>1306</v>
          </cell>
          <cell r="L98">
            <v>1255</v>
          </cell>
          <cell r="M98">
            <v>2040</v>
          </cell>
          <cell r="N98">
            <v>1301</v>
          </cell>
          <cell r="O98">
            <v>1094</v>
          </cell>
          <cell r="P98">
            <v>1411</v>
          </cell>
          <cell r="Q98">
            <v>1512</v>
          </cell>
          <cell r="R98">
            <v>2226</v>
          </cell>
          <cell r="S98">
            <v>2297</v>
          </cell>
          <cell r="T98">
            <v>-3009</v>
          </cell>
          <cell r="U98">
            <v>-259</v>
          </cell>
          <cell r="V98">
            <v>1524</v>
          </cell>
          <cell r="W98">
            <v>2485</v>
          </cell>
          <cell r="X98">
            <v>3782</v>
          </cell>
          <cell r="Y98">
            <v>4849.6545368620809</v>
          </cell>
          <cell r="Z98">
            <v>5305.5754179688065</v>
          </cell>
          <cell r="AA98">
            <v>5973.9818694283458</v>
          </cell>
          <cell r="AB98">
            <v>6576.2305118183167</v>
          </cell>
          <cell r="AC98">
            <v>7128.2569022825128</v>
          </cell>
          <cell r="AD98">
            <v>7829.9331022743854</v>
          </cell>
          <cell r="AE98"/>
          <cell r="AF98"/>
          <cell r="AG98"/>
          <cell r="AH98"/>
          <cell r="AI98"/>
          <cell r="AJ98"/>
          <cell r="AK98"/>
          <cell r="AL98"/>
          <cell r="AM98"/>
          <cell r="AN98"/>
          <cell r="AO98"/>
          <cell r="AP98"/>
          <cell r="AQ98"/>
          <cell r="AR98"/>
          <cell r="AS98"/>
          <cell r="AT98"/>
          <cell r="AU98"/>
        </row>
        <row r="99">
          <cell r="B99" t="str">
            <v>Capital expenditures, Capex</v>
          </cell>
          <cell r="C99" t="str">
            <v>CAPEX</v>
          </cell>
          <cell r="D99" t="str">
            <v>GBP</v>
          </cell>
          <cell r="F99">
            <v>-298</v>
          </cell>
          <cell r="G99">
            <v>-304</v>
          </cell>
          <cell r="H99">
            <v>-286</v>
          </cell>
          <cell r="I99">
            <v>-258</v>
          </cell>
          <cell r="J99">
            <v>-354</v>
          </cell>
          <cell r="K99">
            <v>-412</v>
          </cell>
          <cell r="L99">
            <v>-435</v>
          </cell>
          <cell r="M99">
            <v>-669</v>
          </cell>
          <cell r="N99">
            <v>-648</v>
          </cell>
          <cell r="O99">
            <v>-487</v>
          </cell>
          <cell r="P99">
            <v>-585</v>
          </cell>
          <cell r="Q99">
            <v>-730</v>
          </cell>
          <cell r="R99">
            <v>-905</v>
          </cell>
          <cell r="S99">
            <v>-747</v>
          </cell>
          <cell r="T99">
            <v>-585</v>
          </cell>
          <cell r="U99">
            <v>-328</v>
          </cell>
          <cell r="V99">
            <v>-359</v>
          </cell>
          <cell r="W99">
            <v>-429</v>
          </cell>
          <cell r="X99">
            <v>-519</v>
          </cell>
          <cell r="Y99">
            <v>-577.20026858208644</v>
          </cell>
          <cell r="Z99">
            <v>-634.47054864334189</v>
          </cell>
          <cell r="AA99">
            <v>-682.15410425830203</v>
          </cell>
          <cell r="AB99">
            <v>-735.91477479286812</v>
          </cell>
          <cell r="AC99">
            <v>-790.50118822221418</v>
          </cell>
          <cell r="AD99">
            <v>-850.05358821060884</v>
          </cell>
          <cell r="AE99"/>
          <cell r="AF99"/>
          <cell r="AG99"/>
          <cell r="AH99"/>
          <cell r="AI99"/>
          <cell r="AJ99"/>
          <cell r="AK99"/>
          <cell r="AL99"/>
          <cell r="AM99"/>
          <cell r="AN99"/>
          <cell r="AO99"/>
          <cell r="AP99"/>
          <cell r="AQ99"/>
          <cell r="AR99"/>
          <cell r="AS99"/>
          <cell r="AT99"/>
          <cell r="AU99"/>
        </row>
        <row r="100">
          <cell r="B100" t="str">
            <v>Acquisitions</v>
          </cell>
          <cell r="C100" t="str">
            <v>ACQ</v>
          </cell>
          <cell r="D100" t="str">
            <v>GBP</v>
          </cell>
          <cell r="F100">
            <v>-5</v>
          </cell>
          <cell r="G100">
            <v>-6</v>
          </cell>
          <cell r="H100">
            <v>-50</v>
          </cell>
          <cell r="I100">
            <v>-7</v>
          </cell>
          <cell r="J100">
            <v>-150</v>
          </cell>
          <cell r="K100">
            <v>-19</v>
          </cell>
          <cell r="L100">
            <v>-20</v>
          </cell>
          <cell r="M100">
            <v>-37</v>
          </cell>
          <cell r="N100">
            <v>-1940</v>
          </cell>
          <cell r="O100">
            <v>-5</v>
          </cell>
          <cell r="P100">
            <v>-6</v>
          </cell>
          <cell r="Q100">
            <v>263</v>
          </cell>
          <cell r="R100">
            <v>0</v>
          </cell>
          <cell r="S100">
            <v>-43</v>
          </cell>
          <cell r="T100">
            <v>-106</v>
          </cell>
          <cell r="U100">
            <v>0</v>
          </cell>
          <cell r="V100">
            <v>0</v>
          </cell>
          <cell r="W100">
            <v>-14</v>
          </cell>
          <cell r="X100">
            <v>0</v>
          </cell>
          <cell r="Y100">
            <v>0</v>
          </cell>
          <cell r="Z100">
            <v>0</v>
          </cell>
          <cell r="AA100">
            <v>0</v>
          </cell>
          <cell r="AB100">
            <v>0</v>
          </cell>
          <cell r="AC100">
            <v>0</v>
          </cell>
          <cell r="AD100">
            <v>0</v>
          </cell>
          <cell r="AE100"/>
          <cell r="AF100"/>
          <cell r="AG100"/>
          <cell r="AH100"/>
          <cell r="AI100"/>
          <cell r="AJ100"/>
          <cell r="AK100"/>
          <cell r="AL100"/>
          <cell r="AM100"/>
          <cell r="AN100"/>
          <cell r="AO100"/>
          <cell r="AP100"/>
          <cell r="AQ100"/>
          <cell r="AR100"/>
          <cell r="AS100"/>
          <cell r="AT100"/>
          <cell r="AU100"/>
        </row>
        <row r="101">
          <cell r="B101" t="str">
            <v>Divestitures</v>
          </cell>
          <cell r="C101" t="str">
            <v>DIVEST</v>
          </cell>
          <cell r="D101" t="str">
            <v>GBP</v>
          </cell>
          <cell r="F101">
            <v>56</v>
          </cell>
          <cell r="G101">
            <v>50</v>
          </cell>
          <cell r="H101">
            <v>74</v>
          </cell>
          <cell r="I101">
            <v>85</v>
          </cell>
          <cell r="J101">
            <v>40</v>
          </cell>
          <cell r="K101">
            <v>38</v>
          </cell>
          <cell r="L101">
            <v>30</v>
          </cell>
          <cell r="M101">
            <v>280</v>
          </cell>
          <cell r="N101">
            <v>1116</v>
          </cell>
          <cell r="O101">
            <v>-86</v>
          </cell>
          <cell r="P101">
            <v>-134</v>
          </cell>
          <cell r="Q101">
            <v>4</v>
          </cell>
          <cell r="R101">
            <v>616</v>
          </cell>
          <cell r="S101">
            <v>503</v>
          </cell>
          <cell r="T101">
            <v>46</v>
          </cell>
          <cell r="U101">
            <v>160</v>
          </cell>
          <cell r="V101">
            <v>1446</v>
          </cell>
          <cell r="W101">
            <v>6</v>
          </cell>
          <cell r="X101">
            <v>67</v>
          </cell>
          <cell r="Y101">
            <v>5.3333180899937878</v>
          </cell>
          <cell r="Z101">
            <v>5.7820505706677716</v>
          </cell>
          <cell r="AA101">
            <v>6.1947297012185984</v>
          </cell>
          <cell r="AB101">
            <v>6.659343551660112</v>
          </cell>
          <cell r="AC101">
            <v>7.1532997714972275</v>
          </cell>
          <cell r="AD101">
            <v>7.6921935462012652</v>
          </cell>
          <cell r="AE101"/>
          <cell r="AF101"/>
          <cell r="AG101"/>
          <cell r="AH101"/>
          <cell r="AI101"/>
          <cell r="AJ101"/>
          <cell r="AK101"/>
          <cell r="AL101"/>
          <cell r="AM101"/>
          <cell r="AN101"/>
          <cell r="AO101"/>
          <cell r="AP101"/>
          <cell r="AQ101"/>
          <cell r="AR101"/>
          <cell r="AS101"/>
          <cell r="AT101"/>
          <cell r="AU101"/>
        </row>
        <row r="102">
          <cell r="B102" t="str">
            <v>Other investing cash flow items</v>
          </cell>
          <cell r="C102" t="str">
            <v>OTH_INV_CF</v>
          </cell>
          <cell r="D102" t="str">
            <v>GBP</v>
          </cell>
          <cell r="F102">
            <v>-222</v>
          </cell>
          <cell r="G102">
            <v>-312</v>
          </cell>
          <cell r="H102">
            <v>-386</v>
          </cell>
          <cell r="I102">
            <v>-426</v>
          </cell>
          <cell r="J102">
            <v>-295</v>
          </cell>
          <cell r="K102">
            <v>-1852</v>
          </cell>
          <cell r="L102">
            <v>839</v>
          </cell>
          <cell r="M102">
            <v>-335</v>
          </cell>
          <cell r="N102">
            <v>-505</v>
          </cell>
          <cell r="O102">
            <v>-425</v>
          </cell>
          <cell r="P102">
            <v>-653</v>
          </cell>
          <cell r="Q102">
            <v>-691</v>
          </cell>
          <cell r="R102">
            <v>-686</v>
          </cell>
          <cell r="S102">
            <v>-631</v>
          </cell>
          <cell r="T102">
            <v>-365</v>
          </cell>
          <cell r="U102">
            <v>-260</v>
          </cell>
          <cell r="V102">
            <v>-261</v>
          </cell>
          <cell r="W102">
            <v>-289</v>
          </cell>
          <cell r="X102">
            <v>-379</v>
          </cell>
          <cell r="Y102">
            <v>-385.25317479597601</v>
          </cell>
          <cell r="Z102">
            <v>-423.47830810932879</v>
          </cell>
          <cell r="AA102">
            <v>-455.30476798148214</v>
          </cell>
          <cell r="AB102">
            <v>-491.18740721427491</v>
          </cell>
          <cell r="AC102">
            <v>-527.62118976611123</v>
          </cell>
          <cell r="AD102">
            <v>-567.36952740740958</v>
          </cell>
          <cell r="AE102"/>
          <cell r="AF102"/>
          <cell r="AG102"/>
          <cell r="AH102"/>
          <cell r="AI102"/>
          <cell r="AJ102"/>
          <cell r="AK102"/>
          <cell r="AL102"/>
          <cell r="AM102"/>
          <cell r="AN102"/>
          <cell r="AO102"/>
          <cell r="AP102"/>
          <cell r="AQ102"/>
          <cell r="AR102"/>
          <cell r="AS102"/>
          <cell r="AT102"/>
          <cell r="AU102"/>
        </row>
        <row r="103">
          <cell r="B103" t="str">
            <v>Cash flow from investing</v>
          </cell>
          <cell r="C103" t="str">
            <v>CF_INV</v>
          </cell>
          <cell r="D103" t="str">
            <v>GBP</v>
          </cell>
          <cell r="F103">
            <v>-469</v>
          </cell>
          <cell r="G103">
            <v>-572</v>
          </cell>
          <cell r="H103">
            <v>-648</v>
          </cell>
          <cell r="I103">
            <v>-606</v>
          </cell>
          <cell r="J103">
            <v>-759</v>
          </cell>
          <cell r="K103">
            <v>-2207</v>
          </cell>
          <cell r="L103">
            <v>424</v>
          </cell>
          <cell r="M103">
            <v>-740</v>
          </cell>
          <cell r="N103">
            <v>-1966</v>
          </cell>
          <cell r="O103">
            <v>-995</v>
          </cell>
          <cell r="P103">
            <v>-1363</v>
          </cell>
          <cell r="Q103">
            <v>-1154</v>
          </cell>
          <cell r="R103">
            <v>-975</v>
          </cell>
          <cell r="S103">
            <v>-918</v>
          </cell>
          <cell r="T103">
            <v>-1010</v>
          </cell>
          <cell r="U103">
            <v>-428</v>
          </cell>
          <cell r="V103">
            <v>826</v>
          </cell>
          <cell r="W103">
            <v>-726</v>
          </cell>
          <cell r="X103">
            <v>-831</v>
          </cell>
          <cell r="Y103">
            <v>-957.12012528806872</v>
          </cell>
          <cell r="Z103">
            <v>-1052.1668061820028</v>
          </cell>
          <cell r="AA103">
            <v>-1131.2641425385655</v>
          </cell>
          <cell r="AB103">
            <v>-1220.4428384554828</v>
          </cell>
          <cell r="AC103">
            <v>-1310.9690782168282</v>
          </cell>
          <cell r="AD103">
            <v>-1409.7309220718171</v>
          </cell>
          <cell r="AE103"/>
          <cell r="AF103"/>
          <cell r="AG103"/>
          <cell r="AH103"/>
          <cell r="AI103"/>
          <cell r="AJ103"/>
          <cell r="AK103"/>
          <cell r="AL103"/>
          <cell r="AM103"/>
          <cell r="AN103"/>
          <cell r="AO103"/>
          <cell r="AP103"/>
          <cell r="AQ103"/>
          <cell r="AR103"/>
          <cell r="AS103"/>
          <cell r="AT103"/>
          <cell r="AU103"/>
        </row>
        <row r="104">
          <cell r="B104" t="str">
            <v>Dividends paid</v>
          </cell>
          <cell r="C104" t="str">
            <v>DIV_PAID</v>
          </cell>
          <cell r="D104" t="str">
            <v>GBP</v>
          </cell>
          <cell r="F104">
            <v>0</v>
          </cell>
          <cell r="G104">
            <v>0</v>
          </cell>
          <cell r="H104">
            <v>0</v>
          </cell>
          <cell r="I104">
            <v>0</v>
          </cell>
          <cell r="J104">
            <v>0</v>
          </cell>
          <cell r="K104">
            <v>0</v>
          </cell>
          <cell r="L104">
            <v>-453.32223999999997</v>
          </cell>
          <cell r="M104">
            <v>-377.70587940298503</v>
          </cell>
          <cell r="N104">
            <v>-431.15300061129739</v>
          </cell>
          <cell r="O104">
            <v>-147.61838966746467</v>
          </cell>
          <cell r="P104">
            <v>-362.04002824206219</v>
          </cell>
          <cell r="Q104">
            <v>-179.83020470557932</v>
          </cell>
          <cell r="R104">
            <v>-217.25865991123155</v>
          </cell>
          <cell r="S104">
            <v>-651.52614289606458</v>
          </cell>
          <cell r="T104">
            <v>-86</v>
          </cell>
          <cell r="U104">
            <v>0</v>
          </cell>
          <cell r="V104">
            <v>0</v>
          </cell>
          <cell r="W104">
            <v>0</v>
          </cell>
          <cell r="X104">
            <v>0</v>
          </cell>
          <cell r="Y104">
            <v>-503.28</v>
          </cell>
          <cell r="Z104">
            <v>-751.44888792984318</v>
          </cell>
          <cell r="AA104">
            <v>-889.59146180609457</v>
          </cell>
          <cell r="AB104">
            <v>-1006.6759554746899</v>
          </cell>
          <cell r="AC104">
            <v>-1132.7990679508177</v>
          </cell>
          <cell r="AD104">
            <v>-1291.8720438812286</v>
          </cell>
          <cell r="AE104"/>
          <cell r="AF104"/>
          <cell r="AG104"/>
          <cell r="AH104"/>
          <cell r="AI104"/>
          <cell r="AJ104"/>
          <cell r="AK104"/>
          <cell r="AL104"/>
          <cell r="AM104"/>
          <cell r="AN104"/>
          <cell r="AO104"/>
          <cell r="AP104"/>
          <cell r="AQ104"/>
          <cell r="AR104"/>
          <cell r="AS104"/>
          <cell r="AT104"/>
          <cell r="AU104"/>
        </row>
        <row r="105">
          <cell r="B105" t="str">
            <v>Common stock issuance/(repurchase)</v>
          </cell>
          <cell r="C105" t="str">
            <v>SH_REPUR</v>
          </cell>
          <cell r="D105" t="str">
            <v>GBP</v>
          </cell>
          <cell r="F105">
            <v>-128</v>
          </cell>
          <cell r="G105">
            <v>-145</v>
          </cell>
          <cell r="H105">
            <v>-227</v>
          </cell>
          <cell r="I105">
            <v>-252</v>
          </cell>
          <cell r="J105">
            <v>-323</v>
          </cell>
          <cell r="K105">
            <v>-373</v>
          </cell>
          <cell r="L105">
            <v>-412</v>
          </cell>
          <cell r="M105">
            <v>-328</v>
          </cell>
          <cell r="N105">
            <v>-476</v>
          </cell>
          <cell r="O105">
            <v>-824</v>
          </cell>
          <cell r="P105">
            <v>-321</v>
          </cell>
          <cell r="Q105">
            <v>-217</v>
          </cell>
          <cell r="R105">
            <v>-216</v>
          </cell>
          <cell r="S105">
            <v>-211</v>
          </cell>
          <cell r="T105">
            <v>1880</v>
          </cell>
          <cell r="U105">
            <v>-3</v>
          </cell>
          <cell r="V105">
            <v>-1</v>
          </cell>
          <cell r="W105">
            <v>-1</v>
          </cell>
          <cell r="X105">
            <v>-1</v>
          </cell>
          <cell r="Y105">
            <v>-1000</v>
          </cell>
          <cell r="Z105">
            <v>-1000</v>
          </cell>
          <cell r="AA105">
            <v>-1000</v>
          </cell>
          <cell r="AB105">
            <v>-1000</v>
          </cell>
          <cell r="AC105">
            <v>-1000</v>
          </cell>
          <cell r="AD105">
            <v>-1000</v>
          </cell>
          <cell r="AE105"/>
          <cell r="AF105"/>
          <cell r="AG105"/>
          <cell r="AH105"/>
          <cell r="AI105"/>
          <cell r="AJ105"/>
          <cell r="AK105"/>
          <cell r="AL105"/>
          <cell r="AM105"/>
          <cell r="AN105"/>
          <cell r="AO105"/>
          <cell r="AP105"/>
          <cell r="AQ105"/>
          <cell r="AR105"/>
          <cell r="AS105"/>
          <cell r="AT105"/>
          <cell r="AU105"/>
        </row>
        <row r="106">
          <cell r="B106" t="str">
            <v>Increase/(decrease) in total debt</v>
          </cell>
          <cell r="C106" t="str">
            <v>CHG_LT_DEBT</v>
          </cell>
          <cell r="D106" t="str">
            <v>GBP</v>
          </cell>
          <cell r="F106">
            <v>-53</v>
          </cell>
          <cell r="G106">
            <v>-350</v>
          </cell>
          <cell r="H106">
            <v>-23</v>
          </cell>
          <cell r="I106">
            <v>683</v>
          </cell>
          <cell r="J106">
            <v>-40</v>
          </cell>
          <cell r="K106">
            <v>-567</v>
          </cell>
          <cell r="L106">
            <v>122</v>
          </cell>
          <cell r="M106">
            <v>880</v>
          </cell>
          <cell r="N106">
            <v>-184</v>
          </cell>
          <cell r="O106">
            <v>1096</v>
          </cell>
          <cell r="P106">
            <v>-341</v>
          </cell>
          <cell r="Q106">
            <v>143</v>
          </cell>
          <cell r="R106">
            <v>1017</v>
          </cell>
          <cell r="S106">
            <v>-1114</v>
          </cell>
          <cell r="T106">
            <v>1890</v>
          </cell>
          <cell r="U106">
            <v>1040</v>
          </cell>
          <cell r="V106">
            <v>-2023</v>
          </cell>
          <cell r="W106">
            <v>1</v>
          </cell>
          <cell r="X106">
            <v>-468</v>
          </cell>
          <cell r="Y106">
            <v>-770</v>
          </cell>
          <cell r="Z106">
            <v>-1010</v>
          </cell>
          <cell r="AA106">
            <v>0</v>
          </cell>
          <cell r="AB106">
            <v>0</v>
          </cell>
          <cell r="AC106">
            <v>0</v>
          </cell>
          <cell r="AD106">
            <v>0</v>
          </cell>
          <cell r="AE106"/>
          <cell r="AF106"/>
          <cell r="AG106"/>
          <cell r="AH106"/>
          <cell r="AI106"/>
          <cell r="AJ106"/>
          <cell r="AK106"/>
          <cell r="AL106"/>
          <cell r="AM106"/>
          <cell r="AN106"/>
          <cell r="AO106"/>
          <cell r="AP106"/>
          <cell r="AQ106"/>
          <cell r="AR106"/>
          <cell r="AS106"/>
          <cell r="AT106"/>
          <cell r="AU106"/>
        </row>
        <row r="107">
          <cell r="B107" t="str">
            <v>Lease principal payments  (applicable to IFRS cos.)</v>
          </cell>
          <cell r="C107" t="str">
            <v>LEASE_PRINCIPAL_CASH</v>
          </cell>
          <cell r="D107" t="str">
            <v>GBP</v>
          </cell>
          <cell r="F107">
            <v>0</v>
          </cell>
          <cell r="G107">
            <v>0</v>
          </cell>
          <cell r="H107">
            <v>0</v>
          </cell>
          <cell r="I107">
            <v>0</v>
          </cell>
          <cell r="J107">
            <v>0</v>
          </cell>
          <cell r="K107">
            <v>0</v>
          </cell>
          <cell r="L107">
            <v>0</v>
          </cell>
          <cell r="M107">
            <v>0</v>
          </cell>
          <cell r="N107">
            <v>0</v>
          </cell>
          <cell r="O107">
            <v>0</v>
          </cell>
          <cell r="P107">
            <v>0</v>
          </cell>
          <cell r="Q107">
            <v>0</v>
          </cell>
          <cell r="R107">
            <v>-23</v>
          </cell>
          <cell r="S107">
            <v>-271</v>
          </cell>
          <cell r="T107">
            <v>-284</v>
          </cell>
          <cell r="U107">
            <v>-374</v>
          </cell>
          <cell r="V107">
            <v>-218</v>
          </cell>
          <cell r="W107">
            <v>-291</v>
          </cell>
          <cell r="X107">
            <v>-299</v>
          </cell>
          <cell r="Y107">
            <v>-299</v>
          </cell>
          <cell r="Z107">
            <v>-299</v>
          </cell>
          <cell r="AA107">
            <v>-299</v>
          </cell>
          <cell r="AB107">
            <v>-299</v>
          </cell>
          <cell r="AC107">
            <v>-299</v>
          </cell>
          <cell r="AD107">
            <v>-299</v>
          </cell>
          <cell r="AE107"/>
          <cell r="AF107"/>
          <cell r="AG107"/>
          <cell r="AH107"/>
          <cell r="AI107"/>
          <cell r="AJ107"/>
          <cell r="AK107"/>
          <cell r="AL107"/>
          <cell r="AM107"/>
          <cell r="AN107"/>
          <cell r="AO107"/>
          <cell r="AP107"/>
          <cell r="AQ107"/>
          <cell r="AR107"/>
          <cell r="AS107"/>
          <cell r="AT107"/>
          <cell r="AU107"/>
        </row>
        <row r="108">
          <cell r="B108" t="str">
            <v>Other financing cash flow items</v>
          </cell>
          <cell r="C108" t="str">
            <v>OTH_FIN_CF</v>
          </cell>
          <cell r="D108" t="str">
            <v>GBP</v>
          </cell>
          <cell r="F108">
            <v>59</v>
          </cell>
          <cell r="G108">
            <v>22</v>
          </cell>
          <cell r="H108">
            <v>29</v>
          </cell>
          <cell r="I108">
            <v>-47</v>
          </cell>
          <cell r="J108">
            <v>-380</v>
          </cell>
          <cell r="K108">
            <v>285</v>
          </cell>
          <cell r="L108">
            <v>-41</v>
          </cell>
          <cell r="M108">
            <v>-416</v>
          </cell>
          <cell r="N108">
            <v>192</v>
          </cell>
          <cell r="O108">
            <v>-51</v>
          </cell>
          <cell r="P108">
            <v>-77</v>
          </cell>
          <cell r="Q108">
            <v>-53</v>
          </cell>
          <cell r="R108">
            <v>-76</v>
          </cell>
          <cell r="S108">
            <v>-196</v>
          </cell>
          <cell r="T108">
            <v>-462</v>
          </cell>
          <cell r="U108">
            <v>-751</v>
          </cell>
          <cell r="V108">
            <v>-298</v>
          </cell>
          <cell r="W108">
            <v>-258</v>
          </cell>
          <cell r="X108">
            <v>-279</v>
          </cell>
          <cell r="Y108">
            <v>-292.01249999999999</v>
          </cell>
          <cell r="Z108">
            <v>-212.22499999999999</v>
          </cell>
          <cell r="AA108">
            <v>-142.065</v>
          </cell>
          <cell r="AB108">
            <v>-137.55500000000001</v>
          </cell>
          <cell r="AC108">
            <v>-133.04499999999999</v>
          </cell>
          <cell r="AD108">
            <v>-128.535</v>
          </cell>
          <cell r="AE108"/>
          <cell r="AF108"/>
          <cell r="AG108"/>
          <cell r="AH108"/>
          <cell r="AI108"/>
          <cell r="AJ108"/>
          <cell r="AK108"/>
          <cell r="AL108"/>
          <cell r="AM108"/>
          <cell r="AN108"/>
          <cell r="AO108"/>
          <cell r="AP108"/>
          <cell r="AQ108"/>
          <cell r="AR108"/>
          <cell r="AS108"/>
          <cell r="AT108"/>
          <cell r="AU108"/>
        </row>
        <row r="109">
          <cell r="B109" t="str">
            <v>Cash flow from financing</v>
          </cell>
          <cell r="C109" t="str">
            <v>CF_FIN</v>
          </cell>
          <cell r="D109" t="str">
            <v>GBP</v>
          </cell>
          <cell r="F109">
            <v>-122</v>
          </cell>
          <cell r="G109">
            <v>-473</v>
          </cell>
          <cell r="H109">
            <v>-221</v>
          </cell>
          <cell r="I109">
            <v>384</v>
          </cell>
          <cell r="J109">
            <v>-743</v>
          </cell>
          <cell r="K109">
            <v>-655</v>
          </cell>
          <cell r="L109">
            <v>-331</v>
          </cell>
          <cell r="M109">
            <v>136</v>
          </cell>
          <cell r="N109">
            <v>-468</v>
          </cell>
          <cell r="O109">
            <v>221</v>
          </cell>
          <cell r="P109">
            <v>-739</v>
          </cell>
          <cell r="Q109">
            <v>-127</v>
          </cell>
          <cell r="R109">
            <v>702</v>
          </cell>
          <cell r="S109">
            <v>-1792</v>
          </cell>
          <cell r="T109">
            <v>3024</v>
          </cell>
          <cell r="U109">
            <v>-88</v>
          </cell>
          <cell r="V109">
            <v>-2540</v>
          </cell>
          <cell r="W109">
            <v>-549</v>
          </cell>
          <cell r="X109">
            <v>-1047</v>
          </cell>
          <cell r="Y109">
            <v>-2864.2924999999996</v>
          </cell>
          <cell r="Z109">
            <v>-3272.6738879298432</v>
          </cell>
          <cell r="AA109">
            <v>-2330.6564618060947</v>
          </cell>
          <cell r="AB109">
            <v>-2443.2309554746898</v>
          </cell>
          <cell r="AC109">
            <v>-2564.8440679508176</v>
          </cell>
          <cell r="AD109">
            <v>-2719.4070438812287</v>
          </cell>
          <cell r="AE109"/>
          <cell r="AF109"/>
          <cell r="AG109"/>
          <cell r="AH109"/>
          <cell r="AI109"/>
          <cell r="AJ109"/>
          <cell r="AK109"/>
          <cell r="AL109"/>
          <cell r="AM109"/>
          <cell r="AN109"/>
          <cell r="AO109"/>
          <cell r="AP109"/>
          <cell r="AQ109"/>
          <cell r="AR109"/>
          <cell r="AS109"/>
          <cell r="AT109"/>
          <cell r="AU109"/>
        </row>
        <row r="110">
          <cell r="B110" t="str">
            <v>Other items net cash flow</v>
          </cell>
          <cell r="C110" t="str">
            <v>OTH_ITEM_NCF</v>
          </cell>
          <cell r="D110" t="str">
            <v>GBP</v>
          </cell>
          <cell r="F110">
            <v>-55</v>
          </cell>
          <cell r="G110">
            <v>41</v>
          </cell>
          <cell r="H110">
            <v>444</v>
          </cell>
          <cell r="I110">
            <v>-141</v>
          </cell>
          <cell r="J110">
            <v>17</v>
          </cell>
          <cell r="K110">
            <v>-4</v>
          </cell>
          <cell r="L110">
            <v>-54</v>
          </cell>
          <cell r="M110">
            <v>-31</v>
          </cell>
          <cell r="N110">
            <v>8</v>
          </cell>
          <cell r="O110">
            <v>-6</v>
          </cell>
          <cell r="P110">
            <v>286</v>
          </cell>
          <cell r="Q110">
            <v>-69</v>
          </cell>
          <cell r="R110">
            <v>68</v>
          </cell>
          <cell r="S110">
            <v>-118</v>
          </cell>
          <cell r="T110">
            <v>4</v>
          </cell>
          <cell r="U110">
            <v>-56</v>
          </cell>
          <cell r="V110">
            <v>176</v>
          </cell>
          <cell r="W110">
            <v>-33</v>
          </cell>
          <cell r="X110">
            <v>-113</v>
          </cell>
          <cell r="Y110">
            <v>0</v>
          </cell>
          <cell r="Z110">
            <v>0</v>
          </cell>
          <cell r="AA110">
            <v>0</v>
          </cell>
          <cell r="AB110">
            <v>0</v>
          </cell>
          <cell r="AC110">
            <v>0</v>
          </cell>
          <cell r="AD110">
            <v>0</v>
          </cell>
          <cell r="AE110"/>
          <cell r="AF110"/>
          <cell r="AG110"/>
          <cell r="AH110"/>
          <cell r="AI110"/>
          <cell r="AJ110"/>
          <cell r="AK110"/>
          <cell r="AL110"/>
          <cell r="AM110"/>
          <cell r="AN110"/>
          <cell r="AO110"/>
          <cell r="AP110"/>
          <cell r="AQ110"/>
          <cell r="AR110"/>
          <cell r="AS110"/>
          <cell r="AT110"/>
          <cell r="AU110"/>
        </row>
        <row r="111">
          <cell r="B111" t="str">
            <v>Total cash flow</v>
          </cell>
          <cell r="C111" t="str">
            <v>TOT_CF</v>
          </cell>
          <cell r="D111" t="str">
            <v>GBP</v>
          </cell>
          <cell r="F111">
            <v>426</v>
          </cell>
          <cell r="G111">
            <v>-299</v>
          </cell>
          <cell r="H111">
            <v>590</v>
          </cell>
          <cell r="I111">
            <v>496</v>
          </cell>
          <cell r="J111">
            <v>-107</v>
          </cell>
          <cell r="K111">
            <v>-1560</v>
          </cell>
          <cell r="L111">
            <v>1294</v>
          </cell>
          <cell r="M111">
            <v>1405</v>
          </cell>
          <cell r="N111">
            <v>-1125</v>
          </cell>
          <cell r="O111">
            <v>314</v>
          </cell>
          <cell r="P111">
            <v>-405</v>
          </cell>
          <cell r="Q111">
            <v>162</v>
          </cell>
          <cell r="R111">
            <v>2021</v>
          </cell>
          <cell r="S111">
            <v>-531</v>
          </cell>
          <cell r="T111">
            <v>-991</v>
          </cell>
          <cell r="U111">
            <v>-831</v>
          </cell>
          <cell r="V111">
            <v>-14</v>
          </cell>
          <cell r="W111">
            <v>1177</v>
          </cell>
          <cell r="X111">
            <v>1791</v>
          </cell>
          <cell r="Y111">
            <v>1028.2419115740126</v>
          </cell>
          <cell r="Z111">
            <v>980.73472385696004</v>
          </cell>
          <cell r="AA111">
            <v>2512.0612650836856</v>
          </cell>
          <cell r="AB111">
            <v>2912.5567178881438</v>
          </cell>
          <cell r="AC111">
            <v>3252.443756114867</v>
          </cell>
          <cell r="AD111">
            <v>3700.7951363213397</v>
          </cell>
          <cell r="AE111"/>
          <cell r="AF111"/>
          <cell r="AG111"/>
          <cell r="AH111"/>
          <cell r="AI111"/>
          <cell r="AJ111"/>
          <cell r="AK111"/>
          <cell r="AL111"/>
          <cell r="AM111"/>
          <cell r="AN111"/>
          <cell r="AO111"/>
          <cell r="AP111"/>
          <cell r="AQ111"/>
          <cell r="AR111"/>
          <cell r="AS111"/>
          <cell r="AT111"/>
          <cell r="AU111"/>
        </row>
        <row r="112">
          <cell r="A112" t="str">
            <v>Additional Cash Flow Items</v>
          </cell>
          <cell r="B112"/>
          <cell r="C112"/>
          <cell r="D112"/>
          <cell r="R112">
            <v>2021</v>
          </cell>
          <cell r="S112">
            <v>-531</v>
          </cell>
          <cell r="T112">
            <v>-991</v>
          </cell>
          <cell r="U112">
            <v>-831</v>
          </cell>
          <cell r="V112">
            <v>-14</v>
          </cell>
          <cell r="W112">
            <v>1177</v>
          </cell>
          <cell r="X112">
            <v>1791</v>
          </cell>
        </row>
        <row r="113">
          <cell r="B113" t="str">
            <v>Associate and JV add-back</v>
          </cell>
          <cell r="C113" t="str">
            <v>ASSOC_JV_ADDBK</v>
          </cell>
          <cell r="D113" t="str">
            <v>GBP</v>
          </cell>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row>
        <row r="114">
          <cell r="B114" t="str">
            <v>Cash interest income/(expense)</v>
          </cell>
          <cell r="C114" t="str">
            <v>CASH_INT_INC_EXP</v>
          </cell>
          <cell r="D114" t="str">
            <v>GBP</v>
          </cell>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row>
        <row r="115">
          <cell r="B115" t="str">
            <v>Cash taxes paid</v>
          </cell>
          <cell r="C115" t="str">
            <v>CASH_TAX_PD</v>
          </cell>
          <cell r="D115" t="str">
            <v>GBP</v>
          </cell>
          <cell r="F115"/>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row>
        <row r="116">
          <cell r="B116" t="str">
            <v>Profit/(loss) on sale of assets</v>
          </cell>
          <cell r="C116" t="str">
            <v>PL_SALE_ASSETS</v>
          </cell>
          <cell r="D116" t="str">
            <v>GBP</v>
          </cell>
          <cell r="F116"/>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row>
        <row r="117">
          <cell r="B117" t="str">
            <v>Other non-cash adjustments</v>
          </cell>
          <cell r="C117" t="str">
            <v>OTH_NONCASH_ADJ</v>
          </cell>
          <cell r="D117" t="str">
            <v>GBP</v>
          </cell>
          <cell r="F117"/>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row>
        <row r="118">
          <cell r="B118" t="str">
            <v>Other DACF adjustments</v>
          </cell>
          <cell r="C118" t="str">
            <v>OTH_DACF_ADJ</v>
          </cell>
          <cell r="D118" t="str">
            <v>GBP</v>
          </cell>
          <cell r="F118"/>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row>
        <row r="119">
          <cell r="B119" t="str">
            <v>Cash interest expense</v>
          </cell>
          <cell r="C119" t="str">
            <v>CASH_INT_EXP</v>
          </cell>
          <cell r="D119" t="str">
            <v>GBP</v>
          </cell>
          <cell r="F119"/>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row>
        <row r="120">
          <cell r="B120" t="str">
            <v>Cash tax expense</v>
          </cell>
          <cell r="C120" t="str">
            <v>CASH_TAX_EXP</v>
          </cell>
          <cell r="D120" t="str">
            <v>GBP</v>
          </cell>
          <cell r="F120"/>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row>
        <row r="121">
          <cell r="B121" t="str">
            <v>Dividends received from associates/JVs</v>
          </cell>
          <cell r="C121" t="str">
            <v>DIVDS_ASSOC_JV</v>
          </cell>
          <cell r="D121" t="str">
            <v>GBP</v>
          </cell>
          <cell r="F121"/>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row>
        <row r="122">
          <cell r="B122" t="str">
            <v>Capex maintenance</v>
          </cell>
          <cell r="C122" t="str">
            <v>CAPEX_MAINTENANCE</v>
          </cell>
          <cell r="D122" t="str">
            <v>GBP</v>
          </cell>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row>
        <row r="123">
          <cell r="B123" t="str">
            <v>Capex expansion</v>
          </cell>
          <cell r="C123" t="str">
            <v>CAPEX_EXPANSION</v>
          </cell>
          <cell r="D123" t="str">
            <v>GBP</v>
          </cell>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row>
        <row r="124">
          <cell r="B124" t="str">
            <v>Non-PP&amp;E capex</v>
          </cell>
          <cell r="C124" t="str">
            <v>NONPPE_CAPEX</v>
          </cell>
          <cell r="D124" t="str">
            <v>GBP</v>
          </cell>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row>
        <row r="125">
          <cell r="B125" t="str">
            <v>Dividends paid to minorities</v>
          </cell>
          <cell r="C125" t="str">
            <v>DIVDS_PD_MINORITIES</v>
          </cell>
          <cell r="D125" t="str">
            <v>GBP</v>
          </cell>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row>
        <row r="126">
          <cell r="A126" t="str">
            <v>Other Items</v>
          </cell>
          <cell r="B126"/>
          <cell r="C126"/>
          <cell r="D126"/>
        </row>
        <row r="127">
          <cell r="B127" t="str">
            <v>Number of employees</v>
          </cell>
          <cell r="C127" t="str">
            <v>EMPLOYEES</v>
          </cell>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row>
        <row r="128">
          <cell r="A128" t="str">
            <v>Geographical Breakdown</v>
          </cell>
          <cell r="B128"/>
          <cell r="C128"/>
          <cell r="D128"/>
        </row>
        <row r="129">
          <cell r="B129" t="str">
            <v>Sales - % Canada</v>
          </cell>
          <cell r="C129" t="str">
            <v>SALES_CANADA</v>
          </cell>
          <cell r="F129"/>
          <cell r="G129"/>
          <cell r="H129"/>
          <cell r="I129"/>
          <cell r="J129"/>
          <cell r="K129"/>
          <cell r="L129"/>
          <cell r="M129"/>
          <cell r="N129"/>
          <cell r="O129"/>
          <cell r="P129"/>
          <cell r="Q129"/>
          <cell r="R129"/>
          <cell r="S129"/>
          <cell r="T129"/>
          <cell r="U129"/>
          <cell r="V129">
            <v>1.9748520710059173E-2</v>
          </cell>
          <cell r="W129">
            <v>2.6082736867645274E-2</v>
          </cell>
          <cell r="X129">
            <v>2.4432809773123908E-2</v>
          </cell>
          <cell r="Y129">
            <v>2.4432809773123908E-2</v>
          </cell>
          <cell r="Z129"/>
          <cell r="AA129"/>
          <cell r="AB129"/>
          <cell r="AC129"/>
          <cell r="AD129"/>
          <cell r="AE129"/>
          <cell r="AF129"/>
          <cell r="AG129"/>
          <cell r="AH129"/>
          <cell r="AI129"/>
          <cell r="AJ129"/>
          <cell r="AK129"/>
          <cell r="AL129"/>
          <cell r="AM129"/>
          <cell r="AN129"/>
          <cell r="AO129"/>
          <cell r="AP129"/>
          <cell r="AQ129"/>
          <cell r="AR129"/>
          <cell r="AS129"/>
          <cell r="AT129"/>
          <cell r="AU129"/>
        </row>
        <row r="130">
          <cell r="B130" t="str">
            <v>Sales - % United States</v>
          </cell>
          <cell r="C130" t="str">
            <v>SALES_US</v>
          </cell>
          <cell r="F130"/>
          <cell r="G130"/>
          <cell r="H130"/>
          <cell r="I130"/>
          <cell r="J130"/>
          <cell r="K130"/>
          <cell r="L130"/>
          <cell r="M130"/>
          <cell r="N130"/>
          <cell r="O130"/>
          <cell r="P130"/>
          <cell r="Q130"/>
          <cell r="R130"/>
          <cell r="S130"/>
          <cell r="T130"/>
          <cell r="U130"/>
          <cell r="V130">
            <v>0.32056213017751478</v>
          </cell>
          <cell r="W130">
            <v>0.28314933883294918</v>
          </cell>
          <cell r="X130">
            <v>0.28965043101168758</v>
          </cell>
          <cell r="Y130">
            <v>0.28965043101168758</v>
          </cell>
          <cell r="Z130"/>
          <cell r="AA130"/>
          <cell r="AB130"/>
          <cell r="AC130"/>
          <cell r="AD130"/>
          <cell r="AE130"/>
          <cell r="AF130"/>
          <cell r="AG130"/>
          <cell r="AH130"/>
          <cell r="AI130"/>
          <cell r="AJ130"/>
          <cell r="AK130"/>
          <cell r="AL130"/>
          <cell r="AM130"/>
          <cell r="AN130"/>
          <cell r="AO130"/>
          <cell r="AP130"/>
          <cell r="AQ130"/>
          <cell r="AR130"/>
          <cell r="AS130"/>
          <cell r="AT130"/>
          <cell r="AU130"/>
        </row>
        <row r="131">
          <cell r="B131" t="str">
            <v>Sales - % Other North Americas</v>
          </cell>
          <cell r="C131" t="str">
            <v>SALES_OTH_NO_AMER</v>
          </cell>
          <cell r="F131"/>
          <cell r="G131"/>
          <cell r="H131"/>
          <cell r="I131"/>
          <cell r="J131"/>
          <cell r="K131"/>
          <cell r="L131"/>
          <cell r="M131"/>
          <cell r="N131"/>
          <cell r="O131"/>
          <cell r="P131"/>
          <cell r="Q131"/>
          <cell r="R131"/>
          <cell r="S131"/>
          <cell r="T131"/>
          <cell r="U131"/>
          <cell r="V131">
            <v>0</v>
          </cell>
          <cell r="W131">
            <v>0</v>
          </cell>
          <cell r="X131">
            <v>0</v>
          </cell>
          <cell r="Y131">
            <v>0</v>
          </cell>
          <cell r="Z131"/>
          <cell r="AA131"/>
          <cell r="AB131"/>
          <cell r="AC131"/>
          <cell r="AD131"/>
          <cell r="AE131"/>
          <cell r="AF131"/>
          <cell r="AG131"/>
          <cell r="AH131"/>
          <cell r="AI131"/>
          <cell r="AJ131"/>
          <cell r="AK131"/>
          <cell r="AL131"/>
          <cell r="AM131"/>
          <cell r="AN131"/>
          <cell r="AO131"/>
          <cell r="AP131"/>
          <cell r="AQ131"/>
          <cell r="AR131"/>
          <cell r="AS131"/>
          <cell r="AT131"/>
          <cell r="AU131"/>
        </row>
        <row r="132">
          <cell r="B132" t="str">
            <v>Sales - % Argentina</v>
          </cell>
          <cell r="C132" t="str">
            <v>SALES_ARGENTINA</v>
          </cell>
          <cell r="F132"/>
          <cell r="G132"/>
          <cell r="H132"/>
          <cell r="I132"/>
          <cell r="J132"/>
          <cell r="K132"/>
          <cell r="L132"/>
          <cell r="M132"/>
          <cell r="N132"/>
          <cell r="O132"/>
          <cell r="P132"/>
          <cell r="Q132"/>
          <cell r="R132"/>
          <cell r="S132"/>
          <cell r="T132"/>
          <cell r="U132"/>
          <cell r="V132">
            <v>2.7366863905325446E-3</v>
          </cell>
          <cell r="W132">
            <v>2.9115613247604026E-3</v>
          </cell>
          <cell r="X132">
            <v>3.8152655953703073E-3</v>
          </cell>
          <cell r="Y132">
            <v>3.8152655953703073E-3</v>
          </cell>
          <cell r="Z132"/>
          <cell r="AA132"/>
          <cell r="AB132"/>
          <cell r="AC132"/>
          <cell r="AD132"/>
          <cell r="AE132"/>
          <cell r="AF132"/>
          <cell r="AG132"/>
          <cell r="AH132"/>
          <cell r="AI132"/>
          <cell r="AJ132"/>
          <cell r="AK132"/>
          <cell r="AL132"/>
          <cell r="AM132"/>
          <cell r="AN132"/>
          <cell r="AO132"/>
          <cell r="AP132"/>
          <cell r="AQ132"/>
          <cell r="AR132"/>
          <cell r="AS132"/>
          <cell r="AT132"/>
          <cell r="AU132"/>
        </row>
        <row r="133">
          <cell r="B133" t="str">
            <v>Sales - % Brazil</v>
          </cell>
          <cell r="C133" t="str">
            <v>SALES_BRAZIL</v>
          </cell>
          <cell r="F133"/>
          <cell r="G133"/>
          <cell r="H133"/>
          <cell r="I133"/>
          <cell r="J133"/>
          <cell r="K133"/>
          <cell r="L133"/>
          <cell r="M133"/>
          <cell r="N133"/>
          <cell r="O133"/>
          <cell r="P133"/>
          <cell r="Q133"/>
          <cell r="R133"/>
          <cell r="S133"/>
          <cell r="T133"/>
          <cell r="U133"/>
          <cell r="V133">
            <v>2.7366863905325446E-3</v>
          </cell>
          <cell r="W133">
            <v>2.9115613247604026E-3</v>
          </cell>
          <cell r="X133">
            <v>3.8152655953703073E-3</v>
          </cell>
          <cell r="Y133">
            <v>3.8152655953703073E-3</v>
          </cell>
          <cell r="Z133"/>
          <cell r="AA133"/>
          <cell r="AB133"/>
          <cell r="AC133"/>
          <cell r="AD133"/>
          <cell r="AE133"/>
          <cell r="AF133"/>
          <cell r="AG133"/>
          <cell r="AH133"/>
          <cell r="AI133"/>
          <cell r="AJ133"/>
          <cell r="AK133"/>
          <cell r="AL133"/>
          <cell r="AM133"/>
          <cell r="AN133"/>
          <cell r="AO133"/>
          <cell r="AP133"/>
          <cell r="AQ133"/>
          <cell r="AR133"/>
          <cell r="AS133"/>
          <cell r="AT133"/>
          <cell r="AU133"/>
        </row>
        <row r="134">
          <cell r="B134" t="str">
            <v>Sales - % Chile</v>
          </cell>
          <cell r="C134" t="str">
            <v>SALES_CHILE</v>
          </cell>
          <cell r="F134"/>
          <cell r="G134"/>
          <cell r="H134"/>
          <cell r="I134"/>
          <cell r="J134"/>
          <cell r="K134"/>
          <cell r="L134"/>
          <cell r="M134"/>
          <cell r="N134"/>
          <cell r="O134"/>
          <cell r="P134"/>
          <cell r="Q134"/>
          <cell r="R134"/>
          <cell r="S134"/>
          <cell r="T134"/>
          <cell r="U134"/>
          <cell r="V134">
            <v>2.7366863905325446E-3</v>
          </cell>
          <cell r="W134">
            <v>2.9115613247604026E-3</v>
          </cell>
          <cell r="X134">
            <v>3.8152655953703073E-3</v>
          </cell>
          <cell r="Y134">
            <v>3.8152655953703073E-3</v>
          </cell>
          <cell r="Z134"/>
          <cell r="AA134"/>
          <cell r="AB134"/>
          <cell r="AC134"/>
          <cell r="AD134"/>
          <cell r="AE134"/>
          <cell r="AF134"/>
          <cell r="AG134"/>
          <cell r="AH134"/>
          <cell r="AI134"/>
          <cell r="AJ134"/>
          <cell r="AK134"/>
          <cell r="AL134"/>
          <cell r="AM134"/>
          <cell r="AN134"/>
          <cell r="AO134"/>
          <cell r="AP134"/>
          <cell r="AQ134"/>
          <cell r="AR134"/>
          <cell r="AS134"/>
          <cell r="AT134"/>
          <cell r="AU134"/>
        </row>
        <row r="135">
          <cell r="B135" t="str">
            <v>Sales - % Colombia</v>
          </cell>
          <cell r="C135" t="str">
            <v>SALES_COLOMBIA</v>
          </cell>
          <cell r="F135"/>
          <cell r="G135"/>
          <cell r="H135"/>
          <cell r="I135"/>
          <cell r="J135"/>
          <cell r="K135"/>
          <cell r="L135"/>
          <cell r="M135"/>
          <cell r="N135"/>
          <cell r="O135"/>
          <cell r="P135"/>
          <cell r="Q135"/>
          <cell r="R135"/>
          <cell r="S135"/>
          <cell r="T135"/>
          <cell r="U135"/>
          <cell r="V135">
            <v>2.7366863905325446E-3</v>
          </cell>
          <cell r="W135">
            <v>2.9115613247604026E-3</v>
          </cell>
          <cell r="X135">
            <v>3.8152655953703073E-3</v>
          </cell>
          <cell r="Y135">
            <v>3.8152655953703073E-3</v>
          </cell>
          <cell r="Z135"/>
          <cell r="AA135"/>
          <cell r="AB135"/>
          <cell r="AC135"/>
          <cell r="AD135"/>
          <cell r="AE135"/>
          <cell r="AF135"/>
          <cell r="AG135"/>
          <cell r="AH135"/>
          <cell r="AI135"/>
          <cell r="AJ135"/>
          <cell r="AK135"/>
          <cell r="AL135"/>
          <cell r="AM135"/>
          <cell r="AN135"/>
          <cell r="AO135"/>
          <cell r="AP135"/>
          <cell r="AQ135"/>
          <cell r="AR135"/>
          <cell r="AS135"/>
          <cell r="AT135"/>
          <cell r="AU135"/>
        </row>
        <row r="136">
          <cell r="B136" t="str">
            <v>Sales - % Mexico</v>
          </cell>
          <cell r="C136" t="str">
            <v>SALES_MEXICO</v>
          </cell>
          <cell r="F136"/>
          <cell r="G136"/>
          <cell r="H136"/>
          <cell r="I136"/>
          <cell r="J136"/>
          <cell r="K136"/>
          <cell r="L136"/>
          <cell r="M136"/>
          <cell r="N136"/>
          <cell r="O136"/>
          <cell r="P136"/>
          <cell r="Q136"/>
          <cell r="R136"/>
          <cell r="S136"/>
          <cell r="T136"/>
          <cell r="U136"/>
          <cell r="V136">
            <v>2.7366863905325446E-3</v>
          </cell>
          <cell r="W136">
            <v>2.9115613247604026E-3</v>
          </cell>
          <cell r="X136">
            <v>3.8152655953703073E-3</v>
          </cell>
          <cell r="Y136">
            <v>3.8152655953703073E-3</v>
          </cell>
          <cell r="Z136"/>
          <cell r="AA136"/>
          <cell r="AB136"/>
          <cell r="AC136"/>
          <cell r="AD136"/>
          <cell r="AE136"/>
          <cell r="AF136"/>
          <cell r="AG136"/>
          <cell r="AH136"/>
          <cell r="AI136"/>
          <cell r="AJ136"/>
          <cell r="AK136"/>
          <cell r="AL136"/>
          <cell r="AM136"/>
          <cell r="AN136"/>
          <cell r="AO136"/>
          <cell r="AP136"/>
          <cell r="AQ136"/>
          <cell r="AR136"/>
          <cell r="AS136"/>
          <cell r="AT136"/>
          <cell r="AU136"/>
        </row>
        <row r="137">
          <cell r="B137" t="str">
            <v>Sales - % Venezuela</v>
          </cell>
          <cell r="C137" t="str">
            <v>SALES_VENEZUELA</v>
          </cell>
          <cell r="F137"/>
          <cell r="G137"/>
          <cell r="H137"/>
          <cell r="I137"/>
          <cell r="J137"/>
          <cell r="K137"/>
          <cell r="L137"/>
          <cell r="M137"/>
          <cell r="N137"/>
          <cell r="O137"/>
          <cell r="P137"/>
          <cell r="Q137"/>
          <cell r="R137"/>
          <cell r="S137"/>
          <cell r="T137"/>
          <cell r="U137"/>
          <cell r="V137">
            <v>2.7366863905325446E-3</v>
          </cell>
          <cell r="W137">
            <v>2.9115613247604026E-3</v>
          </cell>
          <cell r="X137">
            <v>3.8152655953703073E-3</v>
          </cell>
          <cell r="Y137">
            <v>3.8152655953703073E-3</v>
          </cell>
          <cell r="Z137"/>
          <cell r="AA137"/>
          <cell r="AB137"/>
          <cell r="AC137"/>
          <cell r="AD137"/>
          <cell r="AE137"/>
          <cell r="AF137"/>
          <cell r="AG137"/>
          <cell r="AH137"/>
          <cell r="AI137"/>
          <cell r="AJ137"/>
          <cell r="AK137"/>
          <cell r="AL137"/>
          <cell r="AM137"/>
          <cell r="AN137"/>
          <cell r="AO137"/>
          <cell r="AP137"/>
          <cell r="AQ137"/>
          <cell r="AR137"/>
          <cell r="AS137"/>
          <cell r="AT137"/>
          <cell r="AU137"/>
        </row>
        <row r="138">
          <cell r="B138" t="str">
            <v>Sales - % Other Latin Americas</v>
          </cell>
          <cell r="C138" t="str">
            <v>SALES_OTH_LATAM</v>
          </cell>
          <cell r="F138"/>
          <cell r="G138"/>
          <cell r="H138"/>
          <cell r="I138"/>
          <cell r="J138"/>
          <cell r="K138"/>
          <cell r="L138"/>
          <cell r="M138"/>
          <cell r="N138"/>
          <cell r="O138"/>
          <cell r="P138"/>
          <cell r="Q138"/>
          <cell r="R138"/>
          <cell r="S138"/>
          <cell r="T138"/>
          <cell r="U138"/>
          <cell r="V138">
            <v>2.7366863905325446E-3</v>
          </cell>
          <cell r="W138">
            <v>2.9115613247604026E-3</v>
          </cell>
          <cell r="X138">
            <v>3.8152655953703073E-3</v>
          </cell>
          <cell r="Y138">
            <v>3.8152655953703073E-3</v>
          </cell>
          <cell r="Z138"/>
          <cell r="AA138"/>
          <cell r="AB138"/>
          <cell r="AC138"/>
          <cell r="AD138"/>
          <cell r="AE138"/>
          <cell r="AF138"/>
          <cell r="AG138"/>
          <cell r="AH138"/>
          <cell r="AI138"/>
          <cell r="AJ138"/>
          <cell r="AK138"/>
          <cell r="AL138"/>
          <cell r="AM138"/>
          <cell r="AN138"/>
          <cell r="AO138"/>
          <cell r="AP138"/>
          <cell r="AQ138"/>
          <cell r="AR138"/>
          <cell r="AS138"/>
          <cell r="AT138"/>
          <cell r="AU138"/>
        </row>
        <row r="139">
          <cell r="B139" t="str">
            <v>Sales - % Austria</v>
          </cell>
          <cell r="C139" t="str">
            <v>SALES_AUSTRIA</v>
          </cell>
          <cell r="F139"/>
          <cell r="G139"/>
          <cell r="H139"/>
          <cell r="I139"/>
          <cell r="J139"/>
          <cell r="K139"/>
          <cell r="L139"/>
          <cell r="M139"/>
          <cell r="N139"/>
          <cell r="O139"/>
          <cell r="P139"/>
          <cell r="Q139"/>
          <cell r="R139"/>
          <cell r="S139"/>
          <cell r="T139"/>
          <cell r="U139"/>
          <cell r="V139">
            <v>7.7259279182356113E-3</v>
          </cell>
          <cell r="W139">
            <v>8.1060514155261217E-3</v>
          </cell>
          <cell r="X139">
            <v>6.2740686253299292E-3</v>
          </cell>
          <cell r="Y139">
            <v>6.2740686253299292E-3</v>
          </cell>
          <cell r="Z139"/>
          <cell r="AA139"/>
          <cell r="AB139"/>
          <cell r="AC139"/>
          <cell r="AD139"/>
          <cell r="AE139"/>
          <cell r="AF139"/>
          <cell r="AG139"/>
          <cell r="AH139"/>
          <cell r="AI139"/>
          <cell r="AJ139"/>
          <cell r="AK139"/>
          <cell r="AL139"/>
          <cell r="AM139"/>
          <cell r="AN139"/>
          <cell r="AO139"/>
          <cell r="AP139"/>
          <cell r="AQ139"/>
          <cell r="AR139"/>
          <cell r="AS139"/>
          <cell r="AT139"/>
          <cell r="AU139"/>
        </row>
        <row r="140">
          <cell r="B140" t="str">
            <v>Sales - % Belgium</v>
          </cell>
          <cell r="C140" t="str">
            <v>SALES_BEL</v>
          </cell>
          <cell r="F140"/>
          <cell r="G140"/>
          <cell r="H140"/>
          <cell r="I140"/>
          <cell r="J140"/>
          <cell r="K140"/>
          <cell r="L140"/>
          <cell r="M140"/>
          <cell r="N140"/>
          <cell r="O140"/>
          <cell r="P140"/>
          <cell r="Q140"/>
          <cell r="R140"/>
          <cell r="S140"/>
          <cell r="T140"/>
          <cell r="U140"/>
          <cell r="V140">
            <v>7.7259279182356113E-3</v>
          </cell>
          <cell r="W140">
            <v>8.1060514155261217E-3</v>
          </cell>
          <cell r="X140">
            <v>6.2740686253299292E-3</v>
          </cell>
          <cell r="Y140">
            <v>6.2740686253299292E-3</v>
          </cell>
          <cell r="Z140"/>
          <cell r="AA140"/>
          <cell r="AB140"/>
          <cell r="AC140"/>
          <cell r="AD140"/>
          <cell r="AE140"/>
          <cell r="AF140"/>
          <cell r="AG140"/>
          <cell r="AH140"/>
          <cell r="AI140"/>
          <cell r="AJ140"/>
          <cell r="AK140"/>
          <cell r="AL140"/>
          <cell r="AM140"/>
          <cell r="AN140"/>
          <cell r="AO140"/>
          <cell r="AP140"/>
          <cell r="AQ140"/>
          <cell r="AR140"/>
          <cell r="AS140"/>
          <cell r="AT140"/>
          <cell r="AU140"/>
        </row>
        <row r="141">
          <cell r="B141" t="str">
            <v>Sales - % France</v>
          </cell>
          <cell r="C141" t="str">
            <v>SALES_FRA</v>
          </cell>
          <cell r="F141"/>
          <cell r="G141"/>
          <cell r="H141"/>
          <cell r="I141"/>
          <cell r="J141"/>
          <cell r="K141"/>
          <cell r="L141"/>
          <cell r="M141"/>
          <cell r="N141"/>
          <cell r="O141"/>
          <cell r="P141"/>
          <cell r="Q141"/>
          <cell r="R141"/>
          <cell r="S141"/>
          <cell r="T141"/>
          <cell r="U141"/>
          <cell r="V141">
            <v>1.8860946745562129E-2</v>
          </cell>
          <cell r="W141">
            <v>2.1290792187310444E-2</v>
          </cell>
          <cell r="X141">
            <v>2.326934264107039E-2</v>
          </cell>
          <cell r="Y141">
            <v>2.326934264107039E-2</v>
          </cell>
          <cell r="Z141"/>
          <cell r="AA141"/>
          <cell r="AB141"/>
          <cell r="AC141"/>
          <cell r="AD141"/>
          <cell r="AE141"/>
          <cell r="AF141"/>
          <cell r="AG141"/>
          <cell r="AH141"/>
          <cell r="AI141"/>
          <cell r="AJ141"/>
          <cell r="AK141"/>
          <cell r="AL141"/>
          <cell r="AM141"/>
          <cell r="AN141"/>
          <cell r="AO141"/>
          <cell r="AP141"/>
          <cell r="AQ141"/>
          <cell r="AR141"/>
          <cell r="AS141"/>
          <cell r="AT141"/>
          <cell r="AU141"/>
        </row>
        <row r="142">
          <cell r="B142" t="str">
            <v>Sales - % Germany</v>
          </cell>
          <cell r="C142" t="str">
            <v>SALES_GER</v>
          </cell>
          <cell r="F142"/>
          <cell r="G142"/>
          <cell r="H142"/>
          <cell r="I142"/>
          <cell r="J142"/>
          <cell r="K142"/>
          <cell r="L142"/>
          <cell r="M142"/>
          <cell r="N142"/>
          <cell r="O142"/>
          <cell r="P142"/>
          <cell r="Q142"/>
          <cell r="R142"/>
          <cell r="S142"/>
          <cell r="T142"/>
          <cell r="U142"/>
          <cell r="V142">
            <v>6.3239644970414205E-2</v>
          </cell>
          <cell r="W142">
            <v>6.2780541065146189E-2</v>
          </cell>
          <cell r="X142">
            <v>5.5423343381458566E-2</v>
          </cell>
          <cell r="Y142">
            <v>5.5423343381458566E-2</v>
          </cell>
          <cell r="Z142"/>
          <cell r="AA142"/>
          <cell r="AB142"/>
          <cell r="AC142"/>
          <cell r="AD142"/>
          <cell r="AE142"/>
          <cell r="AF142"/>
          <cell r="AG142"/>
          <cell r="AH142"/>
          <cell r="AI142"/>
          <cell r="AJ142"/>
          <cell r="AK142"/>
          <cell r="AL142"/>
          <cell r="AM142"/>
          <cell r="AN142"/>
          <cell r="AO142"/>
          <cell r="AP142"/>
          <cell r="AQ142"/>
          <cell r="AR142"/>
          <cell r="AS142"/>
          <cell r="AT142"/>
          <cell r="AU142"/>
        </row>
        <row r="143">
          <cell r="B143" t="str">
            <v>Sales - % Greece</v>
          </cell>
          <cell r="C143" t="str">
            <v>SALES_GRE</v>
          </cell>
          <cell r="F143"/>
          <cell r="G143"/>
          <cell r="H143"/>
          <cell r="I143"/>
          <cell r="J143"/>
          <cell r="K143"/>
          <cell r="L143"/>
          <cell r="M143"/>
          <cell r="N143"/>
          <cell r="O143"/>
          <cell r="P143"/>
          <cell r="Q143"/>
          <cell r="R143"/>
          <cell r="S143"/>
          <cell r="T143"/>
          <cell r="U143"/>
          <cell r="V143">
            <v>7.7259279182356113E-3</v>
          </cell>
          <cell r="W143">
            <v>8.1060514155261217E-3</v>
          </cell>
          <cell r="X143">
            <v>6.2740686253299292E-3</v>
          </cell>
          <cell r="Y143">
            <v>6.2740686253299292E-3</v>
          </cell>
          <cell r="Z143"/>
          <cell r="AA143"/>
          <cell r="AB143"/>
          <cell r="AC143"/>
          <cell r="AD143"/>
          <cell r="AE143"/>
          <cell r="AF143"/>
          <cell r="AG143"/>
          <cell r="AH143"/>
          <cell r="AI143"/>
          <cell r="AJ143"/>
          <cell r="AK143"/>
          <cell r="AL143"/>
          <cell r="AM143"/>
          <cell r="AN143"/>
          <cell r="AO143"/>
          <cell r="AP143"/>
          <cell r="AQ143"/>
          <cell r="AR143"/>
          <cell r="AS143"/>
          <cell r="AT143"/>
          <cell r="AU143"/>
        </row>
        <row r="144">
          <cell r="B144" t="str">
            <v>Sales - % Ireland</v>
          </cell>
          <cell r="C144" t="str">
            <v>SALES_IRE</v>
          </cell>
          <cell r="F144"/>
          <cell r="G144"/>
          <cell r="H144"/>
          <cell r="I144"/>
          <cell r="J144"/>
          <cell r="K144"/>
          <cell r="L144"/>
          <cell r="M144"/>
          <cell r="N144"/>
          <cell r="O144"/>
          <cell r="P144"/>
          <cell r="Q144"/>
          <cell r="R144"/>
          <cell r="S144"/>
          <cell r="T144"/>
          <cell r="U144"/>
          <cell r="V144">
            <v>7.7259279182356113E-3</v>
          </cell>
          <cell r="W144">
            <v>8.1060514155261217E-3</v>
          </cell>
          <cell r="X144">
            <v>6.2740686253299292E-3</v>
          </cell>
          <cell r="Y144">
            <v>6.2740686253299292E-3</v>
          </cell>
          <cell r="Z144"/>
          <cell r="AA144"/>
          <cell r="AB144"/>
          <cell r="AC144"/>
          <cell r="AD144"/>
          <cell r="AE144"/>
          <cell r="AF144"/>
          <cell r="AG144"/>
          <cell r="AH144"/>
          <cell r="AI144"/>
          <cell r="AJ144"/>
          <cell r="AK144"/>
          <cell r="AL144"/>
          <cell r="AM144"/>
          <cell r="AN144"/>
          <cell r="AO144"/>
          <cell r="AP144"/>
          <cell r="AQ144"/>
          <cell r="AR144"/>
          <cell r="AS144"/>
          <cell r="AT144"/>
          <cell r="AU144"/>
        </row>
        <row r="145">
          <cell r="B145" t="str">
            <v>Sales - % Italy</v>
          </cell>
          <cell r="C145" t="str">
            <v>SALES_ITA</v>
          </cell>
          <cell r="F145"/>
          <cell r="G145"/>
          <cell r="H145"/>
          <cell r="I145"/>
          <cell r="J145"/>
          <cell r="K145"/>
          <cell r="L145"/>
          <cell r="M145"/>
          <cell r="N145"/>
          <cell r="O145"/>
          <cell r="P145"/>
          <cell r="Q145"/>
          <cell r="R145"/>
          <cell r="S145"/>
          <cell r="T145"/>
          <cell r="U145"/>
          <cell r="V145">
            <v>1.7603550295857986E-2</v>
          </cell>
          <cell r="W145">
            <v>1.7105422782967367E-2</v>
          </cell>
          <cell r="X145">
            <v>1.6817388545137237E-2</v>
          </cell>
          <cell r="Y145">
            <v>1.6817388545137237E-2</v>
          </cell>
          <cell r="Z145"/>
          <cell r="AA145"/>
          <cell r="AB145"/>
          <cell r="AC145"/>
          <cell r="AD145"/>
          <cell r="AE145"/>
          <cell r="AF145"/>
          <cell r="AG145"/>
          <cell r="AH145"/>
          <cell r="AI145"/>
          <cell r="AJ145"/>
          <cell r="AK145"/>
          <cell r="AL145"/>
          <cell r="AM145"/>
          <cell r="AN145"/>
          <cell r="AO145"/>
          <cell r="AP145"/>
          <cell r="AQ145"/>
          <cell r="AR145"/>
          <cell r="AS145"/>
          <cell r="AT145"/>
          <cell r="AU145"/>
        </row>
        <row r="146">
          <cell r="B146" t="str">
            <v>Sales - % Netherlands</v>
          </cell>
          <cell r="C146" t="str">
            <v>SALES_NETH</v>
          </cell>
          <cell r="F146"/>
          <cell r="G146"/>
          <cell r="H146"/>
          <cell r="I146"/>
          <cell r="J146"/>
          <cell r="K146"/>
          <cell r="L146"/>
          <cell r="M146"/>
          <cell r="N146"/>
          <cell r="O146"/>
          <cell r="P146"/>
          <cell r="Q146"/>
          <cell r="R146"/>
          <cell r="S146"/>
          <cell r="T146"/>
          <cell r="U146"/>
          <cell r="V146">
            <v>7.7259279182356113E-3</v>
          </cell>
          <cell r="W146">
            <v>8.1060514155261217E-3</v>
          </cell>
          <cell r="X146">
            <v>6.2740686253299292E-3</v>
          </cell>
          <cell r="Y146">
            <v>6.2740686253299292E-3</v>
          </cell>
          <cell r="Z146"/>
          <cell r="AA146"/>
          <cell r="AB146"/>
          <cell r="AC146"/>
          <cell r="AD146"/>
          <cell r="AE146"/>
          <cell r="AF146"/>
          <cell r="AG146"/>
          <cell r="AH146"/>
          <cell r="AI146"/>
          <cell r="AJ146"/>
          <cell r="AK146"/>
          <cell r="AL146"/>
          <cell r="AM146"/>
          <cell r="AN146"/>
          <cell r="AO146"/>
          <cell r="AP146"/>
          <cell r="AQ146"/>
          <cell r="AR146"/>
          <cell r="AS146"/>
          <cell r="AT146"/>
          <cell r="AU146"/>
        </row>
        <row r="147">
          <cell r="B147" t="str">
            <v>Sales - % Norway</v>
          </cell>
          <cell r="C147" t="str">
            <v>SALES_NOR</v>
          </cell>
          <cell r="F147"/>
          <cell r="G147"/>
          <cell r="H147"/>
          <cell r="I147"/>
          <cell r="J147"/>
          <cell r="K147"/>
          <cell r="L147"/>
          <cell r="M147"/>
          <cell r="N147"/>
          <cell r="O147"/>
          <cell r="P147"/>
          <cell r="Q147"/>
          <cell r="R147"/>
          <cell r="S147"/>
          <cell r="T147"/>
          <cell r="U147"/>
          <cell r="V147">
            <v>4.5118343195266275E-3</v>
          </cell>
          <cell r="W147">
            <v>4.3066844595414291E-3</v>
          </cell>
          <cell r="X147">
            <v>5.0769474853244491E-3</v>
          </cell>
          <cell r="Y147">
            <v>5.0769474853244491E-3</v>
          </cell>
          <cell r="Z147"/>
          <cell r="AA147"/>
          <cell r="AB147"/>
          <cell r="AC147"/>
          <cell r="AD147"/>
          <cell r="AE147"/>
          <cell r="AF147"/>
          <cell r="AG147"/>
          <cell r="AH147"/>
          <cell r="AI147"/>
          <cell r="AJ147"/>
          <cell r="AK147"/>
          <cell r="AL147"/>
          <cell r="AM147"/>
          <cell r="AN147"/>
          <cell r="AO147"/>
          <cell r="AP147"/>
          <cell r="AQ147"/>
          <cell r="AR147"/>
          <cell r="AS147"/>
          <cell r="AT147"/>
          <cell r="AU147"/>
        </row>
        <row r="148">
          <cell r="B148" t="str">
            <v>Sales - % Portugal</v>
          </cell>
          <cell r="C148" t="str">
            <v>SALES_POR</v>
          </cell>
          <cell r="F148"/>
          <cell r="G148"/>
          <cell r="H148"/>
          <cell r="I148"/>
          <cell r="J148"/>
          <cell r="K148"/>
          <cell r="L148"/>
          <cell r="M148"/>
          <cell r="N148"/>
          <cell r="O148"/>
          <cell r="P148"/>
          <cell r="Q148"/>
          <cell r="R148"/>
          <cell r="S148"/>
          <cell r="T148"/>
          <cell r="U148"/>
          <cell r="V148">
            <v>7.7259279182356113E-3</v>
          </cell>
          <cell r="W148">
            <v>8.1060514155261217E-3</v>
          </cell>
          <cell r="X148">
            <v>6.2740686253299292E-3</v>
          </cell>
          <cell r="Y148">
            <v>6.2740686253299292E-3</v>
          </cell>
          <cell r="Z148"/>
          <cell r="AA148"/>
          <cell r="AB148"/>
          <cell r="AC148"/>
          <cell r="AD148"/>
          <cell r="AE148"/>
          <cell r="AF148"/>
          <cell r="AG148"/>
          <cell r="AH148"/>
          <cell r="AI148"/>
          <cell r="AJ148"/>
          <cell r="AK148"/>
          <cell r="AL148"/>
          <cell r="AM148"/>
          <cell r="AN148"/>
          <cell r="AO148"/>
          <cell r="AP148"/>
          <cell r="AQ148"/>
          <cell r="AR148"/>
          <cell r="AS148"/>
          <cell r="AT148"/>
          <cell r="AU148"/>
        </row>
        <row r="149">
          <cell r="B149" t="str">
            <v>Sales - % Spain</v>
          </cell>
          <cell r="C149" t="str">
            <v>SALES_SPA</v>
          </cell>
          <cell r="F149"/>
          <cell r="G149"/>
          <cell r="H149"/>
          <cell r="I149"/>
          <cell r="J149"/>
          <cell r="K149"/>
          <cell r="L149"/>
          <cell r="M149"/>
          <cell r="N149"/>
          <cell r="O149"/>
          <cell r="P149"/>
          <cell r="Q149"/>
          <cell r="R149"/>
          <cell r="S149"/>
          <cell r="T149"/>
          <cell r="U149"/>
          <cell r="V149">
            <v>1.3905325443786982E-2</v>
          </cell>
          <cell r="W149">
            <v>1.7590683003760765E-2</v>
          </cell>
          <cell r="X149">
            <v>1.4913533238140568E-2</v>
          </cell>
          <cell r="Y149">
            <v>1.4913533238140568E-2</v>
          </cell>
          <cell r="Z149"/>
          <cell r="AA149"/>
          <cell r="AB149"/>
          <cell r="AC149"/>
          <cell r="AD149"/>
          <cell r="AE149"/>
          <cell r="AF149"/>
          <cell r="AG149"/>
          <cell r="AH149"/>
          <cell r="AI149"/>
          <cell r="AJ149"/>
          <cell r="AK149"/>
          <cell r="AL149"/>
          <cell r="AM149"/>
          <cell r="AN149"/>
          <cell r="AO149"/>
          <cell r="AP149"/>
          <cell r="AQ149"/>
          <cell r="AR149"/>
          <cell r="AS149"/>
          <cell r="AT149"/>
          <cell r="AU149"/>
        </row>
        <row r="150">
          <cell r="B150" t="str">
            <v>Sales - % Sweden</v>
          </cell>
          <cell r="C150" t="str">
            <v>SALES_SWE</v>
          </cell>
          <cell r="F150"/>
          <cell r="G150"/>
          <cell r="H150"/>
          <cell r="I150"/>
          <cell r="J150"/>
          <cell r="K150"/>
          <cell r="L150"/>
          <cell r="M150"/>
          <cell r="N150"/>
          <cell r="O150"/>
          <cell r="P150"/>
          <cell r="Q150"/>
          <cell r="R150"/>
          <cell r="S150"/>
          <cell r="T150"/>
          <cell r="U150"/>
          <cell r="V150">
            <v>7.7259279182356113E-3</v>
          </cell>
          <cell r="W150">
            <v>8.1060514155261217E-3</v>
          </cell>
          <cell r="X150">
            <v>6.2740686253299292E-3</v>
          </cell>
          <cell r="Y150">
            <v>6.2740686253299292E-3</v>
          </cell>
          <cell r="Z150"/>
          <cell r="AA150"/>
          <cell r="AB150"/>
          <cell r="AC150"/>
          <cell r="AD150"/>
          <cell r="AE150"/>
          <cell r="AF150"/>
          <cell r="AG150"/>
          <cell r="AH150"/>
          <cell r="AI150"/>
          <cell r="AJ150"/>
          <cell r="AK150"/>
          <cell r="AL150"/>
          <cell r="AM150"/>
          <cell r="AN150"/>
          <cell r="AO150"/>
          <cell r="AP150"/>
          <cell r="AQ150"/>
          <cell r="AR150"/>
          <cell r="AS150"/>
          <cell r="AT150"/>
          <cell r="AU150"/>
        </row>
        <row r="151">
          <cell r="B151" t="str">
            <v>Sales - % Switzerland</v>
          </cell>
          <cell r="C151" t="str">
            <v>SALES_SWIT</v>
          </cell>
          <cell r="F151"/>
          <cell r="G151"/>
          <cell r="H151"/>
          <cell r="I151"/>
          <cell r="J151"/>
          <cell r="K151"/>
          <cell r="L151"/>
          <cell r="M151"/>
          <cell r="N151"/>
          <cell r="O151"/>
          <cell r="P151"/>
          <cell r="Q151"/>
          <cell r="R151"/>
          <cell r="S151"/>
          <cell r="T151"/>
          <cell r="U151"/>
          <cell r="V151">
            <v>2.470414201183432E-2</v>
          </cell>
          <cell r="W151">
            <v>2.2989202960087347E-2</v>
          </cell>
          <cell r="X151">
            <v>2.326934264107039E-2</v>
          </cell>
          <cell r="Y151">
            <v>2.326934264107039E-2</v>
          </cell>
          <cell r="Z151"/>
          <cell r="AA151"/>
          <cell r="AB151"/>
          <cell r="AC151"/>
          <cell r="AD151"/>
          <cell r="AE151"/>
          <cell r="AF151"/>
          <cell r="AG151"/>
          <cell r="AH151"/>
          <cell r="AI151"/>
          <cell r="AJ151"/>
          <cell r="AK151"/>
          <cell r="AL151"/>
          <cell r="AM151"/>
          <cell r="AN151"/>
          <cell r="AO151"/>
          <cell r="AP151"/>
          <cell r="AQ151"/>
          <cell r="AR151"/>
          <cell r="AS151"/>
          <cell r="AT151"/>
          <cell r="AU151"/>
        </row>
        <row r="152">
          <cell r="B152" t="str">
            <v>Sales - % UK</v>
          </cell>
          <cell r="C152" t="str">
            <v>SALES_UK</v>
          </cell>
          <cell r="F152"/>
          <cell r="G152"/>
          <cell r="H152"/>
          <cell r="I152"/>
          <cell r="J152"/>
          <cell r="K152"/>
          <cell r="L152"/>
          <cell r="M152"/>
          <cell r="N152"/>
          <cell r="O152"/>
          <cell r="P152"/>
          <cell r="Q152"/>
          <cell r="R152"/>
          <cell r="S152"/>
          <cell r="T152"/>
          <cell r="U152"/>
          <cell r="V152">
            <v>0.12344674556213017</v>
          </cell>
          <cell r="W152">
            <v>0.13526628654616038</v>
          </cell>
          <cell r="X152">
            <v>0.13972182558569993</v>
          </cell>
          <cell r="Y152">
            <v>0.13972182558569993</v>
          </cell>
          <cell r="Z152"/>
          <cell r="AA152"/>
          <cell r="AB152"/>
          <cell r="AC152"/>
          <cell r="AD152"/>
          <cell r="AE152"/>
          <cell r="AF152"/>
          <cell r="AG152"/>
          <cell r="AH152"/>
          <cell r="AI152"/>
          <cell r="AJ152"/>
          <cell r="AK152"/>
          <cell r="AL152"/>
          <cell r="AM152"/>
          <cell r="AN152"/>
          <cell r="AO152"/>
          <cell r="AP152"/>
          <cell r="AQ152"/>
          <cell r="AR152"/>
          <cell r="AS152"/>
          <cell r="AT152"/>
          <cell r="AU152"/>
        </row>
        <row r="153">
          <cell r="B153" t="str">
            <v>Sales - % Other Western Europe</v>
          </cell>
          <cell r="C153" t="str">
            <v>SALES_OTH_WEST_EURO</v>
          </cell>
          <cell r="F153"/>
          <cell r="G153"/>
          <cell r="H153"/>
          <cell r="I153"/>
          <cell r="J153"/>
          <cell r="K153"/>
          <cell r="L153"/>
          <cell r="M153"/>
          <cell r="N153"/>
          <cell r="O153"/>
          <cell r="P153"/>
          <cell r="Q153"/>
          <cell r="R153"/>
          <cell r="S153"/>
          <cell r="T153"/>
          <cell r="U153"/>
          <cell r="V153">
            <v>7.7259279182356113E-3</v>
          </cell>
          <cell r="W153">
            <v>8.1060514155261217E-3</v>
          </cell>
          <cell r="X153">
            <v>6.2740686253299292E-3</v>
          </cell>
          <cell r="Y153">
            <v>6.2740686253299292E-3</v>
          </cell>
          <cell r="Z153"/>
          <cell r="AA153"/>
          <cell r="AB153"/>
          <cell r="AC153"/>
          <cell r="AD153"/>
          <cell r="AE153"/>
          <cell r="AF153"/>
          <cell r="AG153"/>
          <cell r="AH153"/>
          <cell r="AI153"/>
          <cell r="AJ153"/>
          <cell r="AK153"/>
          <cell r="AL153"/>
          <cell r="AM153"/>
          <cell r="AN153"/>
          <cell r="AO153"/>
          <cell r="AP153"/>
          <cell r="AQ153"/>
          <cell r="AR153"/>
          <cell r="AS153"/>
          <cell r="AT153"/>
          <cell r="AU153"/>
        </row>
        <row r="154">
          <cell r="B154" t="str">
            <v>Sales - % Poland</v>
          </cell>
          <cell r="C154" t="str">
            <v>SALES_POLAND</v>
          </cell>
          <cell r="F154"/>
          <cell r="G154"/>
          <cell r="H154"/>
          <cell r="I154"/>
          <cell r="J154"/>
          <cell r="K154"/>
          <cell r="L154"/>
          <cell r="M154"/>
          <cell r="N154"/>
          <cell r="O154"/>
          <cell r="P154"/>
          <cell r="Q154"/>
          <cell r="R154"/>
          <cell r="S154"/>
          <cell r="T154"/>
          <cell r="U154"/>
          <cell r="V154">
            <v>7.7259279182356113E-3</v>
          </cell>
          <cell r="W154">
            <v>8.1060514155261217E-3</v>
          </cell>
          <cell r="X154">
            <v>6.2740686253299292E-3</v>
          </cell>
          <cell r="Y154">
            <v>6.2740686253299292E-3</v>
          </cell>
          <cell r="Z154"/>
          <cell r="AA154"/>
          <cell r="AB154"/>
          <cell r="AC154"/>
          <cell r="AD154"/>
          <cell r="AE154"/>
          <cell r="AF154"/>
          <cell r="AG154"/>
          <cell r="AH154"/>
          <cell r="AI154"/>
          <cell r="AJ154"/>
          <cell r="AK154"/>
          <cell r="AL154"/>
          <cell r="AM154"/>
          <cell r="AN154"/>
          <cell r="AO154"/>
          <cell r="AP154"/>
          <cell r="AQ154"/>
          <cell r="AR154"/>
          <cell r="AS154"/>
          <cell r="AT154"/>
          <cell r="AU154"/>
        </row>
        <row r="155">
          <cell r="B155" t="str">
            <v>Sales - % Russia</v>
          </cell>
          <cell r="C155" t="str">
            <v>SALES_RUSSIA</v>
          </cell>
          <cell r="F155"/>
          <cell r="G155"/>
          <cell r="H155"/>
          <cell r="I155"/>
          <cell r="J155"/>
          <cell r="K155"/>
          <cell r="L155"/>
          <cell r="M155"/>
          <cell r="N155"/>
          <cell r="O155"/>
          <cell r="P155"/>
          <cell r="Q155"/>
          <cell r="R155"/>
          <cell r="S155"/>
          <cell r="T155"/>
          <cell r="U155"/>
          <cell r="V155">
            <v>0</v>
          </cell>
          <cell r="W155">
            <v>0</v>
          </cell>
          <cell r="X155">
            <v>0</v>
          </cell>
          <cell r="Y155">
            <v>0</v>
          </cell>
          <cell r="Z155"/>
          <cell r="AA155"/>
          <cell r="AB155"/>
          <cell r="AC155"/>
          <cell r="AD155"/>
          <cell r="AE155"/>
          <cell r="AF155"/>
          <cell r="AG155"/>
          <cell r="AH155"/>
          <cell r="AI155"/>
          <cell r="AJ155"/>
          <cell r="AK155"/>
          <cell r="AL155"/>
          <cell r="AM155"/>
          <cell r="AN155"/>
          <cell r="AO155"/>
          <cell r="AP155"/>
          <cell r="AQ155"/>
          <cell r="AR155"/>
          <cell r="AS155"/>
          <cell r="AT155"/>
          <cell r="AU155"/>
        </row>
        <row r="156">
          <cell r="B156" t="str">
            <v>Sales - % Turkey</v>
          </cell>
          <cell r="C156" t="str">
            <v>SALES_TURKEY</v>
          </cell>
          <cell r="F156"/>
          <cell r="G156"/>
          <cell r="H156"/>
          <cell r="I156"/>
          <cell r="J156"/>
          <cell r="K156"/>
          <cell r="L156"/>
          <cell r="M156"/>
          <cell r="N156"/>
          <cell r="O156"/>
          <cell r="P156"/>
          <cell r="Q156"/>
          <cell r="R156"/>
          <cell r="S156"/>
          <cell r="T156"/>
          <cell r="U156"/>
          <cell r="V156">
            <v>7.7259279182356113E-3</v>
          </cell>
          <cell r="W156">
            <v>8.1060514155261217E-3</v>
          </cell>
          <cell r="X156">
            <v>6.2740686253299292E-3</v>
          </cell>
          <cell r="Y156">
            <v>6.2740686253299292E-3</v>
          </cell>
          <cell r="Z156"/>
          <cell r="AA156"/>
          <cell r="AB156"/>
          <cell r="AC156"/>
          <cell r="AD156"/>
          <cell r="AE156"/>
          <cell r="AF156"/>
          <cell r="AG156"/>
          <cell r="AH156"/>
          <cell r="AI156"/>
          <cell r="AJ156"/>
          <cell r="AK156"/>
          <cell r="AL156"/>
          <cell r="AM156"/>
          <cell r="AN156"/>
          <cell r="AO156"/>
          <cell r="AP156"/>
          <cell r="AQ156"/>
          <cell r="AR156"/>
          <cell r="AS156"/>
          <cell r="AT156"/>
          <cell r="AU156"/>
        </row>
        <row r="157">
          <cell r="B157" t="str">
            <v>Sales - % Other CEE</v>
          </cell>
          <cell r="C157" t="str">
            <v>SALES_OTH_CEE</v>
          </cell>
          <cell r="F157"/>
          <cell r="G157"/>
          <cell r="H157"/>
          <cell r="I157"/>
          <cell r="J157"/>
          <cell r="K157"/>
          <cell r="L157"/>
          <cell r="M157"/>
          <cell r="N157"/>
          <cell r="O157"/>
          <cell r="P157"/>
          <cell r="Q157"/>
          <cell r="R157"/>
          <cell r="S157"/>
          <cell r="T157"/>
          <cell r="U157"/>
          <cell r="V157">
            <v>7.7259279182356113E-3</v>
          </cell>
          <cell r="W157">
            <v>8.1060514155261217E-3</v>
          </cell>
          <cell r="X157">
            <v>6.2740686253299292E-3</v>
          </cell>
          <cell r="Y157">
            <v>6.2740686253299292E-3</v>
          </cell>
          <cell r="Z157"/>
          <cell r="AA157"/>
          <cell r="AB157"/>
          <cell r="AC157"/>
          <cell r="AD157"/>
          <cell r="AE157"/>
          <cell r="AF157"/>
          <cell r="AG157"/>
          <cell r="AH157"/>
          <cell r="AI157"/>
          <cell r="AJ157"/>
          <cell r="AK157"/>
          <cell r="AL157"/>
          <cell r="AM157"/>
          <cell r="AN157"/>
          <cell r="AO157"/>
          <cell r="AP157"/>
          <cell r="AQ157"/>
          <cell r="AR157"/>
          <cell r="AS157"/>
          <cell r="AT157"/>
          <cell r="AU157"/>
        </row>
        <row r="158">
          <cell r="B158" t="str">
            <v>Sales - % Saudi Arabia</v>
          </cell>
          <cell r="C158" t="str">
            <v>SALES_SAUDI_ARABIA</v>
          </cell>
          <cell r="F158"/>
          <cell r="G158"/>
          <cell r="H158"/>
          <cell r="I158"/>
          <cell r="J158"/>
          <cell r="K158"/>
          <cell r="L158"/>
          <cell r="M158"/>
          <cell r="N158"/>
          <cell r="O158"/>
          <cell r="P158"/>
          <cell r="Q158"/>
          <cell r="R158"/>
          <cell r="S158"/>
          <cell r="T158"/>
          <cell r="U158"/>
          <cell r="V158">
            <v>2.381656804733728E-2</v>
          </cell>
          <cell r="W158">
            <v>2.3899065874074973E-2</v>
          </cell>
          <cell r="X158">
            <v>2.2634724205404834E-2</v>
          </cell>
          <cell r="Y158">
            <v>2.2634724205404834E-2</v>
          </cell>
          <cell r="Z158"/>
          <cell r="AA158"/>
          <cell r="AB158"/>
          <cell r="AC158"/>
          <cell r="AD158"/>
          <cell r="AE158"/>
          <cell r="AF158"/>
          <cell r="AG158"/>
          <cell r="AH158"/>
          <cell r="AI158"/>
          <cell r="AJ158"/>
          <cell r="AK158"/>
          <cell r="AL158"/>
          <cell r="AM158"/>
          <cell r="AN158"/>
          <cell r="AO158"/>
          <cell r="AP158"/>
          <cell r="AQ158"/>
          <cell r="AR158"/>
          <cell r="AS158"/>
          <cell r="AT158"/>
          <cell r="AU158"/>
        </row>
        <row r="159">
          <cell r="B159" t="str">
            <v>Sales - % United Arab Emirates</v>
          </cell>
          <cell r="C159" t="str">
            <v>SALES_UAE</v>
          </cell>
          <cell r="F159"/>
          <cell r="G159"/>
          <cell r="H159"/>
          <cell r="I159"/>
          <cell r="J159"/>
          <cell r="K159"/>
          <cell r="L159"/>
          <cell r="M159"/>
          <cell r="N159"/>
          <cell r="O159"/>
          <cell r="P159"/>
          <cell r="Q159"/>
          <cell r="R159"/>
          <cell r="S159"/>
          <cell r="T159"/>
          <cell r="U159"/>
          <cell r="V159">
            <v>2.1264792899408285E-2</v>
          </cell>
          <cell r="W159">
            <v>1.4436491568603663E-2</v>
          </cell>
          <cell r="X159">
            <v>1.9884710984187422E-2</v>
          </cell>
          <cell r="Y159">
            <v>1.9884710984187422E-2</v>
          </cell>
          <cell r="Z159"/>
          <cell r="AA159"/>
          <cell r="AB159"/>
          <cell r="AC159"/>
          <cell r="AD159"/>
          <cell r="AE159"/>
          <cell r="AF159"/>
          <cell r="AG159"/>
          <cell r="AH159"/>
          <cell r="AI159"/>
          <cell r="AJ159"/>
          <cell r="AK159"/>
          <cell r="AL159"/>
          <cell r="AM159"/>
          <cell r="AN159"/>
          <cell r="AO159"/>
          <cell r="AP159"/>
          <cell r="AQ159"/>
          <cell r="AR159"/>
          <cell r="AS159"/>
          <cell r="AT159"/>
          <cell r="AU159"/>
        </row>
        <row r="160">
          <cell r="B160" t="str">
            <v>Sales - % Other Middle East</v>
          </cell>
          <cell r="C160" t="str">
            <v>SALES_OTH_ME</v>
          </cell>
          <cell r="F160"/>
          <cell r="G160"/>
          <cell r="H160"/>
          <cell r="I160"/>
          <cell r="J160"/>
          <cell r="K160"/>
          <cell r="L160"/>
          <cell r="M160"/>
          <cell r="N160"/>
          <cell r="O160"/>
          <cell r="P160"/>
          <cell r="Q160"/>
          <cell r="R160"/>
          <cell r="S160"/>
          <cell r="T160"/>
          <cell r="U160"/>
          <cell r="V160">
            <v>2.1264792899408285E-2</v>
          </cell>
          <cell r="W160">
            <v>1.4436491568603663E-2</v>
          </cell>
          <cell r="X160">
            <v>1.9884710984187422E-2</v>
          </cell>
          <cell r="Y160">
            <v>1.9884710984187422E-2</v>
          </cell>
          <cell r="Z160"/>
          <cell r="AA160"/>
          <cell r="AB160"/>
          <cell r="AC160"/>
          <cell r="AD160"/>
          <cell r="AE160"/>
          <cell r="AF160"/>
          <cell r="AG160"/>
          <cell r="AH160"/>
          <cell r="AI160"/>
          <cell r="AJ160"/>
          <cell r="AK160"/>
          <cell r="AL160"/>
          <cell r="AM160"/>
          <cell r="AN160"/>
          <cell r="AO160"/>
          <cell r="AP160"/>
          <cell r="AQ160"/>
          <cell r="AR160"/>
          <cell r="AS160"/>
          <cell r="AT160"/>
          <cell r="AU160"/>
        </row>
        <row r="161">
          <cell r="B161" t="str">
            <v>Sales - % Nigeria</v>
          </cell>
          <cell r="C161" t="str">
            <v>SALES_NIGERIA</v>
          </cell>
          <cell r="F161"/>
          <cell r="G161"/>
          <cell r="H161"/>
          <cell r="I161"/>
          <cell r="J161"/>
          <cell r="K161"/>
          <cell r="L161"/>
          <cell r="M161"/>
          <cell r="N161"/>
          <cell r="O161"/>
          <cell r="P161"/>
          <cell r="Q161"/>
          <cell r="R161"/>
          <cell r="S161"/>
          <cell r="T161"/>
          <cell r="U161"/>
          <cell r="V161">
            <v>6.9526627218934912E-3</v>
          </cell>
          <cell r="W161">
            <v>6.3286020461805976E-3</v>
          </cell>
          <cell r="X161">
            <v>7.157085691117105E-3</v>
          </cell>
          <cell r="Y161">
            <v>7.157085691117105E-3</v>
          </cell>
          <cell r="Z161"/>
          <cell r="AA161"/>
          <cell r="AB161"/>
          <cell r="AC161"/>
          <cell r="AD161"/>
          <cell r="AE161"/>
          <cell r="AF161"/>
          <cell r="AG161"/>
          <cell r="AH161"/>
          <cell r="AI161"/>
          <cell r="AJ161"/>
          <cell r="AK161"/>
          <cell r="AL161"/>
          <cell r="AM161"/>
          <cell r="AN161"/>
          <cell r="AO161"/>
          <cell r="AP161"/>
          <cell r="AQ161"/>
          <cell r="AR161"/>
          <cell r="AS161"/>
          <cell r="AT161"/>
          <cell r="AU161"/>
        </row>
        <row r="162">
          <cell r="B162" t="str">
            <v>Sales - % South Africa</v>
          </cell>
          <cell r="C162" t="str">
            <v>SALES_SO_AFRICA</v>
          </cell>
          <cell r="F162"/>
          <cell r="G162"/>
          <cell r="H162"/>
          <cell r="I162"/>
          <cell r="J162"/>
          <cell r="K162"/>
          <cell r="L162"/>
          <cell r="M162"/>
          <cell r="N162"/>
          <cell r="O162"/>
          <cell r="P162"/>
          <cell r="Q162"/>
          <cell r="R162"/>
          <cell r="S162"/>
          <cell r="T162"/>
          <cell r="U162"/>
          <cell r="V162">
            <v>6.9526627218934912E-3</v>
          </cell>
          <cell r="W162">
            <v>6.3286020461805976E-3</v>
          </cell>
          <cell r="X162">
            <v>7.157085691117105E-3</v>
          </cell>
          <cell r="Y162">
            <v>7.157085691117105E-3</v>
          </cell>
          <cell r="Z162"/>
          <cell r="AA162"/>
          <cell r="AB162"/>
          <cell r="AC162"/>
          <cell r="AD162"/>
          <cell r="AE162"/>
          <cell r="AF162"/>
          <cell r="AG162"/>
          <cell r="AH162"/>
          <cell r="AI162"/>
          <cell r="AJ162"/>
          <cell r="AK162"/>
          <cell r="AL162"/>
          <cell r="AM162"/>
          <cell r="AN162"/>
          <cell r="AO162"/>
          <cell r="AP162"/>
          <cell r="AQ162"/>
          <cell r="AR162"/>
          <cell r="AS162"/>
          <cell r="AT162"/>
          <cell r="AU162"/>
        </row>
        <row r="163">
          <cell r="B163" t="str">
            <v>Sales - % Other Africa</v>
          </cell>
          <cell r="C163" t="str">
            <v>SALES_OTH_AFRICA</v>
          </cell>
          <cell r="F163"/>
          <cell r="G163"/>
          <cell r="H163"/>
          <cell r="I163"/>
          <cell r="J163"/>
          <cell r="K163"/>
          <cell r="L163"/>
          <cell r="M163"/>
          <cell r="N163"/>
          <cell r="O163"/>
          <cell r="P163"/>
          <cell r="Q163"/>
          <cell r="R163"/>
          <cell r="S163"/>
          <cell r="T163"/>
          <cell r="U163"/>
          <cell r="V163">
            <v>6.9526627218934912E-3</v>
          </cell>
          <cell r="W163">
            <v>6.3286020461805976E-3</v>
          </cell>
          <cell r="X163">
            <v>7.157085691117105E-3</v>
          </cell>
          <cell r="Y163">
            <v>7.157085691117105E-3</v>
          </cell>
          <cell r="Z163"/>
          <cell r="AA163"/>
          <cell r="AB163"/>
          <cell r="AC163"/>
          <cell r="AD163"/>
          <cell r="AE163"/>
          <cell r="AF163"/>
          <cell r="AG163"/>
          <cell r="AH163"/>
          <cell r="AI163"/>
          <cell r="AJ163"/>
          <cell r="AK163"/>
          <cell r="AL163"/>
          <cell r="AM163"/>
          <cell r="AN163"/>
          <cell r="AO163"/>
          <cell r="AP163"/>
          <cell r="AQ163"/>
          <cell r="AR163"/>
          <cell r="AS163"/>
          <cell r="AT163"/>
          <cell r="AU163"/>
        </row>
        <row r="164">
          <cell r="B164" t="str">
            <v>Sales - % Hong Kong</v>
          </cell>
          <cell r="C164" t="str">
            <v>SALES_HONG_KONG</v>
          </cell>
          <cell r="F164"/>
          <cell r="G164"/>
          <cell r="H164"/>
          <cell r="I164"/>
          <cell r="J164"/>
          <cell r="K164"/>
          <cell r="L164"/>
          <cell r="M164"/>
          <cell r="N164"/>
          <cell r="O164"/>
          <cell r="P164"/>
          <cell r="Q164"/>
          <cell r="R164"/>
          <cell r="S164"/>
          <cell r="T164"/>
          <cell r="U164"/>
          <cell r="V164">
            <v>4.696745562130177E-3</v>
          </cell>
          <cell r="W164">
            <v>6.6824376238424519E-3</v>
          </cell>
          <cell r="X164">
            <v>7.4655807640100838E-3</v>
          </cell>
          <cell r="Y164">
            <v>7.4655807640100838E-3</v>
          </cell>
          <cell r="Z164"/>
          <cell r="AA164"/>
          <cell r="AB164"/>
          <cell r="AC164"/>
          <cell r="AD164"/>
          <cell r="AE164"/>
          <cell r="AF164"/>
          <cell r="AG164"/>
          <cell r="AH164"/>
          <cell r="AI164"/>
          <cell r="AJ164"/>
          <cell r="AK164"/>
          <cell r="AL164"/>
          <cell r="AM164"/>
          <cell r="AN164"/>
          <cell r="AO164"/>
          <cell r="AP164"/>
          <cell r="AQ164"/>
          <cell r="AR164"/>
          <cell r="AS164"/>
          <cell r="AT164"/>
          <cell r="AU164"/>
        </row>
        <row r="165">
          <cell r="B165" t="str">
            <v>Sales - % Japan</v>
          </cell>
          <cell r="C165" t="str">
            <v>SALES_JAPAN</v>
          </cell>
          <cell r="F165"/>
          <cell r="G165"/>
          <cell r="H165"/>
          <cell r="I165"/>
          <cell r="J165"/>
          <cell r="K165"/>
          <cell r="L165"/>
          <cell r="M165"/>
          <cell r="N165"/>
          <cell r="O165"/>
          <cell r="P165"/>
          <cell r="Q165"/>
          <cell r="R165"/>
          <cell r="S165"/>
          <cell r="T165"/>
          <cell r="U165"/>
          <cell r="V165">
            <v>2.0414201183431954E-2</v>
          </cell>
          <cell r="W165">
            <v>3.5545311173116587E-2</v>
          </cell>
          <cell r="X165">
            <v>3.3529007350996877E-2</v>
          </cell>
          <cell r="Y165">
            <v>3.3529007350996877E-2</v>
          </cell>
          <cell r="Z165"/>
          <cell r="AA165"/>
          <cell r="AB165"/>
          <cell r="AC165"/>
          <cell r="AD165"/>
          <cell r="AE165"/>
          <cell r="AF165"/>
          <cell r="AG165"/>
          <cell r="AH165"/>
          <cell r="AI165"/>
          <cell r="AJ165"/>
          <cell r="AK165"/>
          <cell r="AL165"/>
          <cell r="AM165"/>
          <cell r="AN165"/>
          <cell r="AO165"/>
          <cell r="AP165"/>
          <cell r="AQ165"/>
          <cell r="AR165"/>
          <cell r="AS165"/>
          <cell r="AT165"/>
          <cell r="AU165"/>
        </row>
        <row r="166">
          <cell r="B166" t="str">
            <v>Sales - % Singapore</v>
          </cell>
          <cell r="C166" t="str">
            <v>SALES_SINGAPORE</v>
          </cell>
          <cell r="F166"/>
          <cell r="G166"/>
          <cell r="H166"/>
          <cell r="I166"/>
          <cell r="J166"/>
          <cell r="K166"/>
          <cell r="L166"/>
          <cell r="M166"/>
          <cell r="N166"/>
          <cell r="O166"/>
          <cell r="P166"/>
          <cell r="Q166"/>
          <cell r="R166"/>
          <cell r="S166"/>
          <cell r="T166"/>
          <cell r="U166"/>
          <cell r="V166">
            <v>2.3446745562130177E-2</v>
          </cell>
          <cell r="W166">
            <v>2.6507339560839501E-2</v>
          </cell>
          <cell r="X166">
            <v>2.6759744037230949E-2</v>
          </cell>
          <cell r="Y166">
            <v>2.6759744037230949E-2</v>
          </cell>
          <cell r="Z166"/>
          <cell r="AA166"/>
          <cell r="AB166"/>
          <cell r="AC166"/>
          <cell r="AD166"/>
          <cell r="AE166"/>
          <cell r="AF166"/>
          <cell r="AG166"/>
          <cell r="AH166"/>
          <cell r="AI166"/>
          <cell r="AJ166"/>
          <cell r="AK166"/>
          <cell r="AL166"/>
          <cell r="AM166"/>
          <cell r="AN166"/>
          <cell r="AO166"/>
          <cell r="AP166"/>
          <cell r="AQ166"/>
          <cell r="AR166"/>
          <cell r="AS166"/>
          <cell r="AT166"/>
          <cell r="AU166"/>
        </row>
        <row r="167">
          <cell r="B167" t="str">
            <v>Sales - % South Korea</v>
          </cell>
          <cell r="C167" t="str">
            <v>SALES_SK</v>
          </cell>
          <cell r="F167"/>
          <cell r="G167"/>
          <cell r="H167"/>
          <cell r="I167"/>
          <cell r="J167"/>
          <cell r="K167"/>
          <cell r="L167"/>
          <cell r="M167"/>
          <cell r="N167"/>
          <cell r="O167"/>
          <cell r="P167"/>
          <cell r="Q167"/>
          <cell r="R167"/>
          <cell r="S167"/>
          <cell r="T167"/>
          <cell r="U167"/>
          <cell r="V167">
            <v>1.21301775147929E-2</v>
          </cell>
          <cell r="W167">
            <v>1.8379230862550042E-2</v>
          </cell>
          <cell r="X167">
            <v>1.8985668200327887E-2</v>
          </cell>
          <cell r="Y167">
            <v>1.8985668200327887E-2</v>
          </cell>
          <cell r="Z167"/>
          <cell r="AA167"/>
          <cell r="AB167"/>
          <cell r="AC167"/>
          <cell r="AD167"/>
          <cell r="AE167"/>
          <cell r="AF167"/>
          <cell r="AG167"/>
          <cell r="AH167"/>
          <cell r="AI167"/>
          <cell r="AJ167"/>
          <cell r="AK167"/>
          <cell r="AL167"/>
          <cell r="AM167"/>
          <cell r="AN167"/>
          <cell r="AO167"/>
          <cell r="AP167"/>
          <cell r="AQ167"/>
          <cell r="AR167"/>
          <cell r="AS167"/>
          <cell r="AT167"/>
          <cell r="AU167"/>
        </row>
        <row r="168">
          <cell r="B168" t="str">
            <v>Sales - % Taiwan</v>
          </cell>
          <cell r="C168" t="str">
            <v>SALES_TAIWAN</v>
          </cell>
          <cell r="F168"/>
          <cell r="G168"/>
          <cell r="H168"/>
          <cell r="I168"/>
          <cell r="J168"/>
          <cell r="K168"/>
          <cell r="L168"/>
          <cell r="M168"/>
          <cell r="N168"/>
          <cell r="O168"/>
          <cell r="P168"/>
          <cell r="Q168"/>
          <cell r="R168"/>
          <cell r="S168"/>
          <cell r="T168"/>
          <cell r="U168"/>
          <cell r="V168">
            <v>4.696745562130177E-3</v>
          </cell>
          <cell r="W168">
            <v>6.6824376238424519E-3</v>
          </cell>
          <cell r="X168">
            <v>7.4655807640100838E-3</v>
          </cell>
          <cell r="Y168">
            <v>7.4655807640100838E-3</v>
          </cell>
          <cell r="Z168"/>
          <cell r="AA168"/>
          <cell r="AB168"/>
          <cell r="AC168"/>
          <cell r="AD168"/>
          <cell r="AE168"/>
          <cell r="AF168"/>
          <cell r="AG168"/>
          <cell r="AH168"/>
          <cell r="AI168"/>
          <cell r="AJ168"/>
          <cell r="AK168"/>
          <cell r="AL168"/>
          <cell r="AM168"/>
          <cell r="AN168"/>
          <cell r="AO168"/>
          <cell r="AP168"/>
          <cell r="AQ168"/>
          <cell r="AR168"/>
          <cell r="AS168"/>
          <cell r="AT168"/>
          <cell r="AU168"/>
        </row>
        <row r="169">
          <cell r="B169" t="str">
            <v>Sales - % Other Developed Asia</v>
          </cell>
          <cell r="C169" t="str">
            <v>SALES_OTH_DEV_ASIA</v>
          </cell>
          <cell r="F169"/>
          <cell r="G169"/>
          <cell r="H169"/>
          <cell r="I169"/>
          <cell r="J169"/>
          <cell r="K169"/>
          <cell r="L169"/>
          <cell r="M169"/>
          <cell r="N169"/>
          <cell r="O169"/>
          <cell r="P169"/>
          <cell r="Q169"/>
          <cell r="R169"/>
          <cell r="S169"/>
          <cell r="T169"/>
          <cell r="U169"/>
          <cell r="V169">
            <v>4.696745562130177E-3</v>
          </cell>
          <cell r="W169">
            <v>6.6824376238424519E-3</v>
          </cell>
          <cell r="X169">
            <v>7.4655807640100838E-3</v>
          </cell>
          <cell r="Y169">
            <v>7.4655807640100838E-3</v>
          </cell>
          <cell r="Z169"/>
          <cell r="AA169"/>
          <cell r="AB169"/>
          <cell r="AC169"/>
          <cell r="AD169"/>
          <cell r="AE169"/>
          <cell r="AF169"/>
          <cell r="AG169"/>
          <cell r="AH169"/>
          <cell r="AI169"/>
          <cell r="AJ169"/>
          <cell r="AK169"/>
          <cell r="AL169"/>
          <cell r="AM169"/>
          <cell r="AN169"/>
          <cell r="AO169"/>
          <cell r="AP169"/>
          <cell r="AQ169"/>
          <cell r="AR169"/>
          <cell r="AS169"/>
          <cell r="AT169"/>
          <cell r="AU169"/>
        </row>
        <row r="170">
          <cell r="B170" t="str">
            <v>Sales - % China</v>
          </cell>
          <cell r="C170" t="str">
            <v>SALES_CHINA</v>
          </cell>
          <cell r="F170"/>
          <cell r="G170"/>
          <cell r="H170"/>
          <cell r="I170"/>
          <cell r="J170"/>
          <cell r="K170"/>
          <cell r="L170"/>
          <cell r="M170"/>
          <cell r="N170"/>
          <cell r="O170"/>
          <cell r="P170"/>
          <cell r="Q170"/>
          <cell r="R170"/>
          <cell r="S170"/>
          <cell r="T170"/>
          <cell r="U170"/>
          <cell r="V170">
            <v>9.2159763313609463E-2</v>
          </cell>
          <cell r="W170">
            <v>7.6610457357758094E-2</v>
          </cell>
          <cell r="X170">
            <v>7.4038817494314874E-2</v>
          </cell>
          <cell r="Y170">
            <v>7.4038817494314874E-2</v>
          </cell>
          <cell r="Z170"/>
          <cell r="AA170"/>
          <cell r="AB170"/>
          <cell r="AC170"/>
          <cell r="AD170"/>
          <cell r="AE170"/>
          <cell r="AF170"/>
          <cell r="AG170"/>
          <cell r="AH170"/>
          <cell r="AI170"/>
          <cell r="AJ170"/>
          <cell r="AK170"/>
          <cell r="AL170"/>
          <cell r="AM170"/>
          <cell r="AN170"/>
          <cell r="AO170"/>
          <cell r="AP170"/>
          <cell r="AQ170"/>
          <cell r="AR170"/>
          <cell r="AS170"/>
          <cell r="AT170"/>
          <cell r="AU170"/>
        </row>
        <row r="171">
          <cell r="B171" t="str">
            <v>Sales - % India</v>
          </cell>
          <cell r="C171" t="str">
            <v>SALES_INDIA</v>
          </cell>
          <cell r="F171"/>
          <cell r="G171"/>
          <cell r="H171"/>
          <cell r="I171"/>
          <cell r="J171"/>
          <cell r="K171"/>
          <cell r="L171"/>
          <cell r="M171"/>
          <cell r="N171"/>
          <cell r="O171"/>
          <cell r="P171"/>
          <cell r="Q171"/>
          <cell r="R171"/>
          <cell r="S171"/>
          <cell r="T171"/>
          <cell r="U171"/>
          <cell r="V171">
            <v>8.8017751479289932E-3</v>
          </cell>
          <cell r="W171">
            <v>1.3405313599417688E-2</v>
          </cell>
          <cell r="X171">
            <v>7.7740758369030617E-3</v>
          </cell>
          <cell r="Y171">
            <v>7.7740758369030617E-3</v>
          </cell>
          <cell r="Z171"/>
          <cell r="AA171"/>
          <cell r="AB171"/>
          <cell r="AC171"/>
          <cell r="AD171"/>
          <cell r="AE171"/>
          <cell r="AF171"/>
          <cell r="AG171"/>
          <cell r="AH171"/>
          <cell r="AI171"/>
          <cell r="AJ171"/>
          <cell r="AK171"/>
          <cell r="AL171"/>
          <cell r="AM171"/>
          <cell r="AN171"/>
          <cell r="AO171"/>
          <cell r="AP171"/>
          <cell r="AQ171"/>
          <cell r="AR171"/>
          <cell r="AS171"/>
          <cell r="AT171"/>
          <cell r="AU171"/>
        </row>
        <row r="172">
          <cell r="B172" t="str">
            <v>Sales - % Indonesia</v>
          </cell>
          <cell r="C172" t="str">
            <v>SALES_INDONESIA</v>
          </cell>
          <cell r="F172"/>
          <cell r="G172"/>
          <cell r="H172"/>
          <cell r="I172"/>
          <cell r="J172"/>
          <cell r="K172"/>
          <cell r="L172"/>
          <cell r="M172"/>
          <cell r="N172"/>
          <cell r="O172"/>
          <cell r="P172"/>
          <cell r="Q172"/>
          <cell r="R172"/>
          <cell r="S172"/>
          <cell r="T172"/>
          <cell r="U172"/>
          <cell r="V172">
            <v>4.696745562130177E-3</v>
          </cell>
          <cell r="W172">
            <v>6.6824376238424519E-3</v>
          </cell>
          <cell r="X172">
            <v>7.4655807640100838E-3</v>
          </cell>
          <cell r="Y172">
            <v>7.4655807640100838E-3</v>
          </cell>
          <cell r="Z172"/>
          <cell r="AA172"/>
          <cell r="AB172"/>
          <cell r="AC172"/>
          <cell r="AD172"/>
          <cell r="AE172"/>
          <cell r="AF172"/>
          <cell r="AG172"/>
          <cell r="AH172"/>
          <cell r="AI172"/>
          <cell r="AJ172"/>
          <cell r="AK172"/>
          <cell r="AL172"/>
          <cell r="AM172"/>
          <cell r="AN172"/>
          <cell r="AO172"/>
          <cell r="AP172"/>
          <cell r="AQ172"/>
          <cell r="AR172"/>
          <cell r="AS172"/>
          <cell r="AT172"/>
          <cell r="AU172"/>
        </row>
        <row r="173">
          <cell r="B173" t="str">
            <v>Sales - % Thailand</v>
          </cell>
          <cell r="C173" t="str">
            <v>SALES_THAILAND</v>
          </cell>
          <cell r="F173"/>
          <cell r="G173"/>
          <cell r="H173"/>
          <cell r="I173"/>
          <cell r="J173"/>
          <cell r="K173"/>
          <cell r="L173"/>
          <cell r="M173"/>
          <cell r="N173"/>
          <cell r="O173"/>
          <cell r="P173"/>
          <cell r="Q173"/>
          <cell r="R173"/>
          <cell r="S173"/>
          <cell r="T173"/>
          <cell r="U173"/>
          <cell r="V173">
            <v>4.696745562130177E-3</v>
          </cell>
          <cell r="W173">
            <v>6.6824376238424519E-3</v>
          </cell>
          <cell r="X173">
            <v>7.4655807640100838E-3</v>
          </cell>
          <cell r="Y173">
            <v>7.4655807640100838E-3</v>
          </cell>
          <cell r="Z173"/>
          <cell r="AA173"/>
          <cell r="AB173"/>
          <cell r="AC173"/>
          <cell r="AD173"/>
          <cell r="AE173"/>
          <cell r="AF173"/>
          <cell r="AG173"/>
          <cell r="AH173"/>
          <cell r="AI173"/>
          <cell r="AJ173"/>
          <cell r="AK173"/>
          <cell r="AL173"/>
          <cell r="AM173"/>
          <cell r="AN173"/>
          <cell r="AO173"/>
          <cell r="AP173"/>
          <cell r="AQ173"/>
          <cell r="AR173"/>
          <cell r="AS173"/>
          <cell r="AT173"/>
          <cell r="AU173"/>
        </row>
        <row r="174">
          <cell r="B174" t="str">
            <v>Sales - % Other Emerging Asia</v>
          </cell>
          <cell r="C174" t="str">
            <v>SALES_OTH_EMERG_ASIA</v>
          </cell>
          <cell r="F174"/>
          <cell r="G174"/>
          <cell r="H174"/>
          <cell r="I174"/>
          <cell r="J174"/>
          <cell r="K174"/>
          <cell r="L174"/>
          <cell r="M174"/>
          <cell r="N174"/>
          <cell r="O174"/>
          <cell r="P174"/>
          <cell r="Q174"/>
          <cell r="R174"/>
          <cell r="S174"/>
          <cell r="T174"/>
          <cell r="U174"/>
          <cell r="V174">
            <v>4.696745562130177E-3</v>
          </cell>
          <cell r="W174">
            <v>6.6824376238424519E-3</v>
          </cell>
          <cell r="X174">
            <v>7.4655807640100838E-3</v>
          </cell>
          <cell r="Y174">
            <v>7.4655807640100838E-3</v>
          </cell>
          <cell r="Z174"/>
          <cell r="AA174"/>
          <cell r="AB174"/>
          <cell r="AC174"/>
          <cell r="AD174"/>
          <cell r="AE174"/>
          <cell r="AF174"/>
          <cell r="AG174"/>
          <cell r="AH174"/>
          <cell r="AI174"/>
          <cell r="AJ174"/>
          <cell r="AK174"/>
          <cell r="AL174"/>
          <cell r="AM174"/>
          <cell r="AN174"/>
          <cell r="AO174"/>
          <cell r="AP174"/>
          <cell r="AQ174"/>
          <cell r="AR174"/>
          <cell r="AS174"/>
          <cell r="AT174"/>
          <cell r="AU174"/>
        </row>
        <row r="175">
          <cell r="B175" t="str">
            <v>Sales - % Australia</v>
          </cell>
          <cell r="C175" t="str">
            <v>SALES_AUSTRA</v>
          </cell>
          <cell r="F175"/>
          <cell r="G175"/>
          <cell r="H175"/>
          <cell r="I175"/>
          <cell r="J175"/>
          <cell r="K175"/>
          <cell r="L175"/>
          <cell r="M175"/>
          <cell r="N175"/>
          <cell r="O175"/>
          <cell r="P175"/>
          <cell r="Q175"/>
          <cell r="R175"/>
          <cell r="S175"/>
          <cell r="T175"/>
          <cell r="U175"/>
          <cell r="V175">
            <v>1.5244082840236687E-2</v>
          </cell>
          <cell r="W175">
            <v>1.5831614703384688E-2</v>
          </cell>
          <cell r="X175">
            <v>1.9752498810090433E-2</v>
          </cell>
          <cell r="Y175">
            <v>1.9752498810090433E-2</v>
          </cell>
          <cell r="Z175"/>
          <cell r="AA175"/>
          <cell r="AB175"/>
          <cell r="AC175"/>
          <cell r="AD175"/>
          <cell r="AE175"/>
          <cell r="AF175"/>
          <cell r="AG175"/>
          <cell r="AH175"/>
          <cell r="AI175"/>
          <cell r="AJ175"/>
          <cell r="AK175"/>
          <cell r="AL175"/>
          <cell r="AM175"/>
          <cell r="AN175"/>
          <cell r="AO175"/>
          <cell r="AP175"/>
          <cell r="AQ175"/>
          <cell r="AR175"/>
          <cell r="AS175"/>
          <cell r="AT175"/>
          <cell r="AU175"/>
        </row>
        <row r="176">
          <cell r="B176" t="str">
            <v>Sales - % New Zealand</v>
          </cell>
          <cell r="C176" t="str">
            <v>SALES_NZ</v>
          </cell>
          <cell r="F176"/>
          <cell r="G176"/>
          <cell r="H176"/>
          <cell r="I176"/>
          <cell r="J176"/>
          <cell r="K176"/>
          <cell r="L176"/>
          <cell r="M176"/>
          <cell r="N176"/>
          <cell r="O176"/>
          <cell r="P176"/>
          <cell r="Q176"/>
          <cell r="R176"/>
          <cell r="S176"/>
          <cell r="T176"/>
          <cell r="U176"/>
          <cell r="V176">
            <v>1.6937869822485207E-3</v>
          </cell>
          <cell r="W176">
            <v>1.7590683003760766E-3</v>
          </cell>
          <cell r="X176">
            <v>2.1947220900100481E-3</v>
          </cell>
          <cell r="Y176">
            <v>2.1947220900100481E-3</v>
          </cell>
          <cell r="Z176"/>
          <cell r="AA176"/>
          <cell r="AB176"/>
          <cell r="AC176"/>
          <cell r="AD176"/>
          <cell r="AE176"/>
          <cell r="AF176"/>
          <cell r="AG176"/>
          <cell r="AH176"/>
          <cell r="AI176"/>
          <cell r="AJ176"/>
          <cell r="AK176"/>
          <cell r="AL176"/>
          <cell r="AM176"/>
          <cell r="AN176"/>
          <cell r="AO176"/>
          <cell r="AP176"/>
          <cell r="AQ176"/>
          <cell r="AR176"/>
          <cell r="AS176"/>
          <cell r="AT176"/>
          <cell r="AU176"/>
        </row>
        <row r="177">
          <cell r="B177" t="str">
            <v>Sales - % Others</v>
          </cell>
          <cell r="C177" t="str">
            <v>SALES_OTHER</v>
          </cell>
          <cell r="F177"/>
          <cell r="G177"/>
          <cell r="H177"/>
          <cell r="I177"/>
          <cell r="J177"/>
          <cell r="K177"/>
          <cell r="L177"/>
          <cell r="M177"/>
          <cell r="N177"/>
          <cell r="O177"/>
          <cell r="P177"/>
          <cell r="Q177"/>
          <cell r="R177"/>
          <cell r="S177"/>
          <cell r="T177"/>
          <cell r="U177"/>
          <cell r="V177">
            <v>0</v>
          </cell>
          <cell r="W177">
            <v>0</v>
          </cell>
          <cell r="X177">
            <v>0</v>
          </cell>
          <cell r="Y177">
            <v>0</v>
          </cell>
          <cell r="Z177"/>
          <cell r="AA177"/>
          <cell r="AB177"/>
          <cell r="AC177"/>
          <cell r="AD177"/>
          <cell r="AE177"/>
          <cell r="AF177"/>
          <cell r="AG177"/>
          <cell r="AH177"/>
          <cell r="AI177"/>
          <cell r="AJ177"/>
          <cell r="AK177"/>
          <cell r="AL177"/>
          <cell r="AM177"/>
          <cell r="AN177"/>
          <cell r="AO177"/>
          <cell r="AP177"/>
          <cell r="AQ177"/>
          <cell r="AR177"/>
          <cell r="AS177"/>
          <cell r="AT177"/>
          <cell r="AU177"/>
        </row>
        <row r="178">
          <cell r="B178" t="str">
            <v>% of CoGS from U.S. (GS estimate)</v>
          </cell>
          <cell r="C178" t="str">
            <v>COGS_PCT_US</v>
          </cell>
          <cell r="F178"/>
          <cell r="G178"/>
          <cell r="H178"/>
          <cell r="I178"/>
          <cell r="J178"/>
          <cell r="K178"/>
          <cell r="L178"/>
          <cell r="M178"/>
          <cell r="N178"/>
          <cell r="O178"/>
          <cell r="P178"/>
          <cell r="Q178"/>
          <cell r="R178"/>
          <cell r="S178"/>
          <cell r="T178"/>
          <cell r="U178"/>
          <cell r="V178">
            <v>0.32056213017751478</v>
          </cell>
          <cell r="W178">
            <v>0.28314933883294918</v>
          </cell>
          <cell r="X178">
            <v>0.28965043101168758</v>
          </cell>
          <cell r="Y178">
            <v>0.28965043101168758</v>
          </cell>
          <cell r="Z178"/>
          <cell r="AA178"/>
          <cell r="AB178"/>
          <cell r="AC178"/>
          <cell r="AD178"/>
          <cell r="AE178"/>
          <cell r="AF178"/>
          <cell r="AG178"/>
          <cell r="AH178"/>
          <cell r="AI178"/>
          <cell r="AJ178"/>
          <cell r="AK178"/>
          <cell r="AL178"/>
          <cell r="AM178"/>
          <cell r="AN178"/>
          <cell r="AO178"/>
          <cell r="AP178"/>
          <cell r="AQ178"/>
          <cell r="AR178"/>
          <cell r="AS178"/>
          <cell r="AT178"/>
          <cell r="AU178"/>
        </row>
        <row r="179">
          <cell r="B179" t="str">
            <v>% of CoGS from non-U.S. (GS estimate)</v>
          </cell>
          <cell r="C179" t="str">
            <v>COGS_PCT_ROW</v>
          </cell>
          <cell r="F179"/>
          <cell r="G179"/>
          <cell r="H179"/>
          <cell r="I179"/>
          <cell r="J179"/>
          <cell r="K179"/>
          <cell r="L179"/>
          <cell r="M179"/>
          <cell r="N179"/>
          <cell r="O179"/>
          <cell r="P179"/>
          <cell r="Q179"/>
          <cell r="R179"/>
          <cell r="S179"/>
          <cell r="T179"/>
          <cell r="U179"/>
          <cell r="V179">
            <v>0.67943786982248522</v>
          </cell>
          <cell r="W179">
            <v>0.71685066116705087</v>
          </cell>
          <cell r="X179">
            <v>0.71034956898831236</v>
          </cell>
          <cell r="Y179">
            <v>0.71034956898831236</v>
          </cell>
          <cell r="Z179"/>
          <cell r="AA179"/>
          <cell r="AB179"/>
          <cell r="AC179"/>
          <cell r="AD179"/>
          <cell r="AE179"/>
          <cell r="AF179"/>
          <cell r="AG179"/>
          <cell r="AH179"/>
          <cell r="AI179"/>
          <cell r="AJ179"/>
          <cell r="AK179"/>
          <cell r="AL179"/>
          <cell r="AM179"/>
          <cell r="AN179"/>
          <cell r="AO179"/>
          <cell r="AP179"/>
          <cell r="AQ179"/>
          <cell r="AR179"/>
          <cell r="AS179"/>
          <cell r="AT179"/>
          <cell r="AU179"/>
        </row>
        <row r="180">
          <cell r="B180" t="str">
            <v>% of SG&amp;A from U.S. (GS estimate)</v>
          </cell>
          <cell r="C180" t="str">
            <v>SGA_PCT_US</v>
          </cell>
          <cell r="F180"/>
          <cell r="G180"/>
          <cell r="H180"/>
          <cell r="I180"/>
          <cell r="J180"/>
          <cell r="K180"/>
          <cell r="L180"/>
          <cell r="M180"/>
          <cell r="N180"/>
          <cell r="O180"/>
          <cell r="P180"/>
          <cell r="Q180"/>
          <cell r="R180"/>
          <cell r="S180"/>
          <cell r="T180"/>
          <cell r="U180"/>
          <cell r="V180">
            <v>0.32056213017751478</v>
          </cell>
          <cell r="W180">
            <v>0.28314933883294918</v>
          </cell>
          <cell r="X180">
            <v>0.28965043101168758</v>
          </cell>
          <cell r="Y180">
            <v>0.28965043101168758</v>
          </cell>
          <cell r="Z180"/>
          <cell r="AA180"/>
          <cell r="AB180"/>
          <cell r="AC180"/>
          <cell r="AD180"/>
          <cell r="AE180"/>
          <cell r="AF180"/>
          <cell r="AG180"/>
          <cell r="AH180"/>
          <cell r="AI180"/>
          <cell r="AJ180"/>
          <cell r="AK180"/>
          <cell r="AL180"/>
          <cell r="AM180"/>
          <cell r="AN180"/>
          <cell r="AO180"/>
          <cell r="AP180"/>
          <cell r="AQ180"/>
          <cell r="AR180"/>
          <cell r="AS180"/>
          <cell r="AT180"/>
          <cell r="AU180"/>
        </row>
        <row r="181">
          <cell r="B181" t="str">
            <v>% of SG&amp;A from non-U.S. (GS estimate)</v>
          </cell>
          <cell r="C181" t="str">
            <v>SGA_PCT_ROW</v>
          </cell>
          <cell r="F181"/>
          <cell r="G181"/>
          <cell r="H181"/>
          <cell r="I181"/>
          <cell r="J181"/>
          <cell r="K181"/>
          <cell r="L181"/>
          <cell r="M181"/>
          <cell r="N181"/>
          <cell r="O181"/>
          <cell r="P181"/>
          <cell r="Q181"/>
          <cell r="R181"/>
          <cell r="S181"/>
          <cell r="T181"/>
          <cell r="U181"/>
          <cell r="V181">
            <v>0.67943786982248522</v>
          </cell>
          <cell r="W181">
            <v>0.71685066116705087</v>
          </cell>
          <cell r="X181">
            <v>0.71034956898831236</v>
          </cell>
          <cell r="Y181">
            <v>0.71034956898831236</v>
          </cell>
          <cell r="Z181"/>
          <cell r="AA181"/>
          <cell r="AB181"/>
          <cell r="AC181"/>
          <cell r="AD181"/>
          <cell r="AE181"/>
          <cell r="AF181"/>
          <cell r="AG181"/>
          <cell r="AH181"/>
          <cell r="AI181"/>
          <cell r="AJ181"/>
          <cell r="AK181"/>
          <cell r="AL181"/>
          <cell r="AM181"/>
          <cell r="AN181"/>
          <cell r="AO181"/>
          <cell r="AP181"/>
          <cell r="AQ181"/>
          <cell r="AR181"/>
          <cell r="AS181"/>
          <cell r="AT181"/>
          <cell r="AU181"/>
        </row>
        <row r="182">
          <cell r="B182" t="str">
            <v>Sales -% Consumer (C)</v>
          </cell>
          <cell r="C182" t="str">
            <v>SALES_CONS</v>
          </cell>
          <cell r="F182"/>
          <cell r="G182"/>
          <cell r="H182"/>
          <cell r="I182"/>
          <cell r="J182"/>
          <cell r="K182"/>
          <cell r="L182"/>
          <cell r="M182"/>
          <cell r="N182"/>
          <cell r="O182"/>
          <cell r="P182"/>
          <cell r="Q182"/>
          <cell r="R182"/>
          <cell r="S182"/>
          <cell r="T182"/>
          <cell r="U182"/>
          <cell r="V182">
            <v>0</v>
          </cell>
          <cell r="W182">
            <v>0</v>
          </cell>
          <cell r="X182">
            <v>0</v>
          </cell>
          <cell r="Y182">
            <v>0</v>
          </cell>
          <cell r="Z182"/>
          <cell r="AA182"/>
          <cell r="AB182"/>
          <cell r="AC182"/>
          <cell r="AD182"/>
          <cell r="AE182"/>
          <cell r="AF182"/>
          <cell r="AG182"/>
          <cell r="AH182"/>
          <cell r="AI182"/>
          <cell r="AJ182"/>
          <cell r="AK182"/>
          <cell r="AL182"/>
          <cell r="AM182"/>
          <cell r="AN182"/>
          <cell r="AO182"/>
          <cell r="AP182"/>
          <cell r="AQ182"/>
          <cell r="AR182"/>
          <cell r="AS182"/>
          <cell r="AT182"/>
          <cell r="AU182"/>
        </row>
        <row r="183">
          <cell r="B183" t="str">
            <v>Sales -% Industry (I)</v>
          </cell>
          <cell r="C183" t="str">
            <v>SALES_IND</v>
          </cell>
          <cell r="F183"/>
          <cell r="G183"/>
          <cell r="H183"/>
          <cell r="I183"/>
          <cell r="J183"/>
          <cell r="K183"/>
          <cell r="L183"/>
          <cell r="M183"/>
          <cell r="N183"/>
          <cell r="O183"/>
          <cell r="P183"/>
          <cell r="Q183"/>
          <cell r="R183"/>
          <cell r="S183"/>
          <cell r="T183"/>
          <cell r="U183"/>
          <cell r="V183">
            <v>0.75490489740901601</v>
          </cell>
          <cell r="W183">
            <v>0.75490489740901601</v>
          </cell>
          <cell r="X183">
            <v>0.75490489740901601</v>
          </cell>
          <cell r="Y183">
            <v>0.75490489740901601</v>
          </cell>
          <cell r="Z183"/>
          <cell r="AA183"/>
          <cell r="AB183"/>
          <cell r="AC183"/>
          <cell r="AD183"/>
          <cell r="AE183"/>
          <cell r="AF183"/>
          <cell r="AG183"/>
          <cell r="AH183"/>
          <cell r="AI183"/>
          <cell r="AJ183"/>
          <cell r="AK183"/>
          <cell r="AL183"/>
          <cell r="AM183"/>
          <cell r="AN183"/>
          <cell r="AO183"/>
          <cell r="AP183"/>
          <cell r="AQ183"/>
          <cell r="AR183"/>
          <cell r="AS183"/>
          <cell r="AT183"/>
          <cell r="AU183"/>
        </row>
        <row r="184">
          <cell r="B184" t="str">
            <v>Sales -% Government (G)</v>
          </cell>
          <cell r="C184" t="str">
            <v>SALES_GOV</v>
          </cell>
          <cell r="F184"/>
          <cell r="G184"/>
          <cell r="H184"/>
          <cell r="I184"/>
          <cell r="J184"/>
          <cell r="K184"/>
          <cell r="L184"/>
          <cell r="M184"/>
          <cell r="N184"/>
          <cell r="O184"/>
          <cell r="P184"/>
          <cell r="Q184"/>
          <cell r="R184"/>
          <cell r="S184"/>
          <cell r="T184"/>
          <cell r="U184"/>
          <cell r="V184">
            <v>0.24509510259098397</v>
          </cell>
          <cell r="W184">
            <v>0.24509510259098397</v>
          </cell>
          <cell r="X184">
            <v>0.24509510259098397</v>
          </cell>
          <cell r="Y184">
            <v>0.24509510259098397</v>
          </cell>
          <cell r="Z184"/>
          <cell r="AA184"/>
          <cell r="AB184"/>
          <cell r="AC184"/>
          <cell r="AD184"/>
          <cell r="AE184"/>
          <cell r="AF184"/>
          <cell r="AG184"/>
          <cell r="AH184"/>
          <cell r="AI184"/>
          <cell r="AJ184"/>
          <cell r="AK184"/>
          <cell r="AL184"/>
          <cell r="AM184"/>
          <cell r="AN184"/>
          <cell r="AO184"/>
          <cell r="AP184"/>
          <cell r="AQ184"/>
          <cell r="AR184"/>
          <cell r="AS184"/>
          <cell r="AT184"/>
          <cell r="AU184"/>
        </row>
        <row r="185">
          <cell r="B185" t="str">
            <v>Sales - % Industry Sub-Segment: Financial Services</v>
          </cell>
          <cell r="C185" t="str">
            <v>SALES_FINAN</v>
          </cell>
          <cell r="F185"/>
          <cell r="G185"/>
          <cell r="H185"/>
          <cell r="I185"/>
          <cell r="J185"/>
          <cell r="K185"/>
          <cell r="L185"/>
          <cell r="M185"/>
          <cell r="N185"/>
          <cell r="O185"/>
          <cell r="P185"/>
          <cell r="Q185"/>
          <cell r="R185"/>
          <cell r="S185"/>
          <cell r="T185"/>
          <cell r="U185"/>
          <cell r="V185">
            <v>0</v>
          </cell>
          <cell r="W185">
            <v>0</v>
          </cell>
          <cell r="X185">
            <v>0</v>
          </cell>
          <cell r="Y185">
            <v>0</v>
          </cell>
          <cell r="Z185"/>
          <cell r="AA185"/>
          <cell r="AB185"/>
          <cell r="AC185"/>
          <cell r="AD185"/>
          <cell r="AE185"/>
          <cell r="AF185"/>
          <cell r="AG185"/>
          <cell r="AH185"/>
          <cell r="AI185"/>
          <cell r="AJ185"/>
          <cell r="AK185"/>
          <cell r="AL185"/>
          <cell r="AM185"/>
          <cell r="AN185"/>
          <cell r="AO185"/>
          <cell r="AP185"/>
          <cell r="AQ185"/>
          <cell r="AR185"/>
          <cell r="AS185"/>
          <cell r="AT185"/>
          <cell r="AU185"/>
        </row>
        <row r="186">
          <cell r="B186" t="str">
            <v>Sales - % Industry Sub-Segment: Oil &amp; Gas</v>
          </cell>
          <cell r="C186" t="str">
            <v>SALES_OIL_GAS</v>
          </cell>
          <cell r="F186"/>
          <cell r="G186"/>
          <cell r="H186"/>
          <cell r="I186"/>
          <cell r="J186"/>
          <cell r="K186"/>
          <cell r="L186"/>
          <cell r="M186"/>
          <cell r="N186"/>
          <cell r="O186"/>
          <cell r="P186"/>
          <cell r="Q186"/>
          <cell r="R186"/>
          <cell r="S186"/>
          <cell r="T186"/>
          <cell r="U186"/>
          <cell r="V186">
            <v>7.5346338175827476E-2</v>
          </cell>
          <cell r="W186">
            <v>7.5346338175827476E-2</v>
          </cell>
          <cell r="X186">
            <v>7.5346338175827476E-2</v>
          </cell>
          <cell r="Y186">
            <v>7.5346338175827476E-2</v>
          </cell>
          <cell r="Z186"/>
          <cell r="AA186"/>
          <cell r="AB186"/>
          <cell r="AC186"/>
          <cell r="AD186"/>
          <cell r="AE186"/>
          <cell r="AF186"/>
          <cell r="AG186"/>
          <cell r="AH186"/>
          <cell r="AI186"/>
          <cell r="AJ186"/>
          <cell r="AK186"/>
          <cell r="AL186"/>
          <cell r="AM186"/>
          <cell r="AN186"/>
          <cell r="AO186"/>
          <cell r="AP186"/>
          <cell r="AQ186"/>
          <cell r="AR186"/>
          <cell r="AS186"/>
          <cell r="AT186"/>
          <cell r="AU186"/>
        </row>
        <row r="187">
          <cell r="A187" t="str">
            <v>Commodities Exposure - Sales</v>
          </cell>
          <cell r="B187"/>
          <cell r="C187"/>
          <cell r="D187"/>
        </row>
        <row r="188">
          <cell r="B188" t="str">
            <v>Sales - % Other commodity</v>
          </cell>
          <cell r="C188" t="str">
            <v>SALES_OTH_COMMODITY</v>
          </cell>
          <cell r="F188"/>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row>
        <row r="189">
          <cell r="B189" t="str">
            <v>Sales - % Other (Non-Commodity) sales sources</v>
          </cell>
          <cell r="C189" t="str">
            <v>SALES_OTH_SALES_SOURCES</v>
          </cell>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row>
        <row r="190">
          <cell r="A190" t="str">
            <v>Commodities Exposure - Expense</v>
          </cell>
          <cell r="B190"/>
          <cell r="C190"/>
          <cell r="D190"/>
        </row>
        <row r="191">
          <cell r="B191" t="str">
            <v>Expense - % Oil/Petrol/Fuel</v>
          </cell>
          <cell r="C191" t="str">
            <v>EXP_OIL_PETRO_FUEL</v>
          </cell>
          <cell r="F191"/>
          <cell r="G191"/>
          <cell r="H191"/>
          <cell r="I191"/>
          <cell r="J191"/>
          <cell r="K191"/>
          <cell r="L191"/>
          <cell r="M191"/>
          <cell r="N191"/>
          <cell r="O191"/>
          <cell r="P191"/>
          <cell r="Q191"/>
          <cell r="R191"/>
          <cell r="S191"/>
          <cell r="T191"/>
          <cell r="U191"/>
          <cell r="V191">
            <v>7.5346338175827476E-2</v>
          </cell>
          <cell r="W191">
            <v>7.5346338175827476E-2</v>
          </cell>
          <cell r="X191">
            <v>7.5346338175827476E-2</v>
          </cell>
          <cell r="Y191">
            <v>7.5346338175827476E-2</v>
          </cell>
          <cell r="Z191"/>
          <cell r="AA191"/>
          <cell r="AB191"/>
          <cell r="AC191"/>
          <cell r="AD191"/>
          <cell r="AE191"/>
          <cell r="AF191"/>
          <cell r="AG191"/>
          <cell r="AH191"/>
          <cell r="AI191"/>
          <cell r="AJ191"/>
          <cell r="AK191"/>
          <cell r="AL191"/>
          <cell r="AM191"/>
          <cell r="AN191"/>
          <cell r="AO191"/>
          <cell r="AP191"/>
          <cell r="AQ191"/>
          <cell r="AR191"/>
          <cell r="AS191"/>
          <cell r="AT191"/>
          <cell r="AU191"/>
        </row>
        <row r="192">
          <cell r="B192" t="str">
            <v>Expense - % Oil derivatives/NGLs/plastics</v>
          </cell>
          <cell r="C192" t="str">
            <v>EXP_OIL_DERIV_NGLS_PLASTICS</v>
          </cell>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row>
        <row r="193">
          <cell r="B193" t="str">
            <v>Expense - % Nat Gas</v>
          </cell>
          <cell r="C193" t="str">
            <v>EXP_NAT_GAS</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row>
        <row r="194">
          <cell r="B194" t="str">
            <v>Expense - % Gold</v>
          </cell>
          <cell r="C194" t="str">
            <v>EXP_GOLD</v>
          </cell>
          <cell r="F194"/>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row>
        <row r="195">
          <cell r="B195" t="str">
            <v>Expense - % Copper</v>
          </cell>
          <cell r="C195" t="str">
            <v>EXP_COPPER</v>
          </cell>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row>
        <row r="196">
          <cell r="B196" t="str">
            <v>Expense - % Silver</v>
          </cell>
          <cell r="C196" t="str">
            <v>EXP_SILVER</v>
          </cell>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row>
        <row r="197">
          <cell r="B197" t="str">
            <v>Expense - % Platinum</v>
          </cell>
          <cell r="C197" t="str">
            <v>EXP_PLATINUM</v>
          </cell>
          <cell r="F197"/>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row>
        <row r="198">
          <cell r="B198" t="str">
            <v>Expense - % Palladium</v>
          </cell>
          <cell r="C198" t="str">
            <v>EXP_PALLADIUM</v>
          </cell>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row>
        <row r="199">
          <cell r="B199" t="str">
            <v>Expense - % Aluminium</v>
          </cell>
          <cell r="C199" t="str">
            <v>EXP_ALUMINIUM</v>
          </cell>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row>
        <row r="200">
          <cell r="B200" t="str">
            <v>Expense - % Nickel</v>
          </cell>
          <cell r="C200" t="str">
            <v>EXP_NICKEL</v>
          </cell>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cell r="AP200"/>
          <cell r="AQ200"/>
          <cell r="AR200"/>
          <cell r="AS200"/>
          <cell r="AT200"/>
          <cell r="AU200"/>
        </row>
        <row r="201">
          <cell r="B201" t="str">
            <v>Expense - % Zinc</v>
          </cell>
          <cell r="C201" t="str">
            <v>EXP_ZINC</v>
          </cell>
          <cell r="F201"/>
          <cell r="G201"/>
          <cell r="H201"/>
          <cell r="I201"/>
          <cell r="J201"/>
          <cell r="K201"/>
          <cell r="L201"/>
          <cell r="M201"/>
          <cell r="N201"/>
          <cell r="O201"/>
          <cell r="P201"/>
          <cell r="Q201"/>
          <cell r="R201"/>
          <cell r="S201"/>
          <cell r="T201"/>
          <cell r="U201"/>
          <cell r="V201"/>
          <cell r="W201"/>
          <cell r="X201"/>
          <cell r="Y201"/>
          <cell r="Z201"/>
          <cell r="AA201"/>
          <cell r="AB201"/>
          <cell r="AC201"/>
          <cell r="AD201"/>
          <cell r="AE201"/>
          <cell r="AF201"/>
          <cell r="AG201"/>
          <cell r="AH201"/>
          <cell r="AI201"/>
          <cell r="AJ201"/>
          <cell r="AK201"/>
          <cell r="AL201"/>
          <cell r="AM201"/>
          <cell r="AN201"/>
          <cell r="AO201"/>
          <cell r="AP201"/>
          <cell r="AQ201"/>
          <cell r="AR201"/>
          <cell r="AS201"/>
          <cell r="AT201"/>
          <cell r="AU201"/>
        </row>
        <row r="202">
          <cell r="B202" t="str">
            <v>Expense - % Steel</v>
          </cell>
          <cell r="C202" t="str">
            <v>EXP_STEEL</v>
          </cell>
          <cell r="F202"/>
          <cell r="G202"/>
          <cell r="H202"/>
          <cell r="I202"/>
          <cell r="J202"/>
          <cell r="K202"/>
          <cell r="L202"/>
          <cell r="M202"/>
          <cell r="N202"/>
          <cell r="O202"/>
          <cell r="P202"/>
          <cell r="Q202"/>
          <cell r="R202"/>
          <cell r="S202"/>
          <cell r="T202"/>
          <cell r="U202"/>
          <cell r="V202"/>
          <cell r="W202"/>
          <cell r="X202"/>
          <cell r="Y202"/>
          <cell r="Z202"/>
          <cell r="AA202"/>
          <cell r="AB202"/>
          <cell r="AC202"/>
          <cell r="AD202"/>
          <cell r="AE202"/>
          <cell r="AF202"/>
          <cell r="AG202"/>
          <cell r="AH202"/>
          <cell r="AI202"/>
          <cell r="AJ202"/>
          <cell r="AK202"/>
          <cell r="AL202"/>
          <cell r="AM202"/>
          <cell r="AN202"/>
          <cell r="AO202"/>
          <cell r="AP202"/>
          <cell r="AQ202"/>
          <cell r="AR202"/>
          <cell r="AS202"/>
          <cell r="AT202"/>
          <cell r="AU202"/>
        </row>
        <row r="203">
          <cell r="B203" t="str">
            <v>Expense - % Glass</v>
          </cell>
          <cell r="C203" t="str">
            <v>EXP_GLASS</v>
          </cell>
          <cell r="F203"/>
          <cell r="G203"/>
          <cell r="H203"/>
          <cell r="I203"/>
          <cell r="J203"/>
          <cell r="K203"/>
          <cell r="L203"/>
          <cell r="M203"/>
          <cell r="N203"/>
          <cell r="O203"/>
          <cell r="P203"/>
          <cell r="Q203"/>
          <cell r="R203"/>
          <cell r="S203"/>
          <cell r="T203"/>
          <cell r="U203"/>
          <cell r="V203"/>
          <cell r="W203"/>
          <cell r="X203"/>
          <cell r="Y203"/>
          <cell r="Z203"/>
          <cell r="AA203"/>
          <cell r="AB203"/>
          <cell r="AC203"/>
          <cell r="AD203"/>
          <cell r="AE203"/>
          <cell r="AF203"/>
          <cell r="AG203"/>
          <cell r="AH203"/>
          <cell r="AI203"/>
          <cell r="AJ203"/>
          <cell r="AK203"/>
          <cell r="AL203"/>
          <cell r="AM203"/>
          <cell r="AN203"/>
          <cell r="AO203"/>
          <cell r="AP203"/>
          <cell r="AQ203"/>
          <cell r="AR203"/>
          <cell r="AS203"/>
          <cell r="AT203"/>
          <cell r="AU203"/>
        </row>
        <row r="204">
          <cell r="B204" t="str">
            <v>Expense - % Rubber</v>
          </cell>
          <cell r="C204" t="str">
            <v>EXP_RUBBER</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cell r="AP204"/>
          <cell r="AQ204"/>
          <cell r="AR204"/>
          <cell r="AS204"/>
          <cell r="AT204"/>
          <cell r="AU204"/>
        </row>
        <row r="205">
          <cell r="B205" t="str">
            <v>Expense - % Water</v>
          </cell>
          <cell r="C205" t="str">
            <v>EXP_WATER</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cell r="AP205"/>
          <cell r="AQ205"/>
          <cell r="AR205"/>
          <cell r="AS205"/>
          <cell r="AT205"/>
          <cell r="AU205"/>
        </row>
        <row r="206">
          <cell r="B206" t="str">
            <v>Expense - % Other commodity</v>
          </cell>
          <cell r="C206" t="str">
            <v>EXP_OTH_COMMODITY</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cell r="AP206"/>
          <cell r="AQ206"/>
          <cell r="AR206"/>
          <cell r="AS206"/>
          <cell r="AT206"/>
          <cell r="AU206"/>
        </row>
        <row r="207">
          <cell r="B207" t="str">
            <v>Expense - % Other (Non-Commodity) cost</v>
          </cell>
          <cell r="C207" t="str">
            <v>EXP_OTH_COST</v>
          </cell>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cell r="AP207"/>
          <cell r="AQ207"/>
          <cell r="AR207"/>
          <cell r="AS207"/>
          <cell r="AT207"/>
          <cell r="AU207"/>
        </row>
        <row r="208">
          <cell r="A208" t="str">
            <v>FX Exposure - Sales</v>
          </cell>
          <cell r="B208"/>
          <cell r="C208"/>
          <cell r="D208"/>
        </row>
        <row r="209">
          <cell r="B209" t="str">
            <v>Sales - % FX: British Pounds/Pence</v>
          </cell>
          <cell r="C209" t="str">
            <v>SALES_FX_GPB</v>
          </cell>
          <cell r="F209"/>
          <cell r="G209"/>
          <cell r="H209"/>
          <cell r="I209"/>
          <cell r="J209"/>
          <cell r="K209"/>
          <cell r="L209"/>
          <cell r="M209"/>
          <cell r="N209"/>
          <cell r="O209"/>
          <cell r="P209"/>
          <cell r="Q209"/>
          <cell r="R209"/>
          <cell r="S209"/>
          <cell r="T209"/>
          <cell r="U209"/>
          <cell r="V209"/>
          <cell r="W209"/>
          <cell r="X209"/>
          <cell r="Y209"/>
          <cell r="Z209"/>
          <cell r="AA209"/>
          <cell r="AB209"/>
          <cell r="AC209"/>
          <cell r="AD209"/>
          <cell r="AE209"/>
          <cell r="AF209"/>
          <cell r="AG209"/>
          <cell r="AH209"/>
          <cell r="AI209"/>
          <cell r="AJ209"/>
          <cell r="AK209"/>
          <cell r="AL209"/>
          <cell r="AM209"/>
          <cell r="AN209"/>
          <cell r="AO209"/>
          <cell r="AP209"/>
          <cell r="AQ209"/>
          <cell r="AR209"/>
          <cell r="AS209"/>
          <cell r="AT209"/>
          <cell r="AU209"/>
        </row>
        <row r="210">
          <cell r="B210" t="str">
            <v>Sales - % FX: Euro</v>
          </cell>
          <cell r="C210" t="str">
            <v>SALES_FX_EUR</v>
          </cell>
          <cell r="F210"/>
          <cell r="G210"/>
          <cell r="H210"/>
          <cell r="I210"/>
          <cell r="J210"/>
          <cell r="K210"/>
          <cell r="L210"/>
          <cell r="M210"/>
          <cell r="N210"/>
          <cell r="O210"/>
          <cell r="P210"/>
          <cell r="Q210"/>
          <cell r="R210"/>
          <cell r="S210"/>
          <cell r="T210"/>
          <cell r="U210"/>
          <cell r="V210"/>
          <cell r="W210"/>
          <cell r="X210"/>
          <cell r="Y210"/>
          <cell r="Z210"/>
          <cell r="AA210"/>
          <cell r="AB210"/>
          <cell r="AC210"/>
          <cell r="AD210"/>
          <cell r="AE210"/>
          <cell r="AF210"/>
          <cell r="AG210"/>
          <cell r="AH210"/>
          <cell r="AI210"/>
          <cell r="AJ210"/>
          <cell r="AK210"/>
          <cell r="AL210"/>
          <cell r="AM210"/>
          <cell r="AN210"/>
          <cell r="AO210"/>
          <cell r="AP210"/>
          <cell r="AQ210"/>
          <cell r="AR210"/>
          <cell r="AS210"/>
          <cell r="AT210"/>
          <cell r="AU210"/>
        </row>
        <row r="211">
          <cell r="B211" t="str">
            <v>Sales - % FX: New Russian Ruble</v>
          </cell>
          <cell r="C211" t="str">
            <v>SALES_FX_RUB</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cell r="AP211"/>
          <cell r="AQ211"/>
          <cell r="AR211"/>
          <cell r="AS211"/>
          <cell r="AT211"/>
          <cell r="AU211"/>
        </row>
        <row r="212">
          <cell r="B212" t="str">
            <v>Sales - % FX: U.S. Dollar</v>
          </cell>
          <cell r="C212" t="str">
            <v>SALES_FX_USD</v>
          </cell>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cell r="AP212"/>
          <cell r="AQ212"/>
          <cell r="AR212"/>
          <cell r="AS212"/>
          <cell r="AT212"/>
          <cell r="AU212"/>
        </row>
        <row r="213">
          <cell r="B213" t="str">
            <v>Sales - % FX: Brazilian Real</v>
          </cell>
          <cell r="C213" t="str">
            <v>SALES_FX_BRL</v>
          </cell>
          <cell r="F213"/>
          <cell r="G213"/>
          <cell r="H213"/>
          <cell r="I213"/>
          <cell r="J213"/>
          <cell r="K213"/>
          <cell r="L213"/>
          <cell r="M213"/>
          <cell r="N213"/>
          <cell r="O213"/>
          <cell r="P213"/>
          <cell r="Q213"/>
          <cell r="R213"/>
          <cell r="S213"/>
          <cell r="T213"/>
          <cell r="U213"/>
          <cell r="V213"/>
          <cell r="W213"/>
          <cell r="X213"/>
          <cell r="Y213"/>
          <cell r="Z213"/>
          <cell r="AA213"/>
          <cell r="AB213"/>
          <cell r="AC213"/>
          <cell r="AD213"/>
          <cell r="AE213"/>
          <cell r="AF213"/>
          <cell r="AG213"/>
          <cell r="AH213"/>
          <cell r="AI213"/>
          <cell r="AJ213"/>
          <cell r="AK213"/>
          <cell r="AL213"/>
          <cell r="AM213"/>
          <cell r="AN213"/>
          <cell r="AO213"/>
          <cell r="AP213"/>
          <cell r="AQ213"/>
          <cell r="AR213"/>
          <cell r="AS213"/>
          <cell r="AT213"/>
          <cell r="AU213"/>
        </row>
        <row r="214">
          <cell r="B214" t="str">
            <v>Sales - % FX: Japanese Yen</v>
          </cell>
          <cell r="C214" t="str">
            <v>SALES_FX_YEN</v>
          </cell>
          <cell r="F214"/>
          <cell r="G214"/>
          <cell r="H214"/>
          <cell r="I214"/>
          <cell r="J214"/>
          <cell r="K214"/>
          <cell r="L214"/>
          <cell r="M214"/>
          <cell r="N214"/>
          <cell r="O214"/>
          <cell r="P214"/>
          <cell r="Q214"/>
          <cell r="R214"/>
          <cell r="S214"/>
          <cell r="T214"/>
          <cell r="U214"/>
          <cell r="V214"/>
          <cell r="W214"/>
          <cell r="X214"/>
          <cell r="Y214"/>
          <cell r="Z214"/>
          <cell r="AA214"/>
          <cell r="AB214"/>
          <cell r="AC214"/>
          <cell r="AD214"/>
          <cell r="AE214"/>
          <cell r="AF214"/>
          <cell r="AG214"/>
          <cell r="AH214"/>
          <cell r="AI214"/>
          <cell r="AJ214"/>
          <cell r="AK214"/>
          <cell r="AL214"/>
          <cell r="AM214"/>
          <cell r="AN214"/>
          <cell r="AO214"/>
          <cell r="AP214"/>
          <cell r="AQ214"/>
          <cell r="AR214"/>
          <cell r="AS214"/>
          <cell r="AT214"/>
          <cell r="AU214"/>
        </row>
        <row r="215">
          <cell r="B215" t="str">
            <v>Sales - % FX: Chinese Renminbi</v>
          </cell>
          <cell r="C215" t="str">
            <v>SALES_FX_CNY</v>
          </cell>
          <cell r="F215"/>
          <cell r="G215"/>
          <cell r="H215"/>
          <cell r="I215"/>
          <cell r="J215"/>
          <cell r="K215"/>
          <cell r="L215"/>
          <cell r="M215"/>
          <cell r="N215"/>
          <cell r="O215"/>
          <cell r="P215"/>
          <cell r="Q215"/>
          <cell r="R215"/>
          <cell r="S215"/>
          <cell r="T215"/>
          <cell r="U215"/>
          <cell r="V215"/>
          <cell r="W215"/>
          <cell r="X215"/>
          <cell r="Y215"/>
          <cell r="Z215"/>
          <cell r="AA215"/>
          <cell r="AB215"/>
          <cell r="AC215"/>
          <cell r="AD215"/>
          <cell r="AE215"/>
          <cell r="AF215"/>
          <cell r="AG215"/>
          <cell r="AH215"/>
          <cell r="AI215"/>
          <cell r="AJ215"/>
          <cell r="AK215"/>
          <cell r="AL215"/>
          <cell r="AM215"/>
          <cell r="AN215"/>
          <cell r="AO215"/>
          <cell r="AP215"/>
          <cell r="AQ215"/>
          <cell r="AR215"/>
          <cell r="AS215"/>
          <cell r="AT215"/>
          <cell r="AU215"/>
        </row>
        <row r="216">
          <cell r="B216" t="str">
            <v>Sales - % FX: Indian Rupee</v>
          </cell>
          <cell r="C216" t="str">
            <v>SALES_FX_INR</v>
          </cell>
          <cell r="F216"/>
          <cell r="G216"/>
          <cell r="H216"/>
          <cell r="I216"/>
          <cell r="J216"/>
          <cell r="K216"/>
          <cell r="L216"/>
          <cell r="M216"/>
          <cell r="N216"/>
          <cell r="O216"/>
          <cell r="P216"/>
          <cell r="Q216"/>
          <cell r="R216"/>
          <cell r="S216"/>
          <cell r="T216"/>
          <cell r="U216"/>
          <cell r="V216"/>
          <cell r="W216"/>
          <cell r="X216"/>
          <cell r="Y216"/>
          <cell r="Z216"/>
          <cell r="AA216"/>
          <cell r="AB216"/>
          <cell r="AC216"/>
          <cell r="AD216"/>
          <cell r="AE216"/>
          <cell r="AF216"/>
          <cell r="AG216"/>
          <cell r="AH216"/>
          <cell r="AI216"/>
          <cell r="AJ216"/>
          <cell r="AK216"/>
          <cell r="AL216"/>
          <cell r="AM216"/>
          <cell r="AN216"/>
          <cell r="AO216"/>
          <cell r="AP216"/>
          <cell r="AQ216"/>
          <cell r="AR216"/>
          <cell r="AS216"/>
          <cell r="AT216"/>
          <cell r="AU216"/>
        </row>
        <row r="217">
          <cell r="B217" t="str">
            <v>Sales - % FX: South African Rand</v>
          </cell>
          <cell r="C217" t="str">
            <v>SALES_FX_ZAR</v>
          </cell>
          <cell r="F217"/>
          <cell r="G217"/>
          <cell r="H217"/>
          <cell r="I217"/>
          <cell r="J217"/>
          <cell r="K217"/>
          <cell r="L217"/>
          <cell r="M217"/>
          <cell r="N217"/>
          <cell r="O217"/>
          <cell r="P217"/>
          <cell r="Q217"/>
          <cell r="R217"/>
          <cell r="S217"/>
          <cell r="T217"/>
          <cell r="U217"/>
          <cell r="V217"/>
          <cell r="W217"/>
          <cell r="X217"/>
          <cell r="Y217"/>
          <cell r="Z217"/>
          <cell r="AA217"/>
          <cell r="AB217"/>
          <cell r="AC217"/>
          <cell r="AD217"/>
          <cell r="AE217"/>
          <cell r="AF217"/>
          <cell r="AG217"/>
          <cell r="AH217"/>
          <cell r="AI217"/>
          <cell r="AJ217"/>
          <cell r="AK217"/>
          <cell r="AL217"/>
          <cell r="AM217"/>
          <cell r="AN217"/>
          <cell r="AO217"/>
          <cell r="AP217"/>
          <cell r="AQ217"/>
          <cell r="AR217"/>
          <cell r="AS217"/>
          <cell r="AT217"/>
          <cell r="AU217"/>
        </row>
        <row r="218">
          <cell r="B218" t="str">
            <v>Sales - % FX: Nigerian Naira</v>
          </cell>
          <cell r="C218" t="str">
            <v>SALES_FX_NGN</v>
          </cell>
          <cell r="F218"/>
          <cell r="G218"/>
          <cell r="H218"/>
          <cell r="I218"/>
          <cell r="J218"/>
          <cell r="K218"/>
          <cell r="L218"/>
          <cell r="M218"/>
          <cell r="N218"/>
          <cell r="O218"/>
          <cell r="P218"/>
          <cell r="Q218"/>
          <cell r="R218"/>
          <cell r="S218"/>
          <cell r="T218"/>
          <cell r="U218"/>
          <cell r="V218"/>
          <cell r="W218"/>
          <cell r="X218"/>
          <cell r="Y218"/>
          <cell r="Z218"/>
          <cell r="AA218"/>
          <cell r="AB218"/>
          <cell r="AC218"/>
          <cell r="AD218"/>
          <cell r="AE218"/>
          <cell r="AF218"/>
          <cell r="AG218"/>
          <cell r="AH218"/>
          <cell r="AI218"/>
          <cell r="AJ218"/>
          <cell r="AK218"/>
          <cell r="AL218"/>
          <cell r="AM218"/>
          <cell r="AN218"/>
          <cell r="AO218"/>
          <cell r="AP218"/>
          <cell r="AQ218"/>
          <cell r="AR218"/>
          <cell r="AS218"/>
          <cell r="AT218"/>
          <cell r="AU218"/>
        </row>
        <row r="219">
          <cell r="B219" t="str">
            <v>Sales - % FX: Swiss Franc</v>
          </cell>
          <cell r="C219" t="str">
            <v>SALES_FX_CHF</v>
          </cell>
          <cell r="F219"/>
          <cell r="G219"/>
          <cell r="H219"/>
          <cell r="I219"/>
          <cell r="J219"/>
          <cell r="K219"/>
          <cell r="L219"/>
          <cell r="M219"/>
          <cell r="N219"/>
          <cell r="O219"/>
          <cell r="P219"/>
          <cell r="Q219"/>
          <cell r="R219"/>
          <cell r="S219"/>
          <cell r="T219"/>
          <cell r="U219"/>
          <cell r="V219"/>
          <cell r="W219"/>
          <cell r="X219"/>
          <cell r="Y219"/>
          <cell r="Z219"/>
          <cell r="AA219"/>
          <cell r="AB219"/>
          <cell r="AC219"/>
          <cell r="AD219"/>
          <cell r="AE219"/>
          <cell r="AF219"/>
          <cell r="AG219"/>
          <cell r="AH219"/>
          <cell r="AI219"/>
          <cell r="AJ219"/>
          <cell r="AK219"/>
          <cell r="AL219"/>
          <cell r="AM219"/>
          <cell r="AN219"/>
          <cell r="AO219"/>
          <cell r="AP219"/>
          <cell r="AQ219"/>
          <cell r="AR219"/>
          <cell r="AS219"/>
          <cell r="AT219"/>
          <cell r="AU219"/>
        </row>
        <row r="220">
          <cell r="B220" t="str">
            <v>Sales - % FX: UAE Dirham</v>
          </cell>
          <cell r="C220" t="str">
            <v>SALES_FX_AED</v>
          </cell>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cell r="AP220"/>
          <cell r="AQ220"/>
          <cell r="AR220"/>
          <cell r="AS220"/>
          <cell r="AT220"/>
          <cell r="AU220"/>
        </row>
        <row r="221">
          <cell r="B221" t="str">
            <v>Sales - % FX: New Turkish Lira</v>
          </cell>
          <cell r="C221" t="str">
            <v>SALES_FX_TRY</v>
          </cell>
          <cell r="F221"/>
          <cell r="G221"/>
          <cell r="H221"/>
          <cell r="I221"/>
          <cell r="J221"/>
          <cell r="K221"/>
          <cell r="L221"/>
          <cell r="M221"/>
          <cell r="N221"/>
          <cell r="O221"/>
          <cell r="P221"/>
          <cell r="Q221"/>
          <cell r="R221"/>
          <cell r="S221"/>
          <cell r="T221"/>
          <cell r="U221"/>
          <cell r="V221"/>
          <cell r="W221"/>
          <cell r="X221"/>
          <cell r="Y221"/>
          <cell r="Z221"/>
          <cell r="AA221"/>
          <cell r="AB221"/>
          <cell r="AC221"/>
          <cell r="AD221"/>
          <cell r="AE221"/>
          <cell r="AF221"/>
          <cell r="AG221"/>
          <cell r="AH221"/>
          <cell r="AI221"/>
          <cell r="AJ221"/>
          <cell r="AK221"/>
          <cell r="AL221"/>
          <cell r="AM221"/>
          <cell r="AN221"/>
          <cell r="AO221"/>
          <cell r="AP221"/>
          <cell r="AQ221"/>
          <cell r="AR221"/>
          <cell r="AS221"/>
          <cell r="AT221"/>
          <cell r="AU221"/>
        </row>
        <row r="222">
          <cell r="B222" t="str">
            <v>Sales - % FX: Other Currency</v>
          </cell>
          <cell r="C222" t="str">
            <v>SALES_FX_OTH</v>
          </cell>
          <cell r="F222"/>
          <cell r="G222"/>
          <cell r="H222"/>
          <cell r="I222"/>
          <cell r="J222"/>
          <cell r="K222"/>
          <cell r="L222"/>
          <cell r="M222"/>
          <cell r="N222"/>
          <cell r="O222"/>
          <cell r="P222"/>
          <cell r="Q222"/>
          <cell r="R222"/>
          <cell r="S222"/>
          <cell r="T222"/>
          <cell r="U222"/>
          <cell r="V222"/>
          <cell r="W222"/>
          <cell r="X222"/>
          <cell r="Y222"/>
          <cell r="Z222"/>
          <cell r="AA222"/>
          <cell r="AB222"/>
          <cell r="AC222"/>
          <cell r="AD222"/>
          <cell r="AE222"/>
          <cell r="AF222"/>
          <cell r="AG222"/>
          <cell r="AH222"/>
          <cell r="AI222"/>
          <cell r="AJ222"/>
          <cell r="AK222"/>
          <cell r="AL222"/>
          <cell r="AM222"/>
          <cell r="AN222"/>
          <cell r="AO222"/>
          <cell r="AP222"/>
          <cell r="AQ222"/>
          <cell r="AR222"/>
          <cell r="AS222"/>
          <cell r="AT222"/>
          <cell r="AU222"/>
        </row>
        <row r="223">
          <cell r="A223" t="str">
            <v>Items to be removed</v>
          </cell>
          <cell r="B223"/>
          <cell r="C223"/>
          <cell r="D223"/>
        </row>
        <row r="224">
          <cell r="B224" t="str">
            <v>Sales - Total % Americas</v>
          </cell>
          <cell r="C224" t="str">
            <v>SALES_TOT_AM</v>
          </cell>
          <cell r="F224"/>
          <cell r="G224"/>
          <cell r="H224"/>
          <cell r="I224"/>
          <cell r="J224"/>
          <cell r="K224"/>
          <cell r="L224"/>
          <cell r="M224"/>
          <cell r="N224"/>
          <cell r="O224"/>
          <cell r="P224"/>
          <cell r="Q224"/>
          <cell r="R224"/>
          <cell r="S224"/>
          <cell r="T224"/>
          <cell r="U224"/>
          <cell r="V224"/>
          <cell r="W224"/>
          <cell r="X224"/>
          <cell r="Y224"/>
          <cell r="Z224"/>
          <cell r="AA224"/>
          <cell r="AB224"/>
          <cell r="AC224"/>
          <cell r="AD224"/>
          <cell r="AE224"/>
          <cell r="AF224"/>
          <cell r="AG224"/>
          <cell r="AH224"/>
          <cell r="AI224"/>
          <cell r="AJ224"/>
          <cell r="AK224"/>
          <cell r="AL224"/>
          <cell r="AM224"/>
          <cell r="AN224"/>
          <cell r="AO224"/>
          <cell r="AP224"/>
          <cell r="AQ224"/>
          <cell r="AR224"/>
          <cell r="AS224"/>
          <cell r="AT224"/>
          <cell r="AU224"/>
        </row>
        <row r="225">
          <cell r="B225" t="str">
            <v>Sales - % Other Americas</v>
          </cell>
          <cell r="C225" t="str">
            <v>SALES_OTH_AM</v>
          </cell>
          <cell r="F225"/>
          <cell r="G225"/>
          <cell r="H225"/>
          <cell r="I225"/>
          <cell r="J225"/>
          <cell r="K225"/>
          <cell r="L225"/>
          <cell r="M225"/>
          <cell r="N225"/>
          <cell r="O225"/>
          <cell r="P225"/>
          <cell r="Q225"/>
          <cell r="R225"/>
          <cell r="S225"/>
          <cell r="T225"/>
          <cell r="U225"/>
          <cell r="V225"/>
          <cell r="W225"/>
          <cell r="X225"/>
          <cell r="Y225"/>
          <cell r="Z225"/>
          <cell r="AA225"/>
          <cell r="AB225"/>
          <cell r="AC225"/>
          <cell r="AD225"/>
          <cell r="AE225"/>
          <cell r="AF225"/>
          <cell r="AG225"/>
          <cell r="AH225"/>
          <cell r="AI225"/>
          <cell r="AJ225"/>
          <cell r="AK225"/>
          <cell r="AL225"/>
          <cell r="AM225"/>
          <cell r="AN225"/>
          <cell r="AO225"/>
          <cell r="AP225"/>
          <cell r="AQ225"/>
          <cell r="AR225"/>
          <cell r="AS225"/>
          <cell r="AT225"/>
          <cell r="AU225"/>
        </row>
        <row r="226">
          <cell r="B226" t="str">
            <v>Sales - Total % EMEA</v>
          </cell>
          <cell r="C226" t="str">
            <v>SALES_TOT_EMEA</v>
          </cell>
          <cell r="F226"/>
          <cell r="G226"/>
          <cell r="H226"/>
          <cell r="I226"/>
          <cell r="J226"/>
          <cell r="K226"/>
          <cell r="L226"/>
          <cell r="M226"/>
          <cell r="N226"/>
          <cell r="O226"/>
          <cell r="P226"/>
          <cell r="Q226"/>
          <cell r="R226"/>
          <cell r="S226"/>
          <cell r="T226"/>
          <cell r="U226"/>
          <cell r="V226"/>
          <cell r="W226"/>
          <cell r="X226"/>
          <cell r="Y226"/>
          <cell r="Z226"/>
          <cell r="AA226"/>
          <cell r="AB226"/>
          <cell r="AC226"/>
          <cell r="AD226"/>
          <cell r="AE226"/>
          <cell r="AF226"/>
          <cell r="AG226"/>
          <cell r="AH226"/>
          <cell r="AI226"/>
          <cell r="AJ226"/>
          <cell r="AK226"/>
          <cell r="AL226"/>
          <cell r="AM226"/>
          <cell r="AN226"/>
          <cell r="AO226"/>
          <cell r="AP226"/>
          <cell r="AQ226"/>
          <cell r="AR226"/>
          <cell r="AS226"/>
          <cell r="AT226"/>
          <cell r="AU226"/>
        </row>
        <row r="227">
          <cell r="B227" t="str">
            <v>Sales - % Western Europe-Ex UK</v>
          </cell>
          <cell r="C227" t="str">
            <v>SALES_EU_EX_UK</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cell r="AP227"/>
          <cell r="AQ227"/>
          <cell r="AR227"/>
          <cell r="AS227"/>
          <cell r="AT227"/>
          <cell r="AU227"/>
        </row>
        <row r="228">
          <cell r="B228" t="str">
            <v>Sales - % Other Western Europe-Ex UK</v>
          </cell>
          <cell r="C228" t="str">
            <v>SALES_OTH_EU_EX_UK</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cell r="AP228"/>
          <cell r="AQ228"/>
          <cell r="AR228"/>
          <cell r="AS228"/>
          <cell r="AT228"/>
          <cell r="AU228"/>
        </row>
        <row r="229">
          <cell r="B229" t="str">
            <v>Sales - % Central &amp; Eastern Europe</v>
          </cell>
          <cell r="C229" t="str">
            <v>SALES_CEE</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cell r="AP229"/>
          <cell r="AQ229"/>
          <cell r="AR229"/>
          <cell r="AS229"/>
          <cell r="AT229"/>
          <cell r="AU229"/>
        </row>
        <row r="230">
          <cell r="B230" t="str">
            <v>Sales - % Middle East</v>
          </cell>
          <cell r="C230" t="str">
            <v>SALES_ME</v>
          </cell>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cell r="AP230"/>
          <cell r="AQ230"/>
          <cell r="AR230"/>
          <cell r="AS230"/>
          <cell r="AT230"/>
          <cell r="AU230"/>
        </row>
        <row r="231">
          <cell r="B231" t="str">
            <v>Sales - % Total Africa</v>
          </cell>
          <cell r="C231" t="str">
            <v>SALES_TOT_AFRICA</v>
          </cell>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cell r="AP231"/>
          <cell r="AQ231"/>
          <cell r="AR231"/>
          <cell r="AS231"/>
          <cell r="AT231"/>
          <cell r="AU231"/>
        </row>
        <row r="232">
          <cell r="B232" t="str">
            <v>Sales - % Other EMEA</v>
          </cell>
          <cell r="C232" t="str">
            <v>SALES_OTH_EMEA</v>
          </cell>
          <cell r="F232"/>
          <cell r="G232"/>
          <cell r="H232"/>
          <cell r="I232"/>
          <cell r="J232"/>
          <cell r="K232"/>
          <cell r="L232"/>
          <cell r="M232"/>
          <cell r="N232"/>
          <cell r="O232"/>
          <cell r="P232"/>
          <cell r="Q232"/>
          <cell r="R232"/>
          <cell r="S232"/>
          <cell r="T232"/>
          <cell r="U232"/>
          <cell r="V232"/>
          <cell r="W232"/>
          <cell r="X232"/>
          <cell r="Y232"/>
          <cell r="Z232"/>
          <cell r="AA232"/>
          <cell r="AB232"/>
          <cell r="AC232"/>
          <cell r="AD232"/>
          <cell r="AE232"/>
          <cell r="AF232"/>
          <cell r="AG232"/>
          <cell r="AH232"/>
          <cell r="AI232"/>
          <cell r="AJ232"/>
          <cell r="AK232"/>
          <cell r="AL232"/>
          <cell r="AM232"/>
          <cell r="AN232"/>
          <cell r="AO232"/>
          <cell r="AP232"/>
          <cell r="AQ232"/>
          <cell r="AR232"/>
          <cell r="AS232"/>
          <cell r="AT232"/>
          <cell r="AU232"/>
        </row>
        <row r="233">
          <cell r="B233" t="str">
            <v>Sales - Total % Asia (incl Australia &amp; New Zealand)</v>
          </cell>
          <cell r="C233" t="str">
            <v>SALES_TOT_ASIA</v>
          </cell>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cell r="AP233"/>
          <cell r="AQ233"/>
          <cell r="AR233"/>
          <cell r="AS233"/>
          <cell r="AT233"/>
          <cell r="AU233"/>
        </row>
        <row r="234">
          <cell r="B234" t="str">
            <v>Sales - % Other Asia</v>
          </cell>
          <cell r="C234" t="str">
            <v>SALES_OTH_AEJ</v>
          </cell>
          <cell r="F234"/>
          <cell r="G234"/>
          <cell r="H234"/>
          <cell r="I234"/>
          <cell r="J234"/>
          <cell r="K234"/>
          <cell r="L234"/>
          <cell r="M234"/>
          <cell r="N234"/>
          <cell r="O234"/>
          <cell r="P234"/>
          <cell r="Q234"/>
          <cell r="R234"/>
          <cell r="S234"/>
          <cell r="T234"/>
          <cell r="U234"/>
          <cell r="V234"/>
          <cell r="W234"/>
          <cell r="X234"/>
          <cell r="Y234"/>
          <cell r="Z234"/>
          <cell r="AA234"/>
          <cell r="AB234"/>
          <cell r="AC234"/>
          <cell r="AD234"/>
          <cell r="AE234"/>
          <cell r="AF234"/>
          <cell r="AG234"/>
          <cell r="AH234"/>
          <cell r="AI234"/>
          <cell r="AJ234"/>
          <cell r="AK234"/>
          <cell r="AL234"/>
          <cell r="AM234"/>
          <cell r="AN234"/>
          <cell r="AO234"/>
          <cell r="AP234"/>
          <cell r="AQ234"/>
          <cell r="AR234"/>
          <cell r="AS234"/>
          <cell r="AT234"/>
          <cell r="AU234"/>
        </row>
        <row r="235">
          <cell r="B235" t="str">
            <v>Indirect Sales - % Brazil</v>
          </cell>
          <cell r="C235" t="str">
            <v>IND_SALES_BRAZIL</v>
          </cell>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cell r="AP235"/>
          <cell r="AQ235"/>
          <cell r="AR235"/>
          <cell r="AS235"/>
          <cell r="AT235"/>
          <cell r="AU235"/>
        </row>
        <row r="236">
          <cell r="B236" t="str">
            <v>Indirect Sales - % United States</v>
          </cell>
          <cell r="C236" t="str">
            <v>IND_SALES_US</v>
          </cell>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cell r="AP236"/>
          <cell r="AQ236"/>
          <cell r="AR236"/>
          <cell r="AS236"/>
          <cell r="AT236"/>
          <cell r="AU236"/>
        </row>
        <row r="237">
          <cell r="B237" t="str">
            <v>Indirect Sales - % Other Americas</v>
          </cell>
          <cell r="C237" t="str">
            <v>IND_SALES_OTH_AM</v>
          </cell>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cell r="AP237"/>
          <cell r="AQ237"/>
          <cell r="AR237"/>
          <cell r="AS237"/>
          <cell r="AT237"/>
          <cell r="AU237"/>
        </row>
        <row r="238">
          <cell r="B238" t="str">
            <v>Indirect Sales - Total % Americas</v>
          </cell>
          <cell r="C238" t="str">
            <v>IND_SALES_TOT_AM</v>
          </cell>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cell r="AP238"/>
          <cell r="AQ238"/>
          <cell r="AR238"/>
          <cell r="AS238"/>
          <cell r="AT238"/>
          <cell r="AU238"/>
        </row>
        <row r="239">
          <cell r="B239" t="str">
            <v>Indirect Sales - % France</v>
          </cell>
          <cell r="C239" t="str">
            <v>IND_SALES_FRA</v>
          </cell>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cell r="AP239"/>
          <cell r="AQ239"/>
          <cell r="AR239"/>
          <cell r="AS239"/>
          <cell r="AT239"/>
          <cell r="AU239"/>
        </row>
        <row r="240">
          <cell r="B240" t="str">
            <v>Indirect Sales - % Germany</v>
          </cell>
          <cell r="C240" t="str">
            <v>IND_SALES_GER</v>
          </cell>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cell r="AP240"/>
          <cell r="AQ240"/>
          <cell r="AR240"/>
          <cell r="AS240"/>
          <cell r="AT240"/>
          <cell r="AU240"/>
        </row>
        <row r="241">
          <cell r="B241" t="str">
            <v>Indirect Sales - % Italy</v>
          </cell>
          <cell r="C241" t="str">
            <v>IND_SALES_ITA</v>
          </cell>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cell r="AP241"/>
          <cell r="AQ241"/>
          <cell r="AR241"/>
          <cell r="AS241"/>
          <cell r="AT241"/>
          <cell r="AU241"/>
        </row>
        <row r="242">
          <cell r="B242" t="str">
            <v>Indirect Sales - % Spain</v>
          </cell>
          <cell r="C242" t="str">
            <v>IND_SALES_SPA</v>
          </cell>
          <cell r="F242"/>
          <cell r="G242"/>
          <cell r="H242"/>
          <cell r="I242"/>
          <cell r="J242"/>
          <cell r="K242"/>
          <cell r="L242"/>
          <cell r="M242"/>
          <cell r="N242"/>
          <cell r="O242"/>
          <cell r="P242"/>
          <cell r="Q242"/>
          <cell r="R242"/>
          <cell r="S242"/>
          <cell r="T242"/>
          <cell r="U242"/>
          <cell r="V242"/>
          <cell r="W242"/>
          <cell r="X242"/>
          <cell r="Y242"/>
          <cell r="Z242"/>
          <cell r="AA242"/>
          <cell r="AB242"/>
          <cell r="AC242"/>
          <cell r="AD242"/>
          <cell r="AE242"/>
          <cell r="AF242"/>
          <cell r="AG242"/>
          <cell r="AH242"/>
          <cell r="AI242"/>
          <cell r="AJ242"/>
          <cell r="AK242"/>
          <cell r="AL242"/>
          <cell r="AM242"/>
          <cell r="AN242"/>
          <cell r="AO242"/>
          <cell r="AP242"/>
          <cell r="AQ242"/>
          <cell r="AR242"/>
          <cell r="AS242"/>
          <cell r="AT242"/>
          <cell r="AU242"/>
        </row>
        <row r="243">
          <cell r="B243" t="str">
            <v>Indirect Sales - % UK</v>
          </cell>
          <cell r="C243" t="str">
            <v>IND_SALES_UK</v>
          </cell>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cell r="AP243"/>
          <cell r="AQ243"/>
          <cell r="AR243"/>
          <cell r="AS243"/>
          <cell r="AT243"/>
          <cell r="AU243"/>
        </row>
        <row r="244">
          <cell r="B244" t="str">
            <v>Indirect Sales - % Western Europe-Ex UK</v>
          </cell>
          <cell r="C244" t="str">
            <v>IND_SALES_EU_EX_UK</v>
          </cell>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cell r="AP244"/>
          <cell r="AQ244"/>
          <cell r="AR244"/>
          <cell r="AS244"/>
          <cell r="AT244"/>
          <cell r="AU244"/>
        </row>
        <row r="245">
          <cell r="B245" t="str">
            <v>Indirect Sales - % Other Western Europe-Ex UK</v>
          </cell>
          <cell r="C245" t="str">
            <v>IND_SALES_OTH_EU_EX_UK</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cell r="AP245"/>
          <cell r="AQ245"/>
          <cell r="AR245"/>
          <cell r="AS245"/>
          <cell r="AT245"/>
          <cell r="AU245"/>
        </row>
        <row r="246">
          <cell r="B246" t="str">
            <v>Indirect Sales - % Russia</v>
          </cell>
          <cell r="C246" t="str">
            <v>IND_SALES_RUSSIA</v>
          </cell>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cell r="AP246"/>
          <cell r="AQ246"/>
          <cell r="AR246"/>
          <cell r="AS246"/>
          <cell r="AT246"/>
          <cell r="AU246"/>
        </row>
        <row r="247">
          <cell r="B247" t="str">
            <v>Indirect Sales - % Central &amp; Eastern Europe</v>
          </cell>
          <cell r="C247" t="str">
            <v>IND_SALES_CEE</v>
          </cell>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cell r="AP247"/>
          <cell r="AQ247"/>
          <cell r="AR247"/>
          <cell r="AS247"/>
          <cell r="AT247"/>
          <cell r="AU247"/>
        </row>
        <row r="248">
          <cell r="B248" t="str">
            <v>Indirect Sales - % Other EMEA</v>
          </cell>
          <cell r="C248" t="str">
            <v>IND_SALES_OTH_EMEA</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cell r="AP248"/>
          <cell r="AQ248"/>
          <cell r="AR248"/>
          <cell r="AS248"/>
          <cell r="AT248"/>
          <cell r="AU248"/>
        </row>
        <row r="249">
          <cell r="B249" t="str">
            <v>Indirect Sales - Total % EMEA</v>
          </cell>
          <cell r="C249" t="str">
            <v>IND_SALES_TOT_EMEA</v>
          </cell>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cell r="AP249"/>
          <cell r="AQ249"/>
          <cell r="AR249"/>
          <cell r="AS249"/>
          <cell r="AT249"/>
          <cell r="AU249"/>
        </row>
        <row r="250">
          <cell r="B250" t="str">
            <v>Indirect Sales - % Middle East</v>
          </cell>
          <cell r="C250" t="str">
            <v>IND_SALES_ME</v>
          </cell>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cell r="AP250"/>
          <cell r="AQ250"/>
          <cell r="AR250"/>
          <cell r="AS250"/>
          <cell r="AT250"/>
          <cell r="AU250"/>
        </row>
        <row r="251">
          <cell r="B251" t="str">
            <v>Indirect sales - % Nigeria</v>
          </cell>
          <cell r="C251" t="str">
            <v>IND_SALES_NIGERIA</v>
          </cell>
          <cell r="F251"/>
          <cell r="G251"/>
          <cell r="H251"/>
          <cell r="I251"/>
          <cell r="J251"/>
          <cell r="K251"/>
          <cell r="L251"/>
          <cell r="M251"/>
          <cell r="N251"/>
          <cell r="O251"/>
          <cell r="P251"/>
          <cell r="Q251"/>
          <cell r="R251"/>
          <cell r="S251"/>
          <cell r="T251"/>
          <cell r="U251"/>
          <cell r="V251"/>
          <cell r="W251"/>
          <cell r="X251"/>
          <cell r="Y251"/>
          <cell r="Z251"/>
          <cell r="AA251"/>
          <cell r="AB251"/>
          <cell r="AC251"/>
          <cell r="AD251"/>
          <cell r="AE251"/>
          <cell r="AF251"/>
          <cell r="AG251"/>
          <cell r="AH251"/>
          <cell r="AI251"/>
          <cell r="AJ251"/>
          <cell r="AK251"/>
          <cell r="AL251"/>
          <cell r="AM251"/>
          <cell r="AN251"/>
          <cell r="AO251"/>
          <cell r="AP251"/>
          <cell r="AQ251"/>
          <cell r="AR251"/>
          <cell r="AS251"/>
          <cell r="AT251"/>
          <cell r="AU251"/>
        </row>
        <row r="252">
          <cell r="B252" t="str">
            <v>Indirect sales - % South Africa</v>
          </cell>
          <cell r="C252" t="str">
            <v>IND_SALES_SO_AFRICA</v>
          </cell>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cell r="AP252"/>
          <cell r="AQ252"/>
          <cell r="AR252"/>
          <cell r="AS252"/>
          <cell r="AT252"/>
          <cell r="AU252"/>
        </row>
        <row r="253">
          <cell r="B253" t="str">
            <v>Indirect sales - % Other Africa</v>
          </cell>
          <cell r="C253" t="str">
            <v>IND_SALES_OTH_AFRICA</v>
          </cell>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cell r="AP253"/>
          <cell r="AQ253"/>
          <cell r="AR253"/>
          <cell r="AS253"/>
          <cell r="AT253"/>
          <cell r="AU253"/>
        </row>
        <row r="254">
          <cell r="B254" t="str">
            <v>Indirect sales - % Total Africa</v>
          </cell>
          <cell r="C254" t="str">
            <v>IND_SALES_TOT_AFRICA</v>
          </cell>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cell r="AP254"/>
          <cell r="AQ254"/>
          <cell r="AR254"/>
          <cell r="AS254"/>
          <cell r="AT254"/>
          <cell r="AU254"/>
        </row>
        <row r="255">
          <cell r="B255" t="str">
            <v>Indirect Sales - % China</v>
          </cell>
          <cell r="C255" t="str">
            <v>IND_SALES_CHINA</v>
          </cell>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cell r="AP255"/>
          <cell r="AQ255"/>
          <cell r="AR255"/>
          <cell r="AS255"/>
          <cell r="AT255"/>
          <cell r="AU255"/>
        </row>
        <row r="256">
          <cell r="B256" t="str">
            <v>Indirect Sales - % India</v>
          </cell>
          <cell r="C256" t="str">
            <v>IND_SALES_INDIA</v>
          </cell>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cell r="AP256"/>
          <cell r="AQ256"/>
          <cell r="AR256"/>
          <cell r="AS256"/>
          <cell r="AT256"/>
          <cell r="AU256"/>
        </row>
        <row r="257">
          <cell r="B257" t="str">
            <v>Indirect Sales - % Japan</v>
          </cell>
          <cell r="C257" t="str">
            <v>IND_SALES_JAPAN</v>
          </cell>
          <cell r="F257"/>
          <cell r="G257"/>
          <cell r="H257"/>
          <cell r="I257"/>
          <cell r="J257"/>
          <cell r="K257"/>
          <cell r="L257"/>
          <cell r="M257"/>
          <cell r="N257"/>
          <cell r="O257"/>
          <cell r="P257"/>
          <cell r="Q257"/>
          <cell r="R257"/>
          <cell r="S257"/>
          <cell r="T257"/>
          <cell r="U257"/>
          <cell r="V257"/>
          <cell r="W257"/>
          <cell r="X257"/>
          <cell r="Y257"/>
          <cell r="Z257"/>
          <cell r="AA257"/>
          <cell r="AB257"/>
          <cell r="AC257"/>
          <cell r="AD257"/>
          <cell r="AE257"/>
          <cell r="AF257"/>
          <cell r="AG257"/>
          <cell r="AH257"/>
          <cell r="AI257"/>
          <cell r="AJ257"/>
          <cell r="AK257"/>
          <cell r="AL257"/>
          <cell r="AM257"/>
          <cell r="AN257"/>
          <cell r="AO257"/>
          <cell r="AP257"/>
          <cell r="AQ257"/>
          <cell r="AR257"/>
          <cell r="AS257"/>
          <cell r="AT257"/>
          <cell r="AU257"/>
        </row>
        <row r="258">
          <cell r="B258" t="str">
            <v>Indirect Sales - % Other Asia</v>
          </cell>
          <cell r="C258" t="str">
            <v>IND_SALES_OTH_AEJ</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cell r="AP258"/>
          <cell r="AQ258"/>
          <cell r="AR258"/>
          <cell r="AS258"/>
          <cell r="AT258"/>
          <cell r="AU258"/>
        </row>
        <row r="259">
          <cell r="B259" t="str">
            <v>Indirect Sales - Total % Asia (incl Australia &amp; New Zealand)</v>
          </cell>
          <cell r="C259" t="str">
            <v>IND_SALES_TOT_ASIA</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cell r="AP259"/>
          <cell r="AQ259"/>
          <cell r="AR259"/>
          <cell r="AS259"/>
          <cell r="AT259"/>
          <cell r="AU259"/>
        </row>
        <row r="260">
          <cell r="B260" t="str">
            <v>Indirect Sales - % Others</v>
          </cell>
          <cell r="C260" t="str">
            <v>IND_SALES_OTHER</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cell r="AP260"/>
          <cell r="AQ260"/>
          <cell r="AR260"/>
          <cell r="AS260"/>
          <cell r="AT260"/>
          <cell r="AU260"/>
        </row>
        <row r="261">
          <cell r="B261" t="str">
            <v>Indirect Sales -% Consumer (C)</v>
          </cell>
          <cell r="C261" t="str">
            <v>IND_SALES_CONS</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cell r="AP261"/>
          <cell r="AQ261"/>
          <cell r="AR261"/>
          <cell r="AS261"/>
          <cell r="AT261"/>
          <cell r="AU261"/>
        </row>
        <row r="262">
          <cell r="B262" t="str">
            <v>Indirect Sales -% Industry (I)</v>
          </cell>
          <cell r="C262" t="str">
            <v>IND_SALES_IND</v>
          </cell>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cell r="AP262"/>
          <cell r="AQ262"/>
          <cell r="AR262"/>
          <cell r="AS262"/>
          <cell r="AT262"/>
          <cell r="AU262"/>
        </row>
        <row r="263">
          <cell r="B263" t="str">
            <v>Indirect Sales -% Government (G)</v>
          </cell>
          <cell r="C263" t="str">
            <v>IND_SALES_GOV</v>
          </cell>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cell r="AP263"/>
          <cell r="AQ263"/>
          <cell r="AR263"/>
          <cell r="AS263"/>
          <cell r="AT263"/>
          <cell r="AU263"/>
        </row>
        <row r="264">
          <cell r="B264" t="str">
            <v>Indirect Sales -% Industry Sub-Segment: Financial Services</v>
          </cell>
          <cell r="C264" t="str">
            <v>IND_SALES_FINAN</v>
          </cell>
          <cell r="F264"/>
          <cell r="G264"/>
          <cell r="H264"/>
          <cell r="I264"/>
          <cell r="J264"/>
          <cell r="K264"/>
          <cell r="L264"/>
          <cell r="M264"/>
          <cell r="N264"/>
          <cell r="O264"/>
          <cell r="P264"/>
          <cell r="Q264"/>
          <cell r="R264"/>
          <cell r="S264"/>
          <cell r="T264"/>
          <cell r="U264"/>
          <cell r="V264"/>
          <cell r="W264"/>
          <cell r="X264"/>
          <cell r="Y264"/>
          <cell r="Z264"/>
          <cell r="AA264"/>
          <cell r="AB264"/>
          <cell r="AC264"/>
          <cell r="AD264"/>
          <cell r="AE264"/>
          <cell r="AF264"/>
          <cell r="AG264"/>
          <cell r="AH264"/>
          <cell r="AI264"/>
          <cell r="AJ264"/>
          <cell r="AK264"/>
          <cell r="AL264"/>
          <cell r="AM264"/>
          <cell r="AN264"/>
          <cell r="AO264"/>
          <cell r="AP264"/>
          <cell r="AQ264"/>
          <cell r="AR264"/>
          <cell r="AS264"/>
          <cell r="AT264"/>
          <cell r="AU264"/>
        </row>
        <row r="265">
          <cell r="A265" t="str">
            <v>Security: Rolls-Royce | SecID: 200003173</v>
          </cell>
          <cell r="B265"/>
          <cell r="C265"/>
          <cell r="D265"/>
        </row>
        <row r="266">
          <cell r="A266" t="str">
            <v>Reference Data</v>
          </cell>
          <cell r="B266"/>
          <cell r="C266"/>
          <cell r="D266"/>
        </row>
        <row r="267">
          <cell r="B267" t="str">
            <v>Ticker</v>
          </cell>
          <cell r="C267" t="str">
            <v>Ticker</v>
          </cell>
          <cell r="E267" t="str">
            <v>RR.L</v>
          </cell>
        </row>
        <row r="268">
          <cell r="B268" t="str">
            <v>Security Name</v>
          </cell>
          <cell r="C268" t="str">
            <v>Security Name</v>
          </cell>
          <cell r="E268" t="str">
            <v>Rolls-Royce</v>
          </cell>
        </row>
        <row r="269">
          <cell r="B269" t="str">
            <v>Interim Type</v>
          </cell>
          <cell r="C269" t="str">
            <v>Interim Type</v>
          </cell>
          <cell r="E269" t="str">
            <v>H</v>
          </cell>
        </row>
        <row r="270">
          <cell r="B270" t="str">
            <v>Publishing Currency</v>
          </cell>
          <cell r="C270" t="str">
            <v>PUB_CURRENCY_ISO</v>
          </cell>
          <cell r="E270" t="str">
            <v>GBP</v>
          </cell>
        </row>
        <row r="271">
          <cell r="B271" t="str">
            <v>Pricing Currency</v>
          </cell>
          <cell r="C271" t="str">
            <v>PRICE_CURRENCY_ISO</v>
          </cell>
          <cell r="E271" t="str">
            <v>GBP</v>
          </cell>
        </row>
        <row r="272">
          <cell r="B272" t="str">
            <v>Reporting Currency</v>
          </cell>
          <cell r="C272" t="str">
            <v>CURRENCY_ISO</v>
          </cell>
          <cell r="E272" t="str">
            <v>GBP</v>
          </cell>
        </row>
        <row r="273">
          <cell r="A273" t="str">
            <v>General Information</v>
          </cell>
          <cell r="B273"/>
          <cell r="C273"/>
          <cell r="D273"/>
        </row>
        <row r="274">
          <cell r="B274" t="str">
            <v>Pan Europe Investment List</v>
          </cell>
          <cell r="C274" t="str">
            <v>EURO_LIST</v>
          </cell>
          <cell r="E274" t="str">
            <v>Buy</v>
          </cell>
        </row>
        <row r="275">
          <cell r="B275" t="str">
            <v>Pan Europe Conviction List</v>
          </cell>
          <cell r="C275" t="str">
            <v>NOT IN USE</v>
          </cell>
          <cell r="E275"/>
        </row>
        <row r="276">
          <cell r="B276" t="str">
            <v>Legal rating</v>
          </cell>
          <cell r="C276" t="str">
            <v>LEGAL_RATING</v>
          </cell>
          <cell r="E276"/>
        </row>
        <row r="277">
          <cell r="B277" t="str">
            <v>Target price</v>
          </cell>
          <cell r="C277" t="str">
            <v>TARGET_PRICE</v>
          </cell>
          <cell r="D277" t="str">
            <v>GBP</v>
          </cell>
          <cell r="E277">
            <v>1290</v>
          </cell>
        </row>
        <row r="278">
          <cell r="B278" t="str">
            <v>Target price period</v>
          </cell>
          <cell r="C278" t="str">
            <v>TP_PERIOD</v>
          </cell>
          <cell r="E278" t="str">
            <v>12 months</v>
          </cell>
        </row>
        <row r="279">
          <cell r="B279" t="str">
            <v>Fundamental value</v>
          </cell>
          <cell r="C279" t="str">
            <v>TARGET_PRICE_FUNDAMENTAL</v>
          </cell>
          <cell r="D279" t="str">
            <v>GBP</v>
          </cell>
          <cell r="E279"/>
        </row>
        <row r="280">
          <cell r="B280" t="str">
            <v>M&amp;A value</v>
          </cell>
          <cell r="C280" t="str">
            <v>TARGET_PRICE_MA</v>
          </cell>
          <cell r="D280" t="str">
            <v>GBP</v>
          </cell>
          <cell r="E280"/>
        </row>
        <row r="281">
          <cell r="B281" t="str">
            <v>Current shares outstanding (mn)</v>
          </cell>
          <cell r="C281" t="str">
            <v>NUM_SH</v>
          </cell>
          <cell r="E281">
            <v>8276.8888888888887</v>
          </cell>
        </row>
        <row r="282">
          <cell r="B282" t="str">
            <v>Free float</v>
          </cell>
          <cell r="C282" t="str">
            <v>FREE_FLOAT</v>
          </cell>
          <cell r="E282"/>
        </row>
        <row r="283">
          <cell r="A283" t="str">
            <v>Publishing Items</v>
          </cell>
          <cell r="B283"/>
          <cell r="C283"/>
          <cell r="D283"/>
          <cell r="AF283" t="str">
            <v>H1</v>
          </cell>
          <cell r="AG283" t="str">
            <v>H2</v>
          </cell>
          <cell r="AH283" t="str">
            <v>H1</v>
          </cell>
          <cell r="AI283" t="str">
            <v>H2</v>
          </cell>
          <cell r="AJ283" t="str">
            <v>H1</v>
          </cell>
          <cell r="AK283" t="str">
            <v>H2</v>
          </cell>
          <cell r="AL283" t="str">
            <v>H1</v>
          </cell>
          <cell r="AM283" t="str">
            <v>H2</v>
          </cell>
          <cell r="AN283" t="str">
            <v>H1</v>
          </cell>
          <cell r="AO283" t="str">
            <v>H2</v>
          </cell>
          <cell r="AP283" t="str">
            <v>H1</v>
          </cell>
          <cell r="AQ283" t="str">
            <v>H2</v>
          </cell>
          <cell r="AR283" t="str">
            <v>H1</v>
          </cell>
          <cell r="AS283" t="str">
            <v>H2</v>
          </cell>
          <cell r="AT283" t="str">
            <v>H1</v>
          </cell>
          <cell r="AU283" t="str">
            <v>H2</v>
          </cell>
        </row>
        <row r="284">
          <cell r="B284" t="str">
            <v>Book value per share, BVPS (Pub)</v>
          </cell>
          <cell r="C284" t="str">
            <v>BVPS_PUB</v>
          </cell>
          <cell r="D284" t="str">
            <v>GBP</v>
          </cell>
          <cell r="F284">
            <v>0.53574514423374309</v>
          </cell>
          <cell r="G284">
            <v>0.67432632886608179</v>
          </cell>
          <cell r="H284">
            <v>0.4755336524900759</v>
          </cell>
          <cell r="I284">
            <v>0.70344916134564128</v>
          </cell>
          <cell r="J284">
            <v>0.7389465034756878</v>
          </cell>
          <cell r="K284">
            <v>0.8163703110761642</v>
          </cell>
          <cell r="L284">
            <v>1.1084846841031679</v>
          </cell>
          <cell r="M284">
            <v>1.0307931876690937</v>
          </cell>
          <cell r="N284">
            <v>1.1686777493063873</v>
          </cell>
          <cell r="O284">
            <v>2.7264817835780315</v>
          </cell>
          <cell r="P284">
            <v>1.0163416666667167</v>
          </cell>
          <cell r="Q284">
            <v>0.50708833151581245</v>
          </cell>
          <cell r="R284">
            <v>-0.57770553935860303</v>
          </cell>
          <cell r="S284">
            <v>-0.6084754437562524</v>
          </cell>
          <cell r="T284">
            <v>-0.81793886754635048</v>
          </cell>
          <cell r="U284">
            <v>-0.55952952472395578</v>
          </cell>
          <cell r="V284">
            <v>-0.72463768115942029</v>
          </cell>
          <cell r="W284">
            <v>-0.44025834230355221</v>
          </cell>
          <cell r="X284">
            <v>-0.10872675250357654</v>
          </cell>
          <cell r="Y284">
            <v>-2.4060591863481879E-2</v>
          </cell>
          <cell r="Z284">
            <v>0.12312767521301034</v>
          </cell>
          <cell r="AA284">
            <v>0.30250645585860103</v>
          </cell>
          <cell r="AB284">
            <v>0.53422094398309938</v>
          </cell>
          <cell r="AC284">
            <v>0.81969671783830145</v>
          </cell>
          <cell r="AD284">
            <v>1.1590449418672439</v>
          </cell>
          <cell r="AE284"/>
          <cell r="AF284"/>
          <cell r="AG284"/>
          <cell r="AH284"/>
          <cell r="AI284"/>
          <cell r="AJ284"/>
          <cell r="AK284"/>
          <cell r="AL284"/>
          <cell r="AM284"/>
          <cell r="AN284"/>
          <cell r="AO284"/>
          <cell r="AP284"/>
          <cell r="AQ284"/>
          <cell r="AR284"/>
          <cell r="AS284"/>
          <cell r="AT284"/>
          <cell r="AU284"/>
        </row>
        <row r="285">
          <cell r="B285" t="str">
            <v>DPS, dividend per share (Pub)</v>
          </cell>
          <cell r="C285" t="str">
            <v>DPS_PUB</v>
          </cell>
          <cell r="D285" t="str">
            <v>GBP</v>
          </cell>
          <cell r="F285">
            <v>3.261049823990724</v>
          </cell>
          <cell r="G285">
            <v>4.4249707182899156</v>
          </cell>
          <cell r="H285">
            <v>4.9589750438100699</v>
          </cell>
          <cell r="I285">
            <v>5.5017381203489615</v>
          </cell>
          <cell r="J285">
            <v>5.1016510708731886</v>
          </cell>
          <cell r="K285">
            <v>6.0031629752149236</v>
          </cell>
          <cell r="L285">
            <v>6.6767880888935869</v>
          </cell>
          <cell r="M285">
            <v>7.5471635033171642</v>
          </cell>
          <cell r="N285">
            <v>7.8899760894067317</v>
          </cell>
          <cell r="O285">
            <v>16.369529983792543</v>
          </cell>
          <cell r="P285">
            <v>11.680833333333908</v>
          </cell>
          <cell r="Q285">
            <v>11.684782608695652</v>
          </cell>
          <cell r="R285">
            <v>11.726239067055443</v>
          </cell>
          <cell r="S285">
            <v>4.0192542641482305</v>
          </cell>
          <cell r="T285">
            <v>0</v>
          </cell>
          <cell r="U285">
            <v>0</v>
          </cell>
          <cell r="V285">
            <v>0</v>
          </cell>
          <cell r="W285">
            <v>0</v>
          </cell>
          <cell r="X285">
            <v>6</v>
          </cell>
          <cell r="Y285">
            <v>9.0788809420724217</v>
          </cell>
          <cell r="Z285">
            <v>10.894142432176089</v>
          </cell>
          <cell r="AA285">
            <v>12.498046128224093</v>
          </cell>
          <cell r="AB285">
            <v>14.260604839083198</v>
          </cell>
          <cell r="AC285">
            <v>16.493855182050527</v>
          </cell>
          <cell r="AD285">
            <v>18.616224388608444</v>
          </cell>
          <cell r="AE285"/>
          <cell r="AF285"/>
          <cell r="AG285"/>
          <cell r="AH285"/>
          <cell r="AI285"/>
          <cell r="AJ285"/>
          <cell r="AK285"/>
          <cell r="AL285"/>
          <cell r="AM285"/>
          <cell r="AN285"/>
          <cell r="AO285"/>
          <cell r="AP285"/>
          <cell r="AQ285"/>
          <cell r="AR285"/>
          <cell r="AS285"/>
          <cell r="AT285"/>
          <cell r="AU285"/>
        </row>
        <row r="286">
          <cell r="B286" t="str">
            <v>Special dividend per share</v>
          </cell>
          <cell r="C286" t="str">
            <v>DPS_SPECIAL_PUB</v>
          </cell>
          <cell r="D286" t="str">
            <v>GBP</v>
          </cell>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cell r="AP286"/>
          <cell r="AQ286"/>
          <cell r="AR286"/>
          <cell r="AS286"/>
          <cell r="AT286"/>
          <cell r="AU286"/>
        </row>
        <row r="287">
          <cell r="B287" t="str">
            <v>EBITDA (Pub)</v>
          </cell>
          <cell r="C287" t="str">
            <v>EBITDA_PUB</v>
          </cell>
          <cell r="D287" t="str">
            <v>GBP</v>
          </cell>
          <cell r="F287">
            <v>969</v>
          </cell>
          <cell r="G287">
            <v>1065</v>
          </cell>
          <cell r="H287">
            <v>1234</v>
          </cell>
          <cell r="I287">
            <v>1298</v>
          </cell>
          <cell r="J287">
            <v>1377</v>
          </cell>
          <cell r="K287">
            <v>1616</v>
          </cell>
          <cell r="L287">
            <v>1966</v>
          </cell>
          <cell r="M287">
            <v>2631</v>
          </cell>
          <cell r="N287">
            <v>2420</v>
          </cell>
          <cell r="O287">
            <v>2302</v>
          </cell>
          <cell r="P287">
            <v>1969</v>
          </cell>
          <cell r="Q287">
            <v>1099</v>
          </cell>
          <cell r="R287">
            <v>1702</v>
          </cell>
          <cell r="S287">
            <v>1712</v>
          </cell>
          <cell r="T287">
            <v>-285</v>
          </cell>
          <cell r="U287">
            <v>1166</v>
          </cell>
          <cell r="V287">
            <v>1369</v>
          </cell>
          <cell r="W287">
            <v>2285</v>
          </cell>
          <cell r="X287">
            <v>2744</v>
          </cell>
          <cell r="Y287">
            <v>3884.935198565292</v>
          </cell>
          <cell r="Z287">
            <v>4404.9873862606664</v>
          </cell>
          <cell r="AA287">
            <v>4844.5989605028926</v>
          </cell>
          <cell r="AB287">
            <v>5352.6174657540896</v>
          </cell>
          <cell r="AC287">
            <v>5997.8210875022105</v>
          </cell>
          <cell r="AD287">
            <v>6609.8359135474129</v>
          </cell>
          <cell r="AE287"/>
          <cell r="AF287">
            <v>643</v>
          </cell>
          <cell r="AG287">
            <v>-565</v>
          </cell>
          <cell r="AH287">
            <v>-1236</v>
          </cell>
          <cell r="AI287">
            <v>1654</v>
          </cell>
          <cell r="AJ287">
            <v>761</v>
          </cell>
          <cell r="AK287">
            <v>1043</v>
          </cell>
          <cell r="AL287">
            <v>557</v>
          </cell>
          <cell r="AM287">
            <v>1319</v>
          </cell>
          <cell r="AN287">
            <v>1138</v>
          </cell>
          <cell r="AO287">
            <v>1688</v>
          </cell>
          <cell r="AP287">
            <v>1553</v>
          </cell>
          <cell r="AQ287">
            <v>1398</v>
          </cell>
          <cell r="AR287">
            <v>1981</v>
          </cell>
          <cell r="AS287">
            <v>1817.4315149822241</v>
          </cell>
          <cell r="AT287">
            <v>2827.130390184122</v>
          </cell>
          <cell r="AU287">
            <v>1840.5725586256335</v>
          </cell>
        </row>
        <row r="288">
          <cell r="B288" t="str">
            <v>EPS (Pub)</v>
          </cell>
          <cell r="C288" t="str">
            <v>EPS_PUB</v>
          </cell>
          <cell r="D288" t="str">
            <v>GBP</v>
          </cell>
          <cell r="F288">
            <v>14.181774815959661</v>
          </cell>
          <cell r="G288">
            <v>15.53407442032578</v>
          </cell>
          <cell r="H288">
            <v>17.328129525708952</v>
          </cell>
          <cell r="I288">
            <v>18.087654087969998</v>
          </cell>
          <cell r="J288">
            <v>18.534775473316262</v>
          </cell>
          <cell r="K288">
            <v>22.07260532960121</v>
          </cell>
          <cell r="L288">
            <v>27.054711187598951</v>
          </cell>
          <cell r="M288">
            <v>33.298449095358379</v>
          </cell>
          <cell r="N288">
            <v>22.309587563150068</v>
          </cell>
          <cell r="O288">
            <v>58.400864397622911</v>
          </cell>
          <cell r="P288">
            <v>30.130000000001484</v>
          </cell>
          <cell r="Q288">
            <v>2.3913043478260869</v>
          </cell>
          <cell r="R288">
            <v>16.40597667638491</v>
          </cell>
          <cell r="S288">
            <v>5.5152098871271686</v>
          </cell>
          <cell r="T288">
            <v>-67.479539001169172</v>
          </cell>
          <cell r="U288">
            <v>0.11973180076628352</v>
          </cell>
          <cell r="V288">
            <v>1.8924422086477422</v>
          </cell>
          <cell r="W288">
            <v>13.587150505651399</v>
          </cell>
          <cell r="X288">
            <v>23.829837658490344</v>
          </cell>
          <cell r="Y288">
            <v>28.663070588348205</v>
          </cell>
          <cell r="Z288">
            <v>33.919620977059886</v>
          </cell>
          <cell r="AA288">
            <v>38.907743924382679</v>
          </cell>
          <cell r="AB288">
            <v>44.377791265633476</v>
          </cell>
          <cell r="AC288">
            <v>51.306814463886198</v>
          </cell>
          <cell r="AD288">
            <v>57.864866164006443</v>
          </cell>
          <cell r="AE288"/>
          <cell r="AF288">
            <v>-0.43256548134330736</v>
          </cell>
          <cell r="AG288">
            <v>5.8756811215799258</v>
          </cell>
          <cell r="AH288">
            <v>-173.19104633003644</v>
          </cell>
          <cell r="AI288">
            <v>106.4464330011572</v>
          </cell>
          <cell r="AJ288">
            <v>1.2530120481927709</v>
          </cell>
          <cell r="AK288">
            <v>-1.1449947654275285</v>
          </cell>
          <cell r="AL288">
            <v>-2.2528460155781906</v>
          </cell>
          <cell r="AM288">
            <v>4.2051756358920009</v>
          </cell>
          <cell r="AN288">
            <v>4.9048929297762891</v>
          </cell>
          <cell r="AO288">
            <v>8.8494426760124938</v>
          </cell>
          <cell r="AP288">
            <v>8.949880668257757</v>
          </cell>
          <cell r="AQ288">
            <v>16.00243215959155</v>
          </cell>
          <cell r="AR288">
            <v>15.7</v>
          </cell>
          <cell r="AS288">
            <v>13.586712716362658</v>
          </cell>
          <cell r="AT288">
            <v>13.25388968965901</v>
          </cell>
          <cell r="AU288">
            <v>20.875603212011406</v>
          </cell>
        </row>
        <row r="289">
          <cell r="B289" t="str">
            <v>EV adjustment (Pub)</v>
          </cell>
          <cell r="C289" t="str">
            <v>EV_ADJ_PUB</v>
          </cell>
          <cell r="D289" t="str">
            <v>GBP</v>
          </cell>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cell r="AP289"/>
          <cell r="AQ289"/>
          <cell r="AR289"/>
          <cell r="AS289"/>
          <cell r="AT289"/>
          <cell r="AU289"/>
        </row>
        <row r="290">
          <cell r="B290" t="str">
            <v>Net debt (Pub)</v>
          </cell>
          <cell r="C290" t="str">
            <v>NET_DEBT_PUB</v>
          </cell>
          <cell r="D290" t="str">
            <v>GBP</v>
          </cell>
          <cell r="F290">
            <v>-829</v>
          </cell>
          <cell r="G290">
            <v>-873</v>
          </cell>
          <cell r="H290">
            <v>-1124</v>
          </cell>
          <cell r="I290">
            <v>-1051</v>
          </cell>
          <cell r="J290">
            <v>-1335</v>
          </cell>
          <cell r="K290">
            <v>-117</v>
          </cell>
          <cell r="L290">
            <v>-1213</v>
          </cell>
          <cell r="M290">
            <v>-1940</v>
          </cell>
          <cell r="N290">
            <v>-608</v>
          </cell>
          <cell r="O290">
            <v>124</v>
          </cell>
          <cell r="P290">
            <v>583</v>
          </cell>
          <cell r="Q290">
            <v>532</v>
          </cell>
          <cell r="R290">
            <v>-318</v>
          </cell>
          <cell r="S290">
            <v>1236</v>
          </cell>
          <cell r="T290">
            <v>3878</v>
          </cell>
          <cell r="U290">
            <v>5147</v>
          </cell>
          <cell r="V290">
            <v>3337</v>
          </cell>
          <cell r="W290">
            <v>1975</v>
          </cell>
          <cell r="X290">
            <v>-443</v>
          </cell>
          <cell r="Y290">
            <v>-2241.2419115740122</v>
          </cell>
          <cell r="Z290">
            <v>-4231.9766354309722</v>
          </cell>
          <cell r="AA290">
            <v>-6744.0379005146569</v>
          </cell>
          <cell r="AB290">
            <v>-9656.5946184027998</v>
          </cell>
          <cell r="AC290">
            <v>-12909.038374517666</v>
          </cell>
          <cell r="AD290">
            <v>-16609.833510839006</v>
          </cell>
          <cell r="AE290"/>
          <cell r="AF290"/>
          <cell r="AG290"/>
          <cell r="AH290"/>
          <cell r="AI290"/>
          <cell r="AJ290"/>
          <cell r="AK290"/>
          <cell r="AL290"/>
          <cell r="AM290"/>
          <cell r="AN290"/>
          <cell r="AO290"/>
          <cell r="AP290"/>
          <cell r="AQ290"/>
          <cell r="AR290"/>
          <cell r="AS290"/>
          <cell r="AT290"/>
          <cell r="AU290"/>
        </row>
        <row r="291">
          <cell r="B291" t="str">
            <v>Net Debt (ex leases) (Pub)</v>
          </cell>
          <cell r="C291" t="str">
            <v>NET_DEBT_EX_LEASES_PUB</v>
          </cell>
          <cell r="D291" t="str">
            <v>GBP</v>
          </cell>
          <cell r="F291">
            <v>-795</v>
          </cell>
          <cell r="G291">
            <v>-833</v>
          </cell>
          <cell r="H291">
            <v>-1123</v>
          </cell>
          <cell r="I291">
            <v>-1049</v>
          </cell>
          <cell r="J291">
            <v>-1007</v>
          </cell>
          <cell r="K291">
            <v>-106</v>
          </cell>
          <cell r="L291">
            <v>-1202</v>
          </cell>
          <cell r="M291">
            <v>-1619</v>
          </cell>
          <cell r="N291">
            <v>-601</v>
          </cell>
          <cell r="O291">
            <v>126</v>
          </cell>
          <cell r="P291">
            <v>586</v>
          </cell>
          <cell r="Q291">
            <v>535</v>
          </cell>
          <cell r="R291">
            <v>-312</v>
          </cell>
          <cell r="S291">
            <v>-1112</v>
          </cell>
          <cell r="T291">
            <v>1835</v>
          </cell>
          <cell r="U291">
            <v>3411</v>
          </cell>
          <cell r="V291">
            <v>1501</v>
          </cell>
          <cell r="W291">
            <v>315</v>
          </cell>
          <cell r="X291">
            <v>-1998</v>
          </cell>
          <cell r="Y291">
            <v>-3796.2419115740122</v>
          </cell>
          <cell r="Z291">
            <v>-5786.9766354309722</v>
          </cell>
          <cell r="AA291">
            <v>-8299.0379005146569</v>
          </cell>
          <cell r="AB291">
            <v>-11211.5946184028</v>
          </cell>
          <cell r="AC291">
            <v>-14464.038374517666</v>
          </cell>
          <cell r="AD291">
            <v>-18164.833510839006</v>
          </cell>
          <cell r="AE291"/>
          <cell r="AF291"/>
          <cell r="AG291"/>
          <cell r="AH291"/>
          <cell r="AI291"/>
          <cell r="AJ291"/>
          <cell r="AK291"/>
          <cell r="AL291"/>
          <cell r="AM291"/>
          <cell r="AN291"/>
          <cell r="AO291"/>
          <cell r="AP291"/>
          <cell r="AQ291"/>
          <cell r="AR291"/>
          <cell r="AS291"/>
          <cell r="AT291"/>
          <cell r="AU291"/>
        </row>
        <row r="292">
          <cell r="B292" t="str">
            <v>Consensus equivalent net debt</v>
          </cell>
          <cell r="C292" t="str">
            <v>CEEE_NDEBT</v>
          </cell>
          <cell r="D292" t="str">
            <v>GBP</v>
          </cell>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cell r="AP292"/>
          <cell r="AQ292"/>
          <cell r="AR292"/>
          <cell r="AS292"/>
          <cell r="AT292"/>
          <cell r="AU292"/>
        </row>
        <row r="293">
          <cell r="B293" t="str">
            <v>Net income (Pub)</v>
          </cell>
          <cell r="C293" t="str">
            <v>NI_PUB</v>
          </cell>
          <cell r="D293" t="str">
            <v>GBP</v>
          </cell>
          <cell r="F293">
            <v>748</v>
          </cell>
          <cell r="G293">
            <v>832</v>
          </cell>
          <cell r="H293">
            <v>919</v>
          </cell>
          <cell r="I293">
            <v>983</v>
          </cell>
          <cell r="J293">
            <v>1010</v>
          </cell>
          <cell r="K293">
            <v>1206</v>
          </cell>
          <cell r="L293">
            <v>1479</v>
          </cell>
          <cell r="M293">
            <v>1831</v>
          </cell>
          <cell r="N293">
            <v>1230</v>
          </cell>
          <cell r="O293">
            <v>1081</v>
          </cell>
          <cell r="P293">
            <v>552</v>
          </cell>
          <cell r="Q293">
            <v>44</v>
          </cell>
          <cell r="R293">
            <v>305</v>
          </cell>
          <cell r="S293">
            <v>306</v>
          </cell>
          <cell r="T293">
            <v>-4040</v>
          </cell>
          <cell r="U293">
            <v>10</v>
          </cell>
          <cell r="V293">
            <v>158</v>
          </cell>
          <cell r="W293">
            <v>1142</v>
          </cell>
          <cell r="X293">
            <v>2011</v>
          </cell>
          <cell r="Y293">
            <v>2387.0286707414298</v>
          </cell>
          <cell r="Z293">
            <v>2787.0998787495064</v>
          </cell>
          <cell r="AA293">
            <v>3153.7320300307128</v>
          </cell>
          <cell r="AB293">
            <v>3547.8071770595498</v>
          </cell>
          <cell r="AC293">
            <v>4044.7442144746556</v>
          </cell>
          <cell r="AD293">
            <v>4497.450281153795</v>
          </cell>
          <cell r="AE293"/>
          <cell r="AF293">
            <v>-24</v>
          </cell>
          <cell r="AG293">
            <v>326</v>
          </cell>
          <cell r="AH293">
            <v>-3327</v>
          </cell>
          <cell r="AI293">
            <v>-669</v>
          </cell>
          <cell r="AJ293">
            <v>104</v>
          </cell>
          <cell r="AK293">
            <v>-95</v>
          </cell>
          <cell r="AL293">
            <v>-188</v>
          </cell>
          <cell r="AM293">
            <v>351</v>
          </cell>
          <cell r="AN293">
            <v>410</v>
          </cell>
          <cell r="AO293">
            <v>740</v>
          </cell>
          <cell r="AP293">
            <v>750</v>
          </cell>
          <cell r="AQ293">
            <v>1343</v>
          </cell>
          <cell r="AR293">
            <v>1604</v>
          </cell>
          <cell r="AS293">
            <v>820.02867074142978</v>
          </cell>
          <cell r="AT293">
            <v>1082.2831789693555</v>
          </cell>
          <cell r="AU293">
            <v>1704.6553680634911</v>
          </cell>
        </row>
        <row r="294">
          <cell r="B294" t="str">
            <v>EBIT, operating profit (Pub)</v>
          </cell>
          <cell r="C294" t="str">
            <v>EBIT_PUB</v>
          </cell>
          <cell r="D294" t="str">
            <v>GBP</v>
          </cell>
          <cell r="F294">
            <v>748</v>
          </cell>
          <cell r="G294">
            <v>832</v>
          </cell>
          <cell r="H294">
            <v>919</v>
          </cell>
          <cell r="I294">
            <v>983</v>
          </cell>
          <cell r="J294">
            <v>1010</v>
          </cell>
          <cell r="K294">
            <v>1206</v>
          </cell>
          <cell r="L294">
            <v>1479</v>
          </cell>
          <cell r="M294">
            <v>1831</v>
          </cell>
          <cell r="N294">
            <v>1678</v>
          </cell>
          <cell r="O294">
            <v>1492</v>
          </cell>
          <cell r="P294">
            <v>915</v>
          </cell>
          <cell r="Q294">
            <v>306</v>
          </cell>
          <cell r="R294">
            <v>616</v>
          </cell>
          <cell r="S294">
            <v>808</v>
          </cell>
          <cell r="T294">
            <v>-2008</v>
          </cell>
          <cell r="U294">
            <v>414</v>
          </cell>
          <cell r="V294">
            <v>652</v>
          </cell>
          <cell r="W294">
            <v>1590</v>
          </cell>
          <cell r="X294">
            <v>2464</v>
          </cell>
          <cell r="Y294">
            <v>3256.5743278384039</v>
          </cell>
          <cell r="Z294">
            <v>3745.6243109738825</v>
          </cell>
          <cell r="AA294">
            <v>4161.6027541328567</v>
          </cell>
          <cell r="AB294">
            <v>4643.579843515603</v>
          </cell>
          <cell r="AC294">
            <v>5263.2430113273431</v>
          </cell>
          <cell r="AD294">
            <v>5849.0087420861919</v>
          </cell>
          <cell r="AE294"/>
          <cell r="AF294">
            <v>203</v>
          </cell>
          <cell r="AG294">
            <v>605</v>
          </cell>
          <cell r="AH294">
            <v>-1669</v>
          </cell>
          <cell r="AI294">
            <v>-339</v>
          </cell>
          <cell r="AJ294">
            <v>307</v>
          </cell>
          <cell r="AK294">
            <v>107</v>
          </cell>
          <cell r="AL294">
            <v>125</v>
          </cell>
          <cell r="AM294">
            <v>527</v>
          </cell>
          <cell r="AN294">
            <v>673</v>
          </cell>
          <cell r="AO294">
            <v>917</v>
          </cell>
          <cell r="AP294">
            <v>1149</v>
          </cell>
          <cell r="AQ294">
            <v>1315</v>
          </cell>
          <cell r="AR294">
            <v>1733</v>
          </cell>
          <cell r="AS294">
            <v>1523.5743278384039</v>
          </cell>
          <cell r="AT294">
            <v>1738.8810892093768</v>
          </cell>
          <cell r="AU294">
            <v>2006.7432217645057</v>
          </cell>
        </row>
        <row r="295">
          <cell r="B295" t="str">
            <v>Pre-tax profit (Pub)</v>
          </cell>
          <cell r="C295" t="str">
            <v>PTP_PUB</v>
          </cell>
          <cell r="D295" t="str">
            <v>GBP</v>
          </cell>
          <cell r="F295">
            <v>748</v>
          </cell>
          <cell r="G295">
            <v>832</v>
          </cell>
          <cell r="H295">
            <v>919</v>
          </cell>
          <cell r="I295">
            <v>983</v>
          </cell>
          <cell r="J295">
            <v>1010</v>
          </cell>
          <cell r="K295">
            <v>1206</v>
          </cell>
          <cell r="L295">
            <v>1479</v>
          </cell>
          <cell r="M295">
            <v>1831</v>
          </cell>
          <cell r="N295">
            <v>1617</v>
          </cell>
          <cell r="O295">
            <v>1432</v>
          </cell>
          <cell r="P295">
            <v>813</v>
          </cell>
          <cell r="Q295">
            <v>199</v>
          </cell>
          <cell r="R295">
            <v>466</v>
          </cell>
          <cell r="S295">
            <v>583</v>
          </cell>
          <cell r="T295">
            <v>-3994</v>
          </cell>
          <cell r="U295">
            <v>36</v>
          </cell>
          <cell r="V295">
            <v>206</v>
          </cell>
          <cell r="W295">
            <v>1262</v>
          </cell>
          <cell r="X295">
            <v>2293</v>
          </cell>
          <cell r="Y295">
            <v>3080.0369945050707</v>
          </cell>
          <cell r="Z295">
            <v>3716.1331716660088</v>
          </cell>
          <cell r="AA295">
            <v>4204.9760400409505</v>
          </cell>
          <cell r="AB295">
            <v>4730.4095694127327</v>
          </cell>
          <cell r="AC295">
            <v>5392.9922859662074</v>
          </cell>
          <cell r="AD295">
            <v>5996.6003748717267</v>
          </cell>
          <cell r="AE295"/>
          <cell r="AF295">
            <v>94</v>
          </cell>
          <cell r="AG295">
            <v>-983</v>
          </cell>
          <cell r="AH295">
            <v>-3244</v>
          </cell>
          <cell r="AI295">
            <v>-668</v>
          </cell>
          <cell r="AJ295">
            <v>133</v>
          </cell>
          <cell r="AK295">
            <v>327</v>
          </cell>
          <cell r="AL295">
            <v>-111</v>
          </cell>
          <cell r="AM295">
            <v>520</v>
          </cell>
          <cell r="AN295">
            <v>524</v>
          </cell>
          <cell r="AO295">
            <v>995</v>
          </cell>
          <cell r="AP295">
            <v>1035</v>
          </cell>
          <cell r="AQ295">
            <v>1241</v>
          </cell>
          <cell r="AR295">
            <v>1689</v>
          </cell>
          <cell r="AS295">
            <v>1042.0369945050704</v>
          </cell>
          <cell r="AT295">
            <v>2090.2973567731938</v>
          </cell>
          <cell r="AU295">
            <v>1625.8358148928148</v>
          </cell>
        </row>
        <row r="296">
          <cell r="B296" t="str">
            <v>Sales, revenue (Pub)</v>
          </cell>
          <cell r="C296" t="str">
            <v>REVS_PUB</v>
          </cell>
          <cell r="D296" t="str">
            <v>GBP</v>
          </cell>
          <cell r="F296">
            <v>7156</v>
          </cell>
          <cell r="G296">
            <v>7435</v>
          </cell>
          <cell r="H296">
            <v>9082</v>
          </cell>
          <cell r="I296">
            <v>10414</v>
          </cell>
          <cell r="J296">
            <v>11085</v>
          </cell>
          <cell r="K296">
            <v>11124</v>
          </cell>
          <cell r="L296">
            <v>12161</v>
          </cell>
          <cell r="M296">
            <v>15513</v>
          </cell>
          <cell r="N296">
            <v>13736</v>
          </cell>
          <cell r="O296">
            <v>13725</v>
          </cell>
          <cell r="P296">
            <v>14955</v>
          </cell>
          <cell r="Q296">
            <v>14747</v>
          </cell>
          <cell r="R296">
            <v>15729</v>
          </cell>
          <cell r="S296">
            <v>16587</v>
          </cell>
          <cell r="T296">
            <v>11491</v>
          </cell>
          <cell r="U296">
            <v>11218</v>
          </cell>
          <cell r="V296">
            <v>13520</v>
          </cell>
          <cell r="W296">
            <v>16486</v>
          </cell>
          <cell r="X296">
            <v>18909</v>
          </cell>
          <cell r="Y296">
            <v>20169.542352738506</v>
          </cell>
          <cell r="Z296">
            <v>21866.558848151377</v>
          </cell>
          <cell r="AA296">
            <v>23427.228784068495</v>
          </cell>
          <cell r="AB296">
            <v>25184.305443668211</v>
          </cell>
          <cell r="AC296">
            <v>27052.349075848215</v>
          </cell>
          <cell r="AD296">
            <v>29090.337553023943</v>
          </cell>
          <cell r="AE296"/>
          <cell r="AF296">
            <v>7208</v>
          </cell>
          <cell r="AG296">
            <v>8242</v>
          </cell>
          <cell r="AH296">
            <v>5561</v>
          </cell>
          <cell r="AI296">
            <v>5869</v>
          </cell>
          <cell r="AJ296">
            <v>5057</v>
          </cell>
          <cell r="AK296">
            <v>5890</v>
          </cell>
          <cell r="AL296">
            <v>5308</v>
          </cell>
          <cell r="AM296">
            <v>7383</v>
          </cell>
          <cell r="AN296">
            <v>6950</v>
          </cell>
          <cell r="AO296">
            <v>8459</v>
          </cell>
          <cell r="AP296">
            <v>8182</v>
          </cell>
          <cell r="AQ296">
            <v>9666</v>
          </cell>
          <cell r="AR296">
            <v>9057</v>
          </cell>
          <cell r="AS296">
            <v>10792.461259447166</v>
          </cell>
          <cell r="AT296">
            <v>9984.5093809082919</v>
          </cell>
          <cell r="AU296">
            <v>11834.431567427671</v>
          </cell>
        </row>
        <row r="297">
          <cell r="B297" t="str">
            <v>Total shareholders' equity (Pub)</v>
          </cell>
          <cell r="C297" t="str">
            <v>EQ_PUB</v>
          </cell>
          <cell r="D297" t="str">
            <v>GBP</v>
          </cell>
          <cell r="F297">
            <v>2725</v>
          </cell>
          <cell r="G297">
            <v>3549</v>
          </cell>
          <cell r="H297">
            <v>2531</v>
          </cell>
          <cell r="I297">
            <v>3782</v>
          </cell>
          <cell r="J297">
            <v>3979</v>
          </cell>
          <cell r="K297">
            <v>4402</v>
          </cell>
          <cell r="L297">
            <v>5996</v>
          </cell>
          <cell r="M297">
            <v>6303</v>
          </cell>
          <cell r="N297">
            <v>6387</v>
          </cell>
          <cell r="O297">
            <v>5016</v>
          </cell>
          <cell r="P297">
            <v>1864</v>
          </cell>
          <cell r="Q297">
            <v>933</v>
          </cell>
          <cell r="R297">
            <v>-1052</v>
          </cell>
          <cell r="S297">
            <v>-3354</v>
          </cell>
          <cell r="T297">
            <v>-4875</v>
          </cell>
          <cell r="U297">
            <v>-4636</v>
          </cell>
          <cell r="V297">
            <v>-6016</v>
          </cell>
          <cell r="W297">
            <v>-3629</v>
          </cell>
          <cell r="X297">
            <v>-881</v>
          </cell>
          <cell r="Y297">
            <v>-205.14684545494356</v>
          </cell>
          <cell r="Z297">
            <v>962.43323408383947</v>
          </cell>
          <cell r="AA297">
            <v>2356.5886664557447</v>
          </cell>
          <cell r="AB297">
            <v>4126.6137474710822</v>
          </cell>
          <cell r="AC297">
            <v>6266.2290037619487</v>
          </cell>
          <cell r="AD297">
            <v>8758.3723444709449</v>
          </cell>
          <cell r="AE297"/>
          <cell r="AF297"/>
          <cell r="AG297"/>
          <cell r="AH297"/>
          <cell r="AI297"/>
          <cell r="AJ297"/>
          <cell r="AK297"/>
          <cell r="AL297"/>
          <cell r="AM297"/>
          <cell r="AN297"/>
          <cell r="AO297"/>
          <cell r="AP297"/>
          <cell r="AQ297"/>
          <cell r="AR297"/>
          <cell r="AS297"/>
          <cell r="AT297"/>
          <cell r="AU297"/>
        </row>
        <row r="298">
          <cell r="A298" t="str">
            <v>Income Statement</v>
          </cell>
          <cell r="B298"/>
          <cell r="C298"/>
          <cell r="D298"/>
        </row>
        <row r="299">
          <cell r="B299" t="str">
            <v>Provision for income tax</v>
          </cell>
          <cell r="C299" t="str">
            <v>PROV_INC_TAX</v>
          </cell>
          <cell r="D299" t="str">
            <v>GBP</v>
          </cell>
          <cell r="F299">
            <v>0</v>
          </cell>
          <cell r="G299">
            <v>0</v>
          </cell>
          <cell r="H299">
            <v>0</v>
          </cell>
          <cell r="I299">
            <v>0</v>
          </cell>
          <cell r="J299">
            <v>0</v>
          </cell>
          <cell r="K299">
            <v>0</v>
          </cell>
          <cell r="L299">
            <v>0</v>
          </cell>
          <cell r="M299">
            <v>0</v>
          </cell>
          <cell r="N299">
            <v>-387</v>
          </cell>
          <cell r="O299">
            <v>-351</v>
          </cell>
          <cell r="P299">
            <v>-261</v>
          </cell>
          <cell r="Q299">
            <v>-155</v>
          </cell>
          <cell r="R299">
            <v>-161</v>
          </cell>
          <cell r="S299">
            <v>-277</v>
          </cell>
          <cell r="T299">
            <v>-46</v>
          </cell>
          <cell r="U299">
            <v>-26</v>
          </cell>
          <cell r="V299">
            <v>-48</v>
          </cell>
          <cell r="W299">
            <v>-120</v>
          </cell>
          <cell r="X299">
            <v>-282</v>
          </cell>
          <cell r="Y299">
            <v>-693.00832376364087</v>
          </cell>
          <cell r="Z299">
            <v>-929.03329291650221</v>
          </cell>
          <cell r="AA299">
            <v>-1051.2440100102376</v>
          </cell>
          <cell r="AB299">
            <v>-1182.6023923531832</v>
          </cell>
          <cell r="AC299">
            <v>-1348.2480714915519</v>
          </cell>
          <cell r="AD299">
            <v>-1499.1500937179317</v>
          </cell>
          <cell r="AE299"/>
          <cell r="AF299"/>
          <cell r="AG299"/>
          <cell r="AH299"/>
          <cell r="AI299"/>
          <cell r="AJ299"/>
          <cell r="AK299"/>
          <cell r="AL299"/>
          <cell r="AM299"/>
          <cell r="AN299"/>
          <cell r="AO299"/>
          <cell r="AP299"/>
          <cell r="AQ299"/>
          <cell r="AR299"/>
          <cell r="AS299"/>
          <cell r="AT299"/>
          <cell r="AU299"/>
        </row>
        <row r="300">
          <cell r="B300" t="str">
            <v>Minority interest</v>
          </cell>
          <cell r="C300" t="str">
            <v>INC_MINORITY</v>
          </cell>
          <cell r="D300" t="str">
            <v>GBP</v>
          </cell>
          <cell r="F300"/>
          <cell r="G300"/>
          <cell r="H300"/>
          <cell r="I300"/>
          <cell r="J300"/>
          <cell r="K300"/>
          <cell r="L300"/>
          <cell r="M300"/>
          <cell r="N300"/>
          <cell r="O300"/>
          <cell r="P300"/>
          <cell r="Q300"/>
          <cell r="R300"/>
          <cell r="S300"/>
          <cell r="T300"/>
          <cell r="U300"/>
          <cell r="V300"/>
          <cell r="W300"/>
          <cell r="X300"/>
          <cell r="Y300"/>
          <cell r="Z300"/>
          <cell r="AA300"/>
          <cell r="AB300"/>
          <cell r="AC300"/>
          <cell r="AD300"/>
          <cell r="AE300"/>
          <cell r="AF300"/>
          <cell r="AG300"/>
          <cell r="AH300"/>
          <cell r="AI300"/>
          <cell r="AJ300"/>
          <cell r="AK300"/>
          <cell r="AL300"/>
          <cell r="AM300"/>
          <cell r="AN300"/>
          <cell r="AO300"/>
          <cell r="AP300"/>
          <cell r="AQ300"/>
          <cell r="AR300"/>
          <cell r="AS300"/>
          <cell r="AT300"/>
          <cell r="AU300"/>
        </row>
        <row r="301">
          <cell r="B301" t="str">
            <v>Net income (pre-preferred dividends)</v>
          </cell>
          <cell r="C301" t="str">
            <v>NI_PRE_PREF</v>
          </cell>
          <cell r="D301" t="str">
            <v>GBP</v>
          </cell>
          <cell r="F301">
            <v>748</v>
          </cell>
          <cell r="G301">
            <v>832</v>
          </cell>
          <cell r="H301">
            <v>919</v>
          </cell>
          <cell r="I301">
            <v>983</v>
          </cell>
          <cell r="J301">
            <v>1010</v>
          </cell>
          <cell r="K301">
            <v>1206</v>
          </cell>
          <cell r="L301">
            <v>1479</v>
          </cell>
          <cell r="M301">
            <v>1831</v>
          </cell>
          <cell r="N301">
            <v>1230</v>
          </cell>
          <cell r="O301">
            <v>1081</v>
          </cell>
          <cell r="P301">
            <v>552</v>
          </cell>
          <cell r="Q301">
            <v>44</v>
          </cell>
          <cell r="R301">
            <v>305</v>
          </cell>
          <cell r="S301">
            <v>306</v>
          </cell>
          <cell r="T301">
            <v>-4040</v>
          </cell>
          <cell r="U301">
            <v>10</v>
          </cell>
          <cell r="V301">
            <v>158</v>
          </cell>
          <cell r="W301">
            <v>1142</v>
          </cell>
          <cell r="X301">
            <v>2011</v>
          </cell>
          <cell r="Y301">
            <v>2387.0286707414298</v>
          </cell>
          <cell r="Z301">
            <v>2787.0998787495064</v>
          </cell>
          <cell r="AA301">
            <v>3153.7320300307128</v>
          </cell>
          <cell r="AB301">
            <v>3547.8071770595498</v>
          </cell>
          <cell r="AC301">
            <v>4044.7442144746556</v>
          </cell>
          <cell r="AD301">
            <v>4497.450281153795</v>
          </cell>
          <cell r="AE301"/>
          <cell r="AF301"/>
          <cell r="AG301"/>
          <cell r="AH301"/>
          <cell r="AI301"/>
          <cell r="AJ301"/>
          <cell r="AK301"/>
          <cell r="AL301"/>
          <cell r="AM301"/>
          <cell r="AN301"/>
          <cell r="AO301"/>
          <cell r="AP301"/>
          <cell r="AQ301"/>
          <cell r="AR301"/>
          <cell r="AS301"/>
          <cell r="AT301"/>
          <cell r="AU301"/>
        </row>
        <row r="302">
          <cell r="B302" t="str">
            <v>Preferred dividends</v>
          </cell>
          <cell r="C302" t="str">
            <v>PREF_DIV</v>
          </cell>
          <cell r="D302" t="str">
            <v>GBP</v>
          </cell>
          <cell r="F302"/>
          <cell r="G302"/>
          <cell r="H302"/>
          <cell r="I302"/>
          <cell r="J302"/>
          <cell r="K302"/>
          <cell r="L302"/>
          <cell r="M302"/>
          <cell r="N302"/>
          <cell r="O302"/>
          <cell r="P302"/>
          <cell r="Q302"/>
          <cell r="R302"/>
          <cell r="S302"/>
          <cell r="T302"/>
          <cell r="U302"/>
          <cell r="V302"/>
          <cell r="W302"/>
          <cell r="X302"/>
          <cell r="Y302"/>
          <cell r="Z302"/>
          <cell r="AA302"/>
          <cell r="AB302"/>
          <cell r="AC302"/>
          <cell r="AD302"/>
          <cell r="AE302"/>
          <cell r="AF302"/>
          <cell r="AG302"/>
          <cell r="AH302"/>
          <cell r="AI302"/>
          <cell r="AJ302"/>
          <cell r="AK302"/>
          <cell r="AL302"/>
          <cell r="AM302"/>
          <cell r="AN302"/>
          <cell r="AO302"/>
          <cell r="AP302"/>
          <cell r="AQ302"/>
          <cell r="AR302"/>
          <cell r="AS302"/>
          <cell r="AT302"/>
          <cell r="AU302"/>
        </row>
        <row r="303">
          <cell r="B303" t="str">
            <v>Net income (pre-exceptionals)</v>
          </cell>
          <cell r="C303" t="str">
            <v>NET_EARNING</v>
          </cell>
          <cell r="D303" t="str">
            <v>GBP</v>
          </cell>
          <cell r="F303">
            <v>748</v>
          </cell>
          <cell r="G303">
            <v>832</v>
          </cell>
          <cell r="H303">
            <v>919</v>
          </cell>
          <cell r="I303">
            <v>983</v>
          </cell>
          <cell r="J303">
            <v>1010</v>
          </cell>
          <cell r="K303">
            <v>1206</v>
          </cell>
          <cell r="L303">
            <v>1479</v>
          </cell>
          <cell r="M303">
            <v>1831</v>
          </cell>
          <cell r="N303">
            <v>1230</v>
          </cell>
          <cell r="O303">
            <v>1081</v>
          </cell>
          <cell r="P303">
            <v>552</v>
          </cell>
          <cell r="Q303">
            <v>44</v>
          </cell>
          <cell r="R303">
            <v>305</v>
          </cell>
          <cell r="S303">
            <v>306</v>
          </cell>
          <cell r="T303">
            <v>-4040</v>
          </cell>
          <cell r="U303">
            <v>10</v>
          </cell>
          <cell r="V303">
            <v>158</v>
          </cell>
          <cell r="W303">
            <v>1142</v>
          </cell>
          <cell r="X303">
            <v>2011</v>
          </cell>
          <cell r="Y303">
            <v>2387.0286707414298</v>
          </cell>
          <cell r="Z303">
            <v>2787.0998787495064</v>
          </cell>
          <cell r="AA303">
            <v>3153.7320300307128</v>
          </cell>
          <cell r="AB303">
            <v>3547.8071770595498</v>
          </cell>
          <cell r="AC303">
            <v>4044.7442144746556</v>
          </cell>
          <cell r="AD303">
            <v>4497.450281153795</v>
          </cell>
          <cell r="AE303"/>
          <cell r="AF303"/>
          <cell r="AG303"/>
          <cell r="AH303"/>
          <cell r="AI303"/>
          <cell r="AJ303"/>
          <cell r="AK303"/>
          <cell r="AL303"/>
          <cell r="AM303"/>
          <cell r="AN303"/>
          <cell r="AO303"/>
          <cell r="AP303"/>
          <cell r="AQ303"/>
          <cell r="AR303"/>
          <cell r="AS303"/>
          <cell r="AT303"/>
          <cell r="AU303"/>
        </row>
        <row r="304">
          <cell r="B304" t="str">
            <v>Post-tax exceptionals</v>
          </cell>
          <cell r="C304" t="str">
            <v>TAX_EXC</v>
          </cell>
          <cell r="D304" t="str">
            <v>GBP</v>
          </cell>
          <cell r="F304">
            <v>246</v>
          </cell>
          <cell r="G304">
            <v>-232</v>
          </cell>
          <cell r="H304">
            <v>-2264</v>
          </cell>
          <cell r="I304">
            <v>1234</v>
          </cell>
          <cell r="J304">
            <v>-467</v>
          </cell>
          <cell r="K304">
            <v>-358</v>
          </cell>
          <cell r="L304">
            <v>856</v>
          </cell>
          <cell r="M304">
            <v>-452</v>
          </cell>
          <cell r="N304">
            <v>-1314</v>
          </cell>
          <cell r="O304">
            <v>-997</v>
          </cell>
          <cell r="P304">
            <v>-4584</v>
          </cell>
          <cell r="Q304">
            <v>3339</v>
          </cell>
          <cell r="R304">
            <v>-2698</v>
          </cell>
          <cell r="S304">
            <v>-1617</v>
          </cell>
          <cell r="T304">
            <v>939</v>
          </cell>
          <cell r="U304">
            <v>114</v>
          </cell>
          <cell r="V304">
            <v>-1352</v>
          </cell>
          <cell r="W304">
            <v>1262</v>
          </cell>
          <cell r="X304">
            <v>473</v>
          </cell>
          <cell r="Y304">
            <v>-169.40203469777907</v>
          </cell>
          <cell r="Z304">
            <v>-37.161331716659788</v>
          </cell>
          <cell r="AA304">
            <v>-42.049760400409468</v>
          </cell>
          <cell r="AB304">
            <v>-47.304095694127682</v>
          </cell>
          <cell r="AC304">
            <v>-53.929922859661929</v>
          </cell>
          <cell r="AD304">
            <v>0</v>
          </cell>
          <cell r="AE304"/>
          <cell r="AF304"/>
          <cell r="AG304"/>
          <cell r="AH304"/>
          <cell r="AI304"/>
          <cell r="AJ304"/>
          <cell r="AK304"/>
          <cell r="AL304"/>
          <cell r="AM304"/>
          <cell r="AN304"/>
          <cell r="AO304"/>
          <cell r="AP304"/>
          <cell r="AQ304"/>
          <cell r="AR304"/>
          <cell r="AS304"/>
          <cell r="AT304"/>
          <cell r="AU304"/>
        </row>
        <row r="305">
          <cell r="B305" t="str">
            <v>Net income (post-exceptionals)</v>
          </cell>
          <cell r="C305" t="str">
            <v>NET_INC</v>
          </cell>
          <cell r="D305" t="str">
            <v>GBP</v>
          </cell>
          <cell r="F305">
            <v>994</v>
          </cell>
          <cell r="G305">
            <v>600</v>
          </cell>
          <cell r="H305">
            <v>-1345</v>
          </cell>
          <cell r="I305">
            <v>2217</v>
          </cell>
          <cell r="J305">
            <v>543</v>
          </cell>
          <cell r="K305">
            <v>848</v>
          </cell>
          <cell r="L305">
            <v>2335</v>
          </cell>
          <cell r="M305">
            <v>1379</v>
          </cell>
          <cell r="N305">
            <v>-84</v>
          </cell>
          <cell r="O305">
            <v>84</v>
          </cell>
          <cell r="P305">
            <v>-4032</v>
          </cell>
          <cell r="Q305">
            <v>3383</v>
          </cell>
          <cell r="R305">
            <v>-2393</v>
          </cell>
          <cell r="S305">
            <v>-1311</v>
          </cell>
          <cell r="T305">
            <v>-3101</v>
          </cell>
          <cell r="U305">
            <v>124</v>
          </cell>
          <cell r="V305">
            <v>-1194</v>
          </cell>
          <cell r="W305">
            <v>2404</v>
          </cell>
          <cell r="X305">
            <v>2484</v>
          </cell>
          <cell r="Y305">
            <v>2217.6266360436507</v>
          </cell>
          <cell r="Z305">
            <v>2749.9385470328466</v>
          </cell>
          <cell r="AA305">
            <v>3111.6822696303034</v>
          </cell>
          <cell r="AB305">
            <v>3500.5030813654221</v>
          </cell>
          <cell r="AC305">
            <v>3990.8142916149936</v>
          </cell>
          <cell r="AD305">
            <v>4497.450281153795</v>
          </cell>
          <cell r="AE305"/>
          <cell r="AF305"/>
          <cell r="AG305"/>
          <cell r="AH305"/>
          <cell r="AI305"/>
          <cell r="AJ305"/>
          <cell r="AK305"/>
          <cell r="AL305"/>
          <cell r="AM305"/>
          <cell r="AN305"/>
          <cell r="AO305"/>
          <cell r="AP305"/>
          <cell r="AQ305"/>
          <cell r="AR305"/>
          <cell r="AS305"/>
          <cell r="AT305"/>
          <cell r="AU305"/>
        </row>
        <row r="306">
          <cell r="B306" t="str">
            <v>EPS (pre-exceptionals, basic)</v>
          </cell>
          <cell r="C306" t="str">
            <v>EPS</v>
          </cell>
          <cell r="D306" t="str">
            <v>GBP</v>
          </cell>
          <cell r="F306">
            <v>14.743832519751281</v>
          </cell>
          <cell r="G306">
            <v>15.862015991421547</v>
          </cell>
          <cell r="H306">
            <v>17.328129525708952</v>
          </cell>
          <cell r="I306">
            <v>18.283726219004901</v>
          </cell>
          <cell r="J306">
            <v>18.775747635482887</v>
          </cell>
          <cell r="K306">
            <v>22.370883780001229</v>
          </cell>
          <cell r="L306">
            <v>27.420117875708065</v>
          </cell>
          <cell r="M306">
            <v>33.673190483891354</v>
          </cell>
          <cell r="N306">
            <v>22.523873889797187</v>
          </cell>
          <cell r="O306">
            <v>58.781946710168562</v>
          </cell>
          <cell r="P306">
            <v>30.130000000001484</v>
          </cell>
          <cell r="Q306">
            <v>2.3991275899672848</v>
          </cell>
          <cell r="R306">
            <v>16.40597667638491</v>
          </cell>
          <cell r="S306">
            <v>5.5152098871271686</v>
          </cell>
          <cell r="T306">
            <v>-67.479539001169201</v>
          </cell>
          <cell r="U306">
            <v>0.1200192030724916</v>
          </cell>
          <cell r="V306">
            <v>1.8924422086477422</v>
          </cell>
          <cell r="W306">
            <v>13.658653271139814</v>
          </cell>
          <cell r="X306">
            <v>23.974725798760133</v>
          </cell>
          <cell r="Y306">
            <v>28.839684847598225</v>
          </cell>
          <cell r="Z306">
            <v>34.131468607121263</v>
          </cell>
          <cell r="AA306">
            <v>39.154097376643513</v>
          </cell>
          <cell r="AB306">
            <v>44.662709944519598</v>
          </cell>
          <cell r="AC306">
            <v>51.640892484639252</v>
          </cell>
          <cell r="AD306">
            <v>58.247068051551487</v>
          </cell>
          <cell r="AE306"/>
          <cell r="AF306"/>
          <cell r="AG306"/>
          <cell r="AH306"/>
          <cell r="AI306"/>
          <cell r="AJ306"/>
          <cell r="AK306"/>
          <cell r="AL306"/>
          <cell r="AM306"/>
          <cell r="AN306"/>
          <cell r="AO306"/>
          <cell r="AP306"/>
          <cell r="AQ306"/>
          <cell r="AR306"/>
          <cell r="AS306"/>
          <cell r="AT306"/>
          <cell r="AU306"/>
        </row>
        <row r="307">
          <cell r="B307" t="str">
            <v>EPS (pre-exceptionals, diluted)</v>
          </cell>
          <cell r="C307" t="str">
            <v>EPS_FUL_DIL</v>
          </cell>
          <cell r="D307" t="str">
            <v>GBP</v>
          </cell>
          <cell r="F307">
            <v>14.181774815959661</v>
          </cell>
          <cell r="G307">
            <v>15.53407442032578</v>
          </cell>
          <cell r="H307">
            <v>17.328129525708952</v>
          </cell>
          <cell r="I307">
            <v>18.087654087969998</v>
          </cell>
          <cell r="J307">
            <v>18.534775473316262</v>
          </cell>
          <cell r="K307">
            <v>22.07260532960121</v>
          </cell>
          <cell r="L307">
            <v>27.054711187598951</v>
          </cell>
          <cell r="M307">
            <v>33.298449095358379</v>
          </cell>
          <cell r="N307">
            <v>22.309587563150068</v>
          </cell>
          <cell r="O307">
            <v>58.400864397622911</v>
          </cell>
          <cell r="P307">
            <v>30.130000000001484</v>
          </cell>
          <cell r="Q307">
            <v>2.3913043478260869</v>
          </cell>
          <cell r="R307">
            <v>16.40597667638491</v>
          </cell>
          <cell r="S307">
            <v>5.5152098871271686</v>
          </cell>
          <cell r="T307">
            <v>-67.479539001169172</v>
          </cell>
          <cell r="U307">
            <v>0.11973180076628352</v>
          </cell>
          <cell r="V307">
            <v>1.8924422086477422</v>
          </cell>
          <cell r="W307">
            <v>13.587150505651399</v>
          </cell>
          <cell r="X307">
            <v>23.829837658490344</v>
          </cell>
          <cell r="Y307">
            <v>28.663070588348205</v>
          </cell>
          <cell r="Z307">
            <v>33.919620977059886</v>
          </cell>
          <cell r="AA307">
            <v>38.907743924382679</v>
          </cell>
          <cell r="AB307">
            <v>44.377791265633476</v>
          </cell>
          <cell r="AC307">
            <v>51.306814463886198</v>
          </cell>
          <cell r="AD307">
            <v>57.864866164006443</v>
          </cell>
          <cell r="AE307"/>
          <cell r="AF307"/>
          <cell r="AG307"/>
          <cell r="AH307"/>
          <cell r="AI307"/>
          <cell r="AJ307"/>
          <cell r="AK307"/>
          <cell r="AL307"/>
          <cell r="AM307"/>
          <cell r="AN307"/>
          <cell r="AO307"/>
          <cell r="AP307"/>
          <cell r="AQ307"/>
          <cell r="AR307"/>
          <cell r="AS307"/>
          <cell r="AT307"/>
          <cell r="AU307"/>
        </row>
        <row r="308">
          <cell r="B308" t="str">
            <v>EPS (post-exceptionals, basic)</v>
          </cell>
          <cell r="C308" t="str">
            <v>EPS_POST_BASIC</v>
          </cell>
          <cell r="D308" t="str">
            <v>GBP</v>
          </cell>
          <cell r="F308">
            <v>19.592740006193548</v>
          </cell>
          <cell r="G308">
            <v>11.438953839967461</v>
          </cell>
          <cell r="H308">
            <v>-25.360537771576215</v>
          </cell>
          <cell r="I308">
            <v>41.23603359871197</v>
          </cell>
          <cell r="J308">
            <v>10.094288085215055</v>
          </cell>
          <cell r="K308">
            <v>15.730107334528226</v>
          </cell>
          <cell r="L308">
            <v>43.290044110735856</v>
          </cell>
          <cell r="M308">
            <v>25.360638818834612</v>
          </cell>
          <cell r="N308">
            <v>-1.538215777839808</v>
          </cell>
          <cell r="O308">
            <v>4.5676998368678632</v>
          </cell>
          <cell r="P308">
            <v>-220.08000000001084</v>
          </cell>
          <cell r="Q308">
            <v>184.46019629225736</v>
          </cell>
          <cell r="R308">
            <v>-128.71967930029209</v>
          </cell>
          <cell r="S308">
            <v>-23.628889418378165</v>
          </cell>
          <cell r="T308">
            <v>-51.795557040253883</v>
          </cell>
          <cell r="U308">
            <v>1.4882381180988957</v>
          </cell>
          <cell r="V308">
            <v>-14.301113905856988</v>
          </cell>
          <cell r="W308">
            <v>28.752541562014112</v>
          </cell>
          <cell r="X308">
            <v>29.613733905579398</v>
          </cell>
          <cell r="Y308">
            <v>26.792997535833184</v>
          </cell>
          <cell r="Z308">
            <v>33.67638235902632</v>
          </cell>
          <cell r="AA308">
            <v>38.632042744954937</v>
          </cell>
          <cell r="AB308">
            <v>44.067207145259331</v>
          </cell>
          <cell r="AC308">
            <v>50.95234725151073</v>
          </cell>
          <cell r="AD308">
            <v>58.247068051551487</v>
          </cell>
          <cell r="AE308"/>
          <cell r="AF308"/>
          <cell r="AG308"/>
          <cell r="AH308"/>
          <cell r="AI308"/>
          <cell r="AJ308"/>
          <cell r="AK308"/>
          <cell r="AL308"/>
          <cell r="AM308"/>
          <cell r="AN308"/>
          <cell r="AO308"/>
          <cell r="AP308"/>
          <cell r="AQ308"/>
          <cell r="AR308"/>
          <cell r="AS308"/>
          <cell r="AT308"/>
          <cell r="AU308"/>
        </row>
        <row r="309">
          <cell r="B309" t="str">
            <v>EPS (post-exceptionals, diluted)</v>
          </cell>
          <cell r="C309" t="str">
            <v>FULLY_DIL_EPS</v>
          </cell>
          <cell r="D309" t="str">
            <v>GBP</v>
          </cell>
          <cell r="F309">
            <v>18.845834447946391</v>
          </cell>
          <cell r="G309">
            <v>11.202457514658013</v>
          </cell>
          <cell r="H309">
            <v>-25.360537771576215</v>
          </cell>
          <cell r="I309">
            <v>40.793824123122569</v>
          </cell>
          <cell r="J309">
            <v>9.9647357247630985</v>
          </cell>
          <cell r="K309">
            <v>15.520372570067851</v>
          </cell>
          <cell r="L309">
            <v>42.713151198812405</v>
          </cell>
          <cell r="M309">
            <v>25.078405954396072</v>
          </cell>
          <cell r="N309">
            <v>-1.5235815896785414</v>
          </cell>
          <cell r="O309">
            <v>4.5380875202593192</v>
          </cell>
          <cell r="P309">
            <v>-220.08000000001084</v>
          </cell>
          <cell r="Q309">
            <v>183.85869565217391</v>
          </cell>
          <cell r="R309">
            <v>-128.71967930029209</v>
          </cell>
          <cell r="S309">
            <v>-23.628889418378161</v>
          </cell>
          <cell r="T309">
            <v>-51.795557040253868</v>
          </cell>
          <cell r="U309">
            <v>1.4846743295019158</v>
          </cell>
          <cell r="V309">
            <v>-14.301113905856988</v>
          </cell>
          <cell r="W309">
            <v>28.602022605591909</v>
          </cell>
          <cell r="X309">
            <v>29.434767152506218</v>
          </cell>
          <cell r="Y309">
            <v>26.628917191755754</v>
          </cell>
          <cell r="Z309">
            <v>33.467359364032426</v>
          </cell>
          <cell r="AA309">
            <v>38.388974005390914</v>
          </cell>
          <cell r="AB309">
            <v>43.786087382091694</v>
          </cell>
          <cell r="AC309">
            <v>50.622723604367714</v>
          </cell>
          <cell r="AD309">
            <v>57.864866164006443</v>
          </cell>
          <cell r="AE309"/>
          <cell r="AF309"/>
          <cell r="AG309"/>
          <cell r="AH309"/>
          <cell r="AI309"/>
          <cell r="AJ309"/>
          <cell r="AK309"/>
          <cell r="AL309"/>
          <cell r="AM309"/>
          <cell r="AN309"/>
          <cell r="AO309"/>
          <cell r="AP309"/>
          <cell r="AQ309"/>
          <cell r="AR309"/>
          <cell r="AS309"/>
          <cell r="AT309"/>
          <cell r="AU309"/>
        </row>
        <row r="310">
          <cell r="B310" t="str">
            <v>Common dividends paid</v>
          </cell>
          <cell r="C310" t="str">
            <v>COMMON_DIV_PAID</v>
          </cell>
          <cell r="D310" t="str">
            <v>GBP</v>
          </cell>
          <cell r="F310">
            <v>-172</v>
          </cell>
          <cell r="G310">
            <v>-237</v>
          </cell>
          <cell r="H310">
            <v>-263</v>
          </cell>
          <cell r="I310">
            <v>-299</v>
          </cell>
          <cell r="J310">
            <v>-278</v>
          </cell>
          <cell r="K310">
            <v>-328</v>
          </cell>
          <cell r="L310">
            <v>-365</v>
          </cell>
          <cell r="M310">
            <v>-415</v>
          </cell>
          <cell r="N310">
            <v>-435</v>
          </cell>
          <cell r="O310">
            <v>-303</v>
          </cell>
          <cell r="P310">
            <v>-214</v>
          </cell>
          <cell r="Q310">
            <v>-215</v>
          </cell>
          <cell r="R310">
            <v>-218</v>
          </cell>
          <cell r="S310">
            <v>-223</v>
          </cell>
          <cell r="T310">
            <v>0</v>
          </cell>
          <cell r="U310">
            <v>0</v>
          </cell>
          <cell r="V310">
            <v>0</v>
          </cell>
          <cell r="W310">
            <v>0</v>
          </cell>
          <cell r="X310">
            <v>-503.28</v>
          </cell>
          <cell r="Y310">
            <v>-751.44888792984318</v>
          </cell>
          <cell r="Z310">
            <v>-889.59146180609457</v>
          </cell>
          <cell r="AA310">
            <v>-1006.6759554746899</v>
          </cell>
          <cell r="AB310">
            <v>-1132.7990679508177</v>
          </cell>
          <cell r="AC310">
            <v>-1291.8720438812286</v>
          </cell>
          <cell r="AD310">
            <v>-1437.420739125753</v>
          </cell>
          <cell r="AE310"/>
          <cell r="AF310"/>
          <cell r="AG310"/>
          <cell r="AH310"/>
          <cell r="AI310"/>
          <cell r="AJ310"/>
          <cell r="AK310"/>
          <cell r="AL310"/>
          <cell r="AM310"/>
          <cell r="AN310"/>
          <cell r="AO310"/>
          <cell r="AP310"/>
          <cell r="AQ310"/>
          <cell r="AR310"/>
          <cell r="AS310"/>
          <cell r="AT310"/>
          <cell r="AU310"/>
        </row>
        <row r="311">
          <cell r="B311" t="str">
            <v>DPS, dividend per share</v>
          </cell>
          <cell r="C311" t="str">
            <v>DPS</v>
          </cell>
          <cell r="D311" t="str">
            <v>GBP</v>
          </cell>
          <cell r="F311">
            <v>3.261049823990724</v>
          </cell>
          <cell r="G311">
            <v>4.4249707182899156</v>
          </cell>
          <cell r="H311">
            <v>4.9589750438100699</v>
          </cell>
          <cell r="I311">
            <v>5.5017381203489615</v>
          </cell>
          <cell r="J311">
            <v>5.1016510708731886</v>
          </cell>
          <cell r="K311">
            <v>6.0031629752149236</v>
          </cell>
          <cell r="L311">
            <v>6.6767880888935869</v>
          </cell>
          <cell r="M311">
            <v>7.5471635033171642</v>
          </cell>
          <cell r="N311">
            <v>7.8899760894067317</v>
          </cell>
          <cell r="O311">
            <v>16.369529983792543</v>
          </cell>
          <cell r="P311">
            <v>11.680833333333908</v>
          </cell>
          <cell r="Q311">
            <v>11.684782608695652</v>
          </cell>
          <cell r="R311">
            <v>11.726239067055443</v>
          </cell>
          <cell r="S311">
            <v>4.0192542641482305</v>
          </cell>
          <cell r="T311">
            <v>0</v>
          </cell>
          <cell r="U311">
            <v>0</v>
          </cell>
          <cell r="V311">
            <v>0</v>
          </cell>
          <cell r="W311">
            <v>0</v>
          </cell>
          <cell r="X311">
            <v>6</v>
          </cell>
          <cell r="Y311">
            <v>9.0788809420724217</v>
          </cell>
          <cell r="Z311">
            <v>10.894142432176089</v>
          </cell>
          <cell r="AA311">
            <v>12.498046128224093</v>
          </cell>
          <cell r="AB311">
            <v>14.260604839083198</v>
          </cell>
          <cell r="AC311">
            <v>16.493855182050527</v>
          </cell>
          <cell r="AD311">
            <v>18.616224388608444</v>
          </cell>
          <cell r="AE311"/>
          <cell r="AF311"/>
          <cell r="AG311"/>
          <cell r="AH311"/>
          <cell r="AI311"/>
          <cell r="AJ311"/>
          <cell r="AK311"/>
          <cell r="AL311"/>
          <cell r="AM311"/>
          <cell r="AN311"/>
          <cell r="AO311"/>
          <cell r="AP311"/>
          <cell r="AQ311"/>
          <cell r="AR311"/>
          <cell r="AS311"/>
          <cell r="AT311"/>
          <cell r="AU311"/>
        </row>
        <row r="312">
          <cell r="B312" t="str">
            <v>Weighted average shares outstanding, basic</v>
          </cell>
          <cell r="C312" t="str">
            <v>SH</v>
          </cell>
          <cell r="F312">
            <v>5073.3077644361238</v>
          </cell>
          <cell r="G312">
            <v>5245.2349086645736</v>
          </cell>
          <cell r="H312">
            <v>5303.5152965386242</v>
          </cell>
          <cell r="I312">
            <v>5376.3657813811878</v>
          </cell>
          <cell r="J312">
            <v>5379.2798007748906</v>
          </cell>
          <cell r="K312">
            <v>5390.9358783497009</v>
          </cell>
          <cell r="L312">
            <v>5393.8498977434028</v>
          </cell>
          <cell r="M312">
            <v>5437.5601886489412</v>
          </cell>
          <cell r="N312">
            <v>5460.8723437985618</v>
          </cell>
          <cell r="O312">
            <v>1839</v>
          </cell>
          <cell r="P312">
            <v>1832.0610687021999</v>
          </cell>
          <cell r="Q312">
            <v>1834</v>
          </cell>
          <cell r="R312">
            <v>1859.0785907858999</v>
          </cell>
          <cell r="S312">
            <v>5548.2929256096377</v>
          </cell>
          <cell r="T312">
            <v>5987</v>
          </cell>
          <cell r="U312">
            <v>8332</v>
          </cell>
          <cell r="V312">
            <v>8349</v>
          </cell>
          <cell r="W312">
            <v>8361</v>
          </cell>
          <cell r="X312">
            <v>8388</v>
          </cell>
          <cell r="Y312">
            <v>8276.8888888888887</v>
          </cell>
          <cell r="Z312">
            <v>8165.7777777777774</v>
          </cell>
          <cell r="AA312">
            <v>8054.6666666666661</v>
          </cell>
          <cell r="AB312">
            <v>7943.5555555555547</v>
          </cell>
          <cell r="AC312">
            <v>7832.4444444444434</v>
          </cell>
          <cell r="AD312">
            <v>7721.3333333333321</v>
          </cell>
          <cell r="AE312"/>
          <cell r="AF312"/>
          <cell r="AG312"/>
          <cell r="AH312"/>
          <cell r="AI312"/>
          <cell r="AJ312"/>
          <cell r="AK312"/>
          <cell r="AL312"/>
          <cell r="AM312"/>
          <cell r="AN312"/>
          <cell r="AO312"/>
          <cell r="AP312"/>
          <cell r="AQ312"/>
          <cell r="AR312"/>
          <cell r="AS312"/>
          <cell r="AT312"/>
          <cell r="AU312"/>
        </row>
        <row r="313">
          <cell r="B313" t="str">
            <v>Diluted average shares outstanding (mn)</v>
          </cell>
          <cell r="C313" t="str">
            <v>DILUTE_SHARES</v>
          </cell>
          <cell r="F313">
            <v>5274.3751026015989</v>
          </cell>
          <cell r="G313">
            <v>5355.9676456252701</v>
          </cell>
          <cell r="H313">
            <v>5303.5152965386242</v>
          </cell>
          <cell r="I313">
            <v>5434.6461692552384</v>
          </cell>
          <cell r="J313">
            <v>5449.2162662237515</v>
          </cell>
          <cell r="K313">
            <v>5463.7863631922646</v>
          </cell>
          <cell r="L313">
            <v>5466.7003825859665</v>
          </cell>
          <cell r="M313">
            <v>5498.7545959166946</v>
          </cell>
          <cell r="N313">
            <v>5513.3246928852077</v>
          </cell>
          <cell r="O313">
            <v>1851</v>
          </cell>
          <cell r="P313">
            <v>1832.0610687021999</v>
          </cell>
          <cell r="Q313">
            <v>1840</v>
          </cell>
          <cell r="R313">
            <v>1859.0785907858999</v>
          </cell>
          <cell r="S313">
            <v>5548.2929256096386</v>
          </cell>
          <cell r="T313">
            <v>5987.0000000000018</v>
          </cell>
          <cell r="U313">
            <v>8352</v>
          </cell>
          <cell r="V313">
            <v>8349</v>
          </cell>
          <cell r="W313">
            <v>8405</v>
          </cell>
          <cell r="X313">
            <v>8439</v>
          </cell>
          <cell r="Y313">
            <v>8327.8888888888905</v>
          </cell>
          <cell r="Z313">
            <v>8216.7777777777792</v>
          </cell>
          <cell r="AA313">
            <v>8105.6666666666679</v>
          </cell>
          <cell r="AB313">
            <v>7994.5555555555566</v>
          </cell>
          <cell r="AC313">
            <v>7883.4444444444453</v>
          </cell>
          <cell r="AD313">
            <v>7772.3333333333339</v>
          </cell>
          <cell r="AE313"/>
          <cell r="AF313"/>
          <cell r="AG313"/>
          <cell r="AH313"/>
          <cell r="AI313"/>
          <cell r="AJ313"/>
          <cell r="AK313"/>
          <cell r="AL313"/>
          <cell r="AM313"/>
          <cell r="AN313"/>
          <cell r="AO313"/>
          <cell r="AP313"/>
          <cell r="AQ313"/>
          <cell r="AR313"/>
          <cell r="AS313"/>
          <cell r="AT313"/>
          <cell r="AU313"/>
        </row>
        <row r="314">
          <cell r="B314" t="str">
            <v>Period-end shares outstanding</v>
          </cell>
          <cell r="C314" t="str">
            <v>NON_OP_ADD</v>
          </cell>
          <cell r="F314">
            <v>5073.3077644361238</v>
          </cell>
          <cell r="G314">
            <v>5245.2349086645736</v>
          </cell>
          <cell r="H314">
            <v>5303.5152965386242</v>
          </cell>
          <cell r="I314">
            <v>5376.3657813811878</v>
          </cell>
          <cell r="J314">
            <v>5379.2798007748906</v>
          </cell>
          <cell r="K314">
            <v>5390.9358783497009</v>
          </cell>
          <cell r="L314">
            <v>5393.8498977434028</v>
          </cell>
          <cell r="M314">
            <v>5437.5601886489412</v>
          </cell>
          <cell r="N314">
            <v>5460.8723437985618</v>
          </cell>
          <cell r="O314">
            <v>1839</v>
          </cell>
          <cell r="P314">
            <v>1832.0610687021999</v>
          </cell>
          <cell r="Q314">
            <v>1834</v>
          </cell>
          <cell r="R314">
            <v>1859.0785907858999</v>
          </cell>
          <cell r="S314">
            <v>5548.2929256096377</v>
          </cell>
          <cell r="T314">
            <v>5987</v>
          </cell>
          <cell r="U314">
            <v>8332</v>
          </cell>
          <cell r="V314">
            <v>8349</v>
          </cell>
          <cell r="W314">
            <v>8361</v>
          </cell>
          <cell r="X314">
            <v>8388</v>
          </cell>
          <cell r="Y314">
            <v>8276.8888888888887</v>
          </cell>
          <cell r="Z314">
            <v>8165.7777777777774</v>
          </cell>
          <cell r="AA314">
            <v>8054.6666666666661</v>
          </cell>
          <cell r="AB314">
            <v>7943.5555555555547</v>
          </cell>
          <cell r="AC314">
            <v>7832.4444444444434</v>
          </cell>
          <cell r="AD314">
            <v>7721.3333333333321</v>
          </cell>
          <cell r="AE314"/>
          <cell r="AF314"/>
          <cell r="AG314"/>
          <cell r="AH314"/>
          <cell r="AI314"/>
          <cell r="AJ314"/>
          <cell r="AK314"/>
          <cell r="AL314"/>
          <cell r="AM314"/>
          <cell r="AN314"/>
          <cell r="AO314"/>
          <cell r="AP314"/>
          <cell r="AQ314"/>
          <cell r="AR314"/>
          <cell r="AS314"/>
          <cell r="AT314"/>
          <cell r="AU314"/>
        </row>
        <row r="315">
          <cell r="A315" t="str">
            <v>Additional Income Statement Items</v>
          </cell>
          <cell r="B315"/>
          <cell r="C315"/>
          <cell r="D315"/>
        </row>
        <row r="316">
          <cell r="B316" t="str">
            <v>Organic net income (excl. acquisitions)</v>
          </cell>
          <cell r="C316" t="str">
            <v>ORG_NI</v>
          </cell>
          <cell r="D316" t="str">
            <v>GBP</v>
          </cell>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cell r="AP316"/>
          <cell r="AQ316"/>
          <cell r="AR316"/>
          <cell r="AS316"/>
          <cell r="AT316"/>
          <cell r="AU316"/>
        </row>
        <row r="317">
          <cell r="B317" t="str">
            <v>Organic EPS (excl. acquisitions)</v>
          </cell>
          <cell r="C317" t="str">
            <v>ORG_EPS</v>
          </cell>
          <cell r="D317" t="str">
            <v>GBP</v>
          </cell>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cell r="AP317"/>
          <cell r="AQ317"/>
          <cell r="AR317"/>
          <cell r="AS317"/>
          <cell r="AT317"/>
          <cell r="AU317"/>
        </row>
        <row r="318">
          <cell r="B318" t="str">
            <v>Marginal tax rate</v>
          </cell>
          <cell r="C318" t="str">
            <v>MARGIN_TAX_RATE</v>
          </cell>
          <cell r="F318">
            <v>0</v>
          </cell>
          <cell r="G318">
            <v>0</v>
          </cell>
          <cell r="H318">
            <v>0</v>
          </cell>
          <cell r="I318">
            <v>0</v>
          </cell>
          <cell r="J318">
            <v>0</v>
          </cell>
          <cell r="K318">
            <v>0</v>
          </cell>
          <cell r="L318">
            <v>0</v>
          </cell>
          <cell r="M318">
            <v>0</v>
          </cell>
          <cell r="N318">
            <v>0.23933209647495363</v>
          </cell>
          <cell r="O318">
            <v>0.24511173184357543</v>
          </cell>
          <cell r="P318">
            <v>0.3210332103321033</v>
          </cell>
          <cell r="Q318">
            <v>0.77889447236180909</v>
          </cell>
          <cell r="R318">
            <v>0.34549356223175964</v>
          </cell>
          <cell r="S318">
            <v>0.47512864493996571</v>
          </cell>
          <cell r="T318">
            <v>0</v>
          </cell>
          <cell r="U318">
            <v>0.72222222222222221</v>
          </cell>
          <cell r="V318">
            <v>0.23300970873786409</v>
          </cell>
          <cell r="W318">
            <v>9.5087163232963554E-2</v>
          </cell>
          <cell r="X318">
            <v>0.1229829917139119</v>
          </cell>
          <cell r="Y318">
            <v>0.22500000000000001</v>
          </cell>
          <cell r="Z318">
            <v>0.25</v>
          </cell>
          <cell r="AA318">
            <v>0.25</v>
          </cell>
          <cell r="AB318">
            <v>0.25</v>
          </cell>
          <cell r="AC318">
            <v>0.25</v>
          </cell>
          <cell r="AD318">
            <v>0.25</v>
          </cell>
          <cell r="AE318"/>
          <cell r="AF318"/>
          <cell r="AG318"/>
          <cell r="AH318"/>
          <cell r="AI318"/>
          <cell r="AJ318"/>
          <cell r="AK318"/>
          <cell r="AL318"/>
          <cell r="AM318"/>
          <cell r="AN318"/>
          <cell r="AO318"/>
          <cell r="AP318"/>
          <cell r="AQ318"/>
          <cell r="AR318"/>
          <cell r="AS318"/>
          <cell r="AT318"/>
          <cell r="AU318"/>
        </row>
        <row r="319">
          <cell r="A319" t="str">
            <v>Balance Sheet</v>
          </cell>
          <cell r="B319"/>
          <cell r="C319"/>
          <cell r="D319"/>
        </row>
        <row r="320">
          <cell r="B320" t="str">
            <v>BVPS, book value per share</v>
          </cell>
          <cell r="C320" t="str">
            <v>BVPS</v>
          </cell>
          <cell r="D320" t="str">
            <v>GBP</v>
          </cell>
          <cell r="F320">
            <v>0.53574514423374309</v>
          </cell>
          <cell r="G320">
            <v>0.67432632886608179</v>
          </cell>
          <cell r="H320">
            <v>0.4755336524900759</v>
          </cell>
          <cell r="I320">
            <v>0.70344916134564128</v>
          </cell>
          <cell r="J320">
            <v>0.7389465034756878</v>
          </cell>
          <cell r="K320">
            <v>0.8163703110761642</v>
          </cell>
          <cell r="L320">
            <v>1.1084846841031679</v>
          </cell>
          <cell r="M320">
            <v>1.0307931876690937</v>
          </cell>
          <cell r="N320">
            <v>1.1686777493063873</v>
          </cell>
          <cell r="O320">
            <v>2.7264817835780315</v>
          </cell>
          <cell r="P320">
            <v>1.0163416666667167</v>
          </cell>
          <cell r="Q320">
            <v>0.50708833151581245</v>
          </cell>
          <cell r="R320">
            <v>-0.57770553935860303</v>
          </cell>
          <cell r="S320">
            <v>-0.6084754437562524</v>
          </cell>
          <cell r="T320">
            <v>-0.81793886754635048</v>
          </cell>
          <cell r="U320">
            <v>-0.55952952472395578</v>
          </cell>
          <cell r="V320">
            <v>-0.72463768115942029</v>
          </cell>
          <cell r="W320">
            <v>-0.44025834230355221</v>
          </cell>
          <cell r="X320">
            <v>-0.10872675250357654</v>
          </cell>
          <cell r="Y320">
            <v>-2.4060591863481879E-2</v>
          </cell>
          <cell r="Z320">
            <v>0.12312767521301034</v>
          </cell>
          <cell r="AA320">
            <v>0.30250645585860103</v>
          </cell>
          <cell r="AB320">
            <v>0.53422094398309938</v>
          </cell>
          <cell r="AC320">
            <v>0.81969671783830145</v>
          </cell>
          <cell r="AD320">
            <v>1.1590449418672439</v>
          </cell>
          <cell r="AE320"/>
          <cell r="AF320"/>
          <cell r="AG320"/>
          <cell r="AH320"/>
          <cell r="AI320"/>
          <cell r="AJ320"/>
          <cell r="AK320"/>
          <cell r="AL320"/>
          <cell r="AM320"/>
          <cell r="AN320"/>
          <cell r="AO320"/>
          <cell r="AP320"/>
          <cell r="AQ320"/>
          <cell r="AR320"/>
          <cell r="AS320"/>
          <cell r="AT320"/>
          <cell r="AU320"/>
        </row>
        <row r="321">
          <cell r="A321" t="str">
            <v>Cash Flow Statement</v>
          </cell>
          <cell r="B321"/>
          <cell r="C321"/>
          <cell r="D321"/>
        </row>
        <row r="322">
          <cell r="B322" t="str">
            <v>Net income (pre-preferred dividends)</v>
          </cell>
          <cell r="C322" t="str">
            <v>CF_NI_PRE_PREF</v>
          </cell>
          <cell r="D322" t="str">
            <v>GBP</v>
          </cell>
          <cell r="F322">
            <v>636</v>
          </cell>
          <cell r="G322">
            <v>462</v>
          </cell>
          <cell r="H322">
            <v>783</v>
          </cell>
          <cell r="I322">
            <v>1083</v>
          </cell>
          <cell r="J322">
            <v>1039</v>
          </cell>
          <cell r="K322">
            <v>1120</v>
          </cell>
          <cell r="L322">
            <v>2077</v>
          </cell>
          <cell r="M322">
            <v>1805</v>
          </cell>
          <cell r="N322">
            <v>1388</v>
          </cell>
          <cell r="O322">
            <v>1491</v>
          </cell>
          <cell r="P322">
            <v>36</v>
          </cell>
          <cell r="Q322">
            <v>366</v>
          </cell>
          <cell r="R322">
            <v>-1161</v>
          </cell>
          <cell r="S322">
            <v>-852</v>
          </cell>
          <cell r="T322">
            <v>-2081</v>
          </cell>
          <cell r="U322">
            <v>569</v>
          </cell>
          <cell r="V322">
            <v>918</v>
          </cell>
          <cell r="W322">
            <v>1945</v>
          </cell>
          <cell r="X322">
            <v>2922</v>
          </cell>
          <cell r="Y322">
            <v>3256.5743278384039</v>
          </cell>
          <cell r="Z322">
            <v>3745.6243109738825</v>
          </cell>
          <cell r="AA322">
            <v>4161.6027541328567</v>
          </cell>
          <cell r="AB322">
            <v>4643.579843515603</v>
          </cell>
          <cell r="AC322">
            <v>5263.2430113273431</v>
          </cell>
          <cell r="AD322">
            <v>5849.0087420861919</v>
          </cell>
          <cell r="AE322"/>
          <cell r="AF322"/>
          <cell r="AG322"/>
          <cell r="AH322"/>
          <cell r="AI322"/>
          <cell r="AJ322"/>
          <cell r="AK322"/>
          <cell r="AL322"/>
          <cell r="AM322"/>
          <cell r="AN322"/>
          <cell r="AO322"/>
          <cell r="AP322"/>
          <cell r="AQ322"/>
          <cell r="AR322"/>
          <cell r="AS322"/>
          <cell r="AT322"/>
          <cell r="AU322"/>
        </row>
        <row r="323">
          <cell r="A323" t="str">
            <v>Other Items</v>
          </cell>
          <cell r="B323"/>
          <cell r="C323"/>
          <cell r="D323"/>
        </row>
        <row r="324">
          <cell r="B324" t="str">
            <v>Beta</v>
          </cell>
          <cell r="C324" t="str">
            <v>BETA_ANALYST</v>
          </cell>
          <cell r="E324"/>
        </row>
        <row r="325">
          <cell r="B325" t="str">
            <v>Market equity risk premium</v>
          </cell>
          <cell r="C325" t="str">
            <v>MKT_EQ_RISK_PREM</v>
          </cell>
          <cell r="E325"/>
        </row>
        <row r="326">
          <cell r="B326" t="str">
            <v>Risk-free rate</v>
          </cell>
          <cell r="C326" t="str">
            <v>RISK_FR_RATE</v>
          </cell>
          <cell r="E326"/>
        </row>
      </sheetData>
      <sheetData sheetId="10">
        <row r="6">
          <cell r="C6">
            <v>0.25</v>
          </cell>
        </row>
      </sheetData>
      <sheetData sheetId="11">
        <row r="9">
          <cell r="C9">
            <v>4231.9766354309722</v>
          </cell>
        </row>
      </sheetData>
      <sheetData sheetId="12">
        <row r="9">
          <cell r="W9">
            <v>21818.940948335963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KFb.ST_Live_Sheet"/>
      <sheetName val="SKFb.ST_Validation_Sheet"/>
      <sheetName val="SKFb.ST_Annotation_Sheet"/>
      <sheetName val="Cover Page"/>
      <sheetName val="Company snapshot"/>
      <sheetName val="SKFb.ST_Exchange_Sheet"/>
      <sheetName val="Core &gt;&gt;"/>
      <sheetName val="OpMod"/>
      <sheetName val="Interim"/>
      <sheetName val="SOTP"/>
      <sheetName val="10 Yr Val"/>
      <sheetName val="ROIC"/>
      <sheetName val="Acq &amp; Disp"/>
      <sheetName val="Analysis &gt;&gt;"/>
      <sheetName val="End market"/>
      <sheetName val="New vs old"/>
      <sheetName val="Q Out NEW"/>
      <sheetName val="Bottom-up"/>
      <sheetName val="Automation analsyis"/>
      <sheetName val="Sheet2"/>
      <sheetName val="Sheet1"/>
      <sheetName val="GS vs. Consensus"/>
      <sheetName val="Consensus"/>
      <sheetName val="Charts"/>
      <sheetName val="Correlations (Q)"/>
      <sheetName val="Automation analsyis - 19_20"/>
      <sheetName val="SOTP old"/>
      <sheetName val="Bridges"/>
      <sheetName val="Output"/>
      <sheetName val="Client tabs"/>
      <sheetName val="Bottom up"/>
      <sheetName val="Normalization"/>
      <sheetName val="Estimate Changes"/>
      <sheetName val="GDP revisions"/>
      <sheetName val="_QP_SKFb.ST"/>
      <sheetName val="Summary"/>
      <sheetName val="Company Profile"/>
      <sheetName val="GS vs. Consensus NEW"/>
      <sheetName val="GS vs. Consensus OLD"/>
      <sheetName val="Charts New"/>
      <sheetName val="Simple Bridge"/>
      <sheetName val="Restructuring"/>
      <sheetName val="Raw Mats"/>
      <sheetName val="Employees"/>
      <sheetName val="Fixed Costs"/>
      <sheetName val="Correlations"/>
      <sheetName val="Sensitivity Analysis"/>
      <sheetName val="Val"/>
      <sheetName val="Output OLD"/>
      <sheetName val="Benchmarking"/>
      <sheetName val="Bearings Market"/>
      <sheetName val="Dream Bridge"/>
      <sheetName val="Dream Bridge (2)"/>
      <sheetName val="Bridge"/>
      <sheetName val="Deprec"/>
      <sheetName val="FCF and Dividend"/>
      <sheetName val="Deals"/>
      <sheetName val="Pricing Old"/>
      <sheetName val="PE"/>
      <sheetName val="Pricing"/>
      <sheetName val="Valuation"/>
      <sheetName val="PMI vs. OSG"/>
      <sheetName val="Valuation New"/>
      <sheetName val="Q data"/>
      <sheetName val="Consensus Tab"/>
      <sheetName val="Leverage"/>
      <sheetName val="2017 FX Impact"/>
      <sheetName val="GS vs. Cons"/>
      <sheetName val="Sheet5"/>
      <sheetName val="Sheet4"/>
      <sheetName val="Graphs"/>
      <sheetName val="Sheet3"/>
      <sheetName val="GS vs. Consensus Live"/>
      <sheetName val="GS vs. Consensus WIP"/>
    </sheetNames>
    <sheetDataSet>
      <sheetData sheetId="0">
        <row r="1">
          <cell r="A1" t="str">
            <v>Issuer: SKF</v>
          </cell>
          <cell r="C1">
            <v>325974723</v>
          </cell>
          <cell r="F1">
            <v>1994</v>
          </cell>
          <cell r="G1">
            <v>1995</v>
          </cell>
          <cell r="H1">
            <v>1996</v>
          </cell>
          <cell r="I1">
            <v>1997</v>
          </cell>
          <cell r="J1">
            <v>1998</v>
          </cell>
          <cell r="K1">
            <v>1999</v>
          </cell>
          <cell r="L1">
            <v>2000</v>
          </cell>
          <cell r="M1">
            <v>2001</v>
          </cell>
          <cell r="N1">
            <v>2002</v>
          </cell>
          <cell r="O1">
            <v>2003</v>
          </cell>
          <cell r="P1">
            <v>2004</v>
          </cell>
          <cell r="Q1">
            <v>2005</v>
          </cell>
          <cell r="R1">
            <v>2006</v>
          </cell>
          <cell r="S1">
            <v>2007</v>
          </cell>
          <cell r="T1">
            <v>2008</v>
          </cell>
          <cell r="U1">
            <v>2009</v>
          </cell>
          <cell r="V1">
            <v>2010</v>
          </cell>
          <cell r="W1">
            <v>2011</v>
          </cell>
          <cell r="X1">
            <v>2012</v>
          </cell>
          <cell r="Y1">
            <v>2013</v>
          </cell>
          <cell r="Z1">
            <v>2014</v>
          </cell>
          <cell r="AA1">
            <v>2015</v>
          </cell>
          <cell r="AB1">
            <v>2016</v>
          </cell>
          <cell r="AC1">
            <v>2017</v>
          </cell>
          <cell r="AD1">
            <v>2018</v>
          </cell>
          <cell r="AE1">
            <v>2019</v>
          </cell>
          <cell r="AF1">
            <v>2020</v>
          </cell>
          <cell r="AG1">
            <v>2021</v>
          </cell>
          <cell r="AH1">
            <v>2022</v>
          </cell>
          <cell r="AI1">
            <v>2023</v>
          </cell>
          <cell r="AJ1">
            <v>2024</v>
          </cell>
          <cell r="AK1">
            <v>2025</v>
          </cell>
          <cell r="AL1">
            <v>2026</v>
          </cell>
          <cell r="AN1" t="str">
            <v>2003 Q3</v>
          </cell>
          <cell r="AO1" t="str">
            <v>2003 Q4</v>
          </cell>
          <cell r="AP1" t="str">
            <v>2004 Q1</v>
          </cell>
          <cell r="AQ1" t="str">
            <v>2004 Q2</v>
          </cell>
          <cell r="AR1" t="str">
            <v>2004 Q3</v>
          </cell>
          <cell r="AS1" t="str">
            <v>2004 Q4</v>
          </cell>
          <cell r="AT1" t="str">
            <v>2005 Q1</v>
          </cell>
          <cell r="AU1" t="str">
            <v>2005 Q2</v>
          </cell>
          <cell r="AV1" t="str">
            <v>2005 Q3</v>
          </cell>
          <cell r="AW1" t="str">
            <v>2005 Q4</v>
          </cell>
          <cell r="AX1" t="str">
            <v>2006 Q1</v>
          </cell>
          <cell r="AY1" t="str">
            <v>2006 Q2</v>
          </cell>
          <cell r="AZ1" t="str">
            <v>2006 Q3</v>
          </cell>
          <cell r="BA1" t="str">
            <v>2006 Q4</v>
          </cell>
          <cell r="BB1" t="str">
            <v>2007 Q1</v>
          </cell>
          <cell r="BC1" t="str">
            <v>2007 Q2</v>
          </cell>
          <cell r="BD1" t="str">
            <v>2007 Q3</v>
          </cell>
          <cell r="BE1" t="str">
            <v>2007 Q4</v>
          </cell>
          <cell r="BF1" t="str">
            <v>2008 Q1</v>
          </cell>
          <cell r="BG1" t="str">
            <v>2008 Q2</v>
          </cell>
          <cell r="BH1" t="str">
            <v>2008 Q3</v>
          </cell>
          <cell r="BI1" t="str">
            <v>2008 Q4</v>
          </cell>
          <cell r="BJ1" t="str">
            <v>2009 Q1</v>
          </cell>
          <cell r="BK1" t="str">
            <v>2009 Q2</v>
          </cell>
          <cell r="BL1" t="str">
            <v>2009 Q3</v>
          </cell>
          <cell r="BM1" t="str">
            <v>2009 Q4</v>
          </cell>
          <cell r="BN1" t="str">
            <v>2010 Q1</v>
          </cell>
          <cell r="BO1" t="str">
            <v>2010 Q2</v>
          </cell>
          <cell r="BP1" t="str">
            <v>2010 Q3</v>
          </cell>
          <cell r="BQ1" t="str">
            <v>2010 Q4</v>
          </cell>
          <cell r="BR1" t="str">
            <v>2011 Q1</v>
          </cell>
          <cell r="BS1" t="str">
            <v>2011 Q2</v>
          </cell>
          <cell r="BT1" t="str">
            <v>2011 Q3</v>
          </cell>
          <cell r="BU1" t="str">
            <v>2011 Q4</v>
          </cell>
          <cell r="BV1" t="str">
            <v>2012 Q1</v>
          </cell>
          <cell r="BW1" t="str">
            <v>2012 Q2</v>
          </cell>
          <cell r="BX1" t="str">
            <v>2012 Q3</v>
          </cell>
          <cell r="BY1" t="str">
            <v>2012 Q4</v>
          </cell>
          <cell r="BZ1" t="str">
            <v>2013 Q1</v>
          </cell>
          <cell r="CA1" t="str">
            <v>2013 Q2</v>
          </cell>
          <cell r="CB1" t="str">
            <v>2013 Q3</v>
          </cell>
          <cell r="CC1" t="str">
            <v>2013 Q4</v>
          </cell>
          <cell r="CD1" t="str">
            <v>2014 Q1</v>
          </cell>
          <cell r="CE1" t="str">
            <v>2014 Q2</v>
          </cell>
          <cell r="CF1" t="str">
            <v>2014 Q3</v>
          </cell>
          <cell r="CG1" t="str">
            <v>2014 Q4</v>
          </cell>
          <cell r="CH1" t="str">
            <v>2015 Q1</v>
          </cell>
          <cell r="CI1" t="str">
            <v>2015 Q2</v>
          </cell>
          <cell r="CJ1" t="str">
            <v>2015 Q3</v>
          </cell>
          <cell r="CK1" t="str">
            <v>2015 Q4</v>
          </cell>
          <cell r="CL1" t="str">
            <v>2016 Q1</v>
          </cell>
          <cell r="CM1" t="str">
            <v>2016 Q2</v>
          </cell>
          <cell r="CN1" t="str">
            <v>2016 Q3</v>
          </cell>
          <cell r="CO1" t="str">
            <v>2016 Q4</v>
          </cell>
          <cell r="CP1" t="str">
            <v>2017 Q1</v>
          </cell>
          <cell r="CQ1" t="str">
            <v>2017 Q2</v>
          </cell>
          <cell r="CR1" t="str">
            <v>2017 Q3</v>
          </cell>
          <cell r="CS1" t="str">
            <v>2017 Q4</v>
          </cell>
          <cell r="CT1" t="str">
            <v>2018 Q1</v>
          </cell>
          <cell r="CU1" t="str">
            <v>2018 Q2</v>
          </cell>
          <cell r="CV1" t="str">
            <v>2018 Q3</v>
          </cell>
          <cell r="CW1" t="str">
            <v>2018 Q4</v>
          </cell>
          <cell r="CX1" t="str">
            <v>2019 Q1</v>
          </cell>
          <cell r="CY1" t="str">
            <v>2019 Q2</v>
          </cell>
          <cell r="CZ1" t="str">
            <v>2019 Q3</v>
          </cell>
          <cell r="DA1" t="str">
            <v>2019 Q4</v>
          </cell>
          <cell r="DB1" t="str">
            <v>2020 Q1</v>
          </cell>
          <cell r="DC1" t="str">
            <v>2020 Q2</v>
          </cell>
          <cell r="DD1" t="str">
            <v>2020 Q3</v>
          </cell>
          <cell r="DE1" t="str">
            <v>2020 Q4</v>
          </cell>
          <cell r="DF1" t="str">
            <v>2021 Q1</v>
          </cell>
          <cell r="DG1" t="str">
            <v>2021 Q2</v>
          </cell>
          <cell r="DH1" t="str">
            <v>2021 Q3</v>
          </cell>
          <cell r="DI1" t="str">
            <v>2021 Q4</v>
          </cell>
          <cell r="DJ1" t="str">
            <v>2022 Q1</v>
          </cell>
          <cell r="DK1" t="str">
            <v>2022 Q2</v>
          </cell>
          <cell r="DL1" t="str">
            <v>2022 Q3</v>
          </cell>
          <cell r="DM1" t="str">
            <v>2022 Q4</v>
          </cell>
          <cell r="DN1" t="str">
            <v>2023 Q1</v>
          </cell>
          <cell r="DO1" t="str">
            <v>2023 Q2</v>
          </cell>
          <cell r="DP1" t="str">
            <v>2023 Q3</v>
          </cell>
          <cell r="DQ1" t="str">
            <v>2023 Q4</v>
          </cell>
          <cell r="DR1" t="str">
            <v>2024 Q1</v>
          </cell>
          <cell r="DS1" t="str">
            <v>2024 Q2</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Estimate</v>
          </cell>
          <cell r="AJ2" t="str">
            <v>Estimate</v>
          </cell>
          <cell r="AK2" t="str">
            <v>Estimate</v>
          </cell>
          <cell r="AL2" t="str">
            <v>Estimate</v>
          </cell>
          <cell r="AN2" t="str">
            <v>Actual</v>
          </cell>
          <cell r="AO2" t="str">
            <v>Actual</v>
          </cell>
          <cell r="AP2" t="str">
            <v>Actual</v>
          </cell>
          <cell r="AQ2" t="str">
            <v>Actual</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Actual</v>
          </cell>
          <cell r="CJ2" t="str">
            <v>Actual</v>
          </cell>
          <cell r="CK2" t="str">
            <v>Actual</v>
          </cell>
          <cell r="CL2" t="str">
            <v>Actual</v>
          </cell>
          <cell r="CM2" t="str">
            <v>Actual</v>
          </cell>
          <cell r="CN2" t="str">
            <v>Actual</v>
          </cell>
          <cell r="CO2" t="str">
            <v>Actual</v>
          </cell>
          <cell r="CP2" t="str">
            <v>Actual</v>
          </cell>
          <cell r="CQ2" t="str">
            <v>Actual</v>
          </cell>
          <cell r="CR2" t="str">
            <v>Actual</v>
          </cell>
          <cell r="CS2" t="str">
            <v>Actual</v>
          </cell>
          <cell r="CT2" t="str">
            <v>Actual</v>
          </cell>
          <cell r="CU2" t="str">
            <v>Actual</v>
          </cell>
          <cell r="CV2" t="str">
            <v>Actual</v>
          </cell>
          <cell r="CW2" t="str">
            <v>Actual</v>
          </cell>
          <cell r="CX2" t="str">
            <v>Actual</v>
          </cell>
          <cell r="CY2" t="str">
            <v>Actual</v>
          </cell>
          <cell r="CZ2" t="str">
            <v>Actual</v>
          </cell>
          <cell r="DA2" t="str">
            <v>Actual</v>
          </cell>
          <cell r="DB2" t="str">
            <v>Actual</v>
          </cell>
          <cell r="DC2" t="str">
            <v>Actual</v>
          </cell>
          <cell r="DD2" t="str">
            <v>Actual</v>
          </cell>
          <cell r="DE2" t="str">
            <v>Actual</v>
          </cell>
          <cell r="DF2" t="str">
            <v>Actual</v>
          </cell>
          <cell r="DG2" t="str">
            <v>Actual</v>
          </cell>
          <cell r="DH2" t="str">
            <v>Actual</v>
          </cell>
          <cell r="DI2" t="str">
            <v>Actual</v>
          </cell>
          <cell r="DJ2" t="str">
            <v>Actual</v>
          </cell>
          <cell r="DK2" t="str">
            <v>Actual</v>
          </cell>
          <cell r="DL2" t="str">
            <v>Actual</v>
          </cell>
          <cell r="DM2" t="str">
            <v>Actual</v>
          </cell>
          <cell r="DN2" t="str">
            <v>Actual</v>
          </cell>
          <cell r="DO2" t="str">
            <v>Estimate</v>
          </cell>
          <cell r="DP2" t="str">
            <v>Estimate</v>
          </cell>
          <cell r="DQ2" t="str">
            <v>Estimate</v>
          </cell>
          <cell r="DR2" t="str">
            <v>Estimate</v>
          </cell>
          <cell r="DS2" t="str">
            <v>Estimate</v>
          </cell>
        </row>
        <row r="3">
          <cell r="F3">
            <v>34699</v>
          </cell>
          <cell r="G3">
            <v>35064</v>
          </cell>
          <cell r="H3">
            <v>35430</v>
          </cell>
          <cell r="I3">
            <v>35795</v>
          </cell>
          <cell r="J3">
            <v>36160</v>
          </cell>
          <cell r="K3">
            <v>36525</v>
          </cell>
          <cell r="L3">
            <v>36891</v>
          </cell>
          <cell r="M3">
            <v>37256</v>
          </cell>
          <cell r="N3">
            <v>37621</v>
          </cell>
          <cell r="O3">
            <v>37986</v>
          </cell>
          <cell r="P3">
            <v>38352</v>
          </cell>
          <cell r="Q3">
            <v>38717</v>
          </cell>
          <cell r="R3">
            <v>39082</v>
          </cell>
          <cell r="S3">
            <v>39447</v>
          </cell>
          <cell r="T3">
            <v>39813</v>
          </cell>
          <cell r="U3">
            <v>40178</v>
          </cell>
          <cell r="V3">
            <v>40543</v>
          </cell>
          <cell r="W3">
            <v>40908</v>
          </cell>
          <cell r="X3">
            <v>41274</v>
          </cell>
          <cell r="Y3">
            <v>41639</v>
          </cell>
          <cell r="Z3">
            <v>42004</v>
          </cell>
          <cell r="AA3">
            <v>42369</v>
          </cell>
          <cell r="AB3">
            <v>42735</v>
          </cell>
          <cell r="AC3">
            <v>43100</v>
          </cell>
          <cell r="AD3">
            <v>43465</v>
          </cell>
          <cell r="AE3">
            <v>43830</v>
          </cell>
          <cell r="AF3">
            <v>44196</v>
          </cell>
          <cell r="AG3">
            <v>44561</v>
          </cell>
          <cell r="AH3">
            <v>44926</v>
          </cell>
          <cell r="AI3">
            <v>45291</v>
          </cell>
          <cell r="AJ3">
            <v>45657</v>
          </cell>
          <cell r="AK3">
            <v>46022</v>
          </cell>
          <cell r="AL3">
            <v>46387</v>
          </cell>
          <cell r="AN3">
            <v>37894</v>
          </cell>
          <cell r="AO3">
            <v>37986</v>
          </cell>
          <cell r="AP3">
            <v>38077</v>
          </cell>
          <cell r="AQ3">
            <v>38168</v>
          </cell>
          <cell r="AR3">
            <v>38260</v>
          </cell>
          <cell r="AS3">
            <v>38352</v>
          </cell>
          <cell r="AT3">
            <v>38442</v>
          </cell>
          <cell r="AU3">
            <v>38533</v>
          </cell>
          <cell r="AV3">
            <v>38625</v>
          </cell>
          <cell r="AW3">
            <v>38717</v>
          </cell>
          <cell r="AX3">
            <v>38807</v>
          </cell>
          <cell r="AY3">
            <v>38898</v>
          </cell>
          <cell r="AZ3">
            <v>38990</v>
          </cell>
          <cell r="BA3">
            <v>39082</v>
          </cell>
          <cell r="BB3">
            <v>39172</v>
          </cell>
          <cell r="BC3">
            <v>39263</v>
          </cell>
          <cell r="BD3">
            <v>39355</v>
          </cell>
          <cell r="BE3">
            <v>39447</v>
          </cell>
          <cell r="BF3">
            <v>39538</v>
          </cell>
          <cell r="BG3">
            <v>39629</v>
          </cell>
          <cell r="BH3">
            <v>39721</v>
          </cell>
          <cell r="BI3">
            <v>39813</v>
          </cell>
          <cell r="BJ3">
            <v>39903</v>
          </cell>
          <cell r="BK3">
            <v>39994</v>
          </cell>
          <cell r="BL3">
            <v>40086</v>
          </cell>
          <cell r="BM3">
            <v>40178</v>
          </cell>
          <cell r="BN3">
            <v>40268</v>
          </cell>
          <cell r="BO3">
            <v>40359</v>
          </cell>
          <cell r="BP3">
            <v>40451</v>
          </cell>
          <cell r="BQ3">
            <v>40543</v>
          </cell>
          <cell r="BR3">
            <v>40633</v>
          </cell>
          <cell r="BS3">
            <v>40724</v>
          </cell>
          <cell r="BT3">
            <v>40816</v>
          </cell>
          <cell r="BU3">
            <v>40908</v>
          </cell>
          <cell r="BV3">
            <v>40999</v>
          </cell>
          <cell r="BW3">
            <v>41090</v>
          </cell>
          <cell r="BX3">
            <v>41182</v>
          </cell>
          <cell r="BY3">
            <v>41274</v>
          </cell>
          <cell r="BZ3">
            <v>41364</v>
          </cell>
          <cell r="CA3">
            <v>41455</v>
          </cell>
          <cell r="CB3">
            <v>41547</v>
          </cell>
          <cell r="CC3">
            <v>41639</v>
          </cell>
          <cell r="CD3">
            <v>41729</v>
          </cell>
          <cell r="CE3">
            <v>41820</v>
          </cell>
          <cell r="CF3">
            <v>41912</v>
          </cell>
          <cell r="CG3">
            <v>42004</v>
          </cell>
          <cell r="CH3">
            <v>42094</v>
          </cell>
          <cell r="CI3">
            <v>42185</v>
          </cell>
          <cell r="CJ3">
            <v>42277</v>
          </cell>
          <cell r="CK3">
            <v>42369</v>
          </cell>
          <cell r="CL3">
            <v>42460</v>
          </cell>
          <cell r="CM3">
            <v>42551</v>
          </cell>
          <cell r="CN3">
            <v>42643</v>
          </cell>
          <cell r="CO3">
            <v>42735</v>
          </cell>
          <cell r="CP3">
            <v>42825</v>
          </cell>
          <cell r="CQ3">
            <v>42916</v>
          </cell>
          <cell r="CR3">
            <v>43008</v>
          </cell>
          <cell r="CS3">
            <v>43100</v>
          </cell>
          <cell r="CT3">
            <v>43190</v>
          </cell>
          <cell r="CU3">
            <v>43281</v>
          </cell>
          <cell r="CV3">
            <v>43373</v>
          </cell>
          <cell r="CW3">
            <v>43465</v>
          </cell>
          <cell r="CX3">
            <v>43555</v>
          </cell>
          <cell r="CY3">
            <v>43646</v>
          </cell>
          <cell r="CZ3">
            <v>43738</v>
          </cell>
          <cell r="DA3">
            <v>43830</v>
          </cell>
          <cell r="DB3">
            <v>43921</v>
          </cell>
          <cell r="DC3">
            <v>44012</v>
          </cell>
          <cell r="DD3">
            <v>44104</v>
          </cell>
          <cell r="DE3">
            <v>44196</v>
          </cell>
          <cell r="DF3">
            <v>44286</v>
          </cell>
          <cell r="DG3">
            <v>44377</v>
          </cell>
          <cell r="DH3">
            <v>44469</v>
          </cell>
          <cell r="DI3">
            <v>44561</v>
          </cell>
          <cell r="DJ3">
            <v>44651</v>
          </cell>
          <cell r="DK3">
            <v>44742</v>
          </cell>
          <cell r="DL3">
            <v>44834</v>
          </cell>
          <cell r="DM3">
            <v>44926</v>
          </cell>
          <cell r="DN3">
            <v>45016</v>
          </cell>
          <cell r="DO3">
            <v>45107</v>
          </cell>
          <cell r="DP3">
            <v>45199</v>
          </cell>
          <cell r="DQ3">
            <v>45291</v>
          </cell>
          <cell r="DR3">
            <v>45382</v>
          </cell>
          <cell r="DS3">
            <v>45473</v>
          </cell>
        </row>
        <row r="4">
          <cell r="A4" t="str">
            <v>Issuer: SKF</v>
          </cell>
          <cell r="B4" t="str">
            <v>15ZJW4</v>
          </cell>
        </row>
        <row r="5">
          <cell r="A5" t="str">
            <v>Reference Data</v>
          </cell>
        </row>
        <row r="6">
          <cell r="B6" t="str">
            <v>Issuer Name</v>
          </cell>
          <cell r="C6" t="str">
            <v>Issuer Name</v>
          </cell>
          <cell r="E6" t="str">
            <v>SKF</v>
          </cell>
        </row>
        <row r="7">
          <cell r="B7" t="str">
            <v>Reporting Currency</v>
          </cell>
          <cell r="C7" t="str">
            <v>CURRENCY_ISO</v>
          </cell>
          <cell r="E7" t="str">
            <v>SEK</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D11" t="str">
            <v>SEK</v>
          </cell>
          <cell r="F11">
            <v>33273</v>
          </cell>
          <cell r="G11">
            <v>36700</v>
          </cell>
          <cell r="H11">
            <v>33589</v>
          </cell>
          <cell r="I11">
            <v>36922</v>
          </cell>
          <cell r="J11">
            <v>37688</v>
          </cell>
          <cell r="K11">
            <v>36693</v>
          </cell>
          <cell r="L11">
            <v>39848</v>
          </cell>
          <cell r="M11">
            <v>43370</v>
          </cell>
          <cell r="N11">
            <v>42430</v>
          </cell>
          <cell r="O11">
            <v>41377</v>
          </cell>
          <cell r="P11">
            <v>44826</v>
          </cell>
          <cell r="Q11">
            <v>49285</v>
          </cell>
          <cell r="R11">
            <v>53101</v>
          </cell>
          <cell r="S11">
            <v>58559</v>
          </cell>
          <cell r="T11">
            <v>63361</v>
          </cell>
          <cell r="U11">
            <v>56227</v>
          </cell>
          <cell r="V11">
            <v>61029</v>
          </cell>
          <cell r="W11">
            <v>66216</v>
          </cell>
          <cell r="X11">
            <v>64575</v>
          </cell>
          <cell r="Y11">
            <v>63597</v>
          </cell>
          <cell r="Z11">
            <v>70975</v>
          </cell>
          <cell r="AA11">
            <v>75997</v>
          </cell>
          <cell r="AB11">
            <v>72589</v>
          </cell>
          <cell r="AC11">
            <v>77938</v>
          </cell>
          <cell r="AD11">
            <v>85713</v>
          </cell>
          <cell r="AE11">
            <v>86013</v>
          </cell>
          <cell r="AF11">
            <v>74852</v>
          </cell>
          <cell r="AG11">
            <v>81732</v>
          </cell>
          <cell r="AH11">
            <v>96933</v>
          </cell>
          <cell r="AI11">
            <v>105076.841261371</v>
          </cell>
          <cell r="AJ11">
            <v>107185.586323026</v>
          </cell>
          <cell r="AK11">
            <v>111201.29076294501</v>
          </cell>
          <cell r="AL11">
            <v>115206.02700815799</v>
          </cell>
          <cell r="AO11">
            <v>10689</v>
          </cell>
          <cell r="AP11">
            <v>10689</v>
          </cell>
          <cell r="AQ11">
            <v>11417</v>
          </cell>
          <cell r="AR11">
            <v>11184</v>
          </cell>
          <cell r="AS11">
            <v>11536</v>
          </cell>
          <cell r="AT11">
            <v>11871</v>
          </cell>
          <cell r="AU11">
            <v>12739</v>
          </cell>
          <cell r="AV11">
            <v>12027</v>
          </cell>
          <cell r="AW11">
            <v>12648</v>
          </cell>
          <cell r="AX11">
            <v>13289</v>
          </cell>
          <cell r="AY11">
            <v>13373</v>
          </cell>
          <cell r="AZ11">
            <v>12544</v>
          </cell>
          <cell r="BA11">
            <v>13895</v>
          </cell>
          <cell r="BB11">
            <v>14371</v>
          </cell>
          <cell r="BC11">
            <v>14963</v>
          </cell>
          <cell r="BD11">
            <v>14155</v>
          </cell>
          <cell r="BE11">
            <v>15070</v>
          </cell>
          <cell r="BF11">
            <v>15596</v>
          </cell>
          <cell r="BG11">
            <v>16077</v>
          </cell>
          <cell r="BH11">
            <v>15381</v>
          </cell>
          <cell r="BI11">
            <v>16307</v>
          </cell>
          <cell r="BJ11">
            <v>14849</v>
          </cell>
          <cell r="BK11">
            <v>14167</v>
          </cell>
          <cell r="BL11">
            <v>13324</v>
          </cell>
          <cell r="BM11">
            <v>13887</v>
          </cell>
          <cell r="BN11">
            <v>14446</v>
          </cell>
          <cell r="BO11">
            <v>15709</v>
          </cell>
          <cell r="BP11">
            <v>15465</v>
          </cell>
          <cell r="BQ11">
            <v>15409</v>
          </cell>
          <cell r="BR11">
            <v>16702</v>
          </cell>
          <cell r="BS11">
            <v>16712</v>
          </cell>
          <cell r="BT11">
            <v>16545</v>
          </cell>
          <cell r="BU11">
            <v>16257</v>
          </cell>
          <cell r="BV11">
            <v>16931</v>
          </cell>
          <cell r="BW11">
            <v>17174</v>
          </cell>
          <cell r="BX11">
            <v>15486</v>
          </cell>
          <cell r="BY11">
            <v>14984</v>
          </cell>
          <cell r="BZ11">
            <v>15152</v>
          </cell>
          <cell r="CA11">
            <v>16392</v>
          </cell>
          <cell r="CB11">
            <v>15623</v>
          </cell>
          <cell r="CC11">
            <v>16430</v>
          </cell>
          <cell r="CD11">
            <v>16734</v>
          </cell>
          <cell r="CE11">
            <v>17955</v>
          </cell>
          <cell r="CF11">
            <v>17787</v>
          </cell>
          <cell r="CG11">
            <v>18499</v>
          </cell>
          <cell r="CH11">
            <v>19454</v>
          </cell>
          <cell r="CI11">
            <v>19961</v>
          </cell>
          <cell r="CJ11">
            <v>18367</v>
          </cell>
          <cell r="CK11">
            <v>18215</v>
          </cell>
          <cell r="CL11">
            <v>17720</v>
          </cell>
          <cell r="CM11">
            <v>18319</v>
          </cell>
          <cell r="CN11">
            <v>17862</v>
          </cell>
          <cell r="CO11">
            <v>18732</v>
          </cell>
          <cell r="CP11">
            <v>19601</v>
          </cell>
          <cell r="CQ11">
            <v>20229</v>
          </cell>
          <cell r="CR11">
            <v>18627</v>
          </cell>
          <cell r="CS11">
            <v>19481</v>
          </cell>
          <cell r="CT11">
            <v>20560</v>
          </cell>
          <cell r="CU11">
            <v>22620</v>
          </cell>
          <cell r="CV11">
            <v>21341</v>
          </cell>
          <cell r="CW11">
            <v>21192</v>
          </cell>
          <cell r="CX11">
            <v>21278</v>
          </cell>
          <cell r="CY11">
            <v>22488</v>
          </cell>
          <cell r="CZ11">
            <v>21039</v>
          </cell>
          <cell r="DA11">
            <v>21208</v>
          </cell>
          <cell r="DB11">
            <v>20085</v>
          </cell>
          <cell r="DC11">
            <v>16599</v>
          </cell>
          <cell r="DD11">
            <v>18596</v>
          </cell>
          <cell r="DE11">
            <v>19572</v>
          </cell>
          <cell r="DF11">
            <v>19865</v>
          </cell>
          <cell r="DG11">
            <v>20735</v>
          </cell>
          <cell r="DH11">
            <v>20146</v>
          </cell>
          <cell r="DI11">
            <v>20986</v>
          </cell>
          <cell r="DJ11">
            <v>22942</v>
          </cell>
          <cell r="DK11">
            <v>23655</v>
          </cell>
          <cell r="DL11">
            <v>24975</v>
          </cell>
          <cell r="DM11">
            <v>25361</v>
          </cell>
          <cell r="DN11">
            <v>26549</v>
          </cell>
          <cell r="DO11">
            <v>25839.4767808672</v>
          </cell>
          <cell r="DP11">
            <v>26573.510900331701</v>
          </cell>
          <cell r="DQ11">
            <v>26114.853580172501</v>
          </cell>
          <cell r="DR11">
            <v>26245.274915450998</v>
          </cell>
          <cell r="DS11">
            <v>27259.165343447199</v>
          </cell>
        </row>
        <row r="12">
          <cell r="B12" t="str">
            <v>Cost of goods sold, COGS</v>
          </cell>
          <cell r="C12" t="str">
            <v>COST_GD_SD</v>
          </cell>
          <cell r="D12" t="str">
            <v>SEK</v>
          </cell>
          <cell r="F12">
            <v>-24340</v>
          </cell>
          <cell r="G12">
            <v>-25631</v>
          </cell>
          <cell r="H12">
            <v>-23949</v>
          </cell>
          <cell r="I12">
            <v>-27845</v>
          </cell>
          <cell r="J12">
            <v>-29823</v>
          </cell>
          <cell r="K12">
            <v>-28066</v>
          </cell>
          <cell r="L12">
            <v>-29751</v>
          </cell>
          <cell r="M12">
            <v>-32234</v>
          </cell>
          <cell r="N12">
            <v>-31077</v>
          </cell>
          <cell r="O12">
            <v>-31272</v>
          </cell>
          <cell r="P12">
            <v>-32982</v>
          </cell>
          <cell r="Q12">
            <v>-36094</v>
          </cell>
          <cell r="R12">
            <v>-38618</v>
          </cell>
          <cell r="S12">
            <v>-42272</v>
          </cell>
          <cell r="T12">
            <v>-45900</v>
          </cell>
          <cell r="U12">
            <v>-43807</v>
          </cell>
          <cell r="V12">
            <v>-43032</v>
          </cell>
          <cell r="W12">
            <v>-46163</v>
          </cell>
          <cell r="X12">
            <v>-46514</v>
          </cell>
          <cell r="Y12">
            <v>-46085</v>
          </cell>
          <cell r="Z12">
            <v>-51150</v>
          </cell>
          <cell r="AA12">
            <v>-55111</v>
          </cell>
          <cell r="AB12">
            <v>-52586</v>
          </cell>
          <cell r="AC12">
            <v>-56118</v>
          </cell>
          <cell r="AD12">
            <v>-62238</v>
          </cell>
          <cell r="AE12">
            <v>-62108</v>
          </cell>
          <cell r="AF12">
            <v>-55015</v>
          </cell>
          <cell r="AG12">
            <v>-55222</v>
          </cell>
          <cell r="AH12">
            <v>-70024</v>
          </cell>
          <cell r="AI12">
            <v>-72544.698086236793</v>
          </cell>
          <cell r="AJ12">
            <v>-73888.4462388143</v>
          </cell>
          <cell r="AK12">
            <v>-76440.851962105196</v>
          </cell>
          <cell r="AL12">
            <v>-79135.394734454196</v>
          </cell>
        </row>
        <row r="13">
          <cell r="B13" t="str">
            <v>SG&amp;A, selling, general and admin. expense</v>
          </cell>
          <cell r="C13" t="str">
            <v>SEL_GL_AD</v>
          </cell>
          <cell r="D13" t="str">
            <v>SEK</v>
          </cell>
          <cell r="F13">
            <v>-5951</v>
          </cell>
          <cell r="G13">
            <v>-6546</v>
          </cell>
          <cell r="H13">
            <v>-6422</v>
          </cell>
          <cell r="I13">
            <v>-6927</v>
          </cell>
          <cell r="J13">
            <v>-7234</v>
          </cell>
          <cell r="K13">
            <v>-5754</v>
          </cell>
          <cell r="L13">
            <v>-5902</v>
          </cell>
          <cell r="M13">
            <v>-6747</v>
          </cell>
          <cell r="N13">
            <v>-6636</v>
          </cell>
          <cell r="O13">
            <v>-6175</v>
          </cell>
          <cell r="P13">
            <v>-6695</v>
          </cell>
          <cell r="Q13">
            <v>-7284</v>
          </cell>
          <cell r="R13">
            <v>-7617</v>
          </cell>
          <cell r="S13">
            <v>-7864</v>
          </cell>
          <cell r="T13">
            <v>-8543</v>
          </cell>
          <cell r="U13">
            <v>-7915</v>
          </cell>
          <cell r="V13">
            <v>-8222</v>
          </cell>
          <cell r="W13">
            <v>-8980</v>
          </cell>
          <cell r="X13">
            <v>-9087</v>
          </cell>
          <cell r="Y13">
            <v>-8868</v>
          </cell>
          <cell r="Z13">
            <v>-10069</v>
          </cell>
          <cell r="AA13">
            <v>-11603</v>
          </cell>
          <cell r="AB13">
            <v>-10222</v>
          </cell>
          <cell r="AC13">
            <v>-10812</v>
          </cell>
          <cell r="AD13">
            <v>-11327</v>
          </cell>
          <cell r="AE13">
            <v>-11819</v>
          </cell>
          <cell r="AF13">
            <v>-10253</v>
          </cell>
          <cell r="AG13">
            <v>-13001</v>
          </cell>
          <cell r="AH13">
            <v>-15200</v>
          </cell>
          <cell r="AI13">
            <v>-16477</v>
          </cell>
          <cell r="AJ13">
            <v>-16808</v>
          </cell>
          <cell r="AK13">
            <v>-17438</v>
          </cell>
          <cell r="AL13">
            <v>-18066</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row>
        <row r="14">
          <cell r="B14" t="str">
            <v>Total operating expense</v>
          </cell>
          <cell r="C14" t="str">
            <v>OP_COST</v>
          </cell>
          <cell r="D14" t="str">
            <v>SEK</v>
          </cell>
          <cell r="F14">
            <v>-30291</v>
          </cell>
          <cell r="G14">
            <v>-32177</v>
          </cell>
          <cell r="H14">
            <v>-30371</v>
          </cell>
          <cell r="I14">
            <v>-34772</v>
          </cell>
          <cell r="J14">
            <v>-37057</v>
          </cell>
          <cell r="K14">
            <v>-33820</v>
          </cell>
          <cell r="L14">
            <v>-35653</v>
          </cell>
          <cell r="M14">
            <v>-38981</v>
          </cell>
          <cell r="N14">
            <v>-37713</v>
          </cell>
          <cell r="O14">
            <v>-37447</v>
          </cell>
          <cell r="P14">
            <v>-39677</v>
          </cell>
          <cell r="Q14">
            <v>-43378</v>
          </cell>
          <cell r="R14">
            <v>-46235</v>
          </cell>
          <cell r="S14">
            <v>-50136</v>
          </cell>
          <cell r="T14">
            <v>-54443</v>
          </cell>
          <cell r="U14">
            <v>-51722</v>
          </cell>
          <cell r="V14">
            <v>-51254</v>
          </cell>
          <cell r="W14">
            <v>-55143</v>
          </cell>
          <cell r="X14">
            <v>-55601</v>
          </cell>
          <cell r="Y14">
            <v>-54953</v>
          </cell>
          <cell r="Z14">
            <v>-61219</v>
          </cell>
          <cell r="AA14">
            <v>-66714</v>
          </cell>
          <cell r="AB14">
            <v>-62808</v>
          </cell>
          <cell r="AC14">
            <v>-66930</v>
          </cell>
          <cell r="AD14">
            <v>-73565</v>
          </cell>
          <cell r="AE14">
            <v>-73927</v>
          </cell>
          <cell r="AF14">
            <v>-65268</v>
          </cell>
          <cell r="AG14">
            <v>-68223</v>
          </cell>
          <cell r="AH14">
            <v>-85224</v>
          </cell>
          <cell r="AI14">
            <v>-89021.698086236793</v>
          </cell>
          <cell r="AJ14">
            <v>-90696.4462388143</v>
          </cell>
          <cell r="AK14">
            <v>-93878.851962105196</v>
          </cell>
          <cell r="AL14">
            <v>-97201.394734454196</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row>
        <row r="15">
          <cell r="B15" t="str">
            <v>R&amp;D expense</v>
          </cell>
          <cell r="C15" t="str">
            <v>RD_EXP</v>
          </cell>
          <cell r="D15" t="str">
            <v>SEK</v>
          </cell>
          <cell r="F15">
            <v>-542</v>
          </cell>
          <cell r="G15">
            <v>-598</v>
          </cell>
          <cell r="H15">
            <v>-751</v>
          </cell>
          <cell r="I15">
            <v>0</v>
          </cell>
          <cell r="J15">
            <v>-702</v>
          </cell>
          <cell r="K15">
            <v>-756</v>
          </cell>
          <cell r="L15">
            <v>-710</v>
          </cell>
          <cell r="M15">
            <v>-871</v>
          </cell>
          <cell r="N15">
            <v>-767</v>
          </cell>
          <cell r="O15">
            <v>-750</v>
          </cell>
          <cell r="P15">
            <v>-784</v>
          </cell>
          <cell r="Q15">
            <v>-837</v>
          </cell>
          <cell r="R15">
            <v>-875</v>
          </cell>
          <cell r="S15">
            <v>-900</v>
          </cell>
          <cell r="T15">
            <v>-1175</v>
          </cell>
          <cell r="U15">
            <v>-1217</v>
          </cell>
          <cell r="V15">
            <v>-1184</v>
          </cell>
          <cell r="W15">
            <v>-1481</v>
          </cell>
          <cell r="X15">
            <v>-1607</v>
          </cell>
          <cell r="Y15">
            <v>-1840</v>
          </cell>
          <cell r="Z15">
            <v>-2078</v>
          </cell>
          <cell r="AA15">
            <v>-2372</v>
          </cell>
          <cell r="AB15">
            <v>-2246</v>
          </cell>
          <cell r="AC15">
            <v>-2395</v>
          </cell>
          <cell r="AD15">
            <v>-2591</v>
          </cell>
          <cell r="AE15">
            <v>-2691</v>
          </cell>
          <cell r="AF15">
            <v>-2515</v>
          </cell>
          <cell r="AG15">
            <v>-2751</v>
          </cell>
          <cell r="AH15">
            <v>-3177</v>
          </cell>
          <cell r="AI15">
            <v>-3152.3052378411398</v>
          </cell>
          <cell r="AJ15">
            <v>-3215.5675896907801</v>
          </cell>
          <cell r="AK15">
            <v>-3336.0387228883501</v>
          </cell>
          <cell r="AL15">
            <v>-3456.1808102447399</v>
          </cell>
        </row>
        <row r="16">
          <cell r="B16" t="str">
            <v>Other operating income/(expense) (incl. leases)</v>
          </cell>
          <cell r="C16" t="str">
            <v>OTH_OP_INC_EXP</v>
          </cell>
          <cell r="D16" t="str">
            <v>SEK</v>
          </cell>
          <cell r="F16">
            <v>151</v>
          </cell>
          <cell r="G16">
            <v>75</v>
          </cell>
          <cell r="H16">
            <v>407</v>
          </cell>
          <cell r="I16">
            <v>854</v>
          </cell>
          <cell r="J16">
            <v>2208</v>
          </cell>
          <cell r="K16">
            <v>15</v>
          </cell>
          <cell r="L16">
            <v>75</v>
          </cell>
          <cell r="M16">
            <v>92</v>
          </cell>
          <cell r="N16">
            <v>8</v>
          </cell>
          <cell r="O16">
            <v>568</v>
          </cell>
          <cell r="P16">
            <v>175</v>
          </cell>
          <cell r="Q16">
            <v>251</v>
          </cell>
          <cell r="R16">
            <v>-360</v>
          </cell>
          <cell r="S16">
            <v>279</v>
          </cell>
          <cell r="T16">
            <v>306</v>
          </cell>
          <cell r="U16">
            <v>1201</v>
          </cell>
          <cell r="V16">
            <v>51</v>
          </cell>
          <cell r="W16">
            <v>136</v>
          </cell>
          <cell r="X16">
            <v>389</v>
          </cell>
          <cell r="Y16">
            <v>762</v>
          </cell>
          <cell r="Z16">
            <v>607</v>
          </cell>
          <cell r="AA16">
            <v>1744</v>
          </cell>
          <cell r="AB16">
            <v>9</v>
          </cell>
          <cell r="AC16">
            <v>483</v>
          </cell>
          <cell r="AD16">
            <v>707</v>
          </cell>
          <cell r="AE16">
            <v>741</v>
          </cell>
          <cell r="AF16">
            <v>2125</v>
          </cell>
          <cell r="AG16">
            <v>81</v>
          </cell>
          <cell r="AH16">
            <v>1672</v>
          </cell>
          <cell r="AI16">
            <v>700</v>
          </cell>
          <cell r="AJ16">
            <v>600</v>
          </cell>
          <cell r="AK16">
            <v>600</v>
          </cell>
          <cell r="AL16">
            <v>600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row>
        <row r="17">
          <cell r="B17" t="str">
            <v>Total operating expense (incl. D&amp;A)</v>
          </cell>
          <cell r="C17" t="str">
            <v>TOT_OPS_EXP_DDA</v>
          </cell>
          <cell r="D17" t="str">
            <v>SEK</v>
          </cell>
          <cell r="F17">
            <v>-30682</v>
          </cell>
          <cell r="G17">
            <v>-32700</v>
          </cell>
          <cell r="H17">
            <v>-30715</v>
          </cell>
          <cell r="I17">
            <v>-33918</v>
          </cell>
          <cell r="J17">
            <v>-35551</v>
          </cell>
          <cell r="K17">
            <v>-34561</v>
          </cell>
          <cell r="L17">
            <v>-36288</v>
          </cell>
          <cell r="M17">
            <v>-39760</v>
          </cell>
          <cell r="N17">
            <v>-38472</v>
          </cell>
          <cell r="O17">
            <v>-37629</v>
          </cell>
          <cell r="P17">
            <v>-40286</v>
          </cell>
          <cell r="Q17">
            <v>-43964</v>
          </cell>
          <cell r="R17">
            <v>-47470</v>
          </cell>
          <cell r="S17">
            <v>-50757</v>
          </cell>
          <cell r="T17">
            <v>-55312</v>
          </cell>
          <cell r="U17">
            <v>-51738</v>
          </cell>
          <cell r="V17">
            <v>-52387</v>
          </cell>
          <cell r="W17">
            <v>-56488</v>
          </cell>
          <cell r="X17">
            <v>-56819</v>
          </cell>
          <cell r="Y17">
            <v>-56031</v>
          </cell>
          <cell r="Z17">
            <v>-62690</v>
          </cell>
          <cell r="AA17">
            <v>-67342</v>
          </cell>
          <cell r="AB17">
            <v>-65045</v>
          </cell>
          <cell r="AC17">
            <v>-68842</v>
          </cell>
          <cell r="AD17">
            <v>-75449</v>
          </cell>
          <cell r="AE17">
            <v>-75877</v>
          </cell>
          <cell r="AF17">
            <v>-65658</v>
          </cell>
          <cell r="AG17">
            <v>-70893</v>
          </cell>
          <cell r="AH17">
            <v>-86729</v>
          </cell>
          <cell r="AI17">
            <v>-91474.003324077901</v>
          </cell>
          <cell r="AJ17">
            <v>-93312.013828505005</v>
          </cell>
          <cell r="AK17">
            <v>-96614.890684993603</v>
          </cell>
          <cell r="AL17">
            <v>-100057.57554469899</v>
          </cell>
        </row>
        <row r="18">
          <cell r="B18" t="str">
            <v>Total operating expense (excl. D&amp;A)</v>
          </cell>
          <cell r="C18" t="str">
            <v>TOT_OPS_EXP</v>
          </cell>
          <cell r="D18" t="str">
            <v>SEK</v>
          </cell>
          <cell r="F18">
            <v>-29161</v>
          </cell>
          <cell r="G18">
            <v>-31266</v>
          </cell>
          <cell r="H18">
            <v>-29254</v>
          </cell>
          <cell r="I18">
            <v>-32390</v>
          </cell>
          <cell r="J18">
            <v>-33454</v>
          </cell>
          <cell r="K18">
            <v>-32688</v>
          </cell>
          <cell r="L18">
            <v>-34655</v>
          </cell>
          <cell r="M18">
            <v>-37966</v>
          </cell>
          <cell r="N18">
            <v>-36613</v>
          </cell>
          <cell r="O18">
            <v>-35837</v>
          </cell>
          <cell r="P18">
            <v>-38553</v>
          </cell>
          <cell r="Q18">
            <v>-42212</v>
          </cell>
          <cell r="R18">
            <v>-45636</v>
          </cell>
          <cell r="S18">
            <v>-48981</v>
          </cell>
          <cell r="T18">
            <v>-53363</v>
          </cell>
          <cell r="U18">
            <v>-49567</v>
          </cell>
          <cell r="V18">
            <v>-50395</v>
          </cell>
          <cell r="W18">
            <v>-54698</v>
          </cell>
          <cell r="X18">
            <v>-54988</v>
          </cell>
          <cell r="Y18">
            <v>-54138</v>
          </cell>
          <cell r="Z18">
            <v>-60298</v>
          </cell>
          <cell r="AA18">
            <v>-64484</v>
          </cell>
          <cell r="AB18">
            <v>-62677</v>
          </cell>
          <cell r="AC18">
            <v>-66519</v>
          </cell>
          <cell r="AD18">
            <v>-72977</v>
          </cell>
          <cell r="AE18">
            <v>-72381</v>
          </cell>
          <cell r="AF18">
            <v>-62257</v>
          </cell>
          <cell r="AG18">
            <v>-67588</v>
          </cell>
          <cell r="AH18">
            <v>-82945</v>
          </cell>
          <cell r="AI18">
            <v>-87440.003324077901</v>
          </cell>
          <cell r="AJ18">
            <v>-89028.013828505005</v>
          </cell>
          <cell r="AK18">
            <v>-92080.890684993603</v>
          </cell>
          <cell r="AL18">
            <v>-95273.575544698906</v>
          </cell>
        </row>
        <row r="19">
          <cell r="B19" t="str">
            <v>EBITDA</v>
          </cell>
          <cell r="C19" t="str">
            <v>EBITDA_CALC</v>
          </cell>
          <cell r="D19" t="str">
            <v>SEK</v>
          </cell>
          <cell r="F19">
            <v>4112</v>
          </cell>
          <cell r="G19">
            <v>5434</v>
          </cell>
          <cell r="H19">
            <v>4335</v>
          </cell>
          <cell r="I19">
            <v>4532</v>
          </cell>
          <cell r="J19">
            <v>4234</v>
          </cell>
          <cell r="K19">
            <v>4005</v>
          </cell>
          <cell r="L19">
            <v>5193</v>
          </cell>
          <cell r="M19">
            <v>5404</v>
          </cell>
          <cell r="N19">
            <v>5817</v>
          </cell>
          <cell r="O19">
            <v>5540</v>
          </cell>
          <cell r="P19">
            <v>6273</v>
          </cell>
          <cell r="Q19">
            <v>7073</v>
          </cell>
          <cell r="R19">
            <v>7465</v>
          </cell>
          <cell r="S19">
            <v>9578</v>
          </cell>
          <cell r="T19">
            <v>9998</v>
          </cell>
          <cell r="U19">
            <v>6660</v>
          </cell>
          <cell r="V19">
            <v>10634</v>
          </cell>
          <cell r="W19">
            <v>11518</v>
          </cell>
          <cell r="X19">
            <v>9587</v>
          </cell>
          <cell r="Y19">
            <v>9459</v>
          </cell>
          <cell r="Z19">
            <v>10677</v>
          </cell>
          <cell r="AA19">
            <v>11513</v>
          </cell>
          <cell r="AB19">
            <v>9912</v>
          </cell>
          <cell r="AC19">
            <v>11419</v>
          </cell>
          <cell r="AD19">
            <v>12736</v>
          </cell>
          <cell r="AE19">
            <v>13632</v>
          </cell>
          <cell r="AF19">
            <v>12595</v>
          </cell>
          <cell r="AG19">
            <v>14144</v>
          </cell>
          <cell r="AH19">
            <v>13988</v>
          </cell>
          <cell r="AI19">
            <v>17636.8379372934</v>
          </cell>
          <cell r="AJ19">
            <v>18157.572494520799</v>
          </cell>
          <cell r="AK19">
            <v>19120.400077951501</v>
          </cell>
          <cell r="AL19">
            <v>19932.4514634591</v>
          </cell>
        </row>
        <row r="20">
          <cell r="B20" t="str">
            <v>Depreciation</v>
          </cell>
          <cell r="C20" t="str">
            <v>DEPREC</v>
          </cell>
          <cell r="D20" t="str">
            <v>SEK</v>
          </cell>
          <cell r="F20">
            <v>-1521</v>
          </cell>
          <cell r="G20">
            <v>-1434</v>
          </cell>
          <cell r="H20">
            <v>-1461</v>
          </cell>
          <cell r="I20">
            <v>-1528</v>
          </cell>
          <cell r="J20">
            <v>-2097</v>
          </cell>
          <cell r="K20">
            <v>-1873</v>
          </cell>
          <cell r="L20">
            <v>-1633</v>
          </cell>
          <cell r="M20">
            <v>-1794</v>
          </cell>
          <cell r="N20">
            <v>-1859</v>
          </cell>
          <cell r="O20">
            <v>-1792</v>
          </cell>
          <cell r="P20">
            <v>-1733</v>
          </cell>
          <cell r="Q20">
            <v>-1752</v>
          </cell>
          <cell r="R20">
            <v>-1834</v>
          </cell>
          <cell r="S20">
            <v>-1776</v>
          </cell>
          <cell r="T20">
            <v>-1949</v>
          </cell>
          <cell r="U20">
            <v>-2171</v>
          </cell>
          <cell r="V20">
            <v>-1992</v>
          </cell>
          <cell r="W20">
            <v>-1790</v>
          </cell>
          <cell r="X20">
            <v>-1831</v>
          </cell>
          <cell r="Y20">
            <v>-1893</v>
          </cell>
          <cell r="Z20">
            <v>-2392</v>
          </cell>
          <cell r="AA20">
            <v>-2858</v>
          </cell>
          <cell r="AB20">
            <v>-2368</v>
          </cell>
          <cell r="AC20">
            <v>-2323</v>
          </cell>
          <cell r="AD20">
            <v>-2472</v>
          </cell>
          <cell r="AE20">
            <v>-3496</v>
          </cell>
          <cell r="AF20">
            <v>-3401</v>
          </cell>
          <cell r="AG20">
            <v>-3305</v>
          </cell>
          <cell r="AH20">
            <v>-3784</v>
          </cell>
          <cell r="AI20">
            <v>-4034</v>
          </cell>
          <cell r="AJ20">
            <v>-4284</v>
          </cell>
          <cell r="AK20">
            <v>-4534</v>
          </cell>
          <cell r="AL20">
            <v>-4784</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row>
        <row r="21">
          <cell r="B21" t="str">
            <v>Amortization</v>
          </cell>
          <cell r="C21" t="str">
            <v>GOODWILL_AMORT</v>
          </cell>
          <cell r="D21" t="str">
            <v>SEK</v>
          </cell>
          <cell r="F21">
            <v>0</v>
          </cell>
          <cell r="P21">
            <v>0</v>
          </cell>
          <cell r="Q21">
            <v>0</v>
          </cell>
          <cell r="R21">
            <v>0</v>
          </cell>
          <cell r="S21">
            <v>0</v>
          </cell>
          <cell r="T21">
            <v>0</v>
          </cell>
          <cell r="U21">
            <v>0</v>
          </cell>
          <cell r="V21">
            <v>0</v>
          </cell>
          <cell r="W21">
            <v>0</v>
          </cell>
          <cell r="X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row>
        <row r="22">
          <cell r="B22" t="str">
            <v>EBIT, operating profit</v>
          </cell>
          <cell r="C22" t="str">
            <v>EBIT</v>
          </cell>
          <cell r="D22" t="str">
            <v>SEK</v>
          </cell>
          <cell r="F22">
            <v>2591</v>
          </cell>
          <cell r="G22">
            <v>4000</v>
          </cell>
          <cell r="H22">
            <v>2874</v>
          </cell>
          <cell r="I22">
            <v>3004</v>
          </cell>
          <cell r="J22">
            <v>2137</v>
          </cell>
          <cell r="K22">
            <v>2132</v>
          </cell>
          <cell r="L22">
            <v>3560</v>
          </cell>
          <cell r="M22">
            <v>3610</v>
          </cell>
          <cell r="N22">
            <v>3958</v>
          </cell>
          <cell r="O22">
            <v>3748</v>
          </cell>
          <cell r="P22">
            <v>4540</v>
          </cell>
          <cell r="Q22">
            <v>5321</v>
          </cell>
          <cell r="R22">
            <v>5631</v>
          </cell>
          <cell r="S22">
            <v>7802</v>
          </cell>
          <cell r="T22">
            <v>8049</v>
          </cell>
          <cell r="U22">
            <v>4489</v>
          </cell>
          <cell r="V22">
            <v>8642</v>
          </cell>
          <cell r="W22">
            <v>9728</v>
          </cell>
          <cell r="X22">
            <v>7756</v>
          </cell>
          <cell r="Y22">
            <v>7566</v>
          </cell>
          <cell r="Z22">
            <v>8285</v>
          </cell>
          <cell r="AA22">
            <v>8655</v>
          </cell>
          <cell r="AB22">
            <v>7544</v>
          </cell>
          <cell r="AC22">
            <v>9096</v>
          </cell>
          <cell r="AD22">
            <v>10264</v>
          </cell>
          <cell r="AE22">
            <v>10136</v>
          </cell>
          <cell r="AF22">
            <v>9194</v>
          </cell>
          <cell r="AG22">
            <v>10839</v>
          </cell>
          <cell r="AH22">
            <v>10204</v>
          </cell>
          <cell r="AI22">
            <v>13602.8379372934</v>
          </cell>
          <cell r="AJ22">
            <v>13873.5724945208</v>
          </cell>
          <cell r="AK22">
            <v>14586.400077951501</v>
          </cell>
          <cell r="AL22">
            <v>15148.4514634591</v>
          </cell>
          <cell r="AO22">
            <v>903</v>
          </cell>
          <cell r="AP22">
            <v>903</v>
          </cell>
          <cell r="AQ22">
            <v>1159</v>
          </cell>
          <cell r="AR22">
            <v>1189</v>
          </cell>
          <cell r="AS22">
            <v>1183</v>
          </cell>
          <cell r="AT22">
            <v>1207</v>
          </cell>
          <cell r="AU22">
            <v>1388</v>
          </cell>
          <cell r="AV22">
            <v>1464</v>
          </cell>
          <cell r="AW22">
            <v>1268</v>
          </cell>
          <cell r="AX22">
            <v>1609</v>
          </cell>
          <cell r="AY22">
            <v>1702</v>
          </cell>
          <cell r="AZ22">
            <v>1538</v>
          </cell>
          <cell r="BA22">
            <v>1858</v>
          </cell>
          <cell r="BB22">
            <v>1886</v>
          </cell>
          <cell r="BC22">
            <v>2019</v>
          </cell>
          <cell r="BD22">
            <v>1803</v>
          </cell>
          <cell r="BE22">
            <v>1831</v>
          </cell>
          <cell r="BF22">
            <v>2040</v>
          </cell>
          <cell r="BG22">
            <v>2135</v>
          </cell>
          <cell r="BH22">
            <v>2085</v>
          </cell>
          <cell r="BI22">
            <v>1450</v>
          </cell>
          <cell r="BJ22">
            <v>768</v>
          </cell>
          <cell r="BK22">
            <v>474</v>
          </cell>
          <cell r="BL22">
            <v>957</v>
          </cell>
          <cell r="BM22">
            <v>1004</v>
          </cell>
          <cell r="BN22">
            <v>1702</v>
          </cell>
          <cell r="BO22">
            <v>2239</v>
          </cell>
          <cell r="BP22">
            <v>2309</v>
          </cell>
          <cell r="BQ22">
            <v>2202</v>
          </cell>
          <cell r="BR22">
            <v>2504</v>
          </cell>
          <cell r="BS22">
            <v>2623</v>
          </cell>
          <cell r="BT22">
            <v>2479</v>
          </cell>
          <cell r="BU22">
            <v>2006</v>
          </cell>
          <cell r="BV22">
            <v>2140</v>
          </cell>
          <cell r="BW22">
            <v>2053</v>
          </cell>
          <cell r="BX22">
            <v>1913</v>
          </cell>
          <cell r="BY22">
            <v>1227</v>
          </cell>
          <cell r="BZ22">
            <v>1480</v>
          </cell>
          <cell r="CA22">
            <v>1837</v>
          </cell>
          <cell r="CB22">
            <v>1923</v>
          </cell>
          <cell r="CC22">
            <v>-1547</v>
          </cell>
          <cell r="CD22">
            <v>2024</v>
          </cell>
          <cell r="CE22">
            <v>2096</v>
          </cell>
          <cell r="CF22">
            <v>2073</v>
          </cell>
          <cell r="CG22">
            <v>1608</v>
          </cell>
          <cell r="CH22">
            <v>1721</v>
          </cell>
          <cell r="CI22">
            <v>2383</v>
          </cell>
          <cell r="CJ22">
            <v>1825</v>
          </cell>
          <cell r="CK22">
            <v>1039</v>
          </cell>
          <cell r="CL22">
            <v>1875</v>
          </cell>
          <cell r="CM22">
            <v>1875</v>
          </cell>
          <cell r="CN22">
            <v>2191</v>
          </cell>
          <cell r="CO22">
            <v>1586</v>
          </cell>
          <cell r="CP22">
            <v>2295</v>
          </cell>
          <cell r="CQ22">
            <v>2315</v>
          </cell>
          <cell r="CR22">
            <v>1965</v>
          </cell>
          <cell r="CS22">
            <v>2017</v>
          </cell>
          <cell r="CT22">
            <v>2625</v>
          </cell>
          <cell r="CU22">
            <v>2925</v>
          </cell>
          <cell r="CV22">
            <v>2597</v>
          </cell>
          <cell r="CW22">
            <v>2902</v>
          </cell>
          <cell r="CX22">
            <v>2658</v>
          </cell>
          <cell r="CY22">
            <v>2539</v>
          </cell>
          <cell r="CZ22">
            <v>2288</v>
          </cell>
          <cell r="DA22">
            <v>1910</v>
          </cell>
          <cell r="DB22">
            <v>2268</v>
          </cell>
          <cell r="DC22">
            <v>669</v>
          </cell>
          <cell r="DD22">
            <v>1922</v>
          </cell>
          <cell r="DE22">
            <v>2210</v>
          </cell>
          <cell r="DF22">
            <v>2699</v>
          </cell>
          <cell r="DG22">
            <v>2878</v>
          </cell>
          <cell r="DH22">
            <v>2588</v>
          </cell>
          <cell r="DI22">
            <v>2593</v>
          </cell>
          <cell r="DJ22">
            <v>2953</v>
          </cell>
          <cell r="DK22">
            <v>1581</v>
          </cell>
          <cell r="DL22">
            <v>1929</v>
          </cell>
          <cell r="DM22">
            <v>2069</v>
          </cell>
          <cell r="DN22">
            <v>3379</v>
          </cell>
          <cell r="DO22">
            <v>3053.75822942282</v>
          </cell>
          <cell r="DP22">
            <v>3118.2246984642402</v>
          </cell>
          <cell r="DQ22">
            <v>3402.8550094063598</v>
          </cell>
          <cell r="DR22">
            <v>3634.4285544598201</v>
          </cell>
          <cell r="DS22">
            <v>3610.1825144938398</v>
          </cell>
        </row>
        <row r="23">
          <cell r="B23" t="str">
            <v>Interest income</v>
          </cell>
          <cell r="C23" t="str">
            <v>INT_INC_IND</v>
          </cell>
          <cell r="D23" t="str">
            <v>SEK</v>
          </cell>
          <cell r="F23">
            <v>580</v>
          </cell>
          <cell r="G23">
            <v>361</v>
          </cell>
          <cell r="H23">
            <v>687</v>
          </cell>
          <cell r="I23">
            <v>604</v>
          </cell>
          <cell r="J23">
            <v>226</v>
          </cell>
          <cell r="K23">
            <v>463</v>
          </cell>
          <cell r="L23">
            <v>595</v>
          </cell>
          <cell r="M23">
            <v>659</v>
          </cell>
          <cell r="N23">
            <v>0</v>
          </cell>
          <cell r="O23">
            <v>0</v>
          </cell>
          <cell r="P23">
            <v>142</v>
          </cell>
          <cell r="Q23">
            <v>701</v>
          </cell>
          <cell r="R23">
            <v>69</v>
          </cell>
          <cell r="S23">
            <v>968</v>
          </cell>
          <cell r="T23">
            <v>2020</v>
          </cell>
          <cell r="U23">
            <v>45</v>
          </cell>
          <cell r="V23">
            <v>0</v>
          </cell>
          <cell r="W23">
            <v>0</v>
          </cell>
          <cell r="X23">
            <v>121</v>
          </cell>
          <cell r="Y23">
            <v>123</v>
          </cell>
          <cell r="Z23">
            <v>147</v>
          </cell>
          <cell r="AA23">
            <v>108</v>
          </cell>
          <cell r="AB23">
            <v>107</v>
          </cell>
          <cell r="AC23">
            <v>108</v>
          </cell>
          <cell r="AD23">
            <v>118</v>
          </cell>
          <cell r="AE23">
            <v>126.908246225319</v>
          </cell>
          <cell r="AF23">
            <v>68</v>
          </cell>
          <cell r="AG23">
            <v>102</v>
          </cell>
          <cell r="AH23">
            <v>120</v>
          </cell>
          <cell r="AI23">
            <v>0</v>
          </cell>
          <cell r="AJ23">
            <v>0</v>
          </cell>
          <cell r="AK23">
            <v>0</v>
          </cell>
          <cell r="AL23">
            <v>0</v>
          </cell>
        </row>
        <row r="24">
          <cell r="B24" t="str">
            <v>Interest expense</v>
          </cell>
          <cell r="C24" t="str">
            <v>INT_EXP_IND</v>
          </cell>
          <cell r="D24" t="str">
            <v>SEK</v>
          </cell>
          <cell r="F24">
            <v>-1294</v>
          </cell>
          <cell r="G24">
            <v>-972</v>
          </cell>
          <cell r="H24">
            <v>-1149</v>
          </cell>
          <cell r="I24">
            <v>-1447</v>
          </cell>
          <cell r="J24">
            <v>-1290</v>
          </cell>
          <cell r="K24">
            <v>-1214</v>
          </cell>
          <cell r="L24">
            <v>-1267</v>
          </cell>
          <cell r="M24">
            <v>-1173</v>
          </cell>
          <cell r="N24">
            <v>-480</v>
          </cell>
          <cell r="O24">
            <v>-506</v>
          </cell>
          <cell r="P24">
            <v>-489</v>
          </cell>
          <cell r="Q24">
            <v>-775</v>
          </cell>
          <cell r="R24">
            <v>-389</v>
          </cell>
          <cell r="S24">
            <v>-1369</v>
          </cell>
          <cell r="T24">
            <v>-2862</v>
          </cell>
          <cell r="U24">
            <v>-951</v>
          </cell>
          <cell r="V24">
            <v>-903</v>
          </cell>
          <cell r="W24">
            <v>-680</v>
          </cell>
          <cell r="X24">
            <v>-943</v>
          </cell>
          <cell r="Y24">
            <v>-995</v>
          </cell>
          <cell r="Z24">
            <v>-1280</v>
          </cell>
          <cell r="AA24">
            <v>-1242</v>
          </cell>
          <cell r="AB24">
            <v>-895</v>
          </cell>
          <cell r="AC24">
            <v>-1042</v>
          </cell>
          <cell r="AD24">
            <v>-979</v>
          </cell>
          <cell r="AE24">
            <v>-1052.90824622532</v>
          </cell>
          <cell r="AF24">
            <v>-837</v>
          </cell>
          <cell r="AG24">
            <v>-797</v>
          </cell>
          <cell r="AH24">
            <v>-1359</v>
          </cell>
          <cell r="AI24">
            <v>-1750</v>
          </cell>
          <cell r="AJ24">
            <v>-1750</v>
          </cell>
          <cell r="AK24">
            <v>-1750</v>
          </cell>
          <cell r="AL24">
            <v>-1750</v>
          </cell>
        </row>
        <row r="25">
          <cell r="B25" t="str">
            <v>Net interest income/(expense)</v>
          </cell>
          <cell r="C25" t="str">
            <v>NET_INT_EXP</v>
          </cell>
          <cell r="D25" t="str">
            <v>SEK</v>
          </cell>
          <cell r="F25">
            <v>-714</v>
          </cell>
          <cell r="G25">
            <v>-611</v>
          </cell>
          <cell r="H25">
            <v>-462</v>
          </cell>
          <cell r="I25">
            <v>-843</v>
          </cell>
          <cell r="J25">
            <v>-1064</v>
          </cell>
          <cell r="K25">
            <v>-751</v>
          </cell>
          <cell r="L25">
            <v>-672</v>
          </cell>
          <cell r="M25">
            <v>-514</v>
          </cell>
          <cell r="N25">
            <v>-480</v>
          </cell>
          <cell r="O25">
            <v>-506</v>
          </cell>
          <cell r="P25">
            <v>-347</v>
          </cell>
          <cell r="Q25">
            <v>-74</v>
          </cell>
          <cell r="R25">
            <v>-320</v>
          </cell>
          <cell r="S25">
            <v>-401</v>
          </cell>
          <cell r="T25">
            <v>-842</v>
          </cell>
          <cell r="U25">
            <v>-906</v>
          </cell>
          <cell r="V25">
            <v>-903</v>
          </cell>
          <cell r="W25">
            <v>-680</v>
          </cell>
          <cell r="X25">
            <v>-822</v>
          </cell>
          <cell r="Y25">
            <v>-872</v>
          </cell>
          <cell r="Z25">
            <v>-1133</v>
          </cell>
          <cell r="AA25">
            <v>-1134</v>
          </cell>
          <cell r="AB25">
            <v>-788</v>
          </cell>
          <cell r="AC25">
            <v>-934</v>
          </cell>
          <cell r="AD25">
            <v>-861</v>
          </cell>
          <cell r="AE25">
            <v>-926</v>
          </cell>
          <cell r="AF25">
            <v>-769</v>
          </cell>
          <cell r="AG25">
            <v>-695</v>
          </cell>
          <cell r="AH25">
            <v>-1239</v>
          </cell>
          <cell r="AI25">
            <v>-1750</v>
          </cell>
          <cell r="AJ25">
            <v>-1750</v>
          </cell>
          <cell r="AK25">
            <v>-1750</v>
          </cell>
          <cell r="AL25">
            <v>-1750</v>
          </cell>
        </row>
        <row r="26">
          <cell r="B26" t="str">
            <v>Income/(loss) from unconsolidated subs &amp; associates</v>
          </cell>
          <cell r="C26" t="str">
            <v>ASSOCIATE</v>
          </cell>
          <cell r="D26" t="str">
            <v>SEK</v>
          </cell>
          <cell r="F26">
            <v>0</v>
          </cell>
          <cell r="G26">
            <v>0</v>
          </cell>
          <cell r="H26">
            <v>0</v>
          </cell>
          <cell r="I26">
            <v>0</v>
          </cell>
          <cell r="J26">
            <v>0</v>
          </cell>
          <cell r="K26">
            <v>0</v>
          </cell>
          <cell r="L26">
            <v>7</v>
          </cell>
          <cell r="M26">
            <v>12</v>
          </cell>
          <cell r="N26">
            <v>32</v>
          </cell>
          <cell r="O26">
            <v>19</v>
          </cell>
          <cell r="P26">
            <v>-3</v>
          </cell>
          <cell r="Q26">
            <v>172</v>
          </cell>
          <cell r="R26">
            <v>738</v>
          </cell>
          <cell r="S26">
            <v>-3</v>
          </cell>
          <cell r="T26">
            <v>1</v>
          </cell>
          <cell r="U26">
            <v>-11</v>
          </cell>
          <cell r="V26">
            <v>0</v>
          </cell>
          <cell r="W26">
            <v>-16</v>
          </cell>
          <cell r="X26">
            <v>-2</v>
          </cell>
          <cell r="Y26">
            <v>2</v>
          </cell>
          <cell r="Z26">
            <v>6</v>
          </cell>
          <cell r="AA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row>
        <row r="27">
          <cell r="B27" t="str">
            <v>Profit/(loss) on disposals of assets, pre-tax</v>
          </cell>
          <cell r="C27" t="str">
            <v>PROFIT_ON_DISP</v>
          </cell>
          <cell r="D27" t="str">
            <v>SEK</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row>
        <row r="28">
          <cell r="B28" t="str">
            <v>Other non-ops income/(expense)</v>
          </cell>
          <cell r="C28" t="str">
            <v>OTH_COST_INC</v>
          </cell>
          <cell r="D28" t="str">
            <v>SEK</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-190</v>
          </cell>
          <cell r="W28">
            <v>-100</v>
          </cell>
          <cell r="X28">
            <v>-440</v>
          </cell>
          <cell r="Y28">
            <v>-3875</v>
          </cell>
          <cell r="Z28">
            <v>-490</v>
          </cell>
          <cell r="AA28">
            <v>-1687</v>
          </cell>
          <cell r="AB28">
            <v>-17</v>
          </cell>
          <cell r="AC28">
            <v>-504</v>
          </cell>
          <cell r="AD28">
            <v>785</v>
          </cell>
          <cell r="AE28">
            <v>-741</v>
          </cell>
          <cell r="AF28">
            <v>-2125</v>
          </cell>
          <cell r="AG28">
            <v>-81</v>
          </cell>
          <cell r="AH28">
            <v>-1672</v>
          </cell>
          <cell r="AI28">
            <v>-700</v>
          </cell>
          <cell r="AJ28">
            <v>-600</v>
          </cell>
          <cell r="AK28">
            <v>-600</v>
          </cell>
          <cell r="AL28">
            <v>-600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row>
        <row r="29">
          <cell r="B29" t="str">
            <v>Pre-tax profit</v>
          </cell>
          <cell r="C29" t="str">
            <v>PT_PROF</v>
          </cell>
          <cell r="D29" t="str">
            <v>SEK</v>
          </cell>
          <cell r="F29">
            <v>1877</v>
          </cell>
          <cell r="G29">
            <v>3389</v>
          </cell>
          <cell r="H29">
            <v>2412</v>
          </cell>
          <cell r="I29">
            <v>2161</v>
          </cell>
          <cell r="J29">
            <v>1073</v>
          </cell>
          <cell r="K29">
            <v>1381</v>
          </cell>
          <cell r="L29">
            <v>2895</v>
          </cell>
          <cell r="M29">
            <v>3108</v>
          </cell>
          <cell r="N29">
            <v>3510</v>
          </cell>
          <cell r="O29">
            <v>3261</v>
          </cell>
          <cell r="P29">
            <v>4190</v>
          </cell>
          <cell r="Q29">
            <v>5419</v>
          </cell>
          <cell r="R29">
            <v>6049</v>
          </cell>
          <cell r="S29">
            <v>7398</v>
          </cell>
          <cell r="T29">
            <v>7208</v>
          </cell>
          <cell r="U29">
            <v>3572</v>
          </cell>
          <cell r="V29">
            <v>7549</v>
          </cell>
          <cell r="W29">
            <v>8932</v>
          </cell>
          <cell r="X29">
            <v>6492</v>
          </cell>
          <cell r="Y29">
            <v>2821</v>
          </cell>
          <cell r="Z29">
            <v>6668</v>
          </cell>
          <cell r="AA29">
            <v>5834</v>
          </cell>
          <cell r="AB29">
            <v>6739</v>
          </cell>
          <cell r="AC29">
            <v>7658</v>
          </cell>
          <cell r="AD29">
            <v>10188</v>
          </cell>
          <cell r="AE29">
            <v>8469</v>
          </cell>
          <cell r="AF29">
            <v>6300</v>
          </cell>
          <cell r="AG29">
            <v>10063</v>
          </cell>
          <cell r="AH29">
            <v>7293</v>
          </cell>
          <cell r="AI29">
            <v>11152.8379372934</v>
          </cell>
          <cell r="AJ29">
            <v>11523.5724945208</v>
          </cell>
          <cell r="AK29">
            <v>12236.400077951501</v>
          </cell>
          <cell r="AL29">
            <v>12798.4514634591</v>
          </cell>
          <cell r="AO29">
            <v>815</v>
          </cell>
          <cell r="AP29">
            <v>815</v>
          </cell>
          <cell r="AQ29">
            <v>1049</v>
          </cell>
          <cell r="AR29">
            <v>1110</v>
          </cell>
          <cell r="AS29">
            <v>1113</v>
          </cell>
          <cell r="AT29">
            <v>1179</v>
          </cell>
          <cell r="AU29">
            <v>1319</v>
          </cell>
          <cell r="AV29">
            <v>1480</v>
          </cell>
          <cell r="AW29">
            <v>1275</v>
          </cell>
          <cell r="AX29">
            <v>1599</v>
          </cell>
          <cell r="AY29">
            <v>1520</v>
          </cell>
          <cell r="AZ29">
            <v>1422</v>
          </cell>
          <cell r="BA29">
            <v>1846</v>
          </cell>
          <cell r="BB29">
            <v>1825</v>
          </cell>
          <cell r="BC29">
            <v>1957</v>
          </cell>
          <cell r="BD29">
            <v>1646</v>
          </cell>
          <cell r="BE29">
            <v>1710</v>
          </cell>
          <cell r="BF29">
            <v>1924</v>
          </cell>
          <cell r="BG29">
            <v>1978</v>
          </cell>
          <cell r="BH29">
            <v>1859</v>
          </cell>
          <cell r="BI29">
            <v>1107</v>
          </cell>
          <cell r="BJ29">
            <v>531</v>
          </cell>
          <cell r="BK29">
            <v>312</v>
          </cell>
          <cell r="BL29">
            <v>689</v>
          </cell>
          <cell r="BM29">
            <v>765</v>
          </cell>
          <cell r="BN29">
            <v>1504</v>
          </cell>
          <cell r="BO29">
            <v>2047</v>
          </cell>
          <cell r="BP29">
            <v>1950</v>
          </cell>
          <cell r="BQ29">
            <v>2048</v>
          </cell>
          <cell r="BR29">
            <v>2318</v>
          </cell>
          <cell r="BS29">
            <v>2446</v>
          </cell>
          <cell r="BT29">
            <v>2345</v>
          </cell>
          <cell r="BU29">
            <v>1823</v>
          </cell>
          <cell r="BV29">
            <v>1981</v>
          </cell>
          <cell r="BW29">
            <v>1801</v>
          </cell>
          <cell r="BX29">
            <v>1734</v>
          </cell>
          <cell r="BY29">
            <v>995</v>
          </cell>
          <cell r="BZ29">
            <v>1237</v>
          </cell>
          <cell r="CA29">
            <v>1627</v>
          </cell>
          <cell r="CB29">
            <v>1717</v>
          </cell>
          <cell r="CC29">
            <v>-1760</v>
          </cell>
          <cell r="CD29">
            <v>1787</v>
          </cell>
          <cell r="CE29">
            <v>1761</v>
          </cell>
          <cell r="CF29">
            <v>1827</v>
          </cell>
          <cell r="CG29">
            <v>1293</v>
          </cell>
          <cell r="CH29">
            <v>1592</v>
          </cell>
          <cell r="CI29">
            <v>2241</v>
          </cell>
          <cell r="CJ29">
            <v>1348</v>
          </cell>
          <cell r="CK29">
            <v>653</v>
          </cell>
          <cell r="CL29">
            <v>1658</v>
          </cell>
          <cell r="CM29">
            <v>1656</v>
          </cell>
          <cell r="CN29">
            <v>2049</v>
          </cell>
          <cell r="CO29">
            <v>1376</v>
          </cell>
          <cell r="CP29">
            <v>2125</v>
          </cell>
          <cell r="CQ29">
            <v>2057</v>
          </cell>
          <cell r="CR29">
            <v>1692</v>
          </cell>
          <cell r="CS29">
            <v>1784</v>
          </cell>
          <cell r="CT29">
            <v>2425</v>
          </cell>
          <cell r="CU29">
            <v>2783</v>
          </cell>
          <cell r="CV29">
            <v>2344</v>
          </cell>
          <cell r="CW29">
            <v>2636</v>
          </cell>
          <cell r="CX29">
            <v>2442</v>
          </cell>
          <cell r="CY29">
            <v>2261</v>
          </cell>
          <cell r="CZ29">
            <v>2044</v>
          </cell>
          <cell r="DA29">
            <v>1722</v>
          </cell>
          <cell r="DB29">
            <v>1856</v>
          </cell>
          <cell r="DC29">
            <v>580</v>
          </cell>
          <cell r="DD29">
            <v>1720</v>
          </cell>
          <cell r="DE29">
            <v>2144</v>
          </cell>
          <cell r="DF29">
            <v>2495</v>
          </cell>
          <cell r="DG29">
            <v>2801</v>
          </cell>
          <cell r="DH29">
            <v>2440</v>
          </cell>
          <cell r="DI29">
            <v>2327</v>
          </cell>
          <cell r="DJ29">
            <v>2885</v>
          </cell>
          <cell r="DK29">
            <v>1097</v>
          </cell>
          <cell r="DL29">
            <v>1618</v>
          </cell>
          <cell r="DM29">
            <v>1693</v>
          </cell>
          <cell r="DN29">
            <v>2942</v>
          </cell>
          <cell r="DO29">
            <v>2613.75822942282</v>
          </cell>
          <cell r="DP29">
            <v>2678.2246984642402</v>
          </cell>
          <cell r="DQ29">
            <v>2969.8550094063598</v>
          </cell>
          <cell r="DR29">
            <v>3209.4285544598201</v>
          </cell>
          <cell r="DS29">
            <v>3185.1825144938398</v>
          </cell>
        </row>
        <row r="30">
          <cell r="A30" t="str">
            <v>Additional Income Statement Items</v>
          </cell>
        </row>
        <row r="31">
          <cell r="B31" t="str">
            <v>Organic revenues (excl. acquisitions)</v>
          </cell>
          <cell r="C31" t="str">
            <v>ORG_REV</v>
          </cell>
          <cell r="D31" t="str">
            <v>SEK</v>
          </cell>
        </row>
        <row r="32">
          <cell r="B32" t="str">
            <v>Organic sales growth (excl. acquisitions)</v>
          </cell>
          <cell r="C32" t="str">
            <v>ORG_REV_GRTH</v>
          </cell>
          <cell r="F32">
            <v>0.15</v>
          </cell>
          <cell r="G32">
            <v>0.13300000000000001</v>
          </cell>
          <cell r="H32">
            <v>0</v>
          </cell>
          <cell r="I32">
            <v>4.9000000000000002E-2</v>
          </cell>
          <cell r="J32">
            <v>1.6E-2</v>
          </cell>
          <cell r="K32">
            <v>-4.5999999999999999E-2</v>
          </cell>
          <cell r="L32">
            <v>6.7000000000000004E-2</v>
          </cell>
          <cell r="M32">
            <v>-2E-3</v>
          </cell>
          <cell r="N32">
            <v>1.4E-2</v>
          </cell>
          <cell r="O32">
            <v>4.9000000000000002E-2</v>
          </cell>
          <cell r="P32">
            <v>0.107</v>
          </cell>
          <cell r="Q32">
            <v>8.4000000000000005E-2</v>
          </cell>
          <cell r="R32">
            <v>7.3999999999999996E-2</v>
          </cell>
          <cell r="S32">
            <v>0.10100000000000001</v>
          </cell>
          <cell r="T32">
            <v>5.7000000000000002E-2</v>
          </cell>
          <cell r="U32">
            <v>-0.2</v>
          </cell>
          <cell r="V32">
            <v>0.14199999999999999</v>
          </cell>
          <cell r="W32">
            <v>0.115</v>
          </cell>
          <cell r="X32">
            <v>-2.6318736672999998E-2</v>
          </cell>
          <cell r="Y32">
            <v>-6.9769105690000001E-3</v>
          </cell>
          <cell r="Z32">
            <v>3.7513769459999999E-2</v>
          </cell>
          <cell r="AA32">
            <v>-2.5677896886000001E-2</v>
          </cell>
          <cell r="AB32">
            <v>-1.6E-2</v>
          </cell>
          <cell r="AC32">
            <v>8.2000000000000003E-2</v>
          </cell>
          <cell r="AD32">
            <v>7.0999999999999994E-2</v>
          </cell>
          <cell r="AE32">
            <v>-0.02</v>
          </cell>
          <cell r="AF32">
            <v>-0.1</v>
          </cell>
          <cell r="AG32">
            <v>0.126</v>
          </cell>
          <cell r="AH32">
            <v>8.1000000000000003E-2</v>
          </cell>
          <cell r="AI32">
            <v>4.4621469469000002E-2</v>
          </cell>
          <cell r="AJ32">
            <v>2.0068599667999999E-2</v>
          </cell>
          <cell r="AK32">
            <v>3.7464966863999999E-2</v>
          </cell>
          <cell r="AL32">
            <v>3.6013397125999998E-2</v>
          </cell>
          <cell r="AS32">
            <v>0.11899999999999999</v>
          </cell>
          <cell r="AT32">
            <v>0.11899999999999999</v>
          </cell>
          <cell r="AU32">
            <v>0.112</v>
          </cell>
          <cell r="AV32">
            <v>7.1999999999999995E-2</v>
          </cell>
          <cell r="AW32">
            <v>3.9E-2</v>
          </cell>
          <cell r="AX32">
            <v>8.8999999999999996E-2</v>
          </cell>
          <cell r="AY32">
            <v>4.4999999999999998E-2</v>
          </cell>
          <cell r="AZ32">
            <v>5.2999999999999999E-2</v>
          </cell>
          <cell r="BA32">
            <v>0.111</v>
          </cell>
          <cell r="BB32">
            <v>9.7000000000000003E-2</v>
          </cell>
          <cell r="BC32">
            <v>9.6000000000000002E-2</v>
          </cell>
          <cell r="BD32">
            <v>0.11</v>
          </cell>
          <cell r="BE32">
            <v>9.5000000000000001E-2</v>
          </cell>
          <cell r="BF32">
            <v>8.6999999999999994E-2</v>
          </cell>
          <cell r="BG32">
            <v>0.10199999999999999</v>
          </cell>
          <cell r="BH32">
            <v>9.0999999999999998E-2</v>
          </cell>
          <cell r="BI32">
            <v>-4.4999999999999998E-2</v>
          </cell>
          <cell r="BJ32">
            <v>-0.19800000000000001</v>
          </cell>
          <cell r="BK32">
            <v>-0.252</v>
          </cell>
          <cell r="BL32">
            <v>-0.21199999999999999</v>
          </cell>
          <cell r="BM32">
            <v>-0.13800000000000001</v>
          </cell>
          <cell r="BN32">
            <v>0.05</v>
          </cell>
          <cell r="BO32">
            <v>0.161</v>
          </cell>
          <cell r="BP32">
            <v>0.193</v>
          </cell>
          <cell r="BQ32">
            <v>0.17199999999999999</v>
          </cell>
          <cell r="BR32">
            <v>0.214</v>
          </cell>
          <cell r="BS32">
            <v>0.14199999999999999</v>
          </cell>
          <cell r="BT32">
            <v>8.2000000000000003E-2</v>
          </cell>
          <cell r="BU32">
            <v>2.8000000000000001E-2</v>
          </cell>
          <cell r="BV32">
            <v>7.4142594860000001E-3</v>
          </cell>
          <cell r="BW32">
            <v>-8.7625635059999998E-3</v>
          </cell>
          <cell r="BX32">
            <v>-4.6604305865000001E-2</v>
          </cell>
          <cell r="BY32">
            <v>-5.3465705108E-2</v>
          </cell>
          <cell r="BZ32">
            <v>-8.0859357026000001E-2</v>
          </cell>
          <cell r="CA32">
            <v>-2.3635756056999999E-2</v>
          </cell>
          <cell r="CB32">
            <v>1.8730195868999999E-2</v>
          </cell>
          <cell r="CC32">
            <v>6.8998682568E-2</v>
          </cell>
          <cell r="CD32">
            <v>6.3141988834999996E-2</v>
          </cell>
          <cell r="CE32">
            <v>4.6999649677000002E-2</v>
          </cell>
          <cell r="CF32">
            <v>3.2052469198999997E-2</v>
          </cell>
          <cell r="CG32">
            <v>2.6154675446E-2</v>
          </cell>
          <cell r="CH32">
            <v>1.3601166426000001E-2</v>
          </cell>
          <cell r="CI32">
            <v>-1.3791760090000001E-2</v>
          </cell>
          <cell r="CJ32">
            <v>-4.7E-2</v>
          </cell>
          <cell r="CK32">
            <v>-5.2064646025000001E-2</v>
          </cell>
          <cell r="CL32">
            <v>-6.0747349914999998E-2</v>
          </cell>
          <cell r="CM32">
            <v>-4.4400761637999997E-2</v>
          </cell>
          <cell r="CN32">
            <v>-6.0000000000000001E-3</v>
          </cell>
          <cell r="CO32">
            <v>1.2E-2</v>
          </cell>
          <cell r="CP32">
            <v>0.08</v>
          </cell>
          <cell r="CQ32">
            <v>7.4999999999999997E-2</v>
          </cell>
          <cell r="CR32">
            <v>0.08</v>
          </cell>
          <cell r="CS32">
            <v>8.2000000000000003E-2</v>
          </cell>
          <cell r="CT32">
            <v>7.4999999999999997E-2</v>
          </cell>
          <cell r="CU32">
            <v>0.09</v>
          </cell>
          <cell r="CV32">
            <v>6.9093734901000001E-2</v>
          </cell>
          <cell r="CW32">
            <v>4.9391869000999997E-2</v>
          </cell>
          <cell r="CX32">
            <v>2.6463521400000001E-3</v>
          </cell>
          <cell r="CY32">
            <v>-1.5885941644999999E-2</v>
          </cell>
          <cell r="CZ32">
            <v>-3.0093341454999999E-2</v>
          </cell>
          <cell r="DA32">
            <v>-2.9207342393000001E-2</v>
          </cell>
          <cell r="DB32">
            <v>-8.6321082808999999E-2</v>
          </cell>
          <cell r="DC32">
            <v>-0.25188051405200002</v>
          </cell>
          <cell r="DD32">
            <v>-5.0999999999999997E-2</v>
          </cell>
          <cell r="DE32">
            <v>-1.26683327E-3</v>
          </cell>
          <cell r="DF32">
            <v>8.5999999999999993E-2</v>
          </cell>
          <cell r="DG32">
            <v>0.33200000000000002</v>
          </cell>
          <cell r="DH32">
            <v>7.6999999999999999E-2</v>
          </cell>
          <cell r="DI32">
            <v>3.7999999999999999E-2</v>
          </cell>
          <cell r="DJ32">
            <v>6.5000000000000002E-2</v>
          </cell>
          <cell r="DK32">
            <v>5.3999999999999999E-2</v>
          </cell>
          <cell r="DL32">
            <v>0.110067358285</v>
          </cell>
          <cell r="DM32">
            <v>9.6806537691999997E-2</v>
          </cell>
          <cell r="DN32">
            <v>0.10100000000000001</v>
          </cell>
          <cell r="DO32">
            <v>3.7283365038999997E-2</v>
          </cell>
          <cell r="DP32">
            <v>3.3687107107E-2</v>
          </cell>
          <cell r="DQ32">
            <v>1.05832341E-2</v>
          </cell>
          <cell r="DR32">
            <v>-3.1299532939000001E-2</v>
          </cell>
          <cell r="DS32">
            <v>-2.473781432E-3</v>
          </cell>
        </row>
        <row r="33">
          <cell r="B33" t="str">
            <v>Growth from acquisitions</v>
          </cell>
          <cell r="C33" t="str">
            <v>ACQ_GRTH</v>
          </cell>
          <cell r="L33">
            <v>-5.0000000000000001E-3</v>
          </cell>
          <cell r="M33">
            <v>5.0000000000000001E-3</v>
          </cell>
          <cell r="N33">
            <v>1.6E-2</v>
          </cell>
          <cell r="O33">
            <v>3.0000000000000001E-3</v>
          </cell>
          <cell r="P33">
            <v>1.0999999999999999E-2</v>
          </cell>
          <cell r="Q33">
            <v>-1.0999999999999999E-2</v>
          </cell>
          <cell r="R33">
            <v>1E-3</v>
          </cell>
          <cell r="S33">
            <v>3.1E-2</v>
          </cell>
          <cell r="T33">
            <v>1.4E-2</v>
          </cell>
          <cell r="U33">
            <v>0.01</v>
          </cell>
          <cell r="V33">
            <v>0</v>
          </cell>
          <cell r="W33">
            <v>4.8000000000000001E-2</v>
          </cell>
          <cell r="X33">
            <v>4.0000000000000001E-3</v>
          </cell>
          <cell r="Y33">
            <v>2.5000000000000001E-2</v>
          </cell>
          <cell r="Z33">
            <v>3.6999999999999998E-2</v>
          </cell>
          <cell r="AA33">
            <v>-4.7597413650000003E-3</v>
          </cell>
          <cell r="AB33">
            <v>-2.2087714218000001E-2</v>
          </cell>
          <cell r="AC33">
            <v>-1.6E-2</v>
          </cell>
          <cell r="AD33">
            <v>-6.0000000000000001E-3</v>
          </cell>
          <cell r="AE33">
            <v>-2.3E-2</v>
          </cell>
          <cell r="AF33">
            <v>0</v>
          </cell>
          <cell r="AG33">
            <v>0</v>
          </cell>
          <cell r="AH33">
            <v>-1.4999999999999999E-2</v>
          </cell>
          <cell r="AI33">
            <v>-3.7499999999999999E-3</v>
          </cell>
          <cell r="AJ33">
            <v>0</v>
          </cell>
          <cell r="AK33">
            <v>0</v>
          </cell>
          <cell r="AL33">
            <v>0</v>
          </cell>
          <cell r="BM33">
            <v>0</v>
          </cell>
          <cell r="BN33">
            <v>0</v>
          </cell>
          <cell r="BO33">
            <v>0</v>
          </cell>
          <cell r="BP33">
            <v>0</v>
          </cell>
          <cell r="BQ33">
            <v>0</v>
          </cell>
          <cell r="BR33">
            <v>0.05</v>
          </cell>
          <cell r="BS33">
            <v>4.3999999999999997E-2</v>
          </cell>
          <cell r="BT33">
            <v>5.0999999999999997E-2</v>
          </cell>
          <cell r="BU33">
            <v>4.8000000000000001E-2</v>
          </cell>
          <cell r="BV33">
            <v>-3.41225776E-4</v>
          </cell>
          <cell r="BW33">
            <v>1.65430161E-4</v>
          </cell>
          <cell r="BX33">
            <v>-3.8176862899999997E-4</v>
          </cell>
          <cell r="BY33">
            <v>-9.5042462099999996E-4</v>
          </cell>
          <cell r="BZ33">
            <v>1.6098698750000001E-3</v>
          </cell>
          <cell r="CA33">
            <v>6.9363623830000004E-3</v>
          </cell>
          <cell r="CB33">
            <v>3.4818871430000002E-3</v>
          </cell>
          <cell r="CC33">
            <v>1.6264194860000001E-3</v>
          </cell>
          <cell r="CD33">
            <v>7.7120405089999997E-2</v>
          </cell>
          <cell r="CE33">
            <v>6.7881590734000005E-2</v>
          </cell>
          <cell r="CF33">
            <v>7.4370522723999993E-2</v>
          </cell>
          <cell r="CG33">
            <v>9.1350683890000003E-3</v>
          </cell>
          <cell r="CH33">
            <v>0</v>
          </cell>
          <cell r="CI33">
            <v>-1.7996658309999999E-3</v>
          </cell>
          <cell r="CJ33">
            <v>-7.7402035190000003E-3</v>
          </cell>
          <cell r="CK33">
            <v>-9.5256026549999998E-3</v>
          </cell>
          <cell r="CL33">
            <v>-8.0000000000000002E-3</v>
          </cell>
          <cell r="CM33">
            <v>-5.7082727859999998E-3</v>
          </cell>
          <cell r="CN33">
            <v>-1.9922226458E-2</v>
          </cell>
          <cell r="CO33">
            <v>-1.7724351932999999E-2</v>
          </cell>
          <cell r="CP33">
            <v>-2.0261686992E-2</v>
          </cell>
          <cell r="CQ33">
            <v>-1.9648452425999999E-2</v>
          </cell>
          <cell r="CR33">
            <v>-6.8822080390000002E-3</v>
          </cell>
          <cell r="CS33">
            <v>-6.2724215250000003E-3</v>
          </cell>
          <cell r="CT33">
            <v>-6.8685271159999997E-3</v>
          </cell>
          <cell r="CU33">
            <v>-6.2331306539999999E-3</v>
          </cell>
          <cell r="CV33">
            <v>-1E-3</v>
          </cell>
          <cell r="CW33">
            <v>-9.6758893280000004E-3</v>
          </cell>
          <cell r="CX33">
            <v>-2.4935603112999999E-2</v>
          </cell>
          <cell r="CY33">
            <v>-2.6169761273000001E-2</v>
          </cell>
          <cell r="CZ33">
            <v>-2.5999999999999999E-2</v>
          </cell>
          <cell r="DA33">
            <v>-1.8101547754E-2</v>
          </cell>
          <cell r="DB33">
            <v>7.0725632099999998E-4</v>
          </cell>
          <cell r="DC33">
            <v>0</v>
          </cell>
          <cell r="DD33">
            <v>0</v>
          </cell>
          <cell r="DE33">
            <v>0</v>
          </cell>
          <cell r="DF33">
            <v>0</v>
          </cell>
          <cell r="DG33">
            <v>0</v>
          </cell>
          <cell r="DH33">
            <v>0</v>
          </cell>
          <cell r="DI33">
            <v>0</v>
          </cell>
          <cell r="DJ33">
            <v>0</v>
          </cell>
          <cell r="DK33">
            <v>-1.9E-2</v>
          </cell>
          <cell r="DL33">
            <v>-2.0535987293000001E-2</v>
          </cell>
          <cell r="DM33">
            <v>-1.888478033E-2</v>
          </cell>
          <cell r="DN33">
            <v>-2.0279923285000001E-2</v>
          </cell>
          <cell r="DO33">
            <v>0</v>
          </cell>
          <cell r="DP33">
            <v>0</v>
          </cell>
          <cell r="DQ33">
            <v>4.0125882260000001E-3</v>
          </cell>
          <cell r="DR33">
            <v>0</v>
          </cell>
          <cell r="DS33">
            <v>0</v>
          </cell>
        </row>
        <row r="34">
          <cell r="B34" t="str">
            <v>Growth from foreign exchange</v>
          </cell>
          <cell r="C34" t="str">
            <v>FOREX_GRTH</v>
          </cell>
          <cell r="G34">
            <v>-0.03</v>
          </cell>
          <cell r="H34">
            <v>-7.4999999999999997E-2</v>
          </cell>
          <cell r="I34">
            <v>0.06</v>
          </cell>
          <cell r="J34">
            <v>0.01</v>
          </cell>
          <cell r="K34">
            <v>0.02</v>
          </cell>
          <cell r="L34">
            <v>2.4E-2</v>
          </cell>
          <cell r="M34">
            <v>8.5000000000000006E-2</v>
          </cell>
          <cell r="N34">
            <v>-5.1999999999999998E-2</v>
          </cell>
          <cell r="O34">
            <v>-7.6999999999999999E-2</v>
          </cell>
          <cell r="P34">
            <v>-3.5000000000000003E-2</v>
          </cell>
          <cell r="Q34">
            <v>2.5999999999999999E-2</v>
          </cell>
          <cell r="R34">
            <v>2E-3</v>
          </cell>
          <cell r="S34">
            <v>-2.9000000000000001E-2</v>
          </cell>
          <cell r="T34">
            <v>1.0999999999999999E-2</v>
          </cell>
          <cell r="U34">
            <v>7.6999999999999999E-2</v>
          </cell>
          <cell r="V34">
            <v>-5.6000000000000001E-2</v>
          </cell>
          <cell r="W34">
            <v>-7.8E-2</v>
          </cell>
          <cell r="X34">
            <v>-4.0000000000000001E-3</v>
          </cell>
          <cell r="Y34">
            <v>-3.3000000000000002E-2</v>
          </cell>
          <cell r="Z34">
            <v>0.04</v>
          </cell>
          <cell r="AA34">
            <v>0.102603454143</v>
          </cell>
          <cell r="AB34">
            <v>-3.5749861790000002E-3</v>
          </cell>
          <cell r="AC34">
            <v>8.0000000000000002E-3</v>
          </cell>
          <cell r="AD34">
            <v>3.5000000000000003E-2</v>
          </cell>
          <cell r="AE34">
            <v>4.7E-2</v>
          </cell>
          <cell r="AF34">
            <v>-0.03</v>
          </cell>
          <cell r="AG34">
            <v>-3.4000000000000002E-2</v>
          </cell>
          <cell r="AH34">
            <v>0.118984669407</v>
          </cell>
          <cell r="AI34">
            <v>4.3143688025000002E-2</v>
          </cell>
          <cell r="AJ34">
            <v>0</v>
          </cell>
          <cell r="AK34">
            <v>0</v>
          </cell>
          <cell r="AL34">
            <v>0</v>
          </cell>
          <cell r="BM34">
            <v>-7.6999999999999999E-2</v>
          </cell>
          <cell r="BN34">
            <v>-7.6999999999999999E-2</v>
          </cell>
          <cell r="BO34">
            <v>-5.1999999999999998E-2</v>
          </cell>
          <cell r="BP34">
            <v>-3.2000000000000001E-2</v>
          </cell>
          <cell r="BQ34">
            <v>-6.2E-2</v>
          </cell>
          <cell r="BR34">
            <v>-0.108</v>
          </cell>
          <cell r="BS34">
            <v>-0.122</v>
          </cell>
          <cell r="BT34">
            <v>-6.2E-2</v>
          </cell>
          <cell r="BU34">
            <v>-2.1000000000000001E-2</v>
          </cell>
          <cell r="BV34">
            <v>2.2845936169999998E-3</v>
          </cell>
          <cell r="BW34">
            <v>1.9813026109000001E-2</v>
          </cell>
          <cell r="BX34">
            <v>-1.5808649502000002E-2</v>
          </cell>
          <cell r="BY34">
            <v>-2.0826268418000001E-2</v>
          </cell>
          <cell r="BZ34">
            <v>-2.2764932833E-2</v>
          </cell>
          <cell r="CA34">
            <v>-2.7360900441000001E-2</v>
          </cell>
          <cell r="CB34">
            <v>-1.2818097376000001E-2</v>
          </cell>
          <cell r="CC34">
            <v>-1.2321977449E-2</v>
          </cell>
          <cell r="CD34">
            <v>3.1469347100000002E-4</v>
          </cell>
          <cell r="CE34">
            <v>1.106870848E-2</v>
          </cell>
          <cell r="CF34">
            <v>5.3667996439999997E-2</v>
          </cell>
          <cell r="CG34">
            <v>8.8816199525E-2</v>
          </cell>
          <cell r="CH34">
            <v>0.14846283016600001</v>
          </cell>
          <cell r="CI34">
            <v>0.12899618834099999</v>
          </cell>
          <cell r="CJ34">
            <v>8.7540254597000003E-2</v>
          </cell>
          <cell r="CK34">
            <v>4.7E-2</v>
          </cell>
          <cell r="CL34">
            <v>-1.9749314856000001E-2</v>
          </cell>
          <cell r="CM34">
            <v>-0.03</v>
          </cell>
          <cell r="CN34">
            <v>2.1539676490000001E-3</v>
          </cell>
          <cell r="CO34">
            <v>3.6999999999999998E-2</v>
          </cell>
          <cell r="CP34">
            <v>4.9122459350000001E-2</v>
          </cell>
          <cell r="CQ34">
            <v>4.9000000000000002E-2</v>
          </cell>
          <cell r="CR34">
            <v>-0.03</v>
          </cell>
          <cell r="CS34">
            <v>-3.5999999999999997E-2</v>
          </cell>
          <cell r="CT34">
            <v>-1.9E-2</v>
          </cell>
          <cell r="CU34">
            <v>3.4388551089999997E-2</v>
          </cell>
          <cell r="CV34">
            <v>7.6975412036000002E-2</v>
          </cell>
          <cell r="CW34">
            <v>4.8278373800000003E-2</v>
          </cell>
          <cell r="CX34">
            <v>5.6926556420000003E-2</v>
          </cell>
          <cell r="CY34">
            <v>3.5633952254999997E-2</v>
          </cell>
          <cell r="CZ34">
            <v>4.2413570122999997E-2</v>
          </cell>
          <cell r="DA34">
            <v>4.7974613062000002E-2</v>
          </cell>
          <cell r="DB34">
            <v>2.9000000000000001E-2</v>
          </cell>
          <cell r="DC34">
            <v>-1.0286374956000001E-2</v>
          </cell>
          <cell r="DD34">
            <v>-6.4810494795000007E-2</v>
          </cell>
          <cell r="DE34">
            <v>-7.5616748397E-2</v>
          </cell>
          <cell r="DF34">
            <v>-9.7058202639000002E-2</v>
          </cell>
          <cell r="DG34">
            <v>-8.2899813242000006E-2</v>
          </cell>
          <cell r="DH34">
            <v>6.0000000000000001E-3</v>
          </cell>
          <cell r="DI34">
            <v>3.4041079092999998E-2</v>
          </cell>
          <cell r="DJ34">
            <v>8.9552680593999998E-2</v>
          </cell>
          <cell r="DK34">
            <v>0.10669163250499999</v>
          </cell>
          <cell r="DL34">
            <v>0.150183758562</v>
          </cell>
          <cell r="DM34">
            <v>0.129557609835</v>
          </cell>
          <cell r="DN34">
            <v>7.6159271205999995E-2</v>
          </cell>
          <cell r="DO34">
            <v>5.5063994117999997E-2</v>
          </cell>
          <cell r="DP34">
            <v>3.0317333347E-2</v>
          </cell>
          <cell r="DQ34">
            <v>1.4789910894000001E-2</v>
          </cell>
          <cell r="DR34">
            <v>1.9859362517E-2</v>
          </cell>
          <cell r="DS34">
            <v>7.531127625E-3</v>
          </cell>
        </row>
        <row r="35">
          <cell r="B35" t="str">
            <v>Operating lease cost</v>
          </cell>
          <cell r="C35" t="str">
            <v>LEASE_PAY</v>
          </cell>
          <cell r="D35" t="str">
            <v>SEK</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row>
        <row r="36">
          <cell r="B36" t="str">
            <v>Lease payments (deemed interest portion)</v>
          </cell>
          <cell r="C36" t="str">
            <v>LEASE_DEEM_INT</v>
          </cell>
          <cell r="D36" t="str">
            <v>SEK</v>
          </cell>
        </row>
        <row r="37">
          <cell r="B37" t="str">
            <v>Lease payments (deemed depreciation portion)</v>
          </cell>
          <cell r="C37" t="str">
            <v>LEASE_DEEM_DEPR</v>
          </cell>
          <cell r="D37" t="str">
            <v>SEK</v>
          </cell>
        </row>
        <row r="38">
          <cell r="B38" t="str">
            <v>Gross interest charge</v>
          </cell>
          <cell r="C38" t="str">
            <v>NET_INT_CH</v>
          </cell>
          <cell r="D38" t="str">
            <v>SEK</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row>
        <row r="39">
          <cell r="B39" t="str">
            <v>Income from associates (operating)</v>
          </cell>
          <cell r="C39" t="str">
            <v>ASSOCIATE_OP</v>
          </cell>
          <cell r="D39" t="str">
            <v>SEK</v>
          </cell>
          <cell r="F39">
            <v>0</v>
          </cell>
          <cell r="G39">
            <v>0</v>
          </cell>
          <cell r="H39">
            <v>0</v>
          </cell>
          <cell r="I39">
            <v>0</v>
          </cell>
          <cell r="J39">
            <v>0</v>
          </cell>
          <cell r="K39">
            <v>0</v>
          </cell>
          <cell r="L39">
            <v>7</v>
          </cell>
          <cell r="M39">
            <v>12</v>
          </cell>
          <cell r="N39">
            <v>32</v>
          </cell>
          <cell r="O39">
            <v>19</v>
          </cell>
          <cell r="P39">
            <v>-3</v>
          </cell>
          <cell r="Q39">
            <v>172</v>
          </cell>
          <cell r="R39">
            <v>738</v>
          </cell>
          <cell r="S39">
            <v>-3</v>
          </cell>
          <cell r="T39">
            <v>1</v>
          </cell>
          <cell r="U39">
            <v>-11</v>
          </cell>
          <cell r="V39">
            <v>0</v>
          </cell>
          <cell r="W39">
            <v>-16</v>
          </cell>
          <cell r="X39">
            <v>-2</v>
          </cell>
          <cell r="Y39">
            <v>2</v>
          </cell>
          <cell r="Z39">
            <v>6</v>
          </cell>
          <cell r="AA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row>
        <row r="40">
          <cell r="B40" t="str">
            <v>Goodwill amortization</v>
          </cell>
          <cell r="C40" t="str">
            <v>GW_AMORT</v>
          </cell>
          <cell r="D40" t="str">
            <v>SEK</v>
          </cell>
        </row>
        <row r="41">
          <cell r="B41" t="str">
            <v>Other intangible amortization</v>
          </cell>
          <cell r="C41" t="str">
            <v>OTH_INT_AMORT</v>
          </cell>
          <cell r="D41" t="str">
            <v>SEK</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row>
        <row r="42">
          <cell r="B42" t="str">
            <v>Depreciation ROU assets   (applicable to IFRS cos.)</v>
          </cell>
          <cell r="C42" t="str">
            <v>DEPR_ROU_ASSETS</v>
          </cell>
          <cell r="D42" t="str">
            <v>SEK</v>
          </cell>
        </row>
        <row r="43">
          <cell r="B43" t="str">
            <v>Lease interest charge  (applicable to IFRS cos.)</v>
          </cell>
          <cell r="C43" t="str">
            <v>LEASE_INT_CHG</v>
          </cell>
          <cell r="D43" t="str">
            <v>SEK</v>
          </cell>
        </row>
        <row r="44">
          <cell r="B44" t="str">
            <v>Lease standard adopted (US GAAP ASC 842/ IFRS 16)</v>
          </cell>
          <cell r="C44" t="str">
            <v>LEASE_ADOPT</v>
          </cell>
          <cell r="E44" t="str">
            <v>Y</v>
          </cell>
        </row>
        <row r="45">
          <cell r="A45" t="str">
            <v>Balance Sheet</v>
          </cell>
        </row>
        <row r="46">
          <cell r="B46" t="str">
            <v>Cash &amp; cash equivalents</v>
          </cell>
          <cell r="C46" t="str">
            <v>CASH_EQ</v>
          </cell>
          <cell r="D46" t="str">
            <v>SEK</v>
          </cell>
          <cell r="F46">
            <v>2356</v>
          </cell>
          <cell r="G46">
            <v>2897</v>
          </cell>
          <cell r="H46">
            <v>2091</v>
          </cell>
          <cell r="I46">
            <v>3931</v>
          </cell>
          <cell r="J46">
            <v>2353</v>
          </cell>
          <cell r="K46">
            <v>1976</v>
          </cell>
          <cell r="L46">
            <v>3481</v>
          </cell>
          <cell r="M46">
            <v>5387</v>
          </cell>
          <cell r="N46">
            <v>5530</v>
          </cell>
          <cell r="O46">
            <v>6342</v>
          </cell>
          <cell r="P46">
            <v>3565</v>
          </cell>
          <cell r="Q46">
            <v>4886</v>
          </cell>
          <cell r="R46">
            <v>9055</v>
          </cell>
          <cell r="S46">
            <v>2946</v>
          </cell>
          <cell r="T46">
            <v>2793</v>
          </cell>
          <cell r="U46">
            <v>4430</v>
          </cell>
          <cell r="V46">
            <v>2395</v>
          </cell>
          <cell r="W46">
            <v>4825</v>
          </cell>
          <cell r="X46">
            <v>8244</v>
          </cell>
          <cell r="Y46">
            <v>5369</v>
          </cell>
          <cell r="Z46">
            <v>5920</v>
          </cell>
          <cell r="AA46">
            <v>7218</v>
          </cell>
          <cell r="AB46">
            <v>9939</v>
          </cell>
          <cell r="AC46">
            <v>7112</v>
          </cell>
          <cell r="AD46">
            <v>10390</v>
          </cell>
          <cell r="AE46">
            <v>6430</v>
          </cell>
          <cell r="AF46">
            <v>14050</v>
          </cell>
          <cell r="AG46">
            <v>13219</v>
          </cell>
          <cell r="AH46">
            <v>10255</v>
          </cell>
          <cell r="AI46">
            <v>11885.8658134615</v>
          </cell>
          <cell r="AJ46">
            <v>10289.989946907201</v>
          </cell>
          <cell r="AK46">
            <v>12338.654345319899</v>
          </cell>
          <cell r="AL46">
            <v>15009.4669125563</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row>
        <row r="47">
          <cell r="B47" t="str">
            <v>Accounts receivable</v>
          </cell>
          <cell r="C47" t="str">
            <v>DEBTORS</v>
          </cell>
          <cell r="D47" t="str">
            <v>SEK</v>
          </cell>
          <cell r="F47">
            <v>6157</v>
          </cell>
          <cell r="G47">
            <v>6111</v>
          </cell>
          <cell r="H47">
            <v>6000</v>
          </cell>
          <cell r="I47">
            <v>6697</v>
          </cell>
          <cell r="J47">
            <v>6738</v>
          </cell>
          <cell r="K47">
            <v>6563</v>
          </cell>
          <cell r="L47">
            <v>7091</v>
          </cell>
          <cell r="M47">
            <v>7442</v>
          </cell>
          <cell r="N47">
            <v>6840</v>
          </cell>
          <cell r="O47">
            <v>6516</v>
          </cell>
          <cell r="P47">
            <v>7406</v>
          </cell>
          <cell r="Q47">
            <v>7948</v>
          </cell>
          <cell r="R47">
            <v>8845</v>
          </cell>
          <cell r="S47">
            <v>9894</v>
          </cell>
          <cell r="T47">
            <v>11041</v>
          </cell>
          <cell r="U47">
            <v>8800</v>
          </cell>
          <cell r="V47">
            <v>9859</v>
          </cell>
          <cell r="W47">
            <v>10713</v>
          </cell>
          <cell r="X47">
            <v>10084</v>
          </cell>
          <cell r="Y47">
            <v>11189</v>
          </cell>
          <cell r="Z47">
            <v>12595</v>
          </cell>
          <cell r="AA47">
            <v>11777</v>
          </cell>
          <cell r="AB47">
            <v>13462</v>
          </cell>
          <cell r="AC47">
            <v>13416</v>
          </cell>
          <cell r="AD47">
            <v>13842</v>
          </cell>
          <cell r="AE47">
            <v>14006</v>
          </cell>
          <cell r="AF47">
            <v>12286</v>
          </cell>
          <cell r="AG47">
            <v>13972</v>
          </cell>
          <cell r="AH47">
            <v>16905</v>
          </cell>
          <cell r="AI47">
            <v>17863.063014433101</v>
          </cell>
          <cell r="AJ47">
            <v>18221.5496749144</v>
          </cell>
          <cell r="AK47">
            <v>18904.219429700701</v>
          </cell>
          <cell r="AL47">
            <v>19585.0245913869</v>
          </cell>
        </row>
        <row r="48">
          <cell r="B48" t="str">
            <v>Inventory</v>
          </cell>
          <cell r="C48" t="str">
            <v>STOCKS</v>
          </cell>
          <cell r="D48" t="str">
            <v>SEK</v>
          </cell>
          <cell r="F48">
            <v>8606</v>
          </cell>
          <cell r="G48">
            <v>8972</v>
          </cell>
          <cell r="H48">
            <v>9476</v>
          </cell>
          <cell r="I48">
            <v>9924</v>
          </cell>
          <cell r="J48">
            <v>10183</v>
          </cell>
          <cell r="K48">
            <v>8640</v>
          </cell>
          <cell r="L48">
            <v>9262</v>
          </cell>
          <cell r="M48">
            <v>9113</v>
          </cell>
          <cell r="N48">
            <v>8987</v>
          </cell>
          <cell r="O48">
            <v>8429</v>
          </cell>
          <cell r="P48">
            <v>8985</v>
          </cell>
          <cell r="Q48">
            <v>9931</v>
          </cell>
          <cell r="R48">
            <v>9939</v>
          </cell>
          <cell r="S48">
            <v>11563</v>
          </cell>
          <cell r="T48">
            <v>15204</v>
          </cell>
          <cell r="U48">
            <v>11771</v>
          </cell>
          <cell r="V48">
            <v>12879</v>
          </cell>
          <cell r="W48">
            <v>14191</v>
          </cell>
          <cell r="X48">
            <v>12856</v>
          </cell>
          <cell r="Y48">
            <v>13700</v>
          </cell>
          <cell r="Z48">
            <v>15066</v>
          </cell>
          <cell r="AA48">
            <v>14519</v>
          </cell>
          <cell r="AB48">
            <v>15418</v>
          </cell>
          <cell r="AC48">
            <v>17122</v>
          </cell>
          <cell r="AD48">
            <v>17826</v>
          </cell>
          <cell r="AE48">
            <v>18051</v>
          </cell>
          <cell r="AF48">
            <v>15733</v>
          </cell>
          <cell r="AG48">
            <v>20997</v>
          </cell>
          <cell r="AH48">
            <v>26052</v>
          </cell>
          <cell r="AI48">
            <v>27319.978727956499</v>
          </cell>
          <cell r="AJ48">
            <v>26796.3965807565</v>
          </cell>
          <cell r="AK48">
            <v>26688.309783106801</v>
          </cell>
          <cell r="AL48">
            <v>26497.386211876299</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row>
        <row r="49">
          <cell r="B49" t="str">
            <v>Other current assets</v>
          </cell>
          <cell r="C49" t="str">
            <v>OTH_CUR_ASS</v>
          </cell>
          <cell r="D49" t="str">
            <v>SEK</v>
          </cell>
          <cell r="F49">
            <v>1360</v>
          </cell>
          <cell r="G49">
            <v>1165</v>
          </cell>
          <cell r="H49">
            <v>1352</v>
          </cell>
          <cell r="I49">
            <v>1781</v>
          </cell>
          <cell r="J49">
            <v>1850</v>
          </cell>
          <cell r="K49">
            <v>1627</v>
          </cell>
          <cell r="L49">
            <v>2025</v>
          </cell>
          <cell r="M49">
            <v>1864</v>
          </cell>
          <cell r="N49">
            <v>1473</v>
          </cell>
          <cell r="O49">
            <v>1477</v>
          </cell>
          <cell r="P49">
            <v>1446</v>
          </cell>
          <cell r="Q49">
            <v>1757</v>
          </cell>
          <cell r="R49">
            <v>2048</v>
          </cell>
          <cell r="S49">
            <v>3694</v>
          </cell>
          <cell r="T49">
            <v>5144</v>
          </cell>
          <cell r="U49">
            <v>4900</v>
          </cell>
          <cell r="V49">
            <v>3590</v>
          </cell>
          <cell r="W49">
            <v>3619</v>
          </cell>
          <cell r="X49">
            <v>3664</v>
          </cell>
          <cell r="Y49">
            <v>4324</v>
          </cell>
          <cell r="Z49">
            <v>5226</v>
          </cell>
          <cell r="AA49">
            <v>4639</v>
          </cell>
          <cell r="AB49">
            <v>4280</v>
          </cell>
          <cell r="AC49">
            <v>5171</v>
          </cell>
          <cell r="AD49">
            <v>5178</v>
          </cell>
          <cell r="AE49">
            <v>9357</v>
          </cell>
          <cell r="AF49">
            <v>4829</v>
          </cell>
          <cell r="AG49">
            <v>5601</v>
          </cell>
          <cell r="AH49">
            <v>6583</v>
          </cell>
          <cell r="AI49">
            <v>6709</v>
          </cell>
          <cell r="AJ49">
            <v>6709</v>
          </cell>
          <cell r="AK49">
            <v>6709</v>
          </cell>
          <cell r="AL49">
            <v>6709</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row>
        <row r="50">
          <cell r="B50" t="str">
            <v>Total current assets</v>
          </cell>
          <cell r="C50" t="str">
            <v>CUR_ASS</v>
          </cell>
          <cell r="D50" t="str">
            <v>SEK</v>
          </cell>
          <cell r="F50">
            <v>18479</v>
          </cell>
          <cell r="G50">
            <v>19145</v>
          </cell>
          <cell r="H50">
            <v>18919</v>
          </cell>
          <cell r="I50">
            <v>22333</v>
          </cell>
          <cell r="J50">
            <v>21124</v>
          </cell>
          <cell r="K50">
            <v>18806</v>
          </cell>
          <cell r="L50">
            <v>21859</v>
          </cell>
          <cell r="M50">
            <v>23806</v>
          </cell>
          <cell r="N50">
            <v>22830</v>
          </cell>
          <cell r="O50">
            <v>22764</v>
          </cell>
          <cell r="P50">
            <v>21402</v>
          </cell>
          <cell r="Q50">
            <v>24522</v>
          </cell>
          <cell r="R50">
            <v>29887</v>
          </cell>
          <cell r="S50">
            <v>28097</v>
          </cell>
          <cell r="T50">
            <v>34182</v>
          </cell>
          <cell r="U50">
            <v>29901</v>
          </cell>
          <cell r="V50">
            <v>28723</v>
          </cell>
          <cell r="W50">
            <v>33348</v>
          </cell>
          <cell r="X50">
            <v>34848</v>
          </cell>
          <cell r="Y50">
            <v>34582</v>
          </cell>
          <cell r="Z50">
            <v>38807</v>
          </cell>
          <cell r="AA50">
            <v>38153</v>
          </cell>
          <cell r="AB50">
            <v>43099</v>
          </cell>
          <cell r="AC50">
            <v>42821</v>
          </cell>
          <cell r="AD50">
            <v>47236</v>
          </cell>
          <cell r="AE50">
            <v>47844</v>
          </cell>
          <cell r="AF50">
            <v>46898</v>
          </cell>
          <cell r="AG50">
            <v>53789</v>
          </cell>
          <cell r="AH50">
            <v>59795</v>
          </cell>
          <cell r="AI50">
            <v>63777.907555851198</v>
          </cell>
          <cell r="AJ50">
            <v>62016.936202577999</v>
          </cell>
          <cell r="AK50">
            <v>64640.183558127297</v>
          </cell>
          <cell r="AL50">
            <v>67800.877715819501</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row>
        <row r="51">
          <cell r="B51" t="str">
            <v>Gross fixed assets, PP&amp;E</v>
          </cell>
          <cell r="C51" t="str">
            <v>GR_FIX_ASS</v>
          </cell>
          <cell r="D51" t="str">
            <v>SEK</v>
          </cell>
          <cell r="F51">
            <v>26095</v>
          </cell>
          <cell r="G51">
            <v>25780</v>
          </cell>
          <cell r="H51">
            <v>27452</v>
          </cell>
          <cell r="I51">
            <v>29534</v>
          </cell>
          <cell r="J51">
            <v>33222</v>
          </cell>
          <cell r="K51">
            <v>31087</v>
          </cell>
          <cell r="L51">
            <v>32408</v>
          </cell>
          <cell r="M51">
            <v>35035</v>
          </cell>
          <cell r="N51">
            <v>32588</v>
          </cell>
          <cell r="O51">
            <v>30800</v>
          </cell>
          <cell r="P51">
            <v>30894</v>
          </cell>
          <cell r="Q51">
            <v>30900</v>
          </cell>
          <cell r="R51">
            <v>29701</v>
          </cell>
          <cell r="S51">
            <v>32385</v>
          </cell>
          <cell r="T51">
            <v>38541</v>
          </cell>
          <cell r="U51">
            <v>37613</v>
          </cell>
          <cell r="V51">
            <v>34056</v>
          </cell>
          <cell r="W51">
            <v>34325</v>
          </cell>
          <cell r="X51">
            <v>34239</v>
          </cell>
          <cell r="Y51">
            <v>36247</v>
          </cell>
          <cell r="Z51">
            <v>37519.459199999998</v>
          </cell>
          <cell r="AA51">
            <v>38435.462463999997</v>
          </cell>
          <cell r="AB51">
            <v>39395.865466880001</v>
          </cell>
          <cell r="AC51">
            <v>39842.876229529596</v>
          </cell>
          <cell r="AD51">
            <v>41314.406131167198</v>
          </cell>
          <cell r="AE51">
            <v>44572.293640673903</v>
          </cell>
          <cell r="AF51">
            <v>45622.110149419903</v>
          </cell>
          <cell r="AG51">
            <v>49292.221337466399</v>
          </cell>
          <cell r="AH51">
            <v>54964.683630469</v>
          </cell>
          <cell r="AI51">
            <v>57674.565334133396</v>
          </cell>
          <cell r="AJ51">
            <v>60378.017074123403</v>
          </cell>
          <cell r="AK51">
            <v>62941.604935329502</v>
          </cell>
          <cell r="AL51">
            <v>65356.518028054597</v>
          </cell>
        </row>
        <row r="52">
          <cell r="B52" t="str">
            <v>Accumulated depreciation</v>
          </cell>
          <cell r="C52" t="str">
            <v>ACC_DDA</v>
          </cell>
          <cell r="D52" t="str">
            <v>SEK</v>
          </cell>
          <cell r="F52">
            <v>-15003</v>
          </cell>
          <cell r="G52">
            <v>-14516</v>
          </cell>
          <cell r="H52">
            <v>-14911</v>
          </cell>
          <cell r="I52">
            <v>-15903</v>
          </cell>
          <cell r="J52">
            <v>-18654</v>
          </cell>
          <cell r="K52">
            <v>-18013</v>
          </cell>
          <cell r="L52">
            <v>-19319</v>
          </cell>
          <cell r="M52">
            <v>-21436</v>
          </cell>
          <cell r="N52">
            <v>-20170</v>
          </cell>
          <cell r="O52">
            <v>-19662</v>
          </cell>
          <cell r="P52">
            <v>-19882</v>
          </cell>
          <cell r="Q52">
            <v>-19781</v>
          </cell>
          <cell r="R52">
            <v>-18313</v>
          </cell>
          <cell r="S52">
            <v>-20425</v>
          </cell>
          <cell r="T52">
            <v>-23985</v>
          </cell>
          <cell r="U52">
            <v>-26156</v>
          </cell>
          <cell r="V52">
            <v>-28148</v>
          </cell>
          <cell r="W52">
            <v>-29938</v>
          </cell>
          <cell r="X52">
            <v>-31769</v>
          </cell>
          <cell r="Y52">
            <v>-33662</v>
          </cell>
          <cell r="Z52">
            <v>-36054</v>
          </cell>
          <cell r="AA52">
            <v>-38912</v>
          </cell>
          <cell r="AB52">
            <v>-41280</v>
          </cell>
          <cell r="AC52">
            <v>-43603</v>
          </cell>
          <cell r="AD52">
            <v>-46075</v>
          </cell>
          <cell r="AE52">
            <v>-49571</v>
          </cell>
          <cell r="AF52">
            <v>-52972</v>
          </cell>
          <cell r="AG52">
            <v>-56277</v>
          </cell>
          <cell r="AH52">
            <v>-60061</v>
          </cell>
          <cell r="AI52">
            <v>-64095</v>
          </cell>
          <cell r="AJ52">
            <v>-68379</v>
          </cell>
          <cell r="AK52">
            <v>-72913</v>
          </cell>
          <cell r="AL52">
            <v>-77697</v>
          </cell>
        </row>
        <row r="53">
          <cell r="B53" t="str">
            <v>Net PP&amp;E</v>
          </cell>
          <cell r="C53" t="str">
            <v>NET_FIX_ASS</v>
          </cell>
          <cell r="D53" t="str">
            <v>SEK</v>
          </cell>
          <cell r="F53">
            <v>11092</v>
          </cell>
          <cell r="G53">
            <v>11264</v>
          </cell>
          <cell r="H53">
            <v>12541</v>
          </cell>
          <cell r="I53">
            <v>13631</v>
          </cell>
          <cell r="J53">
            <v>14568</v>
          </cell>
          <cell r="K53">
            <v>13074</v>
          </cell>
          <cell r="L53">
            <v>13089</v>
          </cell>
          <cell r="M53">
            <v>13599</v>
          </cell>
          <cell r="N53">
            <v>12418</v>
          </cell>
          <cell r="O53">
            <v>11138</v>
          </cell>
          <cell r="P53">
            <v>11012</v>
          </cell>
          <cell r="Q53">
            <v>11119</v>
          </cell>
          <cell r="R53">
            <v>11388</v>
          </cell>
          <cell r="S53">
            <v>11960</v>
          </cell>
          <cell r="T53">
            <v>14556</v>
          </cell>
          <cell r="U53">
            <v>13933</v>
          </cell>
          <cell r="V53">
            <v>12922</v>
          </cell>
          <cell r="W53">
            <v>13076</v>
          </cell>
          <cell r="X53">
            <v>13086</v>
          </cell>
          <cell r="Y53">
            <v>14095</v>
          </cell>
          <cell r="Z53">
            <v>15482</v>
          </cell>
          <cell r="AA53">
            <v>15303</v>
          </cell>
          <cell r="AB53">
            <v>15746</v>
          </cell>
          <cell r="AC53">
            <v>15762</v>
          </cell>
          <cell r="AD53">
            <v>16688</v>
          </cell>
          <cell r="AE53">
            <v>18420</v>
          </cell>
          <cell r="AF53">
            <v>18161</v>
          </cell>
          <cell r="AG53">
            <v>20723</v>
          </cell>
          <cell r="AH53">
            <v>24897</v>
          </cell>
          <cell r="AI53">
            <v>25978.296394101799</v>
          </cell>
          <cell r="AJ53">
            <v>26933.449649294402</v>
          </cell>
          <cell r="AK53">
            <v>27638.602904486899</v>
          </cell>
          <cell r="AL53">
            <v>28093.7561596794</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row>
        <row r="54">
          <cell r="B54" t="str">
            <v>Gross intangibles</v>
          </cell>
          <cell r="C54" t="str">
            <v>GR_INTANG</v>
          </cell>
          <cell r="D54" t="str">
            <v>SEK</v>
          </cell>
          <cell r="F54">
            <v>844</v>
          </cell>
          <cell r="G54">
            <v>844</v>
          </cell>
          <cell r="H54">
            <v>854</v>
          </cell>
          <cell r="I54">
            <v>946</v>
          </cell>
          <cell r="J54">
            <v>1492</v>
          </cell>
          <cell r="K54">
            <v>1531</v>
          </cell>
          <cell r="L54">
            <v>1849</v>
          </cell>
          <cell r="M54">
            <v>2143</v>
          </cell>
          <cell r="N54">
            <v>1969</v>
          </cell>
          <cell r="O54">
            <v>1442</v>
          </cell>
          <cell r="P54">
            <v>1666</v>
          </cell>
          <cell r="Q54">
            <v>2302</v>
          </cell>
          <cell r="R54">
            <v>3369</v>
          </cell>
          <cell r="S54">
            <v>4425</v>
          </cell>
          <cell r="T54">
            <v>5927</v>
          </cell>
          <cell r="U54">
            <v>5481</v>
          </cell>
          <cell r="V54">
            <v>11838</v>
          </cell>
          <cell r="W54">
            <v>11939</v>
          </cell>
          <cell r="X54">
            <v>11822</v>
          </cell>
          <cell r="Y54">
            <v>21730</v>
          </cell>
          <cell r="Z54">
            <v>25855</v>
          </cell>
          <cell r="AA54">
            <v>25855</v>
          </cell>
          <cell r="AB54">
            <v>23285</v>
          </cell>
          <cell r="AC54">
            <v>21077</v>
          </cell>
          <cell r="AD54">
            <v>21439</v>
          </cell>
          <cell r="AE54">
            <v>22114</v>
          </cell>
          <cell r="AF54">
            <v>19959</v>
          </cell>
          <cell r="AG54">
            <v>20659</v>
          </cell>
          <cell r="AH54">
            <v>21910</v>
          </cell>
          <cell r="AI54">
            <v>21428.31503125</v>
          </cell>
          <cell r="AJ54">
            <v>21654.755031249999</v>
          </cell>
          <cell r="AK54">
            <v>21824.639031250001</v>
          </cell>
          <cell r="AL54">
            <v>21986.81143125</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row>
        <row r="55">
          <cell r="B55" t="str">
            <v>Accumulated amortization</v>
          </cell>
          <cell r="C55" t="str">
            <v>ACC_AMORT</v>
          </cell>
          <cell r="D55" t="str">
            <v>SEK</v>
          </cell>
          <cell r="F55">
            <v>-80</v>
          </cell>
          <cell r="G55">
            <v>-243</v>
          </cell>
          <cell r="H55">
            <v>-286</v>
          </cell>
          <cell r="I55">
            <v>-370</v>
          </cell>
          <cell r="J55">
            <v>-450</v>
          </cell>
          <cell r="K55">
            <v>-587</v>
          </cell>
          <cell r="L55">
            <v>-730</v>
          </cell>
          <cell r="M55">
            <v>-873</v>
          </cell>
          <cell r="N55">
            <v>-906</v>
          </cell>
          <cell r="O55">
            <v>-794</v>
          </cell>
          <cell r="P55">
            <v>-587</v>
          </cell>
          <cell r="Q55">
            <v>-719</v>
          </cell>
          <cell r="R55">
            <v>-783</v>
          </cell>
          <cell r="S55">
            <v>-909</v>
          </cell>
          <cell r="T55">
            <v>-1273</v>
          </cell>
          <cell r="U55">
            <v>-1467</v>
          </cell>
          <cell r="V55">
            <v>-1644</v>
          </cell>
          <cell r="W55">
            <v>-1782</v>
          </cell>
          <cell r="X55">
            <v>-2022</v>
          </cell>
          <cell r="Y55">
            <v>-2707</v>
          </cell>
          <cell r="Z55">
            <v>-3717</v>
          </cell>
          <cell r="AA55">
            <v>-4370</v>
          </cell>
          <cell r="AB55">
            <v>-3717</v>
          </cell>
          <cell r="AC55">
            <v>-3717</v>
          </cell>
          <cell r="AD55">
            <v>-3717</v>
          </cell>
          <cell r="AE55">
            <v>-3717</v>
          </cell>
          <cell r="AF55">
            <v>-3717</v>
          </cell>
          <cell r="AG55">
            <v>-3717</v>
          </cell>
          <cell r="AH55">
            <v>-3717</v>
          </cell>
          <cell r="AI55">
            <v>-3717</v>
          </cell>
          <cell r="AJ55">
            <v>-3717</v>
          </cell>
          <cell r="AK55">
            <v>-3717</v>
          </cell>
          <cell r="AL55">
            <v>-3717</v>
          </cell>
        </row>
        <row r="56">
          <cell r="B56" t="str">
            <v>Net intangible assets</v>
          </cell>
          <cell r="C56" t="str">
            <v>NET_INTANG</v>
          </cell>
          <cell r="D56" t="str">
            <v>SEK</v>
          </cell>
          <cell r="F56">
            <v>764</v>
          </cell>
          <cell r="G56">
            <v>601</v>
          </cell>
          <cell r="H56">
            <v>568</v>
          </cell>
          <cell r="I56">
            <v>576</v>
          </cell>
          <cell r="J56">
            <v>1042</v>
          </cell>
          <cell r="K56">
            <v>944</v>
          </cell>
          <cell r="L56">
            <v>1119</v>
          </cell>
          <cell r="M56">
            <v>1270</v>
          </cell>
          <cell r="N56">
            <v>1063</v>
          </cell>
          <cell r="O56">
            <v>648</v>
          </cell>
          <cell r="P56">
            <v>1079</v>
          </cell>
          <cell r="Q56">
            <v>1583</v>
          </cell>
          <cell r="R56">
            <v>2586</v>
          </cell>
          <cell r="S56">
            <v>3516</v>
          </cell>
          <cell r="T56">
            <v>4654</v>
          </cell>
          <cell r="U56">
            <v>4014</v>
          </cell>
          <cell r="V56">
            <v>10194</v>
          </cell>
          <cell r="W56">
            <v>10157</v>
          </cell>
          <cell r="X56">
            <v>9800</v>
          </cell>
          <cell r="Y56">
            <v>19023</v>
          </cell>
          <cell r="Z56">
            <v>22138</v>
          </cell>
          <cell r="AA56">
            <v>21485</v>
          </cell>
          <cell r="AB56">
            <v>19568</v>
          </cell>
          <cell r="AC56">
            <v>17360</v>
          </cell>
          <cell r="AD56">
            <v>17722</v>
          </cell>
          <cell r="AE56">
            <v>18397</v>
          </cell>
          <cell r="AF56">
            <v>16242</v>
          </cell>
          <cell r="AG56">
            <v>16942</v>
          </cell>
          <cell r="AH56">
            <v>18193</v>
          </cell>
          <cell r="AI56">
            <v>17711.31503125</v>
          </cell>
          <cell r="AJ56">
            <v>17937.755031249999</v>
          </cell>
          <cell r="AK56">
            <v>18107.639031250001</v>
          </cell>
          <cell r="AL56">
            <v>18269.81143125</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row>
        <row r="57">
          <cell r="B57" t="str">
            <v>Equity method investments</v>
          </cell>
          <cell r="C57" t="str">
            <v>FIX_ASS_INV</v>
          </cell>
          <cell r="D57" t="str">
            <v>SEK</v>
          </cell>
          <cell r="F57">
            <v>0</v>
          </cell>
          <cell r="G57">
            <v>0</v>
          </cell>
          <cell r="H57">
            <v>0</v>
          </cell>
          <cell r="I57">
            <v>0</v>
          </cell>
          <cell r="J57">
            <v>0</v>
          </cell>
          <cell r="K57">
            <v>0</v>
          </cell>
          <cell r="L57">
            <v>0</v>
          </cell>
          <cell r="M57">
            <v>0</v>
          </cell>
          <cell r="N57">
            <v>0</v>
          </cell>
          <cell r="O57">
            <v>0</v>
          </cell>
          <cell r="P57">
            <v>0</v>
          </cell>
          <cell r="Q57">
            <v>0</v>
          </cell>
          <cell r="R57">
            <v>0</v>
          </cell>
          <cell r="S57">
            <v>70</v>
          </cell>
          <cell r="T57">
            <v>80</v>
          </cell>
          <cell r="U57">
            <v>91</v>
          </cell>
          <cell r="V57">
            <v>0</v>
          </cell>
          <cell r="W57">
            <v>0</v>
          </cell>
          <cell r="X57">
            <v>44</v>
          </cell>
          <cell r="Y57">
            <v>54</v>
          </cell>
          <cell r="Z57">
            <v>65</v>
          </cell>
          <cell r="AA57">
            <v>56.098281417830002</v>
          </cell>
          <cell r="AB57">
            <v>0</v>
          </cell>
          <cell r="AC57">
            <v>0</v>
          </cell>
          <cell r="AD57">
            <v>0</v>
          </cell>
          <cell r="AE57">
            <v>0</v>
          </cell>
          <cell r="AF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row>
        <row r="58">
          <cell r="B58" t="str">
            <v>Investments in securities</v>
          </cell>
          <cell r="C58" t="str">
            <v>INV_SECUR</v>
          </cell>
          <cell r="D58" t="str">
            <v>SEK</v>
          </cell>
          <cell r="F58">
            <v>1348</v>
          </cell>
          <cell r="G58">
            <v>1212</v>
          </cell>
          <cell r="H58">
            <v>1063</v>
          </cell>
          <cell r="I58">
            <v>1185</v>
          </cell>
          <cell r="J58">
            <v>1084</v>
          </cell>
          <cell r="K58">
            <v>1114</v>
          </cell>
          <cell r="L58">
            <v>1404</v>
          </cell>
          <cell r="M58">
            <v>1814</v>
          </cell>
          <cell r="N58">
            <v>1762</v>
          </cell>
          <cell r="O58">
            <v>836</v>
          </cell>
          <cell r="P58">
            <v>648</v>
          </cell>
          <cell r="Q58">
            <v>2037</v>
          </cell>
          <cell r="R58">
            <v>1182</v>
          </cell>
          <cell r="S58">
            <v>1360</v>
          </cell>
          <cell r="T58">
            <v>1221</v>
          </cell>
          <cell r="U58">
            <v>1192</v>
          </cell>
          <cell r="V58">
            <v>0</v>
          </cell>
          <cell r="W58">
            <v>0</v>
          </cell>
          <cell r="X58">
            <v>1041</v>
          </cell>
          <cell r="Y58">
            <v>1083</v>
          </cell>
          <cell r="Z58">
            <v>1705</v>
          </cell>
          <cell r="AA58">
            <v>1471.5010741138601</v>
          </cell>
          <cell r="AB58">
            <v>1345</v>
          </cell>
          <cell r="AC58">
            <v>1187</v>
          </cell>
          <cell r="AD58">
            <v>1155</v>
          </cell>
          <cell r="AE58">
            <v>1281</v>
          </cell>
          <cell r="AF58">
            <v>1306</v>
          </cell>
          <cell r="AG58">
            <v>1213</v>
          </cell>
          <cell r="AH58">
            <v>1224</v>
          </cell>
          <cell r="AI58">
            <v>1224</v>
          </cell>
          <cell r="AJ58">
            <v>1224</v>
          </cell>
          <cell r="AK58">
            <v>1224</v>
          </cell>
          <cell r="AL58">
            <v>1224</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row>
        <row r="59">
          <cell r="B59" t="str">
            <v>Other long-term assets</v>
          </cell>
          <cell r="C59" t="str">
            <v>OTH_LT_ASS</v>
          </cell>
          <cell r="D59" t="str">
            <v>SEK</v>
          </cell>
          <cell r="F59">
            <v>1029</v>
          </cell>
          <cell r="G59">
            <v>773</v>
          </cell>
          <cell r="H59">
            <v>693</v>
          </cell>
          <cell r="I59">
            <v>715</v>
          </cell>
          <cell r="J59">
            <v>1197</v>
          </cell>
          <cell r="K59">
            <v>885</v>
          </cell>
          <cell r="L59">
            <v>426</v>
          </cell>
          <cell r="M59">
            <v>408</v>
          </cell>
          <cell r="N59">
            <v>604</v>
          </cell>
          <cell r="O59">
            <v>940</v>
          </cell>
          <cell r="P59">
            <v>873</v>
          </cell>
          <cell r="Q59">
            <v>1088</v>
          </cell>
          <cell r="R59">
            <v>1195</v>
          </cell>
          <cell r="S59">
            <v>1398</v>
          </cell>
          <cell r="T59">
            <v>1668</v>
          </cell>
          <cell r="U59">
            <v>1975</v>
          </cell>
          <cell r="V59">
            <v>2562</v>
          </cell>
          <cell r="W59">
            <v>2793</v>
          </cell>
          <cell r="X59">
            <v>1982</v>
          </cell>
          <cell r="Y59">
            <v>2154</v>
          </cell>
          <cell r="Z59">
            <v>3442</v>
          </cell>
          <cell r="AA59">
            <v>3264.40064446831</v>
          </cell>
          <cell r="AB59">
            <v>4149</v>
          </cell>
          <cell r="AC59">
            <v>4073</v>
          </cell>
          <cell r="AD59">
            <v>4372</v>
          </cell>
          <cell r="AE59">
            <v>5175</v>
          </cell>
          <cell r="AF59">
            <v>5433</v>
          </cell>
          <cell r="AG59">
            <v>4300</v>
          </cell>
          <cell r="AH59">
            <v>3730</v>
          </cell>
          <cell r="AI59">
            <v>3730</v>
          </cell>
          <cell r="AJ59">
            <v>3730</v>
          </cell>
          <cell r="AK59">
            <v>3730</v>
          </cell>
          <cell r="AL59">
            <v>3730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row>
        <row r="60">
          <cell r="B60" t="str">
            <v>Total assets</v>
          </cell>
          <cell r="C60" t="str">
            <v>TOT_ASSET</v>
          </cell>
          <cell r="D60" t="str">
            <v>SEK</v>
          </cell>
          <cell r="F60">
            <v>32712</v>
          </cell>
          <cell r="G60">
            <v>32995</v>
          </cell>
          <cell r="H60">
            <v>33784</v>
          </cell>
          <cell r="I60">
            <v>38440</v>
          </cell>
          <cell r="J60">
            <v>39015</v>
          </cell>
          <cell r="K60">
            <v>34823</v>
          </cell>
          <cell r="L60">
            <v>37897</v>
          </cell>
          <cell r="M60">
            <v>40897</v>
          </cell>
          <cell r="N60">
            <v>38677</v>
          </cell>
          <cell r="O60">
            <v>36326</v>
          </cell>
          <cell r="P60">
            <v>35014</v>
          </cell>
          <cell r="Q60">
            <v>40349</v>
          </cell>
          <cell r="R60">
            <v>46238</v>
          </cell>
          <cell r="S60">
            <v>46401</v>
          </cell>
          <cell r="T60">
            <v>56361</v>
          </cell>
          <cell r="U60">
            <v>51106</v>
          </cell>
          <cell r="V60">
            <v>54401</v>
          </cell>
          <cell r="W60">
            <v>59374</v>
          </cell>
          <cell r="X60">
            <v>60801</v>
          </cell>
          <cell r="Y60">
            <v>70991</v>
          </cell>
          <cell r="Z60">
            <v>81639</v>
          </cell>
          <cell r="AA60">
            <v>79733</v>
          </cell>
          <cell r="AB60">
            <v>83907</v>
          </cell>
          <cell r="AC60">
            <v>81203</v>
          </cell>
          <cell r="AD60">
            <v>87173</v>
          </cell>
          <cell r="AE60">
            <v>94108</v>
          </cell>
          <cell r="AF60">
            <v>90557</v>
          </cell>
          <cell r="AG60">
            <v>99628</v>
          </cell>
          <cell r="AH60">
            <v>110923</v>
          </cell>
          <cell r="AI60">
            <v>115505.518981203</v>
          </cell>
          <cell r="AJ60">
            <v>114926.140883122</v>
          </cell>
          <cell r="AK60">
            <v>118424.42549386399</v>
          </cell>
          <cell r="AL60">
            <v>122202.445306749</v>
          </cell>
        </row>
        <row r="61">
          <cell r="B61" t="str">
            <v>Accounts payable</v>
          </cell>
          <cell r="C61" t="str">
            <v>ACC_PAY_GQ</v>
          </cell>
          <cell r="D61" t="str">
            <v>SEK</v>
          </cell>
          <cell r="F61">
            <v>2635</v>
          </cell>
          <cell r="G61">
            <v>2764</v>
          </cell>
          <cell r="H61">
            <v>2686</v>
          </cell>
          <cell r="I61">
            <v>2921</v>
          </cell>
          <cell r="J61">
            <v>2884</v>
          </cell>
          <cell r="K61">
            <v>2785</v>
          </cell>
          <cell r="L61">
            <v>3099</v>
          </cell>
          <cell r="M61">
            <v>3226</v>
          </cell>
          <cell r="N61">
            <v>3598</v>
          </cell>
          <cell r="O61">
            <v>3183</v>
          </cell>
          <cell r="P61">
            <v>3898</v>
          </cell>
          <cell r="Q61">
            <v>3821</v>
          </cell>
          <cell r="R61">
            <v>4529</v>
          </cell>
          <cell r="S61">
            <v>4904</v>
          </cell>
          <cell r="T61">
            <v>4841</v>
          </cell>
          <cell r="U61">
            <v>3989</v>
          </cell>
          <cell r="V61">
            <v>4476</v>
          </cell>
          <cell r="W61">
            <v>4698</v>
          </cell>
          <cell r="X61">
            <v>4189</v>
          </cell>
          <cell r="Y61">
            <v>4740</v>
          </cell>
          <cell r="Z61">
            <v>5938</v>
          </cell>
          <cell r="AA61">
            <v>5671</v>
          </cell>
          <cell r="AB61">
            <v>7100</v>
          </cell>
          <cell r="AC61">
            <v>7899</v>
          </cell>
          <cell r="AD61">
            <v>7831</v>
          </cell>
          <cell r="AE61">
            <v>8266</v>
          </cell>
          <cell r="AF61">
            <v>8459</v>
          </cell>
          <cell r="AG61">
            <v>9881</v>
          </cell>
          <cell r="AH61">
            <v>11594</v>
          </cell>
          <cell r="AI61">
            <v>12609.220951364599</v>
          </cell>
          <cell r="AJ61">
            <v>12862.2703587631</v>
          </cell>
          <cell r="AK61">
            <v>13344.1548915534</v>
          </cell>
          <cell r="AL61">
            <v>13824.723240978999</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row>
        <row r="62">
          <cell r="B62" t="str">
            <v>Short-term debt</v>
          </cell>
          <cell r="C62" t="str">
            <v>SHORT_T_DEBT</v>
          </cell>
          <cell r="D62" t="str">
            <v>SEK</v>
          </cell>
          <cell r="F62">
            <v>2047</v>
          </cell>
          <cell r="G62">
            <v>1715</v>
          </cell>
          <cell r="H62">
            <v>1693</v>
          </cell>
          <cell r="I62">
            <v>1853</v>
          </cell>
          <cell r="J62">
            <v>3337</v>
          </cell>
          <cell r="K62">
            <v>1223</v>
          </cell>
          <cell r="L62">
            <v>705</v>
          </cell>
          <cell r="M62">
            <v>711</v>
          </cell>
          <cell r="N62">
            <v>632</v>
          </cell>
          <cell r="O62">
            <v>372</v>
          </cell>
          <cell r="P62">
            <v>212</v>
          </cell>
          <cell r="Q62">
            <v>151</v>
          </cell>
          <cell r="R62">
            <v>1047</v>
          </cell>
          <cell r="S62">
            <v>810</v>
          </cell>
          <cell r="T62">
            <v>899</v>
          </cell>
          <cell r="U62">
            <v>2018</v>
          </cell>
          <cell r="V62">
            <v>1325</v>
          </cell>
          <cell r="W62">
            <v>1113</v>
          </cell>
          <cell r="X62">
            <v>2945</v>
          </cell>
          <cell r="Y62">
            <v>1646</v>
          </cell>
          <cell r="Z62">
            <v>3905</v>
          </cell>
          <cell r="AA62">
            <v>3132.8211942529701</v>
          </cell>
          <cell r="AB62">
            <v>1619</v>
          </cell>
          <cell r="AC62">
            <v>2718</v>
          </cell>
          <cell r="AD62">
            <v>2307</v>
          </cell>
          <cell r="AE62">
            <v>2926</v>
          </cell>
          <cell r="AF62">
            <v>2700</v>
          </cell>
          <cell r="AG62">
            <v>3285</v>
          </cell>
          <cell r="AH62">
            <v>916</v>
          </cell>
          <cell r="AI62">
            <v>916</v>
          </cell>
          <cell r="AJ62">
            <v>916</v>
          </cell>
          <cell r="AK62">
            <v>916</v>
          </cell>
          <cell r="AL62">
            <v>916</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row>
        <row r="63">
          <cell r="B63" t="str">
            <v>Current lease liabilities (op lease: US GAAP)</v>
          </cell>
          <cell r="C63" t="str">
            <v>ST_LEASE_LIAB</v>
          </cell>
          <cell r="D63" t="str">
            <v>SEK</v>
          </cell>
          <cell r="AE63">
            <v>684</v>
          </cell>
          <cell r="AF63">
            <v>560</v>
          </cell>
          <cell r="AG63">
            <v>579</v>
          </cell>
          <cell r="AH63">
            <v>635</v>
          </cell>
          <cell r="AI63">
            <v>635</v>
          </cell>
          <cell r="AJ63">
            <v>635</v>
          </cell>
          <cell r="AK63">
            <v>635</v>
          </cell>
          <cell r="AL63">
            <v>635</v>
          </cell>
        </row>
        <row r="64">
          <cell r="B64" t="str">
            <v>Other current liabilities</v>
          </cell>
          <cell r="C64" t="str">
            <v>OTH_CUR_LIABS</v>
          </cell>
          <cell r="D64" t="str">
            <v>SEK</v>
          </cell>
          <cell r="F64">
            <v>4763</v>
          </cell>
          <cell r="G64">
            <v>4695</v>
          </cell>
          <cell r="H64">
            <v>3026</v>
          </cell>
          <cell r="I64">
            <v>3387</v>
          </cell>
          <cell r="J64">
            <v>3843</v>
          </cell>
          <cell r="K64">
            <v>3436</v>
          </cell>
          <cell r="L64">
            <v>4287</v>
          </cell>
          <cell r="M64">
            <v>4873</v>
          </cell>
          <cell r="N64">
            <v>4464</v>
          </cell>
          <cell r="O64">
            <v>4407</v>
          </cell>
          <cell r="P64">
            <v>5193</v>
          </cell>
          <cell r="Q64">
            <v>6473</v>
          </cell>
          <cell r="R64">
            <v>6469</v>
          </cell>
          <cell r="S64">
            <v>7118</v>
          </cell>
          <cell r="T64">
            <v>8558</v>
          </cell>
          <cell r="U64">
            <v>8368</v>
          </cell>
          <cell r="V64">
            <v>7832</v>
          </cell>
          <cell r="W64">
            <v>7434</v>
          </cell>
          <cell r="X64">
            <v>6769</v>
          </cell>
          <cell r="Y64">
            <v>10355</v>
          </cell>
          <cell r="Z64">
            <v>8136</v>
          </cell>
          <cell r="AA64">
            <v>6527.1788057470303</v>
          </cell>
          <cell r="AB64">
            <v>8659</v>
          </cell>
          <cell r="AC64">
            <v>9902</v>
          </cell>
          <cell r="AD64">
            <v>10749</v>
          </cell>
          <cell r="AE64">
            <v>11264</v>
          </cell>
          <cell r="AF64">
            <v>9925</v>
          </cell>
          <cell r="AG64">
            <v>10780</v>
          </cell>
          <cell r="AH64">
            <v>11295</v>
          </cell>
          <cell r="AI64">
            <v>11295</v>
          </cell>
          <cell r="AJ64">
            <v>11295</v>
          </cell>
          <cell r="AK64">
            <v>11295</v>
          </cell>
          <cell r="AL64">
            <v>11295</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row>
        <row r="65">
          <cell r="B65" t="str">
            <v>Total current liabilities</v>
          </cell>
          <cell r="C65" t="str">
            <v>SHORT_TERM_LIABS</v>
          </cell>
          <cell r="D65" t="str">
            <v>SEK</v>
          </cell>
          <cell r="F65">
            <v>9445</v>
          </cell>
          <cell r="G65">
            <v>9174</v>
          </cell>
          <cell r="H65">
            <v>7405</v>
          </cell>
          <cell r="I65">
            <v>8161</v>
          </cell>
          <cell r="J65">
            <v>10064</v>
          </cell>
          <cell r="K65">
            <v>7444</v>
          </cell>
          <cell r="L65">
            <v>8091</v>
          </cell>
          <cell r="M65">
            <v>8810</v>
          </cell>
          <cell r="N65">
            <v>8694</v>
          </cell>
          <cell r="O65">
            <v>7962</v>
          </cell>
          <cell r="P65">
            <v>9303</v>
          </cell>
          <cell r="Q65">
            <v>10445</v>
          </cell>
          <cell r="R65">
            <v>12045</v>
          </cell>
          <cell r="S65">
            <v>12832</v>
          </cell>
          <cell r="T65">
            <v>14298</v>
          </cell>
          <cell r="U65">
            <v>14375</v>
          </cell>
          <cell r="V65">
            <v>13633</v>
          </cell>
          <cell r="W65">
            <v>13245</v>
          </cell>
          <cell r="X65">
            <v>13903</v>
          </cell>
          <cell r="Y65">
            <v>16741</v>
          </cell>
          <cell r="Z65">
            <v>17979</v>
          </cell>
          <cell r="AA65">
            <v>15331</v>
          </cell>
          <cell r="AB65">
            <v>17378</v>
          </cell>
          <cell r="AC65">
            <v>20519</v>
          </cell>
          <cell r="AD65">
            <v>20887</v>
          </cell>
          <cell r="AE65">
            <v>23140</v>
          </cell>
          <cell r="AF65">
            <v>21644</v>
          </cell>
          <cell r="AG65">
            <v>24525</v>
          </cell>
          <cell r="AH65">
            <v>24440</v>
          </cell>
          <cell r="AI65">
            <v>25455.220951364601</v>
          </cell>
          <cell r="AJ65">
            <v>25708.2703587631</v>
          </cell>
          <cell r="AK65">
            <v>26190.1548915534</v>
          </cell>
          <cell r="AL65">
            <v>26670.723240979001</v>
          </cell>
        </row>
        <row r="66">
          <cell r="B66" t="str">
            <v>Long-term  debt</v>
          </cell>
          <cell r="C66" t="str">
            <v>LT_DEBT</v>
          </cell>
          <cell r="D66" t="str">
            <v>SEK</v>
          </cell>
          <cell r="F66">
            <v>4954</v>
          </cell>
          <cell r="G66">
            <v>4584</v>
          </cell>
          <cell r="H66">
            <v>4846</v>
          </cell>
          <cell r="I66">
            <v>6538</v>
          </cell>
          <cell r="J66">
            <v>4842</v>
          </cell>
          <cell r="K66">
            <v>4753</v>
          </cell>
          <cell r="L66">
            <v>4263</v>
          </cell>
          <cell r="M66">
            <v>2830</v>
          </cell>
          <cell r="N66">
            <v>1777</v>
          </cell>
          <cell r="O66">
            <v>1246</v>
          </cell>
          <cell r="P66">
            <v>904</v>
          </cell>
          <cell r="Q66">
            <v>4145</v>
          </cell>
          <cell r="R66">
            <v>7007</v>
          </cell>
          <cell r="S66">
            <v>7301</v>
          </cell>
          <cell r="T66">
            <v>12809</v>
          </cell>
          <cell r="U66">
            <v>8987</v>
          </cell>
          <cell r="V66">
            <v>10850</v>
          </cell>
          <cell r="W66">
            <v>12500</v>
          </cell>
          <cell r="X66">
            <v>12730</v>
          </cell>
          <cell r="Y66">
            <v>19698</v>
          </cell>
          <cell r="Z66">
            <v>22200</v>
          </cell>
          <cell r="AA66">
            <v>22383</v>
          </cell>
          <cell r="AB66">
            <v>22031</v>
          </cell>
          <cell r="AC66">
            <v>15790</v>
          </cell>
          <cell r="AD66">
            <v>14850</v>
          </cell>
          <cell r="AE66">
            <v>13080</v>
          </cell>
          <cell r="AF66">
            <v>12810.029207503099</v>
          </cell>
          <cell r="AG66">
            <v>13135.1827091582</v>
          </cell>
          <cell r="AH66">
            <v>18822.8679088141</v>
          </cell>
          <cell r="AI66">
            <v>18783.8679088141</v>
          </cell>
          <cell r="AJ66">
            <v>15783.8679088141</v>
          </cell>
          <cell r="AK66">
            <v>15783.8679088141</v>
          </cell>
          <cell r="AL66">
            <v>15783.8679088141</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row>
        <row r="67">
          <cell r="B67" t="str">
            <v>Non-current lease liabilities (op lease: US GAAP)</v>
          </cell>
          <cell r="C67" t="str">
            <v>LT_LEASE_LIAB</v>
          </cell>
          <cell r="D67" t="str">
            <v>SEK</v>
          </cell>
          <cell r="AE67">
            <v>2327</v>
          </cell>
          <cell r="AF67">
            <v>2278.9707924969198</v>
          </cell>
          <cell r="AG67">
            <v>2336.8172908418301</v>
          </cell>
          <cell r="AH67">
            <v>2396.1320911859402</v>
          </cell>
          <cell r="AI67">
            <v>2396.1320911859402</v>
          </cell>
          <cell r="AJ67">
            <v>2396.1320911859402</v>
          </cell>
          <cell r="AK67">
            <v>2396.1320911859402</v>
          </cell>
          <cell r="AL67">
            <v>2396.1320911859402</v>
          </cell>
        </row>
        <row r="68">
          <cell r="B68" t="str">
            <v>Other long-term liabilities</v>
          </cell>
          <cell r="C68" t="str">
            <v>OTH_LT_CRED_GQ</v>
          </cell>
          <cell r="D68" t="str">
            <v>SEK</v>
          </cell>
          <cell r="F68">
            <v>8986</v>
          </cell>
          <cell r="G68">
            <v>8949</v>
          </cell>
          <cell r="H68">
            <v>9935</v>
          </cell>
          <cell r="I68">
            <v>10863</v>
          </cell>
          <cell r="J68">
            <v>12810</v>
          </cell>
          <cell r="K68">
            <v>10861</v>
          </cell>
          <cell r="L68">
            <v>11482</v>
          </cell>
          <cell r="M68">
            <v>12442</v>
          </cell>
          <cell r="N68">
            <v>11271</v>
          </cell>
          <cell r="O68">
            <v>11455</v>
          </cell>
          <cell r="P68">
            <v>7722</v>
          </cell>
          <cell r="Q68">
            <v>7526</v>
          </cell>
          <cell r="R68">
            <v>7579</v>
          </cell>
          <cell r="S68">
            <v>7843</v>
          </cell>
          <cell r="T68">
            <v>8576</v>
          </cell>
          <cell r="U68">
            <v>9373</v>
          </cell>
          <cell r="V68">
            <v>10024</v>
          </cell>
          <cell r="W68">
            <v>11174</v>
          </cell>
          <cell r="X68">
            <v>11656</v>
          </cell>
          <cell r="Y68">
            <v>13400</v>
          </cell>
          <cell r="Z68">
            <v>17056</v>
          </cell>
          <cell r="AA68">
            <v>15737</v>
          </cell>
          <cell r="AB68">
            <v>16815</v>
          </cell>
          <cell r="AC68">
            <v>15071</v>
          </cell>
          <cell r="AD68">
            <v>15984</v>
          </cell>
          <cell r="AE68">
            <v>18195</v>
          </cell>
          <cell r="AF68">
            <v>18112</v>
          </cell>
          <cell r="AG68">
            <v>14266</v>
          </cell>
          <cell r="AH68">
            <v>11221</v>
          </cell>
          <cell r="AI68">
            <v>10339</v>
          </cell>
          <cell r="AJ68">
            <v>9457</v>
          </cell>
          <cell r="AK68">
            <v>8575</v>
          </cell>
          <cell r="AL68">
            <v>7693</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row>
        <row r="69">
          <cell r="B69" t="str">
            <v>Total long-term liabilities</v>
          </cell>
          <cell r="C69" t="str">
            <v>TOT_LT_LIAB</v>
          </cell>
          <cell r="D69" t="str">
            <v>SEK</v>
          </cell>
          <cell r="F69">
            <v>13940</v>
          </cell>
          <cell r="G69">
            <v>13533</v>
          </cell>
          <cell r="H69">
            <v>14781</v>
          </cell>
          <cell r="I69">
            <v>17401</v>
          </cell>
          <cell r="J69">
            <v>17652</v>
          </cell>
          <cell r="K69">
            <v>15614</v>
          </cell>
          <cell r="L69">
            <v>15745</v>
          </cell>
          <cell r="M69">
            <v>15272</v>
          </cell>
          <cell r="N69">
            <v>13048</v>
          </cell>
          <cell r="O69">
            <v>12701</v>
          </cell>
          <cell r="P69">
            <v>8626</v>
          </cell>
          <cell r="Q69">
            <v>11671</v>
          </cell>
          <cell r="R69">
            <v>14586</v>
          </cell>
          <cell r="S69">
            <v>15144</v>
          </cell>
          <cell r="T69">
            <v>21385</v>
          </cell>
          <cell r="U69">
            <v>18360</v>
          </cell>
          <cell r="V69">
            <v>20874</v>
          </cell>
          <cell r="W69">
            <v>23674</v>
          </cell>
          <cell r="X69">
            <v>24386</v>
          </cell>
          <cell r="Y69">
            <v>33098</v>
          </cell>
          <cell r="Z69">
            <v>39256</v>
          </cell>
          <cell r="AA69">
            <v>38120</v>
          </cell>
          <cell r="AB69">
            <v>38846</v>
          </cell>
          <cell r="AC69">
            <v>30861</v>
          </cell>
          <cell r="AD69">
            <v>30834</v>
          </cell>
          <cell r="AE69">
            <v>33602</v>
          </cell>
          <cell r="AF69">
            <v>33201</v>
          </cell>
          <cell r="AG69">
            <v>29738</v>
          </cell>
          <cell r="AH69">
            <v>32440</v>
          </cell>
          <cell r="AI69">
            <v>31519</v>
          </cell>
          <cell r="AJ69">
            <v>27637</v>
          </cell>
          <cell r="AK69">
            <v>26755</v>
          </cell>
          <cell r="AL69">
            <v>25873</v>
          </cell>
        </row>
        <row r="70">
          <cell r="B70" t="str">
            <v>Total liabilities</v>
          </cell>
          <cell r="C70" t="str">
            <v>TOT_LIAB</v>
          </cell>
          <cell r="D70" t="str">
            <v>SEK</v>
          </cell>
          <cell r="F70">
            <v>23385</v>
          </cell>
          <cell r="G70">
            <v>22707</v>
          </cell>
          <cell r="H70">
            <v>22186</v>
          </cell>
          <cell r="I70">
            <v>25562</v>
          </cell>
          <cell r="J70">
            <v>27716</v>
          </cell>
          <cell r="K70">
            <v>23058</v>
          </cell>
          <cell r="L70">
            <v>23836</v>
          </cell>
          <cell r="M70">
            <v>24082</v>
          </cell>
          <cell r="N70">
            <v>21742</v>
          </cell>
          <cell r="O70">
            <v>20663</v>
          </cell>
          <cell r="P70">
            <v>17929</v>
          </cell>
          <cell r="Q70">
            <v>22116</v>
          </cell>
          <cell r="R70">
            <v>26631</v>
          </cell>
          <cell r="S70">
            <v>27976</v>
          </cell>
          <cell r="T70">
            <v>35683</v>
          </cell>
          <cell r="U70">
            <v>32735</v>
          </cell>
          <cell r="V70">
            <v>34507</v>
          </cell>
          <cell r="W70">
            <v>36919</v>
          </cell>
          <cell r="X70">
            <v>38289</v>
          </cell>
          <cell r="Y70">
            <v>49839</v>
          </cell>
          <cell r="Z70">
            <v>57235</v>
          </cell>
          <cell r="AA70">
            <v>53451</v>
          </cell>
          <cell r="AB70">
            <v>56224</v>
          </cell>
          <cell r="AC70">
            <v>51380</v>
          </cell>
          <cell r="AD70">
            <v>51721</v>
          </cell>
          <cell r="AE70">
            <v>56742</v>
          </cell>
          <cell r="AF70">
            <v>54845</v>
          </cell>
          <cell r="AG70">
            <v>54263</v>
          </cell>
          <cell r="AH70">
            <v>56880</v>
          </cell>
          <cell r="AI70">
            <v>56974.220951364601</v>
          </cell>
          <cell r="AJ70">
            <v>53345.270358763097</v>
          </cell>
          <cell r="AK70">
            <v>52945.1548915534</v>
          </cell>
          <cell r="AL70">
            <v>52543.723240979001</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row>
        <row r="71">
          <cell r="B71" t="str">
            <v>Preferred shares</v>
          </cell>
          <cell r="C71" t="str">
            <v>PREF_SH</v>
          </cell>
          <cell r="D71" t="str">
            <v>SEK</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row>
        <row r="72">
          <cell r="B72" t="str">
            <v>Total common equity</v>
          </cell>
          <cell r="C72" t="str">
            <v>ORD_SH_FUND</v>
          </cell>
          <cell r="D72" t="str">
            <v>SEK</v>
          </cell>
          <cell r="F72">
            <v>9183</v>
          </cell>
          <cell r="G72">
            <v>10122</v>
          </cell>
          <cell r="H72">
            <v>11310</v>
          </cell>
          <cell r="I72">
            <v>12588</v>
          </cell>
          <cell r="J72">
            <v>10932</v>
          </cell>
          <cell r="K72">
            <v>11367</v>
          </cell>
          <cell r="L72">
            <v>13594</v>
          </cell>
          <cell r="M72">
            <v>16224</v>
          </cell>
          <cell r="N72">
            <v>16365</v>
          </cell>
          <cell r="O72">
            <v>15164</v>
          </cell>
          <cell r="P72">
            <v>16581</v>
          </cell>
          <cell r="Q72">
            <v>17629</v>
          </cell>
          <cell r="R72">
            <v>18973</v>
          </cell>
          <cell r="S72">
            <v>17587</v>
          </cell>
          <cell r="T72">
            <v>19659</v>
          </cell>
          <cell r="U72">
            <v>17411</v>
          </cell>
          <cell r="V72">
            <v>18935</v>
          </cell>
          <cell r="W72">
            <v>21436</v>
          </cell>
          <cell r="X72">
            <v>21340</v>
          </cell>
          <cell r="Y72">
            <v>20100</v>
          </cell>
          <cell r="Z72">
            <v>23089</v>
          </cell>
          <cell r="AA72">
            <v>24815</v>
          </cell>
          <cell r="AB72">
            <v>26034</v>
          </cell>
          <cell r="AC72">
            <v>28036</v>
          </cell>
          <cell r="AD72">
            <v>33536</v>
          </cell>
          <cell r="AE72">
            <v>35512</v>
          </cell>
          <cell r="AF72">
            <v>34309</v>
          </cell>
          <cell r="AG72">
            <v>43645</v>
          </cell>
          <cell r="AH72">
            <v>51927</v>
          </cell>
          <cell r="AI72">
            <v>56095.298029838501</v>
          </cell>
          <cell r="AJ72">
            <v>58814.240788245101</v>
          </cell>
          <cell r="AK72">
            <v>62361.534399670003</v>
          </cell>
          <cell r="AL72">
            <v>66173.777397487196</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row>
        <row r="73">
          <cell r="B73" t="str">
            <v>Minority interest</v>
          </cell>
          <cell r="C73" t="str">
            <v>MINORITIES</v>
          </cell>
          <cell r="D73" t="str">
            <v>SEK</v>
          </cell>
          <cell r="F73">
            <v>144</v>
          </cell>
          <cell r="G73">
            <v>166</v>
          </cell>
          <cell r="H73">
            <v>288</v>
          </cell>
          <cell r="I73">
            <v>290</v>
          </cell>
          <cell r="J73">
            <v>367</v>
          </cell>
          <cell r="K73">
            <v>398</v>
          </cell>
          <cell r="L73">
            <v>467</v>
          </cell>
          <cell r="M73">
            <v>591</v>
          </cell>
          <cell r="N73">
            <v>570</v>
          </cell>
          <cell r="O73">
            <v>499</v>
          </cell>
          <cell r="P73">
            <v>504</v>
          </cell>
          <cell r="Q73">
            <v>604</v>
          </cell>
          <cell r="R73">
            <v>634</v>
          </cell>
          <cell r="S73">
            <v>768</v>
          </cell>
          <cell r="T73">
            <v>939</v>
          </cell>
          <cell r="U73">
            <v>869</v>
          </cell>
          <cell r="V73">
            <v>959</v>
          </cell>
          <cell r="W73">
            <v>1019</v>
          </cell>
          <cell r="X73">
            <v>1128</v>
          </cell>
          <cell r="Y73">
            <v>1052</v>
          </cell>
          <cell r="Z73">
            <v>1315</v>
          </cell>
          <cell r="AA73">
            <v>1467</v>
          </cell>
          <cell r="AB73">
            <v>1649</v>
          </cell>
          <cell r="AC73">
            <v>1787</v>
          </cell>
          <cell r="AD73">
            <v>1916</v>
          </cell>
          <cell r="AE73">
            <v>1854</v>
          </cell>
          <cell r="AF73">
            <v>1403</v>
          </cell>
          <cell r="AG73">
            <v>1720</v>
          </cell>
          <cell r="AH73">
            <v>2116</v>
          </cell>
          <cell r="AI73">
            <v>2436</v>
          </cell>
          <cell r="AJ73">
            <v>2766.6297361141401</v>
          </cell>
          <cell r="AK73">
            <v>3117.73620264076</v>
          </cell>
          <cell r="AL73">
            <v>3484.9446682827001</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row>
        <row r="74">
          <cell r="B74" t="str">
            <v>Total shareholders' equity</v>
          </cell>
          <cell r="C74" t="str">
            <v>EQ</v>
          </cell>
          <cell r="D74" t="str">
            <v>SEK</v>
          </cell>
          <cell r="F74">
            <v>9327</v>
          </cell>
          <cell r="G74">
            <v>10288</v>
          </cell>
          <cell r="H74">
            <v>11598</v>
          </cell>
          <cell r="I74">
            <v>12878</v>
          </cell>
          <cell r="J74">
            <v>11299</v>
          </cell>
          <cell r="K74">
            <v>11765</v>
          </cell>
          <cell r="L74">
            <v>14061</v>
          </cell>
          <cell r="M74">
            <v>16815</v>
          </cell>
          <cell r="N74">
            <v>16935</v>
          </cell>
          <cell r="O74">
            <v>15663</v>
          </cell>
          <cell r="P74">
            <v>17085</v>
          </cell>
          <cell r="Q74">
            <v>18233</v>
          </cell>
          <cell r="R74">
            <v>19607</v>
          </cell>
          <cell r="S74">
            <v>18355</v>
          </cell>
          <cell r="T74">
            <v>20598</v>
          </cell>
          <cell r="U74">
            <v>18280</v>
          </cell>
          <cell r="V74">
            <v>19894</v>
          </cell>
          <cell r="W74">
            <v>22455</v>
          </cell>
          <cell r="X74">
            <v>22468</v>
          </cell>
          <cell r="Y74">
            <v>21152</v>
          </cell>
          <cell r="Z74">
            <v>24404</v>
          </cell>
          <cell r="AA74">
            <v>26282</v>
          </cell>
          <cell r="AB74">
            <v>27683</v>
          </cell>
          <cell r="AC74">
            <v>29823</v>
          </cell>
          <cell r="AD74">
            <v>35452</v>
          </cell>
          <cell r="AE74">
            <v>37366</v>
          </cell>
          <cell r="AF74">
            <v>35712</v>
          </cell>
          <cell r="AG74">
            <v>45365</v>
          </cell>
          <cell r="AH74">
            <v>54043</v>
          </cell>
          <cell r="AI74">
            <v>58531.298029838501</v>
          </cell>
          <cell r="AJ74">
            <v>61580.870524359299</v>
          </cell>
          <cell r="AK74">
            <v>65479.270602310797</v>
          </cell>
          <cell r="AL74">
            <v>69658.722065769907</v>
          </cell>
        </row>
        <row r="75">
          <cell r="B75" t="str">
            <v>Total liabilities and equity</v>
          </cell>
          <cell r="C75" t="str">
            <v>TOT_LIAB_EQ</v>
          </cell>
          <cell r="D75" t="str">
            <v>SEK</v>
          </cell>
          <cell r="F75">
            <v>32712</v>
          </cell>
          <cell r="G75">
            <v>32995</v>
          </cell>
          <cell r="H75">
            <v>33784</v>
          </cell>
          <cell r="I75">
            <v>38440</v>
          </cell>
          <cell r="J75">
            <v>39015</v>
          </cell>
          <cell r="K75">
            <v>34823</v>
          </cell>
          <cell r="L75">
            <v>37897</v>
          </cell>
          <cell r="M75">
            <v>40897</v>
          </cell>
          <cell r="N75">
            <v>38677</v>
          </cell>
          <cell r="O75">
            <v>36326</v>
          </cell>
          <cell r="P75">
            <v>35014</v>
          </cell>
          <cell r="Q75">
            <v>40349</v>
          </cell>
          <cell r="R75">
            <v>46238</v>
          </cell>
          <cell r="S75">
            <v>46331</v>
          </cell>
          <cell r="T75">
            <v>56281</v>
          </cell>
          <cell r="U75">
            <v>51015</v>
          </cell>
          <cell r="V75">
            <v>54401</v>
          </cell>
          <cell r="W75">
            <v>59374</v>
          </cell>
          <cell r="X75">
            <v>60757</v>
          </cell>
          <cell r="Y75">
            <v>70991</v>
          </cell>
          <cell r="Z75">
            <v>81639</v>
          </cell>
          <cell r="AA75">
            <v>79733</v>
          </cell>
          <cell r="AB75">
            <v>83907</v>
          </cell>
          <cell r="AC75">
            <v>81203</v>
          </cell>
          <cell r="AD75">
            <v>87173</v>
          </cell>
          <cell r="AE75">
            <v>94108</v>
          </cell>
          <cell r="AF75">
            <v>90557</v>
          </cell>
          <cell r="AG75">
            <v>99628</v>
          </cell>
          <cell r="AH75">
            <v>110923</v>
          </cell>
          <cell r="AI75">
            <v>115505.518981203</v>
          </cell>
          <cell r="AJ75">
            <v>114926.140883122</v>
          </cell>
          <cell r="AK75">
            <v>118424.42549386399</v>
          </cell>
          <cell r="AL75">
            <v>122202.445306749</v>
          </cell>
        </row>
        <row r="76">
          <cell r="A76" t="str">
            <v>Additional Balance Sheet Items</v>
          </cell>
        </row>
        <row r="77">
          <cell r="B77" t="str">
            <v>Total US$ debt (in US$)</v>
          </cell>
          <cell r="C77" t="str">
            <v>TOT_USD_DEBT</v>
          </cell>
          <cell r="Z77">
            <v>0</v>
          </cell>
          <cell r="AA77">
            <v>0</v>
          </cell>
          <cell r="AB77">
            <v>0</v>
          </cell>
          <cell r="AC77">
            <v>0</v>
          </cell>
          <cell r="AD77">
            <v>0</v>
          </cell>
          <cell r="AE77">
            <v>0</v>
          </cell>
          <cell r="AF77">
            <v>0</v>
          </cell>
        </row>
        <row r="78">
          <cell r="B78" t="str">
            <v>% US$ debt hedged (principal)</v>
          </cell>
          <cell r="C78" t="str">
            <v>TOT_PCT_USD_DEBT_HEDGED</v>
          </cell>
          <cell r="Z78">
            <v>0</v>
          </cell>
          <cell r="AA78">
            <v>0</v>
          </cell>
          <cell r="AB78">
            <v>0</v>
          </cell>
          <cell r="AC78">
            <v>0</v>
          </cell>
          <cell r="AD78">
            <v>0</v>
          </cell>
          <cell r="AE78">
            <v>0</v>
          </cell>
          <cell r="AF78">
            <v>0</v>
          </cell>
        </row>
        <row r="79">
          <cell r="B79" t="str">
            <v>% Floating debt (local currency debt)</v>
          </cell>
          <cell r="C79" t="str">
            <v>FLOATING_PCT_LOCAL_DEBT</v>
          </cell>
          <cell r="Z79">
            <v>0</v>
          </cell>
          <cell r="AA79">
            <v>0</v>
          </cell>
          <cell r="AB79">
            <v>0</v>
          </cell>
          <cell r="AC79">
            <v>0</v>
          </cell>
          <cell r="AD79">
            <v>0</v>
          </cell>
          <cell r="AE79">
            <v>0</v>
          </cell>
          <cell r="AF79">
            <v>0</v>
          </cell>
        </row>
        <row r="80">
          <cell r="B80" t="str">
            <v>% floating debt hedged (rates)</v>
          </cell>
          <cell r="C80" t="str">
            <v>FLOATING_PCT_LOCAL_DEBT_HEDGED</v>
          </cell>
          <cell r="Z80">
            <v>0</v>
          </cell>
          <cell r="AA80">
            <v>0</v>
          </cell>
          <cell r="AB80">
            <v>0</v>
          </cell>
          <cell r="AC80">
            <v>0</v>
          </cell>
          <cell r="AD80">
            <v>0</v>
          </cell>
          <cell r="AE80">
            <v>0</v>
          </cell>
          <cell r="AF80">
            <v>0</v>
          </cell>
        </row>
        <row r="81">
          <cell r="B81" t="str">
            <v>Net debt</v>
          </cell>
          <cell r="C81" t="str">
            <v>NET_DEBT</v>
          </cell>
          <cell r="D81" t="str">
            <v>SEK</v>
          </cell>
          <cell r="F81">
            <v>4745.4558144218299</v>
          </cell>
          <cell r="G81">
            <v>3623.2108090197898</v>
          </cell>
          <cell r="H81">
            <v>4975.3045770523104</v>
          </cell>
          <cell r="I81">
            <v>5274.8333218882099</v>
          </cell>
          <cell r="J81">
            <v>6699.8997750177796</v>
          </cell>
          <cell r="K81">
            <v>4659.6209265913303</v>
          </cell>
          <cell r="L81">
            <v>1990.4309551899901</v>
          </cell>
          <cell r="M81">
            <v>-1615.0280724556001</v>
          </cell>
          <cell r="N81">
            <v>-2965.5376574566999</v>
          </cell>
          <cell r="O81">
            <v>-3851.9934312089499</v>
          </cell>
          <cell r="P81">
            <v>-1568.1976714376799</v>
          </cell>
          <cell r="Q81">
            <v>276</v>
          </cell>
          <cell r="R81">
            <v>-229</v>
          </cell>
          <cell r="S81">
            <v>4537</v>
          </cell>
          <cell r="T81">
            <v>11199</v>
          </cell>
          <cell r="U81">
            <v>6572</v>
          </cell>
          <cell r="V81">
            <v>10190</v>
          </cell>
          <cell r="W81">
            <v>9003</v>
          </cell>
          <cell r="X81">
            <v>7715</v>
          </cell>
          <cell r="Y81">
            <v>16569</v>
          </cell>
          <cell r="Z81">
            <v>19068</v>
          </cell>
          <cell r="AA81">
            <v>16909</v>
          </cell>
          <cell r="AB81">
            <v>13093</v>
          </cell>
          <cell r="AC81">
            <v>12547</v>
          </cell>
          <cell r="AD81">
            <v>7797</v>
          </cell>
          <cell r="AE81">
            <v>6863</v>
          </cell>
          <cell r="AF81">
            <v>3324</v>
          </cell>
          <cell r="AG81">
            <v>4236</v>
          </cell>
          <cell r="AH81">
            <v>7190</v>
          </cell>
          <cell r="AI81">
            <v>5046.5942790835397</v>
          </cell>
          <cell r="AJ81">
            <v>2852.4701456378698</v>
          </cell>
          <cell r="AK81">
            <v>13.805747225192</v>
          </cell>
          <cell r="AL81">
            <v>-3447.0068200112501</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row>
        <row r="82">
          <cell r="B82" t="str">
            <v>Capitalized operating leases (off-balance sheet)</v>
          </cell>
          <cell r="C82" t="str">
            <v>CAP_LEASES</v>
          </cell>
          <cell r="D82" t="str">
            <v>SEK</v>
          </cell>
          <cell r="F82">
            <v>1338.4558144218299</v>
          </cell>
          <cell r="G82">
            <v>1359.2108090197901</v>
          </cell>
          <cell r="H82">
            <v>1513.3045770523099</v>
          </cell>
          <cell r="I82">
            <v>1644.8333218882101</v>
          </cell>
          <cell r="J82">
            <v>1757.89977501778</v>
          </cell>
          <cell r="K82">
            <v>1577.6209265913301</v>
          </cell>
          <cell r="L82">
            <v>1579.4309551899901</v>
          </cell>
          <cell r="M82">
            <v>1640.9719275443999</v>
          </cell>
          <cell r="N82">
            <v>1498.4623425433001</v>
          </cell>
          <cell r="O82">
            <v>1344.0065687910501</v>
          </cell>
          <cell r="P82">
            <v>1328.8023285623201</v>
          </cell>
          <cell r="Q82">
            <v>1358</v>
          </cell>
          <cell r="R82">
            <v>1385</v>
          </cell>
          <cell r="S82">
            <v>1379</v>
          </cell>
          <cell r="T82">
            <v>1713</v>
          </cell>
          <cell r="U82">
            <v>1764</v>
          </cell>
          <cell r="V82">
            <v>1802</v>
          </cell>
          <cell r="W82">
            <v>1998</v>
          </cell>
          <cell r="X82">
            <v>1886</v>
          </cell>
          <cell r="Y82">
            <v>2267</v>
          </cell>
          <cell r="Z82">
            <v>2860</v>
          </cell>
          <cell r="AA82">
            <v>3650</v>
          </cell>
          <cell r="AB82">
            <v>3628</v>
          </cell>
          <cell r="AC82">
            <v>3502</v>
          </cell>
          <cell r="AD82">
            <v>3230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row>
        <row r="83">
          <cell r="B83" t="str">
            <v>Deferred income taxes</v>
          </cell>
          <cell r="C83" t="str">
            <v>DEF_INC_TAX</v>
          </cell>
          <cell r="D83" t="str">
            <v>SEK</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row>
        <row r="84">
          <cell r="B84" t="str">
            <v>Associates (mkt value) used in EV calculation</v>
          </cell>
          <cell r="C84" t="str">
            <v>MV_ASSOCIATES</v>
          </cell>
          <cell r="D84" t="str">
            <v>SEK</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row>
        <row r="85">
          <cell r="B85" t="str">
            <v>Net debt adjustment</v>
          </cell>
          <cell r="C85" t="str">
            <v>NET_DEBT_ADJ</v>
          </cell>
          <cell r="D85" t="str">
            <v>SEK</v>
          </cell>
          <cell r="F85">
            <v>-1238</v>
          </cell>
          <cell r="G85">
            <v>-1138</v>
          </cell>
          <cell r="H85">
            <v>-986</v>
          </cell>
          <cell r="I85">
            <v>-830</v>
          </cell>
          <cell r="J85">
            <v>-884</v>
          </cell>
          <cell r="K85">
            <v>-918</v>
          </cell>
          <cell r="L85">
            <v>-1076</v>
          </cell>
          <cell r="M85">
            <v>-1410</v>
          </cell>
          <cell r="N85">
            <v>-1343</v>
          </cell>
          <cell r="O85">
            <v>-472</v>
          </cell>
          <cell r="P85">
            <v>-448</v>
          </cell>
          <cell r="Q85">
            <v>-492</v>
          </cell>
          <cell r="R85">
            <v>-613</v>
          </cell>
          <cell r="S85">
            <v>-2007</v>
          </cell>
          <cell r="T85">
            <v>-1429</v>
          </cell>
          <cell r="U85">
            <v>-1767</v>
          </cell>
          <cell r="V85">
            <v>-1392</v>
          </cell>
          <cell r="W85">
            <v>-1783</v>
          </cell>
          <cell r="X85">
            <v>-1602</v>
          </cell>
          <cell r="Y85">
            <v>-1673</v>
          </cell>
          <cell r="Z85">
            <v>-3977</v>
          </cell>
          <cell r="AA85">
            <v>-5038.8211942529697</v>
          </cell>
          <cell r="AB85">
            <v>-4246</v>
          </cell>
          <cell r="AC85">
            <v>-2351</v>
          </cell>
          <cell r="AD85">
            <v>1030</v>
          </cell>
          <cell r="AE85">
            <v>-2713</v>
          </cell>
          <cell r="AF85">
            <v>1863.97079249692</v>
          </cell>
          <cell r="AG85">
            <v>1034.8172908418201</v>
          </cell>
          <cell r="AH85">
            <v>-2293.8679088140598</v>
          </cell>
          <cell r="AI85">
            <v>-2767.4078162690098</v>
          </cell>
          <cell r="AJ85">
            <v>-3557.4078162690098</v>
          </cell>
          <cell r="AK85">
            <v>-4347.4078162690103</v>
          </cell>
          <cell r="AL85">
            <v>-5137.4078162690103</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row>
        <row r="86">
          <cell r="B86" t="str">
            <v>Company borrowing margin</v>
          </cell>
          <cell r="C86" t="str">
            <v>CO_BOR_MARGIN</v>
          </cell>
          <cell r="F86">
            <v>0.02</v>
          </cell>
          <cell r="G86">
            <v>0.02</v>
          </cell>
          <cell r="H86">
            <v>0.02</v>
          </cell>
          <cell r="I86">
            <v>0.02</v>
          </cell>
          <cell r="J86">
            <v>0.02</v>
          </cell>
          <cell r="K86">
            <v>0.02</v>
          </cell>
          <cell r="L86">
            <v>0.02</v>
          </cell>
          <cell r="M86">
            <v>0.02</v>
          </cell>
          <cell r="N86">
            <v>0.02</v>
          </cell>
          <cell r="O86">
            <v>0.02</v>
          </cell>
          <cell r="P86">
            <v>0.02</v>
          </cell>
          <cell r="Q86">
            <v>0.02</v>
          </cell>
          <cell r="R86">
            <v>0.02</v>
          </cell>
          <cell r="S86">
            <v>0.02</v>
          </cell>
          <cell r="T86">
            <v>0.02</v>
          </cell>
          <cell r="U86">
            <v>0.02</v>
          </cell>
          <cell r="V86">
            <v>0.02</v>
          </cell>
          <cell r="W86">
            <v>0.02</v>
          </cell>
          <cell r="X86">
            <v>0.02</v>
          </cell>
          <cell r="Y86">
            <v>0.02</v>
          </cell>
          <cell r="Z86">
            <v>0.02</v>
          </cell>
          <cell r="AA86">
            <v>0.02</v>
          </cell>
          <cell r="AB86">
            <v>0.02</v>
          </cell>
          <cell r="AC86">
            <v>0.02</v>
          </cell>
          <cell r="AD86">
            <v>0.02</v>
          </cell>
          <cell r="AE86">
            <v>0.02</v>
          </cell>
          <cell r="AF86">
            <v>0.02</v>
          </cell>
          <cell r="AG86">
            <v>0.02</v>
          </cell>
          <cell r="AH86">
            <v>0.02</v>
          </cell>
          <cell r="AI86">
            <v>0.02</v>
          </cell>
          <cell r="AJ86">
            <v>0.02</v>
          </cell>
          <cell r="AK86">
            <v>0.02</v>
          </cell>
          <cell r="AL86">
            <v>0.02</v>
          </cell>
        </row>
        <row r="87">
          <cell r="B87" t="str">
            <v>Unfunded pensions &amp; other provisions</v>
          </cell>
          <cell r="C87" t="str">
            <v>UNF_PENS</v>
          </cell>
          <cell r="D87" t="str">
            <v>SEK</v>
          </cell>
          <cell r="F87">
            <v>-6178</v>
          </cell>
          <cell r="G87">
            <v>-6009</v>
          </cell>
          <cell r="H87">
            <v>-6030</v>
          </cell>
          <cell r="I87">
            <v>-6171</v>
          </cell>
          <cell r="J87">
            <v>-7139</v>
          </cell>
          <cell r="K87">
            <v>-6478</v>
          </cell>
          <cell r="L87">
            <v>-6746</v>
          </cell>
          <cell r="M87">
            <v>-7044</v>
          </cell>
          <cell r="N87">
            <v>-6076</v>
          </cell>
          <cell r="O87">
            <v>-7885</v>
          </cell>
          <cell r="P87">
            <v>-4607</v>
          </cell>
          <cell r="Q87">
            <v>-4779</v>
          </cell>
          <cell r="R87">
            <v>-4540</v>
          </cell>
          <cell r="S87">
            <v>-4538</v>
          </cell>
          <cell r="T87">
            <v>-4998</v>
          </cell>
          <cell r="U87">
            <v>-6993</v>
          </cell>
          <cell r="V87">
            <v>-7047</v>
          </cell>
          <cell r="W87">
            <v>-8599</v>
          </cell>
          <cell r="X87">
            <v>-9829</v>
          </cell>
          <cell r="Y87">
            <v>-9815</v>
          </cell>
          <cell r="Z87">
            <v>-13942</v>
          </cell>
          <cell r="AA87">
            <v>-13010</v>
          </cell>
          <cell r="AB87">
            <v>-13892</v>
          </cell>
          <cell r="AC87">
            <v>-12229</v>
          </cell>
          <cell r="AD87">
            <v>-12833</v>
          </cell>
          <cell r="AE87">
            <v>-15313</v>
          </cell>
          <cell r="AF87">
            <v>-15136</v>
          </cell>
          <cell r="AG87">
            <v>-11781</v>
          </cell>
          <cell r="AH87">
            <v>-8748</v>
          </cell>
          <cell r="AI87">
            <v>-7866</v>
          </cell>
          <cell r="AJ87">
            <v>-6984</v>
          </cell>
          <cell r="AK87">
            <v>-6102</v>
          </cell>
          <cell r="AL87">
            <v>-5220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row>
        <row r="88">
          <cell r="B88" t="str">
            <v>Unfunded pension liabilities (off balance sheet)</v>
          </cell>
          <cell r="C88" t="str">
            <v>UNF_PENS_OFF</v>
          </cell>
          <cell r="D88" t="str">
            <v>SEK</v>
          </cell>
        </row>
        <row r="89">
          <cell r="B89" t="str">
            <v>Unfunded pension liabilities &amp; other, used in EV</v>
          </cell>
          <cell r="C89" t="str">
            <v>UNF_PENS_LIAB_OTH</v>
          </cell>
          <cell r="D89" t="str">
            <v>SEK</v>
          </cell>
          <cell r="F89">
            <v>6178</v>
          </cell>
          <cell r="G89">
            <v>6009</v>
          </cell>
          <cell r="H89">
            <v>6030</v>
          </cell>
          <cell r="I89">
            <v>6171</v>
          </cell>
          <cell r="J89">
            <v>7139</v>
          </cell>
          <cell r="K89">
            <v>6478</v>
          </cell>
          <cell r="L89">
            <v>6746</v>
          </cell>
          <cell r="M89">
            <v>7044</v>
          </cell>
          <cell r="N89">
            <v>6076</v>
          </cell>
          <cell r="O89">
            <v>7885</v>
          </cell>
          <cell r="P89">
            <v>4607</v>
          </cell>
          <cell r="Q89">
            <v>4779</v>
          </cell>
          <cell r="R89">
            <v>4540</v>
          </cell>
          <cell r="S89">
            <v>4538</v>
          </cell>
          <cell r="T89">
            <v>4998</v>
          </cell>
          <cell r="U89">
            <v>6993</v>
          </cell>
          <cell r="V89">
            <v>7047</v>
          </cell>
          <cell r="W89">
            <v>8599</v>
          </cell>
          <cell r="X89">
            <v>9829</v>
          </cell>
          <cell r="Y89">
            <v>9815</v>
          </cell>
          <cell r="Z89">
            <v>13942</v>
          </cell>
          <cell r="AA89">
            <v>13010</v>
          </cell>
          <cell r="AB89">
            <v>13892</v>
          </cell>
          <cell r="AC89">
            <v>12229</v>
          </cell>
          <cell r="AD89">
            <v>12833</v>
          </cell>
          <cell r="AE89">
            <v>15313</v>
          </cell>
          <cell r="AF89">
            <v>15136</v>
          </cell>
          <cell r="AG89">
            <v>11781</v>
          </cell>
          <cell r="AH89">
            <v>8748</v>
          </cell>
          <cell r="AI89">
            <v>7866</v>
          </cell>
          <cell r="AJ89">
            <v>6984</v>
          </cell>
          <cell r="AK89">
            <v>6102</v>
          </cell>
          <cell r="AL89">
            <v>5220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row>
        <row r="90">
          <cell r="B90" t="str">
            <v>Adjustment for unfunded pensions &amp; goodwill</v>
          </cell>
          <cell r="C90" t="str">
            <v>ADJ_UNF_PENS_GOOD</v>
          </cell>
          <cell r="D90" t="str">
            <v>SEK</v>
          </cell>
          <cell r="AO90">
            <v>0</v>
          </cell>
          <cell r="AP90">
            <v>0</v>
          </cell>
          <cell r="AQ90">
            <v>0</v>
          </cell>
        </row>
        <row r="91">
          <cell r="B91" t="str">
            <v>Other GCI adjustments</v>
          </cell>
          <cell r="C91" t="str">
            <v>OTH_GCI_ADJ</v>
          </cell>
          <cell r="D91" t="str">
            <v>SEK</v>
          </cell>
        </row>
        <row r="92">
          <cell r="B92" t="str">
            <v>GCI inflator</v>
          </cell>
          <cell r="C92" t="str">
            <v>GCI_INFL</v>
          </cell>
        </row>
        <row r="93">
          <cell r="B93" t="str">
            <v>Minority interest</v>
          </cell>
          <cell r="C93" t="str">
            <v>BAL_MINO_INT</v>
          </cell>
          <cell r="D93" t="str">
            <v>SEK</v>
          </cell>
          <cell r="F93">
            <v>144</v>
          </cell>
          <cell r="G93">
            <v>166</v>
          </cell>
          <cell r="H93">
            <v>288</v>
          </cell>
          <cell r="I93">
            <v>290</v>
          </cell>
          <cell r="J93">
            <v>367</v>
          </cell>
          <cell r="K93">
            <v>398</v>
          </cell>
          <cell r="L93">
            <v>467</v>
          </cell>
          <cell r="M93">
            <v>591</v>
          </cell>
          <cell r="N93">
            <v>570</v>
          </cell>
          <cell r="O93">
            <v>499</v>
          </cell>
          <cell r="P93">
            <v>504</v>
          </cell>
          <cell r="Q93">
            <v>604</v>
          </cell>
          <cell r="R93">
            <v>634</v>
          </cell>
          <cell r="S93">
            <v>768</v>
          </cell>
          <cell r="T93">
            <v>939</v>
          </cell>
          <cell r="U93">
            <v>869</v>
          </cell>
          <cell r="V93">
            <v>959</v>
          </cell>
          <cell r="W93">
            <v>1019</v>
          </cell>
          <cell r="X93">
            <v>1128</v>
          </cell>
          <cell r="Y93">
            <v>1052</v>
          </cell>
          <cell r="Z93">
            <v>1315</v>
          </cell>
          <cell r="AA93">
            <v>1467</v>
          </cell>
          <cell r="AB93">
            <v>1649</v>
          </cell>
          <cell r="AC93">
            <v>1787</v>
          </cell>
          <cell r="AD93">
            <v>1916</v>
          </cell>
          <cell r="AE93">
            <v>1854</v>
          </cell>
          <cell r="AF93">
            <v>1403</v>
          </cell>
          <cell r="AG93">
            <v>1720</v>
          </cell>
          <cell r="AH93">
            <v>2116</v>
          </cell>
          <cell r="AI93">
            <v>2436</v>
          </cell>
          <cell r="AJ93">
            <v>2766.6297361141401</v>
          </cell>
          <cell r="AK93">
            <v>3117.73620264076</v>
          </cell>
          <cell r="AL93">
            <v>3484.9446682827001</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row>
        <row r="94">
          <cell r="B94" t="str">
            <v>Right-of-use assets (op lease assets under US GAAP)</v>
          </cell>
          <cell r="C94" t="str">
            <v>ROU_ASSET</v>
          </cell>
          <cell r="D94" t="str">
            <v>SEK</v>
          </cell>
          <cell r="AE94">
            <v>2991</v>
          </cell>
          <cell r="AF94">
            <v>2517</v>
          </cell>
          <cell r="AG94">
            <v>2661</v>
          </cell>
          <cell r="AH94">
            <v>3084</v>
          </cell>
          <cell r="AI94">
            <v>3084</v>
          </cell>
          <cell r="AJ94">
            <v>3084</v>
          </cell>
          <cell r="AK94">
            <v>3084</v>
          </cell>
          <cell r="AL94">
            <v>3084</v>
          </cell>
        </row>
        <row r="95">
          <cell r="A95" t="str">
            <v>Cash Flow Statement</v>
          </cell>
        </row>
        <row r="96">
          <cell r="B96" t="str">
            <v>Minority interest add-back</v>
          </cell>
          <cell r="C96" t="str">
            <v>CF_INC_MINORITY</v>
          </cell>
          <cell r="D96" t="str">
            <v>SEK</v>
          </cell>
          <cell r="F96">
            <v>28</v>
          </cell>
          <cell r="G96">
            <v>30</v>
          </cell>
          <cell r="H96">
            <v>19</v>
          </cell>
          <cell r="I96">
            <v>-35</v>
          </cell>
          <cell r="J96">
            <v>-44</v>
          </cell>
          <cell r="K96">
            <v>8</v>
          </cell>
          <cell r="L96">
            <v>39</v>
          </cell>
          <cell r="M96">
            <v>44</v>
          </cell>
          <cell r="N96">
            <v>21</v>
          </cell>
          <cell r="O96">
            <v>56</v>
          </cell>
          <cell r="P96">
            <v>50</v>
          </cell>
          <cell r="Q96">
            <v>86</v>
          </cell>
          <cell r="R96">
            <v>115</v>
          </cell>
          <cell r="S96">
            <v>172</v>
          </cell>
          <cell r="T96">
            <v>125</v>
          </cell>
          <cell r="U96">
            <v>63</v>
          </cell>
          <cell r="V96">
            <v>158</v>
          </cell>
          <cell r="W96">
            <v>173</v>
          </cell>
          <cell r="X96">
            <v>154</v>
          </cell>
          <cell r="Y96">
            <v>132</v>
          </cell>
          <cell r="Z96">
            <v>150</v>
          </cell>
          <cell r="AA96">
            <v>194</v>
          </cell>
          <cell r="AB96">
            <v>224</v>
          </cell>
          <cell r="AC96">
            <v>285</v>
          </cell>
          <cell r="AD96">
            <v>300</v>
          </cell>
          <cell r="AE96">
            <v>235</v>
          </cell>
          <cell r="AF96">
            <v>176</v>
          </cell>
          <cell r="AG96">
            <v>248</v>
          </cell>
          <cell r="AH96">
            <v>386</v>
          </cell>
          <cell r="AI96">
            <v>320</v>
          </cell>
          <cell r="AJ96">
            <v>330.62973611414401</v>
          </cell>
          <cell r="AK96">
            <v>351.10646652661899</v>
          </cell>
          <cell r="AL96">
            <v>367.20846564193499</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row>
        <row r="97">
          <cell r="B97" t="str">
            <v>Depreciation &amp; amortization add-back</v>
          </cell>
          <cell r="C97" t="str">
            <v>DEPR_AMORT</v>
          </cell>
          <cell r="D97" t="str">
            <v>SEK</v>
          </cell>
          <cell r="F97">
            <v>1521</v>
          </cell>
          <cell r="G97">
            <v>1434</v>
          </cell>
          <cell r="H97">
            <v>1461</v>
          </cell>
          <cell r="I97">
            <v>1528</v>
          </cell>
          <cell r="J97">
            <v>2097</v>
          </cell>
          <cell r="K97">
            <v>1873</v>
          </cell>
          <cell r="L97">
            <v>1633</v>
          </cell>
          <cell r="M97">
            <v>1794</v>
          </cell>
          <cell r="N97">
            <v>1859</v>
          </cell>
          <cell r="O97">
            <v>1792</v>
          </cell>
          <cell r="P97">
            <v>1733</v>
          </cell>
          <cell r="Q97">
            <v>1752</v>
          </cell>
          <cell r="R97">
            <v>1834</v>
          </cell>
          <cell r="S97">
            <v>1776</v>
          </cell>
          <cell r="T97">
            <v>1949</v>
          </cell>
          <cell r="U97">
            <v>2171</v>
          </cell>
          <cell r="V97">
            <v>1992</v>
          </cell>
          <cell r="W97">
            <v>1790</v>
          </cell>
          <cell r="X97">
            <v>1831</v>
          </cell>
          <cell r="Y97">
            <v>1893</v>
          </cell>
          <cell r="Z97">
            <v>2392</v>
          </cell>
          <cell r="AA97">
            <v>2858</v>
          </cell>
          <cell r="AB97">
            <v>2368</v>
          </cell>
          <cell r="AC97">
            <v>2323</v>
          </cell>
          <cell r="AD97">
            <v>2472</v>
          </cell>
          <cell r="AE97">
            <v>3496</v>
          </cell>
          <cell r="AF97">
            <v>3401</v>
          </cell>
          <cell r="AG97">
            <v>3305</v>
          </cell>
          <cell r="AH97">
            <v>3784</v>
          </cell>
          <cell r="AI97">
            <v>4034</v>
          </cell>
          <cell r="AJ97">
            <v>4284</v>
          </cell>
          <cell r="AK97">
            <v>4534</v>
          </cell>
          <cell r="AL97">
            <v>4784</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row>
        <row r="98">
          <cell r="B98" t="str">
            <v>(Increase)/decrease in working capital</v>
          </cell>
          <cell r="C98" t="str">
            <v>WORK_CAP</v>
          </cell>
          <cell r="D98" t="str">
            <v>SEK</v>
          </cell>
          <cell r="F98">
            <v>-230</v>
          </cell>
          <cell r="G98">
            <v>-498</v>
          </cell>
          <cell r="H98">
            <v>-592</v>
          </cell>
          <cell r="I98">
            <v>-269</v>
          </cell>
          <cell r="J98">
            <v>1642</v>
          </cell>
          <cell r="K98">
            <v>-74</v>
          </cell>
          <cell r="L98">
            <v>-306</v>
          </cell>
          <cell r="M98">
            <v>1539</v>
          </cell>
          <cell r="N98">
            <v>-82</v>
          </cell>
          <cell r="O98">
            <v>-232</v>
          </cell>
          <cell r="P98">
            <v>-359</v>
          </cell>
          <cell r="Q98">
            <v>-526</v>
          </cell>
          <cell r="R98">
            <v>-571</v>
          </cell>
          <cell r="S98">
            <v>-1826</v>
          </cell>
          <cell r="T98">
            <v>-2208</v>
          </cell>
          <cell r="U98">
            <v>3076</v>
          </cell>
          <cell r="V98">
            <v>-1216</v>
          </cell>
          <cell r="W98">
            <v>-2395</v>
          </cell>
          <cell r="X98">
            <v>657</v>
          </cell>
          <cell r="Y98">
            <v>-1068</v>
          </cell>
          <cell r="Z98">
            <v>-2016</v>
          </cell>
          <cell r="AA98">
            <v>1360</v>
          </cell>
          <cell r="AB98">
            <v>-25</v>
          </cell>
          <cell r="AC98">
            <v>-900</v>
          </cell>
          <cell r="AD98">
            <v>-464</v>
          </cell>
          <cell r="AE98">
            <v>-383</v>
          </cell>
          <cell r="AF98">
            <v>1230</v>
          </cell>
          <cell r="AG98">
            <v>-3947</v>
          </cell>
          <cell r="AH98">
            <v>-3906</v>
          </cell>
          <cell r="AI98">
            <v>-1210.8207910251199</v>
          </cell>
          <cell r="AJ98">
            <v>418.14489411735502</v>
          </cell>
          <cell r="AK98">
            <v>-92.698424346318006</v>
          </cell>
          <cell r="AL98">
            <v>-9.3132410301600004</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row>
        <row r="99">
          <cell r="B99" t="str">
            <v>Other operating cash flow items</v>
          </cell>
          <cell r="C99" t="str">
            <v>OTH_OP_CF</v>
          </cell>
          <cell r="D99" t="str">
            <v>SEK</v>
          </cell>
          <cell r="F99">
            <v>347</v>
          </cell>
          <cell r="G99">
            <v>367</v>
          </cell>
          <cell r="H99">
            <v>-836</v>
          </cell>
          <cell r="I99">
            <v>-693</v>
          </cell>
          <cell r="J99">
            <v>-3218</v>
          </cell>
          <cell r="K99">
            <v>112</v>
          </cell>
          <cell r="L99">
            <v>732</v>
          </cell>
          <cell r="M99">
            <v>65</v>
          </cell>
          <cell r="N99">
            <v>-431</v>
          </cell>
          <cell r="O99">
            <v>-721</v>
          </cell>
          <cell r="P99">
            <v>-3367</v>
          </cell>
          <cell r="Q99">
            <v>-626</v>
          </cell>
          <cell r="R99">
            <v>-330</v>
          </cell>
          <cell r="S99">
            <v>-51</v>
          </cell>
          <cell r="T99">
            <v>-1135</v>
          </cell>
          <cell r="U99">
            <v>-226</v>
          </cell>
          <cell r="V99">
            <v>-521</v>
          </cell>
          <cell r="W99">
            <v>-33</v>
          </cell>
          <cell r="X99">
            <v>-1144</v>
          </cell>
          <cell r="Y99">
            <v>3446</v>
          </cell>
          <cell r="Z99">
            <v>-598</v>
          </cell>
          <cell r="AA99">
            <v>-561</v>
          </cell>
          <cell r="AB99">
            <v>598</v>
          </cell>
          <cell r="AC99">
            <v>-754</v>
          </cell>
          <cell r="AD99">
            <v>-1248</v>
          </cell>
          <cell r="AE99">
            <v>505</v>
          </cell>
          <cell r="AF99">
            <v>-840</v>
          </cell>
          <cell r="AG99">
            <v>-1689</v>
          </cell>
          <cell r="AH99">
            <v>908</v>
          </cell>
          <cell r="AI99">
            <v>-882</v>
          </cell>
          <cell r="AJ99">
            <v>-882</v>
          </cell>
          <cell r="AK99">
            <v>-881.99999999999795</v>
          </cell>
          <cell r="AL99">
            <v>-881.99999999999795</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row>
        <row r="100">
          <cell r="B100" t="str">
            <v>Cash flow from operating activities</v>
          </cell>
          <cell r="C100" t="str">
            <v>CF_OPS</v>
          </cell>
          <cell r="D100" t="str">
            <v>SEK</v>
          </cell>
          <cell r="F100">
            <v>2945</v>
          </cell>
          <cell r="G100">
            <v>3391</v>
          </cell>
          <cell r="H100">
            <v>1744</v>
          </cell>
          <cell r="I100">
            <v>2144</v>
          </cell>
          <cell r="J100">
            <v>1594</v>
          </cell>
          <cell r="K100">
            <v>2642</v>
          </cell>
          <cell r="L100">
            <v>3953</v>
          </cell>
          <cell r="M100">
            <v>5597</v>
          </cell>
          <cell r="N100">
            <v>3801</v>
          </cell>
          <cell r="O100">
            <v>3402</v>
          </cell>
          <cell r="P100">
            <v>1086</v>
          </cell>
          <cell r="Q100">
            <v>4373</v>
          </cell>
          <cell r="R100">
            <v>5027</v>
          </cell>
          <cell r="S100">
            <v>4926</v>
          </cell>
          <cell r="T100">
            <v>3687</v>
          </cell>
          <cell r="U100">
            <v>8001</v>
          </cell>
          <cell r="V100">
            <v>5551</v>
          </cell>
          <cell r="W100">
            <v>5586</v>
          </cell>
          <cell r="X100">
            <v>6203</v>
          </cell>
          <cell r="Y100">
            <v>5315</v>
          </cell>
          <cell r="Z100">
            <v>4528</v>
          </cell>
          <cell r="AA100">
            <v>7731</v>
          </cell>
          <cell r="AB100">
            <v>7150</v>
          </cell>
          <cell r="AC100">
            <v>6429</v>
          </cell>
          <cell r="AD100">
            <v>8345</v>
          </cell>
          <cell r="AE100">
            <v>9410</v>
          </cell>
          <cell r="AF100">
            <v>8265</v>
          </cell>
          <cell r="AG100">
            <v>5248</v>
          </cell>
          <cell r="AH100">
            <v>5641</v>
          </cell>
          <cell r="AI100">
            <v>9971.0171462682993</v>
          </cell>
          <cell r="AJ100">
            <v>12116.717388638201</v>
          </cell>
          <cell r="AK100">
            <v>12369.7016536052</v>
          </cell>
          <cell r="AL100">
            <v>13107.138222428999</v>
          </cell>
        </row>
        <row r="101">
          <cell r="B101" t="str">
            <v>Capital expenditures, Capex</v>
          </cell>
          <cell r="C101" t="str">
            <v>CAPEX</v>
          </cell>
          <cell r="D101" t="str">
            <v>SEK</v>
          </cell>
          <cell r="F101">
            <v>-1356</v>
          </cell>
          <cell r="G101">
            <v>-2361</v>
          </cell>
          <cell r="H101">
            <v>-2710</v>
          </cell>
          <cell r="I101">
            <v>-2664</v>
          </cell>
          <cell r="J101">
            <v>-2148</v>
          </cell>
          <cell r="K101">
            <v>-1230</v>
          </cell>
          <cell r="L101">
            <v>-1551</v>
          </cell>
          <cell r="M101">
            <v>-1717</v>
          </cell>
          <cell r="N101">
            <v>-2001</v>
          </cell>
          <cell r="O101">
            <v>-1468</v>
          </cell>
          <cell r="P101">
            <v>-1512</v>
          </cell>
          <cell r="Q101">
            <v>-1794</v>
          </cell>
          <cell r="R101">
            <v>-2011</v>
          </cell>
          <cell r="S101">
            <v>-1957</v>
          </cell>
          <cell r="T101">
            <v>-2571</v>
          </cell>
          <cell r="U101">
            <v>-2271</v>
          </cell>
          <cell r="V101">
            <v>-1697</v>
          </cell>
          <cell r="W101">
            <v>-1928</v>
          </cell>
          <cell r="X101">
            <v>-2096</v>
          </cell>
          <cell r="Y101">
            <v>-2280</v>
          </cell>
          <cell r="Z101">
            <v>-2644</v>
          </cell>
          <cell r="AA101">
            <v>-2310</v>
          </cell>
          <cell r="AB101">
            <v>-2209</v>
          </cell>
          <cell r="AC101">
            <v>-2408</v>
          </cell>
          <cell r="AD101">
            <v>-2834</v>
          </cell>
          <cell r="AE101">
            <v>-3701</v>
          </cell>
          <cell r="AF101">
            <v>-3371</v>
          </cell>
          <cell r="AG101">
            <v>-3933</v>
          </cell>
          <cell r="AH101">
            <v>-5389</v>
          </cell>
          <cell r="AI101">
            <v>-5437.6963941018403</v>
          </cell>
          <cell r="AJ101">
            <v>-5465.5932551925098</v>
          </cell>
          <cell r="AK101">
            <v>-5409.0372551925102</v>
          </cell>
          <cell r="AL101">
            <v>-5401.3256551925097</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row>
        <row r="102">
          <cell r="B102" t="str">
            <v>Acquisitions</v>
          </cell>
          <cell r="C102" t="str">
            <v>ACQ</v>
          </cell>
          <cell r="D102" t="str">
            <v>SEK</v>
          </cell>
          <cell r="F102">
            <v>0</v>
          </cell>
          <cell r="G102">
            <v>0</v>
          </cell>
          <cell r="H102">
            <v>-151</v>
          </cell>
          <cell r="I102">
            <v>-290</v>
          </cell>
          <cell r="J102">
            <v>-357</v>
          </cell>
          <cell r="K102">
            <v>-73</v>
          </cell>
          <cell r="L102">
            <v>0</v>
          </cell>
          <cell r="M102">
            <v>0</v>
          </cell>
          <cell r="N102">
            <v>0</v>
          </cell>
          <cell r="O102">
            <v>0</v>
          </cell>
          <cell r="P102">
            <v>-644</v>
          </cell>
          <cell r="Q102">
            <v>-419</v>
          </cell>
          <cell r="R102">
            <v>-2129</v>
          </cell>
          <cell r="S102">
            <v>-1209</v>
          </cell>
          <cell r="T102">
            <v>-1284</v>
          </cell>
          <cell r="U102">
            <v>0</v>
          </cell>
          <cell r="V102">
            <v>-6799</v>
          </cell>
          <cell r="W102">
            <v>-6</v>
          </cell>
          <cell r="X102">
            <v>-848</v>
          </cell>
          <cell r="Y102">
            <v>-8723</v>
          </cell>
          <cell r="Z102">
            <v>-69</v>
          </cell>
          <cell r="AA102">
            <v>-102</v>
          </cell>
          <cell r="AB102">
            <v>-60</v>
          </cell>
          <cell r="AC102">
            <v>-27</v>
          </cell>
          <cell r="AD102">
            <v>0</v>
          </cell>
          <cell r="AE102">
            <v>-696</v>
          </cell>
          <cell r="AF102">
            <v>-4</v>
          </cell>
          <cell r="AH102">
            <v>0</v>
          </cell>
          <cell r="AI102">
            <v>736.08496875000003</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row>
        <row r="103">
          <cell r="B103" t="str">
            <v>Divestitures</v>
          </cell>
          <cell r="C103" t="str">
            <v>DIVEST</v>
          </cell>
          <cell r="D103" t="str">
            <v>SEK</v>
          </cell>
          <cell r="F103">
            <v>200</v>
          </cell>
          <cell r="G103">
            <v>554</v>
          </cell>
          <cell r="H103">
            <v>682</v>
          </cell>
          <cell r="I103">
            <v>1289</v>
          </cell>
          <cell r="J103">
            <v>240</v>
          </cell>
          <cell r="K103">
            <v>554</v>
          </cell>
          <cell r="L103">
            <v>551</v>
          </cell>
          <cell r="M103">
            <v>245</v>
          </cell>
          <cell r="N103">
            <v>328</v>
          </cell>
          <cell r="O103">
            <v>523</v>
          </cell>
          <cell r="P103">
            <v>153</v>
          </cell>
          <cell r="Q103">
            <v>150</v>
          </cell>
          <cell r="R103">
            <v>1269</v>
          </cell>
          <cell r="S103">
            <v>319</v>
          </cell>
          <cell r="T103">
            <v>183</v>
          </cell>
          <cell r="U103">
            <v>22</v>
          </cell>
          <cell r="V103">
            <v>107</v>
          </cell>
          <cell r="W103">
            <v>200</v>
          </cell>
          <cell r="X103">
            <v>266</v>
          </cell>
          <cell r="Y103">
            <v>347</v>
          </cell>
          <cell r="Z103">
            <v>61</v>
          </cell>
          <cell r="AA103">
            <v>1293</v>
          </cell>
          <cell r="AB103">
            <v>3221</v>
          </cell>
          <cell r="AC103">
            <v>1028</v>
          </cell>
          <cell r="AD103">
            <v>2815</v>
          </cell>
          <cell r="AE103">
            <v>-39</v>
          </cell>
          <cell r="AF103">
            <v>374</v>
          </cell>
          <cell r="AG103">
            <v>785</v>
          </cell>
          <cell r="AH103">
            <v>43</v>
          </cell>
          <cell r="AI103">
            <v>68</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row>
        <row r="104">
          <cell r="B104" t="str">
            <v>Other investing cash flow items</v>
          </cell>
          <cell r="C104" t="str">
            <v>OTH_INV_CF</v>
          </cell>
          <cell r="D104" t="str">
            <v>SEK</v>
          </cell>
          <cell r="F104">
            <v>0</v>
          </cell>
          <cell r="G104">
            <v>0</v>
          </cell>
          <cell r="H104">
            <v>0</v>
          </cell>
          <cell r="I104">
            <v>0</v>
          </cell>
          <cell r="J104">
            <v>0</v>
          </cell>
          <cell r="K104">
            <v>-9</v>
          </cell>
          <cell r="L104">
            <v>-118</v>
          </cell>
          <cell r="M104">
            <v>-204</v>
          </cell>
          <cell r="N104">
            <v>-190</v>
          </cell>
          <cell r="O104">
            <v>-47</v>
          </cell>
          <cell r="P104">
            <v>2817</v>
          </cell>
          <cell r="Q104">
            <v>-1881</v>
          </cell>
          <cell r="R104">
            <v>847</v>
          </cell>
          <cell r="S104">
            <v>936</v>
          </cell>
          <cell r="T104">
            <v>535</v>
          </cell>
          <cell r="U104">
            <v>-370</v>
          </cell>
          <cell r="V104">
            <v>208</v>
          </cell>
          <cell r="W104">
            <v>-4</v>
          </cell>
          <cell r="X104">
            <v>30</v>
          </cell>
          <cell r="Y104">
            <v>-1</v>
          </cell>
          <cell r="Z104">
            <v>-8</v>
          </cell>
          <cell r="AA104">
            <v>-196</v>
          </cell>
          <cell r="AB104">
            <v>-383</v>
          </cell>
          <cell r="AC104">
            <v>-267</v>
          </cell>
          <cell r="AD104">
            <v>0</v>
          </cell>
          <cell r="AE104">
            <v>-21</v>
          </cell>
          <cell r="AF104">
            <v>-5</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row>
        <row r="105">
          <cell r="B105" t="str">
            <v>Cash flow from investing</v>
          </cell>
          <cell r="C105" t="str">
            <v>CF_INV</v>
          </cell>
          <cell r="D105" t="str">
            <v>SEK</v>
          </cell>
          <cell r="F105">
            <v>-1156</v>
          </cell>
          <cell r="G105">
            <v>-1807</v>
          </cell>
          <cell r="H105">
            <v>-2179</v>
          </cell>
          <cell r="I105">
            <v>-1665</v>
          </cell>
          <cell r="J105">
            <v>-2265</v>
          </cell>
          <cell r="K105">
            <v>-758</v>
          </cell>
          <cell r="L105">
            <v>-1118</v>
          </cell>
          <cell r="M105">
            <v>-1676</v>
          </cell>
          <cell r="N105">
            <v>-1863</v>
          </cell>
          <cell r="O105">
            <v>-992</v>
          </cell>
          <cell r="P105">
            <v>814</v>
          </cell>
          <cell r="Q105">
            <v>-3944</v>
          </cell>
          <cell r="R105">
            <v>-2024</v>
          </cell>
          <cell r="S105">
            <v>-1911</v>
          </cell>
          <cell r="T105">
            <v>-3137</v>
          </cell>
          <cell r="U105">
            <v>-2619</v>
          </cell>
          <cell r="V105">
            <v>-8181</v>
          </cell>
          <cell r="W105">
            <v>-1738</v>
          </cell>
          <cell r="X105">
            <v>-2648</v>
          </cell>
          <cell r="Y105">
            <v>-10657</v>
          </cell>
          <cell r="Z105">
            <v>-2660</v>
          </cell>
          <cell r="AA105">
            <v>-1315</v>
          </cell>
          <cell r="AB105">
            <v>569</v>
          </cell>
          <cell r="AC105">
            <v>-1674</v>
          </cell>
          <cell r="AD105">
            <v>-19</v>
          </cell>
          <cell r="AE105">
            <v>-4457</v>
          </cell>
          <cell r="AF105">
            <v>-3006</v>
          </cell>
          <cell r="AG105">
            <v>-3148</v>
          </cell>
          <cell r="AH105">
            <v>-5346</v>
          </cell>
          <cell r="AI105">
            <v>-4633.6114253518399</v>
          </cell>
          <cell r="AJ105">
            <v>-5465.5932551925098</v>
          </cell>
          <cell r="AK105">
            <v>-5409.0372551925102</v>
          </cell>
          <cell r="AL105">
            <v>-5401.3256551925097</v>
          </cell>
        </row>
        <row r="106">
          <cell r="B106" t="str">
            <v>Dividends paid</v>
          </cell>
          <cell r="C106" t="str">
            <v>DIV_PAID</v>
          </cell>
          <cell r="D106" t="str">
            <v>SEK</v>
          </cell>
          <cell r="F106">
            <v>0</v>
          </cell>
          <cell r="G106">
            <v>-480</v>
          </cell>
          <cell r="H106">
            <v>-593</v>
          </cell>
          <cell r="I106">
            <v>-593</v>
          </cell>
          <cell r="J106">
            <v>-598</v>
          </cell>
          <cell r="K106">
            <v>-228</v>
          </cell>
          <cell r="L106">
            <v>-455</v>
          </cell>
          <cell r="M106">
            <v>-598</v>
          </cell>
          <cell r="N106">
            <v>-683</v>
          </cell>
          <cell r="O106">
            <v>-911</v>
          </cell>
          <cell r="P106">
            <v>-1177</v>
          </cell>
          <cell r="Q106">
            <v>-1399</v>
          </cell>
          <cell r="R106">
            <v>-1868</v>
          </cell>
          <cell r="S106">
            <v>-2103</v>
          </cell>
          <cell r="T106">
            <v>-2338</v>
          </cell>
          <cell r="U106">
            <v>-1629</v>
          </cell>
          <cell r="V106">
            <v>-1622</v>
          </cell>
          <cell r="W106">
            <v>-2307</v>
          </cell>
          <cell r="X106">
            <v>-2551</v>
          </cell>
          <cell r="Y106">
            <v>-2535</v>
          </cell>
          <cell r="Z106">
            <v>-2578</v>
          </cell>
          <cell r="AA106">
            <v>-2605</v>
          </cell>
          <cell r="AB106">
            <v>-2635</v>
          </cell>
          <cell r="AC106">
            <v>-2618</v>
          </cell>
          <cell r="AD106">
            <v>-2621</v>
          </cell>
          <cell r="AE106">
            <v>-2790</v>
          </cell>
          <cell r="AF106">
            <v>-1778</v>
          </cell>
          <cell r="AG106">
            <v>-3012</v>
          </cell>
          <cell r="AH106">
            <v>-3249</v>
          </cell>
          <cell r="AI106">
            <v>-3194</v>
          </cell>
          <cell r="AJ106">
            <v>-4457</v>
          </cell>
          <cell r="AK106">
            <v>-4122</v>
          </cell>
          <cell r="AL106">
            <v>-4245</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row>
        <row r="107">
          <cell r="B107" t="str">
            <v>Common stock issuance/(repurchase)</v>
          </cell>
          <cell r="C107" t="str">
            <v>SH_REPUR</v>
          </cell>
          <cell r="D107" t="str">
            <v>SEK</v>
          </cell>
          <cell r="F107">
            <v>0</v>
          </cell>
          <cell r="G107">
            <v>0</v>
          </cell>
          <cell r="H107">
            <v>0</v>
          </cell>
          <cell r="I107">
            <v>189</v>
          </cell>
          <cell r="J107">
            <v>0</v>
          </cell>
          <cell r="K107">
            <v>0</v>
          </cell>
          <cell r="L107">
            <v>0</v>
          </cell>
          <cell r="M107">
            <v>0</v>
          </cell>
          <cell r="N107">
            <v>0</v>
          </cell>
          <cell r="O107">
            <v>0</v>
          </cell>
          <cell r="P107">
            <v>0</v>
          </cell>
          <cell r="Q107">
            <v>-2846</v>
          </cell>
          <cell r="R107">
            <v>0</v>
          </cell>
          <cell r="S107">
            <v>-4554</v>
          </cell>
          <cell r="T107">
            <v>-2277</v>
          </cell>
          <cell r="U107">
            <v>0</v>
          </cell>
          <cell r="V107">
            <v>0</v>
          </cell>
          <cell r="W107">
            <v>0</v>
          </cell>
          <cell r="X107">
            <v>-208</v>
          </cell>
          <cell r="Y107">
            <v>55</v>
          </cell>
          <cell r="Z107">
            <v>0</v>
          </cell>
          <cell r="AA107">
            <v>0</v>
          </cell>
          <cell r="AE107">
            <v>-242</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row>
        <row r="108">
          <cell r="B108" t="str">
            <v>Increase/(decrease) in total debt</v>
          </cell>
          <cell r="C108" t="str">
            <v>CHG_LT_DEBT</v>
          </cell>
          <cell r="D108" t="str">
            <v>SEK</v>
          </cell>
          <cell r="F108">
            <v>-2271</v>
          </cell>
          <cell r="G108">
            <v>-658</v>
          </cell>
          <cell r="H108">
            <v>157</v>
          </cell>
          <cell r="I108">
            <v>1666</v>
          </cell>
          <cell r="J108">
            <v>-402</v>
          </cell>
          <cell r="K108">
            <v>-1994</v>
          </cell>
          <cell r="L108">
            <v>-986</v>
          </cell>
          <cell r="M108">
            <v>-1563</v>
          </cell>
          <cell r="N108">
            <v>-802</v>
          </cell>
          <cell r="O108">
            <v>-492</v>
          </cell>
          <cell r="P108">
            <v>-532</v>
          </cell>
          <cell r="Q108">
            <v>2935</v>
          </cell>
          <cell r="R108">
            <v>3881</v>
          </cell>
          <cell r="S108">
            <v>-664</v>
          </cell>
          <cell r="T108">
            <v>3686</v>
          </cell>
          <cell r="U108">
            <v>-2048</v>
          </cell>
          <cell r="V108">
            <v>2281</v>
          </cell>
          <cell r="W108">
            <v>873</v>
          </cell>
          <cell r="X108">
            <v>2691</v>
          </cell>
          <cell r="Y108">
            <v>4983</v>
          </cell>
          <cell r="Z108">
            <v>860</v>
          </cell>
          <cell r="AA108">
            <v>-942</v>
          </cell>
          <cell r="AB108">
            <v>-1974</v>
          </cell>
          <cell r="AC108">
            <v>-3921</v>
          </cell>
          <cell r="AD108">
            <v>-2583</v>
          </cell>
          <cell r="AE108">
            <v>-1546</v>
          </cell>
          <cell r="AF108">
            <v>848</v>
          </cell>
          <cell r="AG108">
            <v>1022</v>
          </cell>
          <cell r="AH108">
            <v>1044</v>
          </cell>
          <cell r="AI108">
            <v>-39</v>
          </cell>
          <cell r="AJ108">
            <v>-3000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row>
        <row r="109">
          <cell r="B109" t="str">
            <v>Lease principal payments  (applicable to IFRS cos.)</v>
          </cell>
          <cell r="C109" t="str">
            <v>LEASE_PRINCIPAL_CASH</v>
          </cell>
          <cell r="D109" t="str">
            <v>SEK</v>
          </cell>
          <cell r="AE109">
            <v>-834</v>
          </cell>
          <cell r="AF109">
            <v>-799</v>
          </cell>
          <cell r="AG109">
            <v>-738</v>
          </cell>
          <cell r="AH109">
            <v>-809</v>
          </cell>
          <cell r="AI109">
            <v>-790</v>
          </cell>
          <cell r="AJ109">
            <v>-790</v>
          </cell>
          <cell r="AK109">
            <v>-790</v>
          </cell>
          <cell r="AL109">
            <v>-790</v>
          </cell>
        </row>
        <row r="110">
          <cell r="B110" t="str">
            <v>Other financing cash flow items</v>
          </cell>
          <cell r="C110" t="str">
            <v>OTH_FIN_CF</v>
          </cell>
          <cell r="D110" t="str">
            <v>SEK</v>
          </cell>
          <cell r="F110">
            <v>0</v>
          </cell>
          <cell r="G110">
            <v>95</v>
          </cell>
          <cell r="H110">
            <v>65</v>
          </cell>
          <cell r="I110">
            <v>99</v>
          </cell>
          <cell r="J110">
            <v>93</v>
          </cell>
          <cell r="K110">
            <v>-39</v>
          </cell>
          <cell r="L110">
            <v>111</v>
          </cell>
          <cell r="M110">
            <v>146</v>
          </cell>
          <cell r="N110">
            <v>-310</v>
          </cell>
          <cell r="O110">
            <v>-195</v>
          </cell>
          <cell r="P110">
            <v>-2968</v>
          </cell>
          <cell r="Q110">
            <v>2202</v>
          </cell>
          <cell r="R110">
            <v>-847</v>
          </cell>
          <cell r="S110">
            <v>-1803</v>
          </cell>
          <cell r="T110">
            <v>226</v>
          </cell>
          <cell r="U110">
            <v>-68</v>
          </cell>
          <cell r="V110">
            <v>-64</v>
          </cell>
          <cell r="W110">
            <v>16</v>
          </cell>
          <cell r="X110">
            <v>-68</v>
          </cell>
          <cell r="Y110">
            <v>-36</v>
          </cell>
          <cell r="Z110">
            <v>401</v>
          </cell>
          <cell r="AA110">
            <v>-1571</v>
          </cell>
          <cell r="AB110">
            <v>-389</v>
          </cell>
          <cell r="AC110">
            <v>-1043</v>
          </cell>
          <cell r="AD110">
            <v>156</v>
          </cell>
          <cell r="AE110">
            <v>-3585</v>
          </cell>
          <cell r="AF110">
            <v>4420</v>
          </cell>
          <cell r="AG110">
            <v>-785</v>
          </cell>
          <cell r="AH110">
            <v>-386</v>
          </cell>
          <cell r="AI110">
            <v>-126</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row>
        <row r="111">
          <cell r="B111" t="str">
            <v>Cash flow from financing</v>
          </cell>
          <cell r="C111" t="str">
            <v>CF_FIN</v>
          </cell>
          <cell r="D111" t="str">
            <v>SEK</v>
          </cell>
          <cell r="F111">
            <v>-2271</v>
          </cell>
          <cell r="G111">
            <v>-1043</v>
          </cell>
          <cell r="H111">
            <v>-371</v>
          </cell>
          <cell r="I111">
            <v>1361</v>
          </cell>
          <cell r="J111">
            <v>-907</v>
          </cell>
          <cell r="K111">
            <v>-2261</v>
          </cell>
          <cell r="L111">
            <v>-1330</v>
          </cell>
          <cell r="M111">
            <v>-2015</v>
          </cell>
          <cell r="N111">
            <v>-1795</v>
          </cell>
          <cell r="O111">
            <v>-1598</v>
          </cell>
          <cell r="P111">
            <v>-4677</v>
          </cell>
          <cell r="Q111">
            <v>892</v>
          </cell>
          <cell r="R111">
            <v>1166</v>
          </cell>
          <cell r="S111">
            <v>-9124</v>
          </cell>
          <cell r="T111">
            <v>-703</v>
          </cell>
          <cell r="U111">
            <v>-3745</v>
          </cell>
          <cell r="V111">
            <v>595</v>
          </cell>
          <cell r="W111">
            <v>-1418</v>
          </cell>
          <cell r="X111">
            <v>-136</v>
          </cell>
          <cell r="Y111">
            <v>2467</v>
          </cell>
          <cell r="Z111">
            <v>-1317</v>
          </cell>
          <cell r="AA111">
            <v>-5118</v>
          </cell>
          <cell r="AB111">
            <v>-4998</v>
          </cell>
          <cell r="AC111">
            <v>-7582</v>
          </cell>
          <cell r="AD111">
            <v>-5048</v>
          </cell>
          <cell r="AE111">
            <v>-8997</v>
          </cell>
          <cell r="AF111">
            <v>2691</v>
          </cell>
          <cell r="AG111">
            <v>-3513</v>
          </cell>
          <cell r="AH111">
            <v>-3400</v>
          </cell>
          <cell r="AI111">
            <v>-4149</v>
          </cell>
          <cell r="AJ111">
            <v>-8247</v>
          </cell>
          <cell r="AK111">
            <v>-4912</v>
          </cell>
          <cell r="AL111">
            <v>-5035</v>
          </cell>
        </row>
        <row r="112">
          <cell r="B112" t="str">
            <v>Other items net cash flow</v>
          </cell>
          <cell r="C112" t="str">
            <v>OTH_ITEM_NCF</v>
          </cell>
          <cell r="D112" t="str">
            <v>SEK</v>
          </cell>
          <cell r="AE112">
            <v>84</v>
          </cell>
          <cell r="AF112">
            <v>-330</v>
          </cell>
          <cell r="AG112">
            <v>582</v>
          </cell>
          <cell r="AH112">
            <v>141.5</v>
          </cell>
          <cell r="AI112">
            <v>442.46009254504497</v>
          </cell>
          <cell r="AJ112">
            <v>0</v>
          </cell>
          <cell r="AK112">
            <v>0</v>
          </cell>
          <cell r="AL112">
            <v>0</v>
          </cell>
        </row>
        <row r="113">
          <cell r="B113" t="str">
            <v>Total cash flow</v>
          </cell>
          <cell r="C113" t="str">
            <v>TOT_CF</v>
          </cell>
          <cell r="D113" t="str">
            <v>SEK</v>
          </cell>
          <cell r="F113">
            <v>-482</v>
          </cell>
          <cell r="G113">
            <v>541</v>
          </cell>
          <cell r="H113">
            <v>-806</v>
          </cell>
          <cell r="I113">
            <v>1840</v>
          </cell>
          <cell r="J113">
            <v>-1578</v>
          </cell>
          <cell r="K113">
            <v>-377</v>
          </cell>
          <cell r="L113">
            <v>1505</v>
          </cell>
          <cell r="M113">
            <v>1906</v>
          </cell>
          <cell r="N113">
            <v>143</v>
          </cell>
          <cell r="O113">
            <v>812</v>
          </cell>
          <cell r="P113">
            <v>-2777</v>
          </cell>
          <cell r="Q113">
            <v>1321</v>
          </cell>
          <cell r="R113">
            <v>4169</v>
          </cell>
          <cell r="S113">
            <v>-6109</v>
          </cell>
          <cell r="T113">
            <v>-153</v>
          </cell>
          <cell r="U113">
            <v>1637</v>
          </cell>
          <cell r="V113">
            <v>-2035</v>
          </cell>
          <cell r="W113">
            <v>2430</v>
          </cell>
          <cell r="X113">
            <v>3419</v>
          </cell>
          <cell r="Y113">
            <v>-2875</v>
          </cell>
          <cell r="Z113">
            <v>551</v>
          </cell>
          <cell r="AA113">
            <v>1298</v>
          </cell>
          <cell r="AB113">
            <v>2721</v>
          </cell>
          <cell r="AC113">
            <v>-2827</v>
          </cell>
          <cell r="AD113">
            <v>3278</v>
          </cell>
          <cell r="AE113">
            <v>-3960</v>
          </cell>
          <cell r="AF113">
            <v>7620</v>
          </cell>
          <cell r="AG113">
            <v>-831</v>
          </cell>
          <cell r="AH113">
            <v>-2964</v>
          </cell>
          <cell r="AI113">
            <v>1630.86581346151</v>
          </cell>
          <cell r="AJ113">
            <v>-1595.8758665543401</v>
          </cell>
          <cell r="AK113">
            <v>2048.6643984126799</v>
          </cell>
          <cell r="AL113">
            <v>2670.8125672364399</v>
          </cell>
        </row>
        <row r="114">
          <cell r="A114" t="str">
            <v>Additional Cash Flow Items</v>
          </cell>
        </row>
        <row r="115">
          <cell r="B115" t="str">
            <v>Associate and JV add-back</v>
          </cell>
          <cell r="C115" t="str">
            <v>ASSOC_JV_ADDBK</v>
          </cell>
          <cell r="D115" t="str">
            <v>SEK</v>
          </cell>
        </row>
        <row r="116">
          <cell r="B116" t="str">
            <v>Cash interest income/(expense)</v>
          </cell>
          <cell r="C116" t="str">
            <v>CASH_INT_INC_EXP</v>
          </cell>
          <cell r="D116" t="str">
            <v>SEK</v>
          </cell>
        </row>
        <row r="117">
          <cell r="B117" t="str">
            <v>Cash taxes paid</v>
          </cell>
          <cell r="C117" t="str">
            <v>CASH_TAX_PD</v>
          </cell>
          <cell r="D117" t="str">
            <v>SEK</v>
          </cell>
          <cell r="F117">
            <v>-393</v>
          </cell>
          <cell r="G117">
            <v>-893</v>
          </cell>
          <cell r="H117">
            <v>-663</v>
          </cell>
          <cell r="I117">
            <v>-554</v>
          </cell>
          <cell r="J117">
            <v>-387</v>
          </cell>
          <cell r="K117">
            <v>-355</v>
          </cell>
          <cell r="L117">
            <v>-166</v>
          </cell>
          <cell r="M117">
            <v>-636</v>
          </cell>
          <cell r="N117">
            <v>-867</v>
          </cell>
          <cell r="O117">
            <v>-930</v>
          </cell>
          <cell r="P117">
            <v>-858</v>
          </cell>
          <cell r="Q117">
            <v>-1618</v>
          </cell>
          <cell r="R117">
            <v>-1947</v>
          </cell>
          <cell r="S117">
            <v>-2361</v>
          </cell>
          <cell r="T117">
            <v>-2783</v>
          </cell>
          <cell r="U117">
            <v>-1068</v>
          </cell>
          <cell r="V117">
            <v>-1722</v>
          </cell>
          <cell r="W117">
            <v>-2858</v>
          </cell>
          <cell r="X117">
            <v>-2839</v>
          </cell>
          <cell r="Y117">
            <v>-2351</v>
          </cell>
          <cell r="Z117">
            <v>-2090</v>
          </cell>
          <cell r="AA117">
            <v>-2320</v>
          </cell>
          <cell r="AB117">
            <v>-1897</v>
          </cell>
          <cell r="AC117">
            <v>-2353</v>
          </cell>
          <cell r="AD117">
            <v>-2711</v>
          </cell>
          <cell r="AE117">
            <v>-2114</v>
          </cell>
          <cell r="AF117">
            <v>-2240</v>
          </cell>
          <cell r="AG117">
            <v>-2250</v>
          </cell>
          <cell r="AH117">
            <v>-2572</v>
          </cell>
          <cell r="AI117">
            <v>-3123</v>
          </cell>
          <cell r="AJ117">
            <v>-3227</v>
          </cell>
          <cell r="AK117">
            <v>-3426</v>
          </cell>
          <cell r="AL117">
            <v>-3584</v>
          </cell>
        </row>
        <row r="118">
          <cell r="B118" t="str">
            <v>Profit/(loss) on sale of assets</v>
          </cell>
          <cell r="C118" t="str">
            <v>PL_SALE_ASSETS</v>
          </cell>
          <cell r="D118" t="str">
            <v>SEK</v>
          </cell>
        </row>
        <row r="119">
          <cell r="B119" t="str">
            <v>Other non-cash adjustments</v>
          </cell>
          <cell r="C119" t="str">
            <v>OTH_NONCASH_ADJ</v>
          </cell>
          <cell r="D119" t="str">
            <v>SEK</v>
          </cell>
        </row>
        <row r="120">
          <cell r="B120" t="str">
            <v>Other DACF adjustments</v>
          </cell>
          <cell r="C120" t="str">
            <v>OTH_DACF_ADJ</v>
          </cell>
          <cell r="D120" t="str">
            <v>SEK</v>
          </cell>
        </row>
        <row r="121">
          <cell r="B121" t="str">
            <v>Cash interest expense</v>
          </cell>
          <cell r="C121" t="str">
            <v>CASH_INT_EXP</v>
          </cell>
          <cell r="D121" t="str">
            <v>SEK</v>
          </cell>
        </row>
        <row r="122">
          <cell r="B122" t="str">
            <v>Cash tax expense</v>
          </cell>
          <cell r="C122" t="str">
            <v>CASH_TAX_EXP</v>
          </cell>
          <cell r="D122" t="str">
            <v>SEK</v>
          </cell>
          <cell r="F122">
            <v>-570</v>
          </cell>
          <cell r="G122">
            <v>-1301</v>
          </cell>
          <cell r="H122">
            <v>-701</v>
          </cell>
          <cell r="I122">
            <v>-583</v>
          </cell>
          <cell r="J122">
            <v>0</v>
          </cell>
          <cell r="K122">
            <v>-650</v>
          </cell>
          <cell r="L122">
            <v>-1001</v>
          </cell>
          <cell r="M122">
            <v>-909</v>
          </cell>
          <cell r="N122">
            <v>-1055</v>
          </cell>
          <cell r="O122">
            <v>-698</v>
          </cell>
          <cell r="P122">
            <v>-1111</v>
          </cell>
          <cell r="Q122">
            <v>-1646</v>
          </cell>
          <cell r="R122">
            <v>-1955</v>
          </cell>
          <cell r="S122">
            <v>-2371</v>
          </cell>
          <cell r="T122">
            <v>-2127</v>
          </cell>
          <cell r="U122">
            <v>-592</v>
          </cell>
          <cell r="V122">
            <v>-2253</v>
          </cell>
          <cell r="W122">
            <v>-2708</v>
          </cell>
          <cell r="X122">
            <v>-1633</v>
          </cell>
          <cell r="Y122">
            <v>-1777</v>
          </cell>
          <cell r="Z122">
            <v>-1918</v>
          </cell>
          <cell r="AA122">
            <v>-1760</v>
          </cell>
          <cell r="AB122">
            <v>-2530</v>
          </cell>
          <cell r="AC122">
            <v>-1898</v>
          </cell>
          <cell r="AD122">
            <v>-2603</v>
          </cell>
          <cell r="AE122">
            <v>-2677</v>
          </cell>
          <cell r="AF122">
            <v>-1826</v>
          </cell>
          <cell r="AG122">
            <v>-2484</v>
          </cell>
          <cell r="AH122">
            <v>-2438</v>
          </cell>
          <cell r="AI122">
            <v>-3123</v>
          </cell>
          <cell r="AJ122">
            <v>-3227</v>
          </cell>
          <cell r="AK122">
            <v>-3426</v>
          </cell>
          <cell r="AL122">
            <v>-3584</v>
          </cell>
        </row>
        <row r="123">
          <cell r="B123" t="str">
            <v>Dividends received from associates/JVs</v>
          </cell>
          <cell r="C123" t="str">
            <v>DIVDS_ASSOC_JV</v>
          </cell>
          <cell r="D123" t="str">
            <v>SEK</v>
          </cell>
        </row>
        <row r="124">
          <cell r="B124" t="str">
            <v>Capex maintenance</v>
          </cell>
          <cell r="C124" t="str">
            <v>CAPEX_MAINTENANCE</v>
          </cell>
          <cell r="D124" t="str">
            <v>SEK</v>
          </cell>
        </row>
        <row r="125">
          <cell r="B125" t="str">
            <v>Capex expansion</v>
          </cell>
          <cell r="C125" t="str">
            <v>CAPEX_EXPANSION</v>
          </cell>
          <cell r="D125" t="str">
            <v>SEK</v>
          </cell>
        </row>
        <row r="126">
          <cell r="B126" t="str">
            <v>Non-PP&amp;E capex</v>
          </cell>
          <cell r="C126" t="str">
            <v>NONPPE_CAPEX</v>
          </cell>
          <cell r="D126" t="str">
            <v>SEK</v>
          </cell>
        </row>
        <row r="127">
          <cell r="B127" t="str">
            <v>Dividends paid to minorities</v>
          </cell>
          <cell r="C127" t="str">
            <v>DIVDS_PD_MINORITIES</v>
          </cell>
          <cell r="D127" t="str">
            <v>SEK</v>
          </cell>
          <cell r="F127">
            <v>0</v>
          </cell>
          <cell r="G127">
            <v>0</v>
          </cell>
          <cell r="H127">
            <v>0</v>
          </cell>
          <cell r="I127">
            <v>0</v>
          </cell>
          <cell r="J127">
            <v>0</v>
          </cell>
          <cell r="K127">
            <v>0</v>
          </cell>
          <cell r="L127">
            <v>0</v>
          </cell>
          <cell r="M127">
            <v>0</v>
          </cell>
          <cell r="N127">
            <v>0</v>
          </cell>
          <cell r="O127">
            <v>0</v>
          </cell>
          <cell r="P127">
            <v>0</v>
          </cell>
          <cell r="Q127">
            <v>0</v>
          </cell>
          <cell r="R127">
            <v>0</v>
          </cell>
          <cell r="S127">
            <v>-54</v>
          </cell>
          <cell r="T127">
            <v>-61</v>
          </cell>
          <cell r="U127">
            <v>0</v>
          </cell>
          <cell r="V127">
            <v>0</v>
          </cell>
          <cell r="W127">
            <v>0</v>
          </cell>
          <cell r="X127">
            <v>-47</v>
          </cell>
          <cell r="Y127">
            <v>-31</v>
          </cell>
          <cell r="Z127">
            <v>-74</v>
          </cell>
          <cell r="AA127">
            <v>0</v>
          </cell>
          <cell r="AB127">
            <v>0</v>
          </cell>
          <cell r="AC127">
            <v>0</v>
          </cell>
          <cell r="AD127">
            <v>0</v>
          </cell>
          <cell r="AE127">
            <v>0</v>
          </cell>
          <cell r="AF127">
            <v>0</v>
          </cell>
          <cell r="AG127">
            <v>0</v>
          </cell>
          <cell r="AH127">
            <v>0</v>
          </cell>
          <cell r="AI127">
            <v>0</v>
          </cell>
          <cell r="AJ127">
            <v>0</v>
          </cell>
          <cell r="AK127">
            <v>0</v>
          </cell>
          <cell r="AL127">
            <v>0</v>
          </cell>
        </row>
        <row r="128">
          <cell r="A128" t="str">
            <v>Company Metrics</v>
          </cell>
        </row>
        <row r="129">
          <cell r="B129" t="str">
            <v>Group sales % - &gt;50% bigger than number 2</v>
          </cell>
          <cell r="C129" t="str">
            <v>GROUP_SALES_PCT_BIG_NO_TWO</v>
          </cell>
          <cell r="E129">
            <v>6.3E-2</v>
          </cell>
        </row>
        <row r="130">
          <cell r="B130" t="str">
            <v>Group sales % -  number 1/shared number one</v>
          </cell>
          <cell r="C130" t="str">
            <v>GROUP_SALES_PCT_SHRD_NO_ONE</v>
          </cell>
          <cell r="E130">
            <v>0.432</v>
          </cell>
        </row>
        <row r="131">
          <cell r="B131" t="str">
            <v>Group sales % -  top 3</v>
          </cell>
          <cell r="C131" t="str">
            <v>GROUP_SALES_PCT_TOP_THREE</v>
          </cell>
          <cell r="E131">
            <v>0.505</v>
          </cell>
        </row>
        <row r="132">
          <cell r="B132" t="str">
            <v>Aftermarket - % Global sales</v>
          </cell>
          <cell r="C132" t="str">
            <v>AMKT_PCT_GROUP_SALES</v>
          </cell>
          <cell r="X132">
            <v>0.3</v>
          </cell>
        </row>
        <row r="133">
          <cell r="B133" t="str">
            <v>Distribution score</v>
          </cell>
          <cell r="C133" t="str">
            <v>DISTR_SCORE</v>
          </cell>
          <cell r="E133">
            <v>6</v>
          </cell>
        </row>
        <row r="134">
          <cell r="B134" t="str">
            <v>Structural growth outlook by product category</v>
          </cell>
          <cell r="C134" t="str">
            <v>STRCTL_GRTH_PROD_CTGRY</v>
          </cell>
          <cell r="E134">
            <v>4.5999999999999999E-2</v>
          </cell>
        </row>
        <row r="135">
          <cell r="B135" t="str">
            <v>Cyclical growth outlook by end market</v>
          </cell>
          <cell r="C135" t="str">
            <v>CYCL_GRTH_EMKT</v>
          </cell>
          <cell r="E135">
            <v>5</v>
          </cell>
        </row>
        <row r="136">
          <cell r="B136" t="str">
            <v>Cycle adjusted CROCI</v>
          </cell>
          <cell r="C136" t="str">
            <v>CYCL_ADJ_CROCI</v>
          </cell>
          <cell r="X136">
            <v>0</v>
          </cell>
        </row>
        <row r="137">
          <cell r="B137" t="str">
            <v>Degree of customer concentration (High/Medium/Low)</v>
          </cell>
          <cell r="C137" t="str">
            <v>DGR_CUST_CONCTR</v>
          </cell>
          <cell r="X137">
            <v>0</v>
          </cell>
        </row>
        <row r="138">
          <cell r="B138" t="str">
            <v>Sales % represented by project business</v>
          </cell>
          <cell r="C138" t="str">
            <v>SALES_PCT_PROJ_BUS</v>
          </cell>
          <cell r="X138">
            <v>0</v>
          </cell>
        </row>
        <row r="139">
          <cell r="B139" t="str">
            <v>Sales % represented by service contracts or aftermarket/captive sales</v>
          </cell>
          <cell r="C139" t="str">
            <v>SALES_PCT_REC</v>
          </cell>
          <cell r="X139">
            <v>0</v>
          </cell>
          <cell r="AA139">
            <v>0.8</v>
          </cell>
          <cell r="AB139">
            <v>0.8</v>
          </cell>
          <cell r="AC139">
            <v>0.09</v>
          </cell>
          <cell r="AD139">
            <v>0.08</v>
          </cell>
        </row>
        <row r="140">
          <cell r="A140" t="str">
            <v>Other Items</v>
          </cell>
        </row>
        <row r="141">
          <cell r="B141" t="str">
            <v>Number of employees</v>
          </cell>
          <cell r="C141" t="str">
            <v>EMPLOYEES</v>
          </cell>
          <cell r="F141">
            <v>41732</v>
          </cell>
          <cell r="G141">
            <v>43754</v>
          </cell>
          <cell r="H141">
            <v>42451</v>
          </cell>
          <cell r="I141">
            <v>41703</v>
          </cell>
          <cell r="J141">
            <v>44807</v>
          </cell>
          <cell r="K141">
            <v>40623</v>
          </cell>
          <cell r="L141">
            <v>39442</v>
          </cell>
          <cell r="M141">
            <v>37524</v>
          </cell>
          <cell r="N141">
            <v>38489</v>
          </cell>
          <cell r="O141">
            <v>37498</v>
          </cell>
          <cell r="P141">
            <v>38502</v>
          </cell>
          <cell r="Q141">
            <v>37454</v>
          </cell>
          <cell r="R141">
            <v>39780</v>
          </cell>
          <cell r="S141">
            <v>41645</v>
          </cell>
          <cell r="T141">
            <v>43201</v>
          </cell>
          <cell r="U141">
            <v>38530</v>
          </cell>
          <cell r="V141">
            <v>40206</v>
          </cell>
          <cell r="W141">
            <v>42886</v>
          </cell>
          <cell r="X141">
            <v>44168</v>
          </cell>
          <cell r="Y141">
            <v>45220</v>
          </cell>
          <cell r="Z141">
            <v>46509</v>
          </cell>
          <cell r="AA141">
            <v>44305</v>
          </cell>
          <cell r="AB141">
            <v>43508</v>
          </cell>
          <cell r="AC141">
            <v>43814</v>
          </cell>
          <cell r="AD141">
            <v>42565</v>
          </cell>
          <cell r="AE141">
            <v>41559</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cell r="X169">
            <v>0</v>
          </cell>
        </row>
        <row r="170">
          <cell r="B170" t="str">
            <v>Regional exposure as % of revenues - EMEA</v>
          </cell>
          <cell r="C170" t="str">
            <v>SALES_EXPOSURE_EMEA</v>
          </cell>
          <cell r="X170">
            <v>0</v>
          </cell>
        </row>
        <row r="171">
          <cell r="B171" t="str">
            <v>Regional exposure as % of revenues - APAC</v>
          </cell>
          <cell r="C171" t="str">
            <v>SALES_EXPOSURE_APAC</v>
          </cell>
          <cell r="X171">
            <v>0</v>
          </cell>
        </row>
        <row r="172">
          <cell r="B172" t="str">
            <v>Regional exposure as % of revenues - China</v>
          </cell>
          <cell r="C172" t="str">
            <v>SALES_EXPOSURE_CHINA</v>
          </cell>
          <cell r="X172">
            <v>0</v>
          </cell>
        </row>
        <row r="173">
          <cell r="B173" t="str">
            <v>Regional exposure as % of revenues - ROW</v>
          </cell>
          <cell r="C173" t="str">
            <v>SALES_EXPOSURE_ROW</v>
          </cell>
          <cell r="X173">
            <v>0</v>
          </cell>
        </row>
        <row r="174">
          <cell r="B174" t="str">
            <v>Regional exposure as % of revenues - Developed Markets</v>
          </cell>
          <cell r="C174" t="str">
            <v>SALES_EXPOSURE_DEV_MKT</v>
          </cell>
          <cell r="X174">
            <v>0</v>
          </cell>
        </row>
        <row r="175">
          <cell r="B175" t="str">
            <v>Regional exposure as % of revenues - Emerging Markets</v>
          </cell>
          <cell r="C175" t="str">
            <v>SALES_EXPOSURE_EMER_MKT</v>
          </cell>
          <cell r="X175">
            <v>0</v>
          </cell>
        </row>
        <row r="176">
          <cell r="A176" t="str">
            <v>End Markets</v>
          </cell>
        </row>
        <row r="177">
          <cell r="B177" t="str">
            <v>Sales to the construction end market - % Global</v>
          </cell>
          <cell r="C177" t="str">
            <v>SALES_CONSRT_EMKT_GLOBAL</v>
          </cell>
          <cell r="X177">
            <v>0</v>
          </cell>
        </row>
        <row r="178">
          <cell r="B178" t="str">
            <v>Sales to the construction end market - % No. America</v>
          </cell>
          <cell r="C178" t="str">
            <v>SALES_CONSRT_EMKT_NO_AMERICA</v>
          </cell>
          <cell r="X178">
            <v>0</v>
          </cell>
        </row>
        <row r="179">
          <cell r="B179" t="str">
            <v>Sales to the construction end market - % EAME</v>
          </cell>
          <cell r="C179" t="str">
            <v>SALES_CONSRT_EMKT_EAME</v>
          </cell>
          <cell r="X179">
            <v>0</v>
          </cell>
        </row>
        <row r="180">
          <cell r="B180" t="str">
            <v>Sales to the construction end market - % So. America</v>
          </cell>
          <cell r="C180" t="str">
            <v>SALES_CONSRT_EMKT_SO_AMERICA</v>
          </cell>
          <cell r="X180">
            <v>0</v>
          </cell>
        </row>
        <row r="181">
          <cell r="B181" t="str">
            <v>Sales to the construction end market - % China</v>
          </cell>
          <cell r="C181" t="str">
            <v>SALES_CONSRT_EMKT_CHINA</v>
          </cell>
          <cell r="X181">
            <v>0</v>
          </cell>
        </row>
        <row r="182">
          <cell r="B182" t="str">
            <v>Sales to the construction end market - % Asia ex-China</v>
          </cell>
          <cell r="C182" t="str">
            <v>SALES_CONSRT_EMKT_ASIAEXCHINA</v>
          </cell>
          <cell r="X182">
            <v>0</v>
          </cell>
        </row>
        <row r="183">
          <cell r="B183" t="str">
            <v>Sales to the transmission &amp; distribution end market - % Global</v>
          </cell>
          <cell r="C183" t="str">
            <v>SALES_TRN_DIST_EMKT_GLOBAL</v>
          </cell>
          <cell r="X183">
            <v>0</v>
          </cell>
        </row>
        <row r="184">
          <cell r="B184" t="str">
            <v>Sales to the transmission &amp; distribution end market - % No. America</v>
          </cell>
          <cell r="C184" t="str">
            <v>SALES_TRN_DIST_EMKT_NO_AMERICA</v>
          </cell>
          <cell r="X184">
            <v>0</v>
          </cell>
        </row>
        <row r="185">
          <cell r="B185" t="str">
            <v>Sales to the transmission &amp; distribution end market - % EAME</v>
          </cell>
          <cell r="C185" t="str">
            <v>SALES_TRN_DIST_EMKT_EAME</v>
          </cell>
          <cell r="X185">
            <v>0</v>
          </cell>
        </row>
        <row r="186">
          <cell r="B186" t="str">
            <v>Sales to the transmission &amp; distribution end market - % So. America</v>
          </cell>
          <cell r="C186" t="str">
            <v>SALES_TRN_DIST_EMKT_SO_AMERICA</v>
          </cell>
          <cell r="X186">
            <v>0</v>
          </cell>
        </row>
        <row r="187">
          <cell r="B187" t="str">
            <v>Sales to the transmission &amp; distribution end market - % China</v>
          </cell>
          <cell r="C187" t="str">
            <v>SALES_TRN_DIST_EMKT_CHINA</v>
          </cell>
          <cell r="X187">
            <v>0</v>
          </cell>
        </row>
        <row r="188">
          <cell r="B188" t="str">
            <v>Sales to the transmission &amp; distribution end market - % Asia ex-China</v>
          </cell>
          <cell r="C188" t="str">
            <v>SALES_TRN_DIST_EMKT_ASIAEXCHINA</v>
          </cell>
          <cell r="X188">
            <v>0</v>
          </cell>
        </row>
        <row r="189">
          <cell r="B189" t="str">
            <v>Sales to the power generation end market - % Global</v>
          </cell>
          <cell r="C189" t="str">
            <v>SALES_PWR_GEN_EMKT_GLOBAL</v>
          </cell>
          <cell r="X189">
            <v>0</v>
          </cell>
        </row>
        <row r="190">
          <cell r="B190" t="str">
            <v>Sales to the power generation end market - % No. America</v>
          </cell>
          <cell r="C190" t="str">
            <v>SALES_PWR_GEN_EMKT_NO_AMERICA</v>
          </cell>
          <cell r="X190">
            <v>0</v>
          </cell>
        </row>
        <row r="191">
          <cell r="B191" t="str">
            <v>Sales to the power generation end market - % EAME</v>
          </cell>
          <cell r="C191" t="str">
            <v>SALES_PWR_GEN_EMKT_EAME</v>
          </cell>
          <cell r="X191">
            <v>0</v>
          </cell>
        </row>
        <row r="192">
          <cell r="B192" t="str">
            <v>Sales to the power generation end market - % So. America</v>
          </cell>
          <cell r="C192" t="str">
            <v>SALES_PWR_GEN_EMKT_SO_AMERICA</v>
          </cell>
          <cell r="X192">
            <v>0</v>
          </cell>
        </row>
        <row r="193">
          <cell r="B193" t="str">
            <v>Sales to the power generation end market - % China</v>
          </cell>
          <cell r="C193" t="str">
            <v>SALES_PWR_GEN_EMKT_CHINA</v>
          </cell>
          <cell r="X193">
            <v>0</v>
          </cell>
        </row>
        <row r="194">
          <cell r="B194" t="str">
            <v>Sales to the power generation end market - % Asia ex-China</v>
          </cell>
          <cell r="C194" t="str">
            <v>SALES_PWR_GEN_EMKT_ASIAEXCHINA</v>
          </cell>
          <cell r="X194">
            <v>0</v>
          </cell>
        </row>
        <row r="195">
          <cell r="B195" t="str">
            <v>Sales to the mining end market - % Global</v>
          </cell>
          <cell r="C195" t="str">
            <v>SALES_MINING_EMKT_GLOBAL</v>
          </cell>
          <cell r="X195">
            <v>0</v>
          </cell>
        </row>
        <row r="196">
          <cell r="B196" t="str">
            <v>Sales to the mining end market - % No. America</v>
          </cell>
          <cell r="C196" t="str">
            <v>SALES_MINING_EMKT_NO_AMERICA</v>
          </cell>
          <cell r="X196">
            <v>0</v>
          </cell>
        </row>
        <row r="197">
          <cell r="B197" t="str">
            <v>Sales to the mining end market - % EAME</v>
          </cell>
          <cell r="C197" t="str">
            <v>SALES_MINING_EMKT_EAME</v>
          </cell>
          <cell r="X197">
            <v>0</v>
          </cell>
        </row>
        <row r="198">
          <cell r="B198" t="str">
            <v>Sales to the mining end market - % So. America</v>
          </cell>
          <cell r="C198" t="str">
            <v>SALES_MINING_EMKT_SO_AMERICA</v>
          </cell>
          <cell r="X198">
            <v>0</v>
          </cell>
        </row>
        <row r="199">
          <cell r="B199" t="str">
            <v>Sales to the mining end market - % China</v>
          </cell>
          <cell r="C199" t="str">
            <v>SALES_MINING_EMKT_CHINA</v>
          </cell>
          <cell r="X199">
            <v>0</v>
          </cell>
        </row>
        <row r="200">
          <cell r="B200" t="str">
            <v>Sales to the mining end market - % Asia ex-China</v>
          </cell>
          <cell r="C200" t="str">
            <v>SALES_MINING_EMKT_ASIAEXCHINA</v>
          </cell>
          <cell r="X200">
            <v>0</v>
          </cell>
        </row>
        <row r="201">
          <cell r="B201" t="str">
            <v>Sales to the oil &amp; gas end market - % Global</v>
          </cell>
          <cell r="C201" t="str">
            <v>SALES_OIL_GAS_EMKT_GLOBAL</v>
          </cell>
          <cell r="X201">
            <v>0</v>
          </cell>
        </row>
        <row r="202">
          <cell r="B202" t="str">
            <v>Sales to the oil &amp; gas end market - % No. America</v>
          </cell>
          <cell r="C202" t="str">
            <v>SALES_OIL_GAS_EMKT_NO_AMERICA</v>
          </cell>
          <cell r="X202">
            <v>0</v>
          </cell>
        </row>
        <row r="203">
          <cell r="B203" t="str">
            <v>Sales to the oil &amp; gas end market - % EAME</v>
          </cell>
          <cell r="C203" t="str">
            <v>SALES_OIL_GAS_EMKT_EAME</v>
          </cell>
          <cell r="X203">
            <v>0</v>
          </cell>
        </row>
        <row r="204">
          <cell r="B204" t="str">
            <v>Sales to the oil &amp; gas end market - % So. America</v>
          </cell>
          <cell r="C204" t="str">
            <v>SALES_OIL_GAS_EMKT_SO_AMERICA</v>
          </cell>
          <cell r="X204">
            <v>0</v>
          </cell>
        </row>
        <row r="205">
          <cell r="B205" t="str">
            <v>Sales to the oil &amp; gas end market - % China</v>
          </cell>
          <cell r="C205" t="str">
            <v>SALES_OIL_GAS_EMKT_CHINA</v>
          </cell>
          <cell r="X205">
            <v>0</v>
          </cell>
        </row>
        <row r="206">
          <cell r="B206" t="str">
            <v>Sales to the oil &amp; gas end market - % Asia ex-China</v>
          </cell>
          <cell r="C206" t="str">
            <v>SALES_OIL_GAS_EMKT_ASIAEXCHINA</v>
          </cell>
          <cell r="X206">
            <v>0</v>
          </cell>
        </row>
        <row r="207">
          <cell r="B207" t="str">
            <v>Sales to the automotive end market - % Global</v>
          </cell>
          <cell r="C207" t="str">
            <v>SALES_AUTOMTV_EMKT_GLOBAL</v>
          </cell>
          <cell r="X207">
            <v>0.3</v>
          </cell>
        </row>
        <row r="208">
          <cell r="B208" t="str">
            <v>Sales to the automotive end market - % No. America</v>
          </cell>
          <cell r="C208" t="str">
            <v>SALES_AUTOMTV_EMKT_NO_AMERICA</v>
          </cell>
          <cell r="X208">
            <v>6.6000000000000003E-2</v>
          </cell>
        </row>
        <row r="209">
          <cell r="B209" t="str">
            <v>Sales to the automotive end market - % EAME</v>
          </cell>
          <cell r="C209" t="str">
            <v>SALES_AUTOMTV_EMKT_EAME</v>
          </cell>
          <cell r="X209">
            <v>0.14099999999999999</v>
          </cell>
        </row>
        <row r="210">
          <cell r="B210" t="str">
            <v>Sales to the automotive end market - % So. America</v>
          </cell>
          <cell r="C210" t="str">
            <v>SALES_AUTOMTV_EMKT_SO_AMERICA</v>
          </cell>
          <cell r="X210">
            <v>3.5999999999999997E-2</v>
          </cell>
        </row>
        <row r="211">
          <cell r="B211" t="str">
            <v>Sales to the automotive end market - % China</v>
          </cell>
          <cell r="C211" t="str">
            <v>SALES_AUTOMTV_EMKT_CHINA</v>
          </cell>
          <cell r="X211">
            <v>3.3000000000000002E-2</v>
          </cell>
        </row>
        <row r="212">
          <cell r="B212" t="str">
            <v>Sales to the automotive end market - % Asia ex-China</v>
          </cell>
          <cell r="C212" t="str">
            <v>SALES_AUTOMTV_EMKT_ASIAEXCHINA</v>
          </cell>
          <cell r="X212">
            <v>2.4E-2</v>
          </cell>
        </row>
        <row r="213">
          <cell r="B213" t="str">
            <v>Sales to the rail end market - % Global</v>
          </cell>
          <cell r="C213" t="str">
            <v>SALES_RAIL_EMKT_GLOBAL</v>
          </cell>
          <cell r="X213">
            <v>0.04</v>
          </cell>
        </row>
        <row r="214">
          <cell r="B214" t="str">
            <v>Sales to the rail end market - % No. America</v>
          </cell>
          <cell r="C214" t="str">
            <v>SALES_RAIL_EMKT_NO_AMERICA</v>
          </cell>
          <cell r="X214">
            <v>8.8000000000000005E-3</v>
          </cell>
        </row>
        <row r="215">
          <cell r="B215" t="str">
            <v>Sales to the rail end market - % EAME</v>
          </cell>
          <cell r="C215" t="str">
            <v>SALES_RAIL_EMKT_EAME</v>
          </cell>
          <cell r="X215">
            <v>1.84E-2</v>
          </cell>
        </row>
        <row r="216">
          <cell r="B216" t="str">
            <v>Sales to the rail end market - % So. America</v>
          </cell>
          <cell r="C216" t="str">
            <v>SALES_RAIL_EMKT_SO_AMERICA</v>
          </cell>
          <cell r="X216">
            <v>3.2000000000000002E-3</v>
          </cell>
        </row>
        <row r="217">
          <cell r="B217" t="str">
            <v>Sales to the rail end market - % China</v>
          </cell>
          <cell r="C217" t="str">
            <v>SALES_RAIL_EMKT_CHINA</v>
          </cell>
          <cell r="X217">
            <v>4.4000000000000003E-3</v>
          </cell>
        </row>
        <row r="218">
          <cell r="B218" t="str">
            <v>Sales to the rail end market - % Asia ex-China</v>
          </cell>
          <cell r="C218" t="str">
            <v>SALES_RAIL_EMKT_ASIAEXCHINA</v>
          </cell>
          <cell r="X218">
            <v>5.1999999999999998E-3</v>
          </cell>
        </row>
        <row r="219">
          <cell r="B219" t="str">
            <v>Sales to the consumer end market - % Global</v>
          </cell>
          <cell r="C219" t="str">
            <v>SALES_CONS_EMKT_GLOBAL</v>
          </cell>
          <cell r="X219">
            <v>0</v>
          </cell>
        </row>
        <row r="220">
          <cell r="B220" t="str">
            <v>Sales to the consumer end market - % No. America</v>
          </cell>
          <cell r="C220" t="str">
            <v>SALES_CONS_EMKT_NO_AMERICA</v>
          </cell>
          <cell r="X220">
            <v>0</v>
          </cell>
        </row>
        <row r="221">
          <cell r="B221" t="str">
            <v>Sales to the consumer end market - % EAME</v>
          </cell>
          <cell r="C221" t="str">
            <v>SALES_CONS_EMKT_EAME</v>
          </cell>
          <cell r="X221">
            <v>0</v>
          </cell>
        </row>
        <row r="222">
          <cell r="B222" t="str">
            <v>Sales to the consumer end market - % So. America</v>
          </cell>
          <cell r="C222" t="str">
            <v>SALES_CONS_EMKT_SO_AMERICA</v>
          </cell>
          <cell r="X222">
            <v>0</v>
          </cell>
        </row>
        <row r="223">
          <cell r="B223" t="str">
            <v>Sales to the consumer end market - % China</v>
          </cell>
          <cell r="C223" t="str">
            <v>SALES_CONS_EMKT_CHINA</v>
          </cell>
          <cell r="X223">
            <v>0</v>
          </cell>
        </row>
        <row r="224">
          <cell r="B224" t="str">
            <v>Sales to the consumer end market - % Asia ex-China</v>
          </cell>
          <cell r="C224" t="str">
            <v>SALES_CONS_EMKT_ASIAEXCHINA</v>
          </cell>
          <cell r="X224">
            <v>0</v>
          </cell>
        </row>
        <row r="225">
          <cell r="B225" t="str">
            <v>Sales to the tech end market - % Global</v>
          </cell>
          <cell r="C225" t="str">
            <v>SALES_TECH_EMKT_GLOBAL</v>
          </cell>
          <cell r="X225">
            <v>0</v>
          </cell>
        </row>
        <row r="226">
          <cell r="B226" t="str">
            <v>Sales to the tech end market - % No. America</v>
          </cell>
          <cell r="C226" t="str">
            <v>SALES_TECH_EMKT_NO_AMERICA</v>
          </cell>
          <cell r="X226">
            <v>0</v>
          </cell>
        </row>
        <row r="227">
          <cell r="B227" t="str">
            <v>Sales to the tech end market - % EAME</v>
          </cell>
          <cell r="C227" t="str">
            <v>SALES_TECH_EMKT_EAME</v>
          </cell>
          <cell r="X227">
            <v>0</v>
          </cell>
        </row>
        <row r="228">
          <cell r="B228" t="str">
            <v>Sales to the tech end market - % So. America</v>
          </cell>
          <cell r="C228" t="str">
            <v>SALES_TECH_EMKT_SO_AMERICA</v>
          </cell>
          <cell r="X228">
            <v>0</v>
          </cell>
        </row>
        <row r="229">
          <cell r="B229" t="str">
            <v>Sales to the tech end market - % China</v>
          </cell>
          <cell r="C229" t="str">
            <v>SALES_TECH_EMKT_CHINA</v>
          </cell>
          <cell r="X229">
            <v>0</v>
          </cell>
        </row>
        <row r="230">
          <cell r="B230" t="str">
            <v>Sales to the tech end market - % Asia ex-China</v>
          </cell>
          <cell r="C230" t="str">
            <v>SALES_TECH_EMKT_ASIAEXCHINA</v>
          </cell>
          <cell r="X230">
            <v>0</v>
          </cell>
        </row>
        <row r="231">
          <cell r="B231" t="str">
            <v>Sales to the agriculture end market - % Global</v>
          </cell>
          <cell r="C231" t="str">
            <v>SALES_AGRI_EMKT_GLOBAL</v>
          </cell>
          <cell r="X231">
            <v>0</v>
          </cell>
        </row>
        <row r="232">
          <cell r="B232" t="str">
            <v>Sales to the agriculture end market - % No. America</v>
          </cell>
          <cell r="C232" t="str">
            <v>SALES_AGRI_EMKT_NO_AMERICA</v>
          </cell>
          <cell r="X232">
            <v>0</v>
          </cell>
        </row>
        <row r="233">
          <cell r="B233" t="str">
            <v>Sales to the agriculture end market - % EAME</v>
          </cell>
          <cell r="C233" t="str">
            <v>SALES_AGRI_EMKT_EAME</v>
          </cell>
          <cell r="X233">
            <v>0</v>
          </cell>
        </row>
        <row r="234">
          <cell r="B234" t="str">
            <v>Sales to the agriculture end market - % So. America</v>
          </cell>
          <cell r="C234" t="str">
            <v>SALES_AGRI_EMKT_SO_AMERICA</v>
          </cell>
          <cell r="X234">
            <v>0</v>
          </cell>
        </row>
        <row r="235">
          <cell r="B235" t="str">
            <v>Sales to the agriculture end market - % China</v>
          </cell>
          <cell r="C235" t="str">
            <v>SALES_AGRI_EMKT_CHINA</v>
          </cell>
          <cell r="X235">
            <v>0</v>
          </cell>
        </row>
        <row r="236">
          <cell r="B236" t="str">
            <v>Sales to the agriculture end market - % Asia ex-China</v>
          </cell>
          <cell r="C236" t="str">
            <v>SALES_AGRI_EMKT_ASIAEXCHINA</v>
          </cell>
          <cell r="X236">
            <v>0</v>
          </cell>
        </row>
        <row r="237">
          <cell r="B237" t="str">
            <v>Sales to the general industrial end market - % Global</v>
          </cell>
          <cell r="C237" t="str">
            <v>SALES_GNRL_IND_EMKT_GLOBAL</v>
          </cell>
          <cell r="X237">
            <v>0.66</v>
          </cell>
        </row>
        <row r="238">
          <cell r="B238" t="str">
            <v>Sales to the general industrial end market - % No. America</v>
          </cell>
          <cell r="C238" t="str">
            <v>SALES_GNRL_IND_EMKT_NO_AMERICA</v>
          </cell>
          <cell r="X238">
            <v>0.1452</v>
          </cell>
        </row>
        <row r="239">
          <cell r="B239" t="str">
            <v>Sales to the general industrial end market - % EAME</v>
          </cell>
          <cell r="C239" t="str">
            <v>SALES_GNRL_IND_EMKT_EAME</v>
          </cell>
          <cell r="X239">
            <v>0.30359999999999998</v>
          </cell>
        </row>
        <row r="240">
          <cell r="B240" t="str">
            <v>Sales to the general industrial end market - % So. America</v>
          </cell>
          <cell r="C240" t="str">
            <v>SALES_GNRL_IND_EMKT_SO_AMERICA</v>
          </cell>
          <cell r="X240">
            <v>5.28E-2</v>
          </cell>
        </row>
        <row r="241">
          <cell r="B241" t="str">
            <v>Sales to the general industrial end market - % China</v>
          </cell>
          <cell r="C241" t="str">
            <v>SALES_GNRL_IND_EMKT_CHINA</v>
          </cell>
          <cell r="X241">
            <v>7.2599999999999998E-2</v>
          </cell>
        </row>
        <row r="242">
          <cell r="B242" t="str">
            <v>Sales to the general industrial end market - % Asia ex-China</v>
          </cell>
          <cell r="C242" t="str">
            <v>SALES_GNRL_IND_EMKT_ASIAEXCHINA</v>
          </cell>
          <cell r="X242">
            <v>8.5800000000000001E-2</v>
          </cell>
        </row>
        <row r="243">
          <cell r="B243" t="str">
            <v>Sales to the aftermarket end market - % Global</v>
          </cell>
          <cell r="C243" t="str">
            <v>SALES_AMKT_EMKT_GLOBAL</v>
          </cell>
          <cell r="X243">
            <v>0.3</v>
          </cell>
        </row>
        <row r="244">
          <cell r="B244" t="str">
            <v>End market exposure as % of revenues - Aerospace</v>
          </cell>
          <cell r="C244" t="str">
            <v>SALES_EMKT_AEROSPC</v>
          </cell>
          <cell r="X244">
            <v>0</v>
          </cell>
          <cell r="AA244">
            <v>0.06</v>
          </cell>
          <cell r="AB244">
            <v>7.0000000000000007E-2</v>
          </cell>
          <cell r="AC244">
            <v>0.05</v>
          </cell>
          <cell r="AD244">
            <v>0.06</v>
          </cell>
          <cell r="AE244">
            <v>0.06</v>
          </cell>
          <cell r="AF244">
            <v>0.06</v>
          </cell>
          <cell r="AG244">
            <v>0.05</v>
          </cell>
          <cell r="AH244">
            <v>0.05</v>
          </cell>
          <cell r="AI244">
            <v>0</v>
          </cell>
          <cell r="AJ244">
            <v>0</v>
          </cell>
          <cell r="AK244">
            <v>0</v>
          </cell>
        </row>
        <row r="245">
          <cell r="B245" t="str">
            <v>End market exposure as % of revenues - Agriculture</v>
          </cell>
          <cell r="C245" t="str">
            <v>SALES_EMRKT_AGRI</v>
          </cell>
          <cell r="AE245">
            <v>0</v>
          </cell>
          <cell r="AF245">
            <v>0</v>
          </cell>
          <cell r="AG245">
            <v>0</v>
          </cell>
          <cell r="AH245">
            <v>0</v>
          </cell>
          <cell r="AI245">
            <v>0</v>
          </cell>
          <cell r="AJ245">
            <v>0</v>
          </cell>
          <cell r="AK245">
            <v>0</v>
          </cell>
        </row>
        <row r="246">
          <cell r="B246" t="str">
            <v>End market exposure as % of revenues - Chemicals</v>
          </cell>
          <cell r="C246" t="str">
            <v>SALES_EMRKT_CHEM</v>
          </cell>
        </row>
        <row r="247">
          <cell r="B247" t="str">
            <v>End market exposure as % of revenues - Consumer</v>
          </cell>
          <cell r="C247" t="str">
            <v>SALES_EMKT_CONS</v>
          </cell>
          <cell r="X247">
            <v>0</v>
          </cell>
        </row>
        <row r="248">
          <cell r="B248" t="str">
            <v>End market exposure as % of revenues - Electronics</v>
          </cell>
          <cell r="C248" t="str">
            <v>SALES_EMRKT_ELEC</v>
          </cell>
          <cell r="AE248">
            <v>0.01</v>
          </cell>
          <cell r="AF248">
            <v>0</v>
          </cell>
          <cell r="AG248">
            <v>0</v>
          </cell>
          <cell r="AH248">
            <v>0</v>
          </cell>
          <cell r="AI248">
            <v>0</v>
          </cell>
          <cell r="AJ248">
            <v>0</v>
          </cell>
          <cell r="AK248">
            <v>0</v>
          </cell>
        </row>
        <row r="249">
          <cell r="B249" t="str">
            <v>End market exposure as % of revenues - General Industrial</v>
          </cell>
          <cell r="C249" t="str">
            <v>SALES_EMKT_GNRL_IND</v>
          </cell>
          <cell r="X249">
            <v>0</v>
          </cell>
          <cell r="AA249">
            <v>0.39</v>
          </cell>
          <cell r="AB249">
            <v>0.32</v>
          </cell>
          <cell r="AC249">
            <v>0.33</v>
          </cell>
          <cell r="AD249">
            <v>0.46</v>
          </cell>
          <cell r="AE249">
            <v>0.46</v>
          </cell>
          <cell r="AF249">
            <v>0.45</v>
          </cell>
          <cell r="AG249">
            <v>0.46</v>
          </cell>
          <cell r="AH249">
            <v>0.51</v>
          </cell>
          <cell r="AI249">
            <v>1</v>
          </cell>
          <cell r="AJ249">
            <v>1</v>
          </cell>
          <cell r="AK249">
            <v>1</v>
          </cell>
        </row>
        <row r="250">
          <cell r="B250" t="str">
            <v>End market exposure as % of revenues - Marine (ex. O&amp;G)</v>
          </cell>
          <cell r="C250" t="str">
            <v>SALES_EMRKT_MARINE</v>
          </cell>
          <cell r="AA250">
            <v>2.5000000000000001E-2</v>
          </cell>
          <cell r="AB250">
            <v>2.5000000000000001E-2</v>
          </cell>
          <cell r="AC250">
            <v>2.5000000000000001E-2</v>
          </cell>
          <cell r="AD250">
            <v>0.02</v>
          </cell>
          <cell r="AE250">
            <v>0.02</v>
          </cell>
          <cell r="AF250">
            <v>0.02</v>
          </cell>
          <cell r="AG250">
            <v>0.02</v>
          </cell>
          <cell r="AH250">
            <v>0.02</v>
          </cell>
          <cell r="AI250">
            <v>0</v>
          </cell>
          <cell r="AJ250">
            <v>0</v>
          </cell>
          <cell r="AK250">
            <v>0</v>
          </cell>
        </row>
        <row r="251">
          <cell r="B251" t="str">
            <v>End market exposure as % of revenues - Not classified</v>
          </cell>
          <cell r="C251" t="str">
            <v>SALES_EMRKT_NC</v>
          </cell>
        </row>
        <row r="252">
          <cell r="B252" t="str">
            <v>End market exposure as % of revenues - Medical</v>
          </cell>
          <cell r="C252" t="str">
            <v>SALES_EMKT_MED</v>
          </cell>
          <cell r="X252">
            <v>0</v>
          </cell>
        </row>
        <row r="253">
          <cell r="B253" t="str">
            <v>End market exposure as % of revenues - Mining</v>
          </cell>
          <cell r="C253" t="str">
            <v>SALES_EMKT_MINING</v>
          </cell>
          <cell r="X253">
            <v>0</v>
          </cell>
          <cell r="AA253">
            <v>0.05</v>
          </cell>
          <cell r="AB253">
            <v>0.05</v>
          </cell>
          <cell r="AC253">
            <v>0.05</v>
          </cell>
          <cell r="AD253">
            <v>0</v>
          </cell>
          <cell r="AE253">
            <v>0</v>
          </cell>
          <cell r="AF253">
            <v>0</v>
          </cell>
          <cell r="AG253">
            <v>0</v>
          </cell>
          <cell r="AH253">
            <v>0</v>
          </cell>
          <cell r="AI253">
            <v>0</v>
          </cell>
          <cell r="AJ253">
            <v>0</v>
          </cell>
          <cell r="AK253">
            <v>0</v>
          </cell>
        </row>
        <row r="254">
          <cell r="B254" t="str">
            <v>End market exposure as % of revenues - Non-res construction</v>
          </cell>
          <cell r="C254" t="str">
            <v>SALES_EMKT_NRES_CONSRT</v>
          </cell>
          <cell r="X254">
            <v>0</v>
          </cell>
        </row>
        <row r="255">
          <cell r="B255" t="str">
            <v>End market exposure as % of revenues - O&amp;G</v>
          </cell>
          <cell r="C255" t="str">
            <v>SALES_EMKT_OIL_GAS</v>
          </cell>
          <cell r="X255">
            <v>0</v>
          </cell>
          <cell r="AB255">
            <v>0.06</v>
          </cell>
          <cell r="AC255">
            <v>0.06</v>
          </cell>
          <cell r="AD255">
            <v>0.06</v>
          </cell>
        </row>
        <row r="256">
          <cell r="B256" t="str">
            <v>End market exposure as % of revenues - Power Gen</v>
          </cell>
          <cell r="C256" t="str">
            <v>SALES_EMKT_PWR_GEN</v>
          </cell>
          <cell r="X256">
            <v>0</v>
          </cell>
          <cell r="AA256">
            <v>0.06</v>
          </cell>
          <cell r="AB256">
            <v>0.06</v>
          </cell>
          <cell r="AC256">
            <v>0.06</v>
          </cell>
          <cell r="AD256">
            <v>0.05</v>
          </cell>
          <cell r="AE256">
            <v>0.06</v>
          </cell>
          <cell r="AF256">
            <v>0.08</v>
          </cell>
          <cell r="AG256">
            <v>7.0000000000000007E-2</v>
          </cell>
          <cell r="AH256">
            <v>7.0000000000000007E-2</v>
          </cell>
          <cell r="AI256">
            <v>0</v>
          </cell>
          <cell r="AJ256">
            <v>0</v>
          </cell>
          <cell r="AK256">
            <v>0</v>
          </cell>
        </row>
        <row r="257">
          <cell r="B257" t="str">
            <v>End market exposure as % of revenues - Pulp &amp; paper</v>
          </cell>
          <cell r="C257" t="str">
            <v>SALES_EMRKT_PULP</v>
          </cell>
          <cell r="AA257">
            <v>2.5000000000000001E-2</v>
          </cell>
          <cell r="AB257">
            <v>2.5000000000000001E-2</v>
          </cell>
          <cell r="AC257">
            <v>2.5000000000000001E-2</v>
          </cell>
          <cell r="AD257">
            <v>0</v>
          </cell>
          <cell r="AE257">
            <v>0</v>
          </cell>
          <cell r="AF257">
            <v>0</v>
          </cell>
          <cell r="AG257">
            <v>0</v>
          </cell>
          <cell r="AH257">
            <v>0</v>
          </cell>
          <cell r="AI257">
            <v>0</v>
          </cell>
          <cell r="AJ257">
            <v>0</v>
          </cell>
          <cell r="AK257">
            <v>0</v>
          </cell>
        </row>
        <row r="258">
          <cell r="B258" t="str">
            <v>End market exposure as % of revenues - Rail</v>
          </cell>
          <cell r="C258" t="str">
            <v>SALES_EMKT_RAIL</v>
          </cell>
          <cell r="X258">
            <v>0</v>
          </cell>
          <cell r="AA258">
            <v>0.04</v>
          </cell>
          <cell r="AB258">
            <v>0.04</v>
          </cell>
          <cell r="AC258">
            <v>0.04</v>
          </cell>
          <cell r="AD258">
            <v>0.04</v>
          </cell>
          <cell r="AE258">
            <v>0.05</v>
          </cell>
          <cell r="AF258">
            <v>0.04</v>
          </cell>
          <cell r="AG258">
            <v>0.04</v>
          </cell>
          <cell r="AH258">
            <v>0.05</v>
          </cell>
          <cell r="AI258">
            <v>0</v>
          </cell>
          <cell r="AJ258">
            <v>0</v>
          </cell>
          <cell r="AK258">
            <v>0</v>
          </cell>
        </row>
        <row r="259">
          <cell r="B259" t="str">
            <v>End market exposure as % of revenues - Res construction</v>
          </cell>
          <cell r="C259" t="str">
            <v>SALES_EMKT_RES_CONSRT</v>
          </cell>
          <cell r="X259">
            <v>0</v>
          </cell>
        </row>
        <row r="260">
          <cell r="B260" t="str">
            <v>End market exposure as % of revenues - T&amp;D</v>
          </cell>
          <cell r="C260" t="str">
            <v>SALES_EMKT_TRN_DIST</v>
          </cell>
          <cell r="X260">
            <v>0</v>
          </cell>
        </row>
        <row r="261">
          <cell r="B261" t="str">
            <v>End market exposure as % of revenues - Tech/telecom</v>
          </cell>
          <cell r="C261" t="str">
            <v>SALES_EMKT_TECH_TELCO</v>
          </cell>
          <cell r="X261">
            <v>0</v>
          </cell>
        </row>
        <row r="262">
          <cell r="B262" t="str">
            <v>End market exposure as % of revenues - Vehicle</v>
          </cell>
          <cell r="C262" t="str">
            <v>SALES_EMKT_VHCLE</v>
          </cell>
          <cell r="X262">
            <v>0</v>
          </cell>
          <cell r="AA262">
            <v>0.35</v>
          </cell>
          <cell r="AB262">
            <v>0.35</v>
          </cell>
          <cell r="AC262">
            <v>0.36</v>
          </cell>
          <cell r="AD262">
            <v>0.31</v>
          </cell>
          <cell r="AE262">
            <v>0.35</v>
          </cell>
          <cell r="AF262">
            <v>0.35</v>
          </cell>
          <cell r="AG262">
            <v>0.36</v>
          </cell>
          <cell r="AH262">
            <v>0.3</v>
          </cell>
          <cell r="AI262">
            <v>0</v>
          </cell>
          <cell r="AJ262">
            <v>0</v>
          </cell>
          <cell r="AK262">
            <v>0</v>
          </cell>
        </row>
        <row r="263">
          <cell r="A263" t="str">
            <v>Geographical Breakdown</v>
          </cell>
        </row>
        <row r="264">
          <cell r="B264" t="str">
            <v>Sales - % Canada</v>
          </cell>
          <cell r="C264" t="str">
            <v>SALES_CANADA</v>
          </cell>
          <cell r="U264">
            <v>0</v>
          </cell>
          <cell r="V264">
            <v>0</v>
          </cell>
        </row>
        <row r="265">
          <cell r="B265" t="str">
            <v>Sales - % United States</v>
          </cell>
          <cell r="C265" t="str">
            <v>SALES_US</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0.154</v>
          </cell>
          <cell r="U265">
            <v>0.156</v>
          </cell>
          <cell r="V265">
            <v>0.157</v>
          </cell>
          <cell r="W265">
            <v>0.17</v>
          </cell>
          <cell r="X265">
            <v>0.2</v>
          </cell>
          <cell r="Y265">
            <v>0.22</v>
          </cell>
          <cell r="Z265">
            <v>0.22</v>
          </cell>
          <cell r="AA265">
            <v>0.22</v>
          </cell>
          <cell r="AB265">
            <v>0.22</v>
          </cell>
          <cell r="AC265">
            <v>0.2</v>
          </cell>
          <cell r="AD265">
            <v>0.2</v>
          </cell>
          <cell r="AE265">
            <v>0.2</v>
          </cell>
          <cell r="AF265">
            <v>0.2</v>
          </cell>
          <cell r="AG265">
            <v>0.181818181818</v>
          </cell>
          <cell r="AH265">
            <v>0.181818181818</v>
          </cell>
          <cell r="AI265">
            <v>0.181818181818</v>
          </cell>
          <cell r="AJ265">
            <v>0.181818181818</v>
          </cell>
          <cell r="AK265">
            <v>0.181818181818</v>
          </cell>
          <cell r="AL265">
            <v>0.181818181818</v>
          </cell>
        </row>
        <row r="266">
          <cell r="B266" t="str">
            <v>Sales - % Other North Americas</v>
          </cell>
          <cell r="C266" t="str">
            <v>SALES_OTH_NO_AMER</v>
          </cell>
          <cell r="Y266">
            <v>0.04</v>
          </cell>
          <cell r="Z266">
            <v>0.04</v>
          </cell>
          <cell r="AA266">
            <v>0.04</v>
          </cell>
          <cell r="AB266">
            <v>0.04</v>
          </cell>
          <cell r="AC266">
            <v>0.01</v>
          </cell>
          <cell r="AD266">
            <v>0.01</v>
          </cell>
          <cell r="AE266">
            <v>0.02</v>
          </cell>
          <cell r="AF266">
            <v>0.02</v>
          </cell>
          <cell r="AG266">
            <v>1.3124924921E-2</v>
          </cell>
          <cell r="AH266">
            <v>1.3124924921E-2</v>
          </cell>
          <cell r="AI266">
            <v>1.3124924921E-2</v>
          </cell>
          <cell r="AJ266">
            <v>1.3124924921E-2</v>
          </cell>
          <cell r="AK266">
            <v>1.3124924921E-2</v>
          </cell>
          <cell r="AL266">
            <v>1.3124924921E-2</v>
          </cell>
        </row>
        <row r="267">
          <cell r="B267" t="str">
            <v>Sales - % Argentina</v>
          </cell>
          <cell r="C267" t="str">
            <v>SALES_ARGENTINA</v>
          </cell>
        </row>
        <row r="268">
          <cell r="B268" t="str">
            <v>Sales - % Brazil</v>
          </cell>
          <cell r="C268" t="str">
            <v>SALES_BRAZIL</v>
          </cell>
          <cell r="Y268">
            <v>2.5806451612999999E-2</v>
          </cell>
          <cell r="Z268">
            <v>2.5806451612999999E-2</v>
          </cell>
          <cell r="AA268">
            <v>2.5806451612999999E-2</v>
          </cell>
          <cell r="AB268">
            <v>2.5806451612999999E-2</v>
          </cell>
          <cell r="AC268">
            <v>0.03</v>
          </cell>
          <cell r="AD268">
            <v>0.03</v>
          </cell>
          <cell r="AE268">
            <v>0.03</v>
          </cell>
          <cell r="AF268">
            <v>0.03</v>
          </cell>
          <cell r="AG268">
            <v>3.8571428571000002E-2</v>
          </cell>
          <cell r="AH268">
            <v>3.8571428571000002E-2</v>
          </cell>
          <cell r="AI268">
            <v>3.8571428571000002E-2</v>
          </cell>
          <cell r="AJ268">
            <v>3.8571428571000002E-2</v>
          </cell>
          <cell r="AK268">
            <v>3.8571428571000002E-2</v>
          </cell>
          <cell r="AL268">
            <v>3.8571428571000002E-2</v>
          </cell>
        </row>
        <row r="269">
          <cell r="B269" t="str">
            <v>Sales - % Chile</v>
          </cell>
          <cell r="C269" t="str">
            <v>SALES_CHILE</v>
          </cell>
        </row>
        <row r="270">
          <cell r="B270" t="str">
            <v>Sales - % Colombia</v>
          </cell>
          <cell r="C270" t="str">
            <v>SALES_COLOMBIA</v>
          </cell>
        </row>
        <row r="271">
          <cell r="B271" t="str">
            <v>Sales - % Mexico</v>
          </cell>
          <cell r="C271" t="str">
            <v>SALES_MEXICO</v>
          </cell>
        </row>
        <row r="272">
          <cell r="B272" t="str">
            <v>Sales - % Venezuela</v>
          </cell>
          <cell r="C272" t="str">
            <v>SALES_VENEZUELA</v>
          </cell>
        </row>
        <row r="273">
          <cell r="B273" t="str">
            <v>Sales - % Other Latin Americas</v>
          </cell>
          <cell r="C273" t="str">
            <v>SALES_OTH_LATAM</v>
          </cell>
          <cell r="Y273">
            <v>3.4193548386999999E-2</v>
          </cell>
          <cell r="Z273">
            <v>3.4193548386999999E-2</v>
          </cell>
          <cell r="AA273">
            <v>3.4193548386999999E-2</v>
          </cell>
          <cell r="AB273">
            <v>3.4193548386999999E-2</v>
          </cell>
          <cell r="AC273">
            <v>0.05</v>
          </cell>
          <cell r="AD273">
            <v>0.05</v>
          </cell>
          <cell r="AE273">
            <v>0.04</v>
          </cell>
          <cell r="AF273">
            <v>0.04</v>
          </cell>
          <cell r="AG273">
            <v>5.5564283266999998E-2</v>
          </cell>
          <cell r="AH273">
            <v>5.5564283266999998E-2</v>
          </cell>
          <cell r="AI273">
            <v>5.5564283266999998E-2</v>
          </cell>
          <cell r="AJ273">
            <v>5.5564283266999998E-2</v>
          </cell>
          <cell r="AK273">
            <v>5.5564283266999998E-2</v>
          </cell>
          <cell r="AL273">
            <v>5.5564283266999998E-2</v>
          </cell>
        </row>
        <row r="274">
          <cell r="B274" t="str">
            <v>Sales - % Austria</v>
          </cell>
          <cell r="C274" t="str">
            <v>SALES_AUSTRIA</v>
          </cell>
        </row>
        <row r="275">
          <cell r="B275" t="str">
            <v>Sales - % Belgium</v>
          </cell>
          <cell r="C275" t="str">
            <v>SALES_BEL</v>
          </cell>
        </row>
        <row r="276">
          <cell r="B276" t="str">
            <v>Sales - % France</v>
          </cell>
          <cell r="C276" t="str">
            <v>SALES_FRA</v>
          </cell>
          <cell r="Y276">
            <v>4.7693329999999999E-2</v>
          </cell>
          <cell r="Z276">
            <v>4.7693329999999999E-2</v>
          </cell>
          <cell r="AA276">
            <v>4.7693329999999999E-2</v>
          </cell>
          <cell r="AB276">
            <v>4.7693329999999999E-2</v>
          </cell>
          <cell r="AC276">
            <v>0.05</v>
          </cell>
          <cell r="AD276">
            <v>0.05</v>
          </cell>
          <cell r="AE276">
            <v>4.7693329999999999E-2</v>
          </cell>
          <cell r="AF276">
            <v>4.7693329999999999E-2</v>
          </cell>
          <cell r="AG276">
            <v>5.1592228403999997E-2</v>
          </cell>
          <cell r="AH276">
            <v>5.1592228403999997E-2</v>
          </cell>
          <cell r="AI276">
            <v>5.1592228403999997E-2</v>
          </cell>
          <cell r="AJ276">
            <v>5.1592228403999997E-2</v>
          </cell>
          <cell r="AK276">
            <v>5.1592228403999997E-2</v>
          </cell>
          <cell r="AL276">
            <v>5.1592228403999997E-2</v>
          </cell>
        </row>
        <row r="277">
          <cell r="B277" t="str">
            <v>Sales - % Germany</v>
          </cell>
          <cell r="C277" t="str">
            <v>SALES_GER</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Y277">
            <v>0.12</v>
          </cell>
          <cell r="Z277">
            <v>0.12</v>
          </cell>
          <cell r="AA277">
            <v>0.12</v>
          </cell>
          <cell r="AB277">
            <v>0.12</v>
          </cell>
          <cell r="AC277">
            <v>0.12</v>
          </cell>
          <cell r="AD277">
            <v>0.12</v>
          </cell>
          <cell r="AE277">
            <v>0.1</v>
          </cell>
          <cell r="AF277">
            <v>0.1</v>
          </cell>
          <cell r="AG277">
            <v>0.108174934322</v>
          </cell>
          <cell r="AH277">
            <v>0.108174934322</v>
          </cell>
          <cell r="AI277">
            <v>0.108174934322</v>
          </cell>
          <cell r="AJ277">
            <v>0.108174934322</v>
          </cell>
          <cell r="AK277">
            <v>0.108174934322</v>
          </cell>
          <cell r="AL277">
            <v>0.108174934322</v>
          </cell>
        </row>
        <row r="278">
          <cell r="B278" t="str">
            <v>Sales - % Greece</v>
          </cell>
          <cell r="C278" t="str">
            <v>SALES_GRE</v>
          </cell>
        </row>
        <row r="279">
          <cell r="B279" t="str">
            <v>Sales - % Ireland</v>
          </cell>
          <cell r="C279" t="str">
            <v>SALES_IRE</v>
          </cell>
        </row>
        <row r="280">
          <cell r="B280" t="str">
            <v>Sales - % Italy</v>
          </cell>
          <cell r="C280" t="str">
            <v>SALES_ITA</v>
          </cell>
          <cell r="Y280">
            <v>3.7747179999999998E-2</v>
          </cell>
          <cell r="Z280">
            <v>3.7747179999999998E-2</v>
          </cell>
          <cell r="AA280">
            <v>3.7747179999999998E-2</v>
          </cell>
          <cell r="AB280">
            <v>3.7747179999999998E-2</v>
          </cell>
          <cell r="AC280">
            <v>3.7747179999999998E-2</v>
          </cell>
          <cell r="AD280">
            <v>3.7747179999999998E-2</v>
          </cell>
          <cell r="AE280">
            <v>3.7747179999999998E-2</v>
          </cell>
          <cell r="AF280">
            <v>3.7747179999999998E-2</v>
          </cell>
          <cell r="AG280">
            <v>4.0832987174000003E-2</v>
          </cell>
          <cell r="AH280">
            <v>4.0832987174000003E-2</v>
          </cell>
          <cell r="AI280">
            <v>4.0832987174000003E-2</v>
          </cell>
          <cell r="AJ280">
            <v>4.0832987174000003E-2</v>
          </cell>
          <cell r="AK280">
            <v>4.0832987174000003E-2</v>
          </cell>
          <cell r="AL280">
            <v>4.0832987174000003E-2</v>
          </cell>
        </row>
        <row r="281">
          <cell r="B281" t="str">
            <v>Sales - % Netherlands</v>
          </cell>
          <cell r="C281" t="str">
            <v>SALES_NETH</v>
          </cell>
        </row>
        <row r="282">
          <cell r="B282" t="str">
            <v>Sales - % Norway</v>
          </cell>
          <cell r="C282" t="str">
            <v>SALES_NOR</v>
          </cell>
        </row>
        <row r="283">
          <cell r="B283" t="str">
            <v>Sales - % Portugal</v>
          </cell>
          <cell r="C283" t="str">
            <v>SALES_POR</v>
          </cell>
        </row>
        <row r="284">
          <cell r="B284" t="str">
            <v>Sales - % Spain</v>
          </cell>
          <cell r="C284" t="str">
            <v>SALES_SPA</v>
          </cell>
          <cell r="Y284">
            <v>2.5400639999999999E-2</v>
          </cell>
          <cell r="Z284">
            <v>2.5400639999999999E-2</v>
          </cell>
          <cell r="AA284">
            <v>2.5400639999999999E-2</v>
          </cell>
          <cell r="AB284">
            <v>2.5400639999999999E-2</v>
          </cell>
          <cell r="AC284">
            <v>2.5400639999999999E-2</v>
          </cell>
          <cell r="AD284">
            <v>2.5400639999999999E-2</v>
          </cell>
          <cell r="AE284">
            <v>2.5400639999999999E-2</v>
          </cell>
          <cell r="AF284">
            <v>2.5400639999999999E-2</v>
          </cell>
          <cell r="AG284">
            <v>2.7477125636999999E-2</v>
          </cell>
          <cell r="AH284">
            <v>2.7477125636999999E-2</v>
          </cell>
          <cell r="AI284">
            <v>2.7477125636999999E-2</v>
          </cell>
          <cell r="AJ284">
            <v>2.7477125636999999E-2</v>
          </cell>
          <cell r="AK284">
            <v>2.7477125636999999E-2</v>
          </cell>
          <cell r="AL284">
            <v>2.7477125636999999E-2</v>
          </cell>
        </row>
        <row r="285">
          <cell r="B285" t="str">
            <v>Sales - % Sweden</v>
          </cell>
          <cell r="C285" t="str">
            <v>SALES_SWE</v>
          </cell>
          <cell r="Y285">
            <v>0.02</v>
          </cell>
          <cell r="Z285">
            <v>0.02</v>
          </cell>
          <cell r="AA285">
            <v>0.02</v>
          </cell>
          <cell r="AB285">
            <v>0.02</v>
          </cell>
          <cell r="AC285">
            <v>2.6040390606E-2</v>
          </cell>
          <cell r="AD285">
            <v>2.6040390606E-2</v>
          </cell>
          <cell r="AE285">
            <v>2.3252299071000002E-2</v>
          </cell>
          <cell r="AF285">
            <v>2.3252299071000002E-2</v>
          </cell>
          <cell r="AG285">
            <v>2.5153159248999999E-2</v>
          </cell>
          <cell r="AH285">
            <v>2.5153159248999999E-2</v>
          </cell>
          <cell r="AI285">
            <v>2.5153159248999999E-2</v>
          </cell>
          <cell r="AJ285">
            <v>2.5153159248999999E-2</v>
          </cell>
          <cell r="AK285">
            <v>2.5153159248999999E-2</v>
          </cell>
          <cell r="AL285">
            <v>2.5153159248999999E-2</v>
          </cell>
        </row>
        <row r="286">
          <cell r="B286" t="str">
            <v>Sales - % Switzerland</v>
          </cell>
          <cell r="C286" t="str">
            <v>SALES_SWIT</v>
          </cell>
        </row>
        <row r="287">
          <cell r="B287" t="str">
            <v>Sales - % UK</v>
          </cell>
          <cell r="C287" t="str">
            <v>SALES_UK</v>
          </cell>
          <cell r="Y287">
            <v>4.1739999999999999E-2</v>
          </cell>
          <cell r="Z287">
            <v>4.1739999999999999E-2</v>
          </cell>
          <cell r="AA287">
            <v>4.1739999999999999E-2</v>
          </cell>
          <cell r="AB287">
            <v>4.1739999999999999E-2</v>
          </cell>
          <cell r="AC287">
            <v>4.1739999999999999E-2</v>
          </cell>
          <cell r="AD287">
            <v>4.1739999999999999E-2</v>
          </cell>
          <cell r="AE287">
            <v>4.1739999999999999E-2</v>
          </cell>
          <cell r="AF287">
            <v>4.1739999999999999E-2</v>
          </cell>
          <cell r="AG287">
            <v>4.5152217586E-2</v>
          </cell>
          <cell r="AH287">
            <v>4.5152217586E-2</v>
          </cell>
          <cell r="AI287">
            <v>4.5152217586E-2</v>
          </cell>
          <cell r="AJ287">
            <v>4.5152217586E-2</v>
          </cell>
          <cell r="AK287">
            <v>4.5152217586E-2</v>
          </cell>
          <cell r="AL287">
            <v>4.5152217586E-2</v>
          </cell>
        </row>
        <row r="288">
          <cell r="B288" t="str">
            <v>Sales - % Other Western Europe</v>
          </cell>
          <cell r="C288" t="str">
            <v>SALES_OTH_WEST_EURO</v>
          </cell>
          <cell r="Y288">
            <v>4.7418849999999999E-2</v>
          </cell>
          <cell r="Z288">
            <v>4.7418849999999999E-2</v>
          </cell>
          <cell r="AA288">
            <v>4.7418849999999999E-2</v>
          </cell>
          <cell r="AB288">
            <v>4.7418849999999999E-2</v>
          </cell>
          <cell r="AC288">
            <v>1.7569618990000001E-2</v>
          </cell>
          <cell r="AD288">
            <v>1.7569618990000001E-2</v>
          </cell>
          <cell r="AE288">
            <v>5.2426550928999997E-2</v>
          </cell>
          <cell r="AF288">
            <v>5.2426550928999997E-2</v>
          </cell>
          <cell r="AG288">
            <v>5.6712387034999999E-2</v>
          </cell>
          <cell r="AH288">
            <v>5.6712387034999999E-2</v>
          </cell>
          <cell r="AI288">
            <v>5.6712387034999999E-2</v>
          </cell>
          <cell r="AJ288">
            <v>5.6712387034999999E-2</v>
          </cell>
          <cell r="AK288">
            <v>5.6712387034999999E-2</v>
          </cell>
          <cell r="AL288">
            <v>5.6712387034999999E-2</v>
          </cell>
        </row>
        <row r="289">
          <cell r="B289" t="str">
            <v>Sales - % Poland</v>
          </cell>
          <cell r="C289" t="str">
            <v>SALES_POLAND</v>
          </cell>
        </row>
        <row r="290">
          <cell r="B290" t="str">
            <v>Sales - % Russia</v>
          </cell>
          <cell r="C290" t="str">
            <v>SALES_RUSSIA</v>
          </cell>
          <cell r="Z290">
            <v>0</v>
          </cell>
          <cell r="AA290">
            <v>0</v>
          </cell>
          <cell r="AB290">
            <v>0</v>
          </cell>
          <cell r="AC290">
            <v>0</v>
          </cell>
        </row>
        <row r="291">
          <cell r="B291" t="str">
            <v>Sales - % Turkey</v>
          </cell>
          <cell r="C291" t="str">
            <v>SALES_TURKEY</v>
          </cell>
        </row>
        <row r="292">
          <cell r="B292" t="str">
            <v>Sales - % Other CEE</v>
          </cell>
          <cell r="C292" t="str">
            <v>SALES_OTH_CEE</v>
          </cell>
          <cell r="Y292">
            <v>0.05</v>
          </cell>
          <cell r="Z292">
            <v>0.05</v>
          </cell>
          <cell r="AA292">
            <v>0.05</v>
          </cell>
          <cell r="AB292">
            <v>0.05</v>
          </cell>
          <cell r="AC292">
            <v>0.05</v>
          </cell>
          <cell r="AD292">
            <v>0.05</v>
          </cell>
          <cell r="AE292">
            <v>0.05</v>
          </cell>
          <cell r="AF292">
            <v>0.05</v>
          </cell>
          <cell r="AG292">
            <v>5.4087467160999998E-2</v>
          </cell>
          <cell r="AH292">
            <v>5.4087467160999998E-2</v>
          </cell>
          <cell r="AI292">
            <v>5.4087467160999998E-2</v>
          </cell>
          <cell r="AJ292">
            <v>5.4087467160999998E-2</v>
          </cell>
          <cell r="AK292">
            <v>5.4087467160999998E-2</v>
          </cell>
          <cell r="AL292">
            <v>5.4087467160999998E-2</v>
          </cell>
        </row>
        <row r="293">
          <cell r="B293" t="str">
            <v>Sales - % Saudi Arabia</v>
          </cell>
          <cell r="C293" t="str">
            <v>SALES_SAUDI_ARABIA</v>
          </cell>
          <cell r="Y293">
            <v>1.4999999999999999E-2</v>
          </cell>
          <cell r="Z293">
            <v>1.4999999999999999E-2</v>
          </cell>
          <cell r="AA293">
            <v>1.4999999999999999E-2</v>
          </cell>
          <cell r="AB293">
            <v>1.4999999999999999E-2</v>
          </cell>
          <cell r="AC293">
            <v>0.01</v>
          </cell>
          <cell r="AD293">
            <v>0.01</v>
          </cell>
          <cell r="AE293">
            <v>0.01</v>
          </cell>
          <cell r="AF293">
            <v>0.01</v>
          </cell>
          <cell r="AG293">
            <v>1.0817493431999999E-2</v>
          </cell>
          <cell r="AH293">
            <v>1.0817493431999999E-2</v>
          </cell>
          <cell r="AI293">
            <v>1.0817493431999999E-2</v>
          </cell>
          <cell r="AJ293">
            <v>1.0817493431999999E-2</v>
          </cell>
          <cell r="AK293">
            <v>1.0817493431999999E-2</v>
          </cell>
          <cell r="AL293">
            <v>1.0817493431999999E-2</v>
          </cell>
        </row>
        <row r="294">
          <cell r="B294" t="str">
            <v>Sales - % United Arab Emirates</v>
          </cell>
          <cell r="C294" t="str">
            <v>SALES_UAE</v>
          </cell>
        </row>
        <row r="295">
          <cell r="B295" t="str">
            <v>Sales - % Other Middle East</v>
          </cell>
          <cell r="C295" t="str">
            <v>SALES_OTH_ME</v>
          </cell>
          <cell r="Z295">
            <v>0</v>
          </cell>
          <cell r="AA295">
            <v>0</v>
          </cell>
          <cell r="AB295">
            <v>0</v>
          </cell>
          <cell r="AC295">
            <v>0</v>
          </cell>
        </row>
        <row r="296">
          <cell r="B296" t="str">
            <v>Sales - % Nigeria</v>
          </cell>
          <cell r="C296" t="str">
            <v>SALES_NIGERIA</v>
          </cell>
          <cell r="AA296">
            <v>0</v>
          </cell>
        </row>
        <row r="297">
          <cell r="B297" t="str">
            <v>Sales - % South Africa</v>
          </cell>
          <cell r="C297" t="str">
            <v>SALES_SO_AFRICA</v>
          </cell>
          <cell r="Y297">
            <v>1.4999999999999999E-2</v>
          </cell>
          <cell r="Z297">
            <v>1.4999999999999999E-2</v>
          </cell>
          <cell r="AA297">
            <v>1.4999999999999999E-2</v>
          </cell>
          <cell r="AB297">
            <v>1.4999999999999999E-2</v>
          </cell>
          <cell r="AC297">
            <v>0</v>
          </cell>
          <cell r="AD297">
            <v>0</v>
          </cell>
          <cell r="AE297">
            <v>0</v>
          </cell>
          <cell r="AF297">
            <v>0</v>
          </cell>
          <cell r="AG297">
            <v>0</v>
          </cell>
          <cell r="AH297">
            <v>0</v>
          </cell>
          <cell r="AI297">
            <v>0</v>
          </cell>
          <cell r="AJ297">
            <v>0</v>
          </cell>
          <cell r="AK297">
            <v>0</v>
          </cell>
        </row>
        <row r="298">
          <cell r="B298" t="str">
            <v>Sales - % Other Africa</v>
          </cell>
          <cell r="C298" t="str">
            <v>SALES_OTH_AFRICA</v>
          </cell>
          <cell r="Z298">
            <v>0</v>
          </cell>
          <cell r="AA298">
            <v>0</v>
          </cell>
        </row>
        <row r="299">
          <cell r="B299" t="str">
            <v>Sales - % Hong Kong</v>
          </cell>
          <cell r="C299" t="str">
            <v>SALES_HONG_KONG</v>
          </cell>
        </row>
        <row r="300">
          <cell r="B300" t="str">
            <v>Sales - % Japan</v>
          </cell>
          <cell r="C300" t="str">
            <v>SALES_JAPAN</v>
          </cell>
          <cell r="AA300">
            <v>0</v>
          </cell>
        </row>
        <row r="301">
          <cell r="B301" t="str">
            <v>Sales - % Singapore</v>
          </cell>
          <cell r="C301" t="str">
            <v>SALES_SINGAPORE</v>
          </cell>
        </row>
        <row r="302">
          <cell r="B302" t="str">
            <v>Sales - % South Korea</v>
          </cell>
          <cell r="C302" t="str">
            <v>SALES_SK</v>
          </cell>
          <cell r="U302">
            <v>0</v>
          </cell>
          <cell r="V302">
            <v>0</v>
          </cell>
          <cell r="W302">
            <v>0</v>
          </cell>
          <cell r="X302">
            <v>0</v>
          </cell>
          <cell r="Y302">
            <v>0</v>
          </cell>
          <cell r="Z302">
            <v>0</v>
          </cell>
          <cell r="AA302">
            <v>0</v>
          </cell>
        </row>
        <row r="303">
          <cell r="B303" t="str">
            <v>Sales - % Taiwan</v>
          </cell>
          <cell r="C303" t="str">
            <v>SALES_TAIWAN</v>
          </cell>
        </row>
        <row r="304">
          <cell r="B304" t="str">
            <v>Sales - % Other Developed Asia</v>
          </cell>
          <cell r="C304" t="str">
            <v>SALES_OTH_DEV_ASIA</v>
          </cell>
          <cell r="Z304">
            <v>0</v>
          </cell>
          <cell r="AA304">
            <v>0</v>
          </cell>
          <cell r="AB304">
            <v>0</v>
          </cell>
          <cell r="AC304">
            <v>0</v>
          </cell>
        </row>
        <row r="305">
          <cell r="B305" t="str">
            <v>Sales - % China</v>
          </cell>
          <cell r="C305" t="str">
            <v>SALES_CHINA</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7.9000000000000001E-2</v>
          </cell>
          <cell r="U305">
            <v>0.109</v>
          </cell>
          <cell r="V305">
            <v>0.129</v>
          </cell>
          <cell r="W305">
            <v>0.12</v>
          </cell>
          <cell r="X305">
            <v>0.11</v>
          </cell>
          <cell r="Y305">
            <v>0.14000000000000001</v>
          </cell>
          <cell r="Z305">
            <v>0.14000000000000001</v>
          </cell>
          <cell r="AA305">
            <v>0.14000000000000001</v>
          </cell>
          <cell r="AB305">
            <v>0.14000000000000001</v>
          </cell>
          <cell r="AC305">
            <v>0.16</v>
          </cell>
          <cell r="AD305">
            <v>0.16</v>
          </cell>
          <cell r="AE305">
            <v>0.17</v>
          </cell>
          <cell r="AF305">
            <v>0.17</v>
          </cell>
          <cell r="AG305">
            <v>0.18259259259300001</v>
          </cell>
          <cell r="AH305">
            <v>0.18259259259300001</v>
          </cell>
          <cell r="AI305">
            <v>0.18259259259300001</v>
          </cell>
          <cell r="AJ305">
            <v>0.18259259259300001</v>
          </cell>
          <cell r="AK305">
            <v>0.18259259259300001</v>
          </cell>
          <cell r="AL305">
            <v>0.18259259259300001</v>
          </cell>
        </row>
        <row r="306">
          <cell r="B306" t="str">
            <v>Sales - % India</v>
          </cell>
          <cell r="C306" t="str">
            <v>SALES_INDIA</v>
          </cell>
          <cell r="Y306">
            <v>0.04</v>
          </cell>
          <cell r="Z306">
            <v>0.04</v>
          </cell>
          <cell r="AA306">
            <v>0.04</v>
          </cell>
          <cell r="AB306">
            <v>0.04</v>
          </cell>
          <cell r="AC306">
            <v>0.04</v>
          </cell>
          <cell r="AD306">
            <v>0.04</v>
          </cell>
          <cell r="AE306">
            <v>0.04</v>
          </cell>
          <cell r="AF306">
            <v>0.04</v>
          </cell>
          <cell r="AG306">
            <v>4.2962962963E-2</v>
          </cell>
          <cell r="AH306">
            <v>4.2962962963E-2</v>
          </cell>
          <cell r="AI306">
            <v>4.2962962963E-2</v>
          </cell>
          <cell r="AJ306">
            <v>4.2962962963E-2</v>
          </cell>
          <cell r="AK306">
            <v>4.2962962963E-2</v>
          </cell>
          <cell r="AL306">
            <v>4.2962962963E-2</v>
          </cell>
        </row>
        <row r="307">
          <cell r="B307" t="str">
            <v>Sales - % Indonesia</v>
          </cell>
          <cell r="C307" t="str">
            <v>SALES_INDONESIA</v>
          </cell>
        </row>
        <row r="308">
          <cell r="B308" t="str">
            <v>Sales - % Thailand</v>
          </cell>
          <cell r="C308" t="str">
            <v>SALES_THAILAND</v>
          </cell>
        </row>
        <row r="309">
          <cell r="B309" t="str">
            <v>Sales - % Other Emerging Asia</v>
          </cell>
          <cell r="C309" t="str">
            <v>SALES_OTH_EMERG_ASIA</v>
          </cell>
          <cell r="Y309">
            <v>0.08</v>
          </cell>
          <cell r="Z309">
            <v>0.08</v>
          </cell>
          <cell r="AA309">
            <v>0.08</v>
          </cell>
          <cell r="AB309">
            <v>0.08</v>
          </cell>
          <cell r="AC309">
            <v>0.08</v>
          </cell>
          <cell r="AD309">
            <v>0.08</v>
          </cell>
          <cell r="AE309">
            <v>0.06</v>
          </cell>
          <cell r="AF309">
            <v>0.06</v>
          </cell>
          <cell r="AG309">
            <v>6.4444444444000007E-2</v>
          </cell>
          <cell r="AH309">
            <v>6.4444444444000007E-2</v>
          </cell>
          <cell r="AI309">
            <v>6.4444444444000007E-2</v>
          </cell>
          <cell r="AJ309">
            <v>6.4444444444000007E-2</v>
          </cell>
          <cell r="AK309">
            <v>6.4444444444000007E-2</v>
          </cell>
          <cell r="AL309">
            <v>6.4444444444000007E-2</v>
          </cell>
        </row>
        <row r="310">
          <cell r="B310" t="str">
            <v>Sales - % Australia</v>
          </cell>
          <cell r="C310" t="str">
            <v>SALES_AUSTRA</v>
          </cell>
        </row>
        <row r="311">
          <cell r="B311" t="str">
            <v>Sales - % New Zealand</v>
          </cell>
          <cell r="C311" t="str">
            <v>SALES_NZ</v>
          </cell>
        </row>
        <row r="312">
          <cell r="B312" t="str">
            <v>Sales - % Others</v>
          </cell>
          <cell r="C312" t="str">
            <v>SALES_OTHER</v>
          </cell>
          <cell r="AA312">
            <v>0</v>
          </cell>
          <cell r="AC312">
            <v>5.1740000000000001E-2</v>
          </cell>
          <cell r="AD312">
            <v>5.1740000000000001E-2</v>
          </cell>
          <cell r="AE312">
            <v>5.1740000000000001E-2</v>
          </cell>
          <cell r="AF312">
            <v>5.1740000000000001E-2</v>
          </cell>
          <cell r="AG312">
            <v>9.2118142200000002E-4</v>
          </cell>
          <cell r="AH312">
            <v>9.2118142200000002E-4</v>
          </cell>
          <cell r="AI312">
            <v>9.2118142200000002E-4</v>
          </cell>
          <cell r="AJ312">
            <v>9.2118142200000002E-4</v>
          </cell>
          <cell r="AK312">
            <v>9.2118142200000002E-4</v>
          </cell>
          <cell r="AL312">
            <v>9.2118142200000002E-4</v>
          </cell>
        </row>
        <row r="313">
          <cell r="B313" t="str">
            <v>% of CoGS from U.S. (GS estimate)</v>
          </cell>
          <cell r="C313" t="str">
            <v>COGS_PCT_US</v>
          </cell>
          <cell r="Z313">
            <v>0.11947691774499999</v>
          </cell>
          <cell r="AA313">
            <v>0.11947691774499999</v>
          </cell>
          <cell r="AB313">
            <v>0.11947691774499999</v>
          </cell>
          <cell r="AC313">
            <v>0.11947691774499999</v>
          </cell>
          <cell r="AD313">
            <v>0.11947691774499999</v>
          </cell>
          <cell r="AE313">
            <v>0.11947691774499999</v>
          </cell>
          <cell r="AF313">
            <v>0.11947691774499999</v>
          </cell>
        </row>
        <row r="314">
          <cell r="B314" t="str">
            <v>% of CoGS from non-U.S. (GS estimate)</v>
          </cell>
          <cell r="C314" t="str">
            <v>COGS_PCT_ROW</v>
          </cell>
          <cell r="Z314">
            <v>0.88052308225499998</v>
          </cell>
          <cell r="AA314">
            <v>0.88052308225499998</v>
          </cell>
          <cell r="AB314">
            <v>0.88052308225499998</v>
          </cell>
          <cell r="AC314">
            <v>0.88052308225499998</v>
          </cell>
          <cell r="AD314">
            <v>0.88052308225499998</v>
          </cell>
          <cell r="AE314">
            <v>0.88052308225499998</v>
          </cell>
          <cell r="AF314">
            <v>0.88052308225499998</v>
          </cell>
        </row>
        <row r="315">
          <cell r="B315" t="str">
            <v>% of SG&amp;A from U.S. (GS estimate)</v>
          </cell>
          <cell r="C315" t="str">
            <v>SGA_PCT_US</v>
          </cell>
          <cell r="Z315">
            <v>0.22</v>
          </cell>
          <cell r="AA315">
            <v>0.22</v>
          </cell>
          <cell r="AB315">
            <v>0.22</v>
          </cell>
          <cell r="AC315">
            <v>0.22</v>
          </cell>
          <cell r="AD315">
            <v>0.22</v>
          </cell>
          <cell r="AE315">
            <v>0.22</v>
          </cell>
          <cell r="AF315">
            <v>0.22</v>
          </cell>
        </row>
        <row r="316">
          <cell r="B316" t="str">
            <v>% of SG&amp;A from non-U.S. (GS estimate)</v>
          </cell>
          <cell r="C316" t="str">
            <v>SGA_PCT_ROW</v>
          </cell>
          <cell r="Z316">
            <v>0.78</v>
          </cell>
          <cell r="AA316">
            <v>0.78</v>
          </cell>
          <cell r="AB316">
            <v>0.78</v>
          </cell>
          <cell r="AC316">
            <v>0.78</v>
          </cell>
          <cell r="AD316">
            <v>0.78</v>
          </cell>
          <cell r="AE316">
            <v>0.78</v>
          </cell>
          <cell r="AF316">
            <v>0.78</v>
          </cell>
        </row>
        <row r="317">
          <cell r="B317" t="str">
            <v>Sales -% Consumer (C)</v>
          </cell>
          <cell r="C317" t="str">
            <v>SALES_CONS</v>
          </cell>
          <cell r="U317">
            <v>0.26</v>
          </cell>
          <cell r="V317">
            <v>0.26</v>
          </cell>
          <cell r="W317">
            <v>0.26</v>
          </cell>
          <cell r="X317">
            <v>0.26</v>
          </cell>
          <cell r="Y317">
            <v>0.26</v>
          </cell>
          <cell r="Z317">
            <v>0.26</v>
          </cell>
          <cell r="AA317">
            <v>0.26</v>
          </cell>
          <cell r="AB317">
            <v>0.26</v>
          </cell>
          <cell r="AC317">
            <v>0.26</v>
          </cell>
          <cell r="AD317">
            <v>0.26</v>
          </cell>
          <cell r="AE317">
            <v>0.26</v>
          </cell>
          <cell r="AF317">
            <v>0.26</v>
          </cell>
          <cell r="AG317">
            <v>0.26</v>
          </cell>
          <cell r="AH317">
            <v>0.26</v>
          </cell>
          <cell r="AI317">
            <v>0.26</v>
          </cell>
          <cell r="AJ317">
            <v>0.26</v>
          </cell>
          <cell r="AK317">
            <v>0.26</v>
          </cell>
          <cell r="AL317">
            <v>0.26</v>
          </cell>
        </row>
        <row r="318">
          <cell r="B318" t="str">
            <v>Sales -% Industry (I)</v>
          </cell>
          <cell r="C318" t="str">
            <v>SALES_IND</v>
          </cell>
          <cell r="U318">
            <v>0.74</v>
          </cell>
          <cell r="V318">
            <v>0.74</v>
          </cell>
          <cell r="W318">
            <v>0.74</v>
          </cell>
          <cell r="X318">
            <v>0.74</v>
          </cell>
          <cell r="Y318">
            <v>0.74</v>
          </cell>
          <cell r="Z318">
            <v>0.74</v>
          </cell>
          <cell r="AA318">
            <v>0.74</v>
          </cell>
          <cell r="AB318">
            <v>0.74</v>
          </cell>
          <cell r="AC318">
            <v>0.74</v>
          </cell>
          <cell r="AD318">
            <v>0.74</v>
          </cell>
          <cell r="AE318">
            <v>0.74</v>
          </cell>
          <cell r="AF318">
            <v>0.74</v>
          </cell>
          <cell r="AG318">
            <v>0.74</v>
          </cell>
          <cell r="AH318">
            <v>0.74</v>
          </cell>
          <cell r="AI318">
            <v>0.74</v>
          </cell>
          <cell r="AJ318">
            <v>0.74</v>
          </cell>
          <cell r="AK318">
            <v>0.74</v>
          </cell>
          <cell r="AL318">
            <v>0.74</v>
          </cell>
        </row>
        <row r="319">
          <cell r="B319" t="str">
            <v>Sales -% Government (G)</v>
          </cell>
          <cell r="C319" t="str">
            <v>SALES_GOV</v>
          </cell>
          <cell r="U319">
            <v>0</v>
          </cell>
          <cell r="V319">
            <v>0</v>
          </cell>
          <cell r="W319">
            <v>0</v>
          </cell>
          <cell r="X319">
            <v>0</v>
          </cell>
          <cell r="Y319">
            <v>0</v>
          </cell>
          <cell r="Z319">
            <v>0</v>
          </cell>
          <cell r="AA319">
            <v>0</v>
          </cell>
          <cell r="AB319">
            <v>0</v>
          </cell>
          <cell r="AC319">
            <v>0</v>
          </cell>
          <cell r="AD319">
            <v>0</v>
          </cell>
          <cell r="AE319">
            <v>0</v>
          </cell>
          <cell r="AF319">
            <v>0</v>
          </cell>
        </row>
        <row r="320">
          <cell r="B320" t="str">
            <v>Sales - % Industry Sub-Segment: Financial Services</v>
          </cell>
          <cell r="C320" t="str">
            <v>SALES_FINAN</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cell r="X323">
            <v>0</v>
          </cell>
        </row>
        <row r="324">
          <cell r="B324" t="str">
            <v>Sales - % Oil derivatives/NGLs/plastics</v>
          </cell>
          <cell r="C324" t="str">
            <v>SALES_OIL_DERIV_NGLS_PLASTICS</v>
          </cell>
          <cell r="X324">
            <v>0</v>
          </cell>
        </row>
        <row r="325">
          <cell r="B325" t="str">
            <v>Sales - % Nat Gas</v>
          </cell>
          <cell r="C325" t="str">
            <v>SALES_NAT_GAS</v>
          </cell>
          <cell r="X325">
            <v>0</v>
          </cell>
        </row>
        <row r="326">
          <cell r="B326" t="str">
            <v>Sales - % Gold</v>
          </cell>
          <cell r="C326" t="str">
            <v>SALES_GOLD</v>
          </cell>
          <cell r="X326">
            <v>0</v>
          </cell>
        </row>
        <row r="327">
          <cell r="B327" t="str">
            <v>Sales - % Copper</v>
          </cell>
          <cell r="C327" t="str">
            <v>SALES_COPPER</v>
          </cell>
          <cell r="X327">
            <v>0</v>
          </cell>
        </row>
        <row r="328">
          <cell r="B328" t="str">
            <v>Sales - % Silver</v>
          </cell>
          <cell r="C328" t="str">
            <v>SALES_SILVER</v>
          </cell>
          <cell r="X328">
            <v>0</v>
          </cell>
        </row>
        <row r="329">
          <cell r="B329" t="str">
            <v>Sales - % Platinum</v>
          </cell>
          <cell r="C329" t="str">
            <v>SALES_PLATINUM</v>
          </cell>
          <cell r="X329">
            <v>0</v>
          </cell>
        </row>
        <row r="330">
          <cell r="B330" t="str">
            <v>Sales - % Palladium</v>
          </cell>
          <cell r="C330" t="str">
            <v>SALES_PALLADIUM</v>
          </cell>
          <cell r="X330">
            <v>0</v>
          </cell>
        </row>
        <row r="331">
          <cell r="B331" t="str">
            <v>Sales - % Aluminium</v>
          </cell>
          <cell r="C331" t="str">
            <v>SALES_ALUMINIUM</v>
          </cell>
          <cell r="X331">
            <v>0</v>
          </cell>
        </row>
        <row r="332">
          <cell r="B332" t="str">
            <v>Sales - % Nickel</v>
          </cell>
          <cell r="C332" t="str">
            <v>SALES_NICKEL</v>
          </cell>
          <cell r="X332">
            <v>0</v>
          </cell>
        </row>
        <row r="333">
          <cell r="B333" t="str">
            <v>Sales - % Zinc</v>
          </cell>
          <cell r="C333" t="str">
            <v>SALES_ZINC</v>
          </cell>
          <cell r="X333">
            <v>0</v>
          </cell>
        </row>
        <row r="334">
          <cell r="B334" t="str">
            <v>Sales - % Steel</v>
          </cell>
          <cell r="C334" t="str">
            <v>SALES_STEEL</v>
          </cell>
          <cell r="X334">
            <v>0</v>
          </cell>
        </row>
        <row r="335">
          <cell r="B335" t="str">
            <v>Sales - % Tin</v>
          </cell>
          <cell r="C335" t="str">
            <v>SALES_TIN</v>
          </cell>
          <cell r="X335">
            <v>0</v>
          </cell>
        </row>
        <row r="336">
          <cell r="B336" t="str">
            <v>Sales - % Iron Ore</v>
          </cell>
          <cell r="C336" t="str">
            <v>SALES_IRON_ORE</v>
          </cell>
          <cell r="X336">
            <v>0</v>
          </cell>
        </row>
        <row r="337">
          <cell r="B337" t="str">
            <v>Sales - % Ferrochrome</v>
          </cell>
          <cell r="C337" t="str">
            <v>SALES_FERROCHROME</v>
          </cell>
          <cell r="X337">
            <v>0</v>
          </cell>
        </row>
        <row r="338">
          <cell r="B338" t="str">
            <v>Sales - % Diamonds</v>
          </cell>
          <cell r="C338" t="str">
            <v>SALES_DIAMONDS</v>
          </cell>
          <cell r="X338">
            <v>0</v>
          </cell>
        </row>
        <row r="339">
          <cell r="B339" t="str">
            <v>Sales - % Coal: thermal</v>
          </cell>
          <cell r="C339" t="str">
            <v>SALES_COAL_THERMAL</v>
          </cell>
          <cell r="X339">
            <v>0</v>
          </cell>
        </row>
        <row r="340">
          <cell r="B340" t="str">
            <v>Sales - % Coal: Metallurgical</v>
          </cell>
          <cell r="C340" t="str">
            <v>SALES_COAL_MET</v>
          </cell>
          <cell r="X340">
            <v>0</v>
          </cell>
        </row>
        <row r="341">
          <cell r="B341" t="str">
            <v>Sales - % Paper/pulp</v>
          </cell>
          <cell r="C341" t="str">
            <v>SALES_PAPER_PULP</v>
          </cell>
          <cell r="X341">
            <v>0</v>
          </cell>
        </row>
        <row r="342">
          <cell r="B342" t="str">
            <v>Sales - % Glass</v>
          </cell>
          <cell r="C342" t="str">
            <v>SALES_GLASS</v>
          </cell>
          <cell r="X342">
            <v>0</v>
          </cell>
        </row>
        <row r="343">
          <cell r="B343" t="str">
            <v>Sales - % Cement</v>
          </cell>
          <cell r="C343" t="str">
            <v>SALES_CEMENT</v>
          </cell>
          <cell r="X343">
            <v>0</v>
          </cell>
        </row>
        <row r="344">
          <cell r="B344" t="str">
            <v>Sales - % Palm oil</v>
          </cell>
          <cell r="C344" t="str">
            <v>SALES_PALM_OIL</v>
          </cell>
          <cell r="X344">
            <v>0</v>
          </cell>
        </row>
        <row r="345">
          <cell r="B345" t="str">
            <v>Sales - % Other commodity</v>
          </cell>
          <cell r="C345" t="str">
            <v>SALES_OTH_COMMODITY</v>
          </cell>
          <cell r="X345">
            <v>0</v>
          </cell>
        </row>
        <row r="346">
          <cell r="B346" t="str">
            <v>Sales - % Other (Non-Commodity) sales sources</v>
          </cell>
          <cell r="C346" t="str">
            <v>SALES_OTH_SALES_SOURCES</v>
          </cell>
        </row>
        <row r="347">
          <cell r="A347" t="str">
            <v>Commodities Exposure - Expense</v>
          </cell>
        </row>
        <row r="348">
          <cell r="B348" t="str">
            <v>Expense - % Oil/Petrol/Fuel</v>
          </cell>
          <cell r="C348" t="str">
            <v>EXP_OIL_PETRO_FUEL</v>
          </cell>
          <cell r="X348">
            <v>0</v>
          </cell>
          <cell r="Y348">
            <v>0.05</v>
          </cell>
          <cell r="Z348">
            <v>0.05</v>
          </cell>
          <cell r="AA348">
            <v>0.05</v>
          </cell>
          <cell r="AB348">
            <v>0.05</v>
          </cell>
          <cell r="AC348">
            <v>0.05</v>
          </cell>
          <cell r="AD348">
            <v>0.05</v>
          </cell>
          <cell r="AE348">
            <v>0.05</v>
          </cell>
          <cell r="AF348">
            <v>0.05</v>
          </cell>
          <cell r="AG348">
            <v>0.05</v>
          </cell>
          <cell r="AH348">
            <v>0.05</v>
          </cell>
          <cell r="AI348">
            <v>0.05</v>
          </cell>
          <cell r="AJ348">
            <v>0.05</v>
          </cell>
          <cell r="AK348">
            <v>0.05</v>
          </cell>
          <cell r="AL348">
            <v>0.05</v>
          </cell>
        </row>
        <row r="349">
          <cell r="B349" t="str">
            <v>Expense - % Oil derivatives/NGLs/plastics</v>
          </cell>
          <cell r="C349" t="str">
            <v>EXP_OIL_DERIV_NGLS_PLASTICS</v>
          </cell>
          <cell r="X349">
            <v>0</v>
          </cell>
          <cell r="Y349">
            <v>0.05</v>
          </cell>
          <cell r="Z349">
            <v>0.05</v>
          </cell>
          <cell r="AA349">
            <v>0.05</v>
          </cell>
          <cell r="AB349">
            <v>0.05</v>
          </cell>
          <cell r="AC349">
            <v>0.05</v>
          </cell>
          <cell r="AD349">
            <v>0.05</v>
          </cell>
          <cell r="AE349">
            <v>0.05</v>
          </cell>
          <cell r="AF349">
            <v>0.05</v>
          </cell>
          <cell r="AG349">
            <v>0.05</v>
          </cell>
          <cell r="AH349">
            <v>0.05</v>
          </cell>
          <cell r="AI349">
            <v>0.05</v>
          </cell>
          <cell r="AJ349">
            <v>0.05</v>
          </cell>
          <cell r="AK349">
            <v>0.05</v>
          </cell>
          <cell r="AL349">
            <v>0.05</v>
          </cell>
        </row>
        <row r="350">
          <cell r="B350" t="str">
            <v>Expense - % Nat Gas</v>
          </cell>
          <cell r="C350" t="str">
            <v>EXP_NAT_GAS</v>
          </cell>
          <cell r="X350">
            <v>0</v>
          </cell>
        </row>
        <row r="351">
          <cell r="B351" t="str">
            <v>Expense - % Gold</v>
          </cell>
          <cell r="C351" t="str">
            <v>EXP_GOLD</v>
          </cell>
          <cell r="X351">
            <v>0</v>
          </cell>
        </row>
        <row r="352">
          <cell r="B352" t="str">
            <v>Expense - % Copper</v>
          </cell>
          <cell r="C352" t="str">
            <v>EXP_COPPER</v>
          </cell>
          <cell r="X352">
            <v>0</v>
          </cell>
        </row>
        <row r="353">
          <cell r="B353" t="str">
            <v>Expense - % Silver</v>
          </cell>
          <cell r="C353" t="str">
            <v>EXP_SILVER</v>
          </cell>
          <cell r="X353">
            <v>0</v>
          </cell>
        </row>
        <row r="354">
          <cell r="B354" t="str">
            <v>Expense - % Platinum</v>
          </cell>
          <cell r="C354" t="str">
            <v>EXP_PLATINUM</v>
          </cell>
          <cell r="X354">
            <v>0</v>
          </cell>
        </row>
        <row r="355">
          <cell r="B355" t="str">
            <v>Expense - % Palladium</v>
          </cell>
          <cell r="C355" t="str">
            <v>EXP_PALLADIUM</v>
          </cell>
          <cell r="X355">
            <v>0</v>
          </cell>
        </row>
        <row r="356">
          <cell r="B356" t="str">
            <v>Expense - % Aluminium</v>
          </cell>
          <cell r="C356" t="str">
            <v>EXP_ALUMINIUM</v>
          </cell>
          <cell r="X356">
            <v>0</v>
          </cell>
        </row>
        <row r="357">
          <cell r="B357" t="str">
            <v>Expense - % Nickel</v>
          </cell>
          <cell r="C357" t="str">
            <v>EXP_NICKEL</v>
          </cell>
          <cell r="X357">
            <v>0</v>
          </cell>
        </row>
        <row r="358">
          <cell r="B358" t="str">
            <v>Expense - % Zinc</v>
          </cell>
          <cell r="C358" t="str">
            <v>EXP_ZINC</v>
          </cell>
          <cell r="X358">
            <v>0</v>
          </cell>
        </row>
        <row r="359">
          <cell r="B359" t="str">
            <v>Expense - % Steel</v>
          </cell>
          <cell r="C359" t="str">
            <v>EXP_STEEL</v>
          </cell>
          <cell r="X359">
            <v>0</v>
          </cell>
        </row>
        <row r="360">
          <cell r="B360" t="str">
            <v>Expense - % Tin</v>
          </cell>
          <cell r="C360" t="str">
            <v>EXP_TIN</v>
          </cell>
          <cell r="X360">
            <v>0</v>
          </cell>
        </row>
        <row r="361">
          <cell r="B361" t="str">
            <v>Expense - % Iron Ore</v>
          </cell>
          <cell r="C361" t="str">
            <v>EXP_IRON_ORE</v>
          </cell>
          <cell r="X361">
            <v>0</v>
          </cell>
        </row>
        <row r="362">
          <cell r="B362" t="str">
            <v>Expense - % Ferrochrome</v>
          </cell>
          <cell r="C362" t="str">
            <v>EXP_FERROCHROME</v>
          </cell>
          <cell r="X362">
            <v>0</v>
          </cell>
        </row>
        <row r="363">
          <cell r="B363" t="str">
            <v>Expense - % Diamonds</v>
          </cell>
          <cell r="C363" t="str">
            <v>EXP_DIAMONDS</v>
          </cell>
          <cell r="X363">
            <v>0</v>
          </cell>
        </row>
        <row r="364">
          <cell r="B364" t="str">
            <v>Expense - % Paper/pulp</v>
          </cell>
          <cell r="C364" t="str">
            <v>EXP_PAPER_PULP</v>
          </cell>
          <cell r="X364">
            <v>0</v>
          </cell>
        </row>
        <row r="365">
          <cell r="B365" t="str">
            <v>Expense - % Lumber</v>
          </cell>
          <cell r="C365" t="str">
            <v>EXP_LUMBER</v>
          </cell>
          <cell r="X365">
            <v>0</v>
          </cell>
        </row>
        <row r="366">
          <cell r="B366" t="str">
            <v>Expense - % Glass</v>
          </cell>
          <cell r="C366" t="str">
            <v>EXP_GLASS</v>
          </cell>
          <cell r="X366">
            <v>0</v>
          </cell>
        </row>
        <row r="367">
          <cell r="B367" t="str">
            <v>Expense - % Cement</v>
          </cell>
          <cell r="C367" t="str">
            <v>EXP_CEMENT</v>
          </cell>
          <cell r="X367">
            <v>0</v>
          </cell>
        </row>
        <row r="368">
          <cell r="B368" t="str">
            <v>Expense - % Rubber</v>
          </cell>
          <cell r="C368" t="str">
            <v>EXP_RUBBER</v>
          </cell>
          <cell r="X368">
            <v>0</v>
          </cell>
        </row>
        <row r="369">
          <cell r="B369" t="str">
            <v>Expense - % Water</v>
          </cell>
          <cell r="C369" t="str">
            <v>EXP_WATER</v>
          </cell>
          <cell r="X369">
            <v>0</v>
          </cell>
        </row>
        <row r="370">
          <cell r="B370" t="str">
            <v>Expense - % Other commodity</v>
          </cell>
          <cell r="C370" t="str">
            <v>EXP_OTH_COMMODITY</v>
          </cell>
          <cell r="X370">
            <v>0</v>
          </cell>
        </row>
        <row r="371">
          <cell r="B371" t="str">
            <v>Expense - % Other (Non-Commodity) cost</v>
          </cell>
          <cell r="C371" t="str">
            <v>EXP_OTH_COST</v>
          </cell>
        </row>
        <row r="372">
          <cell r="A372" t="str">
            <v>FX Exposure - Sales</v>
          </cell>
        </row>
        <row r="373">
          <cell r="B373" t="str">
            <v>Sales - % FX: British Pounds/Pence</v>
          </cell>
          <cell r="C373" t="str">
            <v>SALES_FX_GPB</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row>
        <row r="374">
          <cell r="B374" t="str">
            <v>Sales - % FX: Euro</v>
          </cell>
          <cell r="C374" t="str">
            <v>SALES_FX_EUR</v>
          </cell>
          <cell r="F374">
            <v>0.54</v>
          </cell>
          <cell r="G374">
            <v>0.56999999999999995</v>
          </cell>
          <cell r="H374">
            <v>0.54</v>
          </cell>
          <cell r="I374">
            <v>0.52</v>
          </cell>
          <cell r="J374">
            <v>0.54</v>
          </cell>
          <cell r="K374">
            <v>0.53</v>
          </cell>
          <cell r="L374">
            <v>0.5</v>
          </cell>
          <cell r="M374">
            <v>0.51</v>
          </cell>
          <cell r="N374">
            <v>0.52</v>
          </cell>
          <cell r="O374">
            <v>0.55000000000000004</v>
          </cell>
          <cell r="P374">
            <v>0.54</v>
          </cell>
          <cell r="Q374">
            <v>0.54</v>
          </cell>
          <cell r="R374">
            <v>0.53</v>
          </cell>
          <cell r="S374">
            <v>0.55000000000000004</v>
          </cell>
          <cell r="T374">
            <v>0.55000000000000004</v>
          </cell>
          <cell r="U374">
            <v>0.51191740622799997</v>
          </cell>
          <cell r="V374">
            <v>0.458867259827</v>
          </cell>
          <cell r="W374">
            <v>0.45750030204199998</v>
          </cell>
          <cell r="X374">
            <v>0.43331784746399998</v>
          </cell>
          <cell r="Y374">
            <v>0.42245153073300001</v>
          </cell>
          <cell r="Z374">
            <v>0.42</v>
          </cell>
          <cell r="AA374">
            <v>0.41</v>
          </cell>
          <cell r="AB374">
            <v>0.41</v>
          </cell>
          <cell r="AC374">
            <v>0.41</v>
          </cell>
          <cell r="AD374">
            <v>0.42</v>
          </cell>
          <cell r="AE374">
            <v>0.41674770092899999</v>
          </cell>
          <cell r="AF374">
            <v>0.39483180142099999</v>
          </cell>
          <cell r="AG374">
            <v>0.397108109431</v>
          </cell>
          <cell r="AH374">
            <v>0.4</v>
          </cell>
          <cell r="AI374">
            <v>0.4</v>
          </cell>
          <cell r="AJ374">
            <v>0.4</v>
          </cell>
          <cell r="AK374">
            <v>0.4</v>
          </cell>
          <cell r="AL374">
            <v>0.4</v>
          </cell>
        </row>
        <row r="375">
          <cell r="B375" t="str">
            <v>Sales - % FX: New Russian Ruble</v>
          </cell>
          <cell r="C375" t="str">
            <v>SALES_FX_RUB</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row>
        <row r="376">
          <cell r="B376" t="str">
            <v>Sales - % FX: U.S. Dollar</v>
          </cell>
          <cell r="C376" t="str">
            <v>SALES_FX_USD</v>
          </cell>
          <cell r="F376">
            <v>0.26</v>
          </cell>
          <cell r="G376">
            <v>0.22</v>
          </cell>
          <cell r="H376">
            <v>0.24</v>
          </cell>
          <cell r="I376">
            <v>0.25</v>
          </cell>
          <cell r="J376">
            <v>0.25</v>
          </cell>
          <cell r="K376">
            <v>0.26</v>
          </cell>
          <cell r="L376">
            <v>0.27</v>
          </cell>
          <cell r="M376">
            <v>0.26</v>
          </cell>
          <cell r="N376">
            <v>0.26</v>
          </cell>
          <cell r="O376">
            <v>0.22</v>
          </cell>
          <cell r="P376">
            <v>0.2</v>
          </cell>
          <cell r="Q376">
            <v>0.2</v>
          </cell>
          <cell r="R376">
            <v>0.2</v>
          </cell>
          <cell r="S376">
            <v>0.18</v>
          </cell>
          <cell r="T376">
            <v>0.17</v>
          </cell>
          <cell r="U376">
            <v>0.17</v>
          </cell>
          <cell r="V376">
            <v>0.18</v>
          </cell>
          <cell r="W376">
            <v>0.19</v>
          </cell>
          <cell r="X376">
            <v>0.22</v>
          </cell>
          <cell r="Y376">
            <v>0.24</v>
          </cell>
          <cell r="Z376">
            <v>0.25</v>
          </cell>
          <cell r="AA376">
            <v>0.21</v>
          </cell>
          <cell r="AB376">
            <v>0.21</v>
          </cell>
          <cell r="AC376">
            <v>0.23</v>
          </cell>
          <cell r="AD376">
            <v>0.23</v>
          </cell>
          <cell r="AE376">
            <v>0.22</v>
          </cell>
          <cell r="AF376">
            <v>0.209104365949</v>
          </cell>
          <cell r="AG376">
            <v>0.2</v>
          </cell>
          <cell r="AH376">
            <v>0.19</v>
          </cell>
          <cell r="AI376">
            <v>0.19</v>
          </cell>
          <cell r="AJ376">
            <v>0.19</v>
          </cell>
          <cell r="AK376">
            <v>0.19</v>
          </cell>
          <cell r="AL376">
            <v>0.19</v>
          </cell>
        </row>
        <row r="377">
          <cell r="B377" t="str">
            <v>Sales - % FX: Brazilian Real</v>
          </cell>
          <cell r="C377" t="str">
            <v>SALES_FX_BRL</v>
          </cell>
          <cell r="F377">
            <v>0.05</v>
          </cell>
          <cell r="G377">
            <v>0.05</v>
          </cell>
          <cell r="H377">
            <v>0.05</v>
          </cell>
          <cell r="I377">
            <v>0.06</v>
          </cell>
          <cell r="J377">
            <v>0.06</v>
          </cell>
          <cell r="K377">
            <v>0.05</v>
          </cell>
          <cell r="L377">
            <v>0.05</v>
          </cell>
          <cell r="M377">
            <v>0.05</v>
          </cell>
          <cell r="N377">
            <v>0.04</v>
          </cell>
          <cell r="O377">
            <v>0.04</v>
          </cell>
          <cell r="P377">
            <v>4296</v>
          </cell>
          <cell r="Q377">
            <v>0.05</v>
          </cell>
          <cell r="R377">
            <v>0.05</v>
          </cell>
          <cell r="S377">
            <v>0.05</v>
          </cell>
          <cell r="T377">
            <v>0.05</v>
          </cell>
          <cell r="U377">
            <v>0.06</v>
          </cell>
          <cell r="V377">
            <v>0.06</v>
          </cell>
          <cell r="W377">
            <v>0.06</v>
          </cell>
          <cell r="X377">
            <v>0.08</v>
          </cell>
          <cell r="Y377">
            <v>7.0000000000000007E-2</v>
          </cell>
          <cell r="Z377">
            <v>0.06</v>
          </cell>
          <cell r="AA377">
            <v>7.0000000000000007E-2</v>
          </cell>
          <cell r="AB377">
            <v>7.0000000000000007E-2</v>
          </cell>
          <cell r="AC377">
            <v>0.08</v>
          </cell>
          <cell r="AD377">
            <v>0.05</v>
          </cell>
          <cell r="AE377">
            <v>7.0000000000000007E-2</v>
          </cell>
          <cell r="AF377">
            <v>7.6343451076999996E-2</v>
          </cell>
          <cell r="AG377">
            <v>0.09</v>
          </cell>
          <cell r="AH377">
            <v>0.09</v>
          </cell>
          <cell r="AI377">
            <v>0.09</v>
          </cell>
          <cell r="AJ377">
            <v>0.09</v>
          </cell>
          <cell r="AK377">
            <v>0.09</v>
          </cell>
          <cell r="AL377">
            <v>0.09</v>
          </cell>
        </row>
        <row r="378">
          <cell r="B378" t="str">
            <v>Sales - % FX: Japanese Yen</v>
          </cell>
          <cell r="C378" t="str">
            <v>SALES_FX_YEN</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row>
        <row r="379">
          <cell r="B379" t="str">
            <v>Sales - % FX: Chinese Renminbi</v>
          </cell>
          <cell r="C379" t="str">
            <v>SALES_FX_CNY</v>
          </cell>
          <cell r="F379">
            <v>0.1</v>
          </cell>
          <cell r="G379">
            <v>0.1</v>
          </cell>
          <cell r="H379">
            <v>0.11</v>
          </cell>
          <cell r="I379">
            <v>0.12</v>
          </cell>
          <cell r="J379">
            <v>0.1</v>
          </cell>
          <cell r="K379">
            <v>0.11</v>
          </cell>
          <cell r="L379">
            <v>0.13</v>
          </cell>
          <cell r="M379">
            <v>0.13</v>
          </cell>
          <cell r="N379">
            <v>0.13</v>
          </cell>
          <cell r="O379">
            <v>0.14000000000000001</v>
          </cell>
          <cell r="P379">
            <v>0.15</v>
          </cell>
          <cell r="Q379">
            <v>0.17</v>
          </cell>
          <cell r="R379">
            <v>0.18</v>
          </cell>
          <cell r="S379">
            <v>0.18</v>
          </cell>
          <cell r="T379">
            <v>0.19</v>
          </cell>
          <cell r="U379">
            <v>0.23</v>
          </cell>
          <cell r="V379">
            <v>0.27</v>
          </cell>
          <cell r="W379">
            <v>0.26</v>
          </cell>
          <cell r="X379">
            <v>0.24</v>
          </cell>
          <cell r="Y379">
            <v>0.24</v>
          </cell>
          <cell r="Z379">
            <v>0.25</v>
          </cell>
          <cell r="AA379">
            <v>0.28999999999999998</v>
          </cell>
          <cell r="AB379">
            <v>0.28999999999999998</v>
          </cell>
          <cell r="AC379">
            <v>0.26</v>
          </cell>
          <cell r="AD379">
            <v>0.28000000000000003</v>
          </cell>
          <cell r="AE379">
            <v>0.27</v>
          </cell>
          <cell r="AF379">
            <v>0.29727609148700002</v>
          </cell>
          <cell r="AG379">
            <v>0.28999999999999998</v>
          </cell>
          <cell r="AH379">
            <v>0.3</v>
          </cell>
          <cell r="AI379">
            <v>0.3</v>
          </cell>
          <cell r="AJ379">
            <v>0.3</v>
          </cell>
          <cell r="AK379">
            <v>0.3</v>
          </cell>
          <cell r="AL379">
            <v>0.3</v>
          </cell>
        </row>
        <row r="380">
          <cell r="B380" t="str">
            <v>Sales - % FX: Indian Rupee</v>
          </cell>
          <cell r="C380" t="str">
            <v>SALES_FX_INR</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row>
        <row r="381">
          <cell r="B381" t="str">
            <v>Sales - % FX: South African Rand</v>
          </cell>
          <cell r="C381" t="str">
            <v>SALES_FX_ZAR</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row>
        <row r="382">
          <cell r="B382" t="str">
            <v>Sales - % FX: Nigerian Naira</v>
          </cell>
          <cell r="C382" t="str">
            <v>SALES_FX_NGN</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row>
        <row r="383">
          <cell r="B383" t="str">
            <v>Sales - % FX: Swiss Franc</v>
          </cell>
          <cell r="C383" t="str">
            <v>SALES_FX_CHF</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row>
        <row r="384">
          <cell r="B384" t="str">
            <v>Sales - % FX: UAE Dirham</v>
          </cell>
          <cell r="C384" t="str">
            <v>SALES_FX_AED</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row>
        <row r="385">
          <cell r="B385" t="str">
            <v>Sales - % FX: New Turkish Lira</v>
          </cell>
          <cell r="C385" t="str">
            <v>SALES_FX_TRY</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row>
        <row r="386">
          <cell r="B386" t="str">
            <v>Sales - % FX: Other Currency</v>
          </cell>
          <cell r="C386" t="str">
            <v>SALES_FX_OTH</v>
          </cell>
          <cell r="F386">
            <v>0.05</v>
          </cell>
          <cell r="G386">
            <v>0.06</v>
          </cell>
          <cell r="H386">
            <v>0.06</v>
          </cell>
          <cell r="I386">
            <v>0.05</v>
          </cell>
          <cell r="J386">
            <v>0.05</v>
          </cell>
          <cell r="K386">
            <v>0.05</v>
          </cell>
          <cell r="L386">
            <v>0.05</v>
          </cell>
          <cell r="M386">
            <v>0.05</v>
          </cell>
          <cell r="N386">
            <v>0.05</v>
          </cell>
          <cell r="O386">
            <v>0.05</v>
          </cell>
          <cell r="P386">
            <v>-4295.8900000000003</v>
          </cell>
          <cell r="Q386">
            <v>0.04</v>
          </cell>
          <cell r="R386">
            <v>0.04</v>
          </cell>
          <cell r="S386">
            <v>0.04</v>
          </cell>
          <cell r="T386">
            <v>0.04</v>
          </cell>
          <cell r="U386">
            <v>2.8082593772000002E-2</v>
          </cell>
          <cell r="V386">
            <v>3.1132740172999999E-2</v>
          </cell>
          <cell r="W386">
            <v>3.2499697958E-2</v>
          </cell>
          <cell r="X386">
            <v>2.6682152535999999E-2</v>
          </cell>
          <cell r="Y386">
            <v>2.7548469267000001E-2</v>
          </cell>
          <cell r="Z386">
            <v>0.02</v>
          </cell>
          <cell r="AA386">
            <v>0.02</v>
          </cell>
          <cell r="AB386">
            <v>0.02</v>
          </cell>
          <cell r="AC386">
            <v>0.02</v>
          </cell>
          <cell r="AD386">
            <v>0.02</v>
          </cell>
          <cell r="AE386">
            <v>2.3252299071000002E-2</v>
          </cell>
          <cell r="AF386">
            <v>2.2444290065999999E-2</v>
          </cell>
          <cell r="AG386">
            <v>2.2891890569000001E-2</v>
          </cell>
          <cell r="AH386">
            <v>0.02</v>
          </cell>
          <cell r="AI386">
            <v>0.02</v>
          </cell>
          <cell r="AJ386">
            <v>0.02</v>
          </cell>
          <cell r="AK386">
            <v>0.02</v>
          </cell>
          <cell r="AL386">
            <v>0.02</v>
          </cell>
        </row>
        <row r="387">
          <cell r="A387" t="str">
            <v>Items to be removed</v>
          </cell>
        </row>
        <row r="388">
          <cell r="B388" t="str">
            <v>Sales - Total % Americas</v>
          </cell>
          <cell r="C388" t="str">
            <v>SALES_TOT_AM</v>
          </cell>
        </row>
        <row r="389">
          <cell r="B389" t="str">
            <v>Sales - % Other Americas</v>
          </cell>
          <cell r="C389" t="str">
            <v>SALES_OTH_AM</v>
          </cell>
        </row>
        <row r="390">
          <cell r="B390" t="str">
            <v>Sales - Total % EMEA</v>
          </cell>
          <cell r="C390" t="str">
            <v>SALES_TOT_EMEA</v>
          </cell>
        </row>
        <row r="391">
          <cell r="B391" t="str">
            <v>Sales - % Western Europe-Ex UK</v>
          </cell>
          <cell r="C391" t="str">
            <v>SALES_EU_EX_UK</v>
          </cell>
        </row>
        <row r="392">
          <cell r="B392" t="str">
            <v>Sales - % Other Western Europe-Ex UK</v>
          </cell>
          <cell r="C392" t="str">
            <v>SALES_OTH_EU_EX_UK</v>
          </cell>
        </row>
        <row r="393">
          <cell r="B393" t="str">
            <v>Sales - % Central &amp; Eastern Europe</v>
          </cell>
          <cell r="C393" t="str">
            <v>SALES_CEE</v>
          </cell>
        </row>
        <row r="394">
          <cell r="B394" t="str">
            <v>Sales - % Middle East</v>
          </cell>
          <cell r="C394" t="str">
            <v>SALES_ME</v>
          </cell>
        </row>
        <row r="395">
          <cell r="B395" t="str">
            <v>Sales - % Total Africa</v>
          </cell>
          <cell r="C395" t="str">
            <v>SALES_TOT_AFRICA</v>
          </cell>
          <cell r="AA395">
            <v>0</v>
          </cell>
        </row>
        <row r="396">
          <cell r="B396" t="str">
            <v>Sales - % Other EMEA</v>
          </cell>
          <cell r="C396" t="str">
            <v>SALES_OTH_EMEA</v>
          </cell>
          <cell r="AA396">
            <v>0</v>
          </cell>
        </row>
        <row r="397">
          <cell r="B397" t="str">
            <v>Sales - Total % Asia (incl Australia &amp; New Zealand)</v>
          </cell>
          <cell r="C397" t="str">
            <v>SALES_TOT_ASIA</v>
          </cell>
        </row>
        <row r="398">
          <cell r="B398" t="str">
            <v>Sales - % Other Asia</v>
          </cell>
          <cell r="C398" t="str">
            <v>SALES_OTH_AEJ</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D430" t="str">
            <v>SEK</v>
          </cell>
          <cell r="F430">
            <v>2591</v>
          </cell>
          <cell r="G430">
            <v>4000</v>
          </cell>
          <cell r="H430">
            <v>2874</v>
          </cell>
          <cell r="I430">
            <v>3004</v>
          </cell>
          <cell r="J430">
            <v>2137</v>
          </cell>
          <cell r="K430">
            <v>2132</v>
          </cell>
          <cell r="L430">
            <v>3567</v>
          </cell>
          <cell r="M430">
            <v>3622</v>
          </cell>
          <cell r="N430">
            <v>3990</v>
          </cell>
          <cell r="O430">
            <v>3767</v>
          </cell>
          <cell r="P430">
            <v>4537</v>
          </cell>
          <cell r="Q430">
            <v>5493</v>
          </cell>
          <cell r="R430">
            <v>6369</v>
          </cell>
          <cell r="S430">
            <v>7799</v>
          </cell>
          <cell r="T430">
            <v>8050</v>
          </cell>
          <cell r="U430">
            <v>4478</v>
          </cell>
          <cell r="V430">
            <v>8642</v>
          </cell>
          <cell r="W430">
            <v>9712</v>
          </cell>
          <cell r="X430">
            <v>7754</v>
          </cell>
          <cell r="Y430">
            <v>7568</v>
          </cell>
          <cell r="Z430">
            <v>8291</v>
          </cell>
          <cell r="AA430">
            <v>8655</v>
          </cell>
          <cell r="AB430">
            <v>7544</v>
          </cell>
          <cell r="AC430">
            <v>9096</v>
          </cell>
          <cell r="AD430">
            <v>10264</v>
          </cell>
          <cell r="AE430">
            <v>10136</v>
          </cell>
          <cell r="AF430">
            <v>9194</v>
          </cell>
          <cell r="AG430">
            <v>10889</v>
          </cell>
          <cell r="AH430">
            <v>10204</v>
          </cell>
          <cell r="AI430">
            <v>13602.8379372934</v>
          </cell>
          <cell r="AJ430">
            <v>13873.5724945208</v>
          </cell>
          <cell r="AK430">
            <v>14586.400077951501</v>
          </cell>
          <cell r="AL430">
            <v>15148.4514634591</v>
          </cell>
        </row>
        <row r="431">
          <cell r="B431" t="str">
            <v>Division 1 EBIT</v>
          </cell>
          <cell r="C431" t="str">
            <v>DIV1_EBIT</v>
          </cell>
          <cell r="D431" t="str">
            <v>SEK</v>
          </cell>
          <cell r="Z431">
            <v>7576</v>
          </cell>
          <cell r="AA431">
            <v>7471</v>
          </cell>
          <cell r="AB431">
            <v>6112</v>
          </cell>
          <cell r="AC431">
            <v>7369</v>
          </cell>
          <cell r="AD431">
            <v>8741.3760000000002</v>
          </cell>
          <cell r="AE431">
            <v>9054.759</v>
          </cell>
          <cell r="AF431">
            <v>8153</v>
          </cell>
          <cell r="AG431">
            <v>9455</v>
          </cell>
          <cell r="AH431">
            <v>9216</v>
          </cell>
          <cell r="AI431">
            <v>12219.6371789079</v>
          </cell>
          <cell r="AJ431">
            <v>12276.449424083599</v>
          </cell>
          <cell r="AK431">
            <v>12616.8584308356</v>
          </cell>
          <cell r="AL431">
            <v>12977.3291765372</v>
          </cell>
          <cell r="CG431">
            <v>2154</v>
          </cell>
          <cell r="CH431">
            <v>2154</v>
          </cell>
          <cell r="CI431">
            <v>2205</v>
          </cell>
          <cell r="CJ431">
            <v>1670</v>
          </cell>
          <cell r="CK431">
            <v>1442</v>
          </cell>
          <cell r="CL431">
            <v>1588</v>
          </cell>
          <cell r="CM431">
            <v>1518</v>
          </cell>
          <cell r="CN431">
            <v>1749</v>
          </cell>
          <cell r="CO431">
            <v>1327</v>
          </cell>
          <cell r="CP431">
            <v>1879</v>
          </cell>
          <cell r="CQ431">
            <v>1918</v>
          </cell>
          <cell r="CR431">
            <v>1744</v>
          </cell>
          <cell r="CS431">
            <v>1719</v>
          </cell>
          <cell r="CT431">
            <v>2140</v>
          </cell>
          <cell r="CU431">
            <v>2330</v>
          </cell>
          <cell r="CV431">
            <v>2181</v>
          </cell>
          <cell r="CW431">
            <v>2779</v>
          </cell>
          <cell r="CX431">
            <v>2317</v>
          </cell>
          <cell r="CY431">
            <v>2546</v>
          </cell>
          <cell r="CZ431">
            <v>2132.7660000000001</v>
          </cell>
          <cell r="DA431">
            <v>2058.9929999999999</v>
          </cell>
          <cell r="DB431">
            <v>2251</v>
          </cell>
          <cell r="DC431">
            <v>1851</v>
          </cell>
          <cell r="DD431">
            <v>2072</v>
          </cell>
          <cell r="DE431">
            <v>1979</v>
          </cell>
          <cell r="DF431">
            <v>2271</v>
          </cell>
          <cell r="DG431">
            <v>2588</v>
          </cell>
          <cell r="DH431">
            <v>2430</v>
          </cell>
          <cell r="DI431">
            <v>2166</v>
          </cell>
          <cell r="DJ431">
            <v>2785</v>
          </cell>
          <cell r="DK431">
            <v>2360</v>
          </cell>
          <cell r="DL431">
            <v>1916</v>
          </cell>
          <cell r="DM431">
            <v>2155</v>
          </cell>
          <cell r="DN431">
            <v>3208</v>
          </cell>
          <cell r="DO431">
            <v>2959.8776863510502</v>
          </cell>
          <cell r="DP431">
            <v>2966.9755923284501</v>
          </cell>
          <cell r="DQ431">
            <v>3084.78390022845</v>
          </cell>
          <cell r="DR431">
            <v>3158.2393969437198</v>
          </cell>
          <cell r="DS431">
            <v>3204.9365448183999</v>
          </cell>
        </row>
        <row r="432">
          <cell r="B432" t="str">
            <v>Division 1 Name</v>
          </cell>
          <cell r="C432" t="str">
            <v>DIV1_NAME</v>
          </cell>
          <cell r="E432" t="str">
            <v>Industrial</v>
          </cell>
        </row>
        <row r="433">
          <cell r="B433" t="str">
            <v>Division 1 OGS</v>
          </cell>
          <cell r="C433" t="str">
            <v>DIV1_OGS</v>
          </cell>
          <cell r="AB433">
            <v>-2.8000000000000001E-2</v>
          </cell>
          <cell r="AC433">
            <v>8.4000000000000005E-2</v>
          </cell>
          <cell r="AD433">
            <v>9.4E-2</v>
          </cell>
          <cell r="AE433">
            <v>1E-3</v>
          </cell>
          <cell r="AF433">
            <v>-8.7999999999999995E-2</v>
          </cell>
          <cell r="AG433">
            <v>0.122</v>
          </cell>
          <cell r="AH433">
            <v>8.5000000000000006E-2</v>
          </cell>
          <cell r="AI433">
            <v>4.8849999999999998E-2</v>
          </cell>
          <cell r="AJ433">
            <v>2.5512571043999999E-2</v>
          </cell>
          <cell r="AK433">
            <v>3.8106856049E-2</v>
          </cell>
          <cell r="AL433">
            <v>3.8200468623999999E-2</v>
          </cell>
          <cell r="BM433">
            <v>-2.2127439193999999E-2</v>
          </cell>
          <cell r="BN433">
            <v>-2.2127439193999999E-2</v>
          </cell>
          <cell r="BO433">
            <v>0.133967817736</v>
          </cell>
          <cell r="BP433">
            <v>0.21753904170400001</v>
          </cell>
          <cell r="BQ433">
            <v>0.18060466582599999</v>
          </cell>
          <cell r="BR433">
            <v>0.22760196158599999</v>
          </cell>
          <cell r="BS433">
            <v>0.183667491435</v>
          </cell>
          <cell r="BT433">
            <v>0.106065533522</v>
          </cell>
          <cell r="BU433">
            <v>5.9530235639E-2</v>
          </cell>
          <cell r="BV433">
            <v>2.7976069961000001E-2</v>
          </cell>
          <cell r="BW433">
            <v>5.7191245989999997E-3</v>
          </cell>
          <cell r="BX433">
            <v>-5.2516485287000002E-2</v>
          </cell>
          <cell r="BY433">
            <v>-6.9041018065000001E-2</v>
          </cell>
          <cell r="BZ433">
            <v>-9.6847096534999996E-2</v>
          </cell>
          <cell r="CA433">
            <v>-5.9453377113999999E-2</v>
          </cell>
          <cell r="CB433">
            <v>-1.3978771499999999E-3</v>
          </cell>
          <cell r="CC433">
            <v>5.5166102486999997E-2</v>
          </cell>
          <cell r="CD433">
            <v>4.6204733908999998E-2</v>
          </cell>
          <cell r="CE433">
            <v>6.0191068849000003E-2</v>
          </cell>
          <cell r="CF433">
            <v>4.4572112878000003E-2</v>
          </cell>
          <cell r="CG433">
            <v>4.4058511740999999E-2</v>
          </cell>
          <cell r="CH433">
            <v>1.8206002203000001E-2</v>
          </cell>
          <cell r="CI433">
            <v>-2.4687027382000001E-2</v>
          </cell>
          <cell r="CJ433">
            <v>-5.3251676616999997E-2</v>
          </cell>
          <cell r="CK433">
            <v>-8.5368747066000006E-2</v>
          </cell>
          <cell r="CL433">
            <v>-8.1299806020999996E-2</v>
          </cell>
          <cell r="CM433">
            <v>-5.5E-2</v>
          </cell>
          <cell r="CN433">
            <v>-2.8000000000000001E-2</v>
          </cell>
          <cell r="CO433">
            <v>3.0000000000000001E-3</v>
          </cell>
          <cell r="CP433">
            <v>7.9000000000000001E-2</v>
          </cell>
          <cell r="CQ433">
            <v>7.6999999999999999E-2</v>
          </cell>
          <cell r="CR433">
            <v>9.5000000000000001E-2</v>
          </cell>
          <cell r="CS433">
            <v>7.6999999999999999E-2</v>
          </cell>
          <cell r="CT433">
            <v>8.5000000000000006E-2</v>
          </cell>
          <cell r="CU433">
            <v>0.107</v>
          </cell>
          <cell r="CV433">
            <v>9.1999999999999998E-2</v>
          </cell>
          <cell r="CW433">
            <v>8.7999999999999995E-2</v>
          </cell>
          <cell r="CX433">
            <v>0.03</v>
          </cell>
          <cell r="CY433">
            <v>6.0000000000000001E-3</v>
          </cell>
          <cell r="CZ433">
            <v>-1.4E-2</v>
          </cell>
          <cell r="DA433">
            <v>-1.2E-2</v>
          </cell>
          <cell r="DB433">
            <v>-6.7000000000000004E-2</v>
          </cell>
          <cell r="DC433">
            <v>-0.17100000000000001</v>
          </cell>
          <cell r="DD433">
            <v>-6.9000000000000006E-2</v>
          </cell>
          <cell r="DE433">
            <v>-4.3999999999999997E-2</v>
          </cell>
          <cell r="DF433">
            <v>5.3999999999999999E-2</v>
          </cell>
          <cell r="DG433">
            <v>0.217</v>
          </cell>
          <cell r="DH433">
            <v>0.13300000000000001</v>
          </cell>
          <cell r="DI433">
            <v>9.0999999999999998E-2</v>
          </cell>
          <cell r="DJ433">
            <v>0.106</v>
          </cell>
          <cell r="DK433">
            <v>6.4000000000000001E-2</v>
          </cell>
          <cell r="DL433">
            <v>8.3000000000000004E-2</v>
          </cell>
          <cell r="DM433">
            <v>8.8999999999999996E-2</v>
          </cell>
          <cell r="DN433">
            <v>9.5000000000000001E-2</v>
          </cell>
          <cell r="DO433">
            <v>3.1199999999999999E-2</v>
          </cell>
          <cell r="DP433">
            <v>4.4499999999999998E-2</v>
          </cell>
          <cell r="DQ433">
            <v>2.7734187468999999E-2</v>
          </cell>
          <cell r="DR433">
            <v>-3.0499999999999999E-2</v>
          </cell>
          <cell r="DS433">
            <v>1.0500000000000001E-2</v>
          </cell>
        </row>
        <row r="434">
          <cell r="B434" t="str">
            <v>Division 1 Order Backlog</v>
          </cell>
          <cell r="C434" t="str">
            <v>DIV1_ORDERBACKLOG</v>
          </cell>
        </row>
        <row r="435">
          <cell r="B435" t="str">
            <v>Division 1 Order Intake</v>
          </cell>
          <cell r="C435" t="str">
            <v>DIV1_ORDERINTAKE</v>
          </cell>
        </row>
        <row r="436">
          <cell r="B436" t="str">
            <v>Division 2 Sales</v>
          </cell>
          <cell r="C436" t="str">
            <v>DIV2_REVS</v>
          </cell>
          <cell r="D436" t="str">
            <v>SEK</v>
          </cell>
          <cell r="Z436">
            <v>19716</v>
          </cell>
          <cell r="AA436">
            <v>21842</v>
          </cell>
          <cell r="AB436">
            <v>22005</v>
          </cell>
          <cell r="AC436">
            <v>23966</v>
          </cell>
          <cell r="AD436">
            <v>25009</v>
          </cell>
          <cell r="AE436">
            <v>24416</v>
          </cell>
          <cell r="AF436">
            <v>20389</v>
          </cell>
          <cell r="AG436">
            <v>23173</v>
          </cell>
          <cell r="AH436">
            <v>27417</v>
          </cell>
          <cell r="AI436">
            <v>29463.014046143398</v>
          </cell>
          <cell r="AJ436">
            <v>29642.655969070998</v>
          </cell>
          <cell r="AK436">
            <v>30703.4431243654</v>
          </cell>
          <cell r="AL436">
            <v>31633.1830977145</v>
          </cell>
          <cell r="BI436">
            <v>3747</v>
          </cell>
          <cell r="BJ436">
            <v>3747</v>
          </cell>
          <cell r="BK436">
            <v>4126</v>
          </cell>
          <cell r="BL436">
            <v>4068</v>
          </cell>
          <cell r="BM436">
            <v>4110</v>
          </cell>
          <cell r="BN436">
            <v>4451</v>
          </cell>
          <cell r="BO436">
            <v>4919</v>
          </cell>
          <cell r="BP436">
            <v>4596</v>
          </cell>
          <cell r="BQ436">
            <v>4552</v>
          </cell>
          <cell r="BR436">
            <v>4763</v>
          </cell>
          <cell r="BS436">
            <v>4638</v>
          </cell>
          <cell r="BT436">
            <v>4442</v>
          </cell>
          <cell r="BU436">
            <v>4200</v>
          </cell>
          <cell r="BV436">
            <v>4585.1000000000004</v>
          </cell>
          <cell r="BW436">
            <v>4570.3999999999996</v>
          </cell>
          <cell r="BX436">
            <v>4159.05</v>
          </cell>
          <cell r="BY436">
            <v>4007.3</v>
          </cell>
          <cell r="BZ436">
            <v>4358.3</v>
          </cell>
          <cell r="CA436">
            <v>4867</v>
          </cell>
          <cell r="CB436">
            <v>4520.6000000000004</v>
          </cell>
          <cell r="CC436">
            <v>4581.25</v>
          </cell>
          <cell r="CD436">
            <v>4797.55</v>
          </cell>
          <cell r="CE436">
            <v>5094.45</v>
          </cell>
          <cell r="CF436">
            <v>4881.55</v>
          </cell>
          <cell r="CG436">
            <v>4970.3500000000004</v>
          </cell>
          <cell r="CH436">
            <v>5529</v>
          </cell>
          <cell r="CI436">
            <v>5717</v>
          </cell>
          <cell r="CJ436">
            <v>5297</v>
          </cell>
          <cell r="CK436">
            <v>5299</v>
          </cell>
          <cell r="CL436">
            <v>5337</v>
          </cell>
          <cell r="CM436">
            <v>5464</v>
          </cell>
          <cell r="CN436">
            <v>5569</v>
          </cell>
          <cell r="CO436">
            <v>5677</v>
          </cell>
          <cell r="CP436">
            <v>6138</v>
          </cell>
          <cell r="CQ436">
            <v>6219</v>
          </cell>
          <cell r="CR436">
            <v>5689</v>
          </cell>
          <cell r="CS436">
            <v>6017</v>
          </cell>
          <cell r="CT436">
            <v>6319</v>
          </cell>
          <cell r="CU436">
            <v>6690</v>
          </cell>
          <cell r="CV436">
            <v>6133</v>
          </cell>
          <cell r="CW436">
            <v>5978</v>
          </cell>
          <cell r="CX436">
            <v>6229</v>
          </cell>
          <cell r="CY436">
            <v>6427</v>
          </cell>
          <cell r="CZ436">
            <v>5913</v>
          </cell>
          <cell r="DA436">
            <v>5847</v>
          </cell>
          <cell r="DB436">
            <v>5584</v>
          </cell>
          <cell r="DC436">
            <v>3407</v>
          </cell>
          <cell r="DD436">
            <v>5446</v>
          </cell>
          <cell r="DE436">
            <v>5952</v>
          </cell>
          <cell r="DF436">
            <v>6077</v>
          </cell>
          <cell r="DG436">
            <v>5846</v>
          </cell>
          <cell r="DH436">
            <v>5399</v>
          </cell>
          <cell r="DI436">
            <v>5851</v>
          </cell>
          <cell r="DJ436">
            <v>6422</v>
          </cell>
          <cell r="DK436">
            <v>6541</v>
          </cell>
          <cell r="DL436">
            <v>7240</v>
          </cell>
          <cell r="DM436">
            <v>7214</v>
          </cell>
          <cell r="DN436">
            <v>7581</v>
          </cell>
          <cell r="DO436">
            <v>7249.1547855274603</v>
          </cell>
          <cell r="DP436">
            <v>7511.6254934294902</v>
          </cell>
          <cell r="DQ436">
            <v>7121.2337671863997</v>
          </cell>
          <cell r="DR436">
            <v>7479.10652723771</v>
          </cell>
          <cell r="DS436">
            <v>7734.3463467259498</v>
          </cell>
        </row>
        <row r="437">
          <cell r="B437" t="str">
            <v>Division 1 Sales</v>
          </cell>
          <cell r="C437" t="str">
            <v>DIV1_REVS</v>
          </cell>
          <cell r="D437" t="str">
            <v>SEK</v>
          </cell>
          <cell r="Z437">
            <v>51226</v>
          </cell>
          <cell r="AA437">
            <v>54132</v>
          </cell>
          <cell r="AB437">
            <v>50756</v>
          </cell>
          <cell r="AC437">
            <v>53972</v>
          </cell>
          <cell r="AD437">
            <v>60704</v>
          </cell>
          <cell r="AE437">
            <v>61597</v>
          </cell>
          <cell r="AF437">
            <v>54463</v>
          </cell>
          <cell r="AG437">
            <v>58559</v>
          </cell>
          <cell r="AH437">
            <v>69516</v>
          </cell>
          <cell r="AI437">
            <v>75613.827215227997</v>
          </cell>
          <cell r="AJ437">
            <v>77542.9303539549</v>
          </cell>
          <cell r="AK437">
            <v>80497.847638579697</v>
          </cell>
          <cell r="AL437">
            <v>83572.843910443495</v>
          </cell>
          <cell r="BI437">
            <v>10813</v>
          </cell>
          <cell r="BJ437">
            <v>10813</v>
          </cell>
          <cell r="BK437">
            <v>9788</v>
          </cell>
          <cell r="BL437">
            <v>9016</v>
          </cell>
          <cell r="BM437">
            <v>9516</v>
          </cell>
          <cell r="BN437">
            <v>9699</v>
          </cell>
          <cell r="BO437">
            <v>10439</v>
          </cell>
          <cell r="BP437">
            <v>10521</v>
          </cell>
          <cell r="BQ437">
            <v>10507</v>
          </cell>
          <cell r="BR437">
            <v>11577</v>
          </cell>
          <cell r="BS437">
            <v>11699</v>
          </cell>
          <cell r="BT437">
            <v>11722</v>
          </cell>
          <cell r="BU437">
            <v>11677</v>
          </cell>
          <cell r="BV437">
            <v>12345.9</v>
          </cell>
          <cell r="BW437">
            <v>12603.6</v>
          </cell>
          <cell r="BX437">
            <v>11326.95</v>
          </cell>
          <cell r="BY437">
            <v>10976.7</v>
          </cell>
          <cell r="BZ437">
            <v>10695.7</v>
          </cell>
          <cell r="CA437">
            <v>11424</v>
          </cell>
          <cell r="CB437">
            <v>11000.4</v>
          </cell>
          <cell r="CC437">
            <v>11742.75</v>
          </cell>
          <cell r="CD437">
            <v>11834.45</v>
          </cell>
          <cell r="CE437">
            <v>12745.55</v>
          </cell>
          <cell r="CF437">
            <v>12793.45</v>
          </cell>
          <cell r="CG437">
            <v>13406.65</v>
          </cell>
          <cell r="CH437">
            <v>13919</v>
          </cell>
          <cell r="CI437">
            <v>14240</v>
          </cell>
          <cell r="CJ437">
            <v>13064</v>
          </cell>
          <cell r="CK437">
            <v>12909</v>
          </cell>
          <cell r="CL437">
            <v>12375</v>
          </cell>
          <cell r="CM437">
            <v>12855</v>
          </cell>
          <cell r="CN437">
            <v>12293</v>
          </cell>
          <cell r="CO437">
            <v>13055</v>
          </cell>
          <cell r="CP437">
            <v>13463</v>
          </cell>
          <cell r="CQ437">
            <v>14010</v>
          </cell>
          <cell r="CR437">
            <v>12938</v>
          </cell>
          <cell r="CS437">
            <v>13464</v>
          </cell>
          <cell r="CT437">
            <v>14241</v>
          </cell>
          <cell r="CU437">
            <v>15930</v>
          </cell>
          <cell r="CV437">
            <v>15208</v>
          </cell>
          <cell r="CW437">
            <v>15214</v>
          </cell>
          <cell r="CX437">
            <v>15049</v>
          </cell>
          <cell r="CY437">
            <v>16061</v>
          </cell>
          <cell r="CZ437">
            <v>15126</v>
          </cell>
          <cell r="DA437">
            <v>15361</v>
          </cell>
          <cell r="DB437">
            <v>14501</v>
          </cell>
          <cell r="DC437">
            <v>13192</v>
          </cell>
          <cell r="DD437">
            <v>13150</v>
          </cell>
          <cell r="DE437">
            <v>13620</v>
          </cell>
          <cell r="DF437">
            <v>13788</v>
          </cell>
          <cell r="DG437">
            <v>14889</v>
          </cell>
          <cell r="DH437">
            <v>14747</v>
          </cell>
          <cell r="DI437">
            <v>15135</v>
          </cell>
          <cell r="DJ437">
            <v>16520</v>
          </cell>
          <cell r="DK437">
            <v>17114</v>
          </cell>
          <cell r="DL437">
            <v>17735</v>
          </cell>
          <cell r="DM437">
            <v>18147</v>
          </cell>
          <cell r="DN437">
            <v>18968</v>
          </cell>
          <cell r="DO437">
            <v>18590.321995339698</v>
          </cell>
          <cell r="DP437">
            <v>19061.885406902202</v>
          </cell>
          <cell r="DQ437">
            <v>18993.6198129861</v>
          </cell>
          <cell r="DR437">
            <v>18766.1683882133</v>
          </cell>
          <cell r="DS437">
            <v>19524.8189967213</v>
          </cell>
        </row>
        <row r="438">
          <cell r="B438" t="str">
            <v>Division 2 EBIT</v>
          </cell>
          <cell r="C438" t="str">
            <v>DIV2_EBIT</v>
          </cell>
          <cell r="D438" t="str">
            <v>SEK</v>
          </cell>
          <cell r="Z438">
            <v>865</v>
          </cell>
          <cell r="AA438">
            <v>1184</v>
          </cell>
          <cell r="AB438">
            <v>1432</v>
          </cell>
          <cell r="AC438">
            <v>1727</v>
          </cell>
          <cell r="AD438">
            <v>1725.6210000000001</v>
          </cell>
          <cell r="AE438">
            <v>1098.72</v>
          </cell>
          <cell r="AF438">
            <v>1041</v>
          </cell>
          <cell r="AG438">
            <v>1434</v>
          </cell>
          <cell r="AH438">
            <v>988</v>
          </cell>
          <cell r="AI438">
            <v>1383.20075838547</v>
          </cell>
          <cell r="AJ438">
            <v>1597.1230704372001</v>
          </cell>
          <cell r="AK438">
            <v>1969.5416471159399</v>
          </cell>
          <cell r="AL438">
            <v>2171.12228692194</v>
          </cell>
          <cell r="CG438">
            <v>222</v>
          </cell>
          <cell r="CH438">
            <v>222</v>
          </cell>
          <cell r="CI438">
            <v>372</v>
          </cell>
          <cell r="CJ438">
            <v>306</v>
          </cell>
          <cell r="CK438">
            <v>284</v>
          </cell>
          <cell r="CL438">
            <v>384</v>
          </cell>
          <cell r="CM438">
            <v>357</v>
          </cell>
          <cell r="CN438">
            <v>442</v>
          </cell>
          <cell r="CO438">
            <v>259</v>
          </cell>
          <cell r="CP438">
            <v>416</v>
          </cell>
          <cell r="CQ438">
            <v>397</v>
          </cell>
          <cell r="CR438">
            <v>428</v>
          </cell>
          <cell r="CS438">
            <v>298</v>
          </cell>
          <cell r="CT438">
            <v>485</v>
          </cell>
          <cell r="CU438">
            <v>595</v>
          </cell>
          <cell r="CV438">
            <v>416</v>
          </cell>
          <cell r="CW438">
            <v>123</v>
          </cell>
          <cell r="CX438">
            <v>341</v>
          </cell>
          <cell r="CY438">
            <v>310</v>
          </cell>
          <cell r="CZ438">
            <v>254.25899999999999</v>
          </cell>
          <cell r="DA438">
            <v>193.46100000000001</v>
          </cell>
          <cell r="DB438">
            <v>321</v>
          </cell>
          <cell r="DC438">
            <v>-286</v>
          </cell>
          <cell r="DD438">
            <v>403</v>
          </cell>
          <cell r="DE438">
            <v>603</v>
          </cell>
          <cell r="DF438">
            <v>518</v>
          </cell>
          <cell r="DG438">
            <v>530</v>
          </cell>
          <cell r="DH438">
            <v>242</v>
          </cell>
          <cell r="DI438">
            <v>144</v>
          </cell>
          <cell r="DJ438">
            <v>273</v>
          </cell>
          <cell r="DK438">
            <v>113</v>
          </cell>
          <cell r="DL438">
            <v>215</v>
          </cell>
          <cell r="DM438">
            <v>387</v>
          </cell>
          <cell r="DN438">
            <v>270</v>
          </cell>
          <cell r="DO438">
            <v>293.88054307176998</v>
          </cell>
          <cell r="DP438">
            <v>351.249106135793</v>
          </cell>
          <cell r="DQ438">
            <v>468.071109177908</v>
          </cell>
          <cell r="DR438">
            <v>626.189157516097</v>
          </cell>
          <cell r="DS438">
            <v>556.24596967543698</v>
          </cell>
        </row>
        <row r="439">
          <cell r="B439" t="str">
            <v>Division 2 Name</v>
          </cell>
          <cell r="C439" t="str">
            <v>DIV2_NAME</v>
          </cell>
          <cell r="E439" t="str">
            <v>Automotive</v>
          </cell>
        </row>
        <row r="440">
          <cell r="B440" t="str">
            <v>Division 2 OGS</v>
          </cell>
          <cell r="C440" t="str">
            <v>DIV2_OGS</v>
          </cell>
          <cell r="AB440">
            <v>1.2E-2</v>
          </cell>
          <cell r="AC440">
            <v>7.9000000000000001E-2</v>
          </cell>
          <cell r="AD440">
            <v>2.1000000000000001E-2</v>
          </cell>
          <cell r="AE440">
            <v>-6.8000000000000005E-2</v>
          </cell>
          <cell r="AF440">
            <v>-0.128</v>
          </cell>
          <cell r="AG440">
            <v>0.13700000000000001</v>
          </cell>
          <cell r="AH440">
            <v>7.1999999999999995E-2</v>
          </cell>
          <cell r="AI440">
            <v>3.39E-2</v>
          </cell>
          <cell r="AJ440">
            <v>6.0972011429999999E-3</v>
          </cell>
          <cell r="AK440">
            <v>3.5786489709000002E-2</v>
          </cell>
          <cell r="AL440">
            <v>3.0281293521000001E-2</v>
          </cell>
          <cell r="BM440">
            <v>0.26200000000000001</v>
          </cell>
          <cell r="BN440">
            <v>0.26200000000000001</v>
          </cell>
          <cell r="BO440">
            <v>0.23499999999999999</v>
          </cell>
          <cell r="BP440">
            <v>0.15</v>
          </cell>
          <cell r="BQ440">
            <v>0.16300000000000001</v>
          </cell>
          <cell r="BR440">
            <v>0.19800000000000001</v>
          </cell>
          <cell r="BS440">
            <v>6.2E-2</v>
          </cell>
          <cell r="BT440">
            <v>3.2000000000000001E-2</v>
          </cell>
          <cell r="BU440">
            <v>-4.3999999999999997E-2</v>
          </cell>
          <cell r="BV440">
            <v>-4.2000000000000003E-2</v>
          </cell>
          <cell r="BW440">
            <v>-4.5999999999999999E-2</v>
          </cell>
          <cell r="BX440">
            <v>-3.5000000000000003E-2</v>
          </cell>
          <cell r="BY440">
            <v>-1.4999999999999999E-2</v>
          </cell>
          <cell r="BZ440">
            <v>-3.6999999999999998E-2</v>
          </cell>
          <cell r="CA440">
            <v>7.6999999999999999E-2</v>
          </cell>
          <cell r="CB440">
            <v>7.4999999999999997E-2</v>
          </cell>
          <cell r="CC440">
            <v>0.108</v>
          </cell>
          <cell r="CD440">
            <v>8.1000000000000003E-2</v>
          </cell>
          <cell r="CE440">
            <v>1.2999999999999999E-2</v>
          </cell>
          <cell r="CF440">
            <v>-5.0000000000000001E-3</v>
          </cell>
          <cell r="CG440">
            <v>-5.0000000000000001E-3</v>
          </cell>
          <cell r="CH440">
            <v>6.3E-3</v>
          </cell>
          <cell r="CI440">
            <v>0</v>
          </cell>
          <cell r="CJ440">
            <v>-5.0000000000000001E-3</v>
          </cell>
          <cell r="CK440">
            <v>1.2E-2</v>
          </cell>
          <cell r="CL440">
            <v>-9.8639898720000001E-3</v>
          </cell>
          <cell r="CM440">
            <v>-1.7999999999999999E-2</v>
          </cell>
          <cell r="CN440">
            <v>4.3999999999999997E-2</v>
          </cell>
          <cell r="CO440">
            <v>3.3000000000000002E-2</v>
          </cell>
          <cell r="CP440">
            <v>8.4000000000000005E-2</v>
          </cell>
          <cell r="CQ440">
            <v>7.0999999999999994E-2</v>
          </cell>
          <cell r="CR440">
            <v>4.9000000000000002E-2</v>
          </cell>
          <cell r="CS440">
            <v>9.6000000000000002E-2</v>
          </cell>
          <cell r="CT440">
            <v>5.5E-2</v>
          </cell>
          <cell r="CU440">
            <v>5.1999999999999998E-2</v>
          </cell>
          <cell r="CV440">
            <v>1.7000000000000001E-2</v>
          </cell>
          <cell r="CW440">
            <v>-3.6999999999999998E-2</v>
          </cell>
          <cell r="CX440">
            <v>-5.8999999999999997E-2</v>
          </cell>
          <cell r="CY440">
            <v>-6.8000000000000005E-2</v>
          </cell>
          <cell r="CZ440">
            <v>-7.0000000000000007E-2</v>
          </cell>
          <cell r="DA440">
            <v>-7.2999999999999995E-2</v>
          </cell>
          <cell r="DB440">
            <v>-0.13300000000000001</v>
          </cell>
          <cell r="DC440">
            <v>-0.45400000000000001</v>
          </cell>
          <cell r="DD440">
            <v>-7.0000000000000001E-3</v>
          </cell>
          <cell r="DE440">
            <v>0.111</v>
          </cell>
          <cell r="DF440">
            <v>0.16700000000000001</v>
          </cell>
          <cell r="DG440">
            <v>0.75900000000000001</v>
          </cell>
          <cell r="DH440">
            <v>-5.1999999999999998E-2</v>
          </cell>
          <cell r="DI440">
            <v>-7.9000000000000001E-2</v>
          </cell>
          <cell r="DJ440">
            <v>-2.7E-2</v>
          </cell>
          <cell r="DK440">
            <v>2.7E-2</v>
          </cell>
          <cell r="DL440">
            <v>0.184</v>
          </cell>
          <cell r="DM440">
            <v>0.11700000000000001</v>
          </cell>
          <cell r="DN440">
            <v>0.11899999999999999</v>
          </cell>
          <cell r="DO440">
            <v>5.3199999999999997E-2</v>
          </cell>
          <cell r="DP440">
            <v>7.1999999999999998E-3</v>
          </cell>
          <cell r="DQ440">
            <v>-3.2560424174999998E-2</v>
          </cell>
          <cell r="DR440">
            <v>-3.3300000000000003E-2</v>
          </cell>
          <cell r="DS440">
            <v>-3.3799999999999997E-2</v>
          </cell>
        </row>
        <row r="441">
          <cell r="B441" t="str">
            <v>Division 2 Order Backlog</v>
          </cell>
          <cell r="C441" t="str">
            <v>DIV2_ORDERBACKLOG</v>
          </cell>
        </row>
        <row r="442">
          <cell r="B442" t="str">
            <v>Division 2 Order Intake</v>
          </cell>
          <cell r="C442" t="str">
            <v>DIV2_ORDERINTAKE</v>
          </cell>
        </row>
        <row r="443">
          <cell r="B443" t="str">
            <v>Division 3 EBIT</v>
          </cell>
          <cell r="C443" t="str">
            <v>DIV3_EBIT</v>
          </cell>
          <cell r="D443" t="str">
            <v>SEK</v>
          </cell>
        </row>
        <row r="444">
          <cell r="B444" t="str">
            <v>Division 3 Name</v>
          </cell>
          <cell r="C444" t="str">
            <v>DIV3_NAME</v>
          </cell>
        </row>
        <row r="445">
          <cell r="B445" t="str">
            <v>Division 3 OGS</v>
          </cell>
          <cell r="C445" t="str">
            <v>DIV3_OGS</v>
          </cell>
        </row>
        <row r="446">
          <cell r="B446" t="str">
            <v>Division 3 Order Backlog</v>
          </cell>
          <cell r="C446" t="str">
            <v>DIV3_ORDERBACKLOG</v>
          </cell>
        </row>
        <row r="447">
          <cell r="B447" t="str">
            <v>Division 3 Order Intake</v>
          </cell>
          <cell r="C447" t="str">
            <v>DIV3_ORDERINTAKE</v>
          </cell>
        </row>
        <row r="448">
          <cell r="B448" t="str">
            <v>Division 3 Sales</v>
          </cell>
          <cell r="C448" t="str">
            <v>DIV3_REVS</v>
          </cell>
          <cell r="D448" t="str">
            <v>SEK</v>
          </cell>
        </row>
        <row r="449">
          <cell r="B449" t="str">
            <v>Division 4 EBIT</v>
          </cell>
          <cell r="C449" t="str">
            <v>DIV4_EBIT</v>
          </cell>
          <cell r="D449" t="str">
            <v>SEK</v>
          </cell>
        </row>
        <row r="450">
          <cell r="B450" t="str">
            <v>Division 4 Name</v>
          </cell>
          <cell r="C450" t="str">
            <v>DIV4_NAME</v>
          </cell>
        </row>
        <row r="451">
          <cell r="B451" t="str">
            <v>Division 4 OGS</v>
          </cell>
          <cell r="C451" t="str">
            <v>DIV4_OGS</v>
          </cell>
        </row>
        <row r="452">
          <cell r="B452" t="str">
            <v>Division 4 Order Backlog</v>
          </cell>
          <cell r="C452" t="str">
            <v>DIV4_ORDERBACKLOG</v>
          </cell>
        </row>
        <row r="453">
          <cell r="B453" t="str">
            <v>Division 4 Order Intake</v>
          </cell>
          <cell r="C453" t="str">
            <v>DIV4_ORDERINTAKE</v>
          </cell>
        </row>
        <row r="454">
          <cell r="B454" t="str">
            <v>Division 4 Sales</v>
          </cell>
          <cell r="C454" t="str">
            <v>DIV4_REVS</v>
          </cell>
          <cell r="D454" t="str">
            <v>SEK</v>
          </cell>
        </row>
        <row r="455">
          <cell r="B455" t="str">
            <v>Division 5 EBIT</v>
          </cell>
          <cell r="C455" t="str">
            <v>DIV5_EBIT</v>
          </cell>
          <cell r="D455" t="str">
            <v>SEK</v>
          </cell>
        </row>
        <row r="456">
          <cell r="B456" t="str">
            <v>Division 5 Name</v>
          </cell>
          <cell r="C456" t="str">
            <v>DIV5_NAME</v>
          </cell>
        </row>
        <row r="457">
          <cell r="B457" t="str">
            <v>Division 5 OGS</v>
          </cell>
          <cell r="C457" t="str">
            <v>DIV5_OGS</v>
          </cell>
        </row>
        <row r="458">
          <cell r="B458" t="str">
            <v>Division 5 Order Backlog</v>
          </cell>
          <cell r="C458" t="str">
            <v>DIV5_ORDERBACKLOG</v>
          </cell>
        </row>
        <row r="459">
          <cell r="B459" t="str">
            <v>Division 5 Order Intake</v>
          </cell>
          <cell r="C459" t="str">
            <v>DIV5_ORDERINTAKE</v>
          </cell>
        </row>
        <row r="460">
          <cell r="B460" t="str">
            <v>Division 5 Sales</v>
          </cell>
          <cell r="C460" t="str">
            <v>DIV5_REVS</v>
          </cell>
          <cell r="D460" t="str">
            <v>SEK</v>
          </cell>
        </row>
        <row r="461">
          <cell r="B461" t="str">
            <v>Division 6 EBIT</v>
          </cell>
          <cell r="C461" t="str">
            <v>DIV6_EBIT</v>
          </cell>
          <cell r="D461" t="str">
            <v>SEK</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row>
        <row r="466">
          <cell r="B466" t="str">
            <v>Division 6 Sales</v>
          </cell>
          <cell r="C466" t="str">
            <v>DIV6_REVS</v>
          </cell>
          <cell r="D466" t="str">
            <v>SEK</v>
          </cell>
        </row>
        <row r="467">
          <cell r="B467" t="str">
            <v>Group order backlog</v>
          </cell>
          <cell r="C467" t="str">
            <v>GROUP_ORDERBACKLOG</v>
          </cell>
        </row>
        <row r="468">
          <cell r="B468" t="str">
            <v>Group order intake</v>
          </cell>
          <cell r="C468" t="str">
            <v>GROUP_ORDERINTAKE</v>
          </cell>
        </row>
        <row r="469">
          <cell r="B469" t="str">
            <v>Group organic sales growth</v>
          </cell>
          <cell r="C469" t="str">
            <v>GROUP_OGS</v>
          </cell>
          <cell r="F469">
            <v>0.15</v>
          </cell>
          <cell r="G469">
            <v>0.13300000000000001</v>
          </cell>
          <cell r="H469">
            <v>0</v>
          </cell>
          <cell r="I469">
            <v>4.9000000000000002E-2</v>
          </cell>
          <cell r="J469">
            <v>1.6E-2</v>
          </cell>
          <cell r="K469">
            <v>-4.5999999999999999E-2</v>
          </cell>
          <cell r="L469">
            <v>6.7000000000000004E-2</v>
          </cell>
          <cell r="M469">
            <v>-2E-3</v>
          </cell>
          <cell r="N469">
            <v>1.4E-2</v>
          </cell>
          <cell r="O469">
            <v>4.9000000000000002E-2</v>
          </cell>
          <cell r="P469">
            <v>0.107</v>
          </cell>
          <cell r="Q469">
            <v>8.4000000000000005E-2</v>
          </cell>
          <cell r="R469">
            <v>7.3999999999999996E-2</v>
          </cell>
          <cell r="S469">
            <v>0.10100000000000001</v>
          </cell>
          <cell r="T469">
            <v>5.7000000000000002E-2</v>
          </cell>
          <cell r="U469">
            <v>-0.2</v>
          </cell>
          <cell r="V469">
            <v>0.14199999999999999</v>
          </cell>
          <cell r="W469">
            <v>0.115</v>
          </cell>
          <cell r="X469">
            <v>-2.6318736672999998E-2</v>
          </cell>
          <cell r="Y469">
            <v>-6.9769105690000001E-3</v>
          </cell>
          <cell r="Z469">
            <v>3.7513769459999999E-2</v>
          </cell>
          <cell r="AA469">
            <v>-2.5677896886000001E-2</v>
          </cell>
          <cell r="AB469">
            <v>-1.6E-2</v>
          </cell>
          <cell r="AC469">
            <v>8.2000000000000003E-2</v>
          </cell>
          <cell r="AD469">
            <v>7.0999999999999994E-2</v>
          </cell>
          <cell r="AE469">
            <v>-0.02</v>
          </cell>
          <cell r="AF469">
            <v>-0.1</v>
          </cell>
          <cell r="AG469">
            <v>0.126</v>
          </cell>
          <cell r="AH469">
            <v>8.1000000000000003E-2</v>
          </cell>
          <cell r="AI469">
            <v>4.4621469469000002E-2</v>
          </cell>
          <cell r="AJ469">
            <v>2.0068599667999999E-2</v>
          </cell>
          <cell r="AK469">
            <v>3.7464966863999999E-2</v>
          </cell>
          <cell r="AL469">
            <v>3.6013397125999998E-2</v>
          </cell>
          <cell r="AO469">
            <v>5.8999999999999997E-2</v>
          </cell>
          <cell r="AP469">
            <v>5.8999999999999997E-2</v>
          </cell>
          <cell r="AQ469">
            <v>0.107</v>
          </cell>
          <cell r="AR469">
            <v>0.11899999999999999</v>
          </cell>
          <cell r="AS469">
            <v>0.14399999999999999</v>
          </cell>
          <cell r="AT469">
            <v>0.11899999999999999</v>
          </cell>
          <cell r="AU469">
            <v>0.112</v>
          </cell>
          <cell r="AV469">
            <v>7.1999999999999995E-2</v>
          </cell>
          <cell r="AW469">
            <v>3.9E-2</v>
          </cell>
          <cell r="AX469">
            <v>8.8999999999999996E-2</v>
          </cell>
          <cell r="AY469">
            <v>4.4999999999999998E-2</v>
          </cell>
          <cell r="AZ469">
            <v>5.2999999999999999E-2</v>
          </cell>
          <cell r="BA469">
            <v>0.111</v>
          </cell>
          <cell r="BB469">
            <v>9.7000000000000003E-2</v>
          </cell>
          <cell r="BC469">
            <v>9.6000000000000002E-2</v>
          </cell>
          <cell r="BD469">
            <v>0.11</v>
          </cell>
          <cell r="BE469">
            <v>9.5000000000000001E-2</v>
          </cell>
          <cell r="BF469">
            <v>8.6999999999999994E-2</v>
          </cell>
          <cell r="BG469">
            <v>0.10199999999999999</v>
          </cell>
          <cell r="BH469">
            <v>9.0999999999999998E-2</v>
          </cell>
          <cell r="BI469">
            <v>-4.4999999999999998E-2</v>
          </cell>
          <cell r="BJ469">
            <v>-0.19800000000000001</v>
          </cell>
          <cell r="BK469">
            <v>-0.252</v>
          </cell>
          <cell r="BL469">
            <v>-0.21199999999999999</v>
          </cell>
          <cell r="BM469">
            <v>-0.13800000000000001</v>
          </cell>
          <cell r="BN469">
            <v>0.05</v>
          </cell>
          <cell r="BO469">
            <v>0.161</v>
          </cell>
          <cell r="BP469">
            <v>0.193</v>
          </cell>
          <cell r="BQ469">
            <v>0.17199999999999999</v>
          </cell>
          <cell r="BR469">
            <v>0.214</v>
          </cell>
          <cell r="BS469">
            <v>0.14199999999999999</v>
          </cell>
          <cell r="BT469">
            <v>8.2000000000000003E-2</v>
          </cell>
          <cell r="BU469">
            <v>2.8000000000000001E-2</v>
          </cell>
          <cell r="BV469">
            <v>7.4142594860000001E-3</v>
          </cell>
          <cell r="BW469">
            <v>-8.7625635059999998E-3</v>
          </cell>
          <cell r="BX469">
            <v>-4.6604305865000001E-2</v>
          </cell>
          <cell r="BY469">
            <v>-5.3465705108E-2</v>
          </cell>
          <cell r="BZ469">
            <v>-8.0859357026000001E-2</v>
          </cell>
          <cell r="CA469">
            <v>-2.3635756056999999E-2</v>
          </cell>
          <cell r="CB469">
            <v>1.8730195868999999E-2</v>
          </cell>
          <cell r="CC469">
            <v>6.8998682568E-2</v>
          </cell>
          <cell r="CD469">
            <v>6.3141988834999996E-2</v>
          </cell>
          <cell r="CE469">
            <v>4.6999649677000002E-2</v>
          </cell>
          <cell r="CF469">
            <v>3.2052469198999997E-2</v>
          </cell>
          <cell r="CG469">
            <v>2.6154675446E-2</v>
          </cell>
          <cell r="CH469">
            <v>1.3601166426000001E-2</v>
          </cell>
          <cell r="CI469">
            <v>-1.3791760090000001E-2</v>
          </cell>
          <cell r="CJ469">
            <v>-4.7E-2</v>
          </cell>
          <cell r="CK469">
            <v>-5.2064646025000001E-2</v>
          </cell>
          <cell r="CL469">
            <v>-6.0747349914999998E-2</v>
          </cell>
          <cell r="CM469">
            <v>-4.4400761637999997E-2</v>
          </cell>
          <cell r="CN469">
            <v>-6.0000000000000001E-3</v>
          </cell>
          <cell r="CO469">
            <v>1.2E-2</v>
          </cell>
          <cell r="CP469">
            <v>0.08</v>
          </cell>
          <cell r="CQ469">
            <v>7.4999999999999997E-2</v>
          </cell>
          <cell r="CR469">
            <v>0.08</v>
          </cell>
          <cell r="CS469">
            <v>8.2000000000000003E-2</v>
          </cell>
          <cell r="CT469">
            <v>7.4999999999999997E-2</v>
          </cell>
          <cell r="CU469">
            <v>0.09</v>
          </cell>
          <cell r="CV469">
            <v>6.9093734901000001E-2</v>
          </cell>
          <cell r="CW469">
            <v>4.9391869000999997E-2</v>
          </cell>
          <cell r="CX469">
            <v>2.6463521400000001E-3</v>
          </cell>
          <cell r="CY469">
            <v>-1.5885941644999999E-2</v>
          </cell>
          <cell r="CZ469">
            <v>-3.0093341454999999E-2</v>
          </cell>
          <cell r="DA469">
            <v>-2.9207342393000001E-2</v>
          </cell>
          <cell r="DB469">
            <v>-8.6321082808999999E-2</v>
          </cell>
          <cell r="DC469">
            <v>-0.25188051405200002</v>
          </cell>
          <cell r="DD469">
            <v>-5.0999999999999997E-2</v>
          </cell>
          <cell r="DE469">
            <v>-1.26683327E-3</v>
          </cell>
          <cell r="DF469">
            <v>8.5999999999999993E-2</v>
          </cell>
          <cell r="DG469">
            <v>0.33200000000000002</v>
          </cell>
          <cell r="DH469">
            <v>7.6999999999999999E-2</v>
          </cell>
          <cell r="DI469">
            <v>3.7999999999999999E-2</v>
          </cell>
          <cell r="DJ469">
            <v>6.5000000000000002E-2</v>
          </cell>
          <cell r="DK469">
            <v>5.3999999999999999E-2</v>
          </cell>
          <cell r="DL469">
            <v>0.110067358285</v>
          </cell>
          <cell r="DM469">
            <v>9.6806537691999997E-2</v>
          </cell>
          <cell r="DN469">
            <v>0.10100000000000001</v>
          </cell>
          <cell r="DO469">
            <v>3.7283365038999997E-2</v>
          </cell>
          <cell r="DP469">
            <v>3.3687107107E-2</v>
          </cell>
          <cell r="DQ469">
            <v>1.05832341E-2</v>
          </cell>
          <cell r="DR469">
            <v>-3.1299532939000001E-2</v>
          </cell>
          <cell r="DS469">
            <v>-2.473781432E-3</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row>
        <row r="473">
          <cell r="B473" t="str">
            <v>Customer advances</v>
          </cell>
          <cell r="C473" t="str">
            <v>CUST_ADVANCES</v>
          </cell>
          <cell r="D473" t="str">
            <v>SEK</v>
          </cell>
        </row>
        <row r="474">
          <cell r="B474" t="str">
            <v>EBIT bridge - Pricing</v>
          </cell>
          <cell r="C474" t="str">
            <v>EBIT_BRIDGE_PRICE</v>
          </cell>
          <cell r="D474" t="str">
            <v>SEK</v>
          </cell>
        </row>
        <row r="475">
          <cell r="B475" t="str">
            <v>EBIT bridge - Volume</v>
          </cell>
          <cell r="C475" t="str">
            <v>EBIT_BRIDGE_VOL</v>
          </cell>
          <cell r="D475" t="str">
            <v>SEK</v>
          </cell>
          <cell r="N475">
            <v>442.37400000000002</v>
          </cell>
          <cell r="O475">
            <v>392.96499999999997</v>
          </cell>
          <cell r="P475">
            <v>1379.5769</v>
          </cell>
          <cell r="Q475">
            <v>1382.8168000000001</v>
          </cell>
          <cell r="R475">
            <v>1136.421</v>
          </cell>
          <cell r="S475">
            <v>1736.2779</v>
          </cell>
          <cell r="T475">
            <v>2303.3117999999999</v>
          </cell>
          <cell r="U475">
            <v>-2711.8508000000002</v>
          </cell>
          <cell r="V475">
            <v>1922.1569999999999</v>
          </cell>
          <cell r="W475">
            <v>2182.6529</v>
          </cell>
          <cell r="X475">
            <v>37.688000000000002</v>
          </cell>
          <cell r="Y475">
            <v>-257.22781968253997</v>
          </cell>
          <cell r="Z475">
            <v>1270</v>
          </cell>
          <cell r="AA475">
            <v>-690</v>
          </cell>
          <cell r="AB475">
            <v>-854.49760000000003</v>
          </cell>
          <cell r="AC475">
            <v>1888.8701953125001</v>
          </cell>
          <cell r="AD475">
            <v>2938.7384999999999</v>
          </cell>
          <cell r="AE475">
            <v>-542.25099999999998</v>
          </cell>
          <cell r="AF475">
            <v>-2098.5547509406802</v>
          </cell>
          <cell r="AG475">
            <v>3695.0464819966401</v>
          </cell>
          <cell r="AH475">
            <v>6647</v>
          </cell>
          <cell r="AI475">
            <v>2249.1112184124599</v>
          </cell>
          <cell r="AJ475">
            <v>323.61394730470801</v>
          </cell>
          <cell r="AK475">
            <v>712.82758343068804</v>
          </cell>
          <cell r="AL475">
            <v>687.05138550760296</v>
          </cell>
        </row>
        <row r="476">
          <cell r="B476" t="str">
            <v>EBIT bridge - Depreciation</v>
          </cell>
          <cell r="C476" t="str">
            <v>EBIT_BRIDGE_DEPREC</v>
          </cell>
          <cell r="D476" t="str">
            <v>SEK</v>
          </cell>
          <cell r="N476">
            <v>-65</v>
          </cell>
          <cell r="O476">
            <v>67</v>
          </cell>
          <cell r="P476">
            <v>59</v>
          </cell>
          <cell r="Q476">
            <v>-19</v>
          </cell>
          <cell r="R476">
            <v>-82</v>
          </cell>
          <cell r="S476">
            <v>58</v>
          </cell>
          <cell r="T476">
            <v>-173</v>
          </cell>
          <cell r="U476">
            <v>-222</v>
          </cell>
          <cell r="V476">
            <v>179</v>
          </cell>
          <cell r="W476">
            <v>202</v>
          </cell>
          <cell r="X476">
            <v>-41</v>
          </cell>
          <cell r="Y476">
            <v>-62</v>
          </cell>
          <cell r="Z476">
            <v>-499</v>
          </cell>
          <cell r="AA476">
            <v>-466</v>
          </cell>
          <cell r="AB476">
            <v>490</v>
          </cell>
          <cell r="AC476">
            <v>45</v>
          </cell>
          <cell r="AD476">
            <v>-149</v>
          </cell>
          <cell r="AE476">
            <v>1356.49965</v>
          </cell>
          <cell r="AF476">
            <v>97.098459741281999</v>
          </cell>
          <cell r="AG476">
            <v>97.952755282873994</v>
          </cell>
          <cell r="AH476">
            <v>-479</v>
          </cell>
          <cell r="AI476">
            <v>-221</v>
          </cell>
          <cell r="AJ476">
            <v>-250</v>
          </cell>
          <cell r="AK476">
            <v>-250</v>
          </cell>
          <cell r="AL476">
            <v>-250</v>
          </cell>
        </row>
        <row r="477">
          <cell r="B477" t="str">
            <v>EBIT bridge - Mix</v>
          </cell>
          <cell r="C477" t="str">
            <v>EBIT_BRIDGE_MIX</v>
          </cell>
          <cell r="D477" t="str">
            <v>SEK</v>
          </cell>
        </row>
        <row r="478">
          <cell r="B478" t="str">
            <v>EBIT bridge - Raw materials</v>
          </cell>
          <cell r="C478" t="str">
            <v>EBIT_BRIDGE_RAW_MAT</v>
          </cell>
          <cell r="D478" t="str">
            <v>SEK</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1653</v>
          </cell>
          <cell r="AC478">
            <v>-1792</v>
          </cell>
          <cell r="AD478">
            <v>-1807</v>
          </cell>
          <cell r="AE478">
            <v>-1354</v>
          </cell>
          <cell r="AF478">
            <v>0</v>
          </cell>
          <cell r="AG478">
            <v>-3879</v>
          </cell>
          <cell r="AH478">
            <v>-8111</v>
          </cell>
          <cell r="AI478">
            <v>1100</v>
          </cell>
          <cell r="AJ478">
            <v>0</v>
          </cell>
          <cell r="AK478">
            <v>0</v>
          </cell>
          <cell r="AL478">
            <v>0</v>
          </cell>
        </row>
        <row r="479">
          <cell r="B479" t="str">
            <v>EBIT bridge - Restructuring</v>
          </cell>
          <cell r="C479" t="str">
            <v>EBIT_BRIDGE_REST</v>
          </cell>
          <cell r="D479" t="str">
            <v>SEK</v>
          </cell>
          <cell r="N479">
            <v>0</v>
          </cell>
          <cell r="O479">
            <v>0</v>
          </cell>
          <cell r="P479">
            <v>0</v>
          </cell>
          <cell r="Q479">
            <v>0</v>
          </cell>
          <cell r="R479">
            <v>200</v>
          </cell>
          <cell r="S479">
            <v>302</v>
          </cell>
          <cell r="T479">
            <v>0</v>
          </cell>
          <cell r="U479">
            <v>0</v>
          </cell>
          <cell r="V479">
            <v>0</v>
          </cell>
          <cell r="W479">
            <v>0</v>
          </cell>
          <cell r="X479">
            <v>0</v>
          </cell>
          <cell r="Y479">
            <v>800</v>
          </cell>
          <cell r="Z479">
            <v>500</v>
          </cell>
          <cell r="AA479">
            <v>430</v>
          </cell>
          <cell r="AB479">
            <v>640</v>
          </cell>
          <cell r="AC479">
            <v>0</v>
          </cell>
          <cell r="AD479">
            <v>0</v>
          </cell>
          <cell r="AE479">
            <v>1213</v>
          </cell>
          <cell r="AF479">
            <v>3701</v>
          </cell>
          <cell r="AG479">
            <v>661</v>
          </cell>
          <cell r="AH479">
            <v>235</v>
          </cell>
          <cell r="AI479">
            <v>600</v>
          </cell>
          <cell r="AJ479">
            <v>250</v>
          </cell>
          <cell r="AK479">
            <v>250</v>
          </cell>
          <cell r="AL479">
            <v>125</v>
          </cell>
        </row>
        <row r="480">
          <cell r="B480" t="str">
            <v>EBIT bridge - FX</v>
          </cell>
          <cell r="C480" t="str">
            <v>EBIT_BRIDGE_FX</v>
          </cell>
          <cell r="D480" t="str">
            <v>SEK</v>
          </cell>
          <cell r="N480">
            <v>-75</v>
          </cell>
          <cell r="O480">
            <v>-787</v>
          </cell>
          <cell r="P480">
            <v>-410</v>
          </cell>
          <cell r="Q480">
            <v>-150</v>
          </cell>
          <cell r="R480">
            <v>250</v>
          </cell>
          <cell r="S480">
            <v>-640</v>
          </cell>
          <cell r="T480">
            <v>-140</v>
          </cell>
          <cell r="U480">
            <v>700</v>
          </cell>
          <cell r="V480">
            <v>-400</v>
          </cell>
          <cell r="W480">
            <v>-1200</v>
          </cell>
          <cell r="X480">
            <v>200</v>
          </cell>
          <cell r="Y480">
            <v>-660</v>
          </cell>
          <cell r="Z480">
            <v>180</v>
          </cell>
          <cell r="AA480">
            <v>1680</v>
          </cell>
          <cell r="AB480">
            <v>-200</v>
          </cell>
          <cell r="AC480">
            <v>-25</v>
          </cell>
          <cell r="AD480">
            <v>-69</v>
          </cell>
          <cell r="AE480">
            <v>539</v>
          </cell>
          <cell r="AF480">
            <v>-1013</v>
          </cell>
          <cell r="AG480">
            <v>-1465</v>
          </cell>
          <cell r="AH480">
            <v>965</v>
          </cell>
          <cell r="AI480">
            <v>-274.748468619037</v>
          </cell>
          <cell r="AJ480">
            <v>-52.879390077304997</v>
          </cell>
          <cell r="AK480">
            <v>0</v>
          </cell>
          <cell r="AL480">
            <v>0</v>
          </cell>
        </row>
        <row r="481">
          <cell r="B481" t="str">
            <v>EBIT bridge - M&amp;A</v>
          </cell>
          <cell r="C481" t="str">
            <v>EBIT_BRIDGE_MA</v>
          </cell>
          <cell r="D481" t="str">
            <v>SEK</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30</v>
          </cell>
          <cell r="AB481">
            <v>-121</v>
          </cell>
          <cell r="AC481">
            <v>-145</v>
          </cell>
          <cell r="AD481">
            <v>1196</v>
          </cell>
          <cell r="AE481">
            <v>-176.24865</v>
          </cell>
          <cell r="AF481">
            <v>2.4078400000000002</v>
          </cell>
          <cell r="AG481">
            <v>0</v>
          </cell>
          <cell r="AH481">
            <v>-136</v>
          </cell>
          <cell r="AI481">
            <v>-54.524812500000003</v>
          </cell>
          <cell r="AJ481">
            <v>0</v>
          </cell>
          <cell r="AK481">
            <v>0</v>
          </cell>
          <cell r="AL481">
            <v>0</v>
          </cell>
        </row>
        <row r="482">
          <cell r="B482" t="str">
            <v>EBIT bridge - Other</v>
          </cell>
          <cell r="C482" t="str">
            <v>EBIT_BRIDGE_OTH</v>
          </cell>
          <cell r="D482" t="str">
            <v>SEK</v>
          </cell>
          <cell r="N482">
            <v>65.626000000000005</v>
          </cell>
          <cell r="O482">
            <v>104.035</v>
          </cell>
          <cell r="P482">
            <v>-258.57690000000002</v>
          </cell>
          <cell r="Q482">
            <v>-257.8168</v>
          </cell>
          <cell r="R482">
            <v>-628.42100000000005</v>
          </cell>
          <cell r="S482">
            <v>-26.277899999999999</v>
          </cell>
          <cell r="T482">
            <v>-1739.3117999999999</v>
          </cell>
          <cell r="U482">
            <v>-1338.1492000000001</v>
          </cell>
          <cell r="V482">
            <v>2462.8429999999998</v>
          </cell>
          <cell r="W482">
            <v>-114.6529</v>
          </cell>
          <cell r="X482">
            <v>-2154.6880000000001</v>
          </cell>
          <cell r="Y482">
            <v>-6.7721803174600002</v>
          </cell>
          <cell r="Z482">
            <v>-728</v>
          </cell>
          <cell r="AA482">
            <v>-620</v>
          </cell>
          <cell r="AB482">
            <v>-2718.5023999999999</v>
          </cell>
          <cell r="AC482">
            <v>1580.1298046874999</v>
          </cell>
          <cell r="AD482">
            <v>-941.73850000000004</v>
          </cell>
          <cell r="AE482">
            <v>-1164</v>
          </cell>
          <cell r="AF482">
            <v>-1648.4305488006</v>
          </cell>
          <cell r="AG482">
            <v>2585.00076272049</v>
          </cell>
          <cell r="AH482">
            <v>194</v>
          </cell>
          <cell r="AI482">
            <v>0</v>
          </cell>
          <cell r="AJ482">
            <v>0</v>
          </cell>
          <cell r="AK482">
            <v>0</v>
          </cell>
          <cell r="AL482">
            <v>0</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SKF</v>
          </cell>
          <cell r="B501" t="str">
            <v>15ZJW4</v>
          </cell>
        </row>
        <row r="502">
          <cell r="A502" t="str">
            <v>Reference Data</v>
          </cell>
        </row>
        <row r="503">
          <cell r="B503" t="str">
            <v>Ticker</v>
          </cell>
          <cell r="C503" t="str">
            <v>Ticker</v>
          </cell>
          <cell r="E503" t="str">
            <v>SKFb.ST</v>
          </cell>
        </row>
        <row r="504">
          <cell r="B504" t="str">
            <v>Security Name</v>
          </cell>
          <cell r="C504" t="str">
            <v>Security Name</v>
          </cell>
          <cell r="E504" t="str">
            <v>SKF</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cell r="E510" t="str">
            <v>Buy</v>
          </cell>
        </row>
        <row r="511">
          <cell r="B511" t="str">
            <v>Pan Europe Conviction List</v>
          </cell>
          <cell r="C511" t="str">
            <v>EURO_CONVICTION</v>
          </cell>
        </row>
        <row r="512">
          <cell r="B512" t="str">
            <v>Legal rating</v>
          </cell>
          <cell r="C512" t="str">
            <v>LEGAL_RATING</v>
          </cell>
        </row>
        <row r="513">
          <cell r="B513" t="str">
            <v>Target price</v>
          </cell>
          <cell r="C513" t="str">
            <v>TARGET_PRICE</v>
          </cell>
          <cell r="D513" t="str">
            <v>SEK</v>
          </cell>
          <cell r="E513">
            <v>225</v>
          </cell>
        </row>
        <row r="514">
          <cell r="B514" t="str">
            <v>Target price period</v>
          </cell>
          <cell r="C514" t="str">
            <v>TP_PERIOD</v>
          </cell>
          <cell r="E514" t="str">
            <v>12 months</v>
          </cell>
        </row>
        <row r="515">
          <cell r="B515" t="str">
            <v>Fundamental value</v>
          </cell>
          <cell r="C515" t="str">
            <v>TARGET_PRICE_FUNDAMENTAL</v>
          </cell>
          <cell r="D515" t="str">
            <v>SEK</v>
          </cell>
        </row>
        <row r="516">
          <cell r="B516" t="str">
            <v>M&amp;A value</v>
          </cell>
          <cell r="C516" t="str">
            <v>TARGET_PRICE_MA</v>
          </cell>
          <cell r="D516" t="str">
            <v>SEK</v>
          </cell>
        </row>
        <row r="517">
          <cell r="B517" t="str">
            <v>Current shares outstanding (mn)</v>
          </cell>
          <cell r="C517" t="str">
            <v>NUM_SH</v>
          </cell>
          <cell r="E517">
            <v>455.351068</v>
          </cell>
        </row>
        <row r="518">
          <cell r="B518" t="str">
            <v>Free float</v>
          </cell>
          <cell r="C518" t="str">
            <v>FREE_FLOAT</v>
          </cell>
          <cell r="E518">
            <v>0.84537899999999999</v>
          </cell>
        </row>
        <row r="519">
          <cell r="B519" t="str">
            <v>Indirect Sales - % Denmark</v>
          </cell>
          <cell r="C519" t="str">
            <v>ACT1</v>
          </cell>
          <cell r="E519">
            <v>6.7799999999999999E-2</v>
          </cell>
        </row>
        <row r="520">
          <cell r="B520" t="str">
            <v>Indirect Sales - % Finland</v>
          </cell>
          <cell r="C520" t="str">
            <v>ACT2</v>
          </cell>
          <cell r="E520">
            <v>3.1099999999999999E-2</v>
          </cell>
        </row>
        <row r="521">
          <cell r="B521" t="str">
            <v>Indirect Sales - % France</v>
          </cell>
          <cell r="C521" t="str">
            <v>ACT3</v>
          </cell>
          <cell r="E521">
            <v>2.46E-2</v>
          </cell>
        </row>
        <row r="522">
          <cell r="B522" t="str">
            <v>Indirect Sales - % Germany</v>
          </cell>
          <cell r="C522" t="str">
            <v>ACT4</v>
          </cell>
          <cell r="E522">
            <v>2.4E-2</v>
          </cell>
        </row>
        <row r="523">
          <cell r="A523" t="str">
            <v>Publishing Items</v>
          </cell>
        </row>
        <row r="524">
          <cell r="B524" t="str">
            <v>Book value per share, BVPS (Pub)</v>
          </cell>
          <cell r="C524" t="str">
            <v>BVPS_PUB</v>
          </cell>
          <cell r="D524" t="str">
            <v>SEK</v>
          </cell>
          <cell r="F524">
            <v>20.316451508888999</v>
          </cell>
          <cell r="G524">
            <v>22.393893299898998</v>
          </cell>
          <cell r="H524">
            <v>25.022222211209002</v>
          </cell>
          <cell r="I524">
            <v>27.644604096986999</v>
          </cell>
          <cell r="J524">
            <v>24.007849697192</v>
          </cell>
          <cell r="K524">
            <v>24.963156559457001</v>
          </cell>
          <cell r="L524">
            <v>29.853888472706998</v>
          </cell>
          <cell r="M524">
            <v>35.629650861923999</v>
          </cell>
          <cell r="N524">
            <v>35.939302990720002</v>
          </cell>
          <cell r="O524">
            <v>33.301777607778</v>
          </cell>
          <cell r="P524">
            <v>36.413662260258</v>
          </cell>
          <cell r="Q524">
            <v>38.715183160610998</v>
          </cell>
          <cell r="R524">
            <v>41.666751948849999</v>
          </cell>
          <cell r="S524">
            <v>38.622946635978998</v>
          </cell>
          <cell r="T524">
            <v>43.173281851180001</v>
          </cell>
          <cell r="U524">
            <v>38.236431675614</v>
          </cell>
          <cell r="V524">
            <v>41.583299855135003</v>
          </cell>
          <cell r="W524">
            <v>47.075765286225</v>
          </cell>
          <cell r="X524">
            <v>46.867054055006001</v>
          </cell>
          <cell r="Y524">
            <v>44.143757568211001</v>
          </cell>
          <cell r="Z524">
            <v>50.705931362831002</v>
          </cell>
          <cell r="AA524">
            <v>54.496413303680001</v>
          </cell>
          <cell r="AB524">
            <v>58.853706667212002</v>
          </cell>
          <cell r="AC524">
            <v>61.570076299897998</v>
          </cell>
          <cell r="AD524">
            <v>73.648668811291998</v>
          </cell>
          <cell r="AE524">
            <v>77.988177684476</v>
          </cell>
          <cell r="AF524">
            <v>75.316487524403001</v>
          </cell>
          <cell r="AG524">
            <v>95.849121847234002</v>
          </cell>
          <cell r="AH524">
            <v>114.03728606166401</v>
          </cell>
          <cell r="AI524">
            <v>122.948310621464</v>
          </cell>
          <cell r="AJ524">
            <v>128.65384094048599</v>
          </cell>
          <cell r="AK524">
            <v>136.14537495122701</v>
          </cell>
          <cell r="AL524">
            <v>144.184820586336</v>
          </cell>
        </row>
        <row r="525">
          <cell r="B525" t="str">
            <v>DPS, dividend per share (Pub)</v>
          </cell>
          <cell r="C525" t="str">
            <v>DPS_PUB</v>
          </cell>
          <cell r="D525" t="str">
            <v>SEK</v>
          </cell>
          <cell r="F525">
            <v>1.5</v>
          </cell>
          <cell r="G525">
            <v>1</v>
          </cell>
          <cell r="H525">
            <v>1.25</v>
          </cell>
          <cell r="I525">
            <v>1.3125</v>
          </cell>
          <cell r="J525">
            <v>0.5</v>
          </cell>
          <cell r="K525">
            <v>1</v>
          </cell>
          <cell r="L525">
            <v>1.3125</v>
          </cell>
          <cell r="M525">
            <v>1.5</v>
          </cell>
          <cell r="N525">
            <v>2</v>
          </cell>
          <cell r="O525">
            <v>2.5</v>
          </cell>
          <cell r="P525">
            <v>3</v>
          </cell>
          <cell r="Q525">
            <v>4</v>
          </cell>
          <cell r="R525">
            <v>4.5</v>
          </cell>
          <cell r="S525">
            <v>5</v>
          </cell>
          <cell r="T525">
            <v>3.5</v>
          </cell>
          <cell r="U525">
            <v>3.5</v>
          </cell>
          <cell r="V525">
            <v>5</v>
          </cell>
          <cell r="W525">
            <v>5.5</v>
          </cell>
          <cell r="X525">
            <v>5.5</v>
          </cell>
          <cell r="Y525">
            <v>5.5</v>
          </cell>
          <cell r="Z525">
            <v>5.5</v>
          </cell>
          <cell r="AA525">
            <v>5.5</v>
          </cell>
          <cell r="AB525">
            <v>5.5</v>
          </cell>
          <cell r="AC525">
            <v>5.5</v>
          </cell>
          <cell r="AD525">
            <v>6</v>
          </cell>
          <cell r="AE525">
            <v>3</v>
          </cell>
          <cell r="AF525">
            <v>6.5</v>
          </cell>
          <cell r="AG525">
            <v>7</v>
          </cell>
          <cell r="AH525">
            <v>7</v>
          </cell>
          <cell r="AI525">
            <v>9.75</v>
          </cell>
          <cell r="AJ525">
            <v>9</v>
          </cell>
          <cell r="AK525">
            <v>9.25</v>
          </cell>
          <cell r="AL525">
            <v>8.75</v>
          </cell>
        </row>
        <row r="526">
          <cell r="B526" t="str">
            <v>Special dividend per share</v>
          </cell>
          <cell r="C526" t="str">
            <v>DPS_SPECIAL_PUB</v>
          </cell>
          <cell r="D526" t="str">
            <v>SEK</v>
          </cell>
          <cell r="AG526">
            <v>0</v>
          </cell>
        </row>
        <row r="527">
          <cell r="B527" t="str">
            <v>EBITDA (Pub)</v>
          </cell>
          <cell r="C527" t="str">
            <v>EBITDA_PUB</v>
          </cell>
          <cell r="D527" t="str">
            <v>SEK</v>
          </cell>
          <cell r="F527">
            <v>4112</v>
          </cell>
          <cell r="G527">
            <v>5434</v>
          </cell>
          <cell r="H527">
            <v>4335</v>
          </cell>
          <cell r="I527">
            <v>4532</v>
          </cell>
          <cell r="J527">
            <v>4234</v>
          </cell>
          <cell r="K527">
            <v>4005</v>
          </cell>
          <cell r="L527">
            <v>5193</v>
          </cell>
          <cell r="M527">
            <v>5404</v>
          </cell>
          <cell r="N527">
            <v>5817</v>
          </cell>
          <cell r="O527">
            <v>5540</v>
          </cell>
          <cell r="P527">
            <v>6273</v>
          </cell>
          <cell r="Q527">
            <v>7073</v>
          </cell>
          <cell r="R527">
            <v>7465</v>
          </cell>
          <cell r="S527">
            <v>9578</v>
          </cell>
          <cell r="T527">
            <v>9998</v>
          </cell>
          <cell r="U527">
            <v>6660</v>
          </cell>
          <cell r="V527">
            <v>10634</v>
          </cell>
          <cell r="W527">
            <v>11518</v>
          </cell>
          <cell r="X527">
            <v>9587</v>
          </cell>
          <cell r="Y527">
            <v>9459</v>
          </cell>
          <cell r="Z527">
            <v>10677</v>
          </cell>
          <cell r="AA527">
            <v>11513</v>
          </cell>
          <cell r="AB527">
            <v>9912</v>
          </cell>
          <cell r="AC527">
            <v>11419</v>
          </cell>
          <cell r="AD527">
            <v>12736</v>
          </cell>
          <cell r="AE527">
            <v>13632</v>
          </cell>
          <cell r="AF527">
            <v>12595</v>
          </cell>
          <cell r="AG527">
            <v>14144</v>
          </cell>
          <cell r="AH527">
            <v>13988</v>
          </cell>
          <cell r="AI527">
            <v>17636.8379372934</v>
          </cell>
          <cell r="AJ527">
            <v>18157.572494520799</v>
          </cell>
          <cell r="AK527">
            <v>19120.400077951501</v>
          </cell>
          <cell r="AL527">
            <v>19932.4514634591</v>
          </cell>
          <cell r="BM527">
            <v>2256</v>
          </cell>
          <cell r="BN527">
            <v>2256</v>
          </cell>
          <cell r="BO527">
            <v>2754</v>
          </cell>
          <cell r="BP527">
            <v>2783</v>
          </cell>
          <cell r="BQ527">
            <v>2841</v>
          </cell>
          <cell r="BR527">
            <v>2949</v>
          </cell>
          <cell r="BS527">
            <v>3046</v>
          </cell>
          <cell r="BT527">
            <v>2913</v>
          </cell>
          <cell r="BU527">
            <v>2610</v>
          </cell>
          <cell r="BV527">
            <v>2581</v>
          </cell>
          <cell r="BW527">
            <v>2637</v>
          </cell>
          <cell r="BX527">
            <v>2326</v>
          </cell>
          <cell r="BY527">
            <v>2043</v>
          </cell>
          <cell r="BZ527">
            <v>2192</v>
          </cell>
          <cell r="CA527">
            <v>2481</v>
          </cell>
          <cell r="CB527">
            <v>2486</v>
          </cell>
          <cell r="CC527">
            <v>2302</v>
          </cell>
        </row>
        <row r="528">
          <cell r="B528" t="str">
            <v>EPS (Pub)</v>
          </cell>
          <cell r="C528" t="str">
            <v>EPS_PUB</v>
          </cell>
          <cell r="D528" t="str">
            <v>SEK</v>
          </cell>
          <cell r="F528">
            <v>2.83</v>
          </cell>
          <cell r="G528">
            <v>4.55</v>
          </cell>
          <cell r="H528">
            <v>3.74</v>
          </cell>
          <cell r="I528">
            <v>3.54</v>
          </cell>
          <cell r="J528">
            <v>2.4500000000000002</v>
          </cell>
          <cell r="K528">
            <v>1.59</v>
          </cell>
          <cell r="L528">
            <v>4.07</v>
          </cell>
          <cell r="M528">
            <v>4.7300000000000004</v>
          </cell>
          <cell r="N528">
            <v>5.35</v>
          </cell>
          <cell r="O528">
            <v>5.51</v>
          </cell>
          <cell r="P528">
            <v>6.65</v>
          </cell>
          <cell r="Q528">
            <v>8.1</v>
          </cell>
          <cell r="R528">
            <v>8.74</v>
          </cell>
          <cell r="S528">
            <v>10.66</v>
          </cell>
          <cell r="T528">
            <v>10.88</v>
          </cell>
          <cell r="U528">
            <v>6.41</v>
          </cell>
          <cell r="V528">
            <v>11.28</v>
          </cell>
          <cell r="W528">
            <v>13.29</v>
          </cell>
          <cell r="X528">
            <v>10.33</v>
          </cell>
          <cell r="Y528">
            <v>2</v>
          </cell>
          <cell r="Z528">
            <v>10.1</v>
          </cell>
          <cell r="AA528">
            <v>8.52</v>
          </cell>
          <cell r="AB528">
            <v>9.01</v>
          </cell>
          <cell r="AC528">
            <v>12.02</v>
          </cell>
          <cell r="AD528">
            <v>16</v>
          </cell>
          <cell r="AE528">
            <v>12.2</v>
          </cell>
          <cell r="AF528">
            <v>9.44</v>
          </cell>
          <cell r="AG528">
            <v>16.100000000000001</v>
          </cell>
          <cell r="AH528">
            <v>9.81</v>
          </cell>
          <cell r="AI528">
            <v>16.899999999999999</v>
          </cell>
          <cell r="AJ528">
            <v>17.43</v>
          </cell>
          <cell r="AK528">
            <v>18.47</v>
          </cell>
          <cell r="AL528">
            <v>19.28</v>
          </cell>
          <cell r="BM528">
            <v>2.2685792844130002</v>
          </cell>
          <cell r="BN528">
            <v>2.2685792844130002</v>
          </cell>
          <cell r="BO528">
            <v>3.0855313597289999</v>
          </cell>
          <cell r="BP528">
            <v>3.0503936360589998</v>
          </cell>
          <cell r="BQ528">
            <v>2.8690972331700002</v>
          </cell>
          <cell r="BR528">
            <v>3.443496919612</v>
          </cell>
          <cell r="BS528">
            <v>3.7631481094489998</v>
          </cell>
          <cell r="BT528">
            <v>3.5203606901389999</v>
          </cell>
          <cell r="BU528">
            <v>2.571642151062</v>
          </cell>
          <cell r="BV528">
            <v>2.8417634017719999</v>
          </cell>
          <cell r="BW528">
            <v>2.6726631066120001</v>
          </cell>
          <cell r="BX528">
            <v>2.71</v>
          </cell>
          <cell r="BY528">
            <v>2.16</v>
          </cell>
          <cell r="BZ528">
            <v>1.74</v>
          </cell>
          <cell r="CA528">
            <v>2.36</v>
          </cell>
          <cell r="CB528">
            <v>2.4700000000000002</v>
          </cell>
          <cell r="CC528">
            <v>-4.57</v>
          </cell>
          <cell r="CD528">
            <v>2.72</v>
          </cell>
          <cell r="CE528">
            <v>2.54</v>
          </cell>
          <cell r="CF528">
            <v>3.01</v>
          </cell>
          <cell r="CG528">
            <v>1.84</v>
          </cell>
          <cell r="CH528">
            <v>2.46</v>
          </cell>
          <cell r="CI528">
            <v>2.72</v>
          </cell>
          <cell r="CJ528">
            <v>1.59</v>
          </cell>
          <cell r="CK528">
            <v>0.82</v>
          </cell>
          <cell r="CL528">
            <v>2.4</v>
          </cell>
          <cell r="CM528">
            <v>1.4362544549909999</v>
          </cell>
          <cell r="CN528">
            <v>2.9669415423440002</v>
          </cell>
          <cell r="CO528">
            <v>1.9523397713870001</v>
          </cell>
          <cell r="CP528">
            <v>3.09</v>
          </cell>
          <cell r="CQ528">
            <v>2.5099999999999998</v>
          </cell>
          <cell r="CR528">
            <v>2.29</v>
          </cell>
          <cell r="CS528">
            <v>4.12</v>
          </cell>
          <cell r="CT528">
            <v>3.78</v>
          </cell>
          <cell r="CU528">
            <v>4.25</v>
          </cell>
          <cell r="CV528">
            <v>3.35</v>
          </cell>
          <cell r="CW528">
            <v>4.63</v>
          </cell>
          <cell r="CX528">
            <v>3.77</v>
          </cell>
          <cell r="CY528">
            <v>3.32</v>
          </cell>
          <cell r="CZ528">
            <v>2.84</v>
          </cell>
          <cell r="DA528">
            <v>2.27</v>
          </cell>
          <cell r="DB528">
            <v>2.75</v>
          </cell>
          <cell r="DC528">
            <v>0.75</v>
          </cell>
          <cell r="DD528">
            <v>2.59</v>
          </cell>
          <cell r="DE528">
            <v>3.35</v>
          </cell>
          <cell r="DF528">
            <v>3.91</v>
          </cell>
          <cell r="DG528">
            <v>4.59</v>
          </cell>
          <cell r="DH528">
            <v>3.86</v>
          </cell>
          <cell r="DI528">
            <v>3.74</v>
          </cell>
          <cell r="DJ528">
            <v>4.3600000000000003</v>
          </cell>
          <cell r="DK528">
            <v>1.08</v>
          </cell>
          <cell r="DL528">
            <v>2.41</v>
          </cell>
          <cell r="DM528">
            <v>1.96</v>
          </cell>
          <cell r="DN528">
            <v>4.55</v>
          </cell>
          <cell r="DO528">
            <v>3.96</v>
          </cell>
          <cell r="DP528">
            <v>4.0599999999999996</v>
          </cell>
          <cell r="DQ528">
            <v>4.47</v>
          </cell>
          <cell r="DR528">
            <v>4.9800000000000004</v>
          </cell>
          <cell r="DS528">
            <v>4.92</v>
          </cell>
        </row>
        <row r="529">
          <cell r="B529" t="str">
            <v>Consensus earnings equivalent estimate</v>
          </cell>
          <cell r="C529" t="str">
            <v>CEEE_EPS</v>
          </cell>
          <cell r="D529" t="str">
            <v>SEK</v>
          </cell>
          <cell r="F529">
            <v>2.8296571359980001</v>
          </cell>
          <cell r="G529">
            <v>4.5531152352489999</v>
          </cell>
          <cell r="H529">
            <v>3.7433775403510001</v>
          </cell>
          <cell r="I529">
            <v>3.4215358423179998</v>
          </cell>
          <cell r="J529">
            <v>3.0372169896829999</v>
          </cell>
          <cell r="K529">
            <v>1.5877858883160001</v>
          </cell>
          <cell r="L529">
            <v>4.0737798379339996</v>
          </cell>
          <cell r="M529">
            <v>4.7326120320170002</v>
          </cell>
          <cell r="N529">
            <v>5.3453262132240003</v>
          </cell>
          <cell r="O529">
            <v>5.5056420774659998</v>
          </cell>
          <cell r="P529">
            <v>6.6520103121840002</v>
          </cell>
          <cell r="Q529">
            <v>8.0970491980929999</v>
          </cell>
          <cell r="R529">
            <v>8.7383126550609997</v>
          </cell>
          <cell r="S529">
            <v>10.662103025966999</v>
          </cell>
          <cell r="T529">
            <v>10.88390990663</v>
          </cell>
          <cell r="U529">
            <v>6.4060462464969996</v>
          </cell>
          <cell r="V529">
            <v>11.700861981947</v>
          </cell>
          <cell r="W529">
            <v>13.508258643196999</v>
          </cell>
          <cell r="X529">
            <v>11.299484213355999</v>
          </cell>
          <cell r="Y529">
            <v>10.513242163136001</v>
          </cell>
          <cell r="Z529">
            <v>11.178188342363001</v>
          </cell>
          <cell r="AA529">
            <v>12.22573172926</v>
          </cell>
          <cell r="AB529">
            <v>9.0471127787580006</v>
          </cell>
          <cell r="AC529">
            <v>12.02</v>
          </cell>
          <cell r="AD529">
            <v>16</v>
          </cell>
          <cell r="AE529">
            <v>12.2</v>
          </cell>
          <cell r="AF529">
            <v>9.44</v>
          </cell>
          <cell r="AG529">
            <v>16.100000000000001</v>
          </cell>
          <cell r="AH529">
            <v>9.81</v>
          </cell>
          <cell r="AI529">
            <v>16.899999999999999</v>
          </cell>
          <cell r="AJ529">
            <v>17.43</v>
          </cell>
          <cell r="AK529">
            <v>18.47</v>
          </cell>
          <cell r="AL529">
            <v>20.584423169524001</v>
          </cell>
        </row>
        <row r="530">
          <cell r="B530" t="str">
            <v>EV adjustment (Pub)</v>
          </cell>
          <cell r="C530" t="str">
            <v>EV_ADJ_PUB</v>
          </cell>
          <cell r="D530" t="str">
            <v>SEK</v>
          </cell>
          <cell r="F530">
            <v>0</v>
          </cell>
          <cell r="G530">
            <v>0</v>
          </cell>
          <cell r="H530">
            <v>0</v>
          </cell>
          <cell r="I530">
            <v>0</v>
          </cell>
          <cell r="J530">
            <v>0</v>
          </cell>
          <cell r="K530">
            <v>0</v>
          </cell>
          <cell r="L530">
            <v>0</v>
          </cell>
          <cell r="M530">
            <v>0</v>
          </cell>
          <cell r="N530">
            <v>0</v>
          </cell>
          <cell r="O530">
            <v>0</v>
          </cell>
          <cell r="P530">
            <v>0</v>
          </cell>
          <cell r="Q530">
            <v>0</v>
          </cell>
          <cell r="R530">
            <v>0</v>
          </cell>
          <cell r="S530">
            <v>-70</v>
          </cell>
          <cell r="T530">
            <v>-80</v>
          </cell>
          <cell r="U530">
            <v>-91</v>
          </cell>
          <cell r="V530">
            <v>0</v>
          </cell>
          <cell r="W530">
            <v>0</v>
          </cell>
          <cell r="X530">
            <v>-44</v>
          </cell>
          <cell r="Y530">
            <v>-54</v>
          </cell>
          <cell r="Z530">
            <v>-65</v>
          </cell>
          <cell r="AA530">
            <v>-56.098281417830002</v>
          </cell>
          <cell r="AB530">
            <v>0</v>
          </cell>
          <cell r="AC530">
            <v>0</v>
          </cell>
          <cell r="AD530">
            <v>0</v>
          </cell>
          <cell r="AE530">
            <v>0</v>
          </cell>
          <cell r="AF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row>
        <row r="531">
          <cell r="B531" t="str">
            <v>Net debt (Pub)</v>
          </cell>
          <cell r="C531" t="str">
            <v>NET_DEBT_PUB</v>
          </cell>
          <cell r="D531" t="str">
            <v>SEK</v>
          </cell>
          <cell r="F531">
            <v>4745.4558144218299</v>
          </cell>
          <cell r="G531">
            <v>3623.2108090197898</v>
          </cell>
          <cell r="H531">
            <v>4975.3045770523104</v>
          </cell>
          <cell r="I531">
            <v>5274.8333218882099</v>
          </cell>
          <cell r="J531">
            <v>6699.8997750177796</v>
          </cell>
          <cell r="K531">
            <v>4659.6209265913303</v>
          </cell>
          <cell r="L531">
            <v>1990.4309551899901</v>
          </cell>
          <cell r="M531">
            <v>-1615.0280724556001</v>
          </cell>
          <cell r="N531">
            <v>-2965.5376574566999</v>
          </cell>
          <cell r="O531">
            <v>-3851.9934312089499</v>
          </cell>
          <cell r="P531">
            <v>-1568.1976714376799</v>
          </cell>
          <cell r="Q531">
            <v>276</v>
          </cell>
          <cell r="R531">
            <v>-229</v>
          </cell>
          <cell r="S531">
            <v>4537</v>
          </cell>
          <cell r="T531">
            <v>11199</v>
          </cell>
          <cell r="U531">
            <v>6572</v>
          </cell>
          <cell r="V531">
            <v>10190</v>
          </cell>
          <cell r="W531">
            <v>9003</v>
          </cell>
          <cell r="X531">
            <v>7715</v>
          </cell>
          <cell r="Y531">
            <v>16569</v>
          </cell>
          <cell r="Z531">
            <v>19068</v>
          </cell>
          <cell r="AA531">
            <v>16909</v>
          </cell>
          <cell r="AB531">
            <v>13093</v>
          </cell>
          <cell r="AC531">
            <v>12547</v>
          </cell>
          <cell r="AD531">
            <v>7797</v>
          </cell>
          <cell r="AE531">
            <v>6863</v>
          </cell>
          <cell r="AF531">
            <v>3324</v>
          </cell>
          <cell r="AG531">
            <v>4236</v>
          </cell>
          <cell r="AH531">
            <v>7190</v>
          </cell>
          <cell r="AI531">
            <v>5046.5942790835397</v>
          </cell>
          <cell r="AJ531">
            <v>2852.4701456378698</v>
          </cell>
          <cell r="AK531">
            <v>13.805747225192</v>
          </cell>
          <cell r="AL531">
            <v>-3447.0068200112501</v>
          </cell>
        </row>
        <row r="532">
          <cell r="B532" t="str">
            <v>Net Debt (ex leases) (Pub)</v>
          </cell>
          <cell r="C532" t="str">
            <v>NET_DEBT_EX_LEASES_PUB</v>
          </cell>
          <cell r="D532" t="str">
            <v>SEK</v>
          </cell>
          <cell r="F532">
            <v>3407</v>
          </cell>
          <cell r="G532">
            <v>2264</v>
          </cell>
          <cell r="H532">
            <v>3462</v>
          </cell>
          <cell r="I532">
            <v>3630</v>
          </cell>
          <cell r="J532">
            <v>4942</v>
          </cell>
          <cell r="K532">
            <v>3082</v>
          </cell>
          <cell r="L532">
            <v>411</v>
          </cell>
          <cell r="M532">
            <v>-3256</v>
          </cell>
          <cell r="N532">
            <v>-4464</v>
          </cell>
          <cell r="O532">
            <v>-5196</v>
          </cell>
          <cell r="P532">
            <v>-2897</v>
          </cell>
          <cell r="Q532">
            <v>-1082</v>
          </cell>
          <cell r="R532">
            <v>-1614</v>
          </cell>
          <cell r="S532">
            <v>3158</v>
          </cell>
          <cell r="T532">
            <v>9486</v>
          </cell>
          <cell r="U532">
            <v>4808</v>
          </cell>
          <cell r="V532">
            <v>8388</v>
          </cell>
          <cell r="W532">
            <v>7005</v>
          </cell>
          <cell r="X532">
            <v>5829</v>
          </cell>
          <cell r="Y532">
            <v>14302</v>
          </cell>
          <cell r="Z532">
            <v>16208</v>
          </cell>
          <cell r="AA532">
            <v>13259</v>
          </cell>
          <cell r="AB532">
            <v>9465</v>
          </cell>
          <cell r="AC532">
            <v>9045</v>
          </cell>
          <cell r="AD532">
            <v>4567</v>
          </cell>
          <cell r="AE532">
            <v>3852</v>
          </cell>
          <cell r="AF532">
            <v>485.029207503083</v>
          </cell>
          <cell r="AG532">
            <v>1320.1827091581699</v>
          </cell>
          <cell r="AH532">
            <v>4158.8679088140598</v>
          </cell>
          <cell r="AI532">
            <v>2015.46218789759</v>
          </cell>
          <cell r="AJ532">
            <v>-178.661945548072</v>
          </cell>
          <cell r="AK532">
            <v>-3017.3263439607499</v>
          </cell>
          <cell r="AL532">
            <v>-6478.1389111972003</v>
          </cell>
        </row>
        <row r="533">
          <cell r="B533" t="str">
            <v>Consensus equivalent net debt</v>
          </cell>
          <cell r="C533" t="str">
            <v>CEEE_NDEBT</v>
          </cell>
          <cell r="D533" t="str">
            <v>SEK</v>
          </cell>
        </row>
        <row r="534">
          <cell r="B534" t="str">
            <v>Net income (Pub)</v>
          </cell>
          <cell r="C534" t="str">
            <v>NI_PUB</v>
          </cell>
          <cell r="D534" t="str">
            <v>SEK</v>
          </cell>
          <cell r="F534">
            <v>1279</v>
          </cell>
          <cell r="G534">
            <v>2058</v>
          </cell>
          <cell r="H534">
            <v>1692</v>
          </cell>
          <cell r="I534">
            <v>1613</v>
          </cell>
          <cell r="J534">
            <v>1117</v>
          </cell>
          <cell r="K534">
            <v>723</v>
          </cell>
          <cell r="L534">
            <v>1855</v>
          </cell>
          <cell r="M534">
            <v>2155</v>
          </cell>
          <cell r="N534">
            <v>2434</v>
          </cell>
          <cell r="O534">
            <v>2507</v>
          </cell>
          <cell r="P534">
            <v>3029</v>
          </cell>
          <cell r="Q534">
            <v>3687</v>
          </cell>
          <cell r="R534">
            <v>3979</v>
          </cell>
          <cell r="S534">
            <v>4855</v>
          </cell>
          <cell r="T534">
            <v>4956</v>
          </cell>
          <cell r="U534">
            <v>2917</v>
          </cell>
          <cell r="V534">
            <v>5138</v>
          </cell>
          <cell r="W534">
            <v>6051</v>
          </cell>
          <cell r="X534">
            <v>4705</v>
          </cell>
          <cell r="Y534">
            <v>912</v>
          </cell>
          <cell r="Z534">
            <v>4600</v>
          </cell>
          <cell r="AA534">
            <v>3880</v>
          </cell>
          <cell r="AB534">
            <v>3985</v>
          </cell>
          <cell r="AC534">
            <v>5475</v>
          </cell>
          <cell r="AD534">
            <v>7285</v>
          </cell>
          <cell r="AE534">
            <v>5557</v>
          </cell>
          <cell r="AF534">
            <v>4298</v>
          </cell>
          <cell r="AG534">
            <v>7331</v>
          </cell>
          <cell r="AH534">
            <v>4469</v>
          </cell>
          <cell r="AI534">
            <v>7709.8379372934196</v>
          </cell>
          <cell r="AJ534">
            <v>7965.9427584066798</v>
          </cell>
          <cell r="AK534">
            <v>8459.2936114249005</v>
          </cell>
          <cell r="AL534">
            <v>8847.2429978171804</v>
          </cell>
          <cell r="BA534">
            <v>1169</v>
          </cell>
          <cell r="BB534">
            <v>1169</v>
          </cell>
          <cell r="BC534">
            <v>1233</v>
          </cell>
          <cell r="BD534">
            <v>1132</v>
          </cell>
          <cell r="BE534">
            <v>1061</v>
          </cell>
          <cell r="BF534">
            <v>1261</v>
          </cell>
          <cell r="BG534">
            <v>1341</v>
          </cell>
          <cell r="BH534">
            <v>1217</v>
          </cell>
          <cell r="BI534">
            <v>797</v>
          </cell>
          <cell r="BJ534">
            <v>390</v>
          </cell>
          <cell r="BK534">
            <v>314</v>
          </cell>
          <cell r="BL534">
            <v>462</v>
          </cell>
          <cell r="BM534">
            <v>476</v>
          </cell>
          <cell r="BN534">
            <v>1033</v>
          </cell>
          <cell r="BO534">
            <v>1405</v>
          </cell>
          <cell r="BP534">
            <v>1389</v>
          </cell>
          <cell r="BQ534">
            <v>1311</v>
          </cell>
          <cell r="BR534">
            <v>1568</v>
          </cell>
          <cell r="BS534">
            <v>1709</v>
          </cell>
          <cell r="BT534">
            <v>1603</v>
          </cell>
          <cell r="BU534">
            <v>1171</v>
          </cell>
          <cell r="BV534">
            <v>1294</v>
          </cell>
          <cell r="BW534">
            <v>1217</v>
          </cell>
          <cell r="BX534">
            <v>1230</v>
          </cell>
          <cell r="BY534">
            <v>964</v>
          </cell>
          <cell r="BZ534">
            <v>793</v>
          </cell>
          <cell r="CA534">
            <v>1077</v>
          </cell>
          <cell r="CB534">
            <v>1123</v>
          </cell>
          <cell r="CC534">
            <v>-2081</v>
          </cell>
          <cell r="CD534">
            <v>1238</v>
          </cell>
          <cell r="CE534">
            <v>1156</v>
          </cell>
          <cell r="CF534">
            <v>1370</v>
          </cell>
          <cell r="CG534">
            <v>836</v>
          </cell>
          <cell r="CH534">
            <v>1120</v>
          </cell>
          <cell r="CI534">
            <v>1662</v>
          </cell>
          <cell r="CJ534">
            <v>724</v>
          </cell>
          <cell r="CK534">
            <v>374</v>
          </cell>
          <cell r="CL534">
            <v>1091</v>
          </cell>
          <cell r="CM534">
            <v>654</v>
          </cell>
          <cell r="CN534">
            <v>1351</v>
          </cell>
          <cell r="CO534">
            <v>889</v>
          </cell>
          <cell r="CP534">
            <v>1408</v>
          </cell>
          <cell r="CQ534">
            <v>1145</v>
          </cell>
          <cell r="CR534">
            <v>1044</v>
          </cell>
          <cell r="CS534">
            <v>1878</v>
          </cell>
          <cell r="CT534">
            <v>1719</v>
          </cell>
          <cell r="CU534">
            <v>1935</v>
          </cell>
          <cell r="CV534">
            <v>1524</v>
          </cell>
          <cell r="CW534">
            <v>2107</v>
          </cell>
          <cell r="CX534">
            <v>1718</v>
          </cell>
          <cell r="CY534">
            <v>1511</v>
          </cell>
          <cell r="CZ534">
            <v>1293</v>
          </cell>
          <cell r="DA534">
            <v>1035</v>
          </cell>
          <cell r="DB534">
            <v>1250</v>
          </cell>
          <cell r="DC534">
            <v>342</v>
          </cell>
          <cell r="DD534">
            <v>1179</v>
          </cell>
          <cell r="DE534">
            <v>1527</v>
          </cell>
          <cell r="DF534">
            <v>1782</v>
          </cell>
          <cell r="DG534">
            <v>2089</v>
          </cell>
          <cell r="DH534">
            <v>1756</v>
          </cell>
          <cell r="DI534">
            <v>1704</v>
          </cell>
          <cell r="DJ534">
            <v>1984</v>
          </cell>
          <cell r="DK534">
            <v>493</v>
          </cell>
          <cell r="DL534">
            <v>1099</v>
          </cell>
          <cell r="DM534">
            <v>893</v>
          </cell>
          <cell r="DN534">
            <v>2073</v>
          </cell>
          <cell r="DO534">
            <v>1801.9059251844301</v>
          </cell>
          <cell r="DP534">
            <v>1848.32178289425</v>
          </cell>
          <cell r="DQ534">
            <v>2037.61022921474</v>
          </cell>
          <cell r="DR534">
            <v>2267.8828447556698</v>
          </cell>
          <cell r="DS534">
            <v>2240.1832355805</v>
          </cell>
        </row>
        <row r="535">
          <cell r="B535" t="str">
            <v>EBIT, operating profit (Pub)</v>
          </cell>
          <cell r="C535" t="str">
            <v>EBIT_PUB</v>
          </cell>
          <cell r="D535" t="str">
            <v>SEK</v>
          </cell>
          <cell r="F535">
            <v>2591</v>
          </cell>
          <cell r="G535">
            <v>4000</v>
          </cell>
          <cell r="H535">
            <v>2874</v>
          </cell>
          <cell r="I535">
            <v>3004</v>
          </cell>
          <cell r="J535">
            <v>2137</v>
          </cell>
          <cell r="K535">
            <v>2132</v>
          </cell>
          <cell r="L535">
            <v>3560</v>
          </cell>
          <cell r="M535">
            <v>3610</v>
          </cell>
          <cell r="N535">
            <v>3958</v>
          </cell>
          <cell r="O535">
            <v>3748</v>
          </cell>
          <cell r="P535">
            <v>4540</v>
          </cell>
          <cell r="Q535">
            <v>5321</v>
          </cell>
          <cell r="R535">
            <v>5631</v>
          </cell>
          <cell r="S535">
            <v>7802</v>
          </cell>
          <cell r="T535">
            <v>8049</v>
          </cell>
          <cell r="U535">
            <v>4489</v>
          </cell>
          <cell r="V535">
            <v>8642</v>
          </cell>
          <cell r="W535">
            <v>9728</v>
          </cell>
          <cell r="X535">
            <v>7756</v>
          </cell>
          <cell r="Y535">
            <v>7566</v>
          </cell>
          <cell r="Z535">
            <v>8285</v>
          </cell>
          <cell r="AA535">
            <v>8655</v>
          </cell>
          <cell r="AB535">
            <v>7544</v>
          </cell>
          <cell r="AC535">
            <v>9096</v>
          </cell>
          <cell r="AD535">
            <v>10264</v>
          </cell>
          <cell r="AE535">
            <v>10136</v>
          </cell>
          <cell r="AF535">
            <v>9194</v>
          </cell>
          <cell r="AG535">
            <v>10839</v>
          </cell>
          <cell r="AH535">
            <v>10204</v>
          </cell>
          <cell r="AI535">
            <v>13602.8379372934</v>
          </cell>
          <cell r="AJ535">
            <v>13873.5724945208</v>
          </cell>
          <cell r="AK535">
            <v>14586.400077951501</v>
          </cell>
          <cell r="AL535">
            <v>15148.4514634591</v>
          </cell>
          <cell r="AO535">
            <v>953</v>
          </cell>
          <cell r="AP535">
            <v>953</v>
          </cell>
          <cell r="AQ535">
            <v>1174</v>
          </cell>
          <cell r="AR535">
            <v>1189</v>
          </cell>
          <cell r="AS535">
            <v>1670</v>
          </cell>
          <cell r="AT535">
            <v>1207</v>
          </cell>
          <cell r="AU535">
            <v>1528</v>
          </cell>
          <cell r="AV535">
            <v>1464</v>
          </cell>
          <cell r="AW535">
            <v>1468</v>
          </cell>
          <cell r="AX535">
            <v>1609</v>
          </cell>
          <cell r="AY535">
            <v>1702</v>
          </cell>
          <cell r="AZ535">
            <v>1538</v>
          </cell>
          <cell r="BA535">
            <v>1520</v>
          </cell>
          <cell r="BB535">
            <v>1886</v>
          </cell>
          <cell r="BC535">
            <v>2019</v>
          </cell>
          <cell r="BD535">
            <v>1803</v>
          </cell>
          <cell r="BE535">
            <v>2131</v>
          </cell>
          <cell r="BF535">
            <v>2040</v>
          </cell>
          <cell r="BG535">
            <v>2135</v>
          </cell>
          <cell r="BH535">
            <v>2085</v>
          </cell>
          <cell r="BI535">
            <v>1790</v>
          </cell>
          <cell r="BJ535">
            <v>943</v>
          </cell>
          <cell r="BK535">
            <v>974</v>
          </cell>
          <cell r="BL535">
            <v>1157</v>
          </cell>
          <cell r="BM535">
            <v>1404</v>
          </cell>
          <cell r="BN535">
            <v>1792</v>
          </cell>
          <cell r="BO535">
            <v>2239</v>
          </cell>
          <cell r="BP535">
            <v>2309</v>
          </cell>
          <cell r="BQ535">
            <v>2302</v>
          </cell>
          <cell r="BR535">
            <v>2504</v>
          </cell>
          <cell r="BS535">
            <v>2623</v>
          </cell>
          <cell r="BT535">
            <v>2479</v>
          </cell>
          <cell r="BU535">
            <v>2106</v>
          </cell>
          <cell r="BV535">
            <v>2140</v>
          </cell>
          <cell r="BW535">
            <v>2193</v>
          </cell>
          <cell r="BX535">
            <v>1913</v>
          </cell>
          <cell r="BY535">
            <v>1527</v>
          </cell>
          <cell r="BZ535">
            <v>1730</v>
          </cell>
          <cell r="CA535">
            <v>2027</v>
          </cell>
          <cell r="CB535">
            <v>2008</v>
          </cell>
          <cell r="CC535">
            <v>1803</v>
          </cell>
          <cell r="CD535">
            <v>1904</v>
          </cell>
          <cell r="CE535">
            <v>2216</v>
          </cell>
          <cell r="CF535">
            <v>2093</v>
          </cell>
          <cell r="CG535">
            <v>2078</v>
          </cell>
          <cell r="CH535">
            <v>2376</v>
          </cell>
          <cell r="CI535">
            <v>2577</v>
          </cell>
          <cell r="CJ535">
            <v>1976</v>
          </cell>
          <cell r="CK535">
            <v>1726</v>
          </cell>
          <cell r="CL535">
            <v>1972</v>
          </cell>
          <cell r="CM535">
            <v>2020</v>
          </cell>
          <cell r="CN535">
            <v>1811</v>
          </cell>
          <cell r="CO535">
            <v>1741</v>
          </cell>
          <cell r="CP535">
            <v>2357</v>
          </cell>
          <cell r="CQ535">
            <v>2436</v>
          </cell>
          <cell r="CR535">
            <v>2211</v>
          </cell>
          <cell r="CS535">
            <v>2092</v>
          </cell>
          <cell r="CT535">
            <v>2625</v>
          </cell>
          <cell r="CU535">
            <v>2925</v>
          </cell>
          <cell r="CV535">
            <v>2597</v>
          </cell>
          <cell r="CW535">
            <v>2117</v>
          </cell>
          <cell r="CX535">
            <v>2658</v>
          </cell>
          <cell r="CY535">
            <v>2856</v>
          </cell>
          <cell r="CZ535">
            <v>2380</v>
          </cell>
          <cell r="DA535">
            <v>2181</v>
          </cell>
          <cell r="DB535">
            <v>2572</v>
          </cell>
          <cell r="DC535">
            <v>1565</v>
          </cell>
          <cell r="DD535">
            <v>2475</v>
          </cell>
          <cell r="DE535">
            <v>2582</v>
          </cell>
          <cell r="DF535">
            <v>2790</v>
          </cell>
          <cell r="DG535">
            <v>3116</v>
          </cell>
          <cell r="DH535">
            <v>2672</v>
          </cell>
          <cell r="DI535">
            <v>2261</v>
          </cell>
          <cell r="DJ535">
            <v>3058</v>
          </cell>
          <cell r="DK535">
            <v>2474</v>
          </cell>
          <cell r="DL535">
            <v>2131</v>
          </cell>
          <cell r="DM535">
            <v>2541</v>
          </cell>
          <cell r="DN535">
            <v>3478</v>
          </cell>
          <cell r="DO535">
            <v>3253.75822942282</v>
          </cell>
          <cell r="DP535">
            <v>3318.2246984642402</v>
          </cell>
          <cell r="DQ535">
            <v>3603.8550094063598</v>
          </cell>
          <cell r="DR535">
            <v>3784.4285544598201</v>
          </cell>
          <cell r="DS535">
            <v>3760.1825144938398</v>
          </cell>
        </row>
        <row r="536">
          <cell r="B536" t="str">
            <v>Pre-tax profit (Pub)</v>
          </cell>
          <cell r="C536" t="str">
            <v>PTP_PUB</v>
          </cell>
          <cell r="D536" t="str">
            <v>SEK</v>
          </cell>
          <cell r="F536">
            <v>1877</v>
          </cell>
          <cell r="G536">
            <v>3389</v>
          </cell>
          <cell r="H536">
            <v>2412</v>
          </cell>
          <cell r="I536">
            <v>2161</v>
          </cell>
          <cell r="J536">
            <v>1073</v>
          </cell>
          <cell r="K536">
            <v>1381</v>
          </cell>
          <cell r="L536">
            <v>2895</v>
          </cell>
          <cell r="M536">
            <v>3108</v>
          </cell>
          <cell r="N536">
            <v>3510</v>
          </cell>
          <cell r="O536">
            <v>3261</v>
          </cell>
          <cell r="P536">
            <v>4190</v>
          </cell>
          <cell r="Q536">
            <v>5419</v>
          </cell>
          <cell r="R536">
            <v>6049</v>
          </cell>
          <cell r="S536">
            <v>7398</v>
          </cell>
          <cell r="T536">
            <v>7208</v>
          </cell>
          <cell r="U536">
            <v>3572</v>
          </cell>
          <cell r="V536">
            <v>7549</v>
          </cell>
          <cell r="W536">
            <v>8932</v>
          </cell>
          <cell r="X536">
            <v>6492</v>
          </cell>
          <cell r="Y536">
            <v>2821</v>
          </cell>
          <cell r="Z536">
            <v>6668</v>
          </cell>
          <cell r="AA536">
            <v>5834</v>
          </cell>
          <cell r="AB536">
            <v>6739</v>
          </cell>
          <cell r="AC536">
            <v>7658</v>
          </cell>
          <cell r="AD536">
            <v>10188</v>
          </cell>
          <cell r="AE536">
            <v>8469</v>
          </cell>
          <cell r="AF536">
            <v>6300</v>
          </cell>
          <cell r="AG536">
            <v>10063</v>
          </cell>
          <cell r="AH536">
            <v>7293</v>
          </cell>
          <cell r="AI536">
            <v>11152.8379372934</v>
          </cell>
          <cell r="AJ536">
            <v>11523.5724945208</v>
          </cell>
          <cell r="AK536">
            <v>12236.400077951501</v>
          </cell>
          <cell r="AL536">
            <v>12798.4514634591</v>
          </cell>
          <cell r="BA536">
            <v>1825</v>
          </cell>
          <cell r="BB536">
            <v>1825</v>
          </cell>
          <cell r="BC536">
            <v>1957</v>
          </cell>
          <cell r="BD536">
            <v>1646</v>
          </cell>
          <cell r="BE536">
            <v>1710</v>
          </cell>
          <cell r="BF536">
            <v>1924</v>
          </cell>
          <cell r="BG536">
            <v>1978</v>
          </cell>
          <cell r="BH536">
            <v>1859</v>
          </cell>
          <cell r="BI536">
            <v>1107</v>
          </cell>
          <cell r="BJ536">
            <v>531</v>
          </cell>
          <cell r="BK536">
            <v>312</v>
          </cell>
          <cell r="BL536">
            <v>689</v>
          </cell>
          <cell r="BM536">
            <v>765</v>
          </cell>
        </row>
        <row r="537">
          <cell r="B537" t="str">
            <v>Sales, revenue (Pub)</v>
          </cell>
          <cell r="C537" t="str">
            <v>REVS_PUB</v>
          </cell>
          <cell r="D537" t="str">
            <v>SEK</v>
          </cell>
          <cell r="F537">
            <v>33273</v>
          </cell>
          <cell r="G537">
            <v>36700</v>
          </cell>
          <cell r="H537">
            <v>33589</v>
          </cell>
          <cell r="I537">
            <v>36922</v>
          </cell>
          <cell r="J537">
            <v>37688</v>
          </cell>
          <cell r="K537">
            <v>36693</v>
          </cell>
          <cell r="L537">
            <v>39848</v>
          </cell>
          <cell r="M537">
            <v>43370</v>
          </cell>
          <cell r="N537">
            <v>42430</v>
          </cell>
          <cell r="O537">
            <v>41377</v>
          </cell>
          <cell r="P537">
            <v>44826</v>
          </cell>
          <cell r="Q537">
            <v>49285</v>
          </cell>
          <cell r="R537">
            <v>53101</v>
          </cell>
          <cell r="S537">
            <v>58559</v>
          </cell>
          <cell r="T537">
            <v>63361</v>
          </cell>
          <cell r="U537">
            <v>56227</v>
          </cell>
          <cell r="V537">
            <v>61029</v>
          </cell>
          <cell r="W537">
            <v>66216</v>
          </cell>
          <cell r="X537">
            <v>64575</v>
          </cell>
          <cell r="Y537">
            <v>63597</v>
          </cell>
          <cell r="Z537">
            <v>70975</v>
          </cell>
          <cell r="AA537">
            <v>75997</v>
          </cell>
          <cell r="AB537">
            <v>72589</v>
          </cell>
          <cell r="AC537">
            <v>77938</v>
          </cell>
          <cell r="AD537">
            <v>85713</v>
          </cell>
          <cell r="AE537">
            <v>86013</v>
          </cell>
          <cell r="AF537">
            <v>74852</v>
          </cell>
          <cell r="AG537">
            <v>81732</v>
          </cell>
          <cell r="AH537">
            <v>96933</v>
          </cell>
          <cell r="AI537">
            <v>105076.841261371</v>
          </cell>
          <cell r="AJ537">
            <v>107185.586323026</v>
          </cell>
          <cell r="AK537">
            <v>111201.29076294501</v>
          </cell>
          <cell r="AL537">
            <v>115206.02700815799</v>
          </cell>
          <cell r="AO537">
            <v>10689</v>
          </cell>
          <cell r="AP537">
            <v>10689</v>
          </cell>
          <cell r="AQ537">
            <v>11417</v>
          </cell>
          <cell r="AR537">
            <v>11184</v>
          </cell>
          <cell r="AS537">
            <v>11536</v>
          </cell>
          <cell r="AT537">
            <v>11871</v>
          </cell>
          <cell r="AU537">
            <v>12739</v>
          </cell>
          <cell r="AV537">
            <v>12027</v>
          </cell>
          <cell r="AW537">
            <v>12648</v>
          </cell>
          <cell r="AX537">
            <v>13289</v>
          </cell>
          <cell r="AY537">
            <v>13373</v>
          </cell>
          <cell r="AZ537">
            <v>12544</v>
          </cell>
          <cell r="BA537">
            <v>13895</v>
          </cell>
          <cell r="BB537">
            <v>14371</v>
          </cell>
          <cell r="BC537">
            <v>14963</v>
          </cell>
          <cell r="BD537">
            <v>14155</v>
          </cell>
          <cell r="BE537">
            <v>15070</v>
          </cell>
          <cell r="BF537">
            <v>15596</v>
          </cell>
          <cell r="BG537">
            <v>16077</v>
          </cell>
          <cell r="BH537">
            <v>15381</v>
          </cell>
          <cell r="BI537">
            <v>16307</v>
          </cell>
          <cell r="BJ537">
            <v>14849</v>
          </cell>
          <cell r="BK537">
            <v>14167</v>
          </cell>
          <cell r="BL537">
            <v>13324</v>
          </cell>
          <cell r="BM537">
            <v>13887</v>
          </cell>
          <cell r="BN537">
            <v>14446</v>
          </cell>
          <cell r="BO537">
            <v>15709</v>
          </cell>
          <cell r="BP537">
            <v>15465</v>
          </cell>
          <cell r="BQ537">
            <v>15409</v>
          </cell>
          <cell r="BR537">
            <v>16702</v>
          </cell>
          <cell r="BS537">
            <v>16712</v>
          </cell>
          <cell r="BT537">
            <v>16545</v>
          </cell>
          <cell r="BU537">
            <v>16257</v>
          </cell>
          <cell r="BV537">
            <v>16931</v>
          </cell>
          <cell r="BW537">
            <v>17174</v>
          </cell>
          <cell r="BX537">
            <v>15486</v>
          </cell>
          <cell r="BY537">
            <v>14984</v>
          </cell>
          <cell r="BZ537">
            <v>15152</v>
          </cell>
          <cell r="CA537">
            <v>16392</v>
          </cell>
          <cell r="CB537">
            <v>15623</v>
          </cell>
          <cell r="CC537">
            <v>16430</v>
          </cell>
          <cell r="CD537">
            <v>16734</v>
          </cell>
          <cell r="CE537">
            <v>17955</v>
          </cell>
          <cell r="CF537">
            <v>17787</v>
          </cell>
          <cell r="CG537">
            <v>18499</v>
          </cell>
          <cell r="CH537">
            <v>19454</v>
          </cell>
          <cell r="CI537">
            <v>19961</v>
          </cell>
          <cell r="CJ537">
            <v>18367</v>
          </cell>
          <cell r="CK537">
            <v>18215</v>
          </cell>
          <cell r="CL537">
            <v>17720</v>
          </cell>
          <cell r="CM537">
            <v>18319</v>
          </cell>
          <cell r="CN537">
            <v>17862</v>
          </cell>
          <cell r="CO537">
            <v>18732</v>
          </cell>
          <cell r="CP537">
            <v>19601</v>
          </cell>
          <cell r="CQ537">
            <v>20229</v>
          </cell>
          <cell r="CR537">
            <v>18627</v>
          </cell>
          <cell r="CS537">
            <v>19481</v>
          </cell>
          <cell r="CT537">
            <v>20560</v>
          </cell>
          <cell r="CU537">
            <v>22620</v>
          </cell>
          <cell r="CV537">
            <v>21341</v>
          </cell>
          <cell r="CW537">
            <v>21192</v>
          </cell>
          <cell r="CX537">
            <v>21278</v>
          </cell>
          <cell r="CY537">
            <v>22488</v>
          </cell>
          <cell r="CZ537">
            <v>21039</v>
          </cell>
          <cell r="DA537">
            <v>21208</v>
          </cell>
          <cell r="DB537">
            <v>20085</v>
          </cell>
          <cell r="DC537">
            <v>16599</v>
          </cell>
          <cell r="DD537">
            <v>18596</v>
          </cell>
          <cell r="DE537">
            <v>19572</v>
          </cell>
          <cell r="DF537">
            <v>19865</v>
          </cell>
          <cell r="DG537">
            <v>20735</v>
          </cell>
          <cell r="DH537">
            <v>20146</v>
          </cell>
          <cell r="DI537">
            <v>20986</v>
          </cell>
          <cell r="DJ537">
            <v>22942</v>
          </cell>
          <cell r="DK537">
            <v>23655</v>
          </cell>
          <cell r="DL537">
            <v>24975</v>
          </cell>
          <cell r="DM537">
            <v>25361</v>
          </cell>
          <cell r="DN537">
            <v>26549</v>
          </cell>
          <cell r="DO537">
            <v>25839.4767808672</v>
          </cell>
          <cell r="DP537">
            <v>26573.510900331701</v>
          </cell>
          <cell r="DQ537">
            <v>26114.853580172501</v>
          </cell>
          <cell r="DR537">
            <v>26245.274915450998</v>
          </cell>
          <cell r="DS537">
            <v>27259.165343447199</v>
          </cell>
        </row>
        <row r="538">
          <cell r="B538" t="str">
            <v>Total shareholders' equity (Pub)</v>
          </cell>
          <cell r="C538" t="str">
            <v>EQ_PUB</v>
          </cell>
          <cell r="D538" t="str">
            <v>SEK</v>
          </cell>
          <cell r="F538">
            <v>9327</v>
          </cell>
          <cell r="G538">
            <v>10288</v>
          </cell>
          <cell r="H538">
            <v>11598</v>
          </cell>
          <cell r="I538">
            <v>12878</v>
          </cell>
          <cell r="J538">
            <v>11299</v>
          </cell>
          <cell r="K538">
            <v>11765</v>
          </cell>
          <cell r="L538">
            <v>14061</v>
          </cell>
          <cell r="M538">
            <v>16815</v>
          </cell>
          <cell r="N538">
            <v>16935</v>
          </cell>
          <cell r="O538">
            <v>15663</v>
          </cell>
          <cell r="P538">
            <v>17085</v>
          </cell>
          <cell r="Q538">
            <v>18233</v>
          </cell>
          <cell r="R538">
            <v>19607</v>
          </cell>
          <cell r="S538">
            <v>18355</v>
          </cell>
          <cell r="T538">
            <v>20598</v>
          </cell>
          <cell r="U538">
            <v>18280</v>
          </cell>
          <cell r="V538">
            <v>19894</v>
          </cell>
          <cell r="W538">
            <v>22455</v>
          </cell>
          <cell r="X538">
            <v>22468</v>
          </cell>
          <cell r="Y538">
            <v>21152</v>
          </cell>
          <cell r="Z538">
            <v>24404</v>
          </cell>
          <cell r="AA538">
            <v>26282</v>
          </cell>
          <cell r="AB538">
            <v>27683</v>
          </cell>
          <cell r="AC538">
            <v>29823</v>
          </cell>
          <cell r="AD538">
            <v>35452</v>
          </cell>
          <cell r="AE538">
            <v>37366</v>
          </cell>
          <cell r="AF538">
            <v>35712</v>
          </cell>
          <cell r="AG538">
            <v>45365</v>
          </cell>
          <cell r="AH538">
            <v>54043</v>
          </cell>
          <cell r="AI538">
            <v>58531.298029838501</v>
          </cell>
          <cell r="AJ538">
            <v>61580.870524359299</v>
          </cell>
          <cell r="AK538">
            <v>65479.270602310797</v>
          </cell>
          <cell r="AL538">
            <v>69658.722065769907</v>
          </cell>
        </row>
        <row r="539">
          <cell r="A539" t="str">
            <v>Income Statement</v>
          </cell>
        </row>
        <row r="540">
          <cell r="B540" t="str">
            <v>Provision for income tax</v>
          </cell>
          <cell r="C540" t="str">
            <v>PROV_INC_TAX</v>
          </cell>
          <cell r="D540" t="str">
            <v>SEK</v>
          </cell>
          <cell r="F540">
            <v>-570</v>
          </cell>
          <cell r="G540">
            <v>-1301</v>
          </cell>
          <cell r="H540">
            <v>-701</v>
          </cell>
          <cell r="I540">
            <v>-583</v>
          </cell>
          <cell r="J540">
            <v>0</v>
          </cell>
          <cell r="K540">
            <v>-650</v>
          </cell>
          <cell r="L540">
            <v>-1001</v>
          </cell>
          <cell r="M540">
            <v>-909</v>
          </cell>
          <cell r="N540">
            <v>-1055</v>
          </cell>
          <cell r="O540">
            <v>-698</v>
          </cell>
          <cell r="P540">
            <v>-1111</v>
          </cell>
          <cell r="Q540">
            <v>-1646</v>
          </cell>
          <cell r="R540">
            <v>-1955</v>
          </cell>
          <cell r="S540">
            <v>-2371</v>
          </cell>
          <cell r="T540">
            <v>-2127</v>
          </cell>
          <cell r="U540">
            <v>-592</v>
          </cell>
          <cell r="V540">
            <v>-2253</v>
          </cell>
          <cell r="W540">
            <v>-2708</v>
          </cell>
          <cell r="X540">
            <v>-1633</v>
          </cell>
          <cell r="Y540">
            <v>-1777</v>
          </cell>
          <cell r="Z540">
            <v>-1918</v>
          </cell>
          <cell r="AA540">
            <v>-1760</v>
          </cell>
          <cell r="AB540">
            <v>-2530</v>
          </cell>
          <cell r="AC540">
            <v>-1898</v>
          </cell>
          <cell r="AD540">
            <v>-2603</v>
          </cell>
          <cell r="AE540">
            <v>-2677</v>
          </cell>
          <cell r="AF540">
            <v>-1826</v>
          </cell>
          <cell r="AG540">
            <v>-2484</v>
          </cell>
          <cell r="AH540">
            <v>-2438</v>
          </cell>
          <cell r="AI540">
            <v>-3123</v>
          </cell>
          <cell r="AJ540">
            <v>-3227</v>
          </cell>
          <cell r="AK540">
            <v>-3426</v>
          </cell>
          <cell r="AL540">
            <v>-3584</v>
          </cell>
        </row>
        <row r="541">
          <cell r="B541" t="str">
            <v>Minority interest</v>
          </cell>
          <cell r="C541" t="str">
            <v>INC_MINORITY</v>
          </cell>
          <cell r="D541" t="str">
            <v>SEK</v>
          </cell>
          <cell r="F541">
            <v>-28</v>
          </cell>
          <cell r="G541">
            <v>-30</v>
          </cell>
          <cell r="H541">
            <v>-19</v>
          </cell>
          <cell r="I541">
            <v>35</v>
          </cell>
          <cell r="J541">
            <v>44</v>
          </cell>
          <cell r="K541">
            <v>-8</v>
          </cell>
          <cell r="L541">
            <v>-39</v>
          </cell>
          <cell r="M541">
            <v>-44</v>
          </cell>
          <cell r="N541">
            <v>-21</v>
          </cell>
          <cell r="O541">
            <v>-56</v>
          </cell>
          <cell r="P541">
            <v>-50</v>
          </cell>
          <cell r="Q541">
            <v>-86</v>
          </cell>
          <cell r="R541">
            <v>-115</v>
          </cell>
          <cell r="S541">
            <v>-172</v>
          </cell>
          <cell r="T541">
            <v>-125</v>
          </cell>
          <cell r="U541">
            <v>-63</v>
          </cell>
          <cell r="V541">
            <v>-158</v>
          </cell>
          <cell r="W541">
            <v>-173</v>
          </cell>
          <cell r="X541">
            <v>-154</v>
          </cell>
          <cell r="Y541">
            <v>-132</v>
          </cell>
          <cell r="Z541">
            <v>-150</v>
          </cell>
          <cell r="AA541">
            <v>-194</v>
          </cell>
          <cell r="AB541">
            <v>-224</v>
          </cell>
          <cell r="AC541">
            <v>-285</v>
          </cell>
          <cell r="AD541">
            <v>-300</v>
          </cell>
          <cell r="AE541">
            <v>-235</v>
          </cell>
          <cell r="AF541">
            <v>-176</v>
          </cell>
          <cell r="AG541">
            <v>-248</v>
          </cell>
          <cell r="AH541">
            <v>-386</v>
          </cell>
          <cell r="AI541">
            <v>-320</v>
          </cell>
          <cell r="AJ541">
            <v>-330.62973611414401</v>
          </cell>
          <cell r="AK541">
            <v>-351.10646652661899</v>
          </cell>
          <cell r="AL541">
            <v>-367.20846564193499</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cell r="BM541">
            <v>0</v>
          </cell>
        </row>
        <row r="542">
          <cell r="B542" t="str">
            <v>Net income (pre-preferred dividends)</v>
          </cell>
          <cell r="C542" t="str">
            <v>NI_PRE_PREF</v>
          </cell>
          <cell r="D542" t="str">
            <v>SEK</v>
          </cell>
          <cell r="F542">
            <v>1279</v>
          </cell>
          <cell r="G542">
            <v>2058</v>
          </cell>
          <cell r="H542">
            <v>1692</v>
          </cell>
          <cell r="I542">
            <v>1613</v>
          </cell>
          <cell r="J542">
            <v>1117</v>
          </cell>
          <cell r="K542">
            <v>723</v>
          </cell>
          <cell r="L542">
            <v>1855</v>
          </cell>
          <cell r="M542">
            <v>2155</v>
          </cell>
          <cell r="N542">
            <v>2434</v>
          </cell>
          <cell r="O542">
            <v>2507</v>
          </cell>
          <cell r="P542">
            <v>3029</v>
          </cell>
          <cell r="Q542">
            <v>3687</v>
          </cell>
          <cell r="R542">
            <v>3979</v>
          </cell>
          <cell r="S542">
            <v>4855</v>
          </cell>
          <cell r="T542">
            <v>4956</v>
          </cell>
          <cell r="U542">
            <v>2917</v>
          </cell>
          <cell r="V542">
            <v>5138</v>
          </cell>
          <cell r="W542">
            <v>6051</v>
          </cell>
          <cell r="X542">
            <v>4705</v>
          </cell>
          <cell r="Y542">
            <v>912</v>
          </cell>
          <cell r="Z542">
            <v>4600</v>
          </cell>
          <cell r="AA542">
            <v>3880</v>
          </cell>
          <cell r="AB542">
            <v>3985</v>
          </cell>
          <cell r="AC542">
            <v>5475</v>
          </cell>
          <cell r="AD542">
            <v>7285</v>
          </cell>
          <cell r="AE542">
            <v>5557</v>
          </cell>
          <cell r="AF542">
            <v>4298</v>
          </cell>
          <cell r="AG542">
            <v>7331</v>
          </cell>
          <cell r="AH542">
            <v>4469</v>
          </cell>
          <cell r="AI542">
            <v>7709.8379372934196</v>
          </cell>
          <cell r="AJ542">
            <v>7965.9427584066798</v>
          </cell>
          <cell r="AK542">
            <v>8459.2936114249005</v>
          </cell>
          <cell r="AL542">
            <v>8847.2429978171804</v>
          </cell>
        </row>
        <row r="543">
          <cell r="B543" t="str">
            <v>Preferred dividends</v>
          </cell>
          <cell r="C543" t="str">
            <v>PREF_DIV</v>
          </cell>
          <cell r="D543" t="str">
            <v>SEK</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cell r="BM543">
            <v>0</v>
          </cell>
        </row>
        <row r="544">
          <cell r="B544" t="str">
            <v>Net income (pre-exceptionals)</v>
          </cell>
          <cell r="C544" t="str">
            <v>NET_EARNING</v>
          </cell>
          <cell r="D544" t="str">
            <v>SEK</v>
          </cell>
          <cell r="F544">
            <v>1279</v>
          </cell>
          <cell r="G544">
            <v>2058</v>
          </cell>
          <cell r="H544">
            <v>1692</v>
          </cell>
          <cell r="I544">
            <v>1613</v>
          </cell>
          <cell r="J544">
            <v>1117</v>
          </cell>
          <cell r="K544">
            <v>723</v>
          </cell>
          <cell r="L544">
            <v>1855</v>
          </cell>
          <cell r="M544">
            <v>2155</v>
          </cell>
          <cell r="N544">
            <v>2434</v>
          </cell>
          <cell r="O544">
            <v>2507</v>
          </cell>
          <cell r="P544">
            <v>3029</v>
          </cell>
          <cell r="Q544">
            <v>3687</v>
          </cell>
          <cell r="R544">
            <v>3979</v>
          </cell>
          <cell r="S544">
            <v>4855</v>
          </cell>
          <cell r="T544">
            <v>4956</v>
          </cell>
          <cell r="U544">
            <v>2917</v>
          </cell>
          <cell r="V544">
            <v>5138</v>
          </cell>
          <cell r="W544">
            <v>6051</v>
          </cell>
          <cell r="X544">
            <v>4705</v>
          </cell>
          <cell r="Y544">
            <v>912</v>
          </cell>
          <cell r="Z544">
            <v>4600</v>
          </cell>
          <cell r="AA544">
            <v>3880</v>
          </cell>
          <cell r="AB544">
            <v>3985</v>
          </cell>
          <cell r="AC544">
            <v>5475</v>
          </cell>
          <cell r="AD544">
            <v>7285</v>
          </cell>
          <cell r="AE544">
            <v>5557</v>
          </cell>
          <cell r="AF544">
            <v>4298</v>
          </cell>
          <cell r="AG544">
            <v>7331</v>
          </cell>
          <cell r="AH544">
            <v>4469</v>
          </cell>
          <cell r="AI544">
            <v>7709.8379372934196</v>
          </cell>
          <cell r="AJ544">
            <v>7965.9427584066798</v>
          </cell>
          <cell r="AK544">
            <v>8459.2936114249005</v>
          </cell>
          <cell r="AL544">
            <v>8847.2429978171804</v>
          </cell>
        </row>
        <row r="545">
          <cell r="B545" t="str">
            <v>Post-tax exceptionals</v>
          </cell>
          <cell r="C545" t="str">
            <v>TAX_EXC</v>
          </cell>
          <cell r="D545" t="str">
            <v>SEK</v>
          </cell>
          <cell r="F545">
            <v>0</v>
          </cell>
          <cell r="G545">
            <v>0</v>
          </cell>
          <cell r="H545">
            <v>0</v>
          </cell>
          <cell r="I545">
            <v>-55</v>
          </cell>
          <cell r="J545">
            <v>-2759</v>
          </cell>
          <cell r="K545">
            <v>388</v>
          </cell>
          <cell r="L545">
            <v>107</v>
          </cell>
          <cell r="M545">
            <v>12</v>
          </cell>
          <cell r="N545">
            <v>32</v>
          </cell>
          <cell r="O545">
            <v>-468</v>
          </cell>
          <cell r="P545">
            <v>-103</v>
          </cell>
          <cell r="Q545">
            <v>-166</v>
          </cell>
          <cell r="R545">
            <v>338</v>
          </cell>
          <cell r="S545">
            <v>-260</v>
          </cell>
          <cell r="T545">
            <v>-340</v>
          </cell>
          <cell r="U545">
            <v>-1275</v>
          </cell>
          <cell r="V545">
            <v>0</v>
          </cell>
          <cell r="W545">
            <v>0</v>
          </cell>
          <cell r="X545">
            <v>0</v>
          </cell>
          <cell r="Y545">
            <v>0</v>
          </cell>
          <cell r="Z545">
            <v>0</v>
          </cell>
          <cell r="AA545">
            <v>0</v>
          </cell>
          <cell r="AB545">
            <v>0</v>
          </cell>
          <cell r="AH545">
            <v>0</v>
          </cell>
          <cell r="AK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cell r="BM545">
            <v>0</v>
          </cell>
        </row>
        <row r="546">
          <cell r="B546" t="str">
            <v>Net income (post-exceptionals)</v>
          </cell>
          <cell r="C546" t="str">
            <v>NET_INC</v>
          </cell>
          <cell r="D546" t="str">
            <v>SEK</v>
          </cell>
          <cell r="F546">
            <v>1279</v>
          </cell>
          <cell r="G546">
            <v>2058</v>
          </cell>
          <cell r="H546">
            <v>1692</v>
          </cell>
          <cell r="I546">
            <v>1558</v>
          </cell>
          <cell r="J546">
            <v>-1642</v>
          </cell>
          <cell r="K546">
            <v>1111</v>
          </cell>
          <cell r="L546">
            <v>1962</v>
          </cell>
          <cell r="M546">
            <v>2167</v>
          </cell>
          <cell r="N546">
            <v>2466</v>
          </cell>
          <cell r="O546">
            <v>2039</v>
          </cell>
          <cell r="P546">
            <v>2926</v>
          </cell>
          <cell r="Q546">
            <v>3521</v>
          </cell>
          <cell r="R546">
            <v>4317</v>
          </cell>
          <cell r="S546">
            <v>4595</v>
          </cell>
          <cell r="T546">
            <v>4616</v>
          </cell>
          <cell r="U546">
            <v>1642</v>
          </cell>
          <cell r="V546">
            <v>5138</v>
          </cell>
          <cell r="W546">
            <v>6051</v>
          </cell>
          <cell r="X546">
            <v>4705</v>
          </cell>
          <cell r="Y546">
            <v>912</v>
          </cell>
          <cell r="Z546">
            <v>4600</v>
          </cell>
          <cell r="AA546">
            <v>3880</v>
          </cell>
          <cell r="AB546">
            <v>3985</v>
          </cell>
          <cell r="AC546">
            <v>5475</v>
          </cell>
          <cell r="AD546">
            <v>7285</v>
          </cell>
          <cell r="AE546">
            <v>5557</v>
          </cell>
          <cell r="AF546">
            <v>4298</v>
          </cell>
          <cell r="AG546">
            <v>7331</v>
          </cell>
          <cell r="AH546">
            <v>4469</v>
          </cell>
          <cell r="AI546">
            <v>7709.8379372934196</v>
          </cell>
          <cell r="AJ546">
            <v>7965.9427584066798</v>
          </cell>
          <cell r="AK546">
            <v>8459.2936114249005</v>
          </cell>
          <cell r="AL546">
            <v>8847.2429978171804</v>
          </cell>
        </row>
        <row r="547">
          <cell r="B547" t="str">
            <v>EPS (pre-exceptionals, basic)</v>
          </cell>
          <cell r="C547" t="str">
            <v>EPS</v>
          </cell>
          <cell r="D547" t="str">
            <v>SEK</v>
          </cell>
          <cell r="F547">
            <v>2.83</v>
          </cell>
          <cell r="G547">
            <v>4.55</v>
          </cell>
          <cell r="H547">
            <v>3.74</v>
          </cell>
          <cell r="I547">
            <v>3.54</v>
          </cell>
          <cell r="J547">
            <v>2.4500000000000002</v>
          </cell>
          <cell r="K547">
            <v>1.59</v>
          </cell>
          <cell r="L547">
            <v>4.07</v>
          </cell>
          <cell r="M547">
            <v>4.7300000000000004</v>
          </cell>
          <cell r="N547">
            <v>5.35</v>
          </cell>
          <cell r="O547">
            <v>5.51</v>
          </cell>
          <cell r="P547">
            <v>6.65</v>
          </cell>
          <cell r="Q547">
            <v>8.1</v>
          </cell>
          <cell r="R547">
            <v>8.74</v>
          </cell>
          <cell r="S547">
            <v>10.66</v>
          </cell>
          <cell r="T547">
            <v>10.88</v>
          </cell>
          <cell r="U547">
            <v>6.41</v>
          </cell>
          <cell r="V547">
            <v>11.28</v>
          </cell>
          <cell r="W547">
            <v>13.29</v>
          </cell>
          <cell r="X547">
            <v>10.33</v>
          </cell>
          <cell r="Y547">
            <v>2</v>
          </cell>
          <cell r="Z547">
            <v>10.1</v>
          </cell>
          <cell r="AA547">
            <v>8.52</v>
          </cell>
          <cell r="AB547">
            <v>9.01</v>
          </cell>
          <cell r="AC547">
            <v>12.02</v>
          </cell>
          <cell r="AD547">
            <v>16</v>
          </cell>
          <cell r="AE547">
            <v>12.2</v>
          </cell>
          <cell r="AF547">
            <v>9.44</v>
          </cell>
          <cell r="AG547">
            <v>16.100000000000001</v>
          </cell>
          <cell r="AH547">
            <v>9.81</v>
          </cell>
          <cell r="AI547">
            <v>16.899999999999999</v>
          </cell>
          <cell r="AJ547">
            <v>17.43</v>
          </cell>
          <cell r="AK547">
            <v>18.47</v>
          </cell>
          <cell r="AL547">
            <v>19.28</v>
          </cell>
        </row>
        <row r="548">
          <cell r="B548" t="str">
            <v>EPS (pre-exceptionals, diluted)</v>
          </cell>
          <cell r="C548" t="str">
            <v>EPS_FUL_DIL</v>
          </cell>
          <cell r="D548" t="str">
            <v>SEK</v>
          </cell>
          <cell r="F548">
            <v>2.8296571359980001</v>
          </cell>
          <cell r="G548">
            <v>4.5531152352489999</v>
          </cell>
          <cell r="H548">
            <v>3.7433775403510001</v>
          </cell>
          <cell r="I548">
            <v>3.542321767432</v>
          </cell>
          <cell r="J548">
            <v>2.4530523336779999</v>
          </cell>
          <cell r="K548">
            <v>1.5877858883160001</v>
          </cell>
          <cell r="L548">
            <v>4.0737798379339996</v>
          </cell>
          <cell r="M548">
            <v>4.7326120320170002</v>
          </cell>
          <cell r="N548">
            <v>5.3453262132240003</v>
          </cell>
          <cell r="O548">
            <v>5.5056420774659998</v>
          </cell>
          <cell r="P548">
            <v>6.6520103121840002</v>
          </cell>
          <cell r="Q548">
            <v>8.0970491980929999</v>
          </cell>
          <cell r="R548">
            <v>8.7383126550609997</v>
          </cell>
          <cell r="S548">
            <v>10.662103025966999</v>
          </cell>
          <cell r="T548">
            <v>10.88390990663</v>
          </cell>
          <cell r="U548">
            <v>6.4060462464969996</v>
          </cell>
          <cell r="V548">
            <v>11.283601513371</v>
          </cell>
          <cell r="W548">
            <v>13.288647870263</v>
          </cell>
          <cell r="X548">
            <v>10.333153201911999</v>
          </cell>
          <cell r="Y548">
            <v>2.0029406419010001</v>
          </cell>
          <cell r="Z548">
            <v>10.102095554984</v>
          </cell>
          <cell r="AA548">
            <v>8.5208979898559996</v>
          </cell>
          <cell r="AB548">
            <v>9.0086817649549999</v>
          </cell>
          <cell r="AC548">
            <v>12.023689818159999</v>
          </cell>
          <cell r="AD548">
            <v>15.998644808273999</v>
          </cell>
          <cell r="AE548">
            <v>12.203770651967</v>
          </cell>
          <cell r="AF548">
            <v>9.4351413151029995</v>
          </cell>
          <cell r="AG548">
            <v>16.099665763823001</v>
          </cell>
          <cell r="AH548">
            <v>9.81440544244</v>
          </cell>
          <cell r="AI548">
            <v>16.898235375294</v>
          </cell>
          <cell r="AJ548">
            <v>17.425186805877999</v>
          </cell>
          <cell r="AK548">
            <v>18.468014163488</v>
          </cell>
          <cell r="AL548">
            <v>19.277094258373001</v>
          </cell>
        </row>
        <row r="549">
          <cell r="B549" t="str">
            <v>EPS (post-exceptionals, basic)</v>
          </cell>
          <cell r="C549" t="str">
            <v>EPS_POST_BASIC</v>
          </cell>
          <cell r="D549" t="str">
            <v>SEK</v>
          </cell>
          <cell r="F549">
            <v>2.8296571359980001</v>
          </cell>
          <cell r="G549">
            <v>4.5531152352489999</v>
          </cell>
          <cell r="H549">
            <v>3.7433775403510001</v>
          </cell>
          <cell r="I549">
            <v>3.4215358423179998</v>
          </cell>
          <cell r="J549">
            <v>-3.606008891583</v>
          </cell>
          <cell r="K549">
            <v>2.439875687302</v>
          </cell>
          <cell r="L549">
            <v>4.3087633649740003</v>
          </cell>
          <cell r="M549">
            <v>4.7589653240749996</v>
          </cell>
          <cell r="N549">
            <v>5.4156016605630004</v>
          </cell>
          <cell r="O549">
            <v>4.477863660133</v>
          </cell>
          <cell r="P549">
            <v>6.4258112160619998</v>
          </cell>
          <cell r="Q549">
            <v>7.7324953150209996</v>
          </cell>
          <cell r="R549">
            <v>9.4805970675799998</v>
          </cell>
          <cell r="S549">
            <v>10.091115016337</v>
          </cell>
          <cell r="T549">
            <v>10.137233278654</v>
          </cell>
          <cell r="U549">
            <v>3.606008891583</v>
          </cell>
          <cell r="V549">
            <v>11.283601513371</v>
          </cell>
          <cell r="W549">
            <v>13.288647870263</v>
          </cell>
          <cell r="X549">
            <v>10.333153201911999</v>
          </cell>
          <cell r="Y549">
            <v>2.0029406419010001</v>
          </cell>
          <cell r="Z549">
            <v>10.102095554984</v>
          </cell>
          <cell r="AA549">
            <v>8.5208979898559996</v>
          </cell>
          <cell r="AB549">
            <v>9.0086817649549999</v>
          </cell>
          <cell r="AC549">
            <v>12.023689818159999</v>
          </cell>
          <cell r="AD549">
            <v>15.998644808273999</v>
          </cell>
          <cell r="AE549">
            <v>12.203770651967</v>
          </cell>
          <cell r="AF549">
            <v>9.4351413151029995</v>
          </cell>
          <cell r="AG549">
            <v>16.099665763823001</v>
          </cell>
          <cell r="AH549">
            <v>9.81440544244</v>
          </cell>
          <cell r="AI549">
            <v>16.898235375294</v>
          </cell>
          <cell r="AJ549">
            <v>17.425186805877999</v>
          </cell>
          <cell r="AK549">
            <v>18.468014163488</v>
          </cell>
          <cell r="AL549">
            <v>19.277094258373001</v>
          </cell>
        </row>
        <row r="550">
          <cell r="B550" t="str">
            <v>EPS (post-exceptionals, diluted)</v>
          </cell>
          <cell r="C550" t="str">
            <v>FULLY_DIL_EPS</v>
          </cell>
          <cell r="D550" t="str">
            <v>SEK</v>
          </cell>
          <cell r="F550">
            <v>2.8296571359980001</v>
          </cell>
          <cell r="G550">
            <v>4.5531152352489999</v>
          </cell>
          <cell r="H550">
            <v>3.7433775403510001</v>
          </cell>
          <cell r="I550">
            <v>3.4215358423179998</v>
          </cell>
          <cell r="J550">
            <v>-3.606008891583</v>
          </cell>
          <cell r="K550">
            <v>2.439875687302</v>
          </cell>
          <cell r="L550">
            <v>4.3087633649740003</v>
          </cell>
          <cell r="M550">
            <v>4.7589653240749996</v>
          </cell>
          <cell r="N550">
            <v>5.4156016605630004</v>
          </cell>
          <cell r="O550">
            <v>4.477863660133</v>
          </cell>
          <cell r="P550">
            <v>6.4258112160619998</v>
          </cell>
          <cell r="Q550">
            <v>7.7324953150209996</v>
          </cell>
          <cell r="R550">
            <v>9.4805970675799998</v>
          </cell>
          <cell r="S550">
            <v>10.091115016337</v>
          </cell>
          <cell r="T550">
            <v>10.137233278654</v>
          </cell>
          <cell r="U550">
            <v>3.606008891583</v>
          </cell>
          <cell r="V550">
            <v>11.283601513371</v>
          </cell>
          <cell r="W550">
            <v>13.288647870263</v>
          </cell>
          <cell r="X550">
            <v>10.333153201911999</v>
          </cell>
          <cell r="Y550">
            <v>2.0029406419010001</v>
          </cell>
          <cell r="Z550">
            <v>10.102095554984</v>
          </cell>
          <cell r="AA550">
            <v>8.5208979898559996</v>
          </cell>
          <cell r="AB550">
            <v>9.0086817649549999</v>
          </cell>
          <cell r="AC550">
            <v>12.023689818159999</v>
          </cell>
          <cell r="AD550">
            <v>15.998644808273999</v>
          </cell>
          <cell r="AE550">
            <v>12.203770651967</v>
          </cell>
          <cell r="AF550">
            <v>9.4351413151029995</v>
          </cell>
          <cell r="AG550">
            <v>16.099665763823001</v>
          </cell>
          <cell r="AH550">
            <v>9.81440544244</v>
          </cell>
          <cell r="AI550">
            <v>16.898235375294</v>
          </cell>
          <cell r="AJ550">
            <v>17.425186805877999</v>
          </cell>
          <cell r="AK550">
            <v>18.468014163488</v>
          </cell>
          <cell r="AL550">
            <v>19.277094258373001</v>
          </cell>
        </row>
        <row r="551">
          <cell r="B551" t="str">
            <v>Common dividends paid</v>
          </cell>
          <cell r="C551" t="str">
            <v>COMMON_DIV_PAID</v>
          </cell>
          <cell r="D551" t="str">
            <v>SEK</v>
          </cell>
          <cell r="F551">
            <v>-677.99733600000002</v>
          </cell>
          <cell r="G551">
            <v>-451.99822399999999</v>
          </cell>
          <cell r="H551">
            <v>-564.99778000000003</v>
          </cell>
          <cell r="I551">
            <v>-597.64827675000004</v>
          </cell>
          <cell r="J551">
            <v>-227.675534</v>
          </cell>
          <cell r="K551">
            <v>-455.351068</v>
          </cell>
          <cell r="L551">
            <v>-597.64827675000004</v>
          </cell>
          <cell r="M551">
            <v>-683.02661999999998</v>
          </cell>
          <cell r="N551">
            <v>-910.702136</v>
          </cell>
          <cell r="O551">
            <v>-1138.3776700000001</v>
          </cell>
          <cell r="P551">
            <v>-1366.0532040000001</v>
          </cell>
          <cell r="Q551">
            <v>-1821.404272</v>
          </cell>
          <cell r="R551">
            <v>-2049.0798060000002</v>
          </cell>
          <cell r="S551">
            <v>-2276.7553400000002</v>
          </cell>
          <cell r="T551">
            <v>-1593.728738</v>
          </cell>
          <cell r="U551">
            <v>-1593.728738</v>
          </cell>
          <cell r="V551">
            <v>-2276.7553400000002</v>
          </cell>
          <cell r="W551">
            <v>-2504.4308740000001</v>
          </cell>
          <cell r="X551">
            <v>-2504.317849</v>
          </cell>
          <cell r="Y551">
            <v>-2504.317849</v>
          </cell>
          <cell r="Z551">
            <v>-2504.4308740000001</v>
          </cell>
          <cell r="AA551">
            <v>-2504.4308740000001</v>
          </cell>
          <cell r="AB551">
            <v>-2432.9308740000001</v>
          </cell>
          <cell r="AC551">
            <v>-2504.4308740000001</v>
          </cell>
          <cell r="AD551">
            <v>-2732.1064080000001</v>
          </cell>
          <cell r="AE551">
            <v>-1366.0532040000001</v>
          </cell>
          <cell r="AF551">
            <v>-2960.9519420000001</v>
          </cell>
          <cell r="AG551">
            <v>-3187.457476</v>
          </cell>
          <cell r="AH551">
            <v>-3187.457476</v>
          </cell>
          <cell r="AI551">
            <v>-4448.447913</v>
          </cell>
          <cell r="AJ551">
            <v>-4114.3596120000002</v>
          </cell>
          <cell r="AK551">
            <v>-4236.9723789999998</v>
          </cell>
          <cell r="AL551">
            <v>-4015.8218449999999</v>
          </cell>
        </row>
        <row r="552">
          <cell r="B552" t="str">
            <v>DPS, dividend per share</v>
          </cell>
          <cell r="C552" t="str">
            <v>DPS</v>
          </cell>
          <cell r="D552" t="str">
            <v>SEK</v>
          </cell>
          <cell r="F552">
            <v>1.5</v>
          </cell>
          <cell r="G552">
            <v>1</v>
          </cell>
          <cell r="H552">
            <v>1.25</v>
          </cell>
          <cell r="I552">
            <v>1.3125</v>
          </cell>
          <cell r="J552">
            <v>0.5</v>
          </cell>
          <cell r="K552">
            <v>1</v>
          </cell>
          <cell r="L552">
            <v>1.3125</v>
          </cell>
          <cell r="M552">
            <v>1.5</v>
          </cell>
          <cell r="N552">
            <v>2</v>
          </cell>
          <cell r="O552">
            <v>2.5</v>
          </cell>
          <cell r="P552">
            <v>3</v>
          </cell>
          <cell r="Q552">
            <v>4</v>
          </cell>
          <cell r="R552">
            <v>4.5</v>
          </cell>
          <cell r="S552">
            <v>5</v>
          </cell>
          <cell r="T552">
            <v>3.5</v>
          </cell>
          <cell r="U552">
            <v>3.5</v>
          </cell>
          <cell r="V552">
            <v>5</v>
          </cell>
          <cell r="W552">
            <v>5.5</v>
          </cell>
          <cell r="X552">
            <v>5.5</v>
          </cell>
          <cell r="Y552">
            <v>5.5</v>
          </cell>
          <cell r="Z552">
            <v>5.5</v>
          </cell>
          <cell r="AA552">
            <v>5.5</v>
          </cell>
          <cell r="AB552">
            <v>5.5</v>
          </cell>
          <cell r="AC552">
            <v>5.5</v>
          </cell>
          <cell r="AD552">
            <v>6</v>
          </cell>
          <cell r="AE552">
            <v>3</v>
          </cell>
          <cell r="AF552">
            <v>6.5</v>
          </cell>
          <cell r="AG552">
            <v>7</v>
          </cell>
          <cell r="AH552">
            <v>7</v>
          </cell>
          <cell r="AI552">
            <v>9.75</v>
          </cell>
          <cell r="AJ552">
            <v>9</v>
          </cell>
          <cell r="AK552">
            <v>9.25</v>
          </cell>
          <cell r="AL552">
            <v>8.75</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cell r="BM552">
            <v>0</v>
          </cell>
        </row>
        <row r="553">
          <cell r="B553" t="str">
            <v>Weighted average shares outstanding, basic</v>
          </cell>
          <cell r="C553" t="str">
            <v>SH</v>
          </cell>
          <cell r="F553">
            <v>451.99822399999999</v>
          </cell>
          <cell r="G553">
            <v>451.99822399999999</v>
          </cell>
          <cell r="H553">
            <v>451.99822399999999</v>
          </cell>
          <cell r="I553">
            <v>455.351068</v>
          </cell>
          <cell r="J553">
            <v>455.351068</v>
          </cell>
          <cell r="K553">
            <v>455.351068</v>
          </cell>
          <cell r="L553">
            <v>455.351068</v>
          </cell>
          <cell r="M553">
            <v>455.35108000000002</v>
          </cell>
          <cell r="N553">
            <v>455.351068</v>
          </cell>
          <cell r="O553">
            <v>455.351068</v>
          </cell>
          <cell r="P553">
            <v>455.351068</v>
          </cell>
          <cell r="Q553">
            <v>455.351068</v>
          </cell>
          <cell r="R553">
            <v>455.351068</v>
          </cell>
          <cell r="S553">
            <v>455.351068</v>
          </cell>
          <cell r="T553">
            <v>455.351068</v>
          </cell>
          <cell r="U553">
            <v>455.351068</v>
          </cell>
          <cell r="V553">
            <v>455.351068</v>
          </cell>
          <cell r="W553">
            <v>455.351068</v>
          </cell>
          <cell r="X553">
            <v>455.33051799999998</v>
          </cell>
          <cell r="Y553">
            <v>455.33051799999998</v>
          </cell>
          <cell r="Z553">
            <v>455.351068</v>
          </cell>
          <cell r="AA553">
            <v>455.351068</v>
          </cell>
          <cell r="AB553">
            <v>442.351068</v>
          </cell>
          <cell r="AC553">
            <v>455.351068</v>
          </cell>
          <cell r="AD553">
            <v>455.351068</v>
          </cell>
          <cell r="AE553">
            <v>455.351068</v>
          </cell>
          <cell r="AF553">
            <v>455.531068</v>
          </cell>
          <cell r="AG553">
            <v>455.351068</v>
          </cell>
          <cell r="AH553">
            <v>455.351068</v>
          </cell>
          <cell r="AI553">
            <v>456.25106799999998</v>
          </cell>
          <cell r="AJ553">
            <v>457.15106800000001</v>
          </cell>
          <cell r="AK553">
            <v>458.05106799999999</v>
          </cell>
          <cell r="AL553">
            <v>458.95106800000002</v>
          </cell>
        </row>
        <row r="554">
          <cell r="B554" t="str">
            <v>Diluted average shares outstanding (mn)</v>
          </cell>
          <cell r="C554" t="str">
            <v>DILUTE_SHARES</v>
          </cell>
          <cell r="F554">
            <v>451.99822399999999</v>
          </cell>
          <cell r="G554">
            <v>451.99822399999999</v>
          </cell>
          <cell r="H554">
            <v>451.99822399999999</v>
          </cell>
          <cell r="I554">
            <v>455.351068</v>
          </cell>
          <cell r="J554">
            <v>455.351068</v>
          </cell>
          <cell r="K554">
            <v>455.351068</v>
          </cell>
          <cell r="L554">
            <v>455.351068</v>
          </cell>
          <cell r="M554">
            <v>455.35108000000002</v>
          </cell>
          <cell r="N554">
            <v>455.351068</v>
          </cell>
          <cell r="O554">
            <v>455.351068</v>
          </cell>
          <cell r="P554">
            <v>455.351068</v>
          </cell>
          <cell r="Q554">
            <v>455.351068</v>
          </cell>
          <cell r="R554">
            <v>455.351068</v>
          </cell>
          <cell r="S554">
            <v>455.351068</v>
          </cell>
          <cell r="T554">
            <v>455.351068</v>
          </cell>
          <cell r="U554">
            <v>455.351068</v>
          </cell>
          <cell r="V554">
            <v>455.351068</v>
          </cell>
          <cell r="W554">
            <v>455.351068</v>
          </cell>
          <cell r="X554">
            <v>455.33051799999998</v>
          </cell>
          <cell r="Y554">
            <v>455.33051799999998</v>
          </cell>
          <cell r="Z554">
            <v>455.351068</v>
          </cell>
          <cell r="AA554">
            <v>455.351068</v>
          </cell>
          <cell r="AB554">
            <v>442.351068</v>
          </cell>
          <cell r="AC554">
            <v>455.351068</v>
          </cell>
          <cell r="AD554">
            <v>455.351068</v>
          </cell>
          <cell r="AE554">
            <v>455.351068</v>
          </cell>
          <cell r="AF554">
            <v>455.531068</v>
          </cell>
          <cell r="AG554">
            <v>455.351068</v>
          </cell>
          <cell r="AH554">
            <v>455.351068</v>
          </cell>
          <cell r="AI554">
            <v>456.25106799999998</v>
          </cell>
          <cell r="AJ554">
            <v>457.15106800000001</v>
          </cell>
          <cell r="AK554">
            <v>458.05106799999999</v>
          </cell>
          <cell r="AL554">
            <v>458.95106800000002</v>
          </cell>
          <cell r="AO554">
            <v>113.837767</v>
          </cell>
          <cell r="AP554">
            <v>113.837767</v>
          </cell>
          <cell r="AQ554">
            <v>113.837767</v>
          </cell>
          <cell r="AR554">
            <v>113.837767</v>
          </cell>
          <cell r="AS554">
            <v>113.837767</v>
          </cell>
          <cell r="AT554">
            <v>113.837767</v>
          </cell>
          <cell r="AU554">
            <v>455.351068</v>
          </cell>
          <cell r="AV554">
            <v>455.351068</v>
          </cell>
          <cell r="AW554">
            <v>455.351068</v>
          </cell>
          <cell r="AX554">
            <v>455.351068</v>
          </cell>
          <cell r="AY554">
            <v>455.351068</v>
          </cell>
          <cell r="AZ554">
            <v>455.351068</v>
          </cell>
          <cell r="BA554">
            <v>455.351068</v>
          </cell>
          <cell r="BB554">
            <v>455.351068</v>
          </cell>
          <cell r="BC554">
            <v>455.351068</v>
          </cell>
          <cell r="BD554">
            <v>455.351068</v>
          </cell>
          <cell r="BE554">
            <v>455.351068</v>
          </cell>
          <cell r="BF554">
            <v>455.351068</v>
          </cell>
          <cell r="BG554">
            <v>455.351068</v>
          </cell>
          <cell r="BH554">
            <v>455.351068</v>
          </cell>
          <cell r="BI554">
            <v>455.351068</v>
          </cell>
          <cell r="BJ554">
            <v>455.351068</v>
          </cell>
          <cell r="BK554">
            <v>455.351068</v>
          </cell>
          <cell r="BL554">
            <v>455.351068</v>
          </cell>
          <cell r="BM554">
            <v>455.351068</v>
          </cell>
          <cell r="BN554">
            <v>455.351068</v>
          </cell>
          <cell r="BO554">
            <v>455.351068</v>
          </cell>
          <cell r="BP554">
            <v>455.351068</v>
          </cell>
          <cell r="BQ554">
            <v>455.351068</v>
          </cell>
          <cell r="BR554">
            <v>455.351068</v>
          </cell>
          <cell r="BS554">
            <v>455.351068</v>
          </cell>
          <cell r="BT554">
            <v>455.351068</v>
          </cell>
          <cell r="BU554">
            <v>455.351068</v>
          </cell>
          <cell r="BV554">
            <v>455.351068</v>
          </cell>
          <cell r="BW554">
            <v>455.351068</v>
          </cell>
          <cell r="BX554">
            <v>455.351068</v>
          </cell>
          <cell r="BY554">
            <v>455.33051799999998</v>
          </cell>
          <cell r="BZ554">
            <v>455.28306800000001</v>
          </cell>
          <cell r="CA554">
            <v>455.351068</v>
          </cell>
          <cell r="CB554">
            <v>455.351068</v>
          </cell>
          <cell r="CC554">
            <v>455.351068</v>
          </cell>
          <cell r="CD554">
            <v>455.26151199999998</v>
          </cell>
          <cell r="CE554">
            <v>452.351068</v>
          </cell>
          <cell r="CF554">
            <v>455.351068</v>
          </cell>
          <cell r="CG554">
            <v>455.351068</v>
          </cell>
          <cell r="CH554">
            <v>455.351068</v>
          </cell>
          <cell r="CI554">
            <v>455.351068</v>
          </cell>
          <cell r="CJ554">
            <v>455.351068</v>
          </cell>
          <cell r="CK554">
            <v>455.351068</v>
          </cell>
          <cell r="CL554">
            <v>455.351068</v>
          </cell>
          <cell r="CM554">
            <v>455.351068</v>
          </cell>
          <cell r="CN554">
            <v>455.351068</v>
          </cell>
          <cell r="CO554">
            <v>455.351068</v>
          </cell>
          <cell r="CP554">
            <v>455.351068</v>
          </cell>
          <cell r="CQ554">
            <v>455.351068</v>
          </cell>
          <cell r="CR554">
            <v>455.351068</v>
          </cell>
          <cell r="CS554">
            <v>455.351068</v>
          </cell>
          <cell r="CT554">
            <v>455.351068</v>
          </cell>
          <cell r="CU554">
            <v>455.351068</v>
          </cell>
          <cell r="CV554">
            <v>455.351068</v>
          </cell>
          <cell r="CW554">
            <v>455.351068</v>
          </cell>
          <cell r="CX554">
            <v>455.351068</v>
          </cell>
          <cell r="CY554">
            <v>455.351068</v>
          </cell>
          <cell r="CZ554">
            <v>455.351068</v>
          </cell>
          <cell r="DA554">
            <v>455.351068</v>
          </cell>
          <cell r="DB554">
            <v>455.351068</v>
          </cell>
          <cell r="DC554">
            <v>455.351068</v>
          </cell>
          <cell r="DD554">
            <v>455.351068</v>
          </cell>
          <cell r="DE554">
            <v>455.351068</v>
          </cell>
          <cell r="DF554">
            <v>455.351068</v>
          </cell>
          <cell r="DG554">
            <v>455.351068</v>
          </cell>
          <cell r="DH554">
            <v>455.351068</v>
          </cell>
          <cell r="DI554">
            <v>455.351068</v>
          </cell>
          <cell r="DJ554">
            <v>455.351068</v>
          </cell>
          <cell r="DK554">
            <v>455.351068</v>
          </cell>
          <cell r="DL554">
            <v>455.351068</v>
          </cell>
          <cell r="DM554">
            <v>455.351068</v>
          </cell>
          <cell r="DN554">
            <v>455.351068</v>
          </cell>
          <cell r="DO554">
            <v>455.351068</v>
          </cell>
          <cell r="DP554">
            <v>455.351068</v>
          </cell>
          <cell r="DQ554">
            <v>455.351068</v>
          </cell>
          <cell r="DR554">
            <v>455.33106800000002</v>
          </cell>
          <cell r="DS554">
            <v>455.33106800000002</v>
          </cell>
        </row>
        <row r="555">
          <cell r="B555" t="str">
            <v>Period-end shares outstanding</v>
          </cell>
          <cell r="C555" t="str">
            <v>NON_OP_ADD</v>
          </cell>
          <cell r="F555">
            <v>451.99822399999999</v>
          </cell>
          <cell r="G555">
            <v>451.99822399999999</v>
          </cell>
          <cell r="H555">
            <v>451.99822399999999</v>
          </cell>
          <cell r="I555">
            <v>455.351068</v>
          </cell>
          <cell r="J555">
            <v>455.351068</v>
          </cell>
          <cell r="K555">
            <v>455.351068</v>
          </cell>
          <cell r="L555">
            <v>455.351068</v>
          </cell>
          <cell r="M555">
            <v>455.35108000000002</v>
          </cell>
          <cell r="N555">
            <v>455.351068</v>
          </cell>
          <cell r="O555">
            <v>455.351068</v>
          </cell>
          <cell r="P555">
            <v>455.351068</v>
          </cell>
          <cell r="Q555">
            <v>455.351068</v>
          </cell>
          <cell r="R555">
            <v>455.351068</v>
          </cell>
          <cell r="S555">
            <v>455.351068</v>
          </cell>
          <cell r="T555">
            <v>455.351068</v>
          </cell>
          <cell r="U555">
            <v>455.351068</v>
          </cell>
          <cell r="V555">
            <v>455.351068</v>
          </cell>
          <cell r="W555">
            <v>455.351068</v>
          </cell>
          <cell r="X555">
            <v>455.33051799999998</v>
          </cell>
          <cell r="Y555">
            <v>455.33051799999998</v>
          </cell>
          <cell r="Z555">
            <v>455.351068</v>
          </cell>
          <cell r="AA555">
            <v>455.351068</v>
          </cell>
          <cell r="AB555">
            <v>442.351068</v>
          </cell>
          <cell r="AC555">
            <v>455.351068</v>
          </cell>
          <cell r="AD555">
            <v>455.351068</v>
          </cell>
          <cell r="AE555">
            <v>455.351068</v>
          </cell>
          <cell r="AF555">
            <v>455.531068</v>
          </cell>
          <cell r="AG555">
            <v>455.351068</v>
          </cell>
          <cell r="AH555">
            <v>455.351068</v>
          </cell>
          <cell r="AI555">
            <v>456.25106799999998</v>
          </cell>
          <cell r="AJ555">
            <v>457.15106800000001</v>
          </cell>
          <cell r="AK555">
            <v>458.05106799999999</v>
          </cell>
          <cell r="AL555">
            <v>458.95106800000002</v>
          </cell>
        </row>
        <row r="556">
          <cell r="A556" t="str">
            <v>Additional Income Statement Items</v>
          </cell>
        </row>
        <row r="557">
          <cell r="B557" t="str">
            <v>Organic net income (excl. acquisitions)</v>
          </cell>
          <cell r="C557" t="str">
            <v>ORG_NI</v>
          </cell>
          <cell r="D557" t="str">
            <v>SEK</v>
          </cell>
          <cell r="Y557">
            <v>4448.5791608600002</v>
          </cell>
        </row>
        <row r="558">
          <cell r="B558" t="str">
            <v>Organic EPS (excl. acquisitions)</v>
          </cell>
          <cell r="C558" t="str">
            <v>ORG_EPS</v>
          </cell>
          <cell r="D558" t="str">
            <v>SEK</v>
          </cell>
        </row>
        <row r="559">
          <cell r="B559" t="str">
            <v>Marginal tax rate</v>
          </cell>
          <cell r="C559" t="str">
            <v>MARGIN_TAX_RATE</v>
          </cell>
          <cell r="F559">
            <v>0.303676078849</v>
          </cell>
          <cell r="G559">
            <v>0.38388905281800001</v>
          </cell>
          <cell r="H559">
            <v>0.29063018242100003</v>
          </cell>
          <cell r="I559">
            <v>0.26978250809799997</v>
          </cell>
          <cell r="J559">
            <v>0.3</v>
          </cell>
          <cell r="K559">
            <v>0.47067342505400001</v>
          </cell>
          <cell r="L559">
            <v>0.34576856649400001</v>
          </cell>
          <cell r="M559">
            <v>0.29247104247099998</v>
          </cell>
          <cell r="N559">
            <v>0.30056980056999999</v>
          </cell>
          <cell r="O559">
            <v>0.214044771542</v>
          </cell>
          <cell r="P559">
            <v>0.26515513126500001</v>
          </cell>
          <cell r="Q559">
            <v>0.30374607861199998</v>
          </cell>
          <cell r="R559">
            <v>0.32319391635</v>
          </cell>
          <cell r="S559">
            <v>0.32049202487200001</v>
          </cell>
          <cell r="T559">
            <v>0.295088790233</v>
          </cell>
          <cell r="U559">
            <v>0.165733482643</v>
          </cell>
          <cell r="V559">
            <v>0.29845012584399999</v>
          </cell>
          <cell r="W559">
            <v>0.30317957904199999</v>
          </cell>
          <cell r="X559">
            <v>0.25154035736300001</v>
          </cell>
          <cell r="Y559">
            <v>0.3</v>
          </cell>
          <cell r="Z559">
            <v>0.28764247150599997</v>
          </cell>
          <cell r="AA559">
            <v>0.30167980802200001</v>
          </cell>
          <cell r="AB559">
            <v>0.37542662115999997</v>
          </cell>
          <cell r="AC559">
            <v>0.24784539044100001</v>
          </cell>
          <cell r="AD559">
            <v>0.25549666273999999</v>
          </cell>
          <cell r="AE559">
            <v>0.31609398984499998</v>
          </cell>
          <cell r="AF559">
            <v>0.289841269841</v>
          </cell>
          <cell r="AG559">
            <v>0.246844877273</v>
          </cell>
          <cell r="AH559">
            <v>0.33429315782300001</v>
          </cell>
          <cell r="AI559">
            <v>0.28001841482500001</v>
          </cell>
          <cell r="AJ559">
            <v>0.28003468555700001</v>
          </cell>
          <cell r="AK559">
            <v>0.27998430732700003</v>
          </cell>
          <cell r="AL559">
            <v>0.28003387833499999</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cell r="BM559">
            <v>0</v>
          </cell>
        </row>
        <row r="560">
          <cell r="A560" t="str">
            <v>Balance Sheet</v>
          </cell>
        </row>
        <row r="561">
          <cell r="B561" t="str">
            <v>BVPS, book value per share</v>
          </cell>
          <cell r="C561" t="str">
            <v>BVPS</v>
          </cell>
          <cell r="D561" t="str">
            <v>SEK</v>
          </cell>
          <cell r="F561">
            <v>20.316451508888999</v>
          </cell>
          <cell r="G561">
            <v>22.393893299898998</v>
          </cell>
          <cell r="H561">
            <v>25.022222211209002</v>
          </cell>
          <cell r="I561">
            <v>27.644604096986999</v>
          </cell>
          <cell r="J561">
            <v>24.007849697192</v>
          </cell>
          <cell r="K561">
            <v>24.963156559457001</v>
          </cell>
          <cell r="L561">
            <v>29.853888472706998</v>
          </cell>
          <cell r="M561">
            <v>35.629650861923999</v>
          </cell>
          <cell r="N561">
            <v>35.939302990720002</v>
          </cell>
          <cell r="O561">
            <v>33.301777607778</v>
          </cell>
          <cell r="P561">
            <v>36.413662260258</v>
          </cell>
          <cell r="Q561">
            <v>38.715183160610998</v>
          </cell>
          <cell r="R561">
            <v>41.666751948849999</v>
          </cell>
          <cell r="S561">
            <v>38.622946635978998</v>
          </cell>
          <cell r="T561">
            <v>43.173281851180001</v>
          </cell>
          <cell r="U561">
            <v>38.236431675614</v>
          </cell>
          <cell r="V561">
            <v>41.583299855135003</v>
          </cell>
          <cell r="W561">
            <v>47.075765286225</v>
          </cell>
          <cell r="X561">
            <v>46.867054055006001</v>
          </cell>
          <cell r="Y561">
            <v>44.143757568211001</v>
          </cell>
          <cell r="Z561">
            <v>50.705931362831002</v>
          </cell>
          <cell r="AA561">
            <v>54.496413303680001</v>
          </cell>
          <cell r="AB561">
            <v>58.853706667212002</v>
          </cell>
          <cell r="AC561">
            <v>61.570076299897998</v>
          </cell>
          <cell r="AD561">
            <v>73.648668811291998</v>
          </cell>
          <cell r="AE561">
            <v>77.988177684476</v>
          </cell>
          <cell r="AF561">
            <v>75.316487524403001</v>
          </cell>
          <cell r="AG561">
            <v>95.849121847234002</v>
          </cell>
          <cell r="AH561">
            <v>114.03728606166401</v>
          </cell>
          <cell r="AI561">
            <v>122.948310621464</v>
          </cell>
          <cell r="AJ561">
            <v>128.65384094048599</v>
          </cell>
          <cell r="AK561">
            <v>136.14537495122701</v>
          </cell>
          <cell r="AL561">
            <v>144.184820586336</v>
          </cell>
        </row>
        <row r="562">
          <cell r="A562" t="str">
            <v>Cash Flow Statement</v>
          </cell>
        </row>
        <row r="563">
          <cell r="B563" t="str">
            <v>Net income (pre-preferred dividends)</v>
          </cell>
          <cell r="C563" t="str">
            <v>CF_NI_PRE_PREF</v>
          </cell>
          <cell r="D563" t="str">
            <v>SEK</v>
          </cell>
          <cell r="F563">
            <v>1279</v>
          </cell>
          <cell r="G563">
            <v>2058</v>
          </cell>
          <cell r="H563">
            <v>1692</v>
          </cell>
          <cell r="I563">
            <v>1613</v>
          </cell>
          <cell r="J563">
            <v>1117</v>
          </cell>
          <cell r="K563">
            <v>723</v>
          </cell>
          <cell r="L563">
            <v>1855</v>
          </cell>
          <cell r="M563">
            <v>2155</v>
          </cell>
          <cell r="N563">
            <v>2434</v>
          </cell>
          <cell r="O563">
            <v>2507</v>
          </cell>
          <cell r="P563">
            <v>3029</v>
          </cell>
          <cell r="Q563">
            <v>3687</v>
          </cell>
          <cell r="R563">
            <v>3979</v>
          </cell>
          <cell r="S563">
            <v>4855</v>
          </cell>
          <cell r="T563">
            <v>4956</v>
          </cell>
          <cell r="U563">
            <v>2917</v>
          </cell>
          <cell r="V563">
            <v>5138</v>
          </cell>
          <cell r="W563">
            <v>6051</v>
          </cell>
          <cell r="X563">
            <v>4705</v>
          </cell>
          <cell r="Y563">
            <v>912</v>
          </cell>
          <cell r="Z563">
            <v>4600</v>
          </cell>
          <cell r="AA563">
            <v>3880</v>
          </cell>
          <cell r="AB563">
            <v>3985</v>
          </cell>
          <cell r="AC563">
            <v>5475</v>
          </cell>
          <cell r="AD563">
            <v>7285</v>
          </cell>
          <cell r="AE563">
            <v>5557</v>
          </cell>
          <cell r="AF563">
            <v>4298</v>
          </cell>
          <cell r="AG563">
            <v>7331</v>
          </cell>
          <cell r="AH563">
            <v>4469</v>
          </cell>
          <cell r="AI563">
            <v>7709.8379372934196</v>
          </cell>
          <cell r="AJ563">
            <v>7965.9427584066798</v>
          </cell>
          <cell r="AK563">
            <v>8459.2936114249005</v>
          </cell>
          <cell r="AL563">
            <v>8847.2429978171804</v>
          </cell>
        </row>
        <row r="564">
          <cell r="A564" t="str">
            <v>Other Items</v>
          </cell>
        </row>
        <row r="565">
          <cell r="B565" t="str">
            <v>Beta</v>
          </cell>
          <cell r="C565" t="str">
            <v>BETA_ANALYST</v>
          </cell>
        </row>
        <row r="566">
          <cell r="B566" t="str">
            <v>Market equity risk premium</v>
          </cell>
          <cell r="C566" t="str">
            <v>MKT_EQ_RISK_PREM</v>
          </cell>
        </row>
        <row r="567">
          <cell r="B567" t="str">
            <v>Risk-free rate</v>
          </cell>
          <cell r="C567" t="str">
            <v>RISK_FR_RATE</v>
          </cell>
        </row>
      </sheetData>
      <sheetData sheetId="1">
        <row r="1">
          <cell r="A1" t="str">
            <v>810fd40d-439b-47af-8b8b-9e5b29db2fea</v>
          </cell>
        </row>
        <row r="2">
          <cell r="A2" t="str">
            <v>\\firmwide.corp.gs.com\irroot\Projects\LN\EquityResearch\Machinery\Companies\[SKF CF.xlsx]SKFb.ST_Validation_Sheet</v>
          </cell>
        </row>
        <row r="3">
          <cell r="A3" t="str">
            <v>Not enabled</v>
          </cell>
          <cell r="DO3" t="str">
            <v>ERROR</v>
          </cell>
        </row>
        <row r="7">
          <cell r="A7" t="str">
            <v>Scalar|||208000024|||ISSR|||CURRENCY_ISO|||False|||</v>
          </cell>
          <cell r="C7" t="str">
            <v>V_KEYWORD_ISSR_208000024_CURRENCY_ISO</v>
          </cell>
        </row>
        <row r="9">
          <cell r="A9" t="str">
            <v>Scalar|||208000024|||ISSR|||MA_PROB|||False|||</v>
          </cell>
          <cell r="C9" t="str">
            <v>V_KEYWORD_ISSR_208000024_MA_PROB</v>
          </cell>
        </row>
        <row r="11">
          <cell r="A11" t="str">
            <v>Vector|||208000024|||ISSR|||SALES|||False|||</v>
          </cell>
          <cell r="C11" t="str">
            <v>V_KEYWORD_ISSR_208000024_SALES</v>
          </cell>
        </row>
        <row r="12">
          <cell r="A12" t="str">
            <v>Vector|||208000024|||ISSR|||COST_GD_SD|||False|||</v>
          </cell>
          <cell r="C12" t="str">
            <v>V_KEYWORD_ISSR_208000024_COST_GD_SD</v>
          </cell>
        </row>
        <row r="13">
          <cell r="A13" t="str">
            <v>Vector|||208000024|||ISSR|||SEL_GL_AD|||False|||</v>
          </cell>
          <cell r="C13" t="str">
            <v>V_KEYWORD_ISSR_208000024_SEL_GL_AD</v>
          </cell>
        </row>
        <row r="14">
          <cell r="A14" t="str">
            <v>Vector|||208000024|||ISSR|||OP_COST|||False|||</v>
          </cell>
          <cell r="C14" t="str">
            <v>V_KEYWORD_ISSR_208000024_OP_COST</v>
          </cell>
        </row>
        <row r="15">
          <cell r="A15" t="str">
            <v>Vector|||208000024|||ISSR|||RD_EXP|||False|||</v>
          </cell>
          <cell r="C15" t="str">
            <v>V_KEYWORD_ISSR_208000024_RD_EXP</v>
          </cell>
        </row>
        <row r="16">
          <cell r="A16" t="str">
            <v>Vector|||208000024|||ISSR|||OTH_OP_INC_EXP|||False|||</v>
          </cell>
          <cell r="C16" t="str">
            <v>V_KEYWORD_ISSR_208000024_OTH_OP_INC_EXP</v>
          </cell>
        </row>
        <row r="17">
          <cell r="A17" t="str">
            <v>Vector|||208000024|||ISSR|||TOT_OPS_EXP_DDA|||False|||</v>
          </cell>
          <cell r="C17" t="str">
            <v>V_KEYWORD_ISSR_208000024_TOT_OPS_EXP_DDA</v>
          </cell>
        </row>
        <row r="18">
          <cell r="A18" t="str">
            <v>Vector|||208000024|||ISSR|||TOT_OPS_EXP|||False|||</v>
          </cell>
          <cell r="C18" t="str">
            <v>V_KEYWORD_ISSR_208000024_TOT_OPS_EXP</v>
          </cell>
        </row>
        <row r="19">
          <cell r="A19" t="str">
            <v>Vector|||208000024|||ISSR|||EBITDA_CALC|||False|||</v>
          </cell>
          <cell r="C19" t="str">
            <v>V_KEYWORD_ISSR_208000024_EBITDA_CALC</v>
          </cell>
        </row>
        <row r="20">
          <cell r="A20" t="str">
            <v>Vector|||208000024|||ISSR|||DEPREC|||False|||</v>
          </cell>
          <cell r="C20" t="str">
            <v>V_KEYWORD_ISSR_208000024_DEPREC</v>
          </cell>
        </row>
        <row r="21">
          <cell r="A21" t="str">
            <v>Vector|||208000024|||ISSR|||GOODWILL_AMORT|||False|||</v>
          </cell>
          <cell r="C21" t="str">
            <v>V_KEYWORD_ISSR_208000024_GOODWILL_AMORT</v>
          </cell>
        </row>
        <row r="22">
          <cell r="A22" t="str">
            <v>Vector|||208000024|||ISSR|||EBIT|||False|||</v>
          </cell>
          <cell r="C22" t="str">
            <v>V_KEYWORD_ISSR_208000024_EBIT</v>
          </cell>
        </row>
        <row r="23">
          <cell r="A23" t="str">
            <v>Vector|||208000024|||ISSR|||INT_INC_IND|||False|||</v>
          </cell>
          <cell r="C23" t="str">
            <v>V_KEYWORD_ISSR_208000024_INT_INC_IND</v>
          </cell>
        </row>
        <row r="24">
          <cell r="A24" t="str">
            <v>Vector|||208000024|||ISSR|||INT_EXP_IND|||False|||</v>
          </cell>
          <cell r="C24" t="str">
            <v>V_KEYWORD_ISSR_208000024_INT_EXP_IND</v>
          </cell>
        </row>
        <row r="25">
          <cell r="A25" t="str">
            <v>Vector|||208000024|||ISSR|||NET_INT_EXP|||False|||</v>
          </cell>
          <cell r="C25" t="str">
            <v>V_KEYWORD_ISSR_208000024_NET_INT_EXP</v>
          </cell>
        </row>
        <row r="26">
          <cell r="A26" t="str">
            <v>Vector|||208000024|||ISSR|||ASSOCIATE|||False|||</v>
          </cell>
          <cell r="C26" t="str">
            <v>V_KEYWORD_ISSR_208000024_ASSOCIATE</v>
          </cell>
        </row>
        <row r="27">
          <cell r="A27" t="str">
            <v>Vector|||208000024|||ISSR|||PROFIT_ON_DISP|||False|||</v>
          </cell>
          <cell r="C27" t="str">
            <v>V_KEYWORD_ISSR_208000024_PROFIT_ON_DISP</v>
          </cell>
        </row>
        <row r="28">
          <cell r="A28" t="str">
            <v>Vector|||208000024|||ISSR|||OTH_COST_INC|||False|||</v>
          </cell>
          <cell r="C28" t="str">
            <v>V_KEYWORD_ISSR_208000024_OTH_COST_INC</v>
          </cell>
        </row>
        <row r="29">
          <cell r="A29" t="str">
            <v>Vector|||208000024|||ISSR|||PT_PROF|||False|||</v>
          </cell>
          <cell r="C29" t="str">
            <v>V_KEYWORD_ISSR_208000024_PT_PROF</v>
          </cell>
        </row>
        <row r="31">
          <cell r="A31" t="str">
            <v>Vector|||208000024|||ISSR|||ORG_REV|||False|||</v>
          </cell>
          <cell r="C31" t="str">
            <v>V_KEYWORD_ISSR_208000024_ORG_REV</v>
          </cell>
        </row>
        <row r="32">
          <cell r="A32" t="str">
            <v>Vector|||208000024|||ISSR|||ORG_REV_GRTH|||False|||</v>
          </cell>
          <cell r="C32" t="str">
            <v>V_KEYWORD_ISSR_208000024_ORG_REV_GRTH</v>
          </cell>
        </row>
        <row r="33">
          <cell r="A33" t="str">
            <v>Vector|||208000024|||ISSR|||ACQ_GRTH|||False|||</v>
          </cell>
          <cell r="C33" t="str">
            <v>V_KEYWORD_ISSR_208000024_ACQ_GRTH</v>
          </cell>
        </row>
        <row r="34">
          <cell r="A34" t="str">
            <v>Vector|||208000024|||ISSR|||FOREX_GRTH|||False|||</v>
          </cell>
          <cell r="C34" t="str">
            <v>V_KEYWORD_ISSR_208000024_FOREX_GRTH</v>
          </cell>
        </row>
        <row r="35">
          <cell r="A35" t="str">
            <v>Vector|||208000024|||ISSR|||LEASE_PAY|||False|||</v>
          </cell>
          <cell r="C35" t="str">
            <v>V_KEYWORD_ISSR_208000024_LEASE_PAY</v>
          </cell>
        </row>
        <row r="36">
          <cell r="A36" t="str">
            <v>Vector|||208000024|||ISSR|||LEASE_DEEM_INT|||False|||</v>
          </cell>
          <cell r="C36" t="str">
            <v>V_KEYWORD_ISSR_208000024_LEASE_DEEM_INT</v>
          </cell>
        </row>
        <row r="37">
          <cell r="A37" t="str">
            <v>Vector|||208000024|||ISSR|||LEASE_DEEM_DEPR|||False|||</v>
          </cell>
          <cell r="C37" t="str">
            <v>V_KEYWORD_ISSR_208000024_LEASE_DEEM_DEPR</v>
          </cell>
        </row>
        <row r="38">
          <cell r="A38" t="str">
            <v>Vector|||208000024|||ISSR|||NET_INT_CH|||False|||</v>
          </cell>
          <cell r="C38" t="str">
            <v>V_KEYWORD_ISSR_208000024_NET_INT_CH</v>
          </cell>
        </row>
        <row r="39">
          <cell r="A39" t="str">
            <v>Vector|||208000024|||ISSR|||ASSOCIATE_OP|||False|||</v>
          </cell>
          <cell r="C39" t="str">
            <v>V_KEYWORD_ISSR_208000024_ASSOCIATE_OP</v>
          </cell>
        </row>
        <row r="40">
          <cell r="A40" t="str">
            <v>Vector|||208000024|||ISSR|||GW_AMORT|||False|||</v>
          </cell>
          <cell r="C40" t="str">
            <v>V_KEYWORD_ISSR_208000024_GW_AMORT</v>
          </cell>
        </row>
        <row r="41">
          <cell r="A41" t="str">
            <v>Vector|||208000024|||ISSR|||OTH_INT_AMORT|||False|||</v>
          </cell>
          <cell r="C41" t="str">
            <v>V_KEYWORD_ISSR_208000024_OTH_INT_AMORT</v>
          </cell>
        </row>
        <row r="42">
          <cell r="A42" t="str">
            <v>Vector|||208000024|||ISSR|||DEPR_ROU_ASSETS|||False|||</v>
          </cell>
          <cell r="C42" t="str">
            <v>V_KEYWORD_ISSR_208000024_DEPR_ROU_ASSETS</v>
          </cell>
        </row>
        <row r="43">
          <cell r="A43" t="str">
            <v>Vector|||208000024|||ISSR|||LEASE_INT_CHG|||False|||</v>
          </cell>
          <cell r="C43" t="str">
            <v>V_KEYWORD_ISSR_208000024_LEASE_INT_CHG</v>
          </cell>
        </row>
        <row r="44">
          <cell r="A44" t="str">
            <v>Scalar|||208000024|||ISSR|||LEASE_ADOPT|||False|||</v>
          </cell>
          <cell r="C44" t="str">
            <v>V_KEYWORD_ISSR_208000024_LEASE_ADOPT</v>
          </cell>
        </row>
        <row r="46">
          <cell r="A46" t="str">
            <v>Vector|||208000024|||ISSR|||CASH_EQ|||False|||</v>
          </cell>
          <cell r="C46" t="str">
            <v>V_KEYWORD_ISSR_208000024_CASH_EQ</v>
          </cell>
        </row>
        <row r="47">
          <cell r="A47" t="str">
            <v>Vector|||208000024|||ISSR|||DEBTORS|||False|||</v>
          </cell>
          <cell r="C47" t="str">
            <v>V_KEYWORD_ISSR_208000024_DEBTORS</v>
          </cell>
        </row>
        <row r="48">
          <cell r="A48" t="str">
            <v>Vector|||208000024|||ISSR|||STOCKS|||False|||</v>
          </cell>
          <cell r="C48" t="str">
            <v>V_KEYWORD_ISSR_208000024_STOCKS</v>
          </cell>
        </row>
        <row r="49">
          <cell r="A49" t="str">
            <v>Vector|||208000024|||ISSR|||OTH_CUR_ASS|||False|||</v>
          </cell>
          <cell r="C49" t="str">
            <v>V_KEYWORD_ISSR_208000024_OTH_CUR_ASS</v>
          </cell>
        </row>
        <row r="50">
          <cell r="A50" t="str">
            <v>Vector|||208000024|||ISSR|||CUR_ASS|||False|||</v>
          </cell>
          <cell r="C50" t="str">
            <v>V_KEYWORD_ISSR_208000024_CUR_ASS</v>
          </cell>
        </row>
        <row r="51">
          <cell r="A51" t="str">
            <v>Vector|||208000024|||ISSR|||GR_FIX_ASS|||False|||</v>
          </cell>
          <cell r="C51" t="str">
            <v>V_KEYWORD_ISSR_208000024_GR_FIX_ASS</v>
          </cell>
        </row>
        <row r="52">
          <cell r="A52" t="str">
            <v>Vector|||208000024|||ISSR|||ACC_DDA|||False|||</v>
          </cell>
          <cell r="C52" t="str">
            <v>V_KEYWORD_ISSR_208000024_ACC_DDA</v>
          </cell>
        </row>
        <row r="53">
          <cell r="A53" t="str">
            <v>Vector|||208000024|||ISSR|||NET_FIX_ASS|||False|||</v>
          </cell>
          <cell r="C53" t="str">
            <v>V_KEYWORD_ISSR_208000024_NET_FIX_ASS</v>
          </cell>
        </row>
        <row r="54">
          <cell r="A54" t="str">
            <v>Vector|||208000024|||ISSR|||GR_INTANG|||False|||</v>
          </cell>
          <cell r="C54" t="str">
            <v>V_KEYWORD_ISSR_208000024_GR_INTANG</v>
          </cell>
        </row>
        <row r="55">
          <cell r="A55" t="str">
            <v>Vector|||208000024|||ISSR|||ACC_AMORT|||False|||</v>
          </cell>
          <cell r="C55" t="str">
            <v>V_KEYWORD_ISSR_208000024_ACC_AMORT</v>
          </cell>
        </row>
        <row r="56">
          <cell r="A56" t="str">
            <v>Vector|||208000024|||ISSR|||NET_INTANG|||False|||</v>
          </cell>
          <cell r="C56" t="str">
            <v>V_KEYWORD_ISSR_208000024_NET_INTANG</v>
          </cell>
        </row>
        <row r="57">
          <cell r="A57" t="str">
            <v>Vector|||208000024|||ISSR|||FIX_ASS_INV|||False|||</v>
          </cell>
          <cell r="C57" t="str">
            <v>V_KEYWORD_ISSR_208000024_FIX_ASS_INV</v>
          </cell>
        </row>
        <row r="58">
          <cell r="A58" t="str">
            <v>Vector|||208000024|||ISSR|||INV_SECUR|||False|||</v>
          </cell>
          <cell r="C58" t="str">
            <v>V_KEYWORD_ISSR_208000024_INV_SECUR</v>
          </cell>
        </row>
        <row r="59">
          <cell r="A59" t="str">
            <v>Vector|||208000024|||ISSR|||OTH_LT_ASS|||False|||</v>
          </cell>
          <cell r="C59" t="str">
            <v>V_KEYWORD_ISSR_208000024_OTH_LT_ASS</v>
          </cell>
        </row>
        <row r="60">
          <cell r="A60" t="str">
            <v>Vector|||208000024|||ISSR|||TOT_ASSET|||False|||</v>
          </cell>
          <cell r="C60" t="str">
            <v>V_KEYWORD_ISSR_208000024_TOT_ASSET</v>
          </cell>
        </row>
        <row r="61">
          <cell r="A61" t="str">
            <v>Vector|||208000024|||ISSR|||ACC_PAY_GQ|||False|||</v>
          </cell>
          <cell r="C61" t="str">
            <v>V_KEYWORD_ISSR_208000024_ACC_PAY_GQ</v>
          </cell>
        </row>
        <row r="62">
          <cell r="A62" t="str">
            <v>Vector|||208000024|||ISSR|||SHORT_T_DEBT|||False|||</v>
          </cell>
          <cell r="C62" t="str">
            <v>V_KEYWORD_ISSR_208000024_SHORT_T_DEBT</v>
          </cell>
        </row>
        <row r="63">
          <cell r="A63" t="str">
            <v>Vector|||208000024|||ISSR|||ST_LEASE_LIAB|||False|||</v>
          </cell>
          <cell r="C63" t="str">
            <v>V_KEYWORD_ISSR_208000024_ST_LEASE_LIAB</v>
          </cell>
        </row>
        <row r="64">
          <cell r="A64" t="str">
            <v>Vector|||208000024|||ISSR|||OTH_CUR_LIABS|||False|||</v>
          </cell>
          <cell r="C64" t="str">
            <v>V_KEYWORD_ISSR_208000024_OTH_CUR_LIABS</v>
          </cell>
        </row>
        <row r="65">
          <cell r="A65" t="str">
            <v>Vector|||208000024|||ISSR|||SHORT_TERM_LIABS|||False|||</v>
          </cell>
          <cell r="C65" t="str">
            <v>V_KEYWORD_ISSR_208000024_SHORT_TERM_LIABS</v>
          </cell>
        </row>
        <row r="66">
          <cell r="A66" t="str">
            <v>Vector|||208000024|||ISSR|||LT_DEBT|||False|||</v>
          </cell>
          <cell r="C66" t="str">
            <v>V_KEYWORD_ISSR_208000024_LT_DEBT</v>
          </cell>
        </row>
        <row r="67">
          <cell r="A67" t="str">
            <v>Vector|||208000024|||ISSR|||LT_LEASE_LIAB|||False|||</v>
          </cell>
          <cell r="C67" t="str">
            <v>V_KEYWORD_ISSR_208000024_LT_LEASE_LIAB</v>
          </cell>
        </row>
        <row r="68">
          <cell r="A68" t="str">
            <v>Vector|||208000024|||ISSR|||OTH_LT_CRED_GQ|||False|||</v>
          </cell>
          <cell r="C68" t="str">
            <v>V_KEYWORD_ISSR_208000024_OTH_LT_CRED_GQ</v>
          </cell>
        </row>
        <row r="69">
          <cell r="A69" t="str">
            <v>Vector|||208000024|||ISSR|||TOT_LT_LIAB|||False|||</v>
          </cell>
          <cell r="C69" t="str">
            <v>V_KEYWORD_ISSR_208000024_TOT_LT_LIAB</v>
          </cell>
        </row>
        <row r="70">
          <cell r="A70" t="str">
            <v>Vector|||208000024|||ISSR|||TOT_LIAB|||False|||</v>
          </cell>
          <cell r="C70" t="str">
            <v>V_KEYWORD_ISSR_208000024_TOT_LIAB</v>
          </cell>
        </row>
        <row r="71">
          <cell r="A71" t="str">
            <v>Vector|||208000024|||ISSR|||PREF_SH|||False|||</v>
          </cell>
          <cell r="C71" t="str">
            <v>V_KEYWORD_ISSR_208000024_PREF_SH</v>
          </cell>
        </row>
        <row r="72">
          <cell r="A72" t="str">
            <v>Vector|||208000024|||ISSR|||ORD_SH_FUND|||False|||</v>
          </cell>
          <cell r="C72" t="str">
            <v>V_KEYWORD_ISSR_208000024_ORD_SH_FUND</v>
          </cell>
        </row>
        <row r="73">
          <cell r="A73" t="str">
            <v>Vector|||208000024|||ISSR|||MINORITIES|||False|||</v>
          </cell>
          <cell r="C73" t="str">
            <v>V_KEYWORD_ISSR_208000024_MINORITIES</v>
          </cell>
        </row>
        <row r="74">
          <cell r="A74" t="str">
            <v>Vector|||208000024|||ISSR|||EQ|||False|||</v>
          </cell>
          <cell r="C74" t="str">
            <v>V_KEYWORD_ISSR_208000024_EQ</v>
          </cell>
        </row>
        <row r="75">
          <cell r="A75" t="str">
            <v>Vector|||208000024|||ISSR|||TOT_LIAB_EQ|||False|||</v>
          </cell>
          <cell r="C75" t="str">
            <v>V_KEYWORD_ISSR_208000024_TOT_LIAB_EQ</v>
          </cell>
        </row>
        <row r="77">
          <cell r="A77" t="str">
            <v>Vector|||208000024|||ISSR|||TOT_USD_DEBT|||False|||</v>
          </cell>
          <cell r="C77" t="str">
            <v>V_KEYWORD_ISSR_208000024_TOT_USD_DEBT</v>
          </cell>
        </row>
        <row r="78">
          <cell r="A78" t="str">
            <v>Vector|||208000024|||ISSR|||TOT_PCT_USD_DEBT_HEDGED|||False|||</v>
          </cell>
          <cell r="C78" t="str">
            <v>V_KEYWORD_ISSR_208000024_TOT_PCT_USD_DEBT_HEDGED</v>
          </cell>
        </row>
        <row r="79">
          <cell r="A79" t="str">
            <v>Vector|||208000024|||ISSR|||FLOATING_PCT_LOCAL_DEBT|||False|||</v>
          </cell>
          <cell r="C79" t="str">
            <v>V_KEYWORD_ISSR_208000024_FLOATING_PCT_LOCAL_DEBT</v>
          </cell>
        </row>
        <row r="80">
          <cell r="A80" t="str">
            <v>Vector|||208000024|||ISSR|||FLOATING_PCT_LOCAL_DEBT_HEDGED|||False|||</v>
          </cell>
          <cell r="C80" t="str">
            <v>V_KEYWORD_ISSR_208000024_FLOATING_PCT_LOCAL_DEBT_HEDGED</v>
          </cell>
        </row>
        <row r="81">
          <cell r="A81" t="str">
            <v>Vector|||208000024|||ISSR|||NET_DEBT|||False|||</v>
          </cell>
          <cell r="C81" t="str">
            <v>V_KEYWORD_ISSR_208000024_NET_DEBT</v>
          </cell>
        </row>
        <row r="82">
          <cell r="A82" t="str">
            <v>Vector|||208000024|||ISSR|||CAP_LEASES|||False|||</v>
          </cell>
          <cell r="C82" t="str">
            <v>V_KEYWORD_ISSR_208000024_CAP_LEASES</v>
          </cell>
        </row>
        <row r="83">
          <cell r="A83" t="str">
            <v>Vector|||208000024|||ISSR|||DEF_INC_TAX|||False|||</v>
          </cell>
          <cell r="C83" t="str">
            <v>V_KEYWORD_ISSR_208000024_DEF_INC_TAX</v>
          </cell>
        </row>
        <row r="84">
          <cell r="A84" t="str">
            <v>Vector|||208000024|||ISSR|||MV_ASSOCIATES|||False|||</v>
          </cell>
          <cell r="C84" t="str">
            <v>V_KEYWORD_ISSR_208000024_MV_ASSOCIATES</v>
          </cell>
        </row>
        <row r="85">
          <cell r="A85" t="str">
            <v>Vector|||208000024|||ISSR|||NET_DEBT_ADJ|||False|||</v>
          </cell>
          <cell r="C85" t="str">
            <v>V_KEYWORD_ISSR_208000024_NET_DEBT_ADJ</v>
          </cell>
        </row>
        <row r="86">
          <cell r="A86" t="str">
            <v>Vector|||208000024|||ISSR|||CO_BOR_MARGIN|||False|||</v>
          </cell>
          <cell r="C86" t="str">
            <v>V_KEYWORD_ISSR_208000024_CO_BOR_MARGIN</v>
          </cell>
        </row>
        <row r="87">
          <cell r="A87" t="str">
            <v>Vector|||208000024|||ISSR|||UNF_PENS|||False|||</v>
          </cell>
          <cell r="C87" t="str">
            <v>V_KEYWORD_ISSR_208000024_UNF_PENS</v>
          </cell>
        </row>
        <row r="88">
          <cell r="A88" t="str">
            <v>Vector|||208000024|||ISSR|||UNF_PENS_OFF|||False|||</v>
          </cell>
          <cell r="C88" t="str">
            <v>V_KEYWORD_ISSR_208000024_UNF_PENS_OFF</v>
          </cell>
        </row>
        <row r="89">
          <cell r="A89" t="str">
            <v>Vector|||208000024|||ISSR|||UNF_PENS_LIAB_OTH|||False|||</v>
          </cell>
          <cell r="C89" t="str">
            <v>V_KEYWORD_ISSR_208000024_UNF_PENS_LIAB_OTH</v>
          </cell>
        </row>
        <row r="90">
          <cell r="A90" t="str">
            <v>Vector|||208000024|||ISSR|||ADJ_UNF_PENS_GOOD|||False|||</v>
          </cell>
          <cell r="C90" t="str">
            <v>V_KEYWORD_ISSR_208000024_ADJ_UNF_PENS_GOOD</v>
          </cell>
        </row>
        <row r="91">
          <cell r="A91" t="str">
            <v>Vector|||208000024|||ISSR|||OTH_GCI_ADJ|||False|||</v>
          </cell>
          <cell r="C91" t="str">
            <v>V_KEYWORD_ISSR_208000024_OTH_GCI_ADJ</v>
          </cell>
        </row>
        <row r="92">
          <cell r="A92" t="str">
            <v>Vector|||208000024|||ISSR|||GCI_INFL|||False|||</v>
          </cell>
          <cell r="C92" t="str">
            <v>V_KEYWORD_ISSR_208000024_GCI_INFL</v>
          </cell>
        </row>
        <row r="93">
          <cell r="A93" t="str">
            <v>Vector|||208000024|||ISSR|||BAL_MINO_INT|||False|||</v>
          </cell>
          <cell r="C93" t="str">
            <v>V_KEYWORD_ISSR_208000024_BAL_MINO_INT</v>
          </cell>
        </row>
        <row r="94">
          <cell r="A94" t="str">
            <v>Vector|||208000024|||ISSR|||ROU_ASSET|||False|||</v>
          </cell>
          <cell r="C94" t="str">
            <v>V_KEYWORD_ISSR_208000024_ROU_ASSET</v>
          </cell>
        </row>
        <row r="96">
          <cell r="A96" t="str">
            <v>Vector|||208000024|||ISSR|||CF_INC_MINORITY|||False|||</v>
          </cell>
          <cell r="C96" t="str">
            <v>V_KEYWORD_ISSR_208000024_CF_INC_MINORITY</v>
          </cell>
        </row>
        <row r="97">
          <cell r="A97" t="str">
            <v>Vector|||208000024|||ISSR|||DEPR_AMORT|||False|||</v>
          </cell>
          <cell r="C97" t="str">
            <v>V_KEYWORD_ISSR_208000024_DEPR_AMORT</v>
          </cell>
        </row>
        <row r="98">
          <cell r="A98" t="str">
            <v>Vector|||208000024|||ISSR|||WORK_CAP|||False|||</v>
          </cell>
          <cell r="C98" t="str">
            <v>V_KEYWORD_ISSR_208000024_WORK_CAP</v>
          </cell>
        </row>
        <row r="99">
          <cell r="A99" t="str">
            <v>Vector|||208000024|||ISSR|||OTH_OP_CF|||False|||</v>
          </cell>
          <cell r="C99" t="str">
            <v>V_KEYWORD_ISSR_208000024_OTH_OP_CF</v>
          </cell>
        </row>
        <row r="100">
          <cell r="A100" t="str">
            <v>Vector|||208000024|||ISSR|||CF_OPS|||False|||</v>
          </cell>
          <cell r="C100" t="str">
            <v>V_KEYWORD_ISSR_208000024_CF_OPS</v>
          </cell>
        </row>
        <row r="101">
          <cell r="A101" t="str">
            <v>Vector|||208000024|||ISSR|||CAPEX|||False|||</v>
          </cell>
          <cell r="C101" t="str">
            <v>V_KEYWORD_ISSR_208000024_CAPEX</v>
          </cell>
        </row>
        <row r="102">
          <cell r="A102" t="str">
            <v>Vector|||208000024|||ISSR|||ACQ|||False|||</v>
          </cell>
          <cell r="C102" t="str">
            <v>V_KEYWORD_ISSR_208000024_ACQ</v>
          </cell>
        </row>
        <row r="103">
          <cell r="A103" t="str">
            <v>Vector|||208000024|||ISSR|||DIVEST|||False|||</v>
          </cell>
          <cell r="C103" t="str">
            <v>V_KEYWORD_ISSR_208000024_DIVEST</v>
          </cell>
        </row>
        <row r="104">
          <cell r="A104" t="str">
            <v>Vector|||208000024|||ISSR|||OTH_INV_CF|||False|||</v>
          </cell>
          <cell r="C104" t="str">
            <v>V_KEYWORD_ISSR_208000024_OTH_INV_CF</v>
          </cell>
        </row>
        <row r="105">
          <cell r="A105" t="str">
            <v>Vector|||208000024|||ISSR|||CF_INV|||False|||</v>
          </cell>
          <cell r="C105" t="str">
            <v>V_KEYWORD_ISSR_208000024_CF_INV</v>
          </cell>
        </row>
        <row r="106">
          <cell r="A106" t="str">
            <v>Vector|||208000024|||ISSR|||DIV_PAID|||False|||</v>
          </cell>
          <cell r="C106" t="str">
            <v>V_KEYWORD_ISSR_208000024_DIV_PAID</v>
          </cell>
        </row>
        <row r="107">
          <cell r="A107" t="str">
            <v>Vector|||208000024|||ISSR|||SH_REPUR|||False|||</v>
          </cell>
          <cell r="C107" t="str">
            <v>V_KEYWORD_ISSR_208000024_SH_REPUR</v>
          </cell>
        </row>
        <row r="108">
          <cell r="A108" t="str">
            <v>Vector|||208000024|||ISSR|||CHG_LT_DEBT|||False|||</v>
          </cell>
          <cell r="C108" t="str">
            <v>V_KEYWORD_ISSR_208000024_CHG_LT_DEBT</v>
          </cell>
        </row>
        <row r="109">
          <cell r="A109" t="str">
            <v>Vector|||208000024|||ISSR|||LEASE_PRINCIPAL_CASH|||False|||</v>
          </cell>
          <cell r="C109" t="str">
            <v>V_KEYWORD_ISSR_208000024_LEASE_PRINCIPAL_CASH</v>
          </cell>
        </row>
        <row r="110">
          <cell r="A110" t="str">
            <v>Vector|||208000024|||ISSR|||OTH_FIN_CF|||False|||</v>
          </cell>
          <cell r="C110" t="str">
            <v>V_KEYWORD_ISSR_208000024_OTH_FIN_CF</v>
          </cell>
        </row>
        <row r="111">
          <cell r="A111" t="str">
            <v>Vector|||208000024|||ISSR|||CF_FIN|||False|||</v>
          </cell>
          <cell r="C111" t="str">
            <v>V_KEYWORD_ISSR_208000024_CF_FIN</v>
          </cell>
        </row>
        <row r="112">
          <cell r="A112" t="str">
            <v>Vector|||208000024|||ISSR|||OTH_ITEM_NCF|||False|||</v>
          </cell>
          <cell r="C112" t="str">
            <v>V_KEYWORD_ISSR_208000024_OTH_ITEM_NCF</v>
          </cell>
        </row>
        <row r="113">
          <cell r="A113" t="str">
            <v>Vector|||208000024|||ISSR|||TOT_CF|||False|||</v>
          </cell>
          <cell r="C113" t="str">
            <v>V_KEYWORD_ISSR_208000024_TOT_CF</v>
          </cell>
        </row>
        <row r="115">
          <cell r="A115" t="str">
            <v>Vector|||208000024|||ISSR|||ASSOC_JV_ADDBK|||False|||</v>
          </cell>
          <cell r="C115" t="str">
            <v>V_KEYWORD_ISSR_208000024_ASSOC_JV_ADDBK</v>
          </cell>
        </row>
        <row r="116">
          <cell r="A116" t="str">
            <v>Vector|||208000024|||ISSR|||CASH_INT_INC_EXP|||False|||</v>
          </cell>
          <cell r="C116" t="str">
            <v>V_KEYWORD_ISSR_208000024_CASH_INT_INC_EXP</v>
          </cell>
        </row>
        <row r="117">
          <cell r="A117" t="str">
            <v>Vector|||208000024|||ISSR|||CASH_TAX_PD|||False|||</v>
          </cell>
          <cell r="C117" t="str">
            <v>V_KEYWORD_ISSR_208000024_CASH_TAX_PD</v>
          </cell>
        </row>
        <row r="118">
          <cell r="A118" t="str">
            <v>Vector|||208000024|||ISSR|||PL_SALE_ASSETS|||False|||</v>
          </cell>
          <cell r="C118" t="str">
            <v>V_KEYWORD_ISSR_208000024_PL_SALE_ASSETS</v>
          </cell>
        </row>
        <row r="119">
          <cell r="A119" t="str">
            <v>Vector|||208000024|||ISSR|||OTH_NONCASH_ADJ|||False|||</v>
          </cell>
          <cell r="C119" t="str">
            <v>V_KEYWORD_ISSR_208000024_OTH_NONCASH_ADJ</v>
          </cell>
        </row>
        <row r="120">
          <cell r="A120" t="str">
            <v>Vector|||208000024|||ISSR|||OTH_DACF_ADJ|||False|||</v>
          </cell>
          <cell r="C120" t="str">
            <v>V_KEYWORD_ISSR_208000024_OTH_DACF_ADJ</v>
          </cell>
        </row>
        <row r="121">
          <cell r="A121" t="str">
            <v>Vector|||208000024|||ISSR|||CASH_INT_EXP|||False|||</v>
          </cell>
          <cell r="C121" t="str">
            <v>V_KEYWORD_ISSR_208000024_CASH_INT_EXP</v>
          </cell>
        </row>
        <row r="122">
          <cell r="A122" t="str">
            <v>Vector|||208000024|||ISSR|||CASH_TAX_EXP|||False|||</v>
          </cell>
          <cell r="C122" t="str">
            <v>V_KEYWORD_ISSR_208000024_CASH_TAX_EXP</v>
          </cell>
        </row>
        <row r="123">
          <cell r="A123" t="str">
            <v>Vector|||208000024|||ISSR|||DIVDS_ASSOC_JV|||False|||</v>
          </cell>
          <cell r="C123" t="str">
            <v>V_KEYWORD_ISSR_208000024_DIVDS_ASSOC_JV</v>
          </cell>
        </row>
        <row r="124">
          <cell r="A124" t="str">
            <v>Vector|||208000024|||ISSR|||CAPEX_MAINTENANCE|||False|||</v>
          </cell>
          <cell r="C124" t="str">
            <v>V_KEYWORD_ISSR_208000024_CAPEX_MAINTENANCE</v>
          </cell>
        </row>
        <row r="125">
          <cell r="A125" t="str">
            <v>Vector|||208000024|||ISSR|||CAPEX_EXPANSION|||False|||</v>
          </cell>
          <cell r="C125" t="str">
            <v>V_KEYWORD_ISSR_208000024_CAPEX_EXPANSION</v>
          </cell>
        </row>
        <row r="126">
          <cell r="A126" t="str">
            <v>Vector|||208000024|||ISSR|||NONPPE_CAPEX|||False|||</v>
          </cell>
          <cell r="C126" t="str">
            <v>V_KEYWORD_ISSR_208000024_NONPPE_CAPEX</v>
          </cell>
        </row>
        <row r="127">
          <cell r="A127" t="str">
            <v>Vector|||208000024|||ISSR|||DIVDS_PD_MINORITIES|||False|||</v>
          </cell>
          <cell r="C127" t="str">
            <v>V_KEYWORD_ISSR_208000024_DIVDS_PD_MINORITIES</v>
          </cell>
        </row>
        <row r="129">
          <cell r="A129" t="str">
            <v>Scalar|||208000024|||ISSR|||GROUP_SALES_PCT_BIG_NO_TWO|||False|||</v>
          </cell>
          <cell r="C129" t="str">
            <v>V_KEYWORD_ISSR_208000024_GROUP_SALES_PCT_BIG_NO_TWO</v>
          </cell>
        </row>
        <row r="130">
          <cell r="A130" t="str">
            <v>Scalar|||208000024|||ISSR|||GROUP_SALES_PCT_SHRD_NO_ONE|||False|||</v>
          </cell>
          <cell r="C130" t="str">
            <v>V_KEYWORD_ISSR_208000024_GROUP_SALES_PCT_SHRD_NO_ONE</v>
          </cell>
        </row>
        <row r="131">
          <cell r="A131" t="str">
            <v>Scalar|||208000024|||ISSR|||GROUP_SALES_PCT_TOP_THREE|||False|||</v>
          </cell>
          <cell r="C131" t="str">
            <v>V_KEYWORD_ISSR_208000024_GROUP_SALES_PCT_TOP_THREE</v>
          </cell>
        </row>
        <row r="132">
          <cell r="A132" t="str">
            <v>Vector|||208000024|||ISSR|||AMKT_PCT_GROUP_SALES|||False|||</v>
          </cell>
          <cell r="C132" t="str">
            <v>V_KEYWORD_ISSR_208000024_AMKT_PCT_GROUP_SALES</v>
          </cell>
        </row>
        <row r="133">
          <cell r="A133" t="str">
            <v>Scalar|||208000024|||ISSR|||DISTR_SCORE|||False|||</v>
          </cell>
          <cell r="C133" t="str">
            <v>V_KEYWORD_ISSR_208000024_DISTR_SCORE</v>
          </cell>
        </row>
        <row r="134">
          <cell r="A134" t="str">
            <v>Scalar|||208000024|||ISSR|||STRCTL_GRTH_PROD_CTGRY|||False|||</v>
          </cell>
          <cell r="C134" t="str">
            <v>V_KEYWORD_ISSR_208000024_STRCTL_GRTH_PROD_CTGRY</v>
          </cell>
        </row>
        <row r="135">
          <cell r="A135" t="str">
            <v>Scalar|||208000024|||ISSR|||CYCL_GRTH_EMKT|||False|||</v>
          </cell>
          <cell r="C135" t="str">
            <v>V_KEYWORD_ISSR_208000024_CYCL_GRTH_EMKT</v>
          </cell>
        </row>
        <row r="136">
          <cell r="A136" t="str">
            <v>Vector|||208000024|||ISSR|||CYCL_ADJ_CROCI|||False|||</v>
          </cell>
          <cell r="C136" t="str">
            <v>V_KEYWORD_ISSR_208000024_CYCL_ADJ_CROCI</v>
          </cell>
        </row>
        <row r="137">
          <cell r="A137" t="str">
            <v>Vector|||208000024|||ISSR|||DGR_CUST_CONCTR|||False|||</v>
          </cell>
          <cell r="C137" t="str">
            <v>V_KEYWORD_ISSR_208000024_DGR_CUST_CONCTR</v>
          </cell>
        </row>
        <row r="138">
          <cell r="A138" t="str">
            <v>Vector|||208000024|||ISSR|||SALES_PCT_PROJ_BUS|||False|||</v>
          </cell>
          <cell r="C138" t="str">
            <v>V_KEYWORD_ISSR_208000024_SALES_PCT_PROJ_BUS</v>
          </cell>
        </row>
        <row r="139">
          <cell r="A139" t="str">
            <v>Vector|||208000024|||ISSR|||SALES_PCT_REC|||False|||</v>
          </cell>
          <cell r="C139" t="str">
            <v>V_KEYWORD_ISSR_208000024_SALES_PCT_REC</v>
          </cell>
        </row>
        <row r="141">
          <cell r="A141" t="str">
            <v>Vector|||208000024|||ISSR|||EMPLOYEES|||False|||</v>
          </cell>
          <cell r="C141" t="str">
            <v>V_KEYWORD_ISSR_208000024_EMPLOYEES</v>
          </cell>
        </row>
        <row r="142">
          <cell r="A142" t="str">
            <v>Vector|||208000024|||ISSR|||EMPLOYEES_TOT_AM|||False|||</v>
          </cell>
          <cell r="C142" t="str">
            <v>V_KEYWORD_ISSR_208000024_EMPLOYEES_TOT_AM</v>
          </cell>
        </row>
        <row r="143">
          <cell r="A143" t="str">
            <v>Vector|||208000024|||ISSR|||EMPLOYEES_US|||False|||</v>
          </cell>
          <cell r="C143" t="str">
            <v>V_KEYWORD_ISSR_208000024_EMPLOYEES_US</v>
          </cell>
        </row>
        <row r="144">
          <cell r="A144" t="str">
            <v>Vector|||208000024|||ISSR|||EMPLOYEES_BRAZIL|||False|||</v>
          </cell>
          <cell r="C144" t="str">
            <v>V_KEYWORD_ISSR_208000024_EMPLOYEES_BRAZIL</v>
          </cell>
        </row>
        <row r="145">
          <cell r="A145" t="str">
            <v>Vector|||208000024|||ISSR|||EMPLOYEES_OTH_AM|||False|||</v>
          </cell>
          <cell r="C145" t="str">
            <v>V_KEYWORD_ISSR_208000024_EMPLOYEES_OTH_AM</v>
          </cell>
        </row>
        <row r="146">
          <cell r="A146" t="str">
            <v>Vector|||208000024|||ISSR|||EMPLOYEES_TOT_EMEA|||False|||</v>
          </cell>
          <cell r="C146" t="str">
            <v>V_KEYWORD_ISSR_208000024_EMPLOYEES_TOT_EMEA</v>
          </cell>
        </row>
        <row r="147">
          <cell r="A147" t="str">
            <v>Vector|||208000024|||ISSR|||EMPLOYEES_UK|||False|||</v>
          </cell>
          <cell r="C147" t="str">
            <v>V_KEYWORD_ISSR_208000024_EMPLOYEES_UK</v>
          </cell>
        </row>
        <row r="148">
          <cell r="A148" t="str">
            <v>Vector|||208000024|||ISSR|||EMPLOYEES_EU_EX_UK|||False|||</v>
          </cell>
          <cell r="C148" t="str">
            <v>V_KEYWORD_ISSR_208000024_EMPLOYEES_EU_EX_UK</v>
          </cell>
        </row>
        <row r="149">
          <cell r="A149" t="str">
            <v>Vector|||208000024|||ISSR|||EMPLOYEES_FRA|||False|||</v>
          </cell>
          <cell r="C149" t="str">
            <v>V_KEYWORD_ISSR_208000024_EMPLOYEES_FRA</v>
          </cell>
        </row>
        <row r="150">
          <cell r="A150" t="str">
            <v>Vector|||208000024|||ISSR|||EMPLOYEES_GER|||False|||</v>
          </cell>
          <cell r="C150" t="str">
            <v>V_KEYWORD_ISSR_208000024_EMPLOYEES_GER</v>
          </cell>
        </row>
        <row r="151">
          <cell r="A151" t="str">
            <v>Vector|||208000024|||ISSR|||EMPLOYEES_ITA|||False|||</v>
          </cell>
          <cell r="C151" t="str">
            <v>V_KEYWORD_ISSR_208000024_EMPLOYEES_ITA</v>
          </cell>
        </row>
        <row r="152">
          <cell r="A152" t="str">
            <v>Vector|||208000024|||ISSR|||EMPLOYEES_SPA|||False|||</v>
          </cell>
          <cell r="C152" t="str">
            <v>V_KEYWORD_ISSR_208000024_EMPLOYEES_SPA</v>
          </cell>
        </row>
        <row r="153">
          <cell r="A153" t="str">
            <v>Vector|||208000024|||ISSR|||EMPLOYEES_OTH_EU_EX_UK|||False|||</v>
          </cell>
          <cell r="C153" t="str">
            <v>V_KEYWORD_ISSR_208000024_EMPLOYEES_OTH_EU_EX_UK</v>
          </cell>
        </row>
        <row r="154">
          <cell r="A154" t="str">
            <v>Vector|||208000024|||ISSR|||EMPLOYEES_CEE|||False|||</v>
          </cell>
          <cell r="C154" t="str">
            <v>V_KEYWORD_ISSR_208000024_EMPLOYEES_CEE</v>
          </cell>
        </row>
        <row r="155">
          <cell r="A155" t="str">
            <v>Vector|||208000024|||ISSR|||EMPLOYEES_ME|||False|||</v>
          </cell>
          <cell r="C155" t="str">
            <v>V_KEYWORD_ISSR_208000024_EMPLOYEES_ME</v>
          </cell>
        </row>
        <row r="156">
          <cell r="A156" t="str">
            <v>Vector|||208000024|||ISSR|||EMPLOYEES_SO_AFRICA|||False|||</v>
          </cell>
          <cell r="C156" t="str">
            <v>V_KEYWORD_ISSR_208000024_EMPLOYEES_SO_AFRICA</v>
          </cell>
        </row>
        <row r="157">
          <cell r="A157" t="str">
            <v>Vector|||208000024|||ISSR|||EMPLOYEES_NIGERIA|||False|||</v>
          </cell>
          <cell r="C157" t="str">
            <v>V_KEYWORD_ISSR_208000024_EMPLOYEES_NIGERIA</v>
          </cell>
        </row>
        <row r="158">
          <cell r="A158" t="str">
            <v>Vector|||208000024|||ISSR|||EMPLOYEES_OTH_AFRICA|||False|||</v>
          </cell>
          <cell r="C158" t="str">
            <v>V_KEYWORD_ISSR_208000024_EMPLOYEES_OTH_AFRICA</v>
          </cell>
        </row>
        <row r="159">
          <cell r="A159" t="str">
            <v>Vector|||208000024|||ISSR|||EMPLOYEES_TOT_AFRICA|||False|||</v>
          </cell>
          <cell r="C159" t="str">
            <v>V_KEYWORD_ISSR_208000024_EMPLOYEES_TOT_AFRICA</v>
          </cell>
        </row>
        <row r="160">
          <cell r="A160" t="str">
            <v>Vector|||208000024|||ISSR|||EMPLOYEES_RUSSIA|||False|||</v>
          </cell>
          <cell r="C160" t="str">
            <v>V_KEYWORD_ISSR_208000024_EMPLOYEES_RUSSIA</v>
          </cell>
        </row>
        <row r="161">
          <cell r="A161" t="str">
            <v>Vector|||208000024|||ISSR|||EMPLOYEES_OTH_EMEA|||False|||</v>
          </cell>
          <cell r="C161" t="str">
            <v>V_KEYWORD_ISSR_208000024_EMPLOYEES_OTH_EMEA</v>
          </cell>
        </row>
        <row r="162">
          <cell r="A162" t="str">
            <v>Vector|||208000024|||ISSR|||EMPLOYEES_TOT_ASIA|||False|||</v>
          </cell>
          <cell r="C162" t="str">
            <v>V_KEYWORD_ISSR_208000024_EMPLOYEES_TOT_ASIA</v>
          </cell>
        </row>
        <row r="163">
          <cell r="A163" t="str">
            <v>Vector|||208000024|||ISSR|||EMPLOYEES_JAPAN|||False|||</v>
          </cell>
          <cell r="C163" t="str">
            <v>V_KEYWORD_ISSR_208000024_EMPLOYEES_JAPAN</v>
          </cell>
        </row>
        <row r="164">
          <cell r="A164" t="str">
            <v>Vector|||208000024|||ISSR|||EMPLOYEES_CHINA|||False|||</v>
          </cell>
          <cell r="C164" t="str">
            <v>V_KEYWORD_ISSR_208000024_EMPLOYEES_CHINA</v>
          </cell>
        </row>
        <row r="165">
          <cell r="A165" t="str">
            <v>Vector|||208000024|||ISSR|||EMPLOYEES_INDIA|||False|||</v>
          </cell>
          <cell r="C165" t="str">
            <v>V_KEYWORD_ISSR_208000024_EMPLOYEES_INDIA</v>
          </cell>
        </row>
        <row r="166">
          <cell r="A166" t="str">
            <v>Vector|||208000024|||ISSR|||EMPLOYEES_OTH_AEJ|||False|||</v>
          </cell>
          <cell r="C166" t="str">
            <v>V_KEYWORD_ISSR_208000024_EMPLOYEES_OTH_AEJ</v>
          </cell>
        </row>
        <row r="167">
          <cell r="A167" t="str">
            <v>Vector|||208000024|||ISSR|||EMPLOYEES_OTHER|||False|||</v>
          </cell>
          <cell r="C167" t="str">
            <v>V_KEYWORD_ISSR_208000024_EMPLOYEES_OTHER</v>
          </cell>
        </row>
        <row r="169">
          <cell r="A169" t="str">
            <v>Vector|||208000024|||ISSR|||SALES_EXPOSURE_NO_AMERICA|||False|||</v>
          </cell>
          <cell r="C169" t="str">
            <v>V_KEYWORD_ISSR_208000024_SALES_EXPOSURE_NO_AMERICA</v>
          </cell>
        </row>
        <row r="170">
          <cell r="A170" t="str">
            <v>Vector|||208000024|||ISSR|||SALES_EXPOSURE_EMEA|||False|||</v>
          </cell>
          <cell r="C170" t="str">
            <v>V_KEYWORD_ISSR_208000024_SALES_EXPOSURE_EMEA</v>
          </cell>
        </row>
        <row r="171">
          <cell r="A171" t="str">
            <v>Vector|||208000024|||ISSR|||SALES_EXPOSURE_APAC|||False|||</v>
          </cell>
          <cell r="C171" t="str">
            <v>V_KEYWORD_ISSR_208000024_SALES_EXPOSURE_APAC</v>
          </cell>
        </row>
        <row r="172">
          <cell r="A172" t="str">
            <v>Vector|||208000024|||ISSR|||SALES_EXPOSURE_CHINA|||False|||</v>
          </cell>
          <cell r="C172" t="str">
            <v>V_KEYWORD_ISSR_208000024_SALES_EXPOSURE_CHINA</v>
          </cell>
        </row>
        <row r="173">
          <cell r="A173" t="str">
            <v>Vector|||208000024|||ISSR|||SALES_EXPOSURE_ROW|||False|||</v>
          </cell>
          <cell r="C173" t="str">
            <v>V_KEYWORD_ISSR_208000024_SALES_EXPOSURE_ROW</v>
          </cell>
        </row>
        <row r="174">
          <cell r="A174" t="str">
            <v>Vector|||208000024|||ISSR|||SALES_EXPOSURE_DEV_MKT|||False|||</v>
          </cell>
          <cell r="C174" t="str">
            <v>V_KEYWORD_ISSR_208000024_SALES_EXPOSURE_DEV_MKT</v>
          </cell>
        </row>
        <row r="175">
          <cell r="A175" t="str">
            <v>Vector|||208000024|||ISSR|||SALES_EXPOSURE_EMER_MKT|||False|||</v>
          </cell>
          <cell r="C175" t="str">
            <v>V_KEYWORD_ISSR_208000024_SALES_EXPOSURE_EMER_MKT</v>
          </cell>
        </row>
        <row r="177">
          <cell r="A177" t="str">
            <v>Vector|||208000024|||ISSR|||SALES_CONSRT_EMKT_GLOBAL|||False|||</v>
          </cell>
          <cell r="C177" t="str">
            <v>V_KEYWORD_ISSR_208000024_SALES_CONSRT_EMKT_GLOBAL</v>
          </cell>
        </row>
        <row r="178">
          <cell r="A178" t="str">
            <v>Vector|||208000024|||ISSR|||SALES_CONSRT_EMKT_NO_AMERICA|||False|||</v>
          </cell>
          <cell r="C178" t="str">
            <v>V_KEYWORD_ISSR_208000024_SALES_CONSRT_EMKT_NO_AMERICA</v>
          </cell>
        </row>
        <row r="179">
          <cell r="A179" t="str">
            <v>Vector|||208000024|||ISSR|||SALES_CONSRT_EMKT_EAME|||False|||</v>
          </cell>
          <cell r="C179" t="str">
            <v>V_KEYWORD_ISSR_208000024_SALES_CONSRT_EMKT_EAME</v>
          </cell>
        </row>
        <row r="180">
          <cell r="A180" t="str">
            <v>Vector|||208000024|||ISSR|||SALES_CONSRT_EMKT_SO_AMERICA|||False|||</v>
          </cell>
          <cell r="C180" t="str">
            <v>V_KEYWORD_ISSR_208000024_SALES_CONSRT_EMKT_SO_AMERICA</v>
          </cell>
        </row>
        <row r="181">
          <cell r="A181" t="str">
            <v>Vector|||208000024|||ISSR|||SALES_CONSRT_EMKT_CHINA|||False|||</v>
          </cell>
          <cell r="C181" t="str">
            <v>V_KEYWORD_ISSR_208000024_SALES_CONSRT_EMKT_CHINA</v>
          </cell>
        </row>
        <row r="182">
          <cell r="A182" t="str">
            <v>Vector|||208000024|||ISSR|||SALES_CONSRT_EMKT_ASIAEXCHINA|||False|||</v>
          </cell>
          <cell r="C182" t="str">
            <v>V_KEYWORD_ISSR_208000024_SALES_CONSRT_EMKT_ASIAEXCHINA</v>
          </cell>
        </row>
        <row r="183">
          <cell r="A183" t="str">
            <v>Vector|||208000024|||ISSR|||SALES_TRN_DIST_EMKT_GLOBAL|||False|||</v>
          </cell>
          <cell r="C183" t="str">
            <v>V_KEYWORD_ISSR_208000024_SALES_TRN_DIST_EMKT_GLOBAL</v>
          </cell>
        </row>
        <row r="184">
          <cell r="A184" t="str">
            <v>Vector|||208000024|||ISSR|||SALES_TRN_DIST_EMKT_NO_AMERICA|||False|||</v>
          </cell>
          <cell r="C184" t="str">
            <v>V_KEYWORD_ISSR_208000024_SALES_TRN_DIST_EMKT_NO_AMERICA</v>
          </cell>
        </row>
        <row r="185">
          <cell r="A185" t="str">
            <v>Vector|||208000024|||ISSR|||SALES_TRN_DIST_EMKT_EAME|||False|||</v>
          </cell>
          <cell r="C185" t="str">
            <v>V_KEYWORD_ISSR_208000024_SALES_TRN_DIST_EMKT_EAME</v>
          </cell>
        </row>
        <row r="186">
          <cell r="A186" t="str">
            <v>Vector|||208000024|||ISSR|||SALES_TRN_DIST_EMKT_SO_AMERICA|||False|||</v>
          </cell>
          <cell r="C186" t="str">
            <v>V_KEYWORD_ISSR_208000024_SALES_TRN_DIST_EMKT_SO_AMERICA</v>
          </cell>
        </row>
        <row r="187">
          <cell r="A187" t="str">
            <v>Vector|||208000024|||ISSR|||SALES_TRN_DIST_EMKT_CHINA|||False|||</v>
          </cell>
          <cell r="C187" t="str">
            <v>V_KEYWORD_ISSR_208000024_SALES_TRN_DIST_EMKT_CHINA</v>
          </cell>
        </row>
        <row r="188">
          <cell r="A188" t="str">
            <v>Vector|||208000024|||ISSR|||SALES_TRN_DIST_EMKT_ASIAEXCHINA|||False|||</v>
          </cell>
          <cell r="C188" t="str">
            <v>V_KEYWORD_ISSR_208000024_SALES_TRN_DIST_EMKT_ASIAEXCHINA</v>
          </cell>
        </row>
        <row r="189">
          <cell r="A189" t="str">
            <v>Vector|||208000024|||ISSR|||SALES_PWR_GEN_EMKT_GLOBAL|||False|||</v>
          </cell>
          <cell r="C189" t="str">
            <v>V_KEYWORD_ISSR_208000024_SALES_PWR_GEN_EMKT_GLOBAL</v>
          </cell>
        </row>
        <row r="190">
          <cell r="A190" t="str">
            <v>Vector|||208000024|||ISSR|||SALES_PWR_GEN_EMKT_NO_AMERICA|||False|||</v>
          </cell>
          <cell r="C190" t="str">
            <v>V_KEYWORD_ISSR_208000024_SALES_PWR_GEN_EMKT_NO_AMERICA</v>
          </cell>
        </row>
        <row r="191">
          <cell r="A191" t="str">
            <v>Vector|||208000024|||ISSR|||SALES_PWR_GEN_EMKT_EAME|||False|||</v>
          </cell>
          <cell r="C191" t="str">
            <v>V_KEYWORD_ISSR_208000024_SALES_PWR_GEN_EMKT_EAME</v>
          </cell>
        </row>
        <row r="192">
          <cell r="A192" t="str">
            <v>Vector|||208000024|||ISSR|||SALES_PWR_GEN_EMKT_SO_AMERICA|||False|||</v>
          </cell>
          <cell r="C192" t="str">
            <v>V_KEYWORD_ISSR_208000024_SALES_PWR_GEN_EMKT_SO_AMERICA</v>
          </cell>
        </row>
        <row r="193">
          <cell r="A193" t="str">
            <v>Vector|||208000024|||ISSR|||SALES_PWR_GEN_EMKT_CHINA|||False|||</v>
          </cell>
          <cell r="C193" t="str">
            <v>V_KEYWORD_ISSR_208000024_SALES_PWR_GEN_EMKT_CHINA</v>
          </cell>
        </row>
        <row r="194">
          <cell r="A194" t="str">
            <v>Vector|||208000024|||ISSR|||SALES_PWR_GEN_EMKT_ASIAEXCHINA|||False|||</v>
          </cell>
          <cell r="C194" t="str">
            <v>V_KEYWORD_ISSR_208000024_SALES_PWR_GEN_EMKT_ASIAEXCHINA</v>
          </cell>
        </row>
        <row r="195">
          <cell r="A195" t="str">
            <v>Vector|||208000024|||ISSR|||SALES_MINING_EMKT_GLOBAL|||False|||</v>
          </cell>
          <cell r="C195" t="str">
            <v>V_KEYWORD_ISSR_208000024_SALES_MINING_EMKT_GLOBAL</v>
          </cell>
        </row>
        <row r="196">
          <cell r="A196" t="str">
            <v>Vector|||208000024|||ISSR|||SALES_MINING_EMKT_NO_AMERICA|||False|||</v>
          </cell>
          <cell r="C196" t="str">
            <v>V_KEYWORD_ISSR_208000024_SALES_MINING_EMKT_NO_AMERICA</v>
          </cell>
        </row>
        <row r="197">
          <cell r="A197" t="str">
            <v>Vector|||208000024|||ISSR|||SALES_MINING_EMKT_EAME|||False|||</v>
          </cell>
          <cell r="C197" t="str">
            <v>V_KEYWORD_ISSR_208000024_SALES_MINING_EMKT_EAME</v>
          </cell>
        </row>
        <row r="198">
          <cell r="A198" t="str">
            <v>Vector|||208000024|||ISSR|||SALES_MINING_EMKT_SO_AMERICA|||False|||</v>
          </cell>
          <cell r="C198" t="str">
            <v>V_KEYWORD_ISSR_208000024_SALES_MINING_EMKT_SO_AMERICA</v>
          </cell>
        </row>
        <row r="199">
          <cell r="A199" t="str">
            <v>Vector|||208000024|||ISSR|||SALES_MINING_EMKT_CHINA|||False|||</v>
          </cell>
          <cell r="C199" t="str">
            <v>V_KEYWORD_ISSR_208000024_SALES_MINING_EMKT_CHINA</v>
          </cell>
        </row>
        <row r="200">
          <cell r="A200" t="str">
            <v>Vector|||208000024|||ISSR|||SALES_MINING_EMKT_ASIAEXCHINA|||False|||</v>
          </cell>
          <cell r="C200" t="str">
            <v>V_KEYWORD_ISSR_208000024_SALES_MINING_EMKT_ASIAEXCHINA</v>
          </cell>
        </row>
        <row r="201">
          <cell r="A201" t="str">
            <v>Vector|||208000024|||ISSR|||SALES_OIL_GAS_EMKT_GLOBAL|||False|||</v>
          </cell>
          <cell r="C201" t="str">
            <v>V_KEYWORD_ISSR_208000024_SALES_OIL_GAS_EMKT_GLOBAL</v>
          </cell>
        </row>
        <row r="202">
          <cell r="A202" t="str">
            <v>Vector|||208000024|||ISSR|||SALES_OIL_GAS_EMKT_NO_AMERICA|||False|||</v>
          </cell>
          <cell r="C202" t="str">
            <v>V_KEYWORD_ISSR_208000024_SALES_OIL_GAS_EMKT_NO_AMERICA</v>
          </cell>
        </row>
        <row r="203">
          <cell r="A203" t="str">
            <v>Vector|||208000024|||ISSR|||SALES_OIL_GAS_EMKT_EAME|||False|||</v>
          </cell>
          <cell r="C203" t="str">
            <v>V_KEYWORD_ISSR_208000024_SALES_OIL_GAS_EMKT_EAME</v>
          </cell>
        </row>
        <row r="204">
          <cell r="A204" t="str">
            <v>Vector|||208000024|||ISSR|||SALES_OIL_GAS_EMKT_SO_AMERICA|||False|||</v>
          </cell>
          <cell r="C204" t="str">
            <v>V_KEYWORD_ISSR_208000024_SALES_OIL_GAS_EMKT_SO_AMERICA</v>
          </cell>
        </row>
        <row r="205">
          <cell r="A205" t="str">
            <v>Vector|||208000024|||ISSR|||SALES_OIL_GAS_EMKT_CHINA|||False|||</v>
          </cell>
          <cell r="C205" t="str">
            <v>V_KEYWORD_ISSR_208000024_SALES_OIL_GAS_EMKT_CHINA</v>
          </cell>
        </row>
        <row r="206">
          <cell r="A206" t="str">
            <v>Vector|||208000024|||ISSR|||SALES_OIL_GAS_EMKT_ASIAEXCHINA|||False|||</v>
          </cell>
          <cell r="C206" t="str">
            <v>V_KEYWORD_ISSR_208000024_SALES_OIL_GAS_EMKT_ASIAEXCHINA</v>
          </cell>
        </row>
        <row r="207">
          <cell r="A207" t="str">
            <v>Vector|||208000024|||ISSR|||SALES_AUTOMTV_EMKT_GLOBAL|||False|||</v>
          </cell>
          <cell r="C207" t="str">
            <v>V_KEYWORD_ISSR_208000024_SALES_AUTOMTV_EMKT_GLOBAL</v>
          </cell>
        </row>
        <row r="208">
          <cell r="A208" t="str">
            <v>Vector|||208000024|||ISSR|||SALES_AUTOMTV_EMKT_NO_AMERICA|||False|||</v>
          </cell>
          <cell r="C208" t="str">
            <v>V_KEYWORD_ISSR_208000024_SALES_AUTOMTV_EMKT_NO_AMERICA</v>
          </cell>
        </row>
        <row r="209">
          <cell r="A209" t="str">
            <v>Vector|||208000024|||ISSR|||SALES_AUTOMTV_EMKT_EAME|||False|||</v>
          </cell>
          <cell r="C209" t="str">
            <v>V_KEYWORD_ISSR_208000024_SALES_AUTOMTV_EMKT_EAME</v>
          </cell>
        </row>
        <row r="210">
          <cell r="A210" t="str">
            <v>Vector|||208000024|||ISSR|||SALES_AUTOMTV_EMKT_SO_AMERICA|||False|||</v>
          </cell>
          <cell r="C210" t="str">
            <v>V_KEYWORD_ISSR_208000024_SALES_AUTOMTV_EMKT_SO_AMERICA</v>
          </cell>
        </row>
        <row r="211">
          <cell r="A211" t="str">
            <v>Vector|||208000024|||ISSR|||SALES_AUTOMTV_EMKT_CHINA|||False|||</v>
          </cell>
          <cell r="C211" t="str">
            <v>V_KEYWORD_ISSR_208000024_SALES_AUTOMTV_EMKT_CHINA</v>
          </cell>
        </row>
        <row r="212">
          <cell r="A212" t="str">
            <v>Vector|||208000024|||ISSR|||SALES_AUTOMTV_EMKT_ASIAEXCHINA|||False|||</v>
          </cell>
          <cell r="C212" t="str">
            <v>V_KEYWORD_ISSR_208000024_SALES_AUTOMTV_EMKT_ASIAEXCHINA</v>
          </cell>
        </row>
        <row r="213">
          <cell r="A213" t="str">
            <v>Vector|||208000024|||ISSR|||SALES_RAIL_EMKT_GLOBAL|||False|||</v>
          </cell>
          <cell r="C213" t="str">
            <v>V_KEYWORD_ISSR_208000024_SALES_RAIL_EMKT_GLOBAL</v>
          </cell>
        </row>
        <row r="214">
          <cell r="A214" t="str">
            <v>Vector|||208000024|||ISSR|||SALES_RAIL_EMKT_NO_AMERICA|||False|||</v>
          </cell>
          <cell r="C214" t="str">
            <v>V_KEYWORD_ISSR_208000024_SALES_RAIL_EMKT_NO_AMERICA</v>
          </cell>
        </row>
        <row r="215">
          <cell r="A215" t="str">
            <v>Vector|||208000024|||ISSR|||SALES_RAIL_EMKT_EAME|||False|||</v>
          </cell>
          <cell r="C215" t="str">
            <v>V_KEYWORD_ISSR_208000024_SALES_RAIL_EMKT_EAME</v>
          </cell>
        </row>
        <row r="216">
          <cell r="A216" t="str">
            <v>Vector|||208000024|||ISSR|||SALES_RAIL_EMKT_SO_AMERICA|||False|||</v>
          </cell>
          <cell r="C216" t="str">
            <v>V_KEYWORD_ISSR_208000024_SALES_RAIL_EMKT_SO_AMERICA</v>
          </cell>
        </row>
        <row r="217">
          <cell r="A217" t="str">
            <v>Vector|||208000024|||ISSR|||SALES_RAIL_EMKT_CHINA|||False|||</v>
          </cell>
          <cell r="C217" t="str">
            <v>V_KEYWORD_ISSR_208000024_SALES_RAIL_EMKT_CHINA</v>
          </cell>
        </row>
        <row r="218">
          <cell r="A218" t="str">
            <v>Vector|||208000024|||ISSR|||SALES_RAIL_EMKT_ASIAEXCHINA|||False|||</v>
          </cell>
          <cell r="C218" t="str">
            <v>V_KEYWORD_ISSR_208000024_SALES_RAIL_EMKT_ASIAEXCHINA</v>
          </cell>
        </row>
        <row r="219">
          <cell r="A219" t="str">
            <v>Vector|||208000024|||ISSR|||SALES_CONS_EMKT_GLOBAL|||False|||</v>
          </cell>
          <cell r="C219" t="str">
            <v>V_KEYWORD_ISSR_208000024_SALES_CONS_EMKT_GLOBAL</v>
          </cell>
        </row>
        <row r="220">
          <cell r="A220" t="str">
            <v>Vector|||208000024|||ISSR|||SALES_CONS_EMKT_NO_AMERICA|||False|||</v>
          </cell>
          <cell r="C220" t="str">
            <v>V_KEYWORD_ISSR_208000024_SALES_CONS_EMKT_NO_AMERICA</v>
          </cell>
        </row>
        <row r="221">
          <cell r="A221" t="str">
            <v>Vector|||208000024|||ISSR|||SALES_CONS_EMKT_EAME|||False|||</v>
          </cell>
          <cell r="C221" t="str">
            <v>V_KEYWORD_ISSR_208000024_SALES_CONS_EMKT_EAME</v>
          </cell>
        </row>
        <row r="222">
          <cell r="A222" t="str">
            <v>Vector|||208000024|||ISSR|||SALES_CONS_EMKT_SO_AMERICA|||False|||</v>
          </cell>
          <cell r="C222" t="str">
            <v>V_KEYWORD_ISSR_208000024_SALES_CONS_EMKT_SO_AMERICA</v>
          </cell>
        </row>
        <row r="223">
          <cell r="A223" t="str">
            <v>Vector|||208000024|||ISSR|||SALES_CONS_EMKT_CHINA|||False|||</v>
          </cell>
          <cell r="C223" t="str">
            <v>V_KEYWORD_ISSR_208000024_SALES_CONS_EMKT_CHINA</v>
          </cell>
        </row>
        <row r="224">
          <cell r="A224" t="str">
            <v>Vector|||208000024|||ISSR|||SALES_CONS_EMKT_ASIAEXCHINA|||False|||</v>
          </cell>
          <cell r="C224" t="str">
            <v>V_KEYWORD_ISSR_208000024_SALES_CONS_EMKT_ASIAEXCHINA</v>
          </cell>
        </row>
        <row r="225">
          <cell r="A225" t="str">
            <v>Vector|||208000024|||ISSR|||SALES_TECH_EMKT_GLOBAL|||False|||</v>
          </cell>
          <cell r="C225" t="str">
            <v>V_KEYWORD_ISSR_208000024_SALES_TECH_EMKT_GLOBAL</v>
          </cell>
        </row>
        <row r="226">
          <cell r="A226" t="str">
            <v>Vector|||208000024|||ISSR|||SALES_TECH_EMKT_NO_AMERICA|||False|||</v>
          </cell>
          <cell r="C226" t="str">
            <v>V_KEYWORD_ISSR_208000024_SALES_TECH_EMKT_NO_AMERICA</v>
          </cell>
        </row>
        <row r="227">
          <cell r="A227" t="str">
            <v>Vector|||208000024|||ISSR|||SALES_TECH_EMKT_EAME|||False|||</v>
          </cell>
          <cell r="C227" t="str">
            <v>V_KEYWORD_ISSR_208000024_SALES_TECH_EMKT_EAME</v>
          </cell>
        </row>
        <row r="228">
          <cell r="A228" t="str">
            <v>Vector|||208000024|||ISSR|||SALES_TECH_EMKT_SO_AMERICA|||False|||</v>
          </cell>
          <cell r="C228" t="str">
            <v>V_KEYWORD_ISSR_208000024_SALES_TECH_EMKT_SO_AMERICA</v>
          </cell>
        </row>
        <row r="229">
          <cell r="A229" t="str">
            <v>Vector|||208000024|||ISSR|||SALES_TECH_EMKT_CHINA|||False|||</v>
          </cell>
          <cell r="C229" t="str">
            <v>V_KEYWORD_ISSR_208000024_SALES_TECH_EMKT_CHINA</v>
          </cell>
        </row>
        <row r="230">
          <cell r="A230" t="str">
            <v>Vector|||208000024|||ISSR|||SALES_TECH_EMKT_ASIAEXCHINA|||False|||</v>
          </cell>
          <cell r="C230" t="str">
            <v>V_KEYWORD_ISSR_208000024_SALES_TECH_EMKT_ASIAEXCHINA</v>
          </cell>
        </row>
        <row r="231">
          <cell r="A231" t="str">
            <v>Vector|||208000024|||ISSR|||SALES_AGRI_EMKT_GLOBAL|||False|||</v>
          </cell>
          <cell r="C231" t="str">
            <v>V_KEYWORD_ISSR_208000024_SALES_AGRI_EMKT_GLOBAL</v>
          </cell>
        </row>
        <row r="232">
          <cell r="A232" t="str">
            <v>Vector|||208000024|||ISSR|||SALES_AGRI_EMKT_NO_AMERICA|||False|||</v>
          </cell>
          <cell r="C232" t="str">
            <v>V_KEYWORD_ISSR_208000024_SALES_AGRI_EMKT_NO_AMERICA</v>
          </cell>
        </row>
        <row r="233">
          <cell r="A233" t="str">
            <v>Vector|||208000024|||ISSR|||SALES_AGRI_EMKT_EAME|||False|||</v>
          </cell>
          <cell r="C233" t="str">
            <v>V_KEYWORD_ISSR_208000024_SALES_AGRI_EMKT_EAME</v>
          </cell>
        </row>
        <row r="234">
          <cell r="A234" t="str">
            <v>Vector|||208000024|||ISSR|||SALES_AGRI_EMKT_SO_AMERICA|||False|||</v>
          </cell>
          <cell r="C234" t="str">
            <v>V_KEYWORD_ISSR_208000024_SALES_AGRI_EMKT_SO_AMERICA</v>
          </cell>
        </row>
        <row r="235">
          <cell r="A235" t="str">
            <v>Vector|||208000024|||ISSR|||SALES_AGRI_EMKT_CHINA|||False|||</v>
          </cell>
          <cell r="C235" t="str">
            <v>V_KEYWORD_ISSR_208000024_SALES_AGRI_EMKT_CHINA</v>
          </cell>
        </row>
        <row r="236">
          <cell r="A236" t="str">
            <v>Vector|||208000024|||ISSR|||SALES_AGRI_EMKT_ASIAEXCHINA|||False|||</v>
          </cell>
          <cell r="C236" t="str">
            <v>V_KEYWORD_ISSR_208000024_SALES_AGRI_EMKT_ASIAEXCHINA</v>
          </cell>
        </row>
        <row r="237">
          <cell r="A237" t="str">
            <v>Vector|||208000024|||ISSR|||SALES_GNRL_IND_EMKT_GLOBAL|||False|||</v>
          </cell>
          <cell r="C237" t="str">
            <v>V_KEYWORD_ISSR_208000024_SALES_GNRL_IND_EMKT_GLOBAL</v>
          </cell>
        </row>
        <row r="238">
          <cell r="A238" t="str">
            <v>Vector|||208000024|||ISSR|||SALES_GNRL_IND_EMKT_NO_AMERICA|||False|||</v>
          </cell>
          <cell r="C238" t="str">
            <v>V_KEYWORD_ISSR_208000024_SALES_GNRL_IND_EMKT_NO_AMERICA</v>
          </cell>
        </row>
        <row r="239">
          <cell r="A239" t="str">
            <v>Vector|||208000024|||ISSR|||SALES_GNRL_IND_EMKT_EAME|||False|||</v>
          </cell>
          <cell r="C239" t="str">
            <v>V_KEYWORD_ISSR_208000024_SALES_GNRL_IND_EMKT_EAME</v>
          </cell>
        </row>
        <row r="240">
          <cell r="A240" t="str">
            <v>Vector|||208000024|||ISSR|||SALES_GNRL_IND_EMKT_SO_AMERICA|||False|||</v>
          </cell>
          <cell r="C240" t="str">
            <v>V_KEYWORD_ISSR_208000024_SALES_GNRL_IND_EMKT_SO_AMERICA</v>
          </cell>
        </row>
        <row r="241">
          <cell r="A241" t="str">
            <v>Vector|||208000024|||ISSR|||SALES_GNRL_IND_EMKT_CHINA|||False|||</v>
          </cell>
          <cell r="C241" t="str">
            <v>V_KEYWORD_ISSR_208000024_SALES_GNRL_IND_EMKT_CHINA</v>
          </cell>
        </row>
        <row r="242">
          <cell r="A242" t="str">
            <v>Vector|||208000024|||ISSR|||SALES_GNRL_IND_EMKT_ASIAEXCHINA|||False|||</v>
          </cell>
          <cell r="C242" t="str">
            <v>V_KEYWORD_ISSR_208000024_SALES_GNRL_IND_EMKT_ASIAEXCHINA</v>
          </cell>
        </row>
        <row r="243">
          <cell r="A243" t="str">
            <v>Vector|||208000024|||ISSR|||SALES_AMKT_EMKT_GLOBAL|||False|||</v>
          </cell>
          <cell r="C243" t="str">
            <v>V_KEYWORD_ISSR_208000024_SALES_AMKT_EMKT_GLOBAL</v>
          </cell>
        </row>
        <row r="244">
          <cell r="A244" t="str">
            <v>Vector|||208000024|||ISSR|||SALES_EMKT_AEROSPC|||False|||</v>
          </cell>
          <cell r="C244" t="str">
            <v>V_KEYWORD_ISSR_208000024_SALES_EMKT_AEROSPC</v>
          </cell>
        </row>
        <row r="245">
          <cell r="A245" t="str">
            <v>Vector|||208000024|||ISSR|||SALES_EMRKT_AGRI|||False|||</v>
          </cell>
          <cell r="C245" t="str">
            <v>V_KEYWORD_ISSR_208000024_SALES_EMRKT_AGRI</v>
          </cell>
        </row>
        <row r="246">
          <cell r="A246" t="str">
            <v>Vector|||208000024|||ISSR|||SALES_EMRKT_CHEM|||False|||</v>
          </cell>
          <cell r="C246" t="str">
            <v>V_KEYWORD_ISSR_208000024_SALES_EMRKT_CHEM</v>
          </cell>
        </row>
        <row r="247">
          <cell r="A247" t="str">
            <v>Vector|||208000024|||ISSR|||SALES_EMKT_CONS|||False|||</v>
          </cell>
          <cell r="C247" t="str">
            <v>V_KEYWORD_ISSR_208000024_SALES_EMKT_CONS</v>
          </cell>
        </row>
        <row r="248">
          <cell r="A248" t="str">
            <v>Vector|||208000024|||ISSR|||SALES_EMRKT_ELEC|||False|||</v>
          </cell>
          <cell r="C248" t="str">
            <v>V_KEYWORD_ISSR_208000024_SALES_EMRKT_ELEC</v>
          </cell>
        </row>
        <row r="249">
          <cell r="A249" t="str">
            <v>Vector|||208000024|||ISSR|||SALES_EMKT_GNRL_IND|||False|||</v>
          </cell>
          <cell r="C249" t="str">
            <v>V_KEYWORD_ISSR_208000024_SALES_EMKT_GNRL_IND</v>
          </cell>
        </row>
        <row r="250">
          <cell r="A250" t="str">
            <v>Vector|||208000024|||ISSR|||SALES_EMRKT_MARINE|||False|||</v>
          </cell>
          <cell r="C250" t="str">
            <v>V_KEYWORD_ISSR_208000024_SALES_EMRKT_MARINE</v>
          </cell>
        </row>
        <row r="251">
          <cell r="A251" t="str">
            <v>Vector|||208000024|||ISSR|||SALES_EMRKT_NC|||False|||</v>
          </cell>
          <cell r="C251" t="str">
            <v>V_KEYWORD_ISSR_208000024_SALES_EMRKT_NC</v>
          </cell>
        </row>
        <row r="252">
          <cell r="A252" t="str">
            <v>Vector|||208000024|||ISSR|||SALES_EMKT_MED|||False|||</v>
          </cell>
          <cell r="C252" t="str">
            <v>V_KEYWORD_ISSR_208000024_SALES_EMKT_MED</v>
          </cell>
        </row>
        <row r="253">
          <cell r="A253" t="str">
            <v>Vector|||208000024|||ISSR|||SALES_EMKT_MINING|||False|||</v>
          </cell>
          <cell r="C253" t="str">
            <v>V_KEYWORD_ISSR_208000024_SALES_EMKT_MINING</v>
          </cell>
        </row>
        <row r="254">
          <cell r="A254" t="str">
            <v>Vector|||208000024|||ISSR|||SALES_EMKT_NRES_CONSRT|||False|||</v>
          </cell>
          <cell r="C254" t="str">
            <v>V_KEYWORD_ISSR_208000024_SALES_EMKT_NRES_CONSRT</v>
          </cell>
        </row>
        <row r="255">
          <cell r="A255" t="str">
            <v>Vector|||208000024|||ISSR|||SALES_EMKT_OIL_GAS|||False|||</v>
          </cell>
          <cell r="C255" t="str">
            <v>V_KEYWORD_ISSR_208000024_SALES_EMKT_OIL_GAS</v>
          </cell>
        </row>
        <row r="256">
          <cell r="A256" t="str">
            <v>Vector|||208000024|||ISSR|||SALES_EMKT_PWR_GEN|||False|||</v>
          </cell>
          <cell r="C256" t="str">
            <v>V_KEYWORD_ISSR_208000024_SALES_EMKT_PWR_GEN</v>
          </cell>
        </row>
        <row r="257">
          <cell r="A257" t="str">
            <v>Vector|||208000024|||ISSR|||SALES_EMRKT_PULP|||False|||</v>
          </cell>
          <cell r="C257" t="str">
            <v>V_KEYWORD_ISSR_208000024_SALES_EMRKT_PULP</v>
          </cell>
        </row>
        <row r="258">
          <cell r="A258" t="str">
            <v>Vector|||208000024|||ISSR|||SALES_EMKT_RAIL|||False|||</v>
          </cell>
          <cell r="C258" t="str">
            <v>V_KEYWORD_ISSR_208000024_SALES_EMKT_RAIL</v>
          </cell>
        </row>
        <row r="259">
          <cell r="A259" t="str">
            <v>Vector|||208000024|||ISSR|||SALES_EMKT_RES_CONSRT|||False|||</v>
          </cell>
          <cell r="C259" t="str">
            <v>V_KEYWORD_ISSR_208000024_SALES_EMKT_RES_CONSRT</v>
          </cell>
        </row>
        <row r="260">
          <cell r="A260" t="str">
            <v>Vector|||208000024|||ISSR|||SALES_EMKT_TRN_DIST|||False|||</v>
          </cell>
          <cell r="C260" t="str">
            <v>V_KEYWORD_ISSR_208000024_SALES_EMKT_TRN_DIST</v>
          </cell>
        </row>
        <row r="261">
          <cell r="A261" t="str">
            <v>Vector|||208000024|||ISSR|||SALES_EMKT_TECH_TELCO|||False|||</v>
          </cell>
          <cell r="C261" t="str">
            <v>V_KEYWORD_ISSR_208000024_SALES_EMKT_TECH_TELCO</v>
          </cell>
        </row>
        <row r="262">
          <cell r="A262" t="str">
            <v>Vector|||208000024|||ISSR|||SALES_EMKT_VHCLE|||False|||</v>
          </cell>
          <cell r="C262" t="str">
            <v>V_KEYWORD_ISSR_208000024_SALES_EMKT_VHCLE</v>
          </cell>
        </row>
        <row r="264">
          <cell r="A264" t="str">
            <v>Vector|||208000024|||ISSR|||SALES_CANADA|||False|||</v>
          </cell>
          <cell r="C264" t="str">
            <v>V_KEYWORD_ISSR_208000024_SALES_CANADA</v>
          </cell>
        </row>
        <row r="265">
          <cell r="A265" t="str">
            <v>Vector|||208000024|||ISSR|||SALES_US|||False|||</v>
          </cell>
          <cell r="C265" t="str">
            <v>V_KEYWORD_ISSR_208000024_SALES_US</v>
          </cell>
        </row>
        <row r="266">
          <cell r="A266" t="str">
            <v>Vector|||208000024|||ISSR|||SALES_OTH_NO_AMER|||False|||</v>
          </cell>
          <cell r="C266" t="str">
            <v>V_KEYWORD_ISSR_208000024_SALES_OTH_NO_AMER</v>
          </cell>
        </row>
        <row r="267">
          <cell r="A267" t="str">
            <v>Vector|||208000024|||ISSR|||SALES_ARGENTINA|||False|||</v>
          </cell>
          <cell r="C267" t="str">
            <v>V_KEYWORD_ISSR_208000024_SALES_ARGENTINA</v>
          </cell>
        </row>
        <row r="268">
          <cell r="A268" t="str">
            <v>Vector|||208000024|||ISSR|||SALES_BRAZIL|||False|||</v>
          </cell>
          <cell r="C268" t="str">
            <v>V_KEYWORD_ISSR_208000024_SALES_BRAZIL</v>
          </cell>
        </row>
        <row r="269">
          <cell r="A269" t="str">
            <v>Vector|||208000024|||ISSR|||SALES_CHILE|||False|||</v>
          </cell>
          <cell r="C269" t="str">
            <v>V_KEYWORD_ISSR_208000024_SALES_CHILE</v>
          </cell>
        </row>
        <row r="270">
          <cell r="A270" t="str">
            <v>Vector|||208000024|||ISSR|||SALES_COLOMBIA|||False|||</v>
          </cell>
          <cell r="C270" t="str">
            <v>V_KEYWORD_ISSR_208000024_SALES_COLOMBIA</v>
          </cell>
        </row>
        <row r="271">
          <cell r="A271" t="str">
            <v>Vector|||208000024|||ISSR|||SALES_MEXICO|||False|||</v>
          </cell>
          <cell r="C271" t="str">
            <v>V_KEYWORD_ISSR_208000024_SALES_MEXICO</v>
          </cell>
        </row>
        <row r="272">
          <cell r="A272" t="str">
            <v>Vector|||208000024|||ISSR|||SALES_VENEZUELA|||False|||</v>
          </cell>
          <cell r="C272" t="str">
            <v>V_KEYWORD_ISSR_208000024_SALES_VENEZUELA</v>
          </cell>
        </row>
        <row r="273">
          <cell r="A273" t="str">
            <v>Vector|||208000024|||ISSR|||SALES_OTH_LATAM|||False|||</v>
          </cell>
          <cell r="C273" t="str">
            <v>V_KEYWORD_ISSR_208000024_SALES_OTH_LATAM</v>
          </cell>
        </row>
        <row r="274">
          <cell r="A274" t="str">
            <v>Vector|||208000024|||ISSR|||SALES_AUSTRIA|||False|||</v>
          </cell>
          <cell r="C274" t="str">
            <v>V_KEYWORD_ISSR_208000024_SALES_AUSTRIA</v>
          </cell>
        </row>
        <row r="275">
          <cell r="A275" t="str">
            <v>Vector|||208000024|||ISSR|||SALES_BEL|||False|||</v>
          </cell>
          <cell r="C275" t="str">
            <v>V_KEYWORD_ISSR_208000024_SALES_BEL</v>
          </cell>
        </row>
        <row r="276">
          <cell r="A276" t="str">
            <v>Vector|||208000024|||ISSR|||SALES_FRA|||False|||</v>
          </cell>
          <cell r="C276" t="str">
            <v>V_KEYWORD_ISSR_208000024_SALES_FRA</v>
          </cell>
        </row>
        <row r="277">
          <cell r="A277" t="str">
            <v>Vector|||208000024|||ISSR|||SALES_GER|||False|||</v>
          </cell>
          <cell r="C277" t="str">
            <v>V_KEYWORD_ISSR_208000024_SALES_GER</v>
          </cell>
        </row>
        <row r="278">
          <cell r="A278" t="str">
            <v>Vector|||208000024|||ISSR|||SALES_GRE|||False|||</v>
          </cell>
          <cell r="C278" t="str">
            <v>V_KEYWORD_ISSR_208000024_SALES_GRE</v>
          </cell>
        </row>
        <row r="279">
          <cell r="A279" t="str">
            <v>Vector|||208000024|||ISSR|||SALES_IRE|||False|||</v>
          </cell>
          <cell r="C279" t="str">
            <v>V_KEYWORD_ISSR_208000024_SALES_IRE</v>
          </cell>
        </row>
        <row r="280">
          <cell r="A280" t="str">
            <v>Vector|||208000024|||ISSR|||SALES_ITA|||False|||</v>
          </cell>
          <cell r="C280" t="str">
            <v>V_KEYWORD_ISSR_208000024_SALES_ITA</v>
          </cell>
        </row>
        <row r="281">
          <cell r="A281" t="str">
            <v>Vector|||208000024|||ISSR|||SALES_NETH|||False|||</v>
          </cell>
          <cell r="C281" t="str">
            <v>V_KEYWORD_ISSR_208000024_SALES_NETH</v>
          </cell>
        </row>
        <row r="282">
          <cell r="A282" t="str">
            <v>Vector|||208000024|||ISSR|||SALES_NOR|||False|||</v>
          </cell>
          <cell r="C282" t="str">
            <v>V_KEYWORD_ISSR_208000024_SALES_NOR</v>
          </cell>
        </row>
        <row r="283">
          <cell r="A283" t="str">
            <v>Vector|||208000024|||ISSR|||SALES_POR|||False|||</v>
          </cell>
          <cell r="C283" t="str">
            <v>V_KEYWORD_ISSR_208000024_SALES_POR</v>
          </cell>
        </row>
        <row r="284">
          <cell r="A284" t="str">
            <v>Vector|||208000024|||ISSR|||SALES_SPA|||False|||</v>
          </cell>
          <cell r="C284" t="str">
            <v>V_KEYWORD_ISSR_208000024_SALES_SPA</v>
          </cell>
        </row>
        <row r="285">
          <cell r="A285" t="str">
            <v>Vector|||208000024|||ISSR|||SALES_SWE|||False|||</v>
          </cell>
          <cell r="C285" t="str">
            <v>V_KEYWORD_ISSR_208000024_SALES_SWE</v>
          </cell>
        </row>
        <row r="286">
          <cell r="A286" t="str">
            <v>Vector|||208000024|||ISSR|||SALES_SWIT|||False|||</v>
          </cell>
          <cell r="C286" t="str">
            <v>V_KEYWORD_ISSR_208000024_SALES_SWIT</v>
          </cell>
        </row>
        <row r="287">
          <cell r="A287" t="str">
            <v>Vector|||208000024|||ISSR|||SALES_UK|||False|||</v>
          </cell>
          <cell r="C287" t="str">
            <v>V_KEYWORD_ISSR_208000024_SALES_UK</v>
          </cell>
        </row>
        <row r="288">
          <cell r="A288" t="str">
            <v>Vector|||208000024|||ISSR|||SALES_OTH_WEST_EURO|||False|||</v>
          </cell>
          <cell r="C288" t="str">
            <v>V_KEYWORD_ISSR_208000024_SALES_OTH_WEST_EURO</v>
          </cell>
        </row>
        <row r="289">
          <cell r="A289" t="str">
            <v>Vector|||208000024|||ISSR|||SALES_POLAND|||False|||</v>
          </cell>
          <cell r="C289" t="str">
            <v>V_KEYWORD_ISSR_208000024_SALES_POLAND</v>
          </cell>
        </row>
        <row r="290">
          <cell r="A290" t="str">
            <v>Vector|||208000024|||ISSR|||SALES_RUSSIA|||False|||</v>
          </cell>
          <cell r="C290" t="str">
            <v>V_KEYWORD_ISSR_208000024_SALES_RUSSIA</v>
          </cell>
        </row>
        <row r="291">
          <cell r="A291" t="str">
            <v>Vector|||208000024|||ISSR|||SALES_TURKEY|||False|||</v>
          </cell>
          <cell r="C291" t="str">
            <v>V_KEYWORD_ISSR_208000024_SALES_TURKEY</v>
          </cell>
        </row>
        <row r="292">
          <cell r="A292" t="str">
            <v>Vector|||208000024|||ISSR|||SALES_OTH_CEE|||False|||</v>
          </cell>
          <cell r="C292" t="str">
            <v>V_KEYWORD_ISSR_208000024_SALES_OTH_CEE</v>
          </cell>
        </row>
        <row r="293">
          <cell r="A293" t="str">
            <v>Vector|||208000024|||ISSR|||SALES_SAUDI_ARABIA|||False|||</v>
          </cell>
          <cell r="C293" t="str">
            <v>V_KEYWORD_ISSR_208000024_SALES_SAUDI_ARABIA</v>
          </cell>
        </row>
        <row r="294">
          <cell r="A294" t="str">
            <v>Vector|||208000024|||ISSR|||SALES_UAE|||False|||</v>
          </cell>
          <cell r="C294" t="str">
            <v>V_KEYWORD_ISSR_208000024_SALES_UAE</v>
          </cell>
        </row>
        <row r="295">
          <cell r="A295" t="str">
            <v>Vector|||208000024|||ISSR|||SALES_OTH_ME|||False|||</v>
          </cell>
          <cell r="C295" t="str">
            <v>V_KEYWORD_ISSR_208000024_SALES_OTH_ME</v>
          </cell>
        </row>
        <row r="296">
          <cell r="A296" t="str">
            <v>Vector|||208000024|||ISSR|||SALES_NIGERIA|||False|||</v>
          </cell>
          <cell r="C296" t="str">
            <v>V_KEYWORD_ISSR_208000024_SALES_NIGERIA</v>
          </cell>
        </row>
        <row r="297">
          <cell r="A297" t="str">
            <v>Vector|||208000024|||ISSR|||SALES_SO_AFRICA|||False|||</v>
          </cell>
          <cell r="C297" t="str">
            <v>V_KEYWORD_ISSR_208000024_SALES_SO_AFRICA</v>
          </cell>
        </row>
        <row r="298">
          <cell r="A298" t="str">
            <v>Vector|||208000024|||ISSR|||SALES_OTH_AFRICA|||False|||</v>
          </cell>
          <cell r="C298" t="str">
            <v>V_KEYWORD_ISSR_208000024_SALES_OTH_AFRICA</v>
          </cell>
        </row>
        <row r="299">
          <cell r="A299" t="str">
            <v>Vector|||208000024|||ISSR|||SALES_HONG_KONG|||False|||</v>
          </cell>
          <cell r="C299" t="str">
            <v>V_KEYWORD_ISSR_208000024_SALES_HONG_KONG</v>
          </cell>
        </row>
        <row r="300">
          <cell r="A300" t="str">
            <v>Vector|||208000024|||ISSR|||SALES_JAPAN|||False|||</v>
          </cell>
          <cell r="C300" t="str">
            <v>V_KEYWORD_ISSR_208000024_SALES_JAPAN</v>
          </cell>
        </row>
        <row r="301">
          <cell r="A301" t="str">
            <v>Vector|||208000024|||ISSR|||SALES_SINGAPORE|||False|||</v>
          </cell>
          <cell r="C301" t="str">
            <v>V_KEYWORD_ISSR_208000024_SALES_SINGAPORE</v>
          </cell>
        </row>
        <row r="302">
          <cell r="A302" t="str">
            <v>Vector|||208000024|||ISSR|||SALES_SK|||False|||</v>
          </cell>
          <cell r="C302" t="str">
            <v>V_KEYWORD_ISSR_208000024_SALES_SK</v>
          </cell>
        </row>
        <row r="303">
          <cell r="A303" t="str">
            <v>Vector|||208000024|||ISSR|||SALES_TAIWAN|||False|||</v>
          </cell>
          <cell r="C303" t="str">
            <v>V_KEYWORD_ISSR_208000024_SALES_TAIWAN</v>
          </cell>
        </row>
        <row r="304">
          <cell r="A304" t="str">
            <v>Vector|||208000024|||ISSR|||SALES_OTH_DEV_ASIA|||False|||</v>
          </cell>
          <cell r="C304" t="str">
            <v>V_KEYWORD_ISSR_208000024_SALES_OTH_DEV_ASIA</v>
          </cell>
        </row>
        <row r="305">
          <cell r="A305" t="str">
            <v>Vector|||208000024|||ISSR|||SALES_CHINA|||False|||</v>
          </cell>
          <cell r="C305" t="str">
            <v>V_KEYWORD_ISSR_208000024_SALES_CHINA</v>
          </cell>
        </row>
        <row r="306">
          <cell r="A306" t="str">
            <v>Vector|||208000024|||ISSR|||SALES_INDIA|||False|||</v>
          </cell>
          <cell r="C306" t="str">
            <v>V_KEYWORD_ISSR_208000024_SALES_INDIA</v>
          </cell>
        </row>
        <row r="307">
          <cell r="A307" t="str">
            <v>Vector|||208000024|||ISSR|||SALES_INDONESIA|||False|||</v>
          </cell>
          <cell r="C307" t="str">
            <v>V_KEYWORD_ISSR_208000024_SALES_INDONESIA</v>
          </cell>
        </row>
        <row r="308">
          <cell r="A308" t="str">
            <v>Vector|||208000024|||ISSR|||SALES_THAILAND|||False|||</v>
          </cell>
          <cell r="C308" t="str">
            <v>V_KEYWORD_ISSR_208000024_SALES_THAILAND</v>
          </cell>
        </row>
        <row r="309">
          <cell r="A309" t="str">
            <v>Vector|||208000024|||ISSR|||SALES_OTH_EMERG_ASIA|||False|||</v>
          </cell>
          <cell r="C309" t="str">
            <v>V_KEYWORD_ISSR_208000024_SALES_OTH_EMERG_ASIA</v>
          </cell>
        </row>
        <row r="310">
          <cell r="A310" t="str">
            <v>Vector|||208000024|||ISSR|||SALES_AUSTRA|||False|||</v>
          </cell>
          <cell r="C310" t="str">
            <v>V_KEYWORD_ISSR_208000024_SALES_AUSTRA</v>
          </cell>
        </row>
        <row r="311">
          <cell r="A311" t="str">
            <v>Vector|||208000024|||ISSR|||SALES_NZ|||False|||</v>
          </cell>
          <cell r="C311" t="str">
            <v>V_KEYWORD_ISSR_208000024_SALES_NZ</v>
          </cell>
        </row>
        <row r="312">
          <cell r="A312" t="str">
            <v>Vector|||208000024|||ISSR|||SALES_OTHER|||False|||</v>
          </cell>
          <cell r="C312" t="str">
            <v>V_KEYWORD_ISSR_208000024_SALES_OTHER</v>
          </cell>
        </row>
        <row r="313">
          <cell r="A313" t="str">
            <v>Vector|||208000024|||ISSR|||COGS_PCT_US|||False|||</v>
          </cell>
          <cell r="C313" t="str">
            <v>V_KEYWORD_ISSR_208000024_COGS_PCT_US</v>
          </cell>
        </row>
        <row r="314">
          <cell r="A314" t="str">
            <v>Vector|||208000024|||ISSR|||COGS_PCT_ROW|||False|||</v>
          </cell>
          <cell r="C314" t="str">
            <v>V_KEYWORD_ISSR_208000024_COGS_PCT_ROW</v>
          </cell>
        </row>
        <row r="315">
          <cell r="A315" t="str">
            <v>Vector|||208000024|||ISSR|||SGA_PCT_US|||False|||</v>
          </cell>
          <cell r="C315" t="str">
            <v>V_KEYWORD_ISSR_208000024_SGA_PCT_US</v>
          </cell>
        </row>
        <row r="316">
          <cell r="A316" t="str">
            <v>Vector|||208000024|||ISSR|||SGA_PCT_ROW|||False|||</v>
          </cell>
          <cell r="C316" t="str">
            <v>V_KEYWORD_ISSR_208000024_SGA_PCT_ROW</v>
          </cell>
        </row>
        <row r="317">
          <cell r="A317" t="str">
            <v>Vector|||208000024|||ISSR|||SALES_CONS|||False|||</v>
          </cell>
          <cell r="C317" t="str">
            <v>V_KEYWORD_ISSR_208000024_SALES_CONS</v>
          </cell>
        </row>
        <row r="318">
          <cell r="A318" t="str">
            <v>Vector|||208000024|||ISSR|||SALES_IND|||False|||</v>
          </cell>
          <cell r="C318" t="str">
            <v>V_KEYWORD_ISSR_208000024_SALES_IND</v>
          </cell>
        </row>
        <row r="319">
          <cell r="A319" t="str">
            <v>Vector|||208000024|||ISSR|||SALES_GOV|||False|||</v>
          </cell>
          <cell r="C319" t="str">
            <v>V_KEYWORD_ISSR_208000024_SALES_GOV</v>
          </cell>
        </row>
        <row r="320">
          <cell r="A320" t="str">
            <v>Vector|||208000024|||ISSR|||SALES_FINAN|||False|||</v>
          </cell>
          <cell r="C320" t="str">
            <v>V_KEYWORD_ISSR_208000024_SALES_FINAN</v>
          </cell>
        </row>
        <row r="321">
          <cell r="A321" t="str">
            <v>Vector|||208000024|||ISSR|||SALES_OIL_GAS|||False|||</v>
          </cell>
          <cell r="C321" t="str">
            <v>V_KEYWORD_ISSR_208000024_SALES_OIL_GAS</v>
          </cell>
        </row>
        <row r="323">
          <cell r="A323" t="str">
            <v>Vector|||208000024|||ISSR|||SALES_OIL_PETRO_FUEL|||False|||</v>
          </cell>
          <cell r="C323" t="str">
            <v>V_KEYWORD_ISSR_208000024_SALES_OIL_PETRO_FUEL</v>
          </cell>
        </row>
        <row r="324">
          <cell r="A324" t="str">
            <v>Vector|||208000024|||ISSR|||SALES_OIL_DERIV_NGLS_PLASTICS|||False|||</v>
          </cell>
          <cell r="C324" t="str">
            <v>V_KEYWORD_ISSR_208000024_SALES_OIL_DERIV_NGLS_PLASTICS</v>
          </cell>
        </row>
        <row r="325">
          <cell r="A325" t="str">
            <v>Vector|||208000024|||ISSR|||SALES_NAT_GAS|||False|||</v>
          </cell>
          <cell r="C325" t="str">
            <v>V_KEYWORD_ISSR_208000024_SALES_NAT_GAS</v>
          </cell>
        </row>
        <row r="326">
          <cell r="A326" t="str">
            <v>Vector|||208000024|||ISSR|||SALES_GOLD|||False|||</v>
          </cell>
          <cell r="C326" t="str">
            <v>V_KEYWORD_ISSR_208000024_SALES_GOLD</v>
          </cell>
        </row>
        <row r="327">
          <cell r="A327" t="str">
            <v>Vector|||208000024|||ISSR|||SALES_COPPER|||False|||</v>
          </cell>
          <cell r="C327" t="str">
            <v>V_KEYWORD_ISSR_208000024_SALES_COPPER</v>
          </cell>
        </row>
        <row r="328">
          <cell r="A328" t="str">
            <v>Vector|||208000024|||ISSR|||SALES_SILVER|||False|||</v>
          </cell>
          <cell r="C328" t="str">
            <v>V_KEYWORD_ISSR_208000024_SALES_SILVER</v>
          </cell>
        </row>
        <row r="329">
          <cell r="A329" t="str">
            <v>Vector|||208000024|||ISSR|||SALES_PLATINUM|||False|||</v>
          </cell>
          <cell r="C329" t="str">
            <v>V_KEYWORD_ISSR_208000024_SALES_PLATINUM</v>
          </cell>
        </row>
        <row r="330">
          <cell r="A330" t="str">
            <v>Vector|||208000024|||ISSR|||SALES_PALLADIUM|||False|||</v>
          </cell>
          <cell r="C330" t="str">
            <v>V_KEYWORD_ISSR_208000024_SALES_PALLADIUM</v>
          </cell>
        </row>
        <row r="331">
          <cell r="A331" t="str">
            <v>Vector|||208000024|||ISSR|||SALES_ALUMINIUM|||False|||</v>
          </cell>
          <cell r="C331" t="str">
            <v>V_KEYWORD_ISSR_208000024_SALES_ALUMINIUM</v>
          </cell>
        </row>
        <row r="332">
          <cell r="A332" t="str">
            <v>Vector|||208000024|||ISSR|||SALES_NICKEL|||False|||</v>
          </cell>
          <cell r="C332" t="str">
            <v>V_KEYWORD_ISSR_208000024_SALES_NICKEL</v>
          </cell>
        </row>
        <row r="333">
          <cell r="A333" t="str">
            <v>Vector|||208000024|||ISSR|||SALES_ZINC|||False|||</v>
          </cell>
          <cell r="C333" t="str">
            <v>V_KEYWORD_ISSR_208000024_SALES_ZINC</v>
          </cell>
        </row>
        <row r="334">
          <cell r="A334" t="str">
            <v>Vector|||208000024|||ISSR|||SALES_STEEL|||False|||</v>
          </cell>
          <cell r="C334" t="str">
            <v>V_KEYWORD_ISSR_208000024_SALES_STEEL</v>
          </cell>
        </row>
        <row r="335">
          <cell r="A335" t="str">
            <v>Vector|||208000024|||ISSR|||SALES_TIN|||False|||</v>
          </cell>
          <cell r="C335" t="str">
            <v>V_KEYWORD_ISSR_208000024_SALES_TIN</v>
          </cell>
        </row>
        <row r="336">
          <cell r="A336" t="str">
            <v>Vector|||208000024|||ISSR|||SALES_IRON_ORE|||False|||</v>
          </cell>
          <cell r="C336" t="str">
            <v>V_KEYWORD_ISSR_208000024_SALES_IRON_ORE</v>
          </cell>
        </row>
        <row r="337">
          <cell r="A337" t="str">
            <v>Vector|||208000024|||ISSR|||SALES_FERROCHROME|||False|||</v>
          </cell>
          <cell r="C337" t="str">
            <v>V_KEYWORD_ISSR_208000024_SALES_FERROCHROME</v>
          </cell>
        </row>
        <row r="338">
          <cell r="A338" t="str">
            <v>Vector|||208000024|||ISSR|||SALES_DIAMONDS|||False|||</v>
          </cell>
          <cell r="C338" t="str">
            <v>V_KEYWORD_ISSR_208000024_SALES_DIAMONDS</v>
          </cell>
        </row>
        <row r="339">
          <cell r="A339" t="str">
            <v>Vector|||208000024|||ISSR|||SALES_COAL_THERMAL|||False|||</v>
          </cell>
          <cell r="C339" t="str">
            <v>V_KEYWORD_ISSR_208000024_SALES_COAL_THERMAL</v>
          </cell>
        </row>
        <row r="340">
          <cell r="A340" t="str">
            <v>Vector|||208000024|||ISSR|||SALES_COAL_MET|||False|||</v>
          </cell>
          <cell r="C340" t="str">
            <v>V_KEYWORD_ISSR_208000024_SALES_COAL_MET</v>
          </cell>
        </row>
        <row r="341">
          <cell r="A341" t="str">
            <v>Vector|||208000024|||ISSR|||SALES_PAPER_PULP|||False|||</v>
          </cell>
          <cell r="C341" t="str">
            <v>V_KEYWORD_ISSR_208000024_SALES_PAPER_PULP</v>
          </cell>
        </row>
        <row r="342">
          <cell r="A342" t="str">
            <v>Vector|||208000024|||ISSR|||SALES_GLASS|||False|||</v>
          </cell>
          <cell r="C342" t="str">
            <v>V_KEYWORD_ISSR_208000024_SALES_GLASS</v>
          </cell>
        </row>
        <row r="343">
          <cell r="A343" t="str">
            <v>Vector|||208000024|||ISSR|||SALES_CEMENT|||False|||</v>
          </cell>
          <cell r="C343" t="str">
            <v>V_KEYWORD_ISSR_208000024_SALES_CEMENT</v>
          </cell>
        </row>
        <row r="344">
          <cell r="A344" t="str">
            <v>Vector|||208000024|||ISSR|||SALES_PALM_OIL|||False|||</v>
          </cell>
          <cell r="C344" t="str">
            <v>V_KEYWORD_ISSR_208000024_SALES_PALM_OIL</v>
          </cell>
        </row>
        <row r="345">
          <cell r="A345" t="str">
            <v>Vector|||208000024|||ISSR|||SALES_OTH_COMMODITY|||False|||</v>
          </cell>
          <cell r="C345" t="str">
            <v>V_KEYWORD_ISSR_208000024_SALES_OTH_COMMODITY</v>
          </cell>
        </row>
        <row r="346">
          <cell r="A346" t="str">
            <v>Vector|||208000024|||ISSR|||SALES_OTH_SALES_SOURCES|||False|||</v>
          </cell>
          <cell r="C346" t="str">
            <v>V_KEYWORD_ISSR_208000024_SALES_OTH_SALES_SOURCES</v>
          </cell>
        </row>
        <row r="348">
          <cell r="A348" t="str">
            <v>Vector|||208000024|||ISSR|||EXP_OIL_PETRO_FUEL|||False|||</v>
          </cell>
          <cell r="C348" t="str">
            <v>V_KEYWORD_ISSR_208000024_EXP_OIL_PETRO_FUEL</v>
          </cell>
        </row>
        <row r="349">
          <cell r="A349" t="str">
            <v>Vector|||208000024|||ISSR|||EXP_OIL_DERIV_NGLS_PLASTICS|||False|||</v>
          </cell>
          <cell r="C349" t="str">
            <v>V_KEYWORD_ISSR_208000024_EXP_OIL_DERIV_NGLS_PLASTICS</v>
          </cell>
        </row>
        <row r="350">
          <cell r="A350" t="str">
            <v>Vector|||208000024|||ISSR|||EXP_NAT_GAS|||False|||</v>
          </cell>
          <cell r="C350" t="str">
            <v>V_KEYWORD_ISSR_208000024_EXP_NAT_GAS</v>
          </cell>
        </row>
        <row r="351">
          <cell r="A351" t="str">
            <v>Vector|||208000024|||ISSR|||EXP_GOLD|||False|||</v>
          </cell>
          <cell r="C351" t="str">
            <v>V_KEYWORD_ISSR_208000024_EXP_GOLD</v>
          </cell>
        </row>
        <row r="352">
          <cell r="A352" t="str">
            <v>Vector|||208000024|||ISSR|||EXP_COPPER|||False|||</v>
          </cell>
          <cell r="C352" t="str">
            <v>V_KEYWORD_ISSR_208000024_EXP_COPPER</v>
          </cell>
        </row>
        <row r="353">
          <cell r="A353" t="str">
            <v>Vector|||208000024|||ISSR|||EXP_SILVER|||False|||</v>
          </cell>
          <cell r="C353" t="str">
            <v>V_KEYWORD_ISSR_208000024_EXP_SILVER</v>
          </cell>
        </row>
        <row r="354">
          <cell r="A354" t="str">
            <v>Vector|||208000024|||ISSR|||EXP_PLATINUM|||False|||</v>
          </cell>
          <cell r="C354" t="str">
            <v>V_KEYWORD_ISSR_208000024_EXP_PLATINUM</v>
          </cell>
        </row>
        <row r="355">
          <cell r="A355" t="str">
            <v>Vector|||208000024|||ISSR|||EXP_PALLADIUM|||False|||</v>
          </cell>
          <cell r="C355" t="str">
            <v>V_KEYWORD_ISSR_208000024_EXP_PALLADIUM</v>
          </cell>
        </row>
        <row r="356">
          <cell r="A356" t="str">
            <v>Vector|||208000024|||ISSR|||EXP_ALUMINIUM|||False|||</v>
          </cell>
          <cell r="C356" t="str">
            <v>V_KEYWORD_ISSR_208000024_EXP_ALUMINIUM</v>
          </cell>
        </row>
        <row r="357">
          <cell r="A357" t="str">
            <v>Vector|||208000024|||ISSR|||EXP_NICKEL|||False|||</v>
          </cell>
          <cell r="C357" t="str">
            <v>V_KEYWORD_ISSR_208000024_EXP_NICKEL</v>
          </cell>
        </row>
        <row r="358">
          <cell r="A358" t="str">
            <v>Vector|||208000024|||ISSR|||EXP_ZINC|||False|||</v>
          </cell>
          <cell r="C358" t="str">
            <v>V_KEYWORD_ISSR_208000024_EXP_ZINC</v>
          </cell>
        </row>
        <row r="359">
          <cell r="A359" t="str">
            <v>Vector|||208000024|||ISSR|||EXP_STEEL|||False|||</v>
          </cell>
          <cell r="C359" t="str">
            <v>V_KEYWORD_ISSR_208000024_EXP_STEEL</v>
          </cell>
        </row>
        <row r="360">
          <cell r="A360" t="str">
            <v>Vector|||208000024|||ISSR|||EXP_TIN|||False|||</v>
          </cell>
          <cell r="C360" t="str">
            <v>V_KEYWORD_ISSR_208000024_EXP_TIN</v>
          </cell>
        </row>
        <row r="361">
          <cell r="A361" t="str">
            <v>Vector|||208000024|||ISSR|||EXP_IRON_ORE|||False|||</v>
          </cell>
          <cell r="C361" t="str">
            <v>V_KEYWORD_ISSR_208000024_EXP_IRON_ORE</v>
          </cell>
        </row>
        <row r="362">
          <cell r="A362" t="str">
            <v>Vector|||208000024|||ISSR|||EXP_FERROCHROME|||False|||</v>
          </cell>
          <cell r="C362" t="str">
            <v>V_KEYWORD_ISSR_208000024_EXP_FERROCHROME</v>
          </cell>
        </row>
        <row r="363">
          <cell r="A363" t="str">
            <v>Vector|||208000024|||ISSR|||EXP_DIAMONDS|||False|||</v>
          </cell>
          <cell r="C363" t="str">
            <v>V_KEYWORD_ISSR_208000024_EXP_DIAMONDS</v>
          </cell>
        </row>
        <row r="364">
          <cell r="A364" t="str">
            <v>Vector|||208000024|||ISSR|||EXP_PAPER_PULP|||False|||</v>
          </cell>
          <cell r="C364" t="str">
            <v>V_KEYWORD_ISSR_208000024_EXP_PAPER_PULP</v>
          </cell>
        </row>
        <row r="365">
          <cell r="A365" t="str">
            <v>Vector|||208000024|||ISSR|||EXP_LUMBER|||False|||</v>
          </cell>
          <cell r="C365" t="str">
            <v>V_KEYWORD_ISSR_208000024_EXP_LUMBER</v>
          </cell>
        </row>
        <row r="366">
          <cell r="A366" t="str">
            <v>Vector|||208000024|||ISSR|||EXP_GLASS|||False|||</v>
          </cell>
          <cell r="C366" t="str">
            <v>V_KEYWORD_ISSR_208000024_EXP_GLASS</v>
          </cell>
        </row>
        <row r="367">
          <cell r="A367" t="str">
            <v>Vector|||208000024|||ISSR|||EXP_CEMENT|||False|||</v>
          </cell>
          <cell r="C367" t="str">
            <v>V_KEYWORD_ISSR_208000024_EXP_CEMENT</v>
          </cell>
        </row>
        <row r="368">
          <cell r="A368" t="str">
            <v>Vector|||208000024|||ISSR|||EXP_RUBBER|||False|||</v>
          </cell>
          <cell r="C368" t="str">
            <v>V_KEYWORD_ISSR_208000024_EXP_RUBBER</v>
          </cell>
        </row>
        <row r="369">
          <cell r="A369" t="str">
            <v>Vector|||208000024|||ISSR|||EXP_WATER|||False|||</v>
          </cell>
          <cell r="C369" t="str">
            <v>V_KEYWORD_ISSR_208000024_EXP_WATER</v>
          </cell>
        </row>
        <row r="370">
          <cell r="A370" t="str">
            <v>Vector|||208000024|||ISSR|||EXP_OTH_COMMODITY|||False|||</v>
          </cell>
          <cell r="C370" t="str">
            <v>V_KEYWORD_ISSR_208000024_EXP_OTH_COMMODITY</v>
          </cell>
        </row>
        <row r="371">
          <cell r="A371" t="str">
            <v>Vector|||208000024|||ISSR|||EXP_OTH_COST|||False|||</v>
          </cell>
          <cell r="C371" t="str">
            <v>V_KEYWORD_ISSR_208000024_EXP_OTH_COST</v>
          </cell>
        </row>
        <row r="373">
          <cell r="A373" t="str">
            <v>Vector|||208000024|||ISSR|||SALES_FX_GPB|||False|||</v>
          </cell>
          <cell r="C373" t="str">
            <v>V_KEYWORD_ISSR_208000024_SALES_FX_GPB</v>
          </cell>
        </row>
        <row r="374">
          <cell r="A374" t="str">
            <v>Vector|||208000024|||ISSR|||SALES_FX_EUR|||False|||</v>
          </cell>
          <cell r="C374" t="str">
            <v>V_KEYWORD_ISSR_208000024_SALES_FX_EUR</v>
          </cell>
        </row>
        <row r="375">
          <cell r="A375" t="str">
            <v>Vector|||208000024|||ISSR|||SALES_FX_RUB|||False|||</v>
          </cell>
          <cell r="C375" t="str">
            <v>V_KEYWORD_ISSR_208000024_SALES_FX_RUB</v>
          </cell>
        </row>
        <row r="376">
          <cell r="A376" t="str">
            <v>Vector|||208000024|||ISSR|||SALES_FX_USD|||False|||</v>
          </cell>
          <cell r="C376" t="str">
            <v>V_KEYWORD_ISSR_208000024_SALES_FX_USD</v>
          </cell>
        </row>
        <row r="377">
          <cell r="A377" t="str">
            <v>Vector|||208000024|||ISSR|||SALES_FX_BRL|||False|||</v>
          </cell>
          <cell r="C377" t="str">
            <v>V_KEYWORD_ISSR_208000024_SALES_FX_BRL</v>
          </cell>
        </row>
        <row r="378">
          <cell r="A378" t="str">
            <v>Vector|||208000024|||ISSR|||SALES_FX_YEN|||False|||</v>
          </cell>
          <cell r="C378" t="str">
            <v>V_KEYWORD_ISSR_208000024_SALES_FX_YEN</v>
          </cell>
        </row>
        <row r="379">
          <cell r="A379" t="str">
            <v>Vector|||208000024|||ISSR|||SALES_FX_CNY|||False|||</v>
          </cell>
          <cell r="C379" t="str">
            <v>V_KEYWORD_ISSR_208000024_SALES_FX_CNY</v>
          </cell>
        </row>
        <row r="380">
          <cell r="A380" t="str">
            <v>Vector|||208000024|||ISSR|||SALES_FX_INR|||False|||</v>
          </cell>
          <cell r="C380" t="str">
            <v>V_KEYWORD_ISSR_208000024_SALES_FX_INR</v>
          </cell>
        </row>
        <row r="381">
          <cell r="A381" t="str">
            <v>Vector|||208000024|||ISSR|||SALES_FX_ZAR|||False|||</v>
          </cell>
          <cell r="C381" t="str">
            <v>V_KEYWORD_ISSR_208000024_SALES_FX_ZAR</v>
          </cell>
        </row>
        <row r="382">
          <cell r="A382" t="str">
            <v>Vector|||208000024|||ISSR|||SALES_FX_NGN|||False|||</v>
          </cell>
          <cell r="C382" t="str">
            <v>V_KEYWORD_ISSR_208000024_SALES_FX_NGN</v>
          </cell>
        </row>
        <row r="383">
          <cell r="A383" t="str">
            <v>Vector|||208000024|||ISSR|||SALES_FX_CHF|||False|||</v>
          </cell>
          <cell r="C383" t="str">
            <v>V_KEYWORD_ISSR_208000024_SALES_FX_CHF</v>
          </cell>
        </row>
        <row r="384">
          <cell r="A384" t="str">
            <v>Vector|||208000024|||ISSR|||SALES_FX_AED|||False|||</v>
          </cell>
          <cell r="C384" t="str">
            <v>V_KEYWORD_ISSR_208000024_SALES_FX_AED</v>
          </cell>
        </row>
        <row r="385">
          <cell r="A385" t="str">
            <v>Vector|||208000024|||ISSR|||SALES_FX_TRY|||False|||</v>
          </cell>
          <cell r="C385" t="str">
            <v>V_KEYWORD_ISSR_208000024_SALES_FX_TRY</v>
          </cell>
        </row>
        <row r="386">
          <cell r="A386" t="str">
            <v>Vector|||208000024|||ISSR|||SALES_FX_OTH|||False|||</v>
          </cell>
          <cell r="C386" t="str">
            <v>V_KEYWORD_ISSR_208000024_SALES_FX_OTH</v>
          </cell>
        </row>
        <row r="388">
          <cell r="A388" t="str">
            <v>Vector|||208000024|||ISSR|||SALES_TOT_AM|||False|||</v>
          </cell>
          <cell r="C388" t="str">
            <v>V_KEYWORD_ISSR_208000024_SALES_TOT_AM</v>
          </cell>
        </row>
        <row r="389">
          <cell r="A389" t="str">
            <v>Vector|||208000024|||ISSR|||SALES_OTH_AM|||False|||</v>
          </cell>
          <cell r="C389" t="str">
            <v>V_KEYWORD_ISSR_208000024_SALES_OTH_AM</v>
          </cell>
        </row>
        <row r="390">
          <cell r="A390" t="str">
            <v>Vector|||208000024|||ISSR|||SALES_TOT_EMEA|||False|||</v>
          </cell>
          <cell r="C390" t="str">
            <v>V_KEYWORD_ISSR_208000024_SALES_TOT_EMEA</v>
          </cell>
        </row>
        <row r="391">
          <cell r="A391" t="str">
            <v>Vector|||208000024|||ISSR|||SALES_EU_EX_UK|||False|||</v>
          </cell>
          <cell r="C391" t="str">
            <v>V_KEYWORD_ISSR_208000024_SALES_EU_EX_UK</v>
          </cell>
        </row>
        <row r="392">
          <cell r="A392" t="str">
            <v>Vector|||208000024|||ISSR|||SALES_OTH_EU_EX_UK|||False|||</v>
          </cell>
          <cell r="C392" t="str">
            <v>V_KEYWORD_ISSR_208000024_SALES_OTH_EU_EX_UK</v>
          </cell>
        </row>
        <row r="393">
          <cell r="A393" t="str">
            <v>Vector|||208000024|||ISSR|||SALES_CEE|||False|||</v>
          </cell>
          <cell r="C393" t="str">
            <v>V_KEYWORD_ISSR_208000024_SALES_CEE</v>
          </cell>
        </row>
        <row r="394">
          <cell r="A394" t="str">
            <v>Vector|||208000024|||ISSR|||SALES_ME|||False|||</v>
          </cell>
          <cell r="C394" t="str">
            <v>V_KEYWORD_ISSR_208000024_SALES_ME</v>
          </cell>
        </row>
        <row r="395">
          <cell r="A395" t="str">
            <v>Vector|||208000024|||ISSR|||SALES_TOT_AFRICA|||False|||</v>
          </cell>
          <cell r="C395" t="str">
            <v>V_KEYWORD_ISSR_208000024_SALES_TOT_AFRICA</v>
          </cell>
        </row>
        <row r="396">
          <cell r="A396" t="str">
            <v>Vector|||208000024|||ISSR|||SALES_OTH_EMEA|||False|||</v>
          </cell>
          <cell r="C396" t="str">
            <v>V_KEYWORD_ISSR_208000024_SALES_OTH_EMEA</v>
          </cell>
        </row>
        <row r="397">
          <cell r="A397" t="str">
            <v>Vector|||208000024|||ISSR|||SALES_TOT_ASIA|||False|||</v>
          </cell>
          <cell r="C397" t="str">
            <v>V_KEYWORD_ISSR_208000024_SALES_TOT_ASIA</v>
          </cell>
        </row>
        <row r="398">
          <cell r="A398" t="str">
            <v>Vector|||208000024|||ISSR|||SALES_OTH_AEJ|||False|||</v>
          </cell>
          <cell r="C398" t="str">
            <v>V_KEYWORD_ISSR_208000024_SALES_OTH_AEJ</v>
          </cell>
        </row>
        <row r="399">
          <cell r="A399" t="str">
            <v>Vector|||208000024|||ISSR|||IND_SALES_BRAZIL|||False|||</v>
          </cell>
          <cell r="C399" t="str">
            <v>V_KEYWORD_ISSR_208000024_IND_SALES_BRAZIL</v>
          </cell>
        </row>
        <row r="400">
          <cell r="A400" t="str">
            <v>Vector|||208000024|||ISSR|||IND_SALES_US|||False|||</v>
          </cell>
          <cell r="C400" t="str">
            <v>V_KEYWORD_ISSR_208000024_IND_SALES_US</v>
          </cell>
        </row>
        <row r="401">
          <cell r="A401" t="str">
            <v>Vector|||208000024|||ISSR|||IND_SALES_OTH_AM|||False|||</v>
          </cell>
          <cell r="C401" t="str">
            <v>V_KEYWORD_ISSR_208000024_IND_SALES_OTH_AM</v>
          </cell>
        </row>
        <row r="402">
          <cell r="A402" t="str">
            <v>Vector|||208000024|||ISSR|||IND_SALES_TOT_AM|||False|||</v>
          </cell>
          <cell r="C402" t="str">
            <v>V_KEYWORD_ISSR_208000024_IND_SALES_TOT_AM</v>
          </cell>
        </row>
        <row r="403">
          <cell r="A403" t="str">
            <v>Vector|||208000024|||ISSR|||IND_SALES_FRA|||False|||</v>
          </cell>
          <cell r="C403" t="str">
            <v>V_KEYWORD_ISSR_208000024_IND_SALES_FRA</v>
          </cell>
        </row>
        <row r="404">
          <cell r="A404" t="str">
            <v>Vector|||208000024|||ISSR|||IND_SALES_GER|||False|||</v>
          </cell>
          <cell r="C404" t="str">
            <v>V_KEYWORD_ISSR_208000024_IND_SALES_GER</v>
          </cell>
        </row>
        <row r="405">
          <cell r="A405" t="str">
            <v>Vector|||208000024|||ISSR|||IND_SALES_ITA|||False|||</v>
          </cell>
          <cell r="C405" t="str">
            <v>V_KEYWORD_ISSR_208000024_IND_SALES_ITA</v>
          </cell>
        </row>
        <row r="406">
          <cell r="A406" t="str">
            <v>Vector|||208000024|||ISSR|||IND_SALES_SPA|||False|||</v>
          </cell>
          <cell r="C406" t="str">
            <v>V_KEYWORD_ISSR_208000024_IND_SALES_SPA</v>
          </cell>
        </row>
        <row r="407">
          <cell r="A407" t="str">
            <v>Vector|||208000024|||ISSR|||IND_SALES_UK|||False|||</v>
          </cell>
          <cell r="C407" t="str">
            <v>V_KEYWORD_ISSR_208000024_IND_SALES_UK</v>
          </cell>
        </row>
        <row r="408">
          <cell r="A408" t="str">
            <v>Vector|||208000024|||ISSR|||IND_SALES_EU_EX_UK|||False|||</v>
          </cell>
          <cell r="C408" t="str">
            <v>V_KEYWORD_ISSR_208000024_IND_SALES_EU_EX_UK</v>
          </cell>
        </row>
        <row r="409">
          <cell r="A409" t="str">
            <v>Vector|||208000024|||ISSR|||IND_SALES_OTH_EU_EX_UK|||False|||</v>
          </cell>
          <cell r="C409" t="str">
            <v>V_KEYWORD_ISSR_208000024_IND_SALES_OTH_EU_EX_UK</v>
          </cell>
        </row>
        <row r="410">
          <cell r="A410" t="str">
            <v>Vector|||208000024|||ISSR|||IND_SALES_RUSSIA|||False|||</v>
          </cell>
          <cell r="C410" t="str">
            <v>V_KEYWORD_ISSR_208000024_IND_SALES_RUSSIA</v>
          </cell>
        </row>
        <row r="411">
          <cell r="A411" t="str">
            <v>Vector|||208000024|||ISSR|||IND_SALES_CEE|||False|||</v>
          </cell>
          <cell r="C411" t="str">
            <v>V_KEYWORD_ISSR_208000024_IND_SALES_CEE</v>
          </cell>
        </row>
        <row r="412">
          <cell r="A412" t="str">
            <v>Vector|||208000024|||ISSR|||IND_SALES_OTH_EMEA|||False|||</v>
          </cell>
          <cell r="C412" t="str">
            <v>V_KEYWORD_ISSR_208000024_IND_SALES_OTH_EMEA</v>
          </cell>
        </row>
        <row r="413">
          <cell r="A413" t="str">
            <v>Vector|||208000024|||ISSR|||IND_SALES_TOT_EMEA|||False|||</v>
          </cell>
          <cell r="C413" t="str">
            <v>V_KEYWORD_ISSR_208000024_IND_SALES_TOT_EMEA</v>
          </cell>
        </row>
        <row r="414">
          <cell r="A414" t="str">
            <v>Vector|||208000024|||ISSR|||IND_SALES_ME|||False|||</v>
          </cell>
          <cell r="C414" t="str">
            <v>V_KEYWORD_ISSR_208000024_IND_SALES_ME</v>
          </cell>
        </row>
        <row r="415">
          <cell r="A415" t="str">
            <v>Vector|||208000024|||ISSR|||IND_SALES_NIGERIA|||False|||</v>
          </cell>
          <cell r="C415" t="str">
            <v>V_KEYWORD_ISSR_208000024_IND_SALES_NIGERIA</v>
          </cell>
        </row>
        <row r="416">
          <cell r="A416" t="str">
            <v>Vector|||208000024|||ISSR|||IND_SALES_SO_AFRICA|||False|||</v>
          </cell>
          <cell r="C416" t="str">
            <v>V_KEYWORD_ISSR_208000024_IND_SALES_SO_AFRICA</v>
          </cell>
        </row>
        <row r="417">
          <cell r="A417" t="str">
            <v>Vector|||208000024|||ISSR|||IND_SALES_OTH_AFRICA|||False|||</v>
          </cell>
          <cell r="C417" t="str">
            <v>V_KEYWORD_ISSR_208000024_IND_SALES_OTH_AFRICA</v>
          </cell>
        </row>
        <row r="418">
          <cell r="A418" t="str">
            <v>Vector|||208000024|||ISSR|||IND_SALES_TOT_AFRICA|||False|||</v>
          </cell>
          <cell r="C418" t="str">
            <v>V_KEYWORD_ISSR_208000024_IND_SALES_TOT_AFRICA</v>
          </cell>
        </row>
        <row r="419">
          <cell r="A419" t="str">
            <v>Vector|||208000024|||ISSR|||IND_SALES_CHINA|||False|||</v>
          </cell>
          <cell r="C419" t="str">
            <v>V_KEYWORD_ISSR_208000024_IND_SALES_CHINA</v>
          </cell>
        </row>
        <row r="420">
          <cell r="A420" t="str">
            <v>Vector|||208000024|||ISSR|||IND_SALES_INDIA|||False|||</v>
          </cell>
          <cell r="C420" t="str">
            <v>V_KEYWORD_ISSR_208000024_IND_SALES_INDIA</v>
          </cell>
        </row>
        <row r="421">
          <cell r="A421" t="str">
            <v>Vector|||208000024|||ISSR|||IND_SALES_JAPAN|||False|||</v>
          </cell>
          <cell r="C421" t="str">
            <v>V_KEYWORD_ISSR_208000024_IND_SALES_JAPAN</v>
          </cell>
        </row>
        <row r="422">
          <cell r="A422" t="str">
            <v>Vector|||208000024|||ISSR|||IND_SALES_OTH_AEJ|||False|||</v>
          </cell>
          <cell r="C422" t="str">
            <v>V_KEYWORD_ISSR_208000024_IND_SALES_OTH_AEJ</v>
          </cell>
        </row>
        <row r="423">
          <cell r="A423" t="str">
            <v>Vector|||208000024|||ISSR|||IND_SALES_TOT_ASIA|||False|||</v>
          </cell>
          <cell r="C423" t="str">
            <v>V_KEYWORD_ISSR_208000024_IND_SALES_TOT_ASIA</v>
          </cell>
        </row>
        <row r="424">
          <cell r="A424" t="str">
            <v>Vector|||208000024|||ISSR|||IND_SALES_OTHER|||False|||</v>
          </cell>
          <cell r="C424" t="str">
            <v>V_KEYWORD_ISSR_208000024_IND_SALES_OTHER</v>
          </cell>
        </row>
        <row r="425">
          <cell r="A425" t="str">
            <v>Vector|||208000024|||ISSR|||IND_SALES_CONS|||False|||</v>
          </cell>
          <cell r="C425" t="str">
            <v>V_KEYWORD_ISSR_208000024_IND_SALES_CONS</v>
          </cell>
        </row>
        <row r="426">
          <cell r="A426" t="str">
            <v>Vector|||208000024|||ISSR|||IND_SALES_IND|||False|||</v>
          </cell>
          <cell r="C426" t="str">
            <v>V_KEYWORD_ISSR_208000024_IND_SALES_IND</v>
          </cell>
        </row>
        <row r="427">
          <cell r="A427" t="str">
            <v>Vector|||208000024|||ISSR|||IND_SALES_GOV|||False|||</v>
          </cell>
          <cell r="C427" t="str">
            <v>V_KEYWORD_ISSR_208000024_IND_SALES_GOV</v>
          </cell>
        </row>
        <row r="428">
          <cell r="A428" t="str">
            <v>Vector|||208000024|||ISSR|||IND_SALES_FINAN|||False|||</v>
          </cell>
          <cell r="C428" t="str">
            <v>V_KEYWORD_ISSR_208000024_IND_SALES_FINAN</v>
          </cell>
        </row>
        <row r="430">
          <cell r="A430" t="str">
            <v>Vector|||208000024|||ISSR|||CEEE_EBIT|||False|||</v>
          </cell>
          <cell r="C430" t="str">
            <v>V_KEYWORD_ISSR_208000024_CEEE_EBIT</v>
          </cell>
        </row>
        <row r="431">
          <cell r="A431" t="str">
            <v>Vector|||208000024|||ISSR|||DIV1_EBIT|||False|||</v>
          </cell>
          <cell r="C431" t="str">
            <v>V_KEYWORD_ISSR_208000024_DIV1_EBIT</v>
          </cell>
        </row>
        <row r="432">
          <cell r="A432" t="str">
            <v>Scalar|||208000024|||ISSR|||DIV1_NAME|||False|||</v>
          </cell>
          <cell r="C432" t="str">
            <v>V_KEYWORD_ISSR_208000024_DIV1_NAME</v>
          </cell>
        </row>
        <row r="433">
          <cell r="A433" t="str">
            <v>Vector|||208000024|||ISSR|||DIV1_OGS|||False|||</v>
          </cell>
          <cell r="C433" t="str">
            <v>V_KEYWORD_ISSR_208000024_DIV1_OGS</v>
          </cell>
        </row>
        <row r="434">
          <cell r="A434" t="str">
            <v>Vector|||208000024|||ISSR|||DIV1_ORDERBACKLOG|||False|||</v>
          </cell>
          <cell r="C434" t="str">
            <v>V_KEYWORD_ISSR_208000024_DIV1_ORDERBACKLOG</v>
          </cell>
        </row>
        <row r="435">
          <cell r="A435" t="str">
            <v>Vector|||208000024|||ISSR|||DIV1_ORDERINTAKE|||False|||</v>
          </cell>
          <cell r="C435" t="str">
            <v>V_KEYWORD_ISSR_208000024_DIV1_ORDERINTAKE</v>
          </cell>
        </row>
        <row r="436">
          <cell r="A436" t="str">
            <v>Vector|||208000024|||ISSR|||DIV2_REVS|||False|||</v>
          </cell>
          <cell r="C436" t="str">
            <v>V_KEYWORD_ISSR_208000024_DIV2_REVS</v>
          </cell>
        </row>
        <row r="437">
          <cell r="A437" t="str">
            <v>Vector|||208000024|||ISSR|||DIV1_REVS|||False|||</v>
          </cell>
          <cell r="C437" t="str">
            <v>V_KEYWORD_ISSR_208000024_DIV1_REVS</v>
          </cell>
        </row>
        <row r="438">
          <cell r="A438" t="str">
            <v>Vector|||208000024|||ISSR|||DIV2_EBIT|||False|||</v>
          </cell>
          <cell r="C438" t="str">
            <v>V_KEYWORD_ISSR_208000024_DIV2_EBIT</v>
          </cell>
        </row>
        <row r="439">
          <cell r="A439" t="str">
            <v>Scalar|||208000024|||ISSR|||DIV2_NAME|||False|||</v>
          </cell>
          <cell r="C439" t="str">
            <v>V_KEYWORD_ISSR_208000024_DIV2_NAME</v>
          </cell>
        </row>
        <row r="440">
          <cell r="A440" t="str">
            <v>Vector|||208000024|||ISSR|||DIV2_OGS|||False|||</v>
          </cell>
          <cell r="C440" t="str">
            <v>V_KEYWORD_ISSR_208000024_DIV2_OGS</v>
          </cell>
        </row>
        <row r="441">
          <cell r="A441" t="str">
            <v>Vector|||208000024|||ISSR|||DIV2_ORDERBACKLOG|||False|||</v>
          </cell>
          <cell r="C441" t="str">
            <v>V_KEYWORD_ISSR_208000024_DIV2_ORDERBACKLOG</v>
          </cell>
        </row>
        <row r="442">
          <cell r="A442" t="str">
            <v>Vector|||208000024|||ISSR|||DIV2_ORDERINTAKE|||False|||</v>
          </cell>
          <cell r="C442" t="str">
            <v>V_KEYWORD_ISSR_208000024_DIV2_ORDERINTAKE</v>
          </cell>
        </row>
        <row r="443">
          <cell r="A443" t="str">
            <v>Vector|||208000024|||ISSR|||DIV3_EBIT|||False|||</v>
          </cell>
          <cell r="C443" t="str">
            <v>V_KEYWORD_ISSR_208000024_DIV3_EBIT</v>
          </cell>
        </row>
        <row r="444">
          <cell r="A444" t="str">
            <v>Scalar|||208000024|||ISSR|||DIV3_NAME|||False|||</v>
          </cell>
          <cell r="C444" t="str">
            <v>V_KEYWORD_ISSR_208000024_DIV3_NAME</v>
          </cell>
        </row>
        <row r="445">
          <cell r="A445" t="str">
            <v>Vector|||208000024|||ISSR|||DIV3_OGS|||False|||</v>
          </cell>
          <cell r="C445" t="str">
            <v>V_KEYWORD_ISSR_208000024_DIV3_OGS</v>
          </cell>
        </row>
        <row r="446">
          <cell r="A446" t="str">
            <v>Vector|||208000024|||ISSR|||DIV3_ORDERBACKLOG|||False|||</v>
          </cell>
          <cell r="C446" t="str">
            <v>V_KEYWORD_ISSR_208000024_DIV3_ORDERBACKLOG</v>
          </cell>
        </row>
        <row r="447">
          <cell r="A447" t="str">
            <v>Vector|||208000024|||ISSR|||DIV3_ORDERINTAKE|||False|||</v>
          </cell>
          <cell r="C447" t="str">
            <v>V_KEYWORD_ISSR_208000024_DIV3_ORDERINTAKE</v>
          </cell>
        </row>
        <row r="448">
          <cell r="A448" t="str">
            <v>Vector|||208000024|||ISSR|||DIV3_REVS|||False|||</v>
          </cell>
          <cell r="C448" t="str">
            <v>V_KEYWORD_ISSR_208000024_DIV3_REVS</v>
          </cell>
        </row>
        <row r="449">
          <cell r="A449" t="str">
            <v>Vector|||208000024|||ISSR|||DIV4_EBIT|||False|||</v>
          </cell>
          <cell r="C449" t="str">
            <v>V_KEYWORD_ISSR_208000024_DIV4_EBIT</v>
          </cell>
        </row>
        <row r="450">
          <cell r="A450" t="str">
            <v>Scalar|||208000024|||ISSR|||DIV4_NAME|||False|||</v>
          </cell>
          <cell r="C450" t="str">
            <v>V_KEYWORD_ISSR_208000024_DIV4_NAME</v>
          </cell>
        </row>
        <row r="451">
          <cell r="A451" t="str">
            <v>Vector|||208000024|||ISSR|||DIV4_OGS|||False|||</v>
          </cell>
          <cell r="C451" t="str">
            <v>V_KEYWORD_ISSR_208000024_DIV4_OGS</v>
          </cell>
        </row>
        <row r="452">
          <cell r="A452" t="str">
            <v>Vector|||208000024|||ISSR|||DIV4_ORDERBACKLOG|||False|||</v>
          </cell>
          <cell r="C452" t="str">
            <v>V_KEYWORD_ISSR_208000024_DIV4_ORDERBACKLOG</v>
          </cell>
        </row>
        <row r="453">
          <cell r="A453" t="str">
            <v>Vector|||208000024|||ISSR|||DIV4_ORDERINTAKE|||False|||</v>
          </cell>
          <cell r="C453" t="str">
            <v>V_KEYWORD_ISSR_208000024_DIV4_ORDERINTAKE</v>
          </cell>
        </row>
        <row r="454">
          <cell r="A454" t="str">
            <v>Vector|||208000024|||ISSR|||DIV4_REVS|||False|||</v>
          </cell>
          <cell r="C454" t="str">
            <v>V_KEYWORD_ISSR_208000024_DIV4_REVS</v>
          </cell>
        </row>
        <row r="455">
          <cell r="A455" t="str">
            <v>Vector|||208000024|||ISSR|||DIV5_EBIT|||False|||</v>
          </cell>
          <cell r="C455" t="str">
            <v>V_KEYWORD_ISSR_208000024_DIV5_EBIT</v>
          </cell>
        </row>
        <row r="456">
          <cell r="A456" t="str">
            <v>Scalar|||208000024|||ISSR|||DIV5_NAME|||False|||</v>
          </cell>
          <cell r="C456" t="str">
            <v>V_KEYWORD_ISSR_208000024_DIV5_NAME</v>
          </cell>
        </row>
        <row r="457">
          <cell r="A457" t="str">
            <v>Vector|||208000024|||ISSR|||DIV5_OGS|||False|||</v>
          </cell>
          <cell r="C457" t="str">
            <v>V_KEYWORD_ISSR_208000024_DIV5_OGS</v>
          </cell>
        </row>
        <row r="458">
          <cell r="A458" t="str">
            <v>Vector|||208000024|||ISSR|||DIV5_ORDERBACKLOG|||False|||</v>
          </cell>
          <cell r="C458" t="str">
            <v>V_KEYWORD_ISSR_208000024_DIV5_ORDERBACKLOG</v>
          </cell>
        </row>
        <row r="459">
          <cell r="A459" t="str">
            <v>Vector|||208000024|||ISSR|||DIV5_ORDERINTAKE|||False|||</v>
          </cell>
          <cell r="C459" t="str">
            <v>V_KEYWORD_ISSR_208000024_DIV5_ORDERINTAKE</v>
          </cell>
        </row>
        <row r="460">
          <cell r="A460" t="str">
            <v>Vector|||208000024|||ISSR|||DIV5_REVS|||False|||</v>
          </cell>
          <cell r="C460" t="str">
            <v>V_KEYWORD_ISSR_208000024_DIV5_REVS</v>
          </cell>
        </row>
        <row r="461">
          <cell r="A461" t="str">
            <v>Vector|||208000024|||ISSR|||DIV6_EBIT|||False|||</v>
          </cell>
          <cell r="C461" t="str">
            <v>V_KEYWORD_ISSR_208000024_DIV6_EBIT</v>
          </cell>
        </row>
        <row r="462">
          <cell r="A462" t="str">
            <v>Scalar|||208000024|||ISSR|||DIV6_NAME|||False|||</v>
          </cell>
          <cell r="C462" t="str">
            <v>V_KEYWORD_ISSR_208000024_DIV6_NAME</v>
          </cell>
        </row>
        <row r="463">
          <cell r="A463" t="str">
            <v>Vector|||208000024|||ISSR|||DIV6_OGS|||False|||</v>
          </cell>
          <cell r="C463" t="str">
            <v>V_KEYWORD_ISSR_208000024_DIV6_OGS</v>
          </cell>
        </row>
        <row r="464">
          <cell r="A464" t="str">
            <v>Vector|||208000024|||ISSR|||DIV6_ORDERBACKLOG|||False|||</v>
          </cell>
          <cell r="C464" t="str">
            <v>V_KEYWORD_ISSR_208000024_DIV6_ORDERBACKLOG</v>
          </cell>
        </row>
        <row r="465">
          <cell r="A465" t="str">
            <v>Vector|||208000024|||ISSR|||DIV6_ORDERINTAKE|||False|||</v>
          </cell>
          <cell r="C465" t="str">
            <v>V_KEYWORD_ISSR_208000024_DIV6_ORDERINTAKE</v>
          </cell>
        </row>
        <row r="466">
          <cell r="A466" t="str">
            <v>Vector|||208000024|||ISSR|||DIV6_REVS|||False|||</v>
          </cell>
          <cell r="C466" t="str">
            <v>V_KEYWORD_ISSR_208000024_DIV6_REVS</v>
          </cell>
        </row>
        <row r="467">
          <cell r="A467" t="str">
            <v>Vector|||208000024|||ISSR|||GROUP_ORDERBACKLOG|||False|||</v>
          </cell>
          <cell r="C467" t="str">
            <v>V_KEYWORD_ISSR_208000024_GROUP_ORDERBACKLOG</v>
          </cell>
        </row>
        <row r="468">
          <cell r="A468" t="str">
            <v>Vector|||208000024|||ISSR|||GROUP_ORDERINTAKE|||False|||</v>
          </cell>
          <cell r="C468" t="str">
            <v>V_KEYWORD_ISSR_208000024_GROUP_ORDERINTAKE</v>
          </cell>
        </row>
        <row r="469">
          <cell r="A469" t="str">
            <v>Vector|||208000024|||ISSR|||GROUP_OGS|||False|||</v>
          </cell>
          <cell r="C469" t="str">
            <v>V_KEYWORD_ISSR_208000024_GROUP_OGS</v>
          </cell>
        </row>
        <row r="470">
          <cell r="A470" t="str">
            <v>Vector|||208000024|||ISSR|||GROUP_PRICE_GRTH|||False|||</v>
          </cell>
          <cell r="C470" t="str">
            <v>V_KEYWORD_ISSR_208000024_GROUP_PRICE_GRTH</v>
          </cell>
        </row>
        <row r="471">
          <cell r="A471" t="str">
            <v>Vector|||208000024|||ISSR|||GROUP_MIX_GRTH|||False|||</v>
          </cell>
          <cell r="C471" t="str">
            <v>V_KEYWORD_ISSR_208000024_GROUP_MIX_GRTH</v>
          </cell>
        </row>
        <row r="472">
          <cell r="A472" t="str">
            <v>Vector|||208000024|||ISSR|||GROUP_ORG_ORDERGRTH|||False|||</v>
          </cell>
          <cell r="C472" t="str">
            <v>V_KEYWORD_ISSR_208000024_GROUP_ORG_ORDERGRTH</v>
          </cell>
        </row>
        <row r="473">
          <cell r="A473" t="str">
            <v>Vector|||208000024|||ISSR|||CUST_ADVANCES|||False|||</v>
          </cell>
          <cell r="C473" t="str">
            <v>V_KEYWORD_ISSR_208000024_CUST_ADVANCES</v>
          </cell>
        </row>
        <row r="474">
          <cell r="A474" t="str">
            <v>Vector|||208000024|||ISSR|||EBIT_BRIDGE_PRICE|||False|||</v>
          </cell>
          <cell r="C474" t="str">
            <v>V_KEYWORD_ISSR_208000024_EBIT_BRIDGE_PRICE</v>
          </cell>
        </row>
        <row r="475">
          <cell r="A475" t="str">
            <v>Vector|||208000024|||ISSR|||EBIT_BRIDGE_VOL|||False|||</v>
          </cell>
          <cell r="C475" t="str">
            <v>V_KEYWORD_ISSR_208000024_EBIT_BRIDGE_VOL</v>
          </cell>
        </row>
        <row r="476">
          <cell r="A476" t="str">
            <v>Vector|||208000024|||ISSR|||EBIT_BRIDGE_DEPREC|||False|||</v>
          </cell>
          <cell r="C476" t="str">
            <v>V_KEYWORD_ISSR_208000024_EBIT_BRIDGE_DEPREC</v>
          </cell>
        </row>
        <row r="477">
          <cell r="A477" t="str">
            <v>Vector|||208000024|||ISSR|||EBIT_BRIDGE_MIX|||False|||</v>
          </cell>
          <cell r="C477" t="str">
            <v>V_KEYWORD_ISSR_208000024_EBIT_BRIDGE_MIX</v>
          </cell>
        </row>
        <row r="478">
          <cell r="A478" t="str">
            <v>Vector|||208000024|||ISSR|||EBIT_BRIDGE_RAW_MAT|||False|||</v>
          </cell>
          <cell r="C478" t="str">
            <v>V_KEYWORD_ISSR_208000024_EBIT_BRIDGE_RAW_MAT</v>
          </cell>
        </row>
        <row r="479">
          <cell r="A479" t="str">
            <v>Vector|||208000024|||ISSR|||EBIT_BRIDGE_REST|||False|||</v>
          </cell>
          <cell r="C479" t="str">
            <v>V_KEYWORD_ISSR_208000024_EBIT_BRIDGE_REST</v>
          </cell>
        </row>
        <row r="480">
          <cell r="A480" t="str">
            <v>Vector|||208000024|||ISSR|||EBIT_BRIDGE_FX|||False|||</v>
          </cell>
          <cell r="C480" t="str">
            <v>V_KEYWORD_ISSR_208000024_EBIT_BRIDGE_FX</v>
          </cell>
        </row>
        <row r="481">
          <cell r="A481" t="str">
            <v>Vector|||208000024|||ISSR|||EBIT_BRIDGE_MA|||False|||</v>
          </cell>
          <cell r="C481" t="str">
            <v>V_KEYWORD_ISSR_208000024_EBIT_BRIDGE_MA</v>
          </cell>
        </row>
        <row r="482">
          <cell r="A482" t="str">
            <v>Vector|||208000024|||ISSR|||EBIT_BRIDGE_OTH|||False|||</v>
          </cell>
          <cell r="C482" t="str">
            <v>V_KEYWORD_ISSR_208000024_EBIT_BRIDGE_OTH</v>
          </cell>
        </row>
        <row r="483">
          <cell r="A483" t="str">
            <v>Vector|||208000024|||ISSR|||DIV1_FX_GRTH|||False|||</v>
          </cell>
          <cell r="C483" t="str">
            <v>V_KEYWORD_ISSR_208000024_DIV1_FX_GRTH</v>
          </cell>
        </row>
        <row r="484">
          <cell r="A484" t="str">
            <v>Vector|||208000024|||ISSR|||DIV1_MA_GRTH|||False|||</v>
          </cell>
          <cell r="C484" t="str">
            <v>V_KEYWORD_ISSR_208000024_DIV1_MA_GRTH</v>
          </cell>
        </row>
        <row r="485">
          <cell r="A485" t="str">
            <v>Vector|||208000024|||ISSR|||DIV1_ORG_ORDERGRTH|||False|||</v>
          </cell>
          <cell r="C485" t="str">
            <v>V_KEYWORD_ISSR_208000024_DIV1_ORG_ORDERGRTH</v>
          </cell>
        </row>
        <row r="486">
          <cell r="A486" t="str">
            <v>Vector|||208000024|||ISSR|||DIV2_FX_GRTH|||False|||</v>
          </cell>
          <cell r="C486" t="str">
            <v>V_KEYWORD_ISSR_208000024_DIV2_FX_GRTH</v>
          </cell>
        </row>
        <row r="487">
          <cell r="A487" t="str">
            <v>Vector|||208000024|||ISSR|||DIV2_MA_GRTH|||False|||</v>
          </cell>
          <cell r="C487" t="str">
            <v>V_KEYWORD_ISSR_208000024_DIV2_MA_GRTH</v>
          </cell>
        </row>
        <row r="488">
          <cell r="A488" t="str">
            <v>Vector|||208000024|||ISSR|||DIV2_ORG_ORDERGRTH|||False|||</v>
          </cell>
          <cell r="C488" t="str">
            <v>V_KEYWORD_ISSR_208000024_DIV2_ORG_ORDERGRTH</v>
          </cell>
        </row>
        <row r="489">
          <cell r="A489" t="str">
            <v>Vector|||208000024|||ISSR|||DIV3_FX_GRTH|||False|||</v>
          </cell>
          <cell r="C489" t="str">
            <v>V_KEYWORD_ISSR_208000024_DIV3_FX_GRTH</v>
          </cell>
        </row>
        <row r="490">
          <cell r="A490" t="str">
            <v>Vector|||208000024|||ISSR|||DIV3_MA_GRTH|||False|||</v>
          </cell>
          <cell r="C490" t="str">
            <v>V_KEYWORD_ISSR_208000024_DIV3_MA_GRTH</v>
          </cell>
        </row>
        <row r="491">
          <cell r="A491" t="str">
            <v>Vector|||208000024|||ISSR|||DIV3_ORG_ORDERGRTH|||False|||</v>
          </cell>
          <cell r="C491" t="str">
            <v>V_KEYWORD_ISSR_208000024_DIV3_ORG_ORDERGRTH</v>
          </cell>
        </row>
        <row r="492">
          <cell r="A492" t="str">
            <v>Vector|||208000024|||ISSR|||DIV4_FX_GRTH|||False|||</v>
          </cell>
          <cell r="C492" t="str">
            <v>V_KEYWORD_ISSR_208000024_DIV4_FX_GRTH</v>
          </cell>
        </row>
        <row r="493">
          <cell r="A493" t="str">
            <v>Vector|||208000024|||ISSR|||DIV4_MA_GRTH|||False|||</v>
          </cell>
          <cell r="C493" t="str">
            <v>V_KEYWORD_ISSR_208000024_DIV4_MA_GRTH</v>
          </cell>
        </row>
        <row r="494">
          <cell r="A494" t="str">
            <v>Vector|||208000024|||ISSR|||DIV4_ORG_ORDERGRTH|||False|||</v>
          </cell>
          <cell r="C494" t="str">
            <v>V_KEYWORD_ISSR_208000024_DIV4_ORG_ORDERGRTH</v>
          </cell>
        </row>
        <row r="495">
          <cell r="A495" t="str">
            <v>Vector|||208000024|||ISSR|||DIV5_FX_GRTH|||False|||</v>
          </cell>
          <cell r="C495" t="str">
            <v>V_KEYWORD_ISSR_208000024_DIV5_FX_GRTH</v>
          </cell>
        </row>
        <row r="496">
          <cell r="A496" t="str">
            <v>Vector|||208000024|||ISSR|||DIV5_MA_GRTH|||False|||</v>
          </cell>
          <cell r="C496" t="str">
            <v>V_KEYWORD_ISSR_208000024_DIV5_MA_GRTH</v>
          </cell>
        </row>
        <row r="497">
          <cell r="A497" t="str">
            <v>Vector|||208000024|||ISSR|||DIV5_ORG_ORDERGRTH|||False|||</v>
          </cell>
          <cell r="C497" t="str">
            <v>V_KEYWORD_ISSR_208000024_DIV5_ORG_ORDERGRTH</v>
          </cell>
        </row>
        <row r="498">
          <cell r="A498" t="str">
            <v>Vector|||208000024|||ISSR|||DIV6_FX_GRTH|||False|||</v>
          </cell>
          <cell r="C498" t="str">
            <v>V_KEYWORD_ISSR_208000024_DIV6_FX_GRTH</v>
          </cell>
        </row>
        <row r="499">
          <cell r="A499" t="str">
            <v>Vector|||208000024|||ISSR|||DIV6_MA_GRTH|||False|||</v>
          </cell>
          <cell r="C499" t="str">
            <v>V_KEYWORD_ISSR_208000024_DIV6_MA_GRTH</v>
          </cell>
        </row>
        <row r="500">
          <cell r="A500" t="str">
            <v>Vector|||208000024|||ISSR|||DIV6_ORG_ORDERGRTH|||False|||</v>
          </cell>
          <cell r="C500" t="str">
            <v>V_KEYWORD_ISSR_208000024_DIV6_ORG_ORDERGRTH</v>
          </cell>
        </row>
        <row r="506">
          <cell r="A506" t="str">
            <v>Scalar|||200000270|||EQTY|||PUB_CURRENCY_ISO|||False|||</v>
          </cell>
          <cell r="C506" t="str">
            <v>V_KEYWORD_EQTY_200000270_PUB_CURRENCY_ISO</v>
          </cell>
        </row>
        <row r="507">
          <cell r="A507" t="str">
            <v>Scalar|||200000270|||EQTY|||PRICE_CURRENCY_ISO|||False|||</v>
          </cell>
          <cell r="C507" t="str">
            <v>V_KEYWORD_EQTY_200000270_PRICE_CURRENCY_ISO</v>
          </cell>
        </row>
        <row r="508">
          <cell r="A508" t="str">
            <v>Scalar|||200000270|||EQTY|||CURRENCY_ISO|||False|||</v>
          </cell>
          <cell r="C508" t="str">
            <v>V_KEYWORD_EQTY_200000270_CURRENCY_ISO</v>
          </cell>
        </row>
        <row r="510">
          <cell r="A510" t="str">
            <v>Scalar|||200000270|||EQTY|||EURO_LIST|||False|||</v>
          </cell>
          <cell r="C510" t="str">
            <v>V_KEYWORD_EQTY_200000270_EURO_LIST</v>
          </cell>
        </row>
        <row r="511">
          <cell r="A511" t="str">
            <v>Scalar|||200000270|||EQTY|||EURO_CONVICTION|||False|||</v>
          </cell>
          <cell r="C511" t="str">
            <v>V_KEYWORD_EQTY_200000270_EURO_CONVICTION</v>
          </cell>
        </row>
        <row r="512">
          <cell r="A512" t="str">
            <v>Scalar|||200000270|||EQTY|||LEGAL_RATING|||False|||</v>
          </cell>
          <cell r="C512" t="str">
            <v>V_KEYWORD_EQTY_200000270_LEGAL_RATING</v>
          </cell>
          <cell r="E512" t="str">
            <v>ERROR</v>
          </cell>
        </row>
        <row r="513">
          <cell r="A513" t="str">
            <v>Scalar|||200000270|||EQTY|||TARGET_PRICE|||False|||</v>
          </cell>
          <cell r="C513" t="str">
            <v>V_KEYWORD_EQTY_200000270_TARGET_PRICE</v>
          </cell>
          <cell r="E513" t="str">
            <v>ERROR</v>
          </cell>
        </row>
        <row r="514">
          <cell r="A514" t="str">
            <v>Scalar|||200000270|||EQTY|||TP_PERIOD|||False|||</v>
          </cell>
          <cell r="C514" t="str">
            <v>V_KEYWORD_EQTY_200000270_TP_PERIOD</v>
          </cell>
          <cell r="E514" t="str">
            <v>ERROR</v>
          </cell>
        </row>
        <row r="515">
          <cell r="A515" t="str">
            <v>Scalar|||200000270|||EQTY|||TARGET_PRICE_FUNDAMENTAL|||False|||</v>
          </cell>
          <cell r="C515" t="str">
            <v>V_KEYWORD_EQTY_200000270_TARGET_PRICE_FUNDAMENTAL</v>
          </cell>
        </row>
        <row r="516">
          <cell r="A516" t="str">
            <v>Scalar|||200000270|||EQTY|||TARGET_PRICE_MA|||False|||</v>
          </cell>
          <cell r="C516" t="str">
            <v>V_KEYWORD_EQTY_200000270_TARGET_PRICE_MA</v>
          </cell>
        </row>
        <row r="517">
          <cell r="A517" t="str">
            <v>Scalar|||200000270|||EQTY|||NUM_SH|||False|||</v>
          </cell>
          <cell r="C517" t="str">
            <v>V_KEYWORD_EQTY_200000270_NUM_SH</v>
          </cell>
        </row>
        <row r="518">
          <cell r="A518" t="str">
            <v>Scalar|||200000270|||EQTY|||FREE_FLOAT|||False|||</v>
          </cell>
          <cell r="C518" t="str">
            <v>V_KEYWORD_EQTY_200000270_FREE_FLOAT</v>
          </cell>
        </row>
        <row r="519">
          <cell r="A519" t="str">
            <v>BreakdownScalar|||200000270|||EQTY|||ACT|||False|||1</v>
          </cell>
          <cell r="C519" t="str">
            <v>V_KEYWORD_EQTY_200000270_ACT1</v>
          </cell>
        </row>
        <row r="520">
          <cell r="A520" t="str">
            <v>BreakdownScalar|||200000270|||EQTY|||ACT|||False|||2</v>
          </cell>
          <cell r="C520" t="str">
            <v>V_KEYWORD_EQTY_200000270_ACT2</v>
          </cell>
        </row>
        <row r="521">
          <cell r="A521" t="str">
            <v>BreakdownScalar|||200000270|||EQTY|||ACT|||False|||3</v>
          </cell>
          <cell r="C521" t="str">
            <v>V_KEYWORD_EQTY_200000270_ACT3</v>
          </cell>
        </row>
        <row r="522">
          <cell r="A522" t="str">
            <v>BreakdownScalar|||200000270|||EQTY|||ACT|||False|||4</v>
          </cell>
          <cell r="C522" t="str">
            <v>V_KEYWORD_EQTY_200000270_ACT4</v>
          </cell>
        </row>
        <row r="524">
          <cell r="A524" t="str">
            <v>Vector|||200000270|||EQTY|||BVPS_PUB|||False|||</v>
          </cell>
          <cell r="C524" t="str">
            <v>V_KEYWORD_EQTY_200000270_BVPS_PUB</v>
          </cell>
        </row>
        <row r="525">
          <cell r="A525" t="str">
            <v>Vector|||200000270|||EQTY|||DPS_PUB|||False|||</v>
          </cell>
          <cell r="C525" t="str">
            <v>V_KEYWORD_EQTY_200000270_DPS_PUB</v>
          </cell>
        </row>
        <row r="526">
          <cell r="A526" t="str">
            <v>Vector|||200000270|||EQTY|||DPS_SPECIAL_PUB|||False|||</v>
          </cell>
          <cell r="C526" t="str">
            <v>V_KEYWORD_EQTY_200000270_DPS_SPECIAL_PUB</v>
          </cell>
        </row>
        <row r="527">
          <cell r="A527" t="str">
            <v>Vector|||200000270|||EQTY|||EBITDA_PUB|||False|||</v>
          </cell>
          <cell r="C527" t="str">
            <v>V_KEYWORD_EQTY_200000270_EBITDA_PUB</v>
          </cell>
        </row>
        <row r="528">
          <cell r="A528" t="str">
            <v>Vector|||200000270|||EQTY|||EPS_PUB|||False|||</v>
          </cell>
          <cell r="C528" t="str">
            <v>V_KEYWORD_EQTY_200000270_EPS_PUB</v>
          </cell>
          <cell r="AI528" t="str">
            <v>ERROR</v>
          </cell>
          <cell r="AJ528" t="str">
            <v>ERROR</v>
          </cell>
          <cell r="AK528" t="str">
            <v>ERROR</v>
          </cell>
          <cell r="AL528" t="str">
            <v>ERROR</v>
          </cell>
          <cell r="DO528" t="str">
            <v>ERROR</v>
          </cell>
          <cell r="DP528" t="str">
            <v>ERROR</v>
          </cell>
          <cell r="DQ528" t="str">
            <v>ERROR</v>
          </cell>
          <cell r="DR528" t="str">
            <v>ERROR</v>
          </cell>
        </row>
        <row r="529">
          <cell r="A529" t="str">
            <v>Vector|||200000270|||EQTY|||CEEE_EPS|||False|||</v>
          </cell>
          <cell r="C529" t="str">
            <v>V_KEYWORD_EQTY_200000270_CEEE_EPS</v>
          </cell>
          <cell r="AI529" t="str">
            <v>ERROR</v>
          </cell>
          <cell r="AJ529" t="str">
            <v>ERROR</v>
          </cell>
          <cell r="AK529" t="str">
            <v>ERROR</v>
          </cell>
          <cell r="AL529" t="str">
            <v>ERROR</v>
          </cell>
        </row>
        <row r="530">
          <cell r="A530" t="str">
            <v>Vector|||200000270|||EQTY|||EV_ADJ_PUB|||False|||</v>
          </cell>
          <cell r="C530" t="str">
            <v>V_KEYWORD_EQTY_200000270_EV_ADJ_PUB</v>
          </cell>
        </row>
        <row r="531">
          <cell r="A531" t="str">
            <v>Vector|||200000270|||EQTY|||NET_DEBT_PUB|||False|||</v>
          </cell>
          <cell r="C531" t="str">
            <v>V_KEYWORD_EQTY_200000270_NET_DEBT_PUB</v>
          </cell>
        </row>
        <row r="532">
          <cell r="A532" t="str">
            <v>Vector|||200000270|||EQTY|||NET_DEBT_EX_LEASES_PUB|||False|||</v>
          </cell>
          <cell r="C532" t="str">
            <v>V_KEYWORD_EQTY_200000270_NET_DEBT_EX_LEASES_PUB</v>
          </cell>
        </row>
        <row r="533">
          <cell r="A533" t="str">
            <v>Vector|||200000270|||EQTY|||CEEE_NDEBT|||False|||</v>
          </cell>
          <cell r="C533" t="str">
            <v>V_KEYWORD_EQTY_200000270_CEEE_NDEBT</v>
          </cell>
        </row>
        <row r="534">
          <cell r="A534" t="str">
            <v>Vector|||200000270|||EQTY|||NI_PUB|||False|||</v>
          </cell>
          <cell r="C534" t="str">
            <v>V_KEYWORD_EQTY_200000270_NI_PUB</v>
          </cell>
        </row>
        <row r="535">
          <cell r="A535" t="str">
            <v>Vector|||200000270|||EQTY|||EBIT_PUB|||False|||</v>
          </cell>
          <cell r="C535" t="str">
            <v>V_KEYWORD_EQTY_200000270_EBIT_PUB</v>
          </cell>
        </row>
        <row r="536">
          <cell r="A536" t="str">
            <v>Vector|||200000270|||EQTY|||PTP_PUB|||False|||</v>
          </cell>
          <cell r="C536" t="str">
            <v>V_KEYWORD_EQTY_200000270_PTP_PUB</v>
          </cell>
        </row>
        <row r="537">
          <cell r="A537" t="str">
            <v>Vector|||200000270|||EQTY|||REVS_PUB|||False|||</v>
          </cell>
          <cell r="C537" t="str">
            <v>V_KEYWORD_EQTY_200000270_REVS_PUB</v>
          </cell>
          <cell r="AI537" t="str">
            <v>ERROR</v>
          </cell>
        </row>
        <row r="538">
          <cell r="A538" t="str">
            <v>Vector|||200000270|||EQTY|||EQ_PUB|||False|||</v>
          </cell>
          <cell r="C538" t="str">
            <v>V_KEYWORD_EQTY_200000270_EQ_PUB</v>
          </cell>
        </row>
        <row r="540">
          <cell r="A540" t="str">
            <v>Vector|||200000270|||EQTY|||PROV_INC_TAX|||False|||</v>
          </cell>
          <cell r="C540" t="str">
            <v>V_KEYWORD_EQTY_200000270_PROV_INC_TAX</v>
          </cell>
        </row>
        <row r="541">
          <cell r="A541" t="str">
            <v>Vector|||200000270|||EQTY|||INC_MINORITY|||False|||</v>
          </cell>
          <cell r="C541" t="str">
            <v>V_KEYWORD_EQTY_200000270_INC_MINORITY</v>
          </cell>
        </row>
        <row r="542">
          <cell r="A542" t="str">
            <v>Vector|||200000270|||EQTY|||NI_PRE_PREF|||False|||</v>
          </cell>
          <cell r="C542" t="str">
            <v>V_KEYWORD_EQTY_200000270_NI_PRE_PREF</v>
          </cell>
        </row>
        <row r="543">
          <cell r="A543" t="str">
            <v>Vector|||200000270|||EQTY|||PREF_DIV|||False|||</v>
          </cell>
          <cell r="C543" t="str">
            <v>V_KEYWORD_EQTY_200000270_PREF_DIV</v>
          </cell>
        </row>
        <row r="544">
          <cell r="A544" t="str">
            <v>Vector|||200000270|||EQTY|||NET_EARNING|||False|||</v>
          </cell>
          <cell r="C544" t="str">
            <v>V_KEYWORD_EQTY_200000270_NET_EARNING</v>
          </cell>
        </row>
        <row r="545">
          <cell r="A545" t="str">
            <v>Vector|||200000270|||EQTY|||TAX_EXC|||False|||</v>
          </cell>
          <cell r="C545" t="str">
            <v>V_KEYWORD_EQTY_200000270_TAX_EXC</v>
          </cell>
        </row>
        <row r="546">
          <cell r="A546" t="str">
            <v>Vector|||200000270|||EQTY|||NET_INC|||False|||</v>
          </cell>
          <cell r="C546" t="str">
            <v>V_KEYWORD_EQTY_200000270_NET_INC</v>
          </cell>
        </row>
        <row r="547">
          <cell r="A547" t="str">
            <v>Vector|||200000270|||EQTY|||EPS|||False|||</v>
          </cell>
          <cell r="C547" t="str">
            <v>V_KEYWORD_EQTY_200000270_EPS</v>
          </cell>
        </row>
        <row r="548">
          <cell r="A548" t="str">
            <v>Vector|||200000270|||EQTY|||EPS_FUL_DIL|||False|||</v>
          </cell>
          <cell r="C548" t="str">
            <v>V_KEYWORD_EQTY_200000270_EPS_FUL_DIL</v>
          </cell>
        </row>
        <row r="549">
          <cell r="A549" t="str">
            <v>Vector|||200000270|||EQTY|||EPS_POST_BASIC|||False|||</v>
          </cell>
          <cell r="C549" t="str">
            <v>V_KEYWORD_EQTY_200000270_EPS_POST_BASIC</v>
          </cell>
        </row>
        <row r="550">
          <cell r="A550" t="str">
            <v>Vector|||200000270|||EQTY|||FULLY_DIL_EPS|||False|||</v>
          </cell>
          <cell r="C550" t="str">
            <v>V_KEYWORD_EQTY_200000270_FULLY_DIL_EPS</v>
          </cell>
        </row>
        <row r="551">
          <cell r="A551" t="str">
            <v>Vector|||200000270|||EQTY|||COMMON_DIV_PAID|||False|||</v>
          </cell>
          <cell r="C551" t="str">
            <v>V_KEYWORD_EQTY_200000270_COMMON_DIV_PAID</v>
          </cell>
        </row>
        <row r="552">
          <cell r="A552" t="str">
            <v>Vector|||200000270|||EQTY|||DPS|||False|||</v>
          </cell>
          <cell r="C552" t="str">
            <v>V_KEYWORD_EQTY_200000270_DPS</v>
          </cell>
        </row>
        <row r="553">
          <cell r="A553" t="str">
            <v>Vector|||200000270|||EQTY|||SH|||False|||</v>
          </cell>
          <cell r="C553" t="str">
            <v>V_KEYWORD_EQTY_200000270_SH</v>
          </cell>
        </row>
        <row r="554">
          <cell r="A554" t="str">
            <v>Vector|||200000270|||EQTY|||DILUTE_SHARES|||False|||</v>
          </cell>
          <cell r="C554" t="str">
            <v>V_KEYWORD_EQTY_200000270_DILUTE_SHARES</v>
          </cell>
        </row>
        <row r="555">
          <cell r="A555" t="str">
            <v>Vector|||200000270|||EQTY|||NON_OP_ADD|||False|||</v>
          </cell>
          <cell r="C555" t="str">
            <v>V_KEYWORD_EQTY_200000270_NON_OP_ADD</v>
          </cell>
        </row>
        <row r="557">
          <cell r="A557" t="str">
            <v>Vector|||200000270|||EQTY|||ORG_NI|||False|||</v>
          </cell>
          <cell r="C557" t="str">
            <v>V_KEYWORD_EQTY_200000270_ORG_NI</v>
          </cell>
        </row>
        <row r="558">
          <cell r="A558" t="str">
            <v>Vector|||200000270|||EQTY|||ORG_EPS|||False|||</v>
          </cell>
          <cell r="C558" t="str">
            <v>V_KEYWORD_EQTY_200000270_ORG_EPS</v>
          </cell>
        </row>
        <row r="559">
          <cell r="A559" t="str">
            <v>Vector|||200000270|||EQTY|||MARGIN_TAX_RATE|||False|||</v>
          </cell>
          <cell r="C559" t="str">
            <v>V_KEYWORD_EQTY_200000270_MARGIN_TAX_RATE</v>
          </cell>
        </row>
        <row r="561">
          <cell r="A561" t="str">
            <v>Vector|||200000270|||EQTY|||BVPS|||False|||</v>
          </cell>
          <cell r="C561" t="str">
            <v>V_KEYWORD_EQTY_200000270_BVPS</v>
          </cell>
        </row>
        <row r="563">
          <cell r="A563" t="str">
            <v>Vector|||200000270|||EQTY|||CF_NI_PRE_PREF|||False|||</v>
          </cell>
          <cell r="C563" t="str">
            <v>V_KEYWORD_EQTY_200000270_CF_NI_PRE_PREF</v>
          </cell>
        </row>
        <row r="565">
          <cell r="A565" t="str">
            <v>Scalar|||200000270|||EQTY|||BETA_ANALYST|||False|||</v>
          </cell>
          <cell r="C565" t="str">
            <v>V_KEYWORD_EQTY_200000270_BETA_ANALYST</v>
          </cell>
        </row>
        <row r="566">
          <cell r="A566" t="str">
            <v>Scalar|||200000270|||EQTY|||MKT_EQ_RISK_PREM|||False|||</v>
          </cell>
          <cell r="C566" t="str">
            <v>V_KEYWORD_EQTY_200000270_MKT_EQ_RISK_PREM</v>
          </cell>
        </row>
        <row r="567">
          <cell r="A567" t="str">
            <v>Scalar|||200000270|||EQTY|||RISK_FR_RATE|||False|||</v>
          </cell>
          <cell r="C567" t="str">
            <v>V_KEYWORD_EQTY_200000270_RISK_FR_RATE</v>
          </cell>
        </row>
      </sheetData>
      <sheetData sheetId="2"/>
      <sheetData sheetId="3"/>
      <sheetData sheetId="4"/>
      <sheetData sheetId="5">
        <row r="1">
          <cell r="A1" t="str">
            <v>Issuer: SKF</v>
          </cell>
          <cell r="F1">
            <v>1994</v>
          </cell>
          <cell r="G1">
            <v>1995</v>
          </cell>
          <cell r="H1">
            <v>1996</v>
          </cell>
          <cell r="I1">
            <v>1997</v>
          </cell>
          <cell r="J1">
            <v>1998</v>
          </cell>
          <cell r="K1">
            <v>1999</v>
          </cell>
          <cell r="L1">
            <v>2000</v>
          </cell>
          <cell r="M1">
            <v>2001</v>
          </cell>
          <cell r="N1">
            <v>2002</v>
          </cell>
          <cell r="O1">
            <v>2003</v>
          </cell>
          <cell r="P1">
            <v>2004</v>
          </cell>
          <cell r="Q1">
            <v>2005</v>
          </cell>
          <cell r="R1">
            <v>2006</v>
          </cell>
          <cell r="S1">
            <v>2007</v>
          </cell>
          <cell r="T1">
            <v>2008</v>
          </cell>
          <cell r="U1">
            <v>2009</v>
          </cell>
          <cell r="V1">
            <v>2010</v>
          </cell>
          <cell r="W1">
            <v>2011</v>
          </cell>
          <cell r="X1">
            <v>2012</v>
          </cell>
          <cell r="Y1">
            <v>2013</v>
          </cell>
          <cell r="Z1">
            <v>2014</v>
          </cell>
          <cell r="AA1">
            <v>2015</v>
          </cell>
          <cell r="AB1">
            <v>2016</v>
          </cell>
          <cell r="AC1">
            <v>2017</v>
          </cell>
          <cell r="AD1">
            <v>2018</v>
          </cell>
          <cell r="AE1">
            <v>2019</v>
          </cell>
          <cell r="AF1">
            <v>2020</v>
          </cell>
          <cell r="AG1">
            <v>2021</v>
          </cell>
          <cell r="AH1">
            <v>2022</v>
          </cell>
          <cell r="AI1">
            <v>2023</v>
          </cell>
          <cell r="AJ1">
            <v>2024</v>
          </cell>
          <cell r="AK1">
            <v>2025</v>
          </cell>
          <cell r="AL1" t="str">
            <v>2026</v>
          </cell>
          <cell r="AN1" t="str">
            <v>2003 Q3</v>
          </cell>
          <cell r="AO1" t="str">
            <v>2003 Q4</v>
          </cell>
          <cell r="AP1" t="str">
            <v>2004 Q1</v>
          </cell>
          <cell r="AQ1" t="str">
            <v>2004 Q2</v>
          </cell>
          <cell r="AR1" t="str">
            <v>2004 Q3</v>
          </cell>
          <cell r="AS1" t="str">
            <v>2004 Q4</v>
          </cell>
          <cell r="AT1" t="str">
            <v>2005 Q1</v>
          </cell>
          <cell r="AU1" t="str">
            <v>2005 Q2</v>
          </cell>
          <cell r="AV1" t="str">
            <v>2005 Q3</v>
          </cell>
          <cell r="AW1" t="str">
            <v>2005 Q4</v>
          </cell>
          <cell r="AX1" t="str">
            <v>2006 Q1</v>
          </cell>
          <cell r="AY1" t="str">
            <v>2006 Q2</v>
          </cell>
          <cell r="AZ1" t="str">
            <v>2006 Q3</v>
          </cell>
          <cell r="BA1" t="str">
            <v>2006 Q4</v>
          </cell>
          <cell r="BB1" t="str">
            <v>2007 Q1</v>
          </cell>
          <cell r="BC1" t="str">
            <v>2007 Q2</v>
          </cell>
          <cell r="BD1" t="str">
            <v>2007 Q3</v>
          </cell>
          <cell r="BE1" t="str">
            <v>2007 Q4</v>
          </cell>
          <cell r="BF1" t="str">
            <v>2008 Q1</v>
          </cell>
          <cell r="BG1" t="str">
            <v>2008 Q2</v>
          </cell>
          <cell r="BH1" t="str">
            <v>2008 Q3</v>
          </cell>
          <cell r="BI1" t="str">
            <v>2008 Q4</v>
          </cell>
          <cell r="BJ1" t="str">
            <v>2009 Q1</v>
          </cell>
          <cell r="BK1" t="str">
            <v>2009 Q2</v>
          </cell>
          <cell r="BL1" t="str">
            <v>2009 Q3</v>
          </cell>
          <cell r="BM1" t="str">
            <v>2009 Q4</v>
          </cell>
          <cell r="BN1" t="str">
            <v>2010 Q1</v>
          </cell>
          <cell r="BO1" t="str">
            <v>2010 Q2</v>
          </cell>
          <cell r="BP1" t="str">
            <v>2010 Q3</v>
          </cell>
          <cell r="BQ1" t="str">
            <v>2010 Q4</v>
          </cell>
          <cell r="BR1" t="str">
            <v>2011 Q1</v>
          </cell>
          <cell r="BS1" t="str">
            <v>2011 Q2</v>
          </cell>
          <cell r="BT1" t="str">
            <v>2011 Q3</v>
          </cell>
          <cell r="BU1" t="str">
            <v>2011 Q4</v>
          </cell>
          <cell r="BV1" t="str">
            <v>2012 Q1</v>
          </cell>
          <cell r="BW1" t="str">
            <v>2012 Q2</v>
          </cell>
          <cell r="BX1" t="str">
            <v>2012 Q3</v>
          </cell>
          <cell r="BY1" t="str">
            <v>2012 Q4</v>
          </cell>
          <cell r="BZ1" t="str">
            <v>2013 Q1</v>
          </cell>
          <cell r="CA1" t="str">
            <v>2013 Q2</v>
          </cell>
          <cell r="CB1" t="str">
            <v>2013 Q3</v>
          </cell>
          <cell r="CC1" t="str">
            <v>2013 Q4</v>
          </cell>
          <cell r="CD1" t="str">
            <v>2014 Q1</v>
          </cell>
          <cell r="CE1" t="str">
            <v>2014 Q2</v>
          </cell>
          <cell r="CF1" t="str">
            <v>2014 Q3</v>
          </cell>
          <cell r="CG1" t="str">
            <v>2014 Q4</v>
          </cell>
          <cell r="CH1" t="str">
            <v>2015 Q1</v>
          </cell>
          <cell r="CI1" t="str">
            <v>2015 Q2</v>
          </cell>
          <cell r="CJ1" t="str">
            <v>2015 Q3</v>
          </cell>
          <cell r="CK1" t="str">
            <v>2015 Q4</v>
          </cell>
          <cell r="CL1" t="str">
            <v>2016 Q1</v>
          </cell>
          <cell r="CM1" t="str">
            <v>2016 Q2</v>
          </cell>
          <cell r="CN1" t="str">
            <v>2016 Q3</v>
          </cell>
          <cell r="CO1" t="str">
            <v>2016 Q4</v>
          </cell>
          <cell r="CP1" t="str">
            <v>2017 Q1</v>
          </cell>
          <cell r="CQ1" t="str">
            <v>2017 Q2</v>
          </cell>
          <cell r="CR1" t="str">
            <v>2017 Q3</v>
          </cell>
          <cell r="CS1" t="str">
            <v>2017 Q4</v>
          </cell>
          <cell r="CT1" t="str">
            <v>2018 Q1</v>
          </cell>
          <cell r="CU1" t="str">
            <v>2018 Q2</v>
          </cell>
          <cell r="CV1" t="str">
            <v>2018 Q3</v>
          </cell>
          <cell r="CW1" t="str">
            <v>2018 Q4</v>
          </cell>
          <cell r="CX1" t="str">
            <v>2019 Q1</v>
          </cell>
          <cell r="CY1" t="str">
            <v>2019 Q2</v>
          </cell>
          <cell r="CZ1" t="str">
            <v>2019 Q3</v>
          </cell>
          <cell r="DA1" t="str">
            <v>2019 Q4</v>
          </cell>
          <cell r="DB1" t="str">
            <v>2020 Q1</v>
          </cell>
          <cell r="DC1" t="str">
            <v>2020 Q2</v>
          </cell>
          <cell r="DD1" t="str">
            <v>2020 Q3</v>
          </cell>
          <cell r="DE1" t="str">
            <v>2020 Q4</v>
          </cell>
          <cell r="DF1" t="str">
            <v>2021 Q1</v>
          </cell>
          <cell r="DG1" t="str">
            <v>2021 Q2</v>
          </cell>
          <cell r="DH1" t="str">
            <v>2021 Q3</v>
          </cell>
          <cell r="DI1" t="str">
            <v>2021 Q4</v>
          </cell>
          <cell r="DJ1" t="str">
            <v>2022 Q1</v>
          </cell>
          <cell r="DK1" t="str">
            <v>2022 Q2</v>
          </cell>
          <cell r="DL1" t="str">
            <v>2022 Q3</v>
          </cell>
          <cell r="DM1" t="str">
            <v>2022 Q4</v>
          </cell>
          <cell r="DN1" t="str">
            <v>2023 Q1</v>
          </cell>
          <cell r="DO1" t="str">
            <v>2023 Q2</v>
          </cell>
          <cell r="DP1" t="str">
            <v>2023 Q3</v>
          </cell>
          <cell r="DQ1" t="str">
            <v>2023 Q4</v>
          </cell>
          <cell r="DR1" t="str">
            <v>2024 Q1</v>
          </cell>
          <cell r="DS1" t="str">
            <v>2024 Q2</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Estimate</v>
          </cell>
          <cell r="AJ2" t="str">
            <v>Estimate</v>
          </cell>
          <cell r="AK2" t="str">
            <v>Estimate</v>
          </cell>
          <cell r="AL2" t="str">
            <v>Estimate</v>
          </cell>
          <cell r="AN2" t="str">
            <v>Actual</v>
          </cell>
          <cell r="AO2" t="str">
            <v>Actual</v>
          </cell>
          <cell r="AP2" t="str">
            <v>Actual</v>
          </cell>
          <cell r="AQ2" t="str">
            <v>Actual</v>
          </cell>
          <cell r="AR2" t="str">
            <v>Actual</v>
          </cell>
          <cell r="AS2" t="str">
            <v>Actual</v>
          </cell>
          <cell r="AT2" t="str">
            <v>Actual</v>
          </cell>
          <cell r="AU2" t="str">
            <v>Actual</v>
          </cell>
          <cell r="AV2" t="str">
            <v>Actual</v>
          </cell>
          <cell r="AW2" t="str">
            <v>Actual</v>
          </cell>
          <cell r="AX2" t="str">
            <v>Actual</v>
          </cell>
          <cell r="AY2" t="str">
            <v>Actual</v>
          </cell>
          <cell r="AZ2" t="str">
            <v>Actual</v>
          </cell>
          <cell r="BA2" t="str">
            <v>Actual</v>
          </cell>
          <cell r="BB2" t="str">
            <v>Actual</v>
          </cell>
          <cell r="BC2" t="str">
            <v>Actual</v>
          </cell>
          <cell r="BD2" t="str">
            <v>Actual</v>
          </cell>
          <cell r="BE2" t="str">
            <v>Actual</v>
          </cell>
          <cell r="BF2" t="str">
            <v>Actual</v>
          </cell>
          <cell r="BG2" t="str">
            <v>Actual</v>
          </cell>
          <cell r="BH2" t="str">
            <v>Actual</v>
          </cell>
          <cell r="BI2" t="str">
            <v>Actual</v>
          </cell>
          <cell r="BJ2" t="str">
            <v>Actual</v>
          </cell>
          <cell r="BK2" t="str">
            <v>Actual</v>
          </cell>
          <cell r="BL2" t="str">
            <v>Actual</v>
          </cell>
          <cell r="BM2" t="str">
            <v>Actual</v>
          </cell>
          <cell r="BN2" t="str">
            <v>Actual</v>
          </cell>
          <cell r="BO2" t="str">
            <v>Actual</v>
          </cell>
          <cell r="BP2" t="str">
            <v>Actual</v>
          </cell>
          <cell r="BQ2" t="str">
            <v>Actual</v>
          </cell>
          <cell r="BR2" t="str">
            <v>Actual</v>
          </cell>
          <cell r="BS2" t="str">
            <v>Actual</v>
          </cell>
          <cell r="BT2" t="str">
            <v>Actual</v>
          </cell>
          <cell r="BU2" t="str">
            <v>Actual</v>
          </cell>
          <cell r="BV2" t="str">
            <v>Actual</v>
          </cell>
          <cell r="BW2" t="str">
            <v>Actual</v>
          </cell>
          <cell r="BX2" t="str">
            <v>Actual</v>
          </cell>
          <cell r="BY2" t="str">
            <v>Actual</v>
          </cell>
          <cell r="BZ2" t="str">
            <v>Actual</v>
          </cell>
          <cell r="CA2" t="str">
            <v>Actual</v>
          </cell>
          <cell r="CB2" t="str">
            <v>Actual</v>
          </cell>
          <cell r="CC2" t="str">
            <v>Actual</v>
          </cell>
          <cell r="CD2" t="str">
            <v>Actual</v>
          </cell>
          <cell r="CE2" t="str">
            <v>Actual</v>
          </cell>
          <cell r="CF2" t="str">
            <v>Actual</v>
          </cell>
          <cell r="CG2" t="str">
            <v>Actual</v>
          </cell>
          <cell r="CH2" t="str">
            <v>Actual</v>
          </cell>
          <cell r="CI2" t="str">
            <v>Actual</v>
          </cell>
          <cell r="CJ2" t="str">
            <v>Actual</v>
          </cell>
          <cell r="CK2" t="str">
            <v>Actual</v>
          </cell>
          <cell r="CL2" t="str">
            <v>Actual</v>
          </cell>
          <cell r="CM2" t="str">
            <v>Actual</v>
          </cell>
          <cell r="CN2" t="str">
            <v>Actual</v>
          </cell>
          <cell r="CO2" t="str">
            <v>Actual</v>
          </cell>
          <cell r="CP2" t="str">
            <v>Actual</v>
          </cell>
          <cell r="CQ2" t="str">
            <v>Actual</v>
          </cell>
          <cell r="CR2" t="str">
            <v>Actual</v>
          </cell>
          <cell r="CS2" t="str">
            <v>Actual</v>
          </cell>
          <cell r="CT2" t="str">
            <v>Actual</v>
          </cell>
          <cell r="CU2" t="str">
            <v>Actual</v>
          </cell>
          <cell r="CV2" t="str">
            <v>Actual</v>
          </cell>
          <cell r="CW2" t="str">
            <v>Actual</v>
          </cell>
          <cell r="CX2" t="str">
            <v>Actual</v>
          </cell>
          <cell r="CY2" t="str">
            <v>Actual</v>
          </cell>
          <cell r="CZ2" t="str">
            <v>Actual</v>
          </cell>
          <cell r="DA2" t="str">
            <v>Actual</v>
          </cell>
          <cell r="DB2" t="str">
            <v>Actual</v>
          </cell>
          <cell r="DC2" t="str">
            <v>Actual</v>
          </cell>
          <cell r="DD2" t="str">
            <v>Actual</v>
          </cell>
          <cell r="DE2" t="str">
            <v>Actual</v>
          </cell>
          <cell r="DF2" t="str">
            <v>Actual</v>
          </cell>
          <cell r="DG2" t="str">
            <v>Actual</v>
          </cell>
          <cell r="DH2" t="str">
            <v>Actual</v>
          </cell>
          <cell r="DI2" t="str">
            <v>Actual</v>
          </cell>
          <cell r="DJ2" t="str">
            <v>Actual</v>
          </cell>
          <cell r="DK2" t="str">
            <v>Actual</v>
          </cell>
          <cell r="DL2" t="str">
            <v>Actual</v>
          </cell>
          <cell r="DM2" t="str">
            <v>Actual</v>
          </cell>
          <cell r="DN2" t="str">
            <v>Actual</v>
          </cell>
          <cell r="DO2" t="str">
            <v>Actual</v>
          </cell>
          <cell r="DP2" t="str">
            <v>Estimate</v>
          </cell>
          <cell r="DQ2" t="str">
            <v>Estimate</v>
          </cell>
          <cell r="DR2" t="str">
            <v>Estimate</v>
          </cell>
          <cell r="DS2" t="str">
            <v>Estimate</v>
          </cell>
        </row>
        <row r="3">
          <cell r="F3">
            <v>34699</v>
          </cell>
          <cell r="G3">
            <v>35064</v>
          </cell>
          <cell r="H3">
            <v>35430</v>
          </cell>
          <cell r="I3">
            <v>35795</v>
          </cell>
          <cell r="J3">
            <v>36160</v>
          </cell>
          <cell r="K3">
            <v>36525</v>
          </cell>
          <cell r="L3">
            <v>36891</v>
          </cell>
          <cell r="M3">
            <v>37256</v>
          </cell>
          <cell r="N3">
            <v>37621</v>
          </cell>
          <cell r="O3">
            <v>37986</v>
          </cell>
          <cell r="P3">
            <v>38352</v>
          </cell>
          <cell r="Q3">
            <v>38717</v>
          </cell>
          <cell r="R3">
            <v>39082</v>
          </cell>
          <cell r="S3">
            <v>39447</v>
          </cell>
          <cell r="T3">
            <v>39813</v>
          </cell>
          <cell r="U3">
            <v>40178</v>
          </cell>
          <cell r="V3">
            <v>40543</v>
          </cell>
          <cell r="W3">
            <v>40908</v>
          </cell>
          <cell r="X3">
            <v>41274</v>
          </cell>
          <cell r="Y3">
            <v>41639</v>
          </cell>
          <cell r="Z3">
            <v>42004</v>
          </cell>
          <cell r="AA3">
            <v>42369</v>
          </cell>
          <cell r="AB3">
            <v>42735</v>
          </cell>
          <cell r="AC3">
            <v>43100</v>
          </cell>
          <cell r="AD3">
            <v>43465</v>
          </cell>
          <cell r="AE3">
            <v>43830</v>
          </cell>
          <cell r="AF3">
            <v>44196</v>
          </cell>
          <cell r="AG3">
            <v>44561</v>
          </cell>
          <cell r="AH3">
            <v>44926</v>
          </cell>
          <cell r="AI3">
            <v>45291</v>
          </cell>
          <cell r="AJ3">
            <v>45657</v>
          </cell>
          <cell r="AK3">
            <v>46022</v>
          </cell>
          <cell r="AL3">
            <v>46387</v>
          </cell>
          <cell r="AN3">
            <v>37894</v>
          </cell>
          <cell r="AO3">
            <v>37986</v>
          </cell>
          <cell r="AP3">
            <v>38077</v>
          </cell>
          <cell r="AQ3">
            <v>38168</v>
          </cell>
          <cell r="AR3">
            <v>38260</v>
          </cell>
          <cell r="AS3">
            <v>38352</v>
          </cell>
          <cell r="AT3">
            <v>38442</v>
          </cell>
          <cell r="AU3">
            <v>38533</v>
          </cell>
          <cell r="AV3">
            <v>38625</v>
          </cell>
          <cell r="AW3">
            <v>38717</v>
          </cell>
          <cell r="AX3">
            <v>38807</v>
          </cell>
          <cell r="AY3">
            <v>38898</v>
          </cell>
          <cell r="AZ3">
            <v>38990</v>
          </cell>
          <cell r="BA3">
            <v>39082</v>
          </cell>
          <cell r="BB3">
            <v>39172</v>
          </cell>
          <cell r="BC3">
            <v>39263</v>
          </cell>
          <cell r="BD3">
            <v>39355</v>
          </cell>
          <cell r="BE3">
            <v>39447</v>
          </cell>
          <cell r="BF3">
            <v>39538</v>
          </cell>
          <cell r="BG3">
            <v>39629</v>
          </cell>
          <cell r="BH3">
            <v>39721</v>
          </cell>
          <cell r="BI3">
            <v>39813</v>
          </cell>
          <cell r="BJ3">
            <v>39903</v>
          </cell>
          <cell r="BK3">
            <v>39994</v>
          </cell>
          <cell r="BL3">
            <v>40086</v>
          </cell>
          <cell r="BM3">
            <v>40178</v>
          </cell>
          <cell r="BN3">
            <v>40268</v>
          </cell>
          <cell r="BO3">
            <v>40359</v>
          </cell>
          <cell r="BP3">
            <v>40451</v>
          </cell>
          <cell r="BQ3">
            <v>40543</v>
          </cell>
          <cell r="BR3">
            <v>40633</v>
          </cell>
          <cell r="BS3">
            <v>40724</v>
          </cell>
          <cell r="BT3">
            <v>40816</v>
          </cell>
          <cell r="BU3">
            <v>40908</v>
          </cell>
          <cell r="BV3">
            <v>40999</v>
          </cell>
          <cell r="BW3">
            <v>41090</v>
          </cell>
          <cell r="BX3">
            <v>41182</v>
          </cell>
          <cell r="BY3">
            <v>41274</v>
          </cell>
          <cell r="BZ3">
            <v>41364</v>
          </cell>
          <cell r="CA3">
            <v>41455</v>
          </cell>
          <cell r="CB3">
            <v>41547</v>
          </cell>
          <cell r="CC3">
            <v>41639</v>
          </cell>
          <cell r="CD3">
            <v>41729</v>
          </cell>
          <cell r="CE3">
            <v>41820</v>
          </cell>
          <cell r="CF3">
            <v>41912</v>
          </cell>
          <cell r="CG3">
            <v>42004</v>
          </cell>
          <cell r="CH3">
            <v>42094</v>
          </cell>
          <cell r="CI3">
            <v>42185</v>
          </cell>
          <cell r="CJ3">
            <v>42277</v>
          </cell>
          <cell r="CK3">
            <v>42369</v>
          </cell>
          <cell r="CL3">
            <v>42460</v>
          </cell>
          <cell r="CM3">
            <v>42551</v>
          </cell>
          <cell r="CN3">
            <v>42643</v>
          </cell>
          <cell r="CO3">
            <v>42735</v>
          </cell>
          <cell r="CP3">
            <v>42825</v>
          </cell>
          <cell r="CQ3">
            <v>42916</v>
          </cell>
          <cell r="CR3">
            <v>43008</v>
          </cell>
          <cell r="CS3">
            <v>43100</v>
          </cell>
          <cell r="CT3">
            <v>43190</v>
          </cell>
          <cell r="CU3">
            <v>43281</v>
          </cell>
          <cell r="CV3">
            <v>43373</v>
          </cell>
          <cell r="CW3">
            <v>43465</v>
          </cell>
          <cell r="CX3">
            <v>43555</v>
          </cell>
          <cell r="CY3">
            <v>43646</v>
          </cell>
          <cell r="CZ3">
            <v>43738</v>
          </cell>
          <cell r="DA3">
            <v>43830</v>
          </cell>
          <cell r="DB3">
            <v>43921</v>
          </cell>
          <cell r="DC3">
            <v>44012</v>
          </cell>
          <cell r="DD3">
            <v>44104</v>
          </cell>
          <cell r="DE3">
            <v>44196</v>
          </cell>
          <cell r="DF3">
            <v>44286</v>
          </cell>
          <cell r="DG3">
            <v>44377</v>
          </cell>
          <cell r="DH3">
            <v>44469</v>
          </cell>
          <cell r="DI3">
            <v>44561</v>
          </cell>
          <cell r="DJ3">
            <v>44651</v>
          </cell>
          <cell r="DK3">
            <v>44742</v>
          </cell>
          <cell r="DL3">
            <v>44834</v>
          </cell>
          <cell r="DM3">
            <v>44926</v>
          </cell>
          <cell r="DN3">
            <v>45016</v>
          </cell>
          <cell r="DO3">
            <v>45107</v>
          </cell>
          <cell r="DP3">
            <v>45199</v>
          </cell>
          <cell r="DQ3">
            <v>45291</v>
          </cell>
          <cell r="DR3">
            <v>45382</v>
          </cell>
          <cell r="DS3">
            <v>45473</v>
          </cell>
        </row>
        <row r="4">
          <cell r="A4" t="str">
            <v>Issuer: SKF</v>
          </cell>
        </row>
        <row r="5">
          <cell r="A5" t="str">
            <v>Reference Data</v>
          </cell>
        </row>
        <row r="6">
          <cell r="B6" t="str">
            <v>Issuer Name</v>
          </cell>
          <cell r="C6" t="str">
            <v>Issuer Name</v>
          </cell>
          <cell r="E6" t="str">
            <v>SKF</v>
          </cell>
        </row>
        <row r="7">
          <cell r="B7" t="str">
            <v>Reporting Currency</v>
          </cell>
          <cell r="C7" t="str">
            <v>CURRENCY_ISO</v>
          </cell>
          <cell r="E7" t="str">
            <v>SEK</v>
          </cell>
        </row>
        <row r="8">
          <cell r="A8" t="str">
            <v>General Information</v>
          </cell>
        </row>
        <row r="9">
          <cell r="B9" t="str">
            <v>M&amp;A probability (1 = high, 3 = low)</v>
          </cell>
          <cell r="C9" t="str">
            <v>MA_PROB</v>
          </cell>
          <cell r="E9">
            <v>3</v>
          </cell>
        </row>
        <row r="10">
          <cell r="A10" t="str">
            <v>Income Statement</v>
          </cell>
        </row>
        <row r="11">
          <cell r="B11" t="str">
            <v>Sales, net revenue</v>
          </cell>
          <cell r="C11" t="str">
            <v>SALES</v>
          </cell>
          <cell r="F11">
            <v>33273</v>
          </cell>
          <cell r="G11">
            <v>36700</v>
          </cell>
          <cell r="H11">
            <v>33589</v>
          </cell>
          <cell r="I11">
            <v>36922</v>
          </cell>
          <cell r="J11">
            <v>37688</v>
          </cell>
          <cell r="K11">
            <v>36693</v>
          </cell>
          <cell r="L11">
            <v>39848</v>
          </cell>
          <cell r="M11">
            <v>43370</v>
          </cell>
          <cell r="N11">
            <v>42430</v>
          </cell>
          <cell r="O11">
            <v>41377</v>
          </cell>
          <cell r="P11">
            <v>44826</v>
          </cell>
          <cell r="Q11">
            <v>49285</v>
          </cell>
          <cell r="R11">
            <v>53101</v>
          </cell>
          <cell r="S11">
            <v>58559</v>
          </cell>
          <cell r="T11">
            <v>63361</v>
          </cell>
          <cell r="U11">
            <v>56227</v>
          </cell>
          <cell r="V11">
            <v>61029</v>
          </cell>
          <cell r="W11">
            <v>66216</v>
          </cell>
          <cell r="X11">
            <v>64575</v>
          </cell>
          <cell r="Y11">
            <v>63597</v>
          </cell>
          <cell r="Z11">
            <v>70975</v>
          </cell>
          <cell r="AA11">
            <v>75997</v>
          </cell>
          <cell r="AB11">
            <v>72589</v>
          </cell>
          <cell r="AC11">
            <v>77938</v>
          </cell>
          <cell r="AD11">
            <v>85713</v>
          </cell>
          <cell r="AE11">
            <v>86013</v>
          </cell>
          <cell r="AF11">
            <v>74852</v>
          </cell>
          <cell r="AG11">
            <v>81732</v>
          </cell>
          <cell r="AH11">
            <v>96933</v>
          </cell>
          <cell r="AI11">
            <v>104000.13955597053</v>
          </cell>
          <cell r="AJ11">
            <v>106066.05521984569</v>
          </cell>
          <cell r="AK11">
            <v>110037.26748871426</v>
          </cell>
          <cell r="AL11">
            <v>113994.13546504627</v>
          </cell>
          <cell r="AO11">
            <v>10689</v>
          </cell>
          <cell r="AP11">
            <v>10689</v>
          </cell>
          <cell r="AQ11">
            <v>11417</v>
          </cell>
          <cell r="AR11">
            <v>11184</v>
          </cell>
          <cell r="AS11">
            <v>11536</v>
          </cell>
          <cell r="AT11">
            <v>11871</v>
          </cell>
          <cell r="AU11">
            <v>12739</v>
          </cell>
          <cell r="AV11">
            <v>12027</v>
          </cell>
          <cell r="AW11">
            <v>12648</v>
          </cell>
          <cell r="AX11">
            <v>13289</v>
          </cell>
          <cell r="AY11">
            <v>13373</v>
          </cell>
          <cell r="AZ11">
            <v>12544</v>
          </cell>
          <cell r="BA11">
            <v>13895</v>
          </cell>
          <cell r="BB11">
            <v>14371</v>
          </cell>
          <cell r="BC11">
            <v>14963</v>
          </cell>
          <cell r="BD11">
            <v>14155</v>
          </cell>
          <cell r="BE11">
            <v>15070</v>
          </cell>
          <cell r="BF11">
            <v>15596</v>
          </cell>
          <cell r="BG11">
            <v>16077</v>
          </cell>
          <cell r="BH11">
            <v>15381</v>
          </cell>
          <cell r="BI11">
            <v>16307</v>
          </cell>
          <cell r="BJ11">
            <v>14849</v>
          </cell>
          <cell r="BK11">
            <v>14167</v>
          </cell>
          <cell r="BL11">
            <v>13324</v>
          </cell>
          <cell r="BM11">
            <v>13887</v>
          </cell>
          <cell r="BN11">
            <v>14446</v>
          </cell>
          <cell r="BO11">
            <v>15709</v>
          </cell>
          <cell r="BP11">
            <v>15465</v>
          </cell>
          <cell r="BQ11">
            <v>15409</v>
          </cell>
          <cell r="BR11">
            <v>16702</v>
          </cell>
          <cell r="BS11">
            <v>16712</v>
          </cell>
          <cell r="BT11">
            <v>16545</v>
          </cell>
          <cell r="BU11">
            <v>16257</v>
          </cell>
          <cell r="BV11">
            <v>16931</v>
          </cell>
          <cell r="BW11">
            <v>17174</v>
          </cell>
          <cell r="BX11">
            <v>15486</v>
          </cell>
          <cell r="BY11">
            <v>14984</v>
          </cell>
          <cell r="BZ11">
            <v>15152</v>
          </cell>
          <cell r="CA11">
            <v>16392</v>
          </cell>
          <cell r="CB11">
            <v>15623</v>
          </cell>
          <cell r="CC11">
            <v>16430</v>
          </cell>
          <cell r="CD11">
            <v>16734</v>
          </cell>
          <cell r="CE11">
            <v>17955</v>
          </cell>
          <cell r="CF11">
            <v>17787</v>
          </cell>
          <cell r="CG11">
            <v>18499</v>
          </cell>
          <cell r="CH11">
            <v>19454</v>
          </cell>
          <cell r="CI11">
            <v>19961</v>
          </cell>
          <cell r="CJ11">
            <v>18367</v>
          </cell>
          <cell r="CK11">
            <v>18215</v>
          </cell>
          <cell r="CL11">
            <v>17720</v>
          </cell>
          <cell r="CM11">
            <v>18319</v>
          </cell>
          <cell r="CN11">
            <v>17862</v>
          </cell>
          <cell r="CO11">
            <v>18732</v>
          </cell>
          <cell r="CP11">
            <v>19601</v>
          </cell>
          <cell r="CQ11">
            <v>20229</v>
          </cell>
          <cell r="CR11">
            <v>18627</v>
          </cell>
          <cell r="CS11">
            <v>19481</v>
          </cell>
          <cell r="CT11">
            <v>20560</v>
          </cell>
          <cell r="CU11">
            <v>22620</v>
          </cell>
          <cell r="CV11">
            <v>21341</v>
          </cell>
          <cell r="CW11">
            <v>21192</v>
          </cell>
          <cell r="CX11">
            <v>21278</v>
          </cell>
          <cell r="CY11">
            <v>22488</v>
          </cell>
          <cell r="CZ11">
            <v>21039</v>
          </cell>
          <cell r="DA11">
            <v>21208</v>
          </cell>
          <cell r="DB11">
            <v>20085</v>
          </cell>
          <cell r="DC11">
            <v>16599</v>
          </cell>
          <cell r="DD11">
            <v>18596</v>
          </cell>
          <cell r="DE11">
            <v>19572</v>
          </cell>
          <cell r="DF11">
            <v>19865</v>
          </cell>
          <cell r="DG11">
            <v>20735</v>
          </cell>
          <cell r="DH11">
            <v>20146</v>
          </cell>
          <cell r="DI11">
            <v>20986</v>
          </cell>
          <cell r="DJ11">
            <v>22942</v>
          </cell>
          <cell r="DK11">
            <v>23655</v>
          </cell>
          <cell r="DL11">
            <v>24975</v>
          </cell>
          <cell r="DM11">
            <v>25361</v>
          </cell>
          <cell r="DN11">
            <v>26549</v>
          </cell>
          <cell r="DO11">
            <v>27122</v>
          </cell>
          <cell r="DP11">
            <v>26193.750112489954</v>
          </cell>
          <cell r="DQ11">
            <v>24135.389443480573</v>
          </cell>
          <cell r="DR11">
            <v>26245.274915451002</v>
          </cell>
          <cell r="DS11">
            <v>27259.165343447214</v>
          </cell>
        </row>
        <row r="12">
          <cell r="B12" t="str">
            <v>Cost of goods sold, COGS</v>
          </cell>
          <cell r="C12" t="str">
            <v>COST_GD_SD</v>
          </cell>
          <cell r="F12">
            <v>-24340</v>
          </cell>
          <cell r="G12">
            <v>-25631</v>
          </cell>
          <cell r="H12">
            <v>-23949</v>
          </cell>
          <cell r="I12">
            <v>-27845</v>
          </cell>
          <cell r="J12">
            <v>-29823</v>
          </cell>
          <cell r="K12">
            <v>-28066</v>
          </cell>
          <cell r="L12">
            <v>-29751</v>
          </cell>
          <cell r="M12">
            <v>-32234</v>
          </cell>
          <cell r="N12">
            <v>-31077</v>
          </cell>
          <cell r="O12">
            <v>-31272</v>
          </cell>
          <cell r="P12">
            <v>-32982</v>
          </cell>
          <cell r="Q12">
            <v>-36094</v>
          </cell>
          <cell r="R12">
            <v>-38618</v>
          </cell>
          <cell r="S12">
            <v>-42272</v>
          </cell>
          <cell r="T12">
            <v>-45900</v>
          </cell>
          <cell r="U12">
            <v>-43807</v>
          </cell>
          <cell r="V12">
            <v>-43032</v>
          </cell>
          <cell r="W12">
            <v>-46163</v>
          </cell>
          <cell r="X12">
            <v>-46514</v>
          </cell>
          <cell r="Y12">
            <v>-46085</v>
          </cell>
          <cell r="Z12">
            <v>-51150</v>
          </cell>
          <cell r="AA12">
            <v>-55111</v>
          </cell>
          <cell r="AB12">
            <v>-52586</v>
          </cell>
          <cell r="AC12">
            <v>-56118</v>
          </cell>
          <cell r="AD12">
            <v>-62238</v>
          </cell>
          <cell r="AE12">
            <v>-62108</v>
          </cell>
          <cell r="AF12">
            <v>-55015</v>
          </cell>
          <cell r="AG12">
            <v>-55222</v>
          </cell>
          <cell r="AH12">
            <v>-70024</v>
          </cell>
          <cell r="AI12" t="e">
            <v>#VALUE!</v>
          </cell>
          <cell r="AJ12" t="e">
            <v>#VALUE!</v>
          </cell>
          <cell r="AK12" t="e">
            <v>#VALUE!</v>
          </cell>
          <cell r="AL12" t="e">
            <v>#VALUE!</v>
          </cell>
        </row>
        <row r="13">
          <cell r="B13" t="str">
            <v>SG&amp;A, selling, general and admin. expense</v>
          </cell>
          <cell r="C13" t="str">
            <v>SEL_GL_AD</v>
          </cell>
          <cell r="F13">
            <v>-5951</v>
          </cell>
          <cell r="G13">
            <v>-6546</v>
          </cell>
          <cell r="H13">
            <v>-6422</v>
          </cell>
          <cell r="I13">
            <v>-6927</v>
          </cell>
          <cell r="J13">
            <v>-7234</v>
          </cell>
          <cell r="K13">
            <v>-5754</v>
          </cell>
          <cell r="L13">
            <v>-5902</v>
          </cell>
          <cell r="M13">
            <v>-6747</v>
          </cell>
          <cell r="N13">
            <v>-6636</v>
          </cell>
          <cell r="O13">
            <v>-6175</v>
          </cell>
          <cell r="P13">
            <v>-6695</v>
          </cell>
          <cell r="Q13">
            <v>-7284</v>
          </cell>
          <cell r="R13">
            <v>-7617</v>
          </cell>
          <cell r="S13">
            <v>-7864</v>
          </cell>
          <cell r="T13">
            <v>-8543</v>
          </cell>
          <cell r="U13">
            <v>-7915</v>
          </cell>
          <cell r="V13">
            <v>-8222</v>
          </cell>
          <cell r="W13">
            <v>-8980</v>
          </cell>
          <cell r="X13">
            <v>-9087</v>
          </cell>
          <cell r="Y13">
            <v>-8868</v>
          </cell>
          <cell r="Z13">
            <v>-10069</v>
          </cell>
          <cell r="AA13">
            <v>-11603</v>
          </cell>
          <cell r="AB13">
            <v>-10222</v>
          </cell>
          <cell r="AC13">
            <v>-10812</v>
          </cell>
          <cell r="AD13">
            <v>-11327</v>
          </cell>
          <cell r="AE13">
            <v>-11819</v>
          </cell>
          <cell r="AF13">
            <v>-10253</v>
          </cell>
          <cell r="AG13">
            <v>-13001</v>
          </cell>
          <cell r="AH13">
            <v>-15200</v>
          </cell>
          <cell r="AI13">
            <v>-15909</v>
          </cell>
          <cell r="AJ13">
            <v>-16225</v>
          </cell>
          <cell r="AK13">
            <v>-16832</v>
          </cell>
          <cell r="AL13">
            <v>-17438</v>
          </cell>
        </row>
        <row r="14">
          <cell r="B14" t="str">
            <v>Total operating expense</v>
          </cell>
          <cell r="C14" t="str">
            <v>OP_COST</v>
          </cell>
          <cell r="F14">
            <v>-30291</v>
          </cell>
          <cell r="G14">
            <v>-32177</v>
          </cell>
          <cell r="H14">
            <v>-30371</v>
          </cell>
          <cell r="I14">
            <v>-34772</v>
          </cell>
          <cell r="J14">
            <v>-37057</v>
          </cell>
          <cell r="K14">
            <v>-33820</v>
          </cell>
          <cell r="L14">
            <v>-35653</v>
          </cell>
          <cell r="M14">
            <v>-38981</v>
          </cell>
          <cell r="N14">
            <v>-37713</v>
          </cell>
          <cell r="O14">
            <v>-37447</v>
          </cell>
          <cell r="P14">
            <v>-39677</v>
          </cell>
          <cell r="Q14">
            <v>-43378</v>
          </cell>
          <cell r="R14">
            <v>-46235</v>
          </cell>
          <cell r="S14">
            <v>-50136</v>
          </cell>
          <cell r="T14">
            <v>-54443</v>
          </cell>
          <cell r="U14">
            <v>-51722</v>
          </cell>
          <cell r="V14">
            <v>-51254</v>
          </cell>
          <cell r="W14">
            <v>-55143</v>
          </cell>
          <cell r="X14">
            <v>-55601</v>
          </cell>
          <cell r="Y14">
            <v>-54953</v>
          </cell>
          <cell r="Z14">
            <v>-61219</v>
          </cell>
          <cell r="AA14">
            <v>-66714</v>
          </cell>
          <cell r="AB14">
            <v>-62808</v>
          </cell>
          <cell r="AC14">
            <v>-66930</v>
          </cell>
          <cell r="AD14">
            <v>-73565</v>
          </cell>
          <cell r="AE14">
            <v>-73927</v>
          </cell>
          <cell r="AF14">
            <v>-65268</v>
          </cell>
          <cell r="AG14">
            <v>-68223</v>
          </cell>
          <cell r="AH14">
            <v>-85224</v>
          </cell>
          <cell r="AI14" t="e">
            <v>#VALUE!</v>
          </cell>
          <cell r="AJ14" t="e">
            <v>#VALUE!</v>
          </cell>
          <cell r="AK14" t="e">
            <v>#VALUE!</v>
          </cell>
          <cell r="AL14" t="e">
            <v>#VALUE!</v>
          </cell>
        </row>
        <row r="15">
          <cell r="B15" t="str">
            <v>R&amp;D expense</v>
          </cell>
          <cell r="C15" t="str">
            <v>RD_EXP</v>
          </cell>
          <cell r="F15">
            <v>-542</v>
          </cell>
          <cell r="G15">
            <v>-598</v>
          </cell>
          <cell r="H15">
            <v>-751</v>
          </cell>
          <cell r="I15">
            <v>0</v>
          </cell>
          <cell r="J15">
            <v>-702</v>
          </cell>
          <cell r="K15">
            <v>-756</v>
          </cell>
          <cell r="L15">
            <v>-710</v>
          </cell>
          <cell r="M15">
            <v>-871</v>
          </cell>
          <cell r="N15">
            <v>-767</v>
          </cell>
          <cell r="O15">
            <v>-750</v>
          </cell>
          <cell r="P15">
            <v>-784</v>
          </cell>
          <cell r="Q15">
            <v>-837</v>
          </cell>
          <cell r="R15">
            <v>-875</v>
          </cell>
          <cell r="S15">
            <v>-900</v>
          </cell>
          <cell r="T15">
            <v>-1175</v>
          </cell>
          <cell r="U15">
            <v>-1217</v>
          </cell>
          <cell r="V15">
            <v>-1184</v>
          </cell>
          <cell r="W15">
            <v>-1481</v>
          </cell>
          <cell r="X15">
            <v>-1607</v>
          </cell>
          <cell r="Y15">
            <v>-1840</v>
          </cell>
          <cell r="Z15">
            <v>-2078</v>
          </cell>
          <cell r="AA15">
            <v>-2372</v>
          </cell>
          <cell r="AB15">
            <v>-2246</v>
          </cell>
          <cell r="AC15">
            <v>-2395</v>
          </cell>
          <cell r="AD15">
            <v>-2591</v>
          </cell>
          <cell r="AE15">
            <v>-2691</v>
          </cell>
          <cell r="AF15">
            <v>-2515</v>
          </cell>
          <cell r="AG15">
            <v>-2751</v>
          </cell>
          <cell r="AH15">
            <v>-3177</v>
          </cell>
          <cell r="AI15">
            <v>-3120.0041866791157</v>
          </cell>
          <cell r="AJ15">
            <v>-3181.9816565953706</v>
          </cell>
          <cell r="AK15">
            <v>-3301.1180246614276</v>
          </cell>
          <cell r="AL15">
            <v>-3419.8240639513883</v>
          </cell>
        </row>
        <row r="16">
          <cell r="B16" t="str">
            <v>Other operating income/(expense) (incl. leases)</v>
          </cell>
          <cell r="C16" t="str">
            <v>OTH_OP_INC_EXP</v>
          </cell>
          <cell r="F16">
            <v>151</v>
          </cell>
          <cell r="G16">
            <v>75</v>
          </cell>
          <cell r="H16">
            <v>407</v>
          </cell>
          <cell r="I16">
            <v>854</v>
          </cell>
          <cell r="J16">
            <v>2208</v>
          </cell>
          <cell r="K16">
            <v>15</v>
          </cell>
          <cell r="L16">
            <v>75</v>
          </cell>
          <cell r="M16">
            <v>92</v>
          </cell>
          <cell r="N16">
            <v>8</v>
          </cell>
          <cell r="O16">
            <v>568</v>
          </cell>
          <cell r="P16">
            <v>175</v>
          </cell>
          <cell r="Q16">
            <v>251</v>
          </cell>
          <cell r="R16">
            <v>-360</v>
          </cell>
          <cell r="S16">
            <v>279</v>
          </cell>
          <cell r="T16">
            <v>306</v>
          </cell>
          <cell r="U16">
            <v>1201</v>
          </cell>
          <cell r="V16">
            <v>51</v>
          </cell>
          <cell r="W16">
            <v>136</v>
          </cell>
          <cell r="X16">
            <v>389</v>
          </cell>
          <cell r="Y16">
            <v>762</v>
          </cell>
          <cell r="Z16">
            <v>607</v>
          </cell>
          <cell r="AA16">
            <v>1744</v>
          </cell>
          <cell r="AB16">
            <v>9</v>
          </cell>
          <cell r="AC16">
            <v>483</v>
          </cell>
          <cell r="AD16">
            <v>707</v>
          </cell>
          <cell r="AE16">
            <v>741</v>
          </cell>
          <cell r="AF16">
            <v>2125</v>
          </cell>
          <cell r="AG16">
            <v>81</v>
          </cell>
          <cell r="AH16">
            <v>1672</v>
          </cell>
          <cell r="AI16">
            <v>994</v>
          </cell>
          <cell r="AJ16">
            <v>694</v>
          </cell>
          <cell r="AK16">
            <v>694</v>
          </cell>
          <cell r="AL16">
            <v>694</v>
          </cell>
        </row>
        <row r="17">
          <cell r="B17" t="str">
            <v>Total operating expense (incl. D&amp;A)</v>
          </cell>
          <cell r="C17" t="str">
            <v>TOT_OPS_EXP_DDA</v>
          </cell>
          <cell r="F17">
            <v>-30682</v>
          </cell>
          <cell r="G17">
            <v>-32700</v>
          </cell>
          <cell r="H17">
            <v>-30715</v>
          </cell>
          <cell r="I17">
            <v>-33918</v>
          </cell>
          <cell r="J17">
            <v>-35551</v>
          </cell>
          <cell r="K17">
            <v>-34561</v>
          </cell>
          <cell r="L17">
            <v>-36288</v>
          </cell>
          <cell r="M17">
            <v>-39760</v>
          </cell>
          <cell r="N17">
            <v>-38472</v>
          </cell>
          <cell r="O17">
            <v>-37629</v>
          </cell>
          <cell r="P17">
            <v>-40286</v>
          </cell>
          <cell r="Q17">
            <v>-43964</v>
          </cell>
          <cell r="R17">
            <v>-47470</v>
          </cell>
          <cell r="S17">
            <v>-50757</v>
          </cell>
          <cell r="T17">
            <v>-55312</v>
          </cell>
          <cell r="U17">
            <v>-51738</v>
          </cell>
          <cell r="V17">
            <v>-52387</v>
          </cell>
          <cell r="W17">
            <v>-56488</v>
          </cell>
          <cell r="X17">
            <v>-56819</v>
          </cell>
          <cell r="Y17">
            <v>-56031</v>
          </cell>
          <cell r="Z17">
            <v>-62690</v>
          </cell>
          <cell r="AA17">
            <v>-67342</v>
          </cell>
          <cell r="AB17">
            <v>-65045</v>
          </cell>
          <cell r="AC17">
            <v>-68842</v>
          </cell>
          <cell r="AD17">
            <v>-75449</v>
          </cell>
          <cell r="AE17">
            <v>-75877</v>
          </cell>
          <cell r="AF17">
            <v>-65658</v>
          </cell>
          <cell r="AG17">
            <v>-70893</v>
          </cell>
          <cell r="AH17">
            <v>-86729</v>
          </cell>
          <cell r="AI17" t="e">
            <v>#VALUE!</v>
          </cell>
          <cell r="AJ17" t="e">
            <v>#VALUE!</v>
          </cell>
          <cell r="AK17" t="e">
            <v>#VALUE!</v>
          </cell>
          <cell r="AL17" t="e">
            <v>#VALUE!</v>
          </cell>
        </row>
        <row r="18">
          <cell r="B18" t="str">
            <v>Total operating expense (excl. D&amp;A)</v>
          </cell>
          <cell r="C18" t="str">
            <v>TOT_OPS_EXP</v>
          </cell>
          <cell r="F18">
            <v>-29161</v>
          </cell>
          <cell r="G18">
            <v>-31266</v>
          </cell>
          <cell r="H18">
            <v>-29254</v>
          </cell>
          <cell r="I18">
            <v>-32390</v>
          </cell>
          <cell r="J18">
            <v>-33454</v>
          </cell>
          <cell r="K18">
            <v>-32688</v>
          </cell>
          <cell r="L18">
            <v>-34655</v>
          </cell>
          <cell r="M18">
            <v>-37966</v>
          </cell>
          <cell r="N18">
            <v>-36613</v>
          </cell>
          <cell r="O18">
            <v>-35837</v>
          </cell>
          <cell r="P18">
            <v>-38553</v>
          </cell>
          <cell r="Q18">
            <v>-42212</v>
          </cell>
          <cell r="R18">
            <v>-45636</v>
          </cell>
          <cell r="S18">
            <v>-48981</v>
          </cell>
          <cell r="T18">
            <v>-53363</v>
          </cell>
          <cell r="U18">
            <v>-49567</v>
          </cell>
          <cell r="V18">
            <v>-50395</v>
          </cell>
          <cell r="W18">
            <v>-54698</v>
          </cell>
          <cell r="X18">
            <v>-54988</v>
          </cell>
          <cell r="Y18">
            <v>-54138</v>
          </cell>
          <cell r="Z18">
            <v>-60298</v>
          </cell>
          <cell r="AA18">
            <v>-64484</v>
          </cell>
          <cell r="AB18">
            <v>-62677</v>
          </cell>
          <cell r="AC18">
            <v>-66519</v>
          </cell>
          <cell r="AD18">
            <v>-72977</v>
          </cell>
          <cell r="AE18">
            <v>-72381</v>
          </cell>
          <cell r="AF18">
            <v>-62257</v>
          </cell>
          <cell r="AG18">
            <v>-67588</v>
          </cell>
          <cell r="AH18">
            <v>-82945</v>
          </cell>
          <cell r="AI18" t="e">
            <v>#VALUE!</v>
          </cell>
          <cell r="AJ18" t="e">
            <v>#VALUE!</v>
          </cell>
          <cell r="AK18" t="e">
            <v>#VALUE!</v>
          </cell>
          <cell r="AL18" t="e">
            <v>#VALUE!</v>
          </cell>
        </row>
        <row r="19">
          <cell r="B19" t="str">
            <v>EBITDA</v>
          </cell>
          <cell r="C19" t="str">
            <v>EBITDA_CALC</v>
          </cell>
          <cell r="F19">
            <v>4112</v>
          </cell>
          <cell r="G19">
            <v>5434</v>
          </cell>
          <cell r="H19">
            <v>4335</v>
          </cell>
          <cell r="I19">
            <v>4532</v>
          </cell>
          <cell r="J19">
            <v>4234</v>
          </cell>
          <cell r="K19">
            <v>4005</v>
          </cell>
          <cell r="L19">
            <v>5193</v>
          </cell>
          <cell r="M19">
            <v>5404</v>
          </cell>
          <cell r="N19">
            <v>5817</v>
          </cell>
          <cell r="O19">
            <v>5540</v>
          </cell>
          <cell r="P19">
            <v>6273</v>
          </cell>
          <cell r="Q19">
            <v>7073</v>
          </cell>
          <cell r="R19">
            <v>7465</v>
          </cell>
          <cell r="S19">
            <v>9578</v>
          </cell>
          <cell r="T19">
            <v>9998</v>
          </cell>
          <cell r="U19">
            <v>6660</v>
          </cell>
          <cell r="V19">
            <v>10634</v>
          </cell>
          <cell r="W19">
            <v>11518</v>
          </cell>
          <cell r="X19">
            <v>9587</v>
          </cell>
          <cell r="Y19">
            <v>9459</v>
          </cell>
          <cell r="Z19">
            <v>10677</v>
          </cell>
          <cell r="AA19">
            <v>11513</v>
          </cell>
          <cell r="AB19">
            <v>9912</v>
          </cell>
          <cell r="AC19">
            <v>11419</v>
          </cell>
          <cell r="AD19">
            <v>12736</v>
          </cell>
          <cell r="AE19">
            <v>13632</v>
          </cell>
          <cell r="AF19">
            <v>12595</v>
          </cell>
          <cell r="AG19">
            <v>14144</v>
          </cell>
          <cell r="AH19">
            <v>13988</v>
          </cell>
          <cell r="AI19" t="e">
            <v>#VALUE!</v>
          </cell>
          <cell r="AJ19" t="e">
            <v>#VALUE!</v>
          </cell>
          <cell r="AK19" t="e">
            <v>#VALUE!</v>
          </cell>
          <cell r="AL19" t="e">
            <v>#VALUE!</v>
          </cell>
        </row>
        <row r="20">
          <cell r="B20" t="str">
            <v>Depreciation</v>
          </cell>
          <cell r="C20" t="str">
            <v>DEPREC</v>
          </cell>
          <cell r="F20">
            <v>-1521</v>
          </cell>
          <cell r="G20">
            <v>-1434</v>
          </cell>
          <cell r="H20">
            <v>-1461</v>
          </cell>
          <cell r="I20">
            <v>-1528</v>
          </cell>
          <cell r="J20">
            <v>-2097</v>
          </cell>
          <cell r="K20">
            <v>-1873</v>
          </cell>
          <cell r="L20">
            <v>-1633</v>
          </cell>
          <cell r="M20">
            <v>-1794</v>
          </cell>
          <cell r="N20">
            <v>-1859</v>
          </cell>
          <cell r="O20">
            <v>-1792</v>
          </cell>
          <cell r="P20">
            <v>-1733</v>
          </cell>
          <cell r="Q20">
            <v>-1752</v>
          </cell>
          <cell r="R20">
            <v>-1834</v>
          </cell>
          <cell r="S20">
            <v>-1776</v>
          </cell>
          <cell r="T20">
            <v>-1949</v>
          </cell>
          <cell r="U20">
            <v>-2171</v>
          </cell>
          <cell r="V20">
            <v>-1992</v>
          </cell>
          <cell r="W20">
            <v>-1790</v>
          </cell>
          <cell r="X20">
            <v>-1831</v>
          </cell>
          <cell r="Y20">
            <v>-1893</v>
          </cell>
          <cell r="Z20">
            <v>-2392</v>
          </cell>
          <cell r="AA20">
            <v>-2858</v>
          </cell>
          <cell r="AB20">
            <v>-2368</v>
          </cell>
          <cell r="AC20">
            <v>-2323</v>
          </cell>
          <cell r="AD20">
            <v>-2472</v>
          </cell>
          <cell r="AE20">
            <v>-3496</v>
          </cell>
          <cell r="AF20">
            <v>-3401</v>
          </cell>
          <cell r="AG20">
            <v>-3305</v>
          </cell>
          <cell r="AH20">
            <v>-3784</v>
          </cell>
          <cell r="AI20">
            <v>-4034</v>
          </cell>
          <cell r="AJ20">
            <v>-4284</v>
          </cell>
          <cell r="AK20">
            <v>-4534</v>
          </cell>
          <cell r="AL20">
            <v>-4784</v>
          </cell>
        </row>
        <row r="21">
          <cell r="B21" t="str">
            <v>Amortization</v>
          </cell>
          <cell r="C21" t="str">
            <v>GOODWILL_AMORT</v>
          </cell>
        </row>
        <row r="22">
          <cell r="B22" t="str">
            <v>EBIT, operating profit</v>
          </cell>
          <cell r="C22" t="str">
            <v>EBIT</v>
          </cell>
          <cell r="F22">
            <v>2591</v>
          </cell>
          <cell r="G22">
            <v>4000</v>
          </cell>
          <cell r="H22">
            <v>2874</v>
          </cell>
          <cell r="I22">
            <v>3004</v>
          </cell>
          <cell r="J22">
            <v>2137</v>
          </cell>
          <cell r="K22">
            <v>2132</v>
          </cell>
          <cell r="L22">
            <v>3560</v>
          </cell>
          <cell r="M22">
            <v>3610</v>
          </cell>
          <cell r="N22">
            <v>3958</v>
          </cell>
          <cell r="O22">
            <v>3748</v>
          </cell>
          <cell r="P22">
            <v>4540</v>
          </cell>
          <cell r="Q22">
            <v>5321</v>
          </cell>
          <cell r="R22">
            <v>5631</v>
          </cell>
          <cell r="S22">
            <v>7802</v>
          </cell>
          <cell r="T22">
            <v>8049</v>
          </cell>
          <cell r="U22">
            <v>4489</v>
          </cell>
          <cell r="V22">
            <v>8642</v>
          </cell>
          <cell r="W22">
            <v>9728</v>
          </cell>
          <cell r="X22">
            <v>7756</v>
          </cell>
          <cell r="Y22">
            <v>7566</v>
          </cell>
          <cell r="Z22">
            <v>8285</v>
          </cell>
          <cell r="AA22">
            <v>8655</v>
          </cell>
          <cell r="AB22">
            <v>7544</v>
          </cell>
          <cell r="AC22">
            <v>9096</v>
          </cell>
          <cell r="AD22">
            <v>10264</v>
          </cell>
          <cell r="AE22">
            <v>10136</v>
          </cell>
          <cell r="AF22">
            <v>9194</v>
          </cell>
          <cell r="AG22">
            <v>10839</v>
          </cell>
          <cell r="AH22">
            <v>10204</v>
          </cell>
          <cell r="AI22" t="e">
            <v>#VALUE!</v>
          </cell>
          <cell r="AJ22" t="e">
            <v>#VALUE!</v>
          </cell>
          <cell r="AK22" t="e">
            <v>#VALUE!</v>
          </cell>
          <cell r="AL22" t="e">
            <v>#VALUE!</v>
          </cell>
          <cell r="AO22">
            <v>903</v>
          </cell>
          <cell r="AP22">
            <v>903</v>
          </cell>
          <cell r="AQ22">
            <v>1159</v>
          </cell>
          <cell r="AR22">
            <v>1189</v>
          </cell>
          <cell r="AS22">
            <v>1183</v>
          </cell>
          <cell r="AT22">
            <v>1207</v>
          </cell>
          <cell r="AU22">
            <v>1388</v>
          </cell>
          <cell r="AV22">
            <v>1464</v>
          </cell>
          <cell r="AW22">
            <v>1268</v>
          </cell>
          <cell r="AX22">
            <v>1609</v>
          </cell>
          <cell r="AY22">
            <v>1702</v>
          </cell>
          <cell r="AZ22">
            <v>1538</v>
          </cell>
          <cell r="BA22">
            <v>1858</v>
          </cell>
          <cell r="BB22">
            <v>1886</v>
          </cell>
          <cell r="BC22">
            <v>2019</v>
          </cell>
          <cell r="BD22">
            <v>1803</v>
          </cell>
          <cell r="BE22">
            <v>1831</v>
          </cell>
          <cell r="BF22">
            <v>2040</v>
          </cell>
          <cell r="BG22">
            <v>2135</v>
          </cell>
          <cell r="BH22">
            <v>2085</v>
          </cell>
          <cell r="BI22">
            <v>1450</v>
          </cell>
          <cell r="BJ22">
            <v>768</v>
          </cell>
          <cell r="BK22">
            <v>474</v>
          </cell>
          <cell r="BL22">
            <v>957</v>
          </cell>
          <cell r="BM22">
            <v>1004</v>
          </cell>
          <cell r="BN22">
            <v>1702</v>
          </cell>
          <cell r="BO22">
            <v>2239</v>
          </cell>
          <cell r="BP22">
            <v>2309</v>
          </cell>
          <cell r="BQ22">
            <v>2202</v>
          </cell>
          <cell r="BR22">
            <v>2504</v>
          </cell>
          <cell r="BS22">
            <v>2623</v>
          </cell>
          <cell r="BT22">
            <v>2479</v>
          </cell>
          <cell r="BU22">
            <v>2006</v>
          </cell>
          <cell r="BV22">
            <v>2140</v>
          </cell>
          <cell r="BW22">
            <v>2053</v>
          </cell>
          <cell r="BX22">
            <v>1913</v>
          </cell>
          <cell r="BY22">
            <v>1227</v>
          </cell>
          <cell r="BZ22">
            <v>1480</v>
          </cell>
          <cell r="CA22">
            <v>1837</v>
          </cell>
          <cell r="CB22">
            <v>1923</v>
          </cell>
          <cell r="CC22">
            <v>-1547</v>
          </cell>
          <cell r="CD22">
            <v>2024</v>
          </cell>
          <cell r="CE22">
            <v>2096</v>
          </cell>
          <cell r="CF22">
            <v>2073</v>
          </cell>
          <cell r="CG22">
            <v>1608</v>
          </cell>
          <cell r="CH22">
            <v>1721</v>
          </cell>
          <cell r="CI22">
            <v>2383</v>
          </cell>
          <cell r="CJ22">
            <v>1825</v>
          </cell>
          <cell r="CK22">
            <v>1039</v>
          </cell>
          <cell r="CL22">
            <v>1875</v>
          </cell>
          <cell r="CM22">
            <v>1875</v>
          </cell>
          <cell r="CN22">
            <v>2191</v>
          </cell>
          <cell r="CO22">
            <v>1586</v>
          </cell>
          <cell r="CP22">
            <v>2295</v>
          </cell>
          <cell r="CQ22">
            <v>2315</v>
          </cell>
          <cell r="CR22">
            <v>1965</v>
          </cell>
          <cell r="CS22">
            <v>2017</v>
          </cell>
          <cell r="CT22">
            <v>2625</v>
          </cell>
          <cell r="CU22">
            <v>2925</v>
          </cell>
          <cell r="CV22">
            <v>2597</v>
          </cell>
          <cell r="CW22">
            <v>2902</v>
          </cell>
          <cell r="CX22">
            <v>2658</v>
          </cell>
          <cell r="CY22">
            <v>2539</v>
          </cell>
          <cell r="CZ22">
            <v>2288</v>
          </cell>
          <cell r="DA22">
            <v>1910</v>
          </cell>
          <cell r="DB22">
            <v>2268</v>
          </cell>
          <cell r="DC22">
            <v>669</v>
          </cell>
          <cell r="DD22">
            <v>1922</v>
          </cell>
          <cell r="DE22">
            <v>2210</v>
          </cell>
          <cell r="DF22">
            <v>2699</v>
          </cell>
          <cell r="DG22">
            <v>2878</v>
          </cell>
          <cell r="DH22">
            <v>2588</v>
          </cell>
          <cell r="DI22">
            <v>2593</v>
          </cell>
          <cell r="DJ22">
            <v>2953</v>
          </cell>
          <cell r="DK22">
            <v>1581</v>
          </cell>
          <cell r="DL22">
            <v>1929</v>
          </cell>
          <cell r="DM22">
            <v>2069</v>
          </cell>
          <cell r="DN22">
            <v>3379</v>
          </cell>
          <cell r="DO22">
            <v>3213</v>
          </cell>
          <cell r="DP22" t="e">
            <v>#VALUE!</v>
          </cell>
          <cell r="DQ22" t="e">
            <v>#VALUE!</v>
          </cell>
          <cell r="DR22" t="e">
            <v>#VALUE!</v>
          </cell>
          <cell r="DS22" t="e">
            <v>#VALUE!</v>
          </cell>
        </row>
        <row r="23">
          <cell r="B23" t="str">
            <v>Interest income</v>
          </cell>
          <cell r="C23" t="str">
            <v>INT_INC_IND</v>
          </cell>
          <cell r="F23">
            <v>580</v>
          </cell>
          <cell r="G23">
            <v>361</v>
          </cell>
          <cell r="H23">
            <v>687</v>
          </cell>
          <cell r="I23">
            <v>604</v>
          </cell>
          <cell r="J23">
            <v>226</v>
          </cell>
          <cell r="K23">
            <v>463</v>
          </cell>
          <cell r="L23">
            <v>595</v>
          </cell>
          <cell r="M23">
            <v>659</v>
          </cell>
          <cell r="N23">
            <v>0</v>
          </cell>
          <cell r="O23">
            <v>0</v>
          </cell>
          <cell r="P23">
            <v>142</v>
          </cell>
          <cell r="Q23">
            <v>701</v>
          </cell>
          <cell r="R23">
            <v>69</v>
          </cell>
          <cell r="S23">
            <v>968</v>
          </cell>
          <cell r="T23">
            <v>2020</v>
          </cell>
          <cell r="U23">
            <v>45</v>
          </cell>
          <cell r="V23">
            <v>0</v>
          </cell>
          <cell r="W23">
            <v>0</v>
          </cell>
          <cell r="X23">
            <v>121</v>
          </cell>
          <cell r="Y23">
            <v>123</v>
          </cell>
          <cell r="Z23">
            <v>147</v>
          </cell>
          <cell r="AA23">
            <v>108</v>
          </cell>
          <cell r="AB23">
            <v>107</v>
          </cell>
          <cell r="AC23">
            <v>108</v>
          </cell>
          <cell r="AD23">
            <v>118</v>
          </cell>
          <cell r="AE23">
            <v>126.9082462253194</v>
          </cell>
          <cell r="AF23">
            <v>68</v>
          </cell>
          <cell r="AG23">
            <v>102</v>
          </cell>
          <cell r="AH23">
            <v>120</v>
          </cell>
          <cell r="AI23">
            <v>0</v>
          </cell>
          <cell r="AJ23">
            <v>0</v>
          </cell>
          <cell r="AK23">
            <v>0</v>
          </cell>
          <cell r="AL23">
            <v>0</v>
          </cell>
        </row>
        <row r="24">
          <cell r="B24" t="str">
            <v>Interest expense</v>
          </cell>
          <cell r="C24" t="str">
            <v>INT_EXP_IND</v>
          </cell>
          <cell r="F24">
            <v>-1294</v>
          </cell>
          <cell r="G24">
            <v>-972</v>
          </cell>
          <cell r="H24">
            <v>-1149</v>
          </cell>
          <cell r="I24">
            <v>-1447</v>
          </cell>
          <cell r="J24">
            <v>-1290</v>
          </cell>
          <cell r="K24">
            <v>-1214</v>
          </cell>
          <cell r="L24">
            <v>-1267</v>
          </cell>
          <cell r="M24">
            <v>-1173</v>
          </cell>
          <cell r="N24">
            <v>-480</v>
          </cell>
          <cell r="O24">
            <v>-506</v>
          </cell>
          <cell r="P24">
            <v>-489</v>
          </cell>
          <cell r="Q24">
            <v>-775</v>
          </cell>
          <cell r="R24">
            <v>-389</v>
          </cell>
          <cell r="S24">
            <v>-1369</v>
          </cell>
          <cell r="T24">
            <v>-2862</v>
          </cell>
          <cell r="U24">
            <v>-951</v>
          </cell>
          <cell r="V24">
            <v>-903</v>
          </cell>
          <cell r="W24">
            <v>-680</v>
          </cell>
          <cell r="X24">
            <v>-943</v>
          </cell>
          <cell r="Y24">
            <v>-995</v>
          </cell>
          <cell r="Z24">
            <v>-1280</v>
          </cell>
          <cell r="AA24">
            <v>-1242</v>
          </cell>
          <cell r="AB24">
            <v>-895</v>
          </cell>
          <cell r="AC24">
            <v>-1042</v>
          </cell>
          <cell r="AD24">
            <v>-979</v>
          </cell>
          <cell r="AE24">
            <v>-1052.9082462253193</v>
          </cell>
          <cell r="AF24">
            <v>-837</v>
          </cell>
          <cell r="AG24">
            <v>-797</v>
          </cell>
          <cell r="AH24">
            <v>-1359</v>
          </cell>
          <cell r="AI24">
            <v>-1625</v>
          </cell>
          <cell r="AJ24">
            <v>-1625</v>
          </cell>
          <cell r="AK24">
            <v>-1625</v>
          </cell>
          <cell r="AL24">
            <v>-1625</v>
          </cell>
        </row>
        <row r="25">
          <cell r="B25" t="str">
            <v>Net interest income/(expense)</v>
          </cell>
          <cell r="C25" t="str">
            <v>NET_INT_EXP</v>
          </cell>
          <cell r="F25">
            <v>-714</v>
          </cell>
          <cell r="G25">
            <v>-611</v>
          </cell>
          <cell r="H25">
            <v>-462</v>
          </cell>
          <cell r="I25">
            <v>-843</v>
          </cell>
          <cell r="J25">
            <v>-1064</v>
          </cell>
          <cell r="K25">
            <v>-751</v>
          </cell>
          <cell r="L25">
            <v>-672</v>
          </cell>
          <cell r="M25">
            <v>-514</v>
          </cell>
          <cell r="N25">
            <v>-480</v>
          </cell>
          <cell r="O25">
            <v>-506</v>
          </cell>
          <cell r="P25">
            <v>-347</v>
          </cell>
          <cell r="Q25">
            <v>-74</v>
          </cell>
          <cell r="R25">
            <v>-320</v>
          </cell>
          <cell r="S25">
            <v>-401</v>
          </cell>
          <cell r="T25">
            <v>-842</v>
          </cell>
          <cell r="U25">
            <v>-906</v>
          </cell>
          <cell r="V25">
            <v>-903</v>
          </cell>
          <cell r="W25">
            <v>-680</v>
          </cell>
          <cell r="X25">
            <v>-822</v>
          </cell>
          <cell r="Y25">
            <v>-872</v>
          </cell>
          <cell r="Z25">
            <v>-1133</v>
          </cell>
          <cell r="AA25">
            <v>-1134</v>
          </cell>
          <cell r="AB25">
            <v>-788</v>
          </cell>
          <cell r="AC25">
            <v>-934</v>
          </cell>
          <cell r="AD25">
            <v>-861</v>
          </cell>
          <cell r="AE25">
            <v>-925.99999999999989</v>
          </cell>
          <cell r="AF25">
            <v>-769</v>
          </cell>
          <cell r="AG25">
            <v>-695</v>
          </cell>
          <cell r="AH25">
            <v>-1239</v>
          </cell>
          <cell r="AI25">
            <v>-1625</v>
          </cell>
          <cell r="AJ25">
            <v>-1625</v>
          </cell>
          <cell r="AK25">
            <v>-1625</v>
          </cell>
          <cell r="AL25">
            <v>-1625</v>
          </cell>
        </row>
        <row r="26">
          <cell r="B26" t="str">
            <v>Income/(loss) from unconsolidated subs &amp; associates</v>
          </cell>
          <cell r="C26" t="str">
            <v>ASSOCIATE</v>
          </cell>
          <cell r="F26">
            <v>0</v>
          </cell>
          <cell r="G26">
            <v>0</v>
          </cell>
          <cell r="H26">
            <v>0</v>
          </cell>
          <cell r="I26">
            <v>0</v>
          </cell>
          <cell r="J26">
            <v>0</v>
          </cell>
          <cell r="K26">
            <v>0</v>
          </cell>
          <cell r="L26">
            <v>7</v>
          </cell>
          <cell r="M26">
            <v>12</v>
          </cell>
          <cell r="N26">
            <v>32</v>
          </cell>
          <cell r="O26">
            <v>19</v>
          </cell>
          <cell r="P26">
            <v>-3</v>
          </cell>
          <cell r="Q26">
            <v>172</v>
          </cell>
          <cell r="R26">
            <v>738</v>
          </cell>
          <cell r="S26">
            <v>-3</v>
          </cell>
          <cell r="T26">
            <v>1</v>
          </cell>
          <cell r="U26">
            <v>-11</v>
          </cell>
          <cell r="V26">
            <v>0</v>
          </cell>
          <cell r="W26">
            <v>-16</v>
          </cell>
          <cell r="X26">
            <v>-2</v>
          </cell>
          <cell r="Y26">
            <v>2</v>
          </cell>
          <cell r="Z26">
            <v>6</v>
          </cell>
          <cell r="AA26">
            <v>0</v>
          </cell>
          <cell r="AB26">
            <v>0</v>
          </cell>
          <cell r="AC26">
            <v>0</v>
          </cell>
          <cell r="AD26">
            <v>0</v>
          </cell>
          <cell r="AE26">
            <v>0</v>
          </cell>
          <cell r="AF26">
            <v>0</v>
          </cell>
          <cell r="AG26">
            <v>0</v>
          </cell>
          <cell r="AH26">
            <v>0</v>
          </cell>
          <cell r="AI26">
            <v>0</v>
          </cell>
          <cell r="AJ26">
            <v>0</v>
          </cell>
          <cell r="AK26">
            <v>0</v>
          </cell>
          <cell r="AL26">
            <v>0</v>
          </cell>
        </row>
        <row r="27">
          <cell r="B27" t="str">
            <v>Profit/(loss) on disposals of assets, pre-tax</v>
          </cell>
          <cell r="C27" t="str">
            <v>PROFIT_ON_DISP</v>
          </cell>
        </row>
        <row r="28">
          <cell r="B28" t="str">
            <v>Other non-ops income/(expense)</v>
          </cell>
          <cell r="C28" t="str">
            <v>OTH_COST_INC</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-190</v>
          </cell>
          <cell r="W28">
            <v>-100</v>
          </cell>
          <cell r="X28">
            <v>-440</v>
          </cell>
          <cell r="Y28">
            <v>-3875</v>
          </cell>
          <cell r="Z28">
            <v>-490</v>
          </cell>
          <cell r="AA28">
            <v>-1687</v>
          </cell>
          <cell r="AB28">
            <v>-17</v>
          </cell>
          <cell r="AC28">
            <v>-504</v>
          </cell>
          <cell r="AD28">
            <v>785</v>
          </cell>
          <cell r="AE28">
            <v>-741</v>
          </cell>
          <cell r="AF28">
            <v>-2125</v>
          </cell>
          <cell r="AG28">
            <v>-81</v>
          </cell>
          <cell r="AH28">
            <v>-1672</v>
          </cell>
          <cell r="AI28">
            <v>-900</v>
          </cell>
          <cell r="AJ28">
            <v>-600</v>
          </cell>
          <cell r="AK28">
            <v>-600</v>
          </cell>
          <cell r="AL28">
            <v>-600</v>
          </cell>
        </row>
        <row r="29">
          <cell r="B29" t="str">
            <v>Pre-tax profit</v>
          </cell>
          <cell r="C29" t="str">
            <v>PT_PROF</v>
          </cell>
          <cell r="F29">
            <v>1877</v>
          </cell>
          <cell r="G29">
            <v>3389</v>
          </cell>
          <cell r="H29">
            <v>2412</v>
          </cell>
          <cell r="I29">
            <v>2161</v>
          </cell>
          <cell r="J29">
            <v>1073</v>
          </cell>
          <cell r="K29">
            <v>1381</v>
          </cell>
          <cell r="L29">
            <v>2895</v>
          </cell>
          <cell r="M29">
            <v>3108</v>
          </cell>
          <cell r="N29">
            <v>3510</v>
          </cell>
          <cell r="O29">
            <v>3261</v>
          </cell>
          <cell r="P29">
            <v>4190</v>
          </cell>
          <cell r="Q29">
            <v>5419</v>
          </cell>
          <cell r="R29">
            <v>6049</v>
          </cell>
          <cell r="S29">
            <v>7398</v>
          </cell>
          <cell r="T29">
            <v>7208</v>
          </cell>
          <cell r="U29">
            <v>3572</v>
          </cell>
          <cell r="V29">
            <v>7549</v>
          </cell>
          <cell r="W29">
            <v>8932</v>
          </cell>
          <cell r="X29">
            <v>6492</v>
          </cell>
          <cell r="Y29">
            <v>2821</v>
          </cell>
          <cell r="Z29">
            <v>6668</v>
          </cell>
          <cell r="AA29">
            <v>5834</v>
          </cell>
          <cell r="AB29">
            <v>6739</v>
          </cell>
          <cell r="AC29">
            <v>7658</v>
          </cell>
          <cell r="AD29">
            <v>10188</v>
          </cell>
          <cell r="AE29">
            <v>8469</v>
          </cell>
          <cell r="AF29">
            <v>6300</v>
          </cell>
          <cell r="AG29">
            <v>10063</v>
          </cell>
          <cell r="AH29">
            <v>7293</v>
          </cell>
          <cell r="AI29" t="e">
            <v>#VALUE!</v>
          </cell>
          <cell r="AJ29" t="e">
            <v>#VALUE!</v>
          </cell>
          <cell r="AK29" t="e">
            <v>#VALUE!</v>
          </cell>
          <cell r="AL29" t="e">
            <v>#VALUE!</v>
          </cell>
          <cell r="AO29">
            <v>815</v>
          </cell>
          <cell r="AP29">
            <v>815</v>
          </cell>
          <cell r="AQ29">
            <v>1049</v>
          </cell>
          <cell r="AR29">
            <v>1110</v>
          </cell>
          <cell r="AS29">
            <v>1113</v>
          </cell>
          <cell r="AT29">
            <v>1179</v>
          </cell>
          <cell r="AU29">
            <v>1319</v>
          </cell>
          <cell r="AV29">
            <v>1480</v>
          </cell>
          <cell r="AW29">
            <v>1275</v>
          </cell>
          <cell r="AX29">
            <v>1599</v>
          </cell>
          <cell r="AY29">
            <v>1520</v>
          </cell>
          <cell r="AZ29">
            <v>1422</v>
          </cell>
          <cell r="BA29">
            <v>1846</v>
          </cell>
          <cell r="BB29">
            <v>1825</v>
          </cell>
          <cell r="BC29">
            <v>1957</v>
          </cell>
          <cell r="BD29">
            <v>1646</v>
          </cell>
          <cell r="BE29">
            <v>1710</v>
          </cell>
          <cell r="BF29">
            <v>1924</v>
          </cell>
          <cell r="BG29">
            <v>1978</v>
          </cell>
          <cell r="BH29">
            <v>1859</v>
          </cell>
          <cell r="BI29">
            <v>1107</v>
          </cell>
          <cell r="BJ29">
            <v>531</v>
          </cell>
          <cell r="BK29">
            <v>312</v>
          </cell>
          <cell r="BL29">
            <v>689</v>
          </cell>
          <cell r="BM29">
            <v>765</v>
          </cell>
          <cell r="BN29">
            <v>1504</v>
          </cell>
          <cell r="BO29">
            <v>2047</v>
          </cell>
          <cell r="BP29">
            <v>1950</v>
          </cell>
          <cell r="BQ29">
            <v>2048</v>
          </cell>
          <cell r="BR29">
            <v>2318</v>
          </cell>
          <cell r="BS29">
            <v>2446</v>
          </cell>
          <cell r="BT29">
            <v>2345</v>
          </cell>
          <cell r="BU29">
            <v>1823</v>
          </cell>
          <cell r="BV29">
            <v>1981</v>
          </cell>
          <cell r="BW29">
            <v>1801</v>
          </cell>
          <cell r="BX29">
            <v>1734</v>
          </cell>
          <cell r="BY29">
            <v>995</v>
          </cell>
          <cell r="BZ29">
            <v>1237</v>
          </cell>
          <cell r="CA29">
            <v>1627</v>
          </cell>
          <cell r="CB29">
            <v>1717</v>
          </cell>
          <cell r="CC29">
            <v>-1760</v>
          </cell>
          <cell r="CD29">
            <v>1787</v>
          </cell>
          <cell r="CE29">
            <v>1761</v>
          </cell>
          <cell r="CF29">
            <v>1827</v>
          </cell>
          <cell r="CG29">
            <v>1293</v>
          </cell>
          <cell r="CH29">
            <v>1592</v>
          </cell>
          <cell r="CI29">
            <v>2241</v>
          </cell>
          <cell r="CJ29">
            <v>1348</v>
          </cell>
          <cell r="CK29">
            <v>653</v>
          </cell>
          <cell r="CL29">
            <v>1658</v>
          </cell>
          <cell r="CM29">
            <v>1656</v>
          </cell>
          <cell r="CN29">
            <v>2049</v>
          </cell>
          <cell r="CO29">
            <v>1376</v>
          </cell>
          <cell r="CP29">
            <v>2125</v>
          </cell>
          <cell r="CQ29">
            <v>2057</v>
          </cell>
          <cell r="CR29">
            <v>1692</v>
          </cell>
          <cell r="CS29">
            <v>1784</v>
          </cell>
          <cell r="CT29">
            <v>2425</v>
          </cell>
          <cell r="CU29">
            <v>2783</v>
          </cell>
          <cell r="CV29">
            <v>2344</v>
          </cell>
          <cell r="CW29">
            <v>2636</v>
          </cell>
          <cell r="CX29">
            <v>2442</v>
          </cell>
          <cell r="CY29">
            <v>2261</v>
          </cell>
          <cell r="CZ29">
            <v>2044</v>
          </cell>
          <cell r="DA29">
            <v>1722</v>
          </cell>
          <cell r="DB29">
            <v>1856</v>
          </cell>
          <cell r="DC29">
            <v>580</v>
          </cell>
          <cell r="DD29">
            <v>1720</v>
          </cell>
          <cell r="DE29">
            <v>2144</v>
          </cell>
          <cell r="DF29">
            <v>2495</v>
          </cell>
          <cell r="DG29">
            <v>2801</v>
          </cell>
          <cell r="DH29">
            <v>2440</v>
          </cell>
          <cell r="DI29">
            <v>2327</v>
          </cell>
          <cell r="DJ29">
            <v>2885</v>
          </cell>
          <cell r="DK29">
            <v>1097</v>
          </cell>
          <cell r="DL29">
            <v>1618</v>
          </cell>
          <cell r="DM29">
            <v>1693</v>
          </cell>
          <cell r="DN29">
            <v>2942</v>
          </cell>
          <cell r="DO29">
            <v>2830</v>
          </cell>
          <cell r="DP29" t="e">
            <v>#VALUE!</v>
          </cell>
          <cell r="DQ29" t="e">
            <v>#VALUE!</v>
          </cell>
          <cell r="DR29" t="e">
            <v>#VALUE!</v>
          </cell>
          <cell r="DS29" t="e">
            <v>#VALUE!</v>
          </cell>
        </row>
        <row r="30">
          <cell r="A30" t="str">
            <v>Additional Income Statement Items</v>
          </cell>
        </row>
        <row r="31">
          <cell r="B31" t="str">
            <v>Organic revenues (excl. acquisitions)</v>
          </cell>
          <cell r="C31" t="str">
            <v>ORG_REV</v>
          </cell>
        </row>
        <row r="32">
          <cell r="B32" t="str">
            <v>Organic sales growth (excl. acquisitions)</v>
          </cell>
          <cell r="C32" t="str">
            <v>ORG_REV_GRTH</v>
          </cell>
          <cell r="F32">
            <v>0.15000000000000002</v>
          </cell>
          <cell r="G32">
            <v>0.13300000000000001</v>
          </cell>
          <cell r="H32">
            <v>0</v>
          </cell>
          <cell r="I32">
            <v>4.9000000000000002E-2</v>
          </cell>
          <cell r="J32">
            <v>1.5999999999999997E-2</v>
          </cell>
          <cell r="K32">
            <v>-4.5999999999999999E-2</v>
          </cell>
          <cell r="L32">
            <v>6.7000000000000004E-2</v>
          </cell>
          <cell r="M32">
            <v>-2.0000000000000018E-3</v>
          </cell>
          <cell r="N32">
            <v>1.3999999999999999E-2</v>
          </cell>
          <cell r="O32">
            <v>4.9000000000000002E-2</v>
          </cell>
          <cell r="P32">
            <v>0.10700000000000001</v>
          </cell>
          <cell r="Q32">
            <v>8.4000000000000005E-2</v>
          </cell>
          <cell r="R32">
            <v>7.3999999999999996E-2</v>
          </cell>
          <cell r="S32">
            <v>0.10100000000000001</v>
          </cell>
          <cell r="T32">
            <v>5.7000000000000002E-2</v>
          </cell>
          <cell r="U32">
            <v>-0.2</v>
          </cell>
          <cell r="V32">
            <v>0.14199999999999999</v>
          </cell>
          <cell r="W32">
            <v>0.115</v>
          </cell>
          <cell r="X32">
            <v>-2.6318736672950337E-2</v>
          </cell>
          <cell r="Y32">
            <v>-6.976910569105689E-3</v>
          </cell>
          <cell r="Z32">
            <v>3.7513769460291294E-2</v>
          </cell>
          <cell r="AA32">
            <v>-2.567789688616641E-2</v>
          </cell>
          <cell r="AB32">
            <v>-1.6E-2</v>
          </cell>
          <cell r="AC32">
            <v>8.2000000000000003E-2</v>
          </cell>
          <cell r="AD32">
            <v>7.0999999999999994E-2</v>
          </cell>
          <cell r="AE32">
            <v>-0.02</v>
          </cell>
          <cell r="AF32">
            <v>-0.1</v>
          </cell>
          <cell r="AG32">
            <v>0.126</v>
          </cell>
          <cell r="AH32">
            <v>8.1000000000000003E-2</v>
          </cell>
          <cell r="AI32">
            <v>2.6226439912104237E-2</v>
          </cell>
          <cell r="AJ32">
            <v>1.9864547035182752E-2</v>
          </cell>
          <cell r="AK32">
            <v>3.7440934902663807E-2</v>
          </cell>
          <cell r="AL32">
            <v>3.595934419889011E-2</v>
          </cell>
          <cell r="AS32">
            <v>0.11899999999999999</v>
          </cell>
          <cell r="AT32">
            <v>0.11899999999999999</v>
          </cell>
          <cell r="AU32">
            <v>0.11199999999999999</v>
          </cell>
          <cell r="AV32">
            <v>7.1999999999999995E-2</v>
          </cell>
          <cell r="AW32">
            <v>3.9E-2</v>
          </cell>
          <cell r="AX32">
            <v>8.8999999999999996E-2</v>
          </cell>
          <cell r="AY32">
            <v>4.4999999999999998E-2</v>
          </cell>
          <cell r="AZ32">
            <v>5.3000000000000005E-2</v>
          </cell>
          <cell r="BA32">
            <v>0.11099999999999999</v>
          </cell>
          <cell r="BB32">
            <v>9.7000000000000003E-2</v>
          </cell>
          <cell r="BC32">
            <v>9.6000000000000002E-2</v>
          </cell>
          <cell r="BD32">
            <v>0.11</v>
          </cell>
          <cell r="BE32">
            <v>9.5000000000000001E-2</v>
          </cell>
          <cell r="BF32">
            <v>8.6999999999999994E-2</v>
          </cell>
          <cell r="BG32">
            <v>0.10200000000000001</v>
          </cell>
          <cell r="BH32">
            <v>9.0999999999999998E-2</v>
          </cell>
          <cell r="BI32">
            <v>-4.4999999999999998E-2</v>
          </cell>
          <cell r="BJ32">
            <v>-0.19800000000000001</v>
          </cell>
          <cell r="BK32">
            <v>-0.252</v>
          </cell>
          <cell r="BL32">
            <v>-0.21199999999999999</v>
          </cell>
          <cell r="BM32">
            <v>-0.13800000000000001</v>
          </cell>
          <cell r="BN32">
            <v>0.05</v>
          </cell>
          <cell r="BO32">
            <v>0.161</v>
          </cell>
          <cell r="BP32">
            <v>0.193</v>
          </cell>
          <cell r="BQ32">
            <v>0.17200000000000001</v>
          </cell>
          <cell r="BR32">
            <v>0.21400000000000002</v>
          </cell>
          <cell r="BS32">
            <v>0.14200000000000002</v>
          </cell>
          <cell r="BT32">
            <v>8.2000000000000003E-2</v>
          </cell>
          <cell r="BU32">
            <v>2.8000000000000001E-2</v>
          </cell>
          <cell r="BV32">
            <v>7.4142594859241129E-3</v>
          </cell>
          <cell r="BW32">
            <v>-8.7625635061516806E-3</v>
          </cell>
          <cell r="BX32">
            <v>-4.660430586488494E-2</v>
          </cell>
          <cell r="BY32">
            <v>-5.3465705108017889E-2</v>
          </cell>
          <cell r="BZ32">
            <v>-8.0859357026094328E-2</v>
          </cell>
          <cell r="CA32">
            <v>-2.3635756056808687E-2</v>
          </cell>
          <cell r="CB32">
            <v>1.8730195868707802E-2</v>
          </cell>
          <cell r="CC32">
            <v>6.8998682568298442E-2</v>
          </cell>
          <cell r="CD32">
            <v>6.3141988834819751E-2</v>
          </cell>
          <cell r="CE32">
            <v>4.6999649676701977E-2</v>
          </cell>
          <cell r="CF32">
            <v>3.2052469199115412E-2</v>
          </cell>
          <cell r="CG32">
            <v>2.6154675445615106E-2</v>
          </cell>
          <cell r="CH32">
            <v>1.3601166426166428E-2</v>
          </cell>
          <cell r="CI32">
            <v>-1.3791760089686101E-2</v>
          </cell>
          <cell r="CJ32">
            <v>-4.7E-2</v>
          </cell>
          <cell r="CK32">
            <v>-5.2064646024922452E-2</v>
          </cell>
          <cell r="CL32">
            <v>-6.0747349914680171E-2</v>
          </cell>
          <cell r="CM32">
            <v>-4.4400761637520672E-2</v>
          </cell>
          <cell r="CN32">
            <v>-6.0000000000000001E-3</v>
          </cell>
          <cell r="CO32">
            <v>1.2E-2</v>
          </cell>
          <cell r="CP32">
            <v>0.08</v>
          </cell>
          <cell r="CQ32">
            <v>7.4999999999999997E-2</v>
          </cell>
          <cell r="CR32">
            <v>0.08</v>
          </cell>
          <cell r="CS32">
            <v>8.2000000000000003E-2</v>
          </cell>
          <cell r="CT32">
            <v>7.4999999999999997E-2</v>
          </cell>
          <cell r="CU32">
            <v>0.09</v>
          </cell>
          <cell r="CV32">
            <v>6.9093734900950235E-2</v>
          </cell>
          <cell r="CW32">
            <v>4.9391869000564644E-2</v>
          </cell>
          <cell r="CX32">
            <v>2.6463521400778207E-3</v>
          </cell>
          <cell r="CY32">
            <v>-1.5885941644562335E-2</v>
          </cell>
          <cell r="CZ32">
            <v>-3.0093341455414466E-2</v>
          </cell>
          <cell r="DA32">
            <v>-2.9207342393355984E-2</v>
          </cell>
          <cell r="DB32">
            <v>-8.6321082808534635E-2</v>
          </cell>
          <cell r="DC32">
            <v>-0.25188051405193884</v>
          </cell>
          <cell r="DD32">
            <v>-5.0999999999999997E-2</v>
          </cell>
          <cell r="DE32">
            <v>-1.2668332704639741E-3</v>
          </cell>
          <cell r="DF32">
            <v>8.5999999999999993E-2</v>
          </cell>
          <cell r="DG32">
            <v>0.33200000000000002</v>
          </cell>
          <cell r="DH32">
            <v>7.6999999999999999E-2</v>
          </cell>
          <cell r="DI32">
            <v>3.7999999999999999E-2</v>
          </cell>
          <cell r="DJ32">
            <v>6.5000000000000002E-2</v>
          </cell>
          <cell r="DK32">
            <v>5.3999999999999999E-2</v>
          </cell>
          <cell r="DL32">
            <v>0.11006735828452298</v>
          </cell>
          <cell r="DM32">
            <v>9.6806537691794523E-2</v>
          </cell>
          <cell r="DN32">
            <v>0.10100000000000001</v>
          </cell>
          <cell r="DO32">
            <v>7.9000000000000001E-2</v>
          </cell>
          <cell r="DP32">
            <v>7.8390990990991009E-3</v>
          </cell>
          <cell r="DQ32">
            <v>-7.3551831552383581E-2</v>
          </cell>
          <cell r="DR32">
            <v>-3.1299532939093752E-2</v>
          </cell>
          <cell r="DS32">
            <v>-2.4737814320477869E-3</v>
          </cell>
        </row>
        <row r="33">
          <cell r="B33" t="str">
            <v>Growth from acquisitions</v>
          </cell>
          <cell r="C33" t="str">
            <v>ACQ_GRTH</v>
          </cell>
          <cell r="L33">
            <v>-5.0000000000000001E-3</v>
          </cell>
          <cell r="M33">
            <v>5.0000000000000001E-3</v>
          </cell>
          <cell r="N33">
            <v>1.6E-2</v>
          </cell>
          <cell r="O33">
            <v>3.0000000000000001E-3</v>
          </cell>
          <cell r="P33">
            <v>1.0999999999999999E-2</v>
          </cell>
          <cell r="Q33">
            <v>-1.0999999999999999E-2</v>
          </cell>
          <cell r="R33">
            <v>1E-3</v>
          </cell>
          <cell r="S33">
            <v>3.1E-2</v>
          </cell>
          <cell r="T33">
            <v>1.4E-2</v>
          </cell>
          <cell r="U33">
            <v>0.01</v>
          </cell>
          <cell r="V33">
            <v>0</v>
          </cell>
          <cell r="W33">
            <v>4.8000000000000001E-2</v>
          </cell>
          <cell r="X33">
            <v>4.0000000000000001E-3</v>
          </cell>
          <cell r="Y33">
            <v>2.5000000000000001E-2</v>
          </cell>
          <cell r="Z33">
            <v>3.6999999999999998E-2</v>
          </cell>
          <cell r="AA33">
            <v>-4.7597413646418242E-3</v>
          </cell>
          <cell r="AB33">
            <v>-2.2087714218021956E-2</v>
          </cell>
          <cell r="AC33">
            <v>-1.6E-2</v>
          </cell>
          <cell r="AD33">
            <v>-6.0000000000000001E-3</v>
          </cell>
          <cell r="AE33">
            <v>-2.3E-2</v>
          </cell>
          <cell r="AF33">
            <v>0</v>
          </cell>
          <cell r="AG33">
            <v>0</v>
          </cell>
          <cell r="AH33">
            <v>-1.4999999999999999E-2</v>
          </cell>
          <cell r="AI33">
            <v>-4.9621336386988946E-3</v>
          </cell>
          <cell r="AJ33">
            <v>0</v>
          </cell>
          <cell r="AK33">
            <v>0</v>
          </cell>
          <cell r="AL33">
            <v>0</v>
          </cell>
          <cell r="BM33">
            <v>0</v>
          </cell>
          <cell r="BN33">
            <v>0</v>
          </cell>
          <cell r="BO33">
            <v>0</v>
          </cell>
          <cell r="BP33">
            <v>0</v>
          </cell>
          <cell r="BQ33">
            <v>0</v>
          </cell>
          <cell r="BR33">
            <v>0.05</v>
          </cell>
          <cell r="BS33">
            <v>4.3999999999999997E-2</v>
          </cell>
          <cell r="BT33">
            <v>5.0999999999999997E-2</v>
          </cell>
          <cell r="BU33">
            <v>4.8000000000000001E-2</v>
          </cell>
          <cell r="BV33">
            <v>-3.4122577640863987E-4</v>
          </cell>
          <cell r="BW33">
            <v>1.6543016122128691E-4</v>
          </cell>
          <cell r="BX33">
            <v>-3.8176862941978056E-4</v>
          </cell>
          <cell r="BY33">
            <v>-9.5042462074471947E-4</v>
          </cell>
          <cell r="BZ33">
            <v>1.6098698747851706E-3</v>
          </cell>
          <cell r="CA33">
            <v>6.9363623827909532E-3</v>
          </cell>
          <cell r="CB33">
            <v>3.4818871429677213E-3</v>
          </cell>
          <cell r="CC33">
            <v>1.6264194855744145E-3</v>
          </cell>
          <cell r="CD33">
            <v>7.7120405089962069E-2</v>
          </cell>
          <cell r="CE33">
            <v>6.7881590734133829E-2</v>
          </cell>
          <cell r="CF33">
            <v>7.4370522724407792E-2</v>
          </cell>
          <cell r="CG33">
            <v>9.135068389057751E-3</v>
          </cell>
          <cell r="CH33">
            <v>0</v>
          </cell>
          <cell r="CI33">
            <v>-1.7996658312447787E-3</v>
          </cell>
          <cell r="CJ33">
            <v>-7.7402035194242989E-3</v>
          </cell>
          <cell r="CK33">
            <v>-9.5256026554932788E-3</v>
          </cell>
          <cell r="CL33">
            <v>-8.0000000000000002E-3</v>
          </cell>
          <cell r="CM33">
            <v>-5.708272786490956E-3</v>
          </cell>
          <cell r="CN33">
            <v>-1.9922226458253908E-2</v>
          </cell>
          <cell r="CO33">
            <v>-1.772435193321617E-2</v>
          </cell>
          <cell r="CP33">
            <v>-2.0261686991869917E-2</v>
          </cell>
          <cell r="CQ33">
            <v>-1.9648452426442493E-2</v>
          </cell>
          <cell r="CR33">
            <v>-6.8822080394132798E-3</v>
          </cell>
          <cell r="CS33">
            <v>-6.2724215246636765E-3</v>
          </cell>
          <cell r="CT33">
            <v>-6.8685271159634707E-3</v>
          </cell>
          <cell r="CU33">
            <v>-6.233130654011567E-3</v>
          </cell>
          <cell r="CV33">
            <v>-1.0000000000000002E-3</v>
          </cell>
          <cell r="CW33">
            <v>-9.6758893280632415E-3</v>
          </cell>
          <cell r="CX33">
            <v>-2.4935603112840463E-2</v>
          </cell>
          <cell r="CY33">
            <v>-2.6169761273209552E-2</v>
          </cell>
          <cell r="CZ33">
            <v>-2.5999999999999999E-2</v>
          </cell>
          <cell r="DA33">
            <v>-1.8101547753869383E-2</v>
          </cell>
          <cell r="DB33">
            <v>7.0725632108280853E-4</v>
          </cell>
          <cell r="DC33">
            <v>0</v>
          </cell>
          <cell r="DD33">
            <v>0</v>
          </cell>
          <cell r="DE33">
            <v>0</v>
          </cell>
          <cell r="DF33">
            <v>0</v>
          </cell>
          <cell r="DG33">
            <v>0</v>
          </cell>
          <cell r="DH33">
            <v>0</v>
          </cell>
          <cell r="DI33">
            <v>0</v>
          </cell>
          <cell r="DJ33">
            <v>0</v>
          </cell>
          <cell r="DK33">
            <v>-1.9000000000000003E-2</v>
          </cell>
          <cell r="DL33">
            <v>-2.053598729276283E-2</v>
          </cell>
          <cell r="DM33">
            <v>-1.8884780329743639E-2</v>
          </cell>
          <cell r="DN33">
            <v>-2.0279923284805164E-2</v>
          </cell>
          <cell r="DO33">
            <v>-5.5303318537307125E-4</v>
          </cell>
          <cell r="DP33">
            <v>0</v>
          </cell>
          <cell r="DQ33">
            <v>-1.0451086313630917E-4</v>
          </cell>
          <cell r="DR33">
            <v>0</v>
          </cell>
          <cell r="DS33">
            <v>0</v>
          </cell>
        </row>
        <row r="34">
          <cell r="B34" t="str">
            <v>Growth from foreign exchange</v>
          </cell>
          <cell r="C34" t="str">
            <v>FOREX_GRTH</v>
          </cell>
          <cell r="G34">
            <v>-0.03</v>
          </cell>
          <cell r="H34">
            <v>-7.4999999999999997E-2</v>
          </cell>
          <cell r="I34">
            <v>0.06</v>
          </cell>
          <cell r="J34">
            <v>0.01</v>
          </cell>
          <cell r="K34">
            <v>0.02</v>
          </cell>
          <cell r="L34">
            <v>2.4E-2</v>
          </cell>
          <cell r="M34">
            <v>8.5000000000000006E-2</v>
          </cell>
          <cell r="N34">
            <v>-5.1999999999999998E-2</v>
          </cell>
          <cell r="O34">
            <v>-7.6999999999999999E-2</v>
          </cell>
          <cell r="P34">
            <v>-3.5000000000000003E-2</v>
          </cell>
          <cell r="Q34">
            <v>2.5999999999999999E-2</v>
          </cell>
          <cell r="R34">
            <v>2E-3</v>
          </cell>
          <cell r="S34">
            <v>-2.9000000000000001E-2</v>
          </cell>
          <cell r="T34">
            <v>1.0999999999999999E-2</v>
          </cell>
          <cell r="U34">
            <v>7.6999999999999999E-2</v>
          </cell>
          <cell r="V34">
            <v>-5.6000000000000001E-2</v>
          </cell>
          <cell r="W34">
            <v>-7.8E-2</v>
          </cell>
          <cell r="X34">
            <v>-4.0000000000000001E-3</v>
          </cell>
          <cell r="Y34">
            <v>-3.3000000000000002E-2</v>
          </cell>
          <cell r="Z34">
            <v>0.04</v>
          </cell>
          <cell r="AA34">
            <v>0.10260345414327038</v>
          </cell>
          <cell r="AB34">
            <v>-3.5749861794824546E-3</v>
          </cell>
          <cell r="AC34">
            <v>8.0000000000000002E-3</v>
          </cell>
          <cell r="AD34">
            <v>3.5000000000000003E-2</v>
          </cell>
          <cell r="AE34">
            <v>4.7E-2</v>
          </cell>
          <cell r="AF34">
            <v>-0.03</v>
          </cell>
          <cell r="AG34">
            <v>-3.4000000000000002E-2</v>
          </cell>
          <cell r="AH34">
            <v>0.11898466940733127</v>
          </cell>
          <cell r="AI34">
            <v>5.1643161317306979E-2</v>
          </cell>
          <cell r="AJ34">
            <v>0</v>
          </cell>
          <cell r="AK34">
            <v>0</v>
          </cell>
          <cell r="AL34">
            <v>0</v>
          </cell>
          <cell r="BM34">
            <v>-7.6999999999999999E-2</v>
          </cell>
          <cell r="BN34">
            <v>-7.6999999999999999E-2</v>
          </cell>
          <cell r="BO34">
            <v>-5.1999999999999998E-2</v>
          </cell>
          <cell r="BP34">
            <v>-3.2000000000000001E-2</v>
          </cell>
          <cell r="BQ34">
            <v>-6.2E-2</v>
          </cell>
          <cell r="BR34">
            <v>-0.108</v>
          </cell>
          <cell r="BS34">
            <v>-0.122</v>
          </cell>
          <cell r="BT34">
            <v>-6.2E-2</v>
          </cell>
          <cell r="BU34">
            <v>-2.1000000000000001E-2</v>
          </cell>
          <cell r="BV34">
            <v>2.2845936167926353E-3</v>
          </cell>
          <cell r="BW34">
            <v>1.9813026109288062E-2</v>
          </cell>
          <cell r="BX34">
            <v>-1.5808649501541993E-2</v>
          </cell>
          <cell r="BY34">
            <v>-2.0826268418378455E-2</v>
          </cell>
          <cell r="BZ34">
            <v>-2.2764932832941672E-2</v>
          </cell>
          <cell r="CA34">
            <v>-2.7360900441257583E-2</v>
          </cell>
          <cell r="CB34">
            <v>-1.281809737595789E-2</v>
          </cell>
          <cell r="CC34">
            <v>-1.232197744873801E-2</v>
          </cell>
          <cell r="CD34">
            <v>3.1469347097026382E-4</v>
          </cell>
          <cell r="CE34">
            <v>1.1068708479663401E-2</v>
          </cell>
          <cell r="CF34">
            <v>5.3667996439595196E-2</v>
          </cell>
          <cell r="CG34">
            <v>8.8816199525407147E-2</v>
          </cell>
          <cell r="CH34">
            <v>0.14846283016612882</v>
          </cell>
          <cell r="CI34">
            <v>0.12899618834080717</v>
          </cell>
          <cell r="CJ34">
            <v>8.7540254596888259E-2</v>
          </cell>
          <cell r="CK34">
            <v>4.7E-2</v>
          </cell>
          <cell r="CL34">
            <v>-1.9749314855990484E-2</v>
          </cell>
          <cell r="CM34">
            <v>-3.0000000000000002E-2</v>
          </cell>
          <cell r="CN34">
            <v>2.1539676488208704E-3</v>
          </cell>
          <cell r="CO34">
            <v>3.6999999999999998E-2</v>
          </cell>
          <cell r="CP34">
            <v>4.91224593495935E-2</v>
          </cell>
          <cell r="CQ34">
            <v>4.9000000000000002E-2</v>
          </cell>
          <cell r="CR34">
            <v>-0.03</v>
          </cell>
          <cell r="CS34">
            <v>-3.5999999999999997E-2</v>
          </cell>
          <cell r="CT34">
            <v>-1.9E-2</v>
          </cell>
          <cell r="CU34">
            <v>3.438855109001928E-2</v>
          </cell>
          <cell r="CV34">
            <v>7.6975412036291407E-2</v>
          </cell>
          <cell r="CW34">
            <v>4.8278373800112927E-2</v>
          </cell>
          <cell r="CX34">
            <v>5.6926556420233455E-2</v>
          </cell>
          <cell r="CY34">
            <v>3.5633952254641908E-2</v>
          </cell>
          <cell r="CZ34">
            <v>4.241357012323696E-2</v>
          </cell>
          <cell r="DA34">
            <v>4.7974613061532646E-2</v>
          </cell>
          <cell r="DB34">
            <v>2.9000000000000001E-2</v>
          </cell>
          <cell r="DC34">
            <v>-1.0286374955531839E-2</v>
          </cell>
          <cell r="DD34">
            <v>-6.4810494795380008E-2</v>
          </cell>
          <cell r="DE34">
            <v>-7.5616748396831385E-2</v>
          </cell>
          <cell r="DF34">
            <v>-9.705820263878516E-2</v>
          </cell>
          <cell r="DG34">
            <v>-8.2899813241761558E-2</v>
          </cell>
          <cell r="DH34">
            <v>6.0000000000000001E-3</v>
          </cell>
          <cell r="DI34">
            <v>3.4041079092581236E-2</v>
          </cell>
          <cell r="DJ34">
            <v>8.9552680594009559E-2</v>
          </cell>
          <cell r="DK34">
            <v>0.10669163250542561</v>
          </cell>
          <cell r="DL34">
            <v>0.1501837585624938</v>
          </cell>
          <cell r="DM34">
            <v>0.12955760983512818</v>
          </cell>
          <cell r="DN34">
            <v>7.6159271205649026E-2</v>
          </cell>
          <cell r="DO34">
            <v>6.7871232297611508E-2</v>
          </cell>
          <cell r="DP34">
            <v>4.0959704203801905E-2</v>
          </cell>
          <cell r="DQ34">
            <v>2.4849885394131306E-2</v>
          </cell>
          <cell r="DR34">
            <v>1.9859362516516679E-2</v>
          </cell>
          <cell r="DS34">
            <v>7.531127625072514E-3</v>
          </cell>
        </row>
        <row r="35">
          <cell r="B35" t="str">
            <v>Operating lease cost</v>
          </cell>
          <cell r="C35" t="str">
            <v>LEASE_PAY</v>
          </cell>
          <cell r="E35" t="str">
            <v>Only to be populated if significant and ongoing, otherwise include in Other operating income/(expense)</v>
          </cell>
        </row>
        <row r="36">
          <cell r="B36" t="str">
            <v>Lease payments (deemed interest portion)</v>
          </cell>
          <cell r="C36" t="str">
            <v>LEASE_DEEM_INT</v>
          </cell>
          <cell r="E36" t="str">
            <v>Default value in data base is 0.33</v>
          </cell>
        </row>
        <row r="37">
          <cell r="B37" t="str">
            <v>Lease payments (deemed depreciation portion)</v>
          </cell>
          <cell r="C37" t="str">
            <v>LEASE_DEEM_DEPR</v>
          </cell>
          <cell r="E37" t="str">
            <v>Default value in data base is 0.67</v>
          </cell>
        </row>
        <row r="38">
          <cell r="B38" t="str">
            <v>Gross interest charge</v>
          </cell>
          <cell r="C38" t="str">
            <v>NET_INT_CH</v>
          </cell>
        </row>
        <row r="39">
          <cell r="B39" t="str">
            <v>Income from associates (operating)</v>
          </cell>
          <cell r="C39" t="str">
            <v>ASSOCIATE_OP</v>
          </cell>
          <cell r="E39" t="str">
            <v>Populate if to be included in EBIT.</v>
          </cell>
          <cell r="F39">
            <v>0</v>
          </cell>
          <cell r="G39">
            <v>0</v>
          </cell>
          <cell r="H39">
            <v>0</v>
          </cell>
          <cell r="I39">
            <v>0</v>
          </cell>
          <cell r="J39">
            <v>0</v>
          </cell>
          <cell r="K39">
            <v>0</v>
          </cell>
          <cell r="L39">
            <v>7</v>
          </cell>
          <cell r="M39">
            <v>12</v>
          </cell>
          <cell r="N39">
            <v>32</v>
          </cell>
          <cell r="O39">
            <v>19</v>
          </cell>
          <cell r="P39">
            <v>-3</v>
          </cell>
          <cell r="Q39">
            <v>172</v>
          </cell>
          <cell r="R39">
            <v>738</v>
          </cell>
          <cell r="S39">
            <v>-3</v>
          </cell>
          <cell r="T39">
            <v>1</v>
          </cell>
          <cell r="U39">
            <v>-11</v>
          </cell>
          <cell r="V39">
            <v>0</v>
          </cell>
          <cell r="W39">
            <v>-16</v>
          </cell>
          <cell r="X39">
            <v>-2</v>
          </cell>
          <cell r="Y39">
            <v>2</v>
          </cell>
          <cell r="Z39">
            <v>6</v>
          </cell>
          <cell r="AA39">
            <v>0</v>
          </cell>
          <cell r="AB39">
            <v>0</v>
          </cell>
          <cell r="AC39">
            <v>0</v>
          </cell>
          <cell r="AD39">
            <v>0</v>
          </cell>
          <cell r="AE39">
            <v>0</v>
          </cell>
          <cell r="AF39">
            <v>0</v>
          </cell>
          <cell r="AG39">
            <v>0</v>
          </cell>
          <cell r="AH39">
            <v>0</v>
          </cell>
          <cell r="AI39">
            <v>0</v>
          </cell>
          <cell r="AJ39">
            <v>0</v>
          </cell>
          <cell r="AK39">
            <v>0</v>
          </cell>
          <cell r="AL39">
            <v>0</v>
          </cell>
        </row>
        <row r="40">
          <cell r="B40" t="str">
            <v>Goodwill amortization</v>
          </cell>
          <cell r="C40" t="str">
            <v>GW_AMORT</v>
          </cell>
          <cell r="E40" t="str">
            <v>Optional</v>
          </cell>
        </row>
        <row r="41">
          <cell r="B41" t="str">
            <v>Other intangible amortization</v>
          </cell>
          <cell r="C41" t="str">
            <v>OTH_INT_AMORT</v>
          </cell>
          <cell r="E41" t="str">
            <v>Optional</v>
          </cell>
        </row>
        <row r="42">
          <cell r="B42" t="str">
            <v>Depreciation ROU assets   (applicable to IFRS cos.)</v>
          </cell>
          <cell r="C42" t="str">
            <v>DEPR_ROU_ASSETS</v>
          </cell>
        </row>
        <row r="43">
          <cell r="B43" t="str">
            <v>Lease interest charge  (applicable to IFRS cos.)</v>
          </cell>
          <cell r="C43" t="str">
            <v>LEASE_INT_CHG</v>
          </cell>
        </row>
        <row r="44">
          <cell r="B44" t="str">
            <v>Lease standard adopted (US GAAP ASC 842/ IFRS 16)</v>
          </cell>
          <cell r="C44" t="str">
            <v>LEASE_ADOPT</v>
          </cell>
          <cell r="E44" t="str">
            <v>Y</v>
          </cell>
        </row>
        <row r="45">
          <cell r="A45" t="str">
            <v>Balance Sheet</v>
          </cell>
        </row>
        <row r="46">
          <cell r="B46" t="str">
            <v>Cash &amp; cash equivalents</v>
          </cell>
          <cell r="C46" t="str">
            <v>CASH_EQ</v>
          </cell>
          <cell r="F46">
            <v>2356</v>
          </cell>
          <cell r="G46">
            <v>2897</v>
          </cell>
          <cell r="H46">
            <v>2091</v>
          </cell>
          <cell r="I46">
            <v>3931</v>
          </cell>
          <cell r="J46">
            <v>2353</v>
          </cell>
          <cell r="K46">
            <v>1976</v>
          </cell>
          <cell r="L46">
            <v>3481</v>
          </cell>
          <cell r="M46">
            <v>5387</v>
          </cell>
          <cell r="N46">
            <v>5530</v>
          </cell>
          <cell r="O46">
            <v>6342</v>
          </cell>
          <cell r="P46">
            <v>3565</v>
          </cell>
          <cell r="Q46">
            <v>4886</v>
          </cell>
          <cell r="R46">
            <v>9055</v>
          </cell>
          <cell r="S46">
            <v>2946</v>
          </cell>
          <cell r="T46">
            <v>2793</v>
          </cell>
          <cell r="U46">
            <v>4430</v>
          </cell>
          <cell r="V46">
            <v>2395</v>
          </cell>
          <cell r="W46">
            <v>4825</v>
          </cell>
          <cell r="X46">
            <v>8244</v>
          </cell>
          <cell r="Y46">
            <v>5369</v>
          </cell>
          <cell r="Z46">
            <v>5920</v>
          </cell>
          <cell r="AA46">
            <v>7218</v>
          </cell>
          <cell r="AB46">
            <v>9939</v>
          </cell>
          <cell r="AC46">
            <v>7112</v>
          </cell>
          <cell r="AD46">
            <v>10390</v>
          </cell>
          <cell r="AE46">
            <v>6430</v>
          </cell>
          <cell r="AF46">
            <v>14050</v>
          </cell>
          <cell r="AG46">
            <v>13219</v>
          </cell>
          <cell r="AH46">
            <v>10255</v>
          </cell>
          <cell r="AI46" t="e">
            <v>#VALUE!</v>
          </cell>
          <cell r="AJ46" t="e">
            <v>#VALUE!</v>
          </cell>
          <cell r="AK46" t="e">
            <v>#VALUE!</v>
          </cell>
          <cell r="AL46" t="e">
            <v>#VALUE!</v>
          </cell>
        </row>
        <row r="47">
          <cell r="B47" t="str">
            <v>Accounts receivable</v>
          </cell>
          <cell r="C47" t="str">
            <v>DEBTORS</v>
          </cell>
          <cell r="F47">
            <v>6157</v>
          </cell>
          <cell r="G47">
            <v>6111</v>
          </cell>
          <cell r="H47">
            <v>6000</v>
          </cell>
          <cell r="I47">
            <v>6697</v>
          </cell>
          <cell r="J47">
            <v>6738</v>
          </cell>
          <cell r="K47">
            <v>6563</v>
          </cell>
          <cell r="L47">
            <v>7091</v>
          </cell>
          <cell r="M47">
            <v>7442</v>
          </cell>
          <cell r="N47">
            <v>6840</v>
          </cell>
          <cell r="O47">
            <v>6516</v>
          </cell>
          <cell r="P47">
            <v>7406</v>
          </cell>
          <cell r="Q47">
            <v>7948</v>
          </cell>
          <cell r="R47">
            <v>8845</v>
          </cell>
          <cell r="S47">
            <v>9894</v>
          </cell>
          <cell r="T47">
            <v>11041</v>
          </cell>
          <cell r="U47">
            <v>8800</v>
          </cell>
          <cell r="V47">
            <v>9859</v>
          </cell>
          <cell r="W47">
            <v>10713</v>
          </cell>
          <cell r="X47">
            <v>10084</v>
          </cell>
          <cell r="Y47">
            <v>11189</v>
          </cell>
          <cell r="Z47">
            <v>12595</v>
          </cell>
          <cell r="AA47">
            <v>11777</v>
          </cell>
          <cell r="AB47">
            <v>13462</v>
          </cell>
          <cell r="AC47">
            <v>13416</v>
          </cell>
          <cell r="AD47">
            <v>13842</v>
          </cell>
          <cell r="AE47">
            <v>14006</v>
          </cell>
          <cell r="AF47">
            <v>12286</v>
          </cell>
          <cell r="AG47">
            <v>13972</v>
          </cell>
          <cell r="AH47">
            <v>16905</v>
          </cell>
          <cell r="AI47">
            <v>17680.023724514991</v>
          </cell>
          <cell r="AJ47">
            <v>18031.229387373769</v>
          </cell>
          <cell r="AK47">
            <v>18706.335473081424</v>
          </cell>
          <cell r="AL47">
            <v>19379.003029057869</v>
          </cell>
        </row>
        <row r="48">
          <cell r="B48" t="str">
            <v>Inventory</v>
          </cell>
          <cell r="C48" t="str">
            <v>STOCKS</v>
          </cell>
          <cell r="F48">
            <v>8606</v>
          </cell>
          <cell r="G48">
            <v>8972</v>
          </cell>
          <cell r="H48">
            <v>9476</v>
          </cell>
          <cell r="I48">
            <v>9924</v>
          </cell>
          <cell r="J48">
            <v>10183</v>
          </cell>
          <cell r="K48">
            <v>8640</v>
          </cell>
          <cell r="L48">
            <v>9262</v>
          </cell>
          <cell r="M48">
            <v>9113</v>
          </cell>
          <cell r="N48">
            <v>8987</v>
          </cell>
          <cell r="O48">
            <v>8429</v>
          </cell>
          <cell r="P48">
            <v>8985</v>
          </cell>
          <cell r="Q48">
            <v>9931</v>
          </cell>
          <cell r="R48">
            <v>9939</v>
          </cell>
          <cell r="S48">
            <v>11563</v>
          </cell>
          <cell r="T48">
            <v>15204</v>
          </cell>
          <cell r="U48">
            <v>11771</v>
          </cell>
          <cell r="V48">
            <v>12879</v>
          </cell>
          <cell r="W48">
            <v>14191</v>
          </cell>
          <cell r="X48">
            <v>12856</v>
          </cell>
          <cell r="Y48">
            <v>13700</v>
          </cell>
          <cell r="Z48">
            <v>15066</v>
          </cell>
          <cell r="AA48">
            <v>14519</v>
          </cell>
          <cell r="AB48">
            <v>15418</v>
          </cell>
          <cell r="AC48">
            <v>17122</v>
          </cell>
          <cell r="AD48">
            <v>17826</v>
          </cell>
          <cell r="AE48">
            <v>18051</v>
          </cell>
          <cell r="AF48">
            <v>15733</v>
          </cell>
          <cell r="AG48">
            <v>20997</v>
          </cell>
          <cell r="AH48">
            <v>26052</v>
          </cell>
          <cell r="AI48">
            <v>27040.036284552338</v>
          </cell>
          <cell r="AJ48">
            <v>26516.513804961422</v>
          </cell>
          <cell r="AK48">
            <v>26408.944197291421</v>
          </cell>
          <cell r="AL48">
            <v>26218.651156960641</v>
          </cell>
        </row>
        <row r="49">
          <cell r="B49" t="str">
            <v>Other current assets</v>
          </cell>
          <cell r="C49" t="str">
            <v>OTH_CUR_ASS</v>
          </cell>
          <cell r="F49">
            <v>1360</v>
          </cell>
          <cell r="G49">
            <v>1165</v>
          </cell>
          <cell r="H49">
            <v>1352</v>
          </cell>
          <cell r="I49">
            <v>1781</v>
          </cell>
          <cell r="J49">
            <v>1850</v>
          </cell>
          <cell r="K49">
            <v>1627</v>
          </cell>
          <cell r="L49">
            <v>2025</v>
          </cell>
          <cell r="M49">
            <v>1864</v>
          </cell>
          <cell r="N49">
            <v>1473</v>
          </cell>
          <cell r="O49">
            <v>1477</v>
          </cell>
          <cell r="P49">
            <v>1446</v>
          </cell>
          <cell r="Q49">
            <v>1757</v>
          </cell>
          <cell r="R49">
            <v>2048</v>
          </cell>
          <cell r="S49">
            <v>3694</v>
          </cell>
          <cell r="T49">
            <v>5144</v>
          </cell>
          <cell r="U49">
            <v>4900</v>
          </cell>
          <cell r="V49">
            <v>3590</v>
          </cell>
          <cell r="W49">
            <v>3619</v>
          </cell>
          <cell r="X49">
            <v>3664</v>
          </cell>
          <cell r="Y49">
            <v>4324</v>
          </cell>
          <cell r="Z49">
            <v>5226</v>
          </cell>
          <cell r="AA49">
            <v>4639</v>
          </cell>
          <cell r="AB49">
            <v>4280</v>
          </cell>
          <cell r="AC49">
            <v>5171</v>
          </cell>
          <cell r="AD49">
            <v>5178</v>
          </cell>
          <cell r="AE49">
            <v>9357</v>
          </cell>
          <cell r="AF49">
            <v>4829</v>
          </cell>
          <cell r="AG49">
            <v>5601</v>
          </cell>
          <cell r="AH49">
            <v>6583</v>
          </cell>
          <cell r="AI49">
            <v>5793</v>
          </cell>
          <cell r="AJ49">
            <v>5793</v>
          </cell>
          <cell r="AK49">
            <v>5793</v>
          </cell>
          <cell r="AL49">
            <v>5793</v>
          </cell>
        </row>
        <row r="50">
          <cell r="B50" t="str">
            <v>Total current assets</v>
          </cell>
          <cell r="C50" t="str">
            <v>CUR_ASS</v>
          </cell>
          <cell r="F50">
            <v>18479</v>
          </cell>
          <cell r="G50">
            <v>19145</v>
          </cell>
          <cell r="H50">
            <v>18919</v>
          </cell>
          <cell r="I50">
            <v>22333</v>
          </cell>
          <cell r="J50">
            <v>21124</v>
          </cell>
          <cell r="K50">
            <v>18806</v>
          </cell>
          <cell r="L50">
            <v>21859</v>
          </cell>
          <cell r="M50">
            <v>23806</v>
          </cell>
          <cell r="N50">
            <v>22830</v>
          </cell>
          <cell r="O50">
            <v>22764</v>
          </cell>
          <cell r="P50">
            <v>21402</v>
          </cell>
          <cell r="Q50">
            <v>24522</v>
          </cell>
          <cell r="R50">
            <v>29887</v>
          </cell>
          <cell r="S50">
            <v>28097</v>
          </cell>
          <cell r="T50">
            <v>34182</v>
          </cell>
          <cell r="U50">
            <v>29901</v>
          </cell>
          <cell r="V50">
            <v>28723</v>
          </cell>
          <cell r="W50">
            <v>33348</v>
          </cell>
          <cell r="X50">
            <v>34848</v>
          </cell>
          <cell r="Y50">
            <v>34582</v>
          </cell>
          <cell r="Z50">
            <v>38807</v>
          </cell>
          <cell r="AA50">
            <v>38153</v>
          </cell>
          <cell r="AB50">
            <v>43099</v>
          </cell>
          <cell r="AC50">
            <v>42821</v>
          </cell>
          <cell r="AD50">
            <v>47236</v>
          </cell>
          <cell r="AE50">
            <v>47844</v>
          </cell>
          <cell r="AF50">
            <v>46898</v>
          </cell>
          <cell r="AG50">
            <v>53789</v>
          </cell>
          <cell r="AH50">
            <v>59795</v>
          </cell>
          <cell r="AI50" t="e">
            <v>#VALUE!</v>
          </cell>
          <cell r="AJ50" t="e">
            <v>#VALUE!</v>
          </cell>
          <cell r="AK50" t="e">
            <v>#VALUE!</v>
          </cell>
          <cell r="AL50" t="e">
            <v>#VALUE!</v>
          </cell>
        </row>
        <row r="51">
          <cell r="B51" t="str">
            <v>Gross fixed assets, PP&amp;E</v>
          </cell>
          <cell r="C51" t="str">
            <v>GR_FIX_ASS</v>
          </cell>
          <cell r="F51">
            <v>26095</v>
          </cell>
          <cell r="G51">
            <v>25780</v>
          </cell>
          <cell r="H51">
            <v>27452</v>
          </cell>
          <cell r="I51">
            <v>29534</v>
          </cell>
          <cell r="J51">
            <v>33222</v>
          </cell>
          <cell r="K51">
            <v>31087</v>
          </cell>
          <cell r="L51">
            <v>32408</v>
          </cell>
          <cell r="M51">
            <v>35035</v>
          </cell>
          <cell r="N51">
            <v>32588</v>
          </cell>
          <cell r="O51">
            <v>30800</v>
          </cell>
          <cell r="P51">
            <v>30894</v>
          </cell>
          <cell r="Q51">
            <v>30900</v>
          </cell>
          <cell r="R51">
            <v>29701</v>
          </cell>
          <cell r="S51">
            <v>32385</v>
          </cell>
          <cell r="T51">
            <v>38541</v>
          </cell>
          <cell r="U51">
            <v>37613</v>
          </cell>
          <cell r="V51">
            <v>34056</v>
          </cell>
          <cell r="W51">
            <v>34325</v>
          </cell>
          <cell r="X51">
            <v>34239</v>
          </cell>
          <cell r="Y51">
            <v>36247</v>
          </cell>
          <cell r="Z51">
            <v>37519.459199999998</v>
          </cell>
          <cell r="AA51">
            <v>38435.462463999997</v>
          </cell>
          <cell r="AB51">
            <v>39395.865466880001</v>
          </cell>
          <cell r="AC51">
            <v>39842.876229529604</v>
          </cell>
          <cell r="AD51">
            <v>41314.406131167234</v>
          </cell>
          <cell r="AE51">
            <v>44572.293640673859</v>
          </cell>
          <cell r="AF51">
            <v>45622.110149419947</v>
          </cell>
          <cell r="AG51">
            <v>49292.221337466355</v>
          </cell>
          <cell r="AH51">
            <v>54964.683630469044</v>
          </cell>
          <cell r="AI51">
            <v>57646.045443944517</v>
          </cell>
          <cell r="AJ51">
            <v>60344.842820088379</v>
          </cell>
          <cell r="AK51">
            <v>62928.77631744845</v>
          </cell>
          <cell r="AL51">
            <v>65389.035046327423</v>
          </cell>
        </row>
        <row r="52">
          <cell r="B52" t="str">
            <v>Accumulated depreciation</v>
          </cell>
          <cell r="C52" t="str">
            <v>ACC_DDA</v>
          </cell>
          <cell r="F52">
            <v>-15003</v>
          </cell>
          <cell r="G52">
            <v>-14516</v>
          </cell>
          <cell r="H52">
            <v>-14911</v>
          </cell>
          <cell r="I52">
            <v>-15903</v>
          </cell>
          <cell r="J52">
            <v>-18654</v>
          </cell>
          <cell r="K52">
            <v>-18013</v>
          </cell>
          <cell r="L52">
            <v>-19319</v>
          </cell>
          <cell r="M52">
            <v>-21436</v>
          </cell>
          <cell r="N52">
            <v>-20170</v>
          </cell>
          <cell r="O52">
            <v>-19662</v>
          </cell>
          <cell r="P52">
            <v>-19882</v>
          </cell>
          <cell r="Q52">
            <v>-19781</v>
          </cell>
          <cell r="R52">
            <v>-18313</v>
          </cell>
          <cell r="S52">
            <v>-20425</v>
          </cell>
          <cell r="T52">
            <v>-23985</v>
          </cell>
          <cell r="U52">
            <v>-26156</v>
          </cell>
          <cell r="V52">
            <v>-28148</v>
          </cell>
          <cell r="W52">
            <v>-29938</v>
          </cell>
          <cell r="X52">
            <v>-31769</v>
          </cell>
          <cell r="Y52">
            <v>-33662</v>
          </cell>
          <cell r="Z52">
            <v>-36054</v>
          </cell>
          <cell r="AA52">
            <v>-38912</v>
          </cell>
          <cell r="AB52">
            <v>-41280</v>
          </cell>
          <cell r="AC52">
            <v>-43603</v>
          </cell>
          <cell r="AD52">
            <v>-46075</v>
          </cell>
          <cell r="AE52">
            <v>-49571</v>
          </cell>
          <cell r="AF52">
            <v>-52972</v>
          </cell>
          <cell r="AG52">
            <v>-56277</v>
          </cell>
          <cell r="AH52">
            <v>-60061</v>
          </cell>
          <cell r="AI52">
            <v>-64095</v>
          </cell>
          <cell r="AJ52">
            <v>-68379</v>
          </cell>
          <cell r="AK52">
            <v>-72913</v>
          </cell>
          <cell r="AL52">
            <v>-77697</v>
          </cell>
        </row>
        <row r="53">
          <cell r="B53" t="str">
            <v>Net PP&amp;E</v>
          </cell>
          <cell r="C53" t="str">
            <v>NET_FIX_ASS</v>
          </cell>
          <cell r="F53">
            <v>11092</v>
          </cell>
          <cell r="G53">
            <v>11264</v>
          </cell>
          <cell r="H53">
            <v>12541</v>
          </cell>
          <cell r="I53">
            <v>13631</v>
          </cell>
          <cell r="J53">
            <v>14568</v>
          </cell>
          <cell r="K53">
            <v>13074</v>
          </cell>
          <cell r="L53">
            <v>13089</v>
          </cell>
          <cell r="M53">
            <v>13599</v>
          </cell>
          <cell r="N53">
            <v>12418</v>
          </cell>
          <cell r="O53">
            <v>11138</v>
          </cell>
          <cell r="P53">
            <v>11012</v>
          </cell>
          <cell r="Q53">
            <v>11119</v>
          </cell>
          <cell r="R53">
            <v>11388</v>
          </cell>
          <cell r="S53">
            <v>11960</v>
          </cell>
          <cell r="T53">
            <v>14556</v>
          </cell>
          <cell r="U53">
            <v>13933</v>
          </cell>
          <cell r="V53">
            <v>12922</v>
          </cell>
          <cell r="W53">
            <v>13076</v>
          </cell>
          <cell r="X53">
            <v>13086</v>
          </cell>
          <cell r="Y53">
            <v>14095</v>
          </cell>
          <cell r="Z53">
            <v>15482</v>
          </cell>
          <cell r="AA53">
            <v>15303</v>
          </cell>
          <cell r="AB53">
            <v>15746</v>
          </cell>
          <cell r="AC53">
            <v>15762</v>
          </cell>
          <cell r="AD53">
            <v>16688</v>
          </cell>
          <cell r="AE53">
            <v>18420</v>
          </cell>
          <cell r="AF53">
            <v>18161</v>
          </cell>
          <cell r="AG53">
            <v>20723</v>
          </cell>
          <cell r="AH53">
            <v>24897</v>
          </cell>
          <cell r="AI53">
            <v>25949.776503912992</v>
          </cell>
          <cell r="AJ53">
            <v>26900.275395259378</v>
          </cell>
          <cell r="AK53">
            <v>27625.774286605767</v>
          </cell>
          <cell r="AL53">
            <v>28126.273177952156</v>
          </cell>
        </row>
        <row r="54">
          <cell r="B54" t="str">
            <v>Gross intangibles</v>
          </cell>
          <cell r="C54" t="str">
            <v>GR_INTANG</v>
          </cell>
          <cell r="F54">
            <v>844</v>
          </cell>
          <cell r="G54">
            <v>844</v>
          </cell>
          <cell r="H54">
            <v>854</v>
          </cell>
          <cell r="I54">
            <v>946</v>
          </cell>
          <cell r="J54">
            <v>1492</v>
          </cell>
          <cell r="K54">
            <v>1531</v>
          </cell>
          <cell r="L54">
            <v>1849</v>
          </cell>
          <cell r="M54">
            <v>2143</v>
          </cell>
          <cell r="N54">
            <v>1969</v>
          </cell>
          <cell r="O54">
            <v>1442</v>
          </cell>
          <cell r="P54">
            <v>1666</v>
          </cell>
          <cell r="Q54">
            <v>2302</v>
          </cell>
          <cell r="R54">
            <v>3369</v>
          </cell>
          <cell r="S54">
            <v>4425</v>
          </cell>
          <cell r="T54">
            <v>5927</v>
          </cell>
          <cell r="U54">
            <v>5481</v>
          </cell>
          <cell r="V54">
            <v>11838</v>
          </cell>
          <cell r="W54">
            <v>11939</v>
          </cell>
          <cell r="X54">
            <v>11822</v>
          </cell>
          <cell r="Y54">
            <v>21730</v>
          </cell>
          <cell r="Z54">
            <v>25855</v>
          </cell>
          <cell r="AA54">
            <v>25855</v>
          </cell>
          <cell r="AB54">
            <v>23285</v>
          </cell>
          <cell r="AC54">
            <v>21077</v>
          </cell>
          <cell r="AD54">
            <v>21439</v>
          </cell>
          <cell r="AE54">
            <v>22114</v>
          </cell>
          <cell r="AF54">
            <v>19959</v>
          </cell>
          <cell r="AG54">
            <v>20659</v>
          </cell>
          <cell r="AH54">
            <v>21910</v>
          </cell>
          <cell r="AI54">
            <v>21285.9861375</v>
          </cell>
          <cell r="AJ54">
            <v>21635.9861375</v>
          </cell>
          <cell r="AK54">
            <v>21985.9861375</v>
          </cell>
          <cell r="AL54">
            <v>22335.9861375</v>
          </cell>
        </row>
        <row r="55">
          <cell r="B55" t="str">
            <v>Accumulated amortization</v>
          </cell>
          <cell r="C55" t="str">
            <v>ACC_AMORT</v>
          </cell>
          <cell r="F55">
            <v>-80</v>
          </cell>
          <cell r="G55">
            <v>-243</v>
          </cell>
          <cell r="H55">
            <v>-286</v>
          </cell>
          <cell r="I55">
            <v>-370</v>
          </cell>
          <cell r="J55">
            <v>-450</v>
          </cell>
          <cell r="K55">
            <v>-587</v>
          </cell>
          <cell r="L55">
            <v>-730</v>
          </cell>
          <cell r="M55">
            <v>-873</v>
          </cell>
          <cell r="N55">
            <v>-906</v>
          </cell>
          <cell r="O55">
            <v>-794</v>
          </cell>
          <cell r="P55">
            <v>-587</v>
          </cell>
          <cell r="Q55">
            <v>-719</v>
          </cell>
          <cell r="R55">
            <v>-783</v>
          </cell>
          <cell r="S55">
            <v>-909</v>
          </cell>
          <cell r="T55">
            <v>-1273</v>
          </cell>
          <cell r="U55">
            <v>-1467</v>
          </cell>
          <cell r="V55">
            <v>-1644</v>
          </cell>
          <cell r="W55">
            <v>-1782</v>
          </cell>
          <cell r="X55">
            <v>-2022</v>
          </cell>
          <cell r="Y55">
            <v>-2707</v>
          </cell>
          <cell r="Z55">
            <v>-3717</v>
          </cell>
          <cell r="AA55">
            <v>-4370</v>
          </cell>
          <cell r="AB55">
            <v>-3717</v>
          </cell>
          <cell r="AC55">
            <v>-3717</v>
          </cell>
          <cell r="AD55">
            <v>-3717</v>
          </cell>
          <cell r="AE55">
            <v>-3717</v>
          </cell>
          <cell r="AF55">
            <v>-3717</v>
          </cell>
          <cell r="AG55">
            <v>-3717</v>
          </cell>
          <cell r="AH55">
            <v>-3717</v>
          </cell>
          <cell r="AI55">
            <v>-3717</v>
          </cell>
          <cell r="AJ55">
            <v>-3717</v>
          </cell>
          <cell r="AK55">
            <v>-3717</v>
          </cell>
          <cell r="AL55">
            <v>-3717</v>
          </cell>
        </row>
        <row r="56">
          <cell r="B56" t="str">
            <v>Net intangible assets</v>
          </cell>
          <cell r="C56" t="str">
            <v>NET_INTANG</v>
          </cell>
          <cell r="F56">
            <v>764</v>
          </cell>
          <cell r="G56">
            <v>601</v>
          </cell>
          <cell r="H56">
            <v>568</v>
          </cell>
          <cell r="I56">
            <v>576</v>
          </cell>
          <cell r="J56">
            <v>1042</v>
          </cell>
          <cell r="K56">
            <v>944</v>
          </cell>
          <cell r="L56">
            <v>1119</v>
          </cell>
          <cell r="M56">
            <v>1270</v>
          </cell>
          <cell r="N56">
            <v>1063</v>
          </cell>
          <cell r="O56">
            <v>648</v>
          </cell>
          <cell r="P56">
            <v>1079</v>
          </cell>
          <cell r="Q56">
            <v>1583</v>
          </cell>
          <cell r="R56">
            <v>2586</v>
          </cell>
          <cell r="S56">
            <v>3516</v>
          </cell>
          <cell r="T56">
            <v>4654</v>
          </cell>
          <cell r="U56">
            <v>4014</v>
          </cell>
          <cell r="V56">
            <v>10194</v>
          </cell>
          <cell r="W56">
            <v>10157</v>
          </cell>
          <cell r="X56">
            <v>9800</v>
          </cell>
          <cell r="Y56">
            <v>19023</v>
          </cell>
          <cell r="Z56">
            <v>22138</v>
          </cell>
          <cell r="AA56">
            <v>21485</v>
          </cell>
          <cell r="AB56">
            <v>19568</v>
          </cell>
          <cell r="AC56">
            <v>17360</v>
          </cell>
          <cell r="AD56">
            <v>17722</v>
          </cell>
          <cell r="AE56">
            <v>18397</v>
          </cell>
          <cell r="AF56">
            <v>16242</v>
          </cell>
          <cell r="AG56">
            <v>16942</v>
          </cell>
          <cell r="AH56">
            <v>18193</v>
          </cell>
          <cell r="AI56">
            <v>17568.9861375</v>
          </cell>
          <cell r="AJ56">
            <v>17918.9861375</v>
          </cell>
          <cell r="AK56">
            <v>18268.9861375</v>
          </cell>
          <cell r="AL56">
            <v>18618.9861375</v>
          </cell>
        </row>
        <row r="57">
          <cell r="B57" t="str">
            <v>Equity method investments</v>
          </cell>
          <cell r="C57" t="str">
            <v>FIX_ASS_INV</v>
          </cell>
          <cell r="F57">
            <v>0</v>
          </cell>
          <cell r="G57">
            <v>0</v>
          </cell>
          <cell r="H57">
            <v>0</v>
          </cell>
          <cell r="I57">
            <v>0</v>
          </cell>
          <cell r="J57">
            <v>0</v>
          </cell>
          <cell r="K57">
            <v>0</v>
          </cell>
          <cell r="L57">
            <v>0</v>
          </cell>
          <cell r="M57">
            <v>0</v>
          </cell>
          <cell r="N57">
            <v>0</v>
          </cell>
          <cell r="O57">
            <v>0</v>
          </cell>
          <cell r="P57">
            <v>0</v>
          </cell>
          <cell r="Q57">
            <v>0</v>
          </cell>
          <cell r="R57">
            <v>0</v>
          </cell>
          <cell r="S57">
            <v>70</v>
          </cell>
          <cell r="T57">
            <v>80</v>
          </cell>
          <cell r="U57">
            <v>91</v>
          </cell>
          <cell r="V57">
            <v>0</v>
          </cell>
          <cell r="W57">
            <v>0</v>
          </cell>
          <cell r="X57">
            <v>44</v>
          </cell>
          <cell r="Y57">
            <v>54</v>
          </cell>
          <cell r="Z57">
            <v>65</v>
          </cell>
          <cell r="AA57">
            <v>56.098281417830293</v>
          </cell>
          <cell r="AB57">
            <v>0</v>
          </cell>
          <cell r="AC57">
            <v>0</v>
          </cell>
          <cell r="AD57">
            <v>0</v>
          </cell>
          <cell r="AE57">
            <v>0</v>
          </cell>
          <cell r="AF57">
            <v>0</v>
          </cell>
          <cell r="AG57">
            <v>0</v>
          </cell>
          <cell r="AH57">
            <v>0</v>
          </cell>
          <cell r="AI57">
            <v>0</v>
          </cell>
          <cell r="AJ57">
            <v>0</v>
          </cell>
          <cell r="AK57">
            <v>0</v>
          </cell>
          <cell r="AL57">
            <v>0</v>
          </cell>
        </row>
        <row r="58">
          <cell r="B58" t="str">
            <v>Investments in securities</v>
          </cell>
          <cell r="C58" t="str">
            <v>INV_SECUR</v>
          </cell>
          <cell r="F58">
            <v>1348</v>
          </cell>
          <cell r="G58">
            <v>1212</v>
          </cell>
          <cell r="H58">
            <v>1063</v>
          </cell>
          <cell r="I58">
            <v>1185</v>
          </cell>
          <cell r="J58">
            <v>1084</v>
          </cell>
          <cell r="K58">
            <v>1114</v>
          </cell>
          <cell r="L58">
            <v>1404</v>
          </cell>
          <cell r="M58">
            <v>1814</v>
          </cell>
          <cell r="N58">
            <v>1762</v>
          </cell>
          <cell r="O58">
            <v>836</v>
          </cell>
          <cell r="P58">
            <v>648</v>
          </cell>
          <cell r="Q58">
            <v>2037</v>
          </cell>
          <cell r="R58">
            <v>1182</v>
          </cell>
          <cell r="S58">
            <v>1360</v>
          </cell>
          <cell r="T58">
            <v>1221</v>
          </cell>
          <cell r="U58">
            <v>1192</v>
          </cell>
          <cell r="V58">
            <v>0</v>
          </cell>
          <cell r="W58">
            <v>0</v>
          </cell>
          <cell r="X58">
            <v>1041</v>
          </cell>
          <cell r="Y58">
            <v>1083</v>
          </cell>
          <cell r="Z58">
            <v>1705</v>
          </cell>
          <cell r="AA58">
            <v>1471.501074113856</v>
          </cell>
          <cell r="AB58">
            <v>1345</v>
          </cell>
          <cell r="AC58">
            <v>1187</v>
          </cell>
          <cell r="AD58">
            <v>1155</v>
          </cell>
          <cell r="AE58">
            <v>1281</v>
          </cell>
          <cell r="AF58">
            <v>1306</v>
          </cell>
          <cell r="AG58">
            <v>1213</v>
          </cell>
          <cell r="AH58">
            <v>1224</v>
          </cell>
          <cell r="AI58">
            <v>1253</v>
          </cell>
          <cell r="AJ58">
            <v>1253</v>
          </cell>
          <cell r="AK58">
            <v>1253</v>
          </cell>
          <cell r="AL58">
            <v>1253</v>
          </cell>
        </row>
        <row r="59">
          <cell r="B59" t="str">
            <v>Other long-term assets</v>
          </cell>
          <cell r="C59" t="str">
            <v>OTH_LT_ASS</v>
          </cell>
          <cell r="F59">
            <v>1029</v>
          </cell>
          <cell r="G59">
            <v>773</v>
          </cell>
          <cell r="H59">
            <v>693</v>
          </cell>
          <cell r="I59">
            <v>715</v>
          </cell>
          <cell r="J59">
            <v>1197</v>
          </cell>
          <cell r="K59">
            <v>885</v>
          </cell>
          <cell r="L59">
            <v>426</v>
          </cell>
          <cell r="M59">
            <v>408</v>
          </cell>
          <cell r="N59">
            <v>604</v>
          </cell>
          <cell r="O59">
            <v>940</v>
          </cell>
          <cell r="P59">
            <v>873</v>
          </cell>
          <cell r="Q59">
            <v>1088</v>
          </cell>
          <cell r="R59">
            <v>1195</v>
          </cell>
          <cell r="S59">
            <v>1398</v>
          </cell>
          <cell r="T59">
            <v>1668</v>
          </cell>
          <cell r="U59">
            <v>1975</v>
          </cell>
          <cell r="V59">
            <v>2562</v>
          </cell>
          <cell r="W59">
            <v>2793</v>
          </cell>
          <cell r="X59">
            <v>1982</v>
          </cell>
          <cell r="Y59">
            <v>2154</v>
          </cell>
          <cell r="Z59">
            <v>3442</v>
          </cell>
          <cell r="AA59">
            <v>3264.4006444683137</v>
          </cell>
          <cell r="AB59">
            <v>4149</v>
          </cell>
          <cell r="AC59">
            <v>4073</v>
          </cell>
          <cell r="AD59">
            <v>4372</v>
          </cell>
          <cell r="AE59">
            <v>5175</v>
          </cell>
          <cell r="AF59">
            <v>5433</v>
          </cell>
          <cell r="AG59">
            <v>4300</v>
          </cell>
          <cell r="AH59">
            <v>3730</v>
          </cell>
          <cell r="AI59">
            <v>3730</v>
          </cell>
          <cell r="AJ59">
            <v>3730</v>
          </cell>
          <cell r="AK59">
            <v>3730</v>
          </cell>
          <cell r="AL59">
            <v>3730</v>
          </cell>
        </row>
        <row r="60">
          <cell r="B60" t="str">
            <v>Total assets</v>
          </cell>
          <cell r="C60" t="str">
            <v>TOT_ASSET</v>
          </cell>
          <cell r="F60">
            <v>32712</v>
          </cell>
          <cell r="G60">
            <v>32995</v>
          </cell>
          <cell r="H60">
            <v>33784</v>
          </cell>
          <cell r="I60">
            <v>38440</v>
          </cell>
          <cell r="J60">
            <v>39015</v>
          </cell>
          <cell r="K60">
            <v>34823</v>
          </cell>
          <cell r="L60">
            <v>37897</v>
          </cell>
          <cell r="M60">
            <v>40897</v>
          </cell>
          <cell r="N60">
            <v>38677</v>
          </cell>
          <cell r="O60">
            <v>36326</v>
          </cell>
          <cell r="P60">
            <v>35014</v>
          </cell>
          <cell r="Q60">
            <v>40349</v>
          </cell>
          <cell r="R60">
            <v>46238</v>
          </cell>
          <cell r="S60">
            <v>46401</v>
          </cell>
          <cell r="T60">
            <v>56361</v>
          </cell>
          <cell r="U60">
            <v>51106</v>
          </cell>
          <cell r="V60">
            <v>54401</v>
          </cell>
          <cell r="W60">
            <v>59374</v>
          </cell>
          <cell r="X60">
            <v>60801</v>
          </cell>
          <cell r="Y60">
            <v>70991</v>
          </cell>
          <cell r="Z60">
            <v>81639</v>
          </cell>
          <cell r="AA60">
            <v>79733</v>
          </cell>
          <cell r="AB60">
            <v>83907</v>
          </cell>
          <cell r="AC60">
            <v>81203</v>
          </cell>
          <cell r="AD60">
            <v>87173</v>
          </cell>
          <cell r="AE60">
            <v>94108</v>
          </cell>
          <cell r="AF60">
            <v>90557</v>
          </cell>
          <cell r="AG60">
            <v>99628</v>
          </cell>
          <cell r="AH60">
            <v>110923</v>
          </cell>
          <cell r="AI60" t="e">
            <v>#VALUE!</v>
          </cell>
          <cell r="AJ60" t="e">
            <v>#VALUE!</v>
          </cell>
          <cell r="AK60" t="e">
            <v>#VALUE!</v>
          </cell>
          <cell r="AL60" t="e">
            <v>#VALUE!</v>
          </cell>
        </row>
        <row r="61">
          <cell r="B61" t="str">
            <v>Accounts payable</v>
          </cell>
          <cell r="C61" t="str">
            <v>ACC_PAY_GQ</v>
          </cell>
          <cell r="F61">
            <v>2635</v>
          </cell>
          <cell r="G61">
            <v>2764</v>
          </cell>
          <cell r="H61">
            <v>2686</v>
          </cell>
          <cell r="I61">
            <v>2921</v>
          </cell>
          <cell r="J61">
            <v>2884</v>
          </cell>
          <cell r="K61">
            <v>2785</v>
          </cell>
          <cell r="L61">
            <v>3099</v>
          </cell>
          <cell r="M61">
            <v>3226</v>
          </cell>
          <cell r="N61">
            <v>3598</v>
          </cell>
          <cell r="O61">
            <v>3183</v>
          </cell>
          <cell r="P61">
            <v>3898</v>
          </cell>
          <cell r="Q61">
            <v>3821</v>
          </cell>
          <cell r="R61">
            <v>4529</v>
          </cell>
          <cell r="S61">
            <v>4904</v>
          </cell>
          <cell r="T61">
            <v>4841</v>
          </cell>
          <cell r="U61">
            <v>3989</v>
          </cell>
          <cell r="V61">
            <v>4476</v>
          </cell>
          <cell r="W61">
            <v>4698</v>
          </cell>
          <cell r="X61">
            <v>4189</v>
          </cell>
          <cell r="Y61">
            <v>4740</v>
          </cell>
          <cell r="Z61">
            <v>5938</v>
          </cell>
          <cell r="AA61">
            <v>5671</v>
          </cell>
          <cell r="AB61">
            <v>7100</v>
          </cell>
          <cell r="AC61">
            <v>7899</v>
          </cell>
          <cell r="AD61">
            <v>7831</v>
          </cell>
          <cell r="AE61">
            <v>8266</v>
          </cell>
          <cell r="AF61">
            <v>8459</v>
          </cell>
          <cell r="AG61">
            <v>9881</v>
          </cell>
          <cell r="AH61">
            <v>11594</v>
          </cell>
          <cell r="AI61">
            <v>12480.016746716463</v>
          </cell>
          <cell r="AJ61">
            <v>12727.926626381482</v>
          </cell>
          <cell r="AK61">
            <v>13204.472098645711</v>
          </cell>
          <cell r="AL61">
            <v>13679.296255805553</v>
          </cell>
        </row>
        <row r="62">
          <cell r="B62" t="str">
            <v>Short-term debt</v>
          </cell>
          <cell r="C62" t="str">
            <v>SHORT_T_DEBT</v>
          </cell>
          <cell r="F62">
            <v>2047</v>
          </cell>
          <cell r="G62">
            <v>1715</v>
          </cell>
          <cell r="H62">
            <v>1693</v>
          </cell>
          <cell r="I62">
            <v>1853</v>
          </cell>
          <cell r="J62">
            <v>3337</v>
          </cell>
          <cell r="K62">
            <v>1223</v>
          </cell>
          <cell r="L62">
            <v>705</v>
          </cell>
          <cell r="M62">
            <v>711</v>
          </cell>
          <cell r="N62">
            <v>632</v>
          </cell>
          <cell r="O62">
            <v>372</v>
          </cell>
          <cell r="P62">
            <v>212</v>
          </cell>
          <cell r="Q62">
            <v>151</v>
          </cell>
          <cell r="R62">
            <v>1047</v>
          </cell>
          <cell r="S62">
            <v>810</v>
          </cell>
          <cell r="T62">
            <v>899</v>
          </cell>
          <cell r="U62">
            <v>2018</v>
          </cell>
          <cell r="V62">
            <v>1325</v>
          </cell>
          <cell r="W62">
            <v>1113</v>
          </cell>
          <cell r="X62">
            <v>2945</v>
          </cell>
          <cell r="Y62">
            <v>1646</v>
          </cell>
          <cell r="Z62">
            <v>3905</v>
          </cell>
          <cell r="AA62">
            <v>3132.8211942529692</v>
          </cell>
          <cell r="AB62">
            <v>1619</v>
          </cell>
          <cell r="AC62">
            <v>2718</v>
          </cell>
          <cell r="AD62">
            <v>2307</v>
          </cell>
          <cell r="AE62">
            <v>2926</v>
          </cell>
          <cell r="AF62">
            <v>2700</v>
          </cell>
          <cell r="AG62">
            <v>3285</v>
          </cell>
          <cell r="AH62">
            <v>916</v>
          </cell>
          <cell r="AI62">
            <v>916</v>
          </cell>
          <cell r="AJ62">
            <v>916</v>
          </cell>
          <cell r="AK62">
            <v>916</v>
          </cell>
          <cell r="AL62">
            <v>916</v>
          </cell>
        </row>
        <row r="63">
          <cell r="B63" t="str">
            <v>Current lease liabilities (op lease: US GAAP)</v>
          </cell>
          <cell r="C63" t="str">
            <v>ST_LEASE_LIAB</v>
          </cell>
          <cell r="AE63">
            <v>684</v>
          </cell>
          <cell r="AF63">
            <v>560</v>
          </cell>
          <cell r="AG63">
            <v>579</v>
          </cell>
          <cell r="AH63">
            <v>635</v>
          </cell>
          <cell r="AI63">
            <v>635</v>
          </cell>
          <cell r="AJ63">
            <v>635</v>
          </cell>
          <cell r="AK63">
            <v>635</v>
          </cell>
          <cell r="AL63">
            <v>635</v>
          </cell>
        </row>
        <row r="64">
          <cell r="B64" t="str">
            <v>Other current liabilities</v>
          </cell>
          <cell r="C64" t="str">
            <v>OTH_CUR_LIABS</v>
          </cell>
          <cell r="F64">
            <v>4763</v>
          </cell>
          <cell r="G64">
            <v>4695</v>
          </cell>
          <cell r="H64">
            <v>3026</v>
          </cell>
          <cell r="I64">
            <v>3387</v>
          </cell>
          <cell r="J64">
            <v>3843</v>
          </cell>
          <cell r="K64">
            <v>3436</v>
          </cell>
          <cell r="L64">
            <v>4287</v>
          </cell>
          <cell r="M64">
            <v>4873</v>
          </cell>
          <cell r="N64">
            <v>4464</v>
          </cell>
          <cell r="O64">
            <v>4407</v>
          </cell>
          <cell r="P64">
            <v>5193</v>
          </cell>
          <cell r="Q64">
            <v>6473</v>
          </cell>
          <cell r="R64">
            <v>6469</v>
          </cell>
          <cell r="S64">
            <v>7118</v>
          </cell>
          <cell r="T64">
            <v>8558</v>
          </cell>
          <cell r="U64">
            <v>8368</v>
          </cell>
          <cell r="V64">
            <v>7832</v>
          </cell>
          <cell r="W64">
            <v>7434</v>
          </cell>
          <cell r="X64">
            <v>6769</v>
          </cell>
          <cell r="Y64">
            <v>10355</v>
          </cell>
          <cell r="Z64">
            <v>8136</v>
          </cell>
          <cell r="AA64">
            <v>6527.1788057470303</v>
          </cell>
          <cell r="AB64">
            <v>8659</v>
          </cell>
          <cell r="AC64">
            <v>9902</v>
          </cell>
          <cell r="AD64">
            <v>10749</v>
          </cell>
          <cell r="AE64">
            <v>11264</v>
          </cell>
          <cell r="AF64">
            <v>9925</v>
          </cell>
          <cell r="AG64">
            <v>10780</v>
          </cell>
          <cell r="AH64">
            <v>11295</v>
          </cell>
          <cell r="AI64">
            <v>11295</v>
          </cell>
          <cell r="AJ64">
            <v>11295</v>
          </cell>
          <cell r="AK64">
            <v>11295</v>
          </cell>
          <cell r="AL64">
            <v>11295</v>
          </cell>
        </row>
        <row r="65">
          <cell r="B65" t="str">
            <v>Total current liabilities</v>
          </cell>
          <cell r="C65" t="str">
            <v>SHORT_TERM_LIABS</v>
          </cell>
          <cell r="F65">
            <v>9445</v>
          </cell>
          <cell r="G65">
            <v>9174</v>
          </cell>
          <cell r="H65">
            <v>7405</v>
          </cell>
          <cell r="I65">
            <v>8161</v>
          </cell>
          <cell r="J65">
            <v>10064</v>
          </cell>
          <cell r="K65">
            <v>7444</v>
          </cell>
          <cell r="L65">
            <v>8091</v>
          </cell>
          <cell r="M65">
            <v>8810</v>
          </cell>
          <cell r="N65">
            <v>8694</v>
          </cell>
          <cell r="O65">
            <v>7962</v>
          </cell>
          <cell r="P65">
            <v>9303</v>
          </cell>
          <cell r="Q65">
            <v>10445</v>
          </cell>
          <cell r="R65">
            <v>12045</v>
          </cell>
          <cell r="S65">
            <v>12832</v>
          </cell>
          <cell r="T65">
            <v>14298</v>
          </cell>
          <cell r="U65">
            <v>14375</v>
          </cell>
          <cell r="V65">
            <v>13633</v>
          </cell>
          <cell r="W65">
            <v>13245</v>
          </cell>
          <cell r="X65">
            <v>13903</v>
          </cell>
          <cell r="Y65">
            <v>16741</v>
          </cell>
          <cell r="Z65">
            <v>17979</v>
          </cell>
          <cell r="AA65">
            <v>15331</v>
          </cell>
          <cell r="AB65">
            <v>17378</v>
          </cell>
          <cell r="AC65">
            <v>20519</v>
          </cell>
          <cell r="AD65">
            <v>20887</v>
          </cell>
          <cell r="AE65">
            <v>23140</v>
          </cell>
          <cell r="AF65">
            <v>21644</v>
          </cell>
          <cell r="AG65">
            <v>24525</v>
          </cell>
          <cell r="AH65">
            <v>24440</v>
          </cell>
          <cell r="AI65">
            <v>25326.016746716465</v>
          </cell>
          <cell r="AJ65">
            <v>25573.926626381482</v>
          </cell>
          <cell r="AK65">
            <v>26050.472098645711</v>
          </cell>
          <cell r="AL65">
            <v>26525.296255805551</v>
          </cell>
        </row>
        <row r="66">
          <cell r="B66" t="str">
            <v>Long-term  debt</v>
          </cell>
          <cell r="C66" t="str">
            <v>LT_DEBT</v>
          </cell>
          <cell r="F66">
            <v>4954</v>
          </cell>
          <cell r="G66">
            <v>4584</v>
          </cell>
          <cell r="H66">
            <v>4846</v>
          </cell>
          <cell r="I66">
            <v>6538</v>
          </cell>
          <cell r="J66">
            <v>4842</v>
          </cell>
          <cell r="K66">
            <v>4753</v>
          </cell>
          <cell r="L66">
            <v>4263</v>
          </cell>
          <cell r="M66">
            <v>2830</v>
          </cell>
          <cell r="N66">
            <v>1777</v>
          </cell>
          <cell r="O66">
            <v>1246</v>
          </cell>
          <cell r="P66">
            <v>904</v>
          </cell>
          <cell r="Q66">
            <v>4145</v>
          </cell>
          <cell r="R66">
            <v>7007</v>
          </cell>
          <cell r="S66">
            <v>7301</v>
          </cell>
          <cell r="T66">
            <v>12809</v>
          </cell>
          <cell r="U66">
            <v>8987</v>
          </cell>
          <cell r="V66">
            <v>10850</v>
          </cell>
          <cell r="W66">
            <v>12500</v>
          </cell>
          <cell r="X66">
            <v>12730</v>
          </cell>
          <cell r="Y66">
            <v>19698</v>
          </cell>
          <cell r="Z66">
            <v>22200</v>
          </cell>
          <cell r="AA66">
            <v>22383</v>
          </cell>
          <cell r="AB66">
            <v>22031</v>
          </cell>
          <cell r="AC66">
            <v>15790</v>
          </cell>
          <cell r="AD66">
            <v>14850</v>
          </cell>
          <cell r="AE66">
            <v>13080</v>
          </cell>
          <cell r="AF66">
            <v>12810.029207503083</v>
          </cell>
          <cell r="AG66">
            <v>13135.182709158176</v>
          </cell>
          <cell r="AH66">
            <v>18822.867908814056</v>
          </cell>
          <cell r="AI66">
            <v>18805.867908814056</v>
          </cell>
          <cell r="AJ66">
            <v>15805.867908814056</v>
          </cell>
          <cell r="AK66">
            <v>15805.867908814056</v>
          </cell>
          <cell r="AL66">
            <v>15805.867908814056</v>
          </cell>
        </row>
        <row r="67">
          <cell r="B67" t="str">
            <v>Non-current lease liabilities (op lease: US GAAP)</v>
          </cell>
          <cell r="C67" t="str">
            <v>LT_LEASE_LIAB</v>
          </cell>
          <cell r="AE67">
            <v>2327</v>
          </cell>
          <cell r="AF67">
            <v>2278.9707924969171</v>
          </cell>
          <cell r="AG67">
            <v>2336.8172908418251</v>
          </cell>
          <cell r="AH67">
            <v>2396.1320911859448</v>
          </cell>
          <cell r="AI67">
            <v>2396.1320911859448</v>
          </cell>
          <cell r="AJ67">
            <v>2396.1320911859448</v>
          </cell>
          <cell r="AK67">
            <v>2396.1320911859448</v>
          </cell>
          <cell r="AL67">
            <v>2396.1320911859448</v>
          </cell>
        </row>
        <row r="68">
          <cell r="B68" t="str">
            <v>Other long-term liabilities</v>
          </cell>
          <cell r="C68" t="str">
            <v>OTH_LT_CRED_GQ</v>
          </cell>
          <cell r="F68">
            <v>8986</v>
          </cell>
          <cell r="G68">
            <v>8949</v>
          </cell>
          <cell r="H68">
            <v>9935</v>
          </cell>
          <cell r="I68">
            <v>10863</v>
          </cell>
          <cell r="J68">
            <v>12810</v>
          </cell>
          <cell r="K68">
            <v>10861</v>
          </cell>
          <cell r="L68">
            <v>11482</v>
          </cell>
          <cell r="M68">
            <v>12442</v>
          </cell>
          <cell r="N68">
            <v>11271</v>
          </cell>
          <cell r="O68">
            <v>11455</v>
          </cell>
          <cell r="P68">
            <v>7722</v>
          </cell>
          <cell r="Q68">
            <v>7526</v>
          </cell>
          <cell r="R68">
            <v>7579</v>
          </cell>
          <cell r="S68">
            <v>7843</v>
          </cell>
          <cell r="T68">
            <v>8576</v>
          </cell>
          <cell r="U68">
            <v>9373</v>
          </cell>
          <cell r="V68">
            <v>10024</v>
          </cell>
          <cell r="W68">
            <v>11174</v>
          </cell>
          <cell r="X68">
            <v>11656</v>
          </cell>
          <cell r="Y68">
            <v>13400</v>
          </cell>
          <cell r="Z68">
            <v>17056</v>
          </cell>
          <cell r="AA68">
            <v>15737</v>
          </cell>
          <cell r="AB68">
            <v>16815</v>
          </cell>
          <cell r="AC68">
            <v>15071</v>
          </cell>
          <cell r="AD68">
            <v>15984</v>
          </cell>
          <cell r="AE68">
            <v>18195</v>
          </cell>
          <cell r="AF68">
            <v>18112</v>
          </cell>
          <cell r="AG68">
            <v>14266</v>
          </cell>
          <cell r="AH68">
            <v>11221</v>
          </cell>
          <cell r="AI68">
            <v>10339</v>
          </cell>
          <cell r="AJ68">
            <v>9457</v>
          </cell>
          <cell r="AK68">
            <v>8575</v>
          </cell>
          <cell r="AL68">
            <v>7693</v>
          </cell>
        </row>
        <row r="69">
          <cell r="B69" t="str">
            <v>Total long-term liabilities</v>
          </cell>
          <cell r="C69" t="str">
            <v>TOT_LT_LIAB</v>
          </cell>
          <cell r="F69">
            <v>13940</v>
          </cell>
          <cell r="G69">
            <v>13533</v>
          </cell>
          <cell r="H69">
            <v>14781</v>
          </cell>
          <cell r="I69">
            <v>17401</v>
          </cell>
          <cell r="J69">
            <v>17652</v>
          </cell>
          <cell r="K69">
            <v>15614</v>
          </cell>
          <cell r="L69">
            <v>15745</v>
          </cell>
          <cell r="M69">
            <v>15272</v>
          </cell>
          <cell r="N69">
            <v>13048</v>
          </cell>
          <cell r="O69">
            <v>12701</v>
          </cell>
          <cell r="P69">
            <v>8626</v>
          </cell>
          <cell r="Q69">
            <v>11671</v>
          </cell>
          <cell r="R69">
            <v>14586</v>
          </cell>
          <cell r="S69">
            <v>15144</v>
          </cell>
          <cell r="T69">
            <v>21385</v>
          </cell>
          <cell r="U69">
            <v>18360</v>
          </cell>
          <cell r="V69">
            <v>20874</v>
          </cell>
          <cell r="W69">
            <v>23674</v>
          </cell>
          <cell r="X69">
            <v>24386</v>
          </cell>
          <cell r="Y69">
            <v>33098</v>
          </cell>
          <cell r="Z69">
            <v>39256</v>
          </cell>
          <cell r="AA69">
            <v>38120</v>
          </cell>
          <cell r="AB69">
            <v>38846</v>
          </cell>
          <cell r="AC69">
            <v>30861</v>
          </cell>
          <cell r="AD69">
            <v>30834</v>
          </cell>
          <cell r="AE69">
            <v>33602</v>
          </cell>
          <cell r="AF69">
            <v>33201</v>
          </cell>
          <cell r="AG69">
            <v>29738</v>
          </cell>
          <cell r="AH69">
            <v>32440</v>
          </cell>
          <cell r="AI69">
            <v>31541</v>
          </cell>
          <cell r="AJ69">
            <v>27659</v>
          </cell>
          <cell r="AK69">
            <v>26777</v>
          </cell>
          <cell r="AL69">
            <v>25895</v>
          </cell>
        </row>
        <row r="70">
          <cell r="B70" t="str">
            <v>Total liabilities</v>
          </cell>
          <cell r="C70" t="str">
            <v>TOT_LIAB</v>
          </cell>
          <cell r="F70">
            <v>23385</v>
          </cell>
          <cell r="G70">
            <v>22707</v>
          </cell>
          <cell r="H70">
            <v>22186</v>
          </cell>
          <cell r="I70">
            <v>25562</v>
          </cell>
          <cell r="J70">
            <v>27716</v>
          </cell>
          <cell r="K70">
            <v>23058</v>
          </cell>
          <cell r="L70">
            <v>23836</v>
          </cell>
          <cell r="M70">
            <v>24082</v>
          </cell>
          <cell r="N70">
            <v>21742</v>
          </cell>
          <cell r="O70">
            <v>20663</v>
          </cell>
          <cell r="P70">
            <v>17929</v>
          </cell>
          <cell r="Q70">
            <v>22116</v>
          </cell>
          <cell r="R70">
            <v>26631</v>
          </cell>
          <cell r="S70">
            <v>27976</v>
          </cell>
          <cell r="T70">
            <v>35683</v>
          </cell>
          <cell r="U70">
            <v>32735</v>
          </cell>
          <cell r="V70">
            <v>34507</v>
          </cell>
          <cell r="W70">
            <v>36919</v>
          </cell>
          <cell r="X70">
            <v>38289</v>
          </cell>
          <cell r="Y70">
            <v>49839</v>
          </cell>
          <cell r="Z70">
            <v>57235</v>
          </cell>
          <cell r="AA70">
            <v>53451</v>
          </cell>
          <cell r="AB70">
            <v>56224</v>
          </cell>
          <cell r="AC70">
            <v>51380</v>
          </cell>
          <cell r="AD70">
            <v>51721</v>
          </cell>
          <cell r="AE70">
            <v>56742</v>
          </cell>
          <cell r="AF70">
            <v>54845</v>
          </cell>
          <cell r="AG70">
            <v>54263</v>
          </cell>
          <cell r="AH70">
            <v>56880</v>
          </cell>
          <cell r="AI70">
            <v>56867.016746716465</v>
          </cell>
          <cell r="AJ70">
            <v>53232.926626381479</v>
          </cell>
          <cell r="AK70">
            <v>52827.472098645711</v>
          </cell>
          <cell r="AL70">
            <v>52420.296255805551</v>
          </cell>
        </row>
        <row r="71">
          <cell r="B71" t="str">
            <v>Preferred shares</v>
          </cell>
          <cell r="C71" t="str">
            <v>PREF_SH</v>
          </cell>
        </row>
        <row r="72">
          <cell r="B72" t="str">
            <v>Total common equity</v>
          </cell>
          <cell r="C72" t="str">
            <v>ORD_SH_FUND</v>
          </cell>
          <cell r="F72">
            <v>9183</v>
          </cell>
          <cell r="G72">
            <v>10122</v>
          </cell>
          <cell r="H72">
            <v>11310</v>
          </cell>
          <cell r="I72">
            <v>12588</v>
          </cell>
          <cell r="J72">
            <v>10932</v>
          </cell>
          <cell r="K72">
            <v>11367</v>
          </cell>
          <cell r="L72">
            <v>13594</v>
          </cell>
          <cell r="M72">
            <v>16224</v>
          </cell>
          <cell r="N72">
            <v>16365</v>
          </cell>
          <cell r="O72">
            <v>15164</v>
          </cell>
          <cell r="P72">
            <v>16581</v>
          </cell>
          <cell r="Q72">
            <v>17629</v>
          </cell>
          <cell r="R72">
            <v>18973</v>
          </cell>
          <cell r="S72">
            <v>17587</v>
          </cell>
          <cell r="T72">
            <v>19659</v>
          </cell>
          <cell r="U72">
            <v>17411</v>
          </cell>
          <cell r="V72">
            <v>18935</v>
          </cell>
          <cell r="W72">
            <v>21436</v>
          </cell>
          <cell r="X72">
            <v>21340</v>
          </cell>
          <cell r="Y72">
            <v>20100</v>
          </cell>
          <cell r="Z72">
            <v>23089</v>
          </cell>
          <cell r="AA72">
            <v>24815</v>
          </cell>
          <cell r="AB72">
            <v>26034</v>
          </cell>
          <cell r="AC72">
            <v>28036</v>
          </cell>
          <cell r="AD72">
            <v>33536</v>
          </cell>
          <cell r="AE72">
            <v>35512</v>
          </cell>
          <cell r="AF72">
            <v>34309</v>
          </cell>
          <cell r="AG72">
            <v>43645</v>
          </cell>
          <cell r="AH72">
            <v>51927</v>
          </cell>
          <cell r="AI72" t="e">
            <v>#VALUE!</v>
          </cell>
          <cell r="AJ72" t="e">
            <v>#VALUE!</v>
          </cell>
          <cell r="AK72" t="e">
            <v>#VALUE!</v>
          </cell>
          <cell r="AL72" t="e">
            <v>#VALUE!</v>
          </cell>
        </row>
        <row r="73">
          <cell r="B73" t="str">
            <v>Minority interest</v>
          </cell>
          <cell r="C73" t="str">
            <v>MINORITIES</v>
          </cell>
          <cell r="F73">
            <v>144</v>
          </cell>
          <cell r="G73">
            <v>166</v>
          </cell>
          <cell r="H73">
            <v>288</v>
          </cell>
          <cell r="I73">
            <v>290</v>
          </cell>
          <cell r="J73">
            <v>367</v>
          </cell>
          <cell r="K73">
            <v>398</v>
          </cell>
          <cell r="L73">
            <v>467</v>
          </cell>
          <cell r="M73">
            <v>591</v>
          </cell>
          <cell r="N73">
            <v>570</v>
          </cell>
          <cell r="O73">
            <v>499</v>
          </cell>
          <cell r="P73">
            <v>504</v>
          </cell>
          <cell r="Q73">
            <v>604</v>
          </cell>
          <cell r="R73">
            <v>634</v>
          </cell>
          <cell r="S73">
            <v>768</v>
          </cell>
          <cell r="T73">
            <v>939</v>
          </cell>
          <cell r="U73">
            <v>869</v>
          </cell>
          <cell r="V73">
            <v>959</v>
          </cell>
          <cell r="W73">
            <v>1019</v>
          </cell>
          <cell r="X73">
            <v>1128</v>
          </cell>
          <cell r="Y73">
            <v>1052</v>
          </cell>
          <cell r="Z73">
            <v>1315</v>
          </cell>
          <cell r="AA73">
            <v>1467</v>
          </cell>
          <cell r="AB73">
            <v>1649</v>
          </cell>
          <cell r="AC73">
            <v>1787</v>
          </cell>
          <cell r="AD73">
            <v>1916</v>
          </cell>
          <cell r="AE73">
            <v>1854</v>
          </cell>
          <cell r="AF73">
            <v>1403</v>
          </cell>
          <cell r="AG73">
            <v>1720</v>
          </cell>
          <cell r="AH73">
            <v>2116</v>
          </cell>
          <cell r="AI73">
            <v>2536</v>
          </cell>
          <cell r="AJ73" t="e">
            <v>#VALUE!</v>
          </cell>
          <cell r="AK73" t="e">
            <v>#VALUE!</v>
          </cell>
          <cell r="AL73" t="e">
            <v>#VALUE!</v>
          </cell>
        </row>
        <row r="74">
          <cell r="B74" t="str">
            <v>Total shareholders' equity</v>
          </cell>
          <cell r="C74" t="str">
            <v>EQ</v>
          </cell>
          <cell r="F74">
            <v>9327</v>
          </cell>
          <cell r="G74">
            <v>10288</v>
          </cell>
          <cell r="H74">
            <v>11598</v>
          </cell>
          <cell r="I74">
            <v>12878</v>
          </cell>
          <cell r="J74">
            <v>11299</v>
          </cell>
          <cell r="K74">
            <v>11765</v>
          </cell>
          <cell r="L74">
            <v>14061</v>
          </cell>
          <cell r="M74">
            <v>16815</v>
          </cell>
          <cell r="N74">
            <v>16935</v>
          </cell>
          <cell r="O74">
            <v>15663</v>
          </cell>
          <cell r="P74">
            <v>17085</v>
          </cell>
          <cell r="Q74">
            <v>18233</v>
          </cell>
          <cell r="R74">
            <v>19607</v>
          </cell>
          <cell r="S74">
            <v>18355</v>
          </cell>
          <cell r="T74">
            <v>20598</v>
          </cell>
          <cell r="U74">
            <v>18280</v>
          </cell>
          <cell r="V74">
            <v>19894</v>
          </cell>
          <cell r="W74">
            <v>22455</v>
          </cell>
          <cell r="X74">
            <v>22468</v>
          </cell>
          <cell r="Y74">
            <v>21152</v>
          </cell>
          <cell r="Z74">
            <v>24404</v>
          </cell>
          <cell r="AA74">
            <v>26282</v>
          </cell>
          <cell r="AB74">
            <v>27683</v>
          </cell>
          <cell r="AC74">
            <v>29823</v>
          </cell>
          <cell r="AD74">
            <v>35452</v>
          </cell>
          <cell r="AE74">
            <v>37366</v>
          </cell>
          <cell r="AF74">
            <v>35712</v>
          </cell>
          <cell r="AG74">
            <v>45365</v>
          </cell>
          <cell r="AH74">
            <v>54043</v>
          </cell>
          <cell r="AI74" t="e">
            <v>#VALUE!</v>
          </cell>
          <cell r="AJ74" t="e">
            <v>#VALUE!</v>
          </cell>
          <cell r="AK74" t="e">
            <v>#VALUE!</v>
          </cell>
          <cell r="AL74" t="e">
            <v>#VALUE!</v>
          </cell>
        </row>
        <row r="75">
          <cell r="B75" t="str">
            <v>Total liabilities and equity</v>
          </cell>
          <cell r="C75" t="str">
            <v>TOT_LIAB_EQ</v>
          </cell>
          <cell r="F75">
            <v>32712</v>
          </cell>
          <cell r="G75">
            <v>32995</v>
          </cell>
          <cell r="H75">
            <v>33784</v>
          </cell>
          <cell r="I75">
            <v>38440</v>
          </cell>
          <cell r="J75">
            <v>39015</v>
          </cell>
          <cell r="K75">
            <v>34823</v>
          </cell>
          <cell r="L75">
            <v>37897</v>
          </cell>
          <cell r="M75">
            <v>40897</v>
          </cell>
          <cell r="N75">
            <v>38677</v>
          </cell>
          <cell r="O75">
            <v>36326</v>
          </cell>
          <cell r="P75">
            <v>35014</v>
          </cell>
          <cell r="Q75">
            <v>40349</v>
          </cell>
          <cell r="R75">
            <v>46238</v>
          </cell>
          <cell r="S75">
            <v>46331</v>
          </cell>
          <cell r="T75">
            <v>56281</v>
          </cell>
          <cell r="U75">
            <v>51015</v>
          </cell>
          <cell r="V75">
            <v>54401</v>
          </cell>
          <cell r="W75">
            <v>59374</v>
          </cell>
          <cell r="X75">
            <v>60757</v>
          </cell>
          <cell r="Y75">
            <v>70991</v>
          </cell>
          <cell r="Z75">
            <v>81639</v>
          </cell>
          <cell r="AA75">
            <v>79733</v>
          </cell>
          <cell r="AB75">
            <v>83907</v>
          </cell>
          <cell r="AC75">
            <v>81203</v>
          </cell>
          <cell r="AD75">
            <v>87173</v>
          </cell>
          <cell r="AE75">
            <v>94108</v>
          </cell>
          <cell r="AF75">
            <v>90557</v>
          </cell>
          <cell r="AG75">
            <v>99628</v>
          </cell>
          <cell r="AH75">
            <v>110923</v>
          </cell>
          <cell r="AI75" t="e">
            <v>#VALUE!</v>
          </cell>
          <cell r="AJ75" t="e">
            <v>#VALUE!</v>
          </cell>
          <cell r="AK75" t="e">
            <v>#VALUE!</v>
          </cell>
          <cell r="AL75" t="e">
            <v>#VALUE!</v>
          </cell>
        </row>
        <row r="76">
          <cell r="A76" t="str">
            <v>Additional Balance Sheet Items</v>
          </cell>
        </row>
        <row r="77">
          <cell r="B77" t="str">
            <v>Total US$ debt (in US$)</v>
          </cell>
          <cell r="C77" t="str">
            <v>TOT_USD_DEBT</v>
          </cell>
          <cell r="Z77">
            <v>0</v>
          </cell>
          <cell r="AA77">
            <v>0</v>
          </cell>
          <cell r="AB77">
            <v>0</v>
          </cell>
          <cell r="AC77">
            <v>0</v>
          </cell>
          <cell r="AD77">
            <v>0</v>
          </cell>
          <cell r="AE77">
            <v>0</v>
          </cell>
          <cell r="AF77">
            <v>0</v>
          </cell>
        </row>
        <row r="78">
          <cell r="B78" t="str">
            <v>% US$ debt hedged (principal)</v>
          </cell>
          <cell r="C78" t="str">
            <v>TOT_PCT_USD_DEBT_HEDGED</v>
          </cell>
          <cell r="Z78">
            <v>0</v>
          </cell>
          <cell r="AA78">
            <v>0</v>
          </cell>
          <cell r="AB78">
            <v>0</v>
          </cell>
          <cell r="AC78">
            <v>0</v>
          </cell>
          <cell r="AD78">
            <v>0</v>
          </cell>
          <cell r="AE78">
            <v>0</v>
          </cell>
          <cell r="AF78">
            <v>0</v>
          </cell>
        </row>
        <row r="79">
          <cell r="B79" t="str">
            <v>% Floating debt (local currency debt)</v>
          </cell>
          <cell r="C79" t="str">
            <v>FLOATING_PCT_LOCAL_DEBT</v>
          </cell>
          <cell r="Z79">
            <v>0</v>
          </cell>
          <cell r="AA79">
            <v>0</v>
          </cell>
          <cell r="AB79">
            <v>0</v>
          </cell>
          <cell r="AC79">
            <v>0</v>
          </cell>
          <cell r="AD79">
            <v>0</v>
          </cell>
          <cell r="AE79">
            <v>0</v>
          </cell>
          <cell r="AF79">
            <v>0</v>
          </cell>
        </row>
        <row r="80">
          <cell r="B80" t="str">
            <v>% floating debt hedged (rates)</v>
          </cell>
          <cell r="C80" t="str">
            <v>FLOATING_PCT_LOCAL_DEBT_HEDGED</v>
          </cell>
          <cell r="Z80">
            <v>0</v>
          </cell>
          <cell r="AA80">
            <v>0</v>
          </cell>
          <cell r="AB80">
            <v>0</v>
          </cell>
          <cell r="AC80">
            <v>0</v>
          </cell>
          <cell r="AD80">
            <v>0</v>
          </cell>
          <cell r="AE80">
            <v>0</v>
          </cell>
          <cell r="AF80">
            <v>0</v>
          </cell>
        </row>
        <row r="81">
          <cell r="B81" t="str">
            <v>Net debt</v>
          </cell>
          <cell r="C81" t="str">
            <v>NET_DEBT</v>
          </cell>
          <cell r="F81">
            <v>4745.4558144218308</v>
          </cell>
          <cell r="G81">
            <v>3623.2108090197894</v>
          </cell>
          <cell r="H81">
            <v>4975.3045770523067</v>
          </cell>
          <cell r="I81">
            <v>5274.8333218882053</v>
          </cell>
          <cell r="J81">
            <v>6699.8997750177814</v>
          </cell>
          <cell r="K81">
            <v>4659.6209265913285</v>
          </cell>
          <cell r="L81">
            <v>1990.430955189988</v>
          </cell>
          <cell r="M81">
            <v>-1615.0280724556003</v>
          </cell>
          <cell r="N81">
            <v>-2965.537657456699</v>
          </cell>
          <cell r="O81">
            <v>-3851.9934312089472</v>
          </cell>
          <cell r="P81">
            <v>-1568.1976714376844</v>
          </cell>
          <cell r="Q81">
            <v>276</v>
          </cell>
          <cell r="R81">
            <v>-229</v>
          </cell>
          <cell r="S81">
            <v>4537</v>
          </cell>
          <cell r="T81">
            <v>11199</v>
          </cell>
          <cell r="U81">
            <v>6572</v>
          </cell>
          <cell r="V81">
            <v>10190</v>
          </cell>
          <cell r="W81">
            <v>9003</v>
          </cell>
          <cell r="X81">
            <v>7715</v>
          </cell>
          <cell r="Y81">
            <v>16569</v>
          </cell>
          <cell r="Z81">
            <v>19068</v>
          </cell>
          <cell r="AA81">
            <v>16909</v>
          </cell>
          <cell r="AB81">
            <v>13093</v>
          </cell>
          <cell r="AC81">
            <v>12547</v>
          </cell>
          <cell r="AD81">
            <v>7797</v>
          </cell>
          <cell r="AE81">
            <v>6863</v>
          </cell>
          <cell r="AF81">
            <v>3324</v>
          </cell>
          <cell r="AG81">
            <v>4236</v>
          </cell>
          <cell r="AH81">
            <v>7190</v>
          </cell>
          <cell r="AI81" t="e">
            <v>#VALUE!</v>
          </cell>
          <cell r="AJ81" t="e">
            <v>#VALUE!</v>
          </cell>
          <cell r="AK81" t="e">
            <v>#VALUE!</v>
          </cell>
          <cell r="AL81" t="e">
            <v>#VALUE!</v>
          </cell>
        </row>
        <row r="82">
          <cell r="B82" t="str">
            <v>Capitalized operating leases (off-balance sheet)</v>
          </cell>
          <cell r="C82" t="str">
            <v>CAP_LEASES</v>
          </cell>
          <cell r="E82" t="str">
            <v>Must be populated if Lease payments has been populated in the P&amp;L (default value is 8 times lease payments)</v>
          </cell>
          <cell r="F82">
            <v>1338.4558144218311</v>
          </cell>
          <cell r="G82">
            <v>1359.2108090197894</v>
          </cell>
          <cell r="H82">
            <v>1513.3045770523065</v>
          </cell>
          <cell r="I82">
            <v>1644.8333218882058</v>
          </cell>
          <cell r="J82">
            <v>1757.8997750177816</v>
          </cell>
          <cell r="K82">
            <v>1577.6209265913287</v>
          </cell>
          <cell r="L82">
            <v>1579.430955189988</v>
          </cell>
          <cell r="M82">
            <v>1640.9719275443997</v>
          </cell>
          <cell r="N82">
            <v>1498.4623425433012</v>
          </cell>
          <cell r="O82">
            <v>1344.0065687910526</v>
          </cell>
          <cell r="P82">
            <v>1328.8023285623156</v>
          </cell>
          <cell r="Q82">
            <v>1358</v>
          </cell>
          <cell r="R82">
            <v>1385</v>
          </cell>
          <cell r="S82">
            <v>1379</v>
          </cell>
          <cell r="T82">
            <v>1713</v>
          </cell>
          <cell r="U82">
            <v>1764</v>
          </cell>
          <cell r="V82">
            <v>1802</v>
          </cell>
          <cell r="W82">
            <v>1998</v>
          </cell>
          <cell r="X82">
            <v>1886</v>
          </cell>
          <cell r="Y82">
            <v>2267</v>
          </cell>
          <cell r="Z82">
            <v>2860</v>
          </cell>
          <cell r="AA82">
            <v>3650</v>
          </cell>
          <cell r="AB82">
            <v>3628</v>
          </cell>
          <cell r="AC82">
            <v>3502</v>
          </cell>
          <cell r="AD82">
            <v>3230</v>
          </cell>
        </row>
        <row r="83">
          <cell r="B83" t="str">
            <v>Deferred income taxes</v>
          </cell>
          <cell r="C83" t="str">
            <v>DEF_INC_TAX</v>
          </cell>
          <cell r="E83" t="str">
            <v>Net of Deferred income tax assets and liabilities. NB. If there is a net deferred tax asset, then DEF_INC_TAX should be 0 and the asset should be added to Other long term assets.</v>
          </cell>
        </row>
        <row r="84">
          <cell r="B84" t="str">
            <v>Associates (mkt value) used in EV calculation</v>
          </cell>
          <cell r="C84" t="str">
            <v>MV_ASSOCIATES</v>
          </cell>
        </row>
        <row r="85">
          <cell r="B85" t="str">
            <v>Net debt adjustment</v>
          </cell>
          <cell r="C85" t="str">
            <v>NET_DEBT_ADJ</v>
          </cell>
          <cell r="F85">
            <v>-1238</v>
          </cell>
          <cell r="G85">
            <v>-1138</v>
          </cell>
          <cell r="H85">
            <v>-986</v>
          </cell>
          <cell r="I85">
            <v>-830</v>
          </cell>
          <cell r="J85">
            <v>-884</v>
          </cell>
          <cell r="K85">
            <v>-918</v>
          </cell>
          <cell r="L85">
            <v>-1076</v>
          </cell>
          <cell r="M85">
            <v>-1410</v>
          </cell>
          <cell r="N85">
            <v>-1343</v>
          </cell>
          <cell r="O85">
            <v>-472</v>
          </cell>
          <cell r="P85">
            <v>-448</v>
          </cell>
          <cell r="Q85">
            <v>-492</v>
          </cell>
          <cell r="R85">
            <v>-613</v>
          </cell>
          <cell r="S85">
            <v>-2007</v>
          </cell>
          <cell r="T85">
            <v>-1429</v>
          </cell>
          <cell r="U85">
            <v>-1767</v>
          </cell>
          <cell r="V85">
            <v>-1392</v>
          </cell>
          <cell r="W85">
            <v>-1783</v>
          </cell>
          <cell r="X85">
            <v>-1602</v>
          </cell>
          <cell r="Y85">
            <v>-1673</v>
          </cell>
          <cell r="Z85">
            <v>-3977</v>
          </cell>
          <cell r="AA85">
            <v>-5038.8211942529706</v>
          </cell>
          <cell r="AB85">
            <v>-4246</v>
          </cell>
          <cell r="AC85">
            <v>-2351</v>
          </cell>
          <cell r="AD85">
            <v>1030</v>
          </cell>
          <cell r="AE85">
            <v>-2713</v>
          </cell>
          <cell r="AF85">
            <v>1863.9707924969171</v>
          </cell>
          <cell r="AG85">
            <v>1034.8172908418237</v>
          </cell>
          <cell r="AH85">
            <v>-2293.8679088140561</v>
          </cell>
          <cell r="AI85" t="e">
            <v>#VALUE!</v>
          </cell>
          <cell r="AJ85" t="e">
            <v>#VALUE!</v>
          </cell>
          <cell r="AK85" t="e">
            <v>#VALUE!</v>
          </cell>
          <cell r="AL85" t="e">
            <v>#VALUE!</v>
          </cell>
        </row>
        <row r="86">
          <cell r="B86" t="str">
            <v>Company borrowing margin</v>
          </cell>
          <cell r="C86" t="str">
            <v>CO_BOR_MARGIN</v>
          </cell>
          <cell r="F86">
            <v>0.02</v>
          </cell>
          <cell r="G86">
            <v>0.02</v>
          </cell>
          <cell r="H86">
            <v>0.02</v>
          </cell>
          <cell r="I86">
            <v>0.02</v>
          </cell>
          <cell r="J86">
            <v>0.02</v>
          </cell>
          <cell r="K86">
            <v>0.02</v>
          </cell>
          <cell r="L86">
            <v>0.02</v>
          </cell>
          <cell r="M86">
            <v>0.02</v>
          </cell>
          <cell r="N86">
            <v>0.02</v>
          </cell>
          <cell r="O86">
            <v>0.02</v>
          </cell>
          <cell r="P86">
            <v>0.02</v>
          </cell>
          <cell r="Q86">
            <v>0.02</v>
          </cell>
          <cell r="R86">
            <v>0.02</v>
          </cell>
          <cell r="S86">
            <v>0.02</v>
          </cell>
          <cell r="T86">
            <v>0.02</v>
          </cell>
          <cell r="U86">
            <v>0.02</v>
          </cell>
          <cell r="V86">
            <v>0.02</v>
          </cell>
          <cell r="W86">
            <v>0.02</v>
          </cell>
          <cell r="X86">
            <v>0.02</v>
          </cell>
          <cell r="Y86">
            <v>0.02</v>
          </cell>
          <cell r="Z86">
            <v>0.02</v>
          </cell>
          <cell r="AA86">
            <v>0.02</v>
          </cell>
          <cell r="AB86">
            <v>0.02</v>
          </cell>
          <cell r="AC86">
            <v>0.02</v>
          </cell>
          <cell r="AD86">
            <v>0.02</v>
          </cell>
          <cell r="AE86">
            <v>0.02</v>
          </cell>
          <cell r="AF86">
            <v>0.02</v>
          </cell>
          <cell r="AG86">
            <v>0.02</v>
          </cell>
          <cell r="AH86">
            <v>0.02</v>
          </cell>
          <cell r="AI86">
            <v>0.02</v>
          </cell>
          <cell r="AJ86">
            <v>0.02</v>
          </cell>
          <cell r="AK86">
            <v>0.02</v>
          </cell>
          <cell r="AL86">
            <v>0.02</v>
          </cell>
        </row>
        <row r="87">
          <cell r="B87" t="str">
            <v>Unfunded pensions &amp; other provisions</v>
          </cell>
          <cell r="C87" t="str">
            <v>UNF_PENS</v>
          </cell>
          <cell r="F87">
            <v>-6178</v>
          </cell>
          <cell r="G87">
            <v>-6009</v>
          </cell>
          <cell r="H87">
            <v>-6030</v>
          </cell>
          <cell r="I87">
            <v>-6171</v>
          </cell>
          <cell r="J87">
            <v>-7139</v>
          </cell>
          <cell r="K87">
            <v>-6478</v>
          </cell>
          <cell r="L87">
            <v>-6746</v>
          </cell>
          <cell r="M87">
            <v>-7044</v>
          </cell>
          <cell r="N87">
            <v>-6076</v>
          </cell>
          <cell r="O87">
            <v>-7885</v>
          </cell>
          <cell r="P87">
            <v>-4607</v>
          </cell>
          <cell r="Q87">
            <v>-4779</v>
          </cell>
          <cell r="R87">
            <v>-4540</v>
          </cell>
          <cell r="S87">
            <v>-4538</v>
          </cell>
          <cell r="T87">
            <v>-4998</v>
          </cell>
          <cell r="U87">
            <v>-6993</v>
          </cell>
          <cell r="V87">
            <v>-7047</v>
          </cell>
          <cell r="W87">
            <v>-8599</v>
          </cell>
          <cell r="X87">
            <v>-9829</v>
          </cell>
          <cell r="Y87">
            <v>-9815</v>
          </cell>
          <cell r="Z87">
            <v>-13942</v>
          </cell>
          <cell r="AA87">
            <v>-13010</v>
          </cell>
          <cell r="AB87">
            <v>-13892</v>
          </cell>
          <cell r="AC87">
            <v>-12229</v>
          </cell>
          <cell r="AD87">
            <v>-12833</v>
          </cell>
          <cell r="AE87">
            <v>-15313</v>
          </cell>
          <cell r="AF87">
            <v>-15136</v>
          </cell>
          <cell r="AG87">
            <v>-11781</v>
          </cell>
          <cell r="AH87">
            <v>-8748</v>
          </cell>
          <cell r="AI87">
            <v>-7866</v>
          </cell>
          <cell r="AJ87">
            <v>-6984</v>
          </cell>
          <cell r="AK87">
            <v>-6102</v>
          </cell>
          <cell r="AL87">
            <v>-5220</v>
          </cell>
        </row>
        <row r="88">
          <cell r="B88" t="str">
            <v>Unfunded pension liabilities (off balance sheet)</v>
          </cell>
          <cell r="C88" t="str">
            <v>UNF_PENS_OFF</v>
          </cell>
        </row>
        <row r="89">
          <cell r="B89" t="str">
            <v>Unfunded pension liabilities &amp; other, used in EV</v>
          </cell>
          <cell r="C89" t="str">
            <v>UNF_PENS_LIAB_OTH</v>
          </cell>
          <cell r="F89">
            <v>6178</v>
          </cell>
          <cell r="G89">
            <v>6009</v>
          </cell>
          <cell r="H89">
            <v>6030</v>
          </cell>
          <cell r="I89">
            <v>6171</v>
          </cell>
          <cell r="J89">
            <v>7139</v>
          </cell>
          <cell r="K89">
            <v>6478</v>
          </cell>
          <cell r="L89">
            <v>6746</v>
          </cell>
          <cell r="M89">
            <v>7044</v>
          </cell>
          <cell r="N89">
            <v>6076</v>
          </cell>
          <cell r="O89">
            <v>7885</v>
          </cell>
          <cell r="P89">
            <v>4607</v>
          </cell>
          <cell r="Q89">
            <v>4779</v>
          </cell>
          <cell r="R89">
            <v>4540</v>
          </cell>
          <cell r="S89">
            <v>4538</v>
          </cell>
          <cell r="T89">
            <v>4998</v>
          </cell>
          <cell r="U89">
            <v>6993</v>
          </cell>
          <cell r="V89">
            <v>7047</v>
          </cell>
          <cell r="W89">
            <v>8599</v>
          </cell>
          <cell r="X89">
            <v>9829</v>
          </cell>
          <cell r="Y89">
            <v>9815</v>
          </cell>
          <cell r="Z89">
            <v>13942</v>
          </cell>
          <cell r="AA89">
            <v>13010</v>
          </cell>
          <cell r="AB89">
            <v>13892</v>
          </cell>
          <cell r="AC89">
            <v>12229</v>
          </cell>
          <cell r="AD89">
            <v>12833</v>
          </cell>
          <cell r="AE89">
            <v>15313</v>
          </cell>
          <cell r="AF89">
            <v>15136</v>
          </cell>
          <cell r="AG89">
            <v>11781</v>
          </cell>
          <cell r="AH89">
            <v>8748</v>
          </cell>
          <cell r="AI89">
            <v>7866</v>
          </cell>
          <cell r="AJ89">
            <v>6984</v>
          </cell>
          <cell r="AK89">
            <v>6102</v>
          </cell>
          <cell r="AL89">
            <v>5220</v>
          </cell>
        </row>
        <row r="90">
          <cell r="B90" t="str">
            <v>Adjustment for unfunded pensions &amp; goodwill</v>
          </cell>
          <cell r="C90" t="str">
            <v>ADJ_UNF_PENS_GOOD</v>
          </cell>
        </row>
        <row r="91">
          <cell r="B91" t="str">
            <v>Other GCI adjustments</v>
          </cell>
          <cell r="C91" t="str">
            <v>OTH_GCI_ADJ</v>
          </cell>
        </row>
        <row r="92">
          <cell r="B92" t="str">
            <v>GCI inflator</v>
          </cell>
          <cell r="C92" t="str">
            <v>GCI_INFL</v>
          </cell>
        </row>
        <row r="93">
          <cell r="B93" t="str">
            <v>Minority interest</v>
          </cell>
          <cell r="C93" t="str">
            <v>BAL_MINO_INT</v>
          </cell>
          <cell r="F93">
            <v>144</v>
          </cell>
          <cell r="G93">
            <v>166</v>
          </cell>
          <cell r="H93">
            <v>288</v>
          </cell>
          <cell r="I93">
            <v>290</v>
          </cell>
          <cell r="J93">
            <v>367</v>
          </cell>
          <cell r="K93">
            <v>398</v>
          </cell>
          <cell r="L93">
            <v>467</v>
          </cell>
          <cell r="M93">
            <v>591</v>
          </cell>
          <cell r="N93">
            <v>570</v>
          </cell>
          <cell r="O93">
            <v>499</v>
          </cell>
          <cell r="P93">
            <v>504</v>
          </cell>
          <cell r="Q93">
            <v>604</v>
          </cell>
          <cell r="R93">
            <v>634</v>
          </cell>
          <cell r="S93">
            <v>768</v>
          </cell>
          <cell r="T93">
            <v>939</v>
          </cell>
          <cell r="U93">
            <v>869</v>
          </cell>
          <cell r="V93">
            <v>959</v>
          </cell>
          <cell r="W93">
            <v>1019</v>
          </cell>
          <cell r="X93">
            <v>1128</v>
          </cell>
          <cell r="Y93">
            <v>1052</v>
          </cell>
          <cell r="Z93">
            <v>1315</v>
          </cell>
          <cell r="AA93">
            <v>1467</v>
          </cell>
          <cell r="AB93">
            <v>1649</v>
          </cell>
          <cell r="AC93">
            <v>1787</v>
          </cell>
          <cell r="AD93">
            <v>1916</v>
          </cell>
          <cell r="AE93">
            <v>1854</v>
          </cell>
          <cell r="AF93">
            <v>1403</v>
          </cell>
          <cell r="AG93">
            <v>1720</v>
          </cell>
          <cell r="AH93">
            <v>2116</v>
          </cell>
          <cell r="AI93">
            <v>2536</v>
          </cell>
          <cell r="AJ93" t="e">
            <v>#VALUE!</v>
          </cell>
          <cell r="AK93" t="e">
            <v>#VALUE!</v>
          </cell>
          <cell r="AL93" t="e">
            <v>#VALUE!</v>
          </cell>
        </row>
        <row r="94">
          <cell r="B94" t="str">
            <v>Right-of-use assets (op lease assets under US GAAP)</v>
          </cell>
          <cell r="C94" t="str">
            <v>ROU_ASSET</v>
          </cell>
          <cell r="AE94">
            <v>2991</v>
          </cell>
          <cell r="AF94">
            <v>2517</v>
          </cell>
          <cell r="AG94">
            <v>2661</v>
          </cell>
          <cell r="AH94">
            <v>3084</v>
          </cell>
          <cell r="AI94">
            <v>3084</v>
          </cell>
          <cell r="AJ94">
            <v>3084</v>
          </cell>
          <cell r="AK94">
            <v>3084</v>
          </cell>
          <cell r="AL94">
            <v>3084</v>
          </cell>
        </row>
        <row r="95">
          <cell r="A95" t="str">
            <v>Cash Flow Statement</v>
          </cell>
        </row>
        <row r="96">
          <cell r="B96" t="str">
            <v>Minority interest add-back</v>
          </cell>
          <cell r="C96" t="str">
            <v>CF_INC_MINORITY</v>
          </cell>
          <cell r="F96">
            <v>28</v>
          </cell>
          <cell r="G96">
            <v>30</v>
          </cell>
          <cell r="H96">
            <v>19</v>
          </cell>
          <cell r="I96">
            <v>-35</v>
          </cell>
          <cell r="J96">
            <v>-44</v>
          </cell>
          <cell r="K96">
            <v>8</v>
          </cell>
          <cell r="L96">
            <v>39</v>
          </cell>
          <cell r="M96">
            <v>44</v>
          </cell>
          <cell r="N96">
            <v>21</v>
          </cell>
          <cell r="O96">
            <v>56</v>
          </cell>
          <cell r="P96">
            <v>50</v>
          </cell>
          <cell r="Q96">
            <v>86</v>
          </cell>
          <cell r="R96">
            <v>115</v>
          </cell>
          <cell r="S96">
            <v>172</v>
          </cell>
          <cell r="T96">
            <v>125</v>
          </cell>
          <cell r="U96">
            <v>63</v>
          </cell>
          <cell r="V96">
            <v>158</v>
          </cell>
          <cell r="W96">
            <v>173</v>
          </cell>
          <cell r="X96">
            <v>154</v>
          </cell>
          <cell r="Y96">
            <v>132</v>
          </cell>
          <cell r="Z96">
            <v>150</v>
          </cell>
          <cell r="AA96">
            <v>194</v>
          </cell>
          <cell r="AB96">
            <v>224</v>
          </cell>
          <cell r="AC96">
            <v>285</v>
          </cell>
          <cell r="AD96">
            <v>300</v>
          </cell>
          <cell r="AE96">
            <v>235</v>
          </cell>
          <cell r="AF96">
            <v>176</v>
          </cell>
          <cell r="AG96">
            <v>248</v>
          </cell>
          <cell r="AH96">
            <v>386</v>
          </cell>
          <cell r="AI96">
            <v>420</v>
          </cell>
          <cell r="AJ96" t="e">
            <v>#VALUE!</v>
          </cell>
          <cell r="AK96" t="e">
            <v>#VALUE!</v>
          </cell>
          <cell r="AL96" t="e">
            <v>#VALUE!</v>
          </cell>
        </row>
        <row r="97">
          <cell r="B97" t="str">
            <v>Depreciation &amp; amortization add-back</v>
          </cell>
          <cell r="C97" t="str">
            <v>DEPR_AMORT</v>
          </cell>
          <cell r="F97">
            <v>1521</v>
          </cell>
          <cell r="G97">
            <v>1434</v>
          </cell>
          <cell r="H97">
            <v>1461</v>
          </cell>
          <cell r="I97">
            <v>1528</v>
          </cell>
          <cell r="J97">
            <v>2097</v>
          </cell>
          <cell r="K97">
            <v>1873</v>
          </cell>
          <cell r="L97">
            <v>1633</v>
          </cell>
          <cell r="M97">
            <v>1794</v>
          </cell>
          <cell r="N97">
            <v>1859</v>
          </cell>
          <cell r="O97">
            <v>1792</v>
          </cell>
          <cell r="P97">
            <v>1733</v>
          </cell>
          <cell r="Q97">
            <v>1752</v>
          </cell>
          <cell r="R97">
            <v>1834</v>
          </cell>
          <cell r="S97">
            <v>1776</v>
          </cell>
          <cell r="T97">
            <v>1949</v>
          </cell>
          <cell r="U97">
            <v>2171</v>
          </cell>
          <cell r="V97">
            <v>1992</v>
          </cell>
          <cell r="W97">
            <v>1790</v>
          </cell>
          <cell r="X97">
            <v>1831</v>
          </cell>
          <cell r="Y97">
            <v>1893</v>
          </cell>
          <cell r="Z97">
            <v>2392</v>
          </cell>
          <cell r="AA97">
            <v>2858</v>
          </cell>
          <cell r="AB97">
            <v>2368</v>
          </cell>
          <cell r="AC97">
            <v>2323</v>
          </cell>
          <cell r="AD97">
            <v>2472</v>
          </cell>
          <cell r="AE97">
            <v>3496</v>
          </cell>
          <cell r="AF97">
            <v>3401</v>
          </cell>
          <cell r="AG97">
            <v>3305</v>
          </cell>
          <cell r="AH97">
            <v>3784</v>
          </cell>
          <cell r="AI97">
            <v>4034</v>
          </cell>
          <cell r="AJ97">
            <v>4284</v>
          </cell>
          <cell r="AK97">
            <v>4534</v>
          </cell>
          <cell r="AL97">
            <v>4784</v>
          </cell>
        </row>
        <row r="98">
          <cell r="B98" t="str">
            <v>(Increase)/decrease in working capital</v>
          </cell>
          <cell r="C98" t="str">
            <v>WORK_CAP</v>
          </cell>
          <cell r="F98">
            <v>-230</v>
          </cell>
          <cell r="G98">
            <v>-498</v>
          </cell>
          <cell r="H98">
            <v>-592</v>
          </cell>
          <cell r="I98">
            <v>-269</v>
          </cell>
          <cell r="J98">
            <v>1642</v>
          </cell>
          <cell r="K98">
            <v>-74</v>
          </cell>
          <cell r="L98">
            <v>-306</v>
          </cell>
          <cell r="M98">
            <v>1539</v>
          </cell>
          <cell r="N98">
            <v>-82</v>
          </cell>
          <cell r="O98">
            <v>-232</v>
          </cell>
          <cell r="P98">
            <v>-359</v>
          </cell>
          <cell r="Q98">
            <v>-526</v>
          </cell>
          <cell r="R98">
            <v>-571</v>
          </cell>
          <cell r="S98">
            <v>-1826</v>
          </cell>
          <cell r="T98">
            <v>-2208</v>
          </cell>
          <cell r="U98">
            <v>3076</v>
          </cell>
          <cell r="V98">
            <v>-1216</v>
          </cell>
          <cell r="W98">
            <v>-2395</v>
          </cell>
          <cell r="X98">
            <v>657</v>
          </cell>
          <cell r="Y98">
            <v>-1068</v>
          </cell>
          <cell r="Z98">
            <v>-2016</v>
          </cell>
          <cell r="AA98">
            <v>1360</v>
          </cell>
          <cell r="AB98">
            <v>-25</v>
          </cell>
          <cell r="AC98">
            <v>-900</v>
          </cell>
          <cell r="AD98">
            <v>-464</v>
          </cell>
          <cell r="AE98">
            <v>-383</v>
          </cell>
          <cell r="AF98">
            <v>1230</v>
          </cell>
          <cell r="AG98">
            <v>-3947</v>
          </cell>
          <cell r="AH98">
            <v>-3906</v>
          </cell>
          <cell r="AI98">
            <v>-877.04326235086592</v>
          </cell>
          <cell r="AJ98">
            <v>420.22669639715787</v>
          </cell>
          <cell r="AK98">
            <v>-90.991005773426878</v>
          </cell>
          <cell r="AL98">
            <v>-7.5503584858215618</v>
          </cell>
        </row>
        <row r="99">
          <cell r="B99" t="str">
            <v>Other operating cash flow items</v>
          </cell>
          <cell r="C99" t="str">
            <v>OTH_OP_CF</v>
          </cell>
          <cell r="F99">
            <v>347</v>
          </cell>
          <cell r="G99">
            <v>367</v>
          </cell>
          <cell r="H99">
            <v>-836</v>
          </cell>
          <cell r="I99">
            <v>-693</v>
          </cell>
          <cell r="J99">
            <v>-3218</v>
          </cell>
          <cell r="K99">
            <v>112</v>
          </cell>
          <cell r="L99">
            <v>732</v>
          </cell>
          <cell r="M99">
            <v>65</v>
          </cell>
          <cell r="N99">
            <v>-431</v>
          </cell>
          <cell r="O99">
            <v>-721</v>
          </cell>
          <cell r="P99">
            <v>-3367</v>
          </cell>
          <cell r="Q99">
            <v>-626</v>
          </cell>
          <cell r="R99">
            <v>-330</v>
          </cell>
          <cell r="S99">
            <v>-51</v>
          </cell>
          <cell r="T99">
            <v>-1135</v>
          </cell>
          <cell r="U99">
            <v>-226</v>
          </cell>
          <cell r="V99">
            <v>-521</v>
          </cell>
          <cell r="W99">
            <v>-33</v>
          </cell>
          <cell r="X99">
            <v>-1144</v>
          </cell>
          <cell r="Y99">
            <v>3446</v>
          </cell>
          <cell r="Z99">
            <v>-598</v>
          </cell>
          <cell r="AA99">
            <v>-561</v>
          </cell>
          <cell r="AB99">
            <v>598</v>
          </cell>
          <cell r="AC99">
            <v>-754</v>
          </cell>
          <cell r="AD99">
            <v>-1248</v>
          </cell>
          <cell r="AE99">
            <v>505</v>
          </cell>
          <cell r="AF99">
            <v>-840</v>
          </cell>
          <cell r="AG99">
            <v>-1689</v>
          </cell>
          <cell r="AH99">
            <v>908</v>
          </cell>
          <cell r="AI99" t="e">
            <v>#VALUE!</v>
          </cell>
          <cell r="AJ99" t="e">
            <v>#VALUE!</v>
          </cell>
          <cell r="AK99" t="e">
            <v>#VALUE!</v>
          </cell>
          <cell r="AL99" t="e">
            <v>#VALUE!</v>
          </cell>
        </row>
        <row r="100">
          <cell r="B100" t="str">
            <v>Cash flow from operating activities</v>
          </cell>
          <cell r="C100" t="str">
            <v>CF_OPS</v>
          </cell>
          <cell r="F100">
            <v>2945</v>
          </cell>
          <cell r="G100">
            <v>3391</v>
          </cell>
          <cell r="H100">
            <v>1744</v>
          </cell>
          <cell r="I100">
            <v>2144</v>
          </cell>
          <cell r="J100">
            <v>1594</v>
          </cell>
          <cell r="K100">
            <v>2642</v>
          </cell>
          <cell r="L100">
            <v>3953</v>
          </cell>
          <cell r="M100">
            <v>5597</v>
          </cell>
          <cell r="N100">
            <v>3801</v>
          </cell>
          <cell r="O100">
            <v>3402</v>
          </cell>
          <cell r="P100">
            <v>1086</v>
          </cell>
          <cell r="Q100">
            <v>4373</v>
          </cell>
          <cell r="R100">
            <v>5027</v>
          </cell>
          <cell r="S100">
            <v>4926</v>
          </cell>
          <cell r="T100">
            <v>3687</v>
          </cell>
          <cell r="U100">
            <v>8001</v>
          </cell>
          <cell r="V100">
            <v>5551</v>
          </cell>
          <cell r="W100">
            <v>5586</v>
          </cell>
          <cell r="X100">
            <v>6203</v>
          </cell>
          <cell r="Y100">
            <v>5315</v>
          </cell>
          <cell r="Z100">
            <v>4528</v>
          </cell>
          <cell r="AA100">
            <v>7731</v>
          </cell>
          <cell r="AB100">
            <v>7150</v>
          </cell>
          <cell r="AC100">
            <v>6429</v>
          </cell>
          <cell r="AD100">
            <v>8345</v>
          </cell>
          <cell r="AE100">
            <v>9410</v>
          </cell>
          <cell r="AF100">
            <v>8265</v>
          </cell>
          <cell r="AG100">
            <v>5248</v>
          </cell>
          <cell r="AH100">
            <v>5641</v>
          </cell>
          <cell r="AI100" t="e">
            <v>#VALUE!</v>
          </cell>
          <cell r="AJ100" t="e">
            <v>#VALUE!</v>
          </cell>
          <cell r="AK100" t="e">
            <v>#VALUE!</v>
          </cell>
          <cell r="AL100" t="e">
            <v>#VALUE!</v>
          </cell>
        </row>
        <row r="101">
          <cell r="B101" t="str">
            <v>Capital expenditures, Capex</v>
          </cell>
          <cell r="C101" t="str">
            <v>CAPEX</v>
          </cell>
          <cell r="F101">
            <v>-1356</v>
          </cell>
          <cell r="G101">
            <v>-2361</v>
          </cell>
          <cell r="H101">
            <v>-2710</v>
          </cell>
          <cell r="I101">
            <v>-2664</v>
          </cell>
          <cell r="J101">
            <v>-2148</v>
          </cell>
          <cell r="K101">
            <v>-1230</v>
          </cell>
          <cell r="L101">
            <v>-1551</v>
          </cell>
          <cell r="M101">
            <v>-1717</v>
          </cell>
          <cell r="N101">
            <v>-2001</v>
          </cell>
          <cell r="O101">
            <v>-1468</v>
          </cell>
          <cell r="P101">
            <v>-1512</v>
          </cell>
          <cell r="Q101">
            <v>-1794</v>
          </cell>
          <cell r="R101">
            <v>-2011</v>
          </cell>
          <cell r="S101">
            <v>-1957</v>
          </cell>
          <cell r="T101">
            <v>-2571</v>
          </cell>
          <cell r="U101">
            <v>-2271</v>
          </cell>
          <cell r="V101">
            <v>-1697</v>
          </cell>
          <cell r="W101">
            <v>-1928</v>
          </cell>
          <cell r="X101">
            <v>-2096</v>
          </cell>
          <cell r="Y101">
            <v>-2280</v>
          </cell>
          <cell r="Z101">
            <v>-2644</v>
          </cell>
          <cell r="AA101">
            <v>-2310</v>
          </cell>
          <cell r="AB101">
            <v>-2209</v>
          </cell>
          <cell r="AC101">
            <v>-2408</v>
          </cell>
          <cell r="AD101">
            <v>-2834</v>
          </cell>
          <cell r="AE101">
            <v>-3701</v>
          </cell>
          <cell r="AF101">
            <v>-3371</v>
          </cell>
          <cell r="AG101">
            <v>-3933</v>
          </cell>
          <cell r="AH101">
            <v>-5389</v>
          </cell>
          <cell r="AI101">
            <v>-5504.7765039129918</v>
          </cell>
          <cell r="AJ101">
            <v>-5584.4988913463876</v>
          </cell>
          <cell r="AK101">
            <v>-5609.4988913463876</v>
          </cell>
          <cell r="AL101">
            <v>-5634.4988913463876</v>
          </cell>
        </row>
        <row r="102">
          <cell r="B102" t="str">
            <v>Acquisitions</v>
          </cell>
          <cell r="C102" t="str">
            <v>ACQ</v>
          </cell>
          <cell r="F102">
            <v>0</v>
          </cell>
          <cell r="G102">
            <v>0</v>
          </cell>
          <cell r="H102">
            <v>-151</v>
          </cell>
          <cell r="I102">
            <v>-290</v>
          </cell>
          <cell r="J102">
            <v>-357</v>
          </cell>
          <cell r="K102">
            <v>-73</v>
          </cell>
          <cell r="L102">
            <v>0</v>
          </cell>
          <cell r="M102">
            <v>0</v>
          </cell>
          <cell r="N102">
            <v>0</v>
          </cell>
          <cell r="O102">
            <v>0</v>
          </cell>
          <cell r="P102">
            <v>-644</v>
          </cell>
          <cell r="Q102">
            <v>-419</v>
          </cell>
          <cell r="R102">
            <v>-2129</v>
          </cell>
          <cell r="S102">
            <v>-1209</v>
          </cell>
          <cell r="T102">
            <v>-1284</v>
          </cell>
          <cell r="U102">
            <v>0</v>
          </cell>
          <cell r="V102">
            <v>-6799</v>
          </cell>
          <cell r="W102">
            <v>-6</v>
          </cell>
          <cell r="X102">
            <v>-848</v>
          </cell>
          <cell r="Y102">
            <v>-8723</v>
          </cell>
          <cell r="Z102">
            <v>-69</v>
          </cell>
          <cell r="AA102">
            <v>-102</v>
          </cell>
          <cell r="AB102">
            <v>-60</v>
          </cell>
          <cell r="AC102">
            <v>-27</v>
          </cell>
          <cell r="AD102">
            <v>0</v>
          </cell>
          <cell r="AE102">
            <v>-696</v>
          </cell>
          <cell r="AF102">
            <v>-4</v>
          </cell>
          <cell r="AG102">
            <v>0</v>
          </cell>
          <cell r="AH102">
            <v>0</v>
          </cell>
          <cell r="AI102">
            <v>974.01386249999985</v>
          </cell>
          <cell r="AJ102">
            <v>0</v>
          </cell>
          <cell r="AK102">
            <v>0</v>
          </cell>
          <cell r="AL102">
            <v>0</v>
          </cell>
        </row>
        <row r="103">
          <cell r="B103" t="str">
            <v>Divestitures</v>
          </cell>
          <cell r="C103" t="str">
            <v>DIVEST</v>
          </cell>
          <cell r="F103">
            <v>200</v>
          </cell>
          <cell r="G103">
            <v>554</v>
          </cell>
          <cell r="H103">
            <v>682</v>
          </cell>
          <cell r="I103">
            <v>1289</v>
          </cell>
          <cell r="J103">
            <v>240</v>
          </cell>
          <cell r="K103">
            <v>554</v>
          </cell>
          <cell r="L103">
            <v>551</v>
          </cell>
          <cell r="M103">
            <v>245</v>
          </cell>
          <cell r="N103">
            <v>328</v>
          </cell>
          <cell r="O103">
            <v>523</v>
          </cell>
          <cell r="P103">
            <v>153</v>
          </cell>
          <cell r="Q103">
            <v>150</v>
          </cell>
          <cell r="R103">
            <v>1269</v>
          </cell>
          <cell r="S103">
            <v>319</v>
          </cell>
          <cell r="T103">
            <v>183</v>
          </cell>
          <cell r="U103">
            <v>22</v>
          </cell>
          <cell r="V103">
            <v>107</v>
          </cell>
          <cell r="W103">
            <v>200</v>
          </cell>
          <cell r="X103">
            <v>266</v>
          </cell>
          <cell r="Y103">
            <v>347</v>
          </cell>
          <cell r="Z103">
            <v>61</v>
          </cell>
          <cell r="AA103">
            <v>1293</v>
          </cell>
          <cell r="AB103">
            <v>3221</v>
          </cell>
          <cell r="AC103">
            <v>1028</v>
          </cell>
          <cell r="AD103">
            <v>2815</v>
          </cell>
          <cell r="AE103">
            <v>-39</v>
          </cell>
          <cell r="AF103">
            <v>374</v>
          </cell>
          <cell r="AG103">
            <v>785</v>
          </cell>
          <cell r="AH103">
            <v>43</v>
          </cell>
          <cell r="AI103">
            <v>68</v>
          </cell>
          <cell r="AJ103">
            <v>0</v>
          </cell>
          <cell r="AK103">
            <v>0</v>
          </cell>
          <cell r="AL103">
            <v>0</v>
          </cell>
        </row>
        <row r="104">
          <cell r="B104" t="str">
            <v>Other investing cash flow items</v>
          </cell>
          <cell r="C104" t="str">
            <v>OTH_INV_CF</v>
          </cell>
          <cell r="F104">
            <v>0</v>
          </cell>
          <cell r="G104">
            <v>0</v>
          </cell>
          <cell r="H104">
            <v>0</v>
          </cell>
          <cell r="I104">
            <v>0</v>
          </cell>
          <cell r="J104">
            <v>0</v>
          </cell>
          <cell r="K104">
            <v>-9</v>
          </cell>
          <cell r="L104">
            <v>-118</v>
          </cell>
          <cell r="M104">
            <v>-204</v>
          </cell>
          <cell r="N104">
            <v>-190</v>
          </cell>
          <cell r="O104">
            <v>-47</v>
          </cell>
          <cell r="P104">
            <v>2817</v>
          </cell>
          <cell r="Q104">
            <v>-1881</v>
          </cell>
          <cell r="R104">
            <v>847</v>
          </cell>
          <cell r="S104">
            <v>936</v>
          </cell>
          <cell r="T104">
            <v>535</v>
          </cell>
          <cell r="U104">
            <v>-370</v>
          </cell>
          <cell r="V104">
            <v>208</v>
          </cell>
          <cell r="W104">
            <v>-4</v>
          </cell>
          <cell r="X104">
            <v>30</v>
          </cell>
          <cell r="Y104">
            <v>-1</v>
          </cell>
          <cell r="Z104">
            <v>-8</v>
          </cell>
          <cell r="AA104">
            <v>-196</v>
          </cell>
          <cell r="AB104">
            <v>-383</v>
          </cell>
          <cell r="AC104">
            <v>-267</v>
          </cell>
          <cell r="AD104">
            <v>0</v>
          </cell>
          <cell r="AE104">
            <v>-21</v>
          </cell>
          <cell r="AF104">
            <v>-5</v>
          </cell>
          <cell r="AG104">
            <v>0</v>
          </cell>
          <cell r="AH104">
            <v>0</v>
          </cell>
          <cell r="AI104">
            <v>1.1368683772161603E-13</v>
          </cell>
          <cell r="AJ104">
            <v>0</v>
          </cell>
          <cell r="AK104">
            <v>0</v>
          </cell>
          <cell r="AL104">
            <v>0</v>
          </cell>
        </row>
        <row r="105">
          <cell r="B105" t="str">
            <v>Cash flow from investing</v>
          </cell>
          <cell r="C105" t="str">
            <v>CF_INV</v>
          </cell>
          <cell r="F105">
            <v>-1156</v>
          </cell>
          <cell r="G105">
            <v>-1807</v>
          </cell>
          <cell r="H105">
            <v>-2179</v>
          </cell>
          <cell r="I105">
            <v>-1665</v>
          </cell>
          <cell r="J105">
            <v>-2265</v>
          </cell>
          <cell r="K105">
            <v>-758</v>
          </cell>
          <cell r="L105">
            <v>-1118</v>
          </cell>
          <cell r="M105">
            <v>-1676</v>
          </cell>
          <cell r="N105">
            <v>-1863</v>
          </cell>
          <cell r="O105">
            <v>-992</v>
          </cell>
          <cell r="P105">
            <v>814</v>
          </cell>
          <cell r="Q105">
            <v>-3944</v>
          </cell>
          <cell r="R105">
            <v>-2024</v>
          </cell>
          <cell r="S105">
            <v>-1911</v>
          </cell>
          <cell r="T105">
            <v>-3137</v>
          </cell>
          <cell r="U105">
            <v>-2619</v>
          </cell>
          <cell r="V105">
            <v>-8181</v>
          </cell>
          <cell r="W105">
            <v>-1738</v>
          </cell>
          <cell r="X105">
            <v>-2648</v>
          </cell>
          <cell r="Y105">
            <v>-10657</v>
          </cell>
          <cell r="Z105">
            <v>-2660</v>
          </cell>
          <cell r="AA105">
            <v>-1315</v>
          </cell>
          <cell r="AB105">
            <v>569</v>
          </cell>
          <cell r="AC105">
            <v>-1674</v>
          </cell>
          <cell r="AD105">
            <v>-19</v>
          </cell>
          <cell r="AE105">
            <v>-4457</v>
          </cell>
          <cell r="AF105">
            <v>-3006</v>
          </cell>
          <cell r="AG105">
            <v>-3148</v>
          </cell>
          <cell r="AH105">
            <v>-5346</v>
          </cell>
          <cell r="AI105">
            <v>-4462.7626414129918</v>
          </cell>
          <cell r="AJ105">
            <v>-5584.4988913463876</v>
          </cell>
          <cell r="AK105">
            <v>-5609.4988913463876</v>
          </cell>
          <cell r="AL105">
            <v>-5634.4988913463876</v>
          </cell>
        </row>
        <row r="106">
          <cell r="B106" t="str">
            <v>Dividends paid</v>
          </cell>
          <cell r="C106" t="str">
            <v>DIV_PAID</v>
          </cell>
          <cell r="F106">
            <v>0</v>
          </cell>
          <cell r="G106">
            <v>-480</v>
          </cell>
          <cell r="H106">
            <v>-593</v>
          </cell>
          <cell r="I106">
            <v>-593</v>
          </cell>
          <cell r="J106">
            <v>-598</v>
          </cell>
          <cell r="K106">
            <v>-228</v>
          </cell>
          <cell r="L106">
            <v>-455</v>
          </cell>
          <cell r="M106">
            <v>-598</v>
          </cell>
          <cell r="N106">
            <v>-683</v>
          </cell>
          <cell r="O106">
            <v>-911</v>
          </cell>
          <cell r="P106">
            <v>-1177</v>
          </cell>
          <cell r="Q106">
            <v>-1399</v>
          </cell>
          <cell r="R106">
            <v>-1868</v>
          </cell>
          <cell r="S106">
            <v>-2103</v>
          </cell>
          <cell r="T106">
            <v>-2338</v>
          </cell>
          <cell r="U106">
            <v>-1629</v>
          </cell>
          <cell r="V106">
            <v>-1622</v>
          </cell>
          <cell r="W106">
            <v>-2307</v>
          </cell>
          <cell r="X106">
            <v>-2551</v>
          </cell>
          <cell r="Y106">
            <v>-2535</v>
          </cell>
          <cell r="Z106">
            <v>-2578</v>
          </cell>
          <cell r="AA106">
            <v>-2605</v>
          </cell>
          <cell r="AB106">
            <v>-2635</v>
          </cell>
          <cell r="AC106">
            <v>-2618</v>
          </cell>
          <cell r="AD106">
            <v>-2621</v>
          </cell>
          <cell r="AE106">
            <v>-2790</v>
          </cell>
          <cell r="AF106">
            <v>-1778</v>
          </cell>
          <cell r="AG106">
            <v>-3012</v>
          </cell>
          <cell r="AH106">
            <v>-3249</v>
          </cell>
          <cell r="AI106">
            <v>-3194</v>
          </cell>
          <cell r="AJ106" t="e">
            <v>#VALUE!</v>
          </cell>
          <cell r="AK106" t="e">
            <v>#VALUE!</v>
          </cell>
          <cell r="AL106" t="e">
            <v>#VALUE!</v>
          </cell>
        </row>
        <row r="107">
          <cell r="B107" t="str">
            <v>Common stock issuance/(repurchase)</v>
          </cell>
          <cell r="C107" t="str">
            <v>SH_REPUR</v>
          </cell>
          <cell r="F107">
            <v>0</v>
          </cell>
          <cell r="G107">
            <v>0</v>
          </cell>
          <cell r="H107">
            <v>0</v>
          </cell>
          <cell r="I107">
            <v>189</v>
          </cell>
          <cell r="J107">
            <v>0</v>
          </cell>
          <cell r="K107">
            <v>0</v>
          </cell>
          <cell r="L107">
            <v>0</v>
          </cell>
          <cell r="M107">
            <v>0</v>
          </cell>
          <cell r="N107">
            <v>0</v>
          </cell>
          <cell r="O107">
            <v>0</v>
          </cell>
          <cell r="P107">
            <v>0</v>
          </cell>
          <cell r="Q107">
            <v>-2846</v>
          </cell>
          <cell r="R107">
            <v>0</v>
          </cell>
          <cell r="S107">
            <v>-4554</v>
          </cell>
          <cell r="T107">
            <v>-2277</v>
          </cell>
          <cell r="U107">
            <v>0</v>
          </cell>
          <cell r="V107">
            <v>0</v>
          </cell>
          <cell r="W107">
            <v>0</v>
          </cell>
          <cell r="X107">
            <v>-208</v>
          </cell>
          <cell r="Y107">
            <v>55</v>
          </cell>
          <cell r="Z107">
            <v>0</v>
          </cell>
          <cell r="AA107">
            <v>0</v>
          </cell>
          <cell r="AB107">
            <v>0</v>
          </cell>
          <cell r="AC107">
            <v>0</v>
          </cell>
          <cell r="AD107">
            <v>0</v>
          </cell>
          <cell r="AE107">
            <v>-242</v>
          </cell>
          <cell r="AF107">
            <v>0</v>
          </cell>
          <cell r="AG107">
            <v>0</v>
          </cell>
          <cell r="AH107">
            <v>0</v>
          </cell>
          <cell r="AI107">
            <v>0</v>
          </cell>
          <cell r="AJ107">
            <v>0</v>
          </cell>
          <cell r="AK107">
            <v>0</v>
          </cell>
          <cell r="AL107">
            <v>0</v>
          </cell>
        </row>
        <row r="108">
          <cell r="B108" t="str">
            <v>Increase/(decrease) in total debt</v>
          </cell>
          <cell r="C108" t="str">
            <v>CHG_LT_DEBT</v>
          </cell>
          <cell r="F108">
            <v>-2271</v>
          </cell>
          <cell r="G108">
            <v>-658</v>
          </cell>
          <cell r="H108">
            <v>157</v>
          </cell>
          <cell r="I108">
            <v>1666</v>
          </cell>
          <cell r="J108">
            <v>-402</v>
          </cell>
          <cell r="K108">
            <v>-1994</v>
          </cell>
          <cell r="L108">
            <v>-986</v>
          </cell>
          <cell r="M108">
            <v>-1563</v>
          </cell>
          <cell r="N108">
            <v>-802</v>
          </cell>
          <cell r="O108">
            <v>-492</v>
          </cell>
          <cell r="P108">
            <v>-532</v>
          </cell>
          <cell r="Q108">
            <v>2935</v>
          </cell>
          <cell r="R108">
            <v>3881</v>
          </cell>
          <cell r="S108">
            <v>-664</v>
          </cell>
          <cell r="T108">
            <v>3686</v>
          </cell>
          <cell r="U108">
            <v>-2048</v>
          </cell>
          <cell r="V108">
            <v>2281</v>
          </cell>
          <cell r="W108">
            <v>873</v>
          </cell>
          <cell r="X108">
            <v>2691</v>
          </cell>
          <cell r="Y108">
            <v>4983</v>
          </cell>
          <cell r="Z108">
            <v>860</v>
          </cell>
          <cell r="AA108">
            <v>-942</v>
          </cell>
          <cell r="AB108">
            <v>-1974</v>
          </cell>
          <cell r="AC108">
            <v>-3921</v>
          </cell>
          <cell r="AD108">
            <v>-2583</v>
          </cell>
          <cell r="AE108">
            <v>-1546</v>
          </cell>
          <cell r="AF108">
            <v>848</v>
          </cell>
          <cell r="AG108">
            <v>1022</v>
          </cell>
          <cell r="AH108">
            <v>1044</v>
          </cell>
          <cell r="AI108">
            <v>-17</v>
          </cell>
          <cell r="AJ108">
            <v>-3000</v>
          </cell>
          <cell r="AK108">
            <v>0</v>
          </cell>
          <cell r="AL108">
            <v>0</v>
          </cell>
        </row>
        <row r="109">
          <cell r="B109" t="str">
            <v>Lease principal payments  (applicable to IFRS cos.)</v>
          </cell>
          <cell r="C109" t="str">
            <v>LEASE_PRINCIPAL_CASH</v>
          </cell>
          <cell r="AE109">
            <v>-834</v>
          </cell>
          <cell r="AF109">
            <v>-799</v>
          </cell>
          <cell r="AG109">
            <v>-738</v>
          </cell>
          <cell r="AH109">
            <v>-809</v>
          </cell>
          <cell r="AI109">
            <v>-790</v>
          </cell>
          <cell r="AJ109">
            <v>-790</v>
          </cell>
          <cell r="AK109">
            <v>-790</v>
          </cell>
          <cell r="AL109">
            <v>-790</v>
          </cell>
        </row>
        <row r="110">
          <cell r="B110" t="str">
            <v>Other financing cash flow items</v>
          </cell>
          <cell r="C110" t="str">
            <v>OTH_FIN_CF</v>
          </cell>
          <cell r="F110">
            <v>0</v>
          </cell>
          <cell r="G110">
            <v>95</v>
          </cell>
          <cell r="H110">
            <v>65</v>
          </cell>
          <cell r="I110">
            <v>99</v>
          </cell>
          <cell r="J110">
            <v>93</v>
          </cell>
          <cell r="K110">
            <v>-39</v>
          </cell>
          <cell r="L110">
            <v>111</v>
          </cell>
          <cell r="M110">
            <v>146</v>
          </cell>
          <cell r="N110">
            <v>-310</v>
          </cell>
          <cell r="O110">
            <v>-195</v>
          </cell>
          <cell r="P110">
            <v>-2968</v>
          </cell>
          <cell r="Q110">
            <v>2202</v>
          </cell>
          <cell r="R110">
            <v>-847</v>
          </cell>
          <cell r="S110">
            <v>-1803</v>
          </cell>
          <cell r="T110">
            <v>226</v>
          </cell>
          <cell r="U110">
            <v>-68</v>
          </cell>
          <cell r="V110">
            <v>-64</v>
          </cell>
          <cell r="W110">
            <v>16</v>
          </cell>
          <cell r="X110">
            <v>-68</v>
          </cell>
          <cell r="Y110">
            <v>-36</v>
          </cell>
          <cell r="Z110">
            <v>401</v>
          </cell>
          <cell r="AA110">
            <v>-1571</v>
          </cell>
          <cell r="AB110">
            <v>-389</v>
          </cell>
          <cell r="AC110">
            <v>-1043</v>
          </cell>
          <cell r="AD110">
            <v>156</v>
          </cell>
          <cell r="AE110">
            <v>-3585</v>
          </cell>
          <cell r="AF110">
            <v>4420</v>
          </cell>
          <cell r="AG110">
            <v>-785</v>
          </cell>
          <cell r="AH110">
            <v>-386</v>
          </cell>
          <cell r="AI110">
            <v>-110</v>
          </cell>
          <cell r="AJ110" t="e">
            <v>#VALUE!</v>
          </cell>
          <cell r="AK110" t="e">
            <v>#VALUE!</v>
          </cell>
          <cell r="AL110" t="e">
            <v>#VALUE!</v>
          </cell>
        </row>
        <row r="111">
          <cell r="B111" t="str">
            <v>Cash flow from financing</v>
          </cell>
          <cell r="C111" t="str">
            <v>CF_FIN</v>
          </cell>
          <cell r="F111">
            <v>-2271</v>
          </cell>
          <cell r="G111">
            <v>-1043</v>
          </cell>
          <cell r="H111">
            <v>-371</v>
          </cell>
          <cell r="I111">
            <v>1361</v>
          </cell>
          <cell r="J111">
            <v>-907</v>
          </cell>
          <cell r="K111">
            <v>-2261</v>
          </cell>
          <cell r="L111">
            <v>-1330</v>
          </cell>
          <cell r="M111">
            <v>-2015</v>
          </cell>
          <cell r="N111">
            <v>-1795</v>
          </cell>
          <cell r="O111">
            <v>-1598</v>
          </cell>
          <cell r="P111">
            <v>-4677</v>
          </cell>
          <cell r="Q111">
            <v>892</v>
          </cell>
          <cell r="R111">
            <v>1166</v>
          </cell>
          <cell r="S111">
            <v>-9124</v>
          </cell>
          <cell r="T111">
            <v>-703</v>
          </cell>
          <cell r="U111">
            <v>-3745</v>
          </cell>
          <cell r="V111">
            <v>595</v>
          </cell>
          <cell r="W111">
            <v>-1418</v>
          </cell>
          <cell r="X111">
            <v>-136</v>
          </cell>
          <cell r="Y111">
            <v>2467</v>
          </cell>
          <cell r="Z111">
            <v>-1317</v>
          </cell>
          <cell r="AA111">
            <v>-5118</v>
          </cell>
          <cell r="AB111">
            <v>-4998</v>
          </cell>
          <cell r="AC111">
            <v>-7582</v>
          </cell>
          <cell r="AD111">
            <v>-5048</v>
          </cell>
          <cell r="AE111">
            <v>-8997</v>
          </cell>
          <cell r="AF111">
            <v>2691</v>
          </cell>
          <cell r="AG111">
            <v>-3513</v>
          </cell>
          <cell r="AH111">
            <v>-3400</v>
          </cell>
          <cell r="AI111">
            <v>-4111</v>
          </cell>
          <cell r="AJ111" t="e">
            <v>#VALUE!</v>
          </cell>
          <cell r="AK111" t="e">
            <v>#VALUE!</v>
          </cell>
          <cell r="AL111" t="e">
            <v>#VALUE!</v>
          </cell>
        </row>
        <row r="112">
          <cell r="B112" t="str">
            <v>Other items net cash flow</v>
          </cell>
          <cell r="C112" t="str">
            <v>OTH_ITEM_NCF</v>
          </cell>
          <cell r="AE112">
            <v>84</v>
          </cell>
          <cell r="AF112">
            <v>-330</v>
          </cell>
          <cell r="AG112">
            <v>582</v>
          </cell>
          <cell r="AH112">
            <v>141.5</v>
          </cell>
          <cell r="AI112">
            <v>529.62644088964169</v>
          </cell>
          <cell r="AJ112" t="e">
            <v>#VALUE!</v>
          </cell>
          <cell r="AK112" t="e">
            <v>#VALUE!</v>
          </cell>
          <cell r="AL112" t="e">
            <v>#VALUE!</v>
          </cell>
        </row>
        <row r="113">
          <cell r="B113" t="str">
            <v>Total cash flow</v>
          </cell>
          <cell r="C113" t="str">
            <v>TOT_CF</v>
          </cell>
          <cell r="F113">
            <v>-482</v>
          </cell>
          <cell r="G113">
            <v>541</v>
          </cell>
          <cell r="H113">
            <v>-806</v>
          </cell>
          <cell r="I113">
            <v>1840</v>
          </cell>
          <cell r="J113">
            <v>-1578</v>
          </cell>
          <cell r="K113">
            <v>-377</v>
          </cell>
          <cell r="L113">
            <v>1505</v>
          </cell>
          <cell r="M113">
            <v>1906</v>
          </cell>
          <cell r="N113">
            <v>143</v>
          </cell>
          <cell r="O113">
            <v>812</v>
          </cell>
          <cell r="P113">
            <v>-2777</v>
          </cell>
          <cell r="Q113">
            <v>1321</v>
          </cell>
          <cell r="R113">
            <v>4169</v>
          </cell>
          <cell r="S113">
            <v>-6109</v>
          </cell>
          <cell r="T113">
            <v>-153</v>
          </cell>
          <cell r="U113">
            <v>1637</v>
          </cell>
          <cell r="V113">
            <v>-2035</v>
          </cell>
          <cell r="W113">
            <v>2430</v>
          </cell>
          <cell r="X113">
            <v>3419</v>
          </cell>
          <cell r="Y113">
            <v>-2875</v>
          </cell>
          <cell r="Z113">
            <v>551</v>
          </cell>
          <cell r="AA113">
            <v>1298</v>
          </cell>
          <cell r="AB113">
            <v>2721</v>
          </cell>
          <cell r="AC113">
            <v>-2827</v>
          </cell>
          <cell r="AD113">
            <v>3278</v>
          </cell>
          <cell r="AE113">
            <v>-3960</v>
          </cell>
          <cell r="AF113">
            <v>7620</v>
          </cell>
          <cell r="AG113">
            <v>-831</v>
          </cell>
          <cell r="AH113">
            <v>-2964</v>
          </cell>
          <cell r="AI113" t="e">
            <v>#VALUE!</v>
          </cell>
          <cell r="AJ113" t="e">
            <v>#VALUE!</v>
          </cell>
          <cell r="AK113" t="e">
            <v>#VALUE!</v>
          </cell>
          <cell r="AL113" t="e">
            <v>#VALUE!</v>
          </cell>
        </row>
        <row r="114">
          <cell r="A114" t="str">
            <v>Additional Cash Flow Items</v>
          </cell>
        </row>
        <row r="115">
          <cell r="B115" t="str">
            <v>Associate and JV add-back</v>
          </cell>
          <cell r="C115" t="str">
            <v>ASSOC_JV_ADDBK</v>
          </cell>
        </row>
        <row r="116">
          <cell r="B116" t="str">
            <v>Cash interest income/(expense)</v>
          </cell>
          <cell r="C116" t="str">
            <v>CASH_INT_INC_EXP</v>
          </cell>
        </row>
        <row r="117">
          <cell r="B117" t="str">
            <v>Cash taxes paid</v>
          </cell>
          <cell r="C117" t="str">
            <v>CASH_TAX_PD</v>
          </cell>
          <cell r="F117">
            <v>-393</v>
          </cell>
          <cell r="G117">
            <v>-893</v>
          </cell>
          <cell r="H117">
            <v>-663</v>
          </cell>
          <cell r="I117">
            <v>-554</v>
          </cell>
          <cell r="J117">
            <v>-387</v>
          </cell>
          <cell r="K117">
            <v>-355</v>
          </cell>
          <cell r="L117">
            <v>-166</v>
          </cell>
          <cell r="M117">
            <v>-636</v>
          </cell>
          <cell r="N117">
            <v>-867</v>
          </cell>
          <cell r="O117">
            <v>-930</v>
          </cell>
          <cell r="P117">
            <v>-858</v>
          </cell>
          <cell r="Q117">
            <v>-1618</v>
          </cell>
          <cell r="R117">
            <v>-1947</v>
          </cell>
          <cell r="S117">
            <v>-2361</v>
          </cell>
          <cell r="T117">
            <v>-2783</v>
          </cell>
          <cell r="U117">
            <v>-1068</v>
          </cell>
          <cell r="V117">
            <v>-1722</v>
          </cell>
          <cell r="W117">
            <v>-2858</v>
          </cell>
          <cell r="X117">
            <v>-2839</v>
          </cell>
          <cell r="Y117">
            <v>-2351</v>
          </cell>
          <cell r="Z117">
            <v>-2090</v>
          </cell>
          <cell r="AA117">
            <v>-2320</v>
          </cell>
          <cell r="AB117">
            <v>-1897</v>
          </cell>
          <cell r="AC117">
            <v>-2353</v>
          </cell>
          <cell r="AD117">
            <v>-2711</v>
          </cell>
          <cell r="AE117">
            <v>-2114</v>
          </cell>
          <cell r="AF117">
            <v>-2240</v>
          </cell>
          <cell r="AG117">
            <v>-2250</v>
          </cell>
          <cell r="AH117">
            <v>-2572</v>
          </cell>
          <cell r="AI117" t="e">
            <v>#VALUE!</v>
          </cell>
          <cell r="AJ117" t="e">
            <v>#VALUE!</v>
          </cell>
          <cell r="AK117" t="e">
            <v>#VALUE!</v>
          </cell>
          <cell r="AL117" t="e">
            <v>#VALUE!</v>
          </cell>
        </row>
        <row r="118">
          <cell r="B118" t="str">
            <v>Profit/(loss) on sale of assets</v>
          </cell>
          <cell r="C118" t="str">
            <v>PL_SALE_ASSETS</v>
          </cell>
        </row>
        <row r="119">
          <cell r="B119" t="str">
            <v>Other non-cash adjustments</v>
          </cell>
          <cell r="C119" t="str">
            <v>OTH_NONCASH_ADJ</v>
          </cell>
        </row>
        <row r="120">
          <cell r="B120" t="str">
            <v>Other DACF adjustments</v>
          </cell>
          <cell r="C120" t="str">
            <v>OTH_DACF_ADJ</v>
          </cell>
        </row>
        <row r="121">
          <cell r="B121" t="str">
            <v>Cash interest expense</v>
          </cell>
          <cell r="C121" t="str">
            <v>CASH_INT_EXP</v>
          </cell>
        </row>
        <row r="122">
          <cell r="B122" t="str">
            <v>Cash tax expense</v>
          </cell>
          <cell r="C122" t="str">
            <v>CASH_TAX_EXP</v>
          </cell>
          <cell r="F122">
            <v>-570</v>
          </cell>
          <cell r="G122">
            <v>-1301</v>
          </cell>
          <cell r="H122">
            <v>-701</v>
          </cell>
          <cell r="I122">
            <v>-583</v>
          </cell>
          <cell r="J122">
            <v>0</v>
          </cell>
          <cell r="K122">
            <v>-650</v>
          </cell>
          <cell r="L122">
            <v>-1001</v>
          </cell>
          <cell r="M122">
            <v>-909</v>
          </cell>
          <cell r="N122">
            <v>-1055</v>
          </cell>
          <cell r="O122">
            <v>-698</v>
          </cell>
          <cell r="P122">
            <v>-1111</v>
          </cell>
          <cell r="Q122">
            <v>-1646</v>
          </cell>
          <cell r="R122">
            <v>-1955</v>
          </cell>
          <cell r="S122">
            <v>-2371</v>
          </cell>
          <cell r="T122">
            <v>-2127</v>
          </cell>
          <cell r="U122">
            <v>-592</v>
          </cell>
          <cell r="V122">
            <v>-2253</v>
          </cell>
          <cell r="W122">
            <v>-2708</v>
          </cell>
          <cell r="X122">
            <v>-1633</v>
          </cell>
          <cell r="Y122">
            <v>-1777</v>
          </cell>
          <cell r="Z122">
            <v>-1918</v>
          </cell>
          <cell r="AA122">
            <v>-1760</v>
          </cell>
          <cell r="AB122">
            <v>-2530</v>
          </cell>
          <cell r="AC122">
            <v>-1898</v>
          </cell>
          <cell r="AD122">
            <v>-2603</v>
          </cell>
          <cell r="AE122">
            <v>-2677</v>
          </cell>
          <cell r="AF122">
            <v>-1826</v>
          </cell>
          <cell r="AG122">
            <v>-2484</v>
          </cell>
          <cell r="AH122">
            <v>-2438</v>
          </cell>
          <cell r="AI122" t="e">
            <v>#VALUE!</v>
          </cell>
          <cell r="AJ122" t="e">
            <v>#VALUE!</v>
          </cell>
          <cell r="AK122" t="e">
            <v>#VALUE!</v>
          </cell>
          <cell r="AL122" t="e">
            <v>#VALUE!</v>
          </cell>
        </row>
        <row r="123">
          <cell r="B123" t="str">
            <v>Dividends received from associates/JVs</v>
          </cell>
          <cell r="C123" t="str">
            <v>DIVDS_ASSOC_JV</v>
          </cell>
        </row>
        <row r="124">
          <cell r="B124" t="str">
            <v>Capex maintenance</v>
          </cell>
          <cell r="C124" t="str">
            <v>CAPEX_MAINTENANCE</v>
          </cell>
        </row>
        <row r="125">
          <cell r="B125" t="str">
            <v>Capex expansion</v>
          </cell>
          <cell r="C125" t="str">
            <v>CAPEX_EXPANSION</v>
          </cell>
        </row>
        <row r="126">
          <cell r="B126" t="str">
            <v>Non-PP&amp;E capex</v>
          </cell>
          <cell r="C126" t="str">
            <v>NONPPE_CAPEX</v>
          </cell>
        </row>
        <row r="127">
          <cell r="B127" t="str">
            <v>Dividends paid to minorities</v>
          </cell>
          <cell r="C127" t="str">
            <v>DIVDS_PD_MINORITIES</v>
          </cell>
          <cell r="F127">
            <v>0</v>
          </cell>
          <cell r="G127">
            <v>0</v>
          </cell>
          <cell r="H127">
            <v>0</v>
          </cell>
          <cell r="I127">
            <v>0</v>
          </cell>
          <cell r="J127">
            <v>0</v>
          </cell>
          <cell r="K127">
            <v>0</v>
          </cell>
          <cell r="L127">
            <v>0</v>
          </cell>
          <cell r="M127">
            <v>0</v>
          </cell>
          <cell r="N127">
            <v>0</v>
          </cell>
          <cell r="O127">
            <v>0</v>
          </cell>
          <cell r="P127">
            <v>0</v>
          </cell>
          <cell r="Q127">
            <v>0</v>
          </cell>
          <cell r="R127">
            <v>0</v>
          </cell>
          <cell r="S127">
            <v>-54</v>
          </cell>
          <cell r="T127">
            <v>-61</v>
          </cell>
          <cell r="U127">
            <v>0</v>
          </cell>
          <cell r="V127">
            <v>0</v>
          </cell>
          <cell r="W127">
            <v>0</v>
          </cell>
          <cell r="X127">
            <v>-47</v>
          </cell>
          <cell r="Y127">
            <v>-31</v>
          </cell>
          <cell r="Z127">
            <v>-74</v>
          </cell>
          <cell r="AA127">
            <v>0</v>
          </cell>
          <cell r="AB127">
            <v>0</v>
          </cell>
          <cell r="AC127">
            <v>0</v>
          </cell>
          <cell r="AD127">
            <v>0</v>
          </cell>
          <cell r="AE127">
            <v>0</v>
          </cell>
          <cell r="AF127">
            <v>0</v>
          </cell>
          <cell r="AG127">
            <v>0</v>
          </cell>
          <cell r="AH127">
            <v>0</v>
          </cell>
          <cell r="AI127">
            <v>0</v>
          </cell>
          <cell r="AJ127">
            <v>0</v>
          </cell>
          <cell r="AK127">
            <v>0</v>
          </cell>
          <cell r="AL127">
            <v>0</v>
          </cell>
        </row>
        <row r="128">
          <cell r="A128" t="str">
            <v>Company Metrics</v>
          </cell>
        </row>
        <row r="129">
          <cell r="B129" t="str">
            <v>Group sales % - &gt;50% bigger than number 2</v>
          </cell>
          <cell r="C129" t="str">
            <v>GROUP_SALES_PCT_BIG_NO_TWO</v>
          </cell>
          <cell r="E129">
            <v>6.3E-2</v>
          </cell>
        </row>
        <row r="130">
          <cell r="B130" t="str">
            <v>Group sales % -  number 1/shared number one</v>
          </cell>
          <cell r="C130" t="str">
            <v>GROUP_SALES_PCT_SHRD_NO_ONE</v>
          </cell>
          <cell r="E130">
            <v>0.432</v>
          </cell>
        </row>
        <row r="131">
          <cell r="B131" t="str">
            <v>Group sales % -  top 3</v>
          </cell>
          <cell r="C131" t="str">
            <v>GROUP_SALES_PCT_TOP_THREE</v>
          </cell>
          <cell r="E131">
            <v>0.50500000000000012</v>
          </cell>
        </row>
        <row r="132">
          <cell r="B132" t="str">
            <v>Aftermarket - % Global sales</v>
          </cell>
          <cell r="C132" t="str">
            <v>AMKT_PCT_GROUP_SALES</v>
          </cell>
          <cell r="X132">
            <v>0.3</v>
          </cell>
        </row>
        <row r="133">
          <cell r="B133" t="str">
            <v>Distribution score</v>
          </cell>
          <cell r="C133" t="str">
            <v>DISTR_SCORE</v>
          </cell>
          <cell r="E133">
            <v>6</v>
          </cell>
        </row>
        <row r="134">
          <cell r="B134" t="str">
            <v>Structural growth outlook by product category</v>
          </cell>
          <cell r="C134" t="str">
            <v>STRCTL_GRTH_PROD_CTGRY</v>
          </cell>
          <cell r="E134">
            <v>4.5999999999999999E-2</v>
          </cell>
        </row>
        <row r="135">
          <cell r="B135" t="str">
            <v>Cyclical growth outlook by end market</v>
          </cell>
          <cell r="C135" t="str">
            <v>CYCL_GRTH_EMKT</v>
          </cell>
          <cell r="E135">
            <v>5</v>
          </cell>
        </row>
        <row r="136">
          <cell r="B136" t="str">
            <v>Cycle adjusted CROCI</v>
          </cell>
          <cell r="C136" t="str">
            <v>CYCL_ADJ_CROCI</v>
          </cell>
          <cell r="X136">
            <v>0</v>
          </cell>
        </row>
        <row r="137">
          <cell r="B137" t="str">
            <v>Degree of customer concentration (High/Medium/Low)</v>
          </cell>
          <cell r="C137" t="str">
            <v>DGR_CUST_CONCTR</v>
          </cell>
          <cell r="X137">
            <v>0</v>
          </cell>
        </row>
        <row r="138">
          <cell r="B138" t="str">
            <v>Sales % represented by project business</v>
          </cell>
          <cell r="C138" t="str">
            <v>SALES_PCT_PROJ_BUS</v>
          </cell>
          <cell r="X138">
            <v>0</v>
          </cell>
        </row>
        <row r="139">
          <cell r="B139" t="str">
            <v>Sales % represented by service contracts or aftermarket/captive sales</v>
          </cell>
          <cell r="C139" t="str">
            <v>SALES_PCT_REC</v>
          </cell>
          <cell r="X139">
            <v>0</v>
          </cell>
          <cell r="AA139">
            <v>0.8</v>
          </cell>
          <cell r="AB139">
            <v>0.8</v>
          </cell>
          <cell r="AC139">
            <v>0.09</v>
          </cell>
          <cell r="AD139">
            <v>0.08</v>
          </cell>
        </row>
        <row r="140">
          <cell r="A140" t="str">
            <v>Other Items</v>
          </cell>
        </row>
        <row r="141">
          <cell r="B141" t="str">
            <v>Number of employees</v>
          </cell>
          <cell r="C141" t="str">
            <v>EMPLOYEES</v>
          </cell>
          <cell r="F141">
            <v>41732</v>
          </cell>
          <cell r="G141">
            <v>43754</v>
          </cell>
          <cell r="H141">
            <v>42451</v>
          </cell>
          <cell r="I141">
            <v>41703</v>
          </cell>
          <cell r="J141">
            <v>44807</v>
          </cell>
          <cell r="K141">
            <v>40623</v>
          </cell>
          <cell r="L141">
            <v>39442</v>
          </cell>
          <cell r="M141">
            <v>37524</v>
          </cell>
          <cell r="N141">
            <v>38489</v>
          </cell>
          <cell r="O141">
            <v>37498</v>
          </cell>
          <cell r="P141">
            <v>38502</v>
          </cell>
          <cell r="Q141">
            <v>37454</v>
          </cell>
          <cell r="R141">
            <v>39780</v>
          </cell>
          <cell r="S141">
            <v>41645</v>
          </cell>
          <cell r="T141">
            <v>43201</v>
          </cell>
          <cell r="U141">
            <v>38530</v>
          </cell>
          <cell r="V141">
            <v>40206</v>
          </cell>
          <cell r="W141">
            <v>42886</v>
          </cell>
          <cell r="X141">
            <v>44168</v>
          </cell>
          <cell r="Y141">
            <v>45220</v>
          </cell>
          <cell r="Z141">
            <v>46509</v>
          </cell>
          <cell r="AA141">
            <v>44305</v>
          </cell>
          <cell r="AB141">
            <v>43508</v>
          </cell>
          <cell r="AC141">
            <v>43814</v>
          </cell>
          <cell r="AD141">
            <v>42565</v>
          </cell>
          <cell r="AE141">
            <v>41559</v>
          </cell>
        </row>
        <row r="142">
          <cell r="B142" t="str">
            <v>Employees - Total % Americas</v>
          </cell>
          <cell r="C142" t="str">
            <v>EMPLOYEES_TOT_AM</v>
          </cell>
        </row>
        <row r="143">
          <cell r="B143" t="str">
            <v>Employees - % United States</v>
          </cell>
          <cell r="C143" t="str">
            <v>EMPLOYEES_US</v>
          </cell>
        </row>
        <row r="144">
          <cell r="B144" t="str">
            <v>Employees - % Brazil</v>
          </cell>
          <cell r="C144" t="str">
            <v>EMPLOYEES_BRAZIL</v>
          </cell>
        </row>
        <row r="145">
          <cell r="B145" t="str">
            <v>Employees - % Other Americas</v>
          </cell>
          <cell r="C145" t="str">
            <v>EMPLOYEES_OTH_AM</v>
          </cell>
        </row>
        <row r="146">
          <cell r="B146" t="str">
            <v>Employees - Total % EMEA</v>
          </cell>
          <cell r="C146" t="str">
            <v>EMPLOYEES_TOT_EMEA</v>
          </cell>
        </row>
        <row r="147">
          <cell r="B147" t="str">
            <v>Employees - % UK</v>
          </cell>
          <cell r="C147" t="str">
            <v>EMPLOYEES_UK</v>
          </cell>
        </row>
        <row r="148">
          <cell r="B148" t="str">
            <v>Employees - % Western Europe-Ex UK</v>
          </cell>
          <cell r="C148" t="str">
            <v>EMPLOYEES_EU_EX_UK</v>
          </cell>
        </row>
        <row r="149">
          <cell r="B149" t="str">
            <v>Employees - % France</v>
          </cell>
          <cell r="C149" t="str">
            <v>EMPLOYEES_FRA</v>
          </cell>
        </row>
        <row r="150">
          <cell r="B150" t="str">
            <v>Employees - % Germany</v>
          </cell>
          <cell r="C150" t="str">
            <v>EMPLOYEES_GER</v>
          </cell>
        </row>
        <row r="151">
          <cell r="B151" t="str">
            <v>Employees - % Italy</v>
          </cell>
          <cell r="C151" t="str">
            <v>EMPLOYEES_ITA</v>
          </cell>
        </row>
        <row r="152">
          <cell r="B152" t="str">
            <v>Employees - % Spain</v>
          </cell>
          <cell r="C152" t="str">
            <v>EMPLOYEES_SPA</v>
          </cell>
        </row>
        <row r="153">
          <cell r="B153" t="str">
            <v>Employees - % Other Western Europe-Ex UK</v>
          </cell>
          <cell r="C153" t="str">
            <v>EMPLOYEES_OTH_EU_EX_UK</v>
          </cell>
        </row>
        <row r="154">
          <cell r="B154" t="str">
            <v>Employees - % Central &amp; Eastern Europe</v>
          </cell>
          <cell r="C154" t="str">
            <v>EMPLOYEES_CEE</v>
          </cell>
        </row>
        <row r="155">
          <cell r="B155" t="str">
            <v>Employees - % Middle East</v>
          </cell>
          <cell r="C155" t="str">
            <v>EMPLOYEES_ME</v>
          </cell>
        </row>
        <row r="156">
          <cell r="B156" t="str">
            <v>Employees - % South Africa</v>
          </cell>
          <cell r="C156" t="str">
            <v>EMPLOYEES_SO_AFRICA</v>
          </cell>
        </row>
        <row r="157">
          <cell r="B157" t="str">
            <v>Employees - % Nigeria</v>
          </cell>
          <cell r="C157" t="str">
            <v>EMPLOYEES_NIGERIA</v>
          </cell>
        </row>
        <row r="158">
          <cell r="B158" t="str">
            <v>Employees - % Other Africa</v>
          </cell>
          <cell r="C158" t="str">
            <v>EMPLOYEES_OTH_AFRICA</v>
          </cell>
        </row>
        <row r="159">
          <cell r="B159" t="str">
            <v>Employees - % Total Africa</v>
          </cell>
          <cell r="C159" t="str">
            <v>EMPLOYEES_TOT_AFRICA</v>
          </cell>
        </row>
        <row r="160">
          <cell r="B160" t="str">
            <v>Employees - % Russia</v>
          </cell>
          <cell r="C160" t="str">
            <v>EMPLOYEES_RUSSIA</v>
          </cell>
        </row>
        <row r="161">
          <cell r="B161" t="str">
            <v>Employees - % Other EMEA</v>
          </cell>
          <cell r="C161" t="str">
            <v>EMPLOYEES_OTH_EMEA</v>
          </cell>
        </row>
        <row r="162">
          <cell r="B162" t="str">
            <v>Employees - Total % Asia (incl. Australia &amp; New Zealand)</v>
          </cell>
          <cell r="C162" t="str">
            <v>EMPLOYEES_TOT_ASIA</v>
          </cell>
        </row>
        <row r="163">
          <cell r="B163" t="str">
            <v>Employees - % Japan</v>
          </cell>
          <cell r="C163" t="str">
            <v>EMPLOYEES_JAPAN</v>
          </cell>
        </row>
        <row r="164">
          <cell r="B164" t="str">
            <v>Employees - % China</v>
          </cell>
          <cell r="C164" t="str">
            <v>EMPLOYEES_CHINA</v>
          </cell>
        </row>
        <row r="165">
          <cell r="B165" t="str">
            <v>Employees - % India</v>
          </cell>
          <cell r="C165" t="str">
            <v>EMPLOYEES_INDIA</v>
          </cell>
        </row>
        <row r="166">
          <cell r="B166" t="str">
            <v>Employees - % Other Asia</v>
          </cell>
          <cell r="C166" t="str">
            <v>EMPLOYEES_OTH_AEJ</v>
          </cell>
        </row>
        <row r="167">
          <cell r="B167" t="str">
            <v>Employees - % Others</v>
          </cell>
          <cell r="C167" t="str">
            <v>EMPLOYEES_OTHER</v>
          </cell>
        </row>
        <row r="168">
          <cell r="A168" t="str">
            <v>Regional Exposure</v>
          </cell>
        </row>
        <row r="169">
          <cell r="B169" t="str">
            <v>Regional exposure as % of revenues - North America</v>
          </cell>
          <cell r="C169" t="str">
            <v>SALES_EXPOSURE_NO_AMERICA</v>
          </cell>
          <cell r="X169">
            <v>0</v>
          </cell>
        </row>
        <row r="170">
          <cell r="B170" t="str">
            <v>Regional exposure as % of revenues - EMEA</v>
          </cell>
          <cell r="C170" t="str">
            <v>SALES_EXPOSURE_EMEA</v>
          </cell>
          <cell r="X170">
            <v>0</v>
          </cell>
        </row>
        <row r="171">
          <cell r="B171" t="str">
            <v>Regional exposure as % of revenues - APAC</v>
          </cell>
          <cell r="C171" t="str">
            <v>SALES_EXPOSURE_APAC</v>
          </cell>
          <cell r="X171">
            <v>0</v>
          </cell>
        </row>
        <row r="172">
          <cell r="B172" t="str">
            <v>Regional exposure as % of revenues - China</v>
          </cell>
          <cell r="C172" t="str">
            <v>SALES_EXPOSURE_CHINA</v>
          </cell>
          <cell r="X172">
            <v>0</v>
          </cell>
        </row>
        <row r="173">
          <cell r="B173" t="str">
            <v>Regional exposure as % of revenues - ROW</v>
          </cell>
          <cell r="C173" t="str">
            <v>SALES_EXPOSURE_ROW</v>
          </cell>
          <cell r="X173">
            <v>0</v>
          </cell>
        </row>
        <row r="174">
          <cell r="B174" t="str">
            <v>Regional exposure as % of revenues - Developed Markets</v>
          </cell>
          <cell r="C174" t="str">
            <v>SALES_EXPOSURE_DEV_MKT</v>
          </cell>
          <cell r="X174">
            <v>0</v>
          </cell>
        </row>
        <row r="175">
          <cell r="B175" t="str">
            <v>Regional exposure as % of revenues - Emerging Markets</v>
          </cell>
          <cell r="C175" t="str">
            <v>SALES_EXPOSURE_EMER_MKT</v>
          </cell>
          <cell r="X175">
            <v>0</v>
          </cell>
        </row>
        <row r="176">
          <cell r="A176" t="str">
            <v>End Markets</v>
          </cell>
        </row>
        <row r="177">
          <cell r="B177" t="str">
            <v>Sales to the construction end market - % Global</v>
          </cell>
          <cell r="C177" t="str">
            <v>SALES_CONSRT_EMKT_GLOBAL</v>
          </cell>
          <cell r="X177">
            <v>0</v>
          </cell>
        </row>
        <row r="178">
          <cell r="B178" t="str">
            <v>Sales to the construction end market - % No. America</v>
          </cell>
          <cell r="C178" t="str">
            <v>SALES_CONSRT_EMKT_NO_AMERICA</v>
          </cell>
          <cell r="X178">
            <v>0</v>
          </cell>
        </row>
        <row r="179">
          <cell r="B179" t="str">
            <v>Sales to the construction end market - % EAME</v>
          </cell>
          <cell r="C179" t="str">
            <v>SALES_CONSRT_EMKT_EAME</v>
          </cell>
          <cell r="X179">
            <v>0</v>
          </cell>
        </row>
        <row r="180">
          <cell r="B180" t="str">
            <v>Sales to the construction end market - % So. America</v>
          </cell>
          <cell r="C180" t="str">
            <v>SALES_CONSRT_EMKT_SO_AMERICA</v>
          </cell>
          <cell r="X180">
            <v>0</v>
          </cell>
        </row>
        <row r="181">
          <cell r="B181" t="str">
            <v>Sales to the construction end market - % China</v>
          </cell>
          <cell r="C181" t="str">
            <v>SALES_CONSRT_EMKT_CHINA</v>
          </cell>
          <cell r="X181">
            <v>0</v>
          </cell>
        </row>
        <row r="182">
          <cell r="B182" t="str">
            <v>Sales to the construction end market - % Asia ex-China</v>
          </cell>
          <cell r="C182" t="str">
            <v>SALES_CONSRT_EMKT_ASIAEXCHINA</v>
          </cell>
          <cell r="X182">
            <v>0</v>
          </cell>
        </row>
        <row r="183">
          <cell r="B183" t="str">
            <v>Sales to the transmission &amp; distribution end market - % Global</v>
          </cell>
          <cell r="C183" t="str">
            <v>SALES_TRN_DIST_EMKT_GLOBAL</v>
          </cell>
          <cell r="X183">
            <v>0</v>
          </cell>
        </row>
        <row r="184">
          <cell r="B184" t="str">
            <v>Sales to the transmission &amp; distribution end market - % No. America</v>
          </cell>
          <cell r="C184" t="str">
            <v>SALES_TRN_DIST_EMKT_NO_AMERICA</v>
          </cell>
          <cell r="X184">
            <v>0</v>
          </cell>
        </row>
        <row r="185">
          <cell r="B185" t="str">
            <v>Sales to the transmission &amp; distribution end market - % EAME</v>
          </cell>
          <cell r="C185" t="str">
            <v>SALES_TRN_DIST_EMKT_EAME</v>
          </cell>
          <cell r="X185">
            <v>0</v>
          </cell>
        </row>
        <row r="186">
          <cell r="B186" t="str">
            <v>Sales to the transmission &amp; distribution end market - % So. America</v>
          </cell>
          <cell r="C186" t="str">
            <v>SALES_TRN_DIST_EMKT_SO_AMERICA</v>
          </cell>
          <cell r="X186">
            <v>0</v>
          </cell>
        </row>
        <row r="187">
          <cell r="B187" t="str">
            <v>Sales to the transmission &amp; distribution end market - % China</v>
          </cell>
          <cell r="C187" t="str">
            <v>SALES_TRN_DIST_EMKT_CHINA</v>
          </cell>
          <cell r="X187">
            <v>0</v>
          </cell>
        </row>
        <row r="188">
          <cell r="B188" t="str">
            <v>Sales to the transmission &amp; distribution end market - % Asia ex-China</v>
          </cell>
          <cell r="C188" t="str">
            <v>SALES_TRN_DIST_EMKT_ASIAEXCHINA</v>
          </cell>
          <cell r="X188">
            <v>0</v>
          </cell>
        </row>
        <row r="189">
          <cell r="B189" t="str">
            <v>Sales to the power generation end market - % Global</v>
          </cell>
          <cell r="C189" t="str">
            <v>SALES_PWR_GEN_EMKT_GLOBAL</v>
          </cell>
          <cell r="X189">
            <v>0</v>
          </cell>
        </row>
        <row r="190">
          <cell r="B190" t="str">
            <v>Sales to the power generation end market - % No. America</v>
          </cell>
          <cell r="C190" t="str">
            <v>SALES_PWR_GEN_EMKT_NO_AMERICA</v>
          </cell>
          <cell r="X190">
            <v>0</v>
          </cell>
        </row>
        <row r="191">
          <cell r="B191" t="str">
            <v>Sales to the power generation end market - % EAME</v>
          </cell>
          <cell r="C191" t="str">
            <v>SALES_PWR_GEN_EMKT_EAME</v>
          </cell>
          <cell r="X191">
            <v>0</v>
          </cell>
        </row>
        <row r="192">
          <cell r="B192" t="str">
            <v>Sales to the power generation end market - % So. America</v>
          </cell>
          <cell r="C192" t="str">
            <v>SALES_PWR_GEN_EMKT_SO_AMERICA</v>
          </cell>
          <cell r="X192">
            <v>0</v>
          </cell>
        </row>
        <row r="193">
          <cell r="B193" t="str">
            <v>Sales to the power generation end market - % China</v>
          </cell>
          <cell r="C193" t="str">
            <v>SALES_PWR_GEN_EMKT_CHINA</v>
          </cell>
          <cell r="X193">
            <v>0</v>
          </cell>
        </row>
        <row r="194">
          <cell r="B194" t="str">
            <v>Sales to the power generation end market - % Asia ex-China</v>
          </cell>
          <cell r="C194" t="str">
            <v>SALES_PWR_GEN_EMKT_ASIAEXCHINA</v>
          </cell>
          <cell r="X194">
            <v>0</v>
          </cell>
        </row>
        <row r="195">
          <cell r="B195" t="str">
            <v>Sales to the mining end market - % Global</v>
          </cell>
          <cell r="C195" t="str">
            <v>SALES_MINING_EMKT_GLOBAL</v>
          </cell>
          <cell r="X195">
            <v>0</v>
          </cell>
        </row>
        <row r="196">
          <cell r="B196" t="str">
            <v>Sales to the mining end market - % No. America</v>
          </cell>
          <cell r="C196" t="str">
            <v>SALES_MINING_EMKT_NO_AMERICA</v>
          </cell>
          <cell r="X196">
            <v>0</v>
          </cell>
        </row>
        <row r="197">
          <cell r="B197" t="str">
            <v>Sales to the mining end market - % EAME</v>
          </cell>
          <cell r="C197" t="str">
            <v>SALES_MINING_EMKT_EAME</v>
          </cell>
          <cell r="X197">
            <v>0</v>
          </cell>
        </row>
        <row r="198">
          <cell r="B198" t="str">
            <v>Sales to the mining end market - % So. America</v>
          </cell>
          <cell r="C198" t="str">
            <v>SALES_MINING_EMKT_SO_AMERICA</v>
          </cell>
          <cell r="X198">
            <v>0</v>
          </cell>
        </row>
        <row r="199">
          <cell r="B199" t="str">
            <v>Sales to the mining end market - % China</v>
          </cell>
          <cell r="C199" t="str">
            <v>SALES_MINING_EMKT_CHINA</v>
          </cell>
          <cell r="X199">
            <v>0</v>
          </cell>
        </row>
        <row r="200">
          <cell r="B200" t="str">
            <v>Sales to the mining end market - % Asia ex-China</v>
          </cell>
          <cell r="C200" t="str">
            <v>SALES_MINING_EMKT_ASIAEXCHINA</v>
          </cell>
          <cell r="X200">
            <v>0</v>
          </cell>
        </row>
        <row r="201">
          <cell r="B201" t="str">
            <v>Sales to the oil &amp; gas end market - % Global</v>
          </cell>
          <cell r="C201" t="str">
            <v>SALES_OIL_GAS_EMKT_GLOBAL</v>
          </cell>
          <cell r="X201">
            <v>0</v>
          </cell>
        </row>
        <row r="202">
          <cell r="B202" t="str">
            <v>Sales to the oil &amp; gas end market - % No. America</v>
          </cell>
          <cell r="C202" t="str">
            <v>SALES_OIL_GAS_EMKT_NO_AMERICA</v>
          </cell>
          <cell r="X202">
            <v>0</v>
          </cell>
        </row>
        <row r="203">
          <cell r="B203" t="str">
            <v>Sales to the oil &amp; gas end market - % EAME</v>
          </cell>
          <cell r="C203" t="str">
            <v>SALES_OIL_GAS_EMKT_EAME</v>
          </cell>
          <cell r="X203">
            <v>0</v>
          </cell>
        </row>
        <row r="204">
          <cell r="B204" t="str">
            <v>Sales to the oil &amp; gas end market - % So. America</v>
          </cell>
          <cell r="C204" t="str">
            <v>SALES_OIL_GAS_EMKT_SO_AMERICA</v>
          </cell>
          <cell r="X204">
            <v>0</v>
          </cell>
        </row>
        <row r="205">
          <cell r="B205" t="str">
            <v>Sales to the oil &amp; gas end market - % China</v>
          </cell>
          <cell r="C205" t="str">
            <v>SALES_OIL_GAS_EMKT_CHINA</v>
          </cell>
          <cell r="X205">
            <v>0</v>
          </cell>
        </row>
        <row r="206">
          <cell r="B206" t="str">
            <v>Sales to the oil &amp; gas end market - % Asia ex-China</v>
          </cell>
          <cell r="C206" t="str">
            <v>SALES_OIL_GAS_EMKT_ASIAEXCHINA</v>
          </cell>
          <cell r="X206">
            <v>0</v>
          </cell>
        </row>
        <row r="207">
          <cell r="B207" t="str">
            <v>Sales to the automotive end market - % Global</v>
          </cell>
          <cell r="C207" t="str">
            <v>SALES_AUTOMTV_EMKT_GLOBAL</v>
          </cell>
          <cell r="X207">
            <v>0.3</v>
          </cell>
        </row>
        <row r="208">
          <cell r="B208" t="str">
            <v>Sales to the automotive end market - % No. America</v>
          </cell>
          <cell r="C208" t="str">
            <v>SALES_AUTOMTV_EMKT_NO_AMERICA</v>
          </cell>
          <cell r="X208">
            <v>6.6000000000000003E-2</v>
          </cell>
        </row>
        <row r="209">
          <cell r="B209" t="str">
            <v>Sales to the automotive end market - % EAME</v>
          </cell>
          <cell r="C209" t="str">
            <v>SALES_AUTOMTV_EMKT_EAME</v>
          </cell>
          <cell r="X209">
            <v>0.14100000000000001</v>
          </cell>
        </row>
        <row r="210">
          <cell r="B210" t="str">
            <v>Sales to the automotive end market - % So. America</v>
          </cell>
          <cell r="C210" t="str">
            <v>SALES_AUTOMTV_EMKT_SO_AMERICA</v>
          </cell>
          <cell r="X210">
            <v>3.5999999999999997E-2</v>
          </cell>
        </row>
        <row r="211">
          <cell r="B211" t="str">
            <v>Sales to the automotive end market - % China</v>
          </cell>
          <cell r="C211" t="str">
            <v>SALES_AUTOMTV_EMKT_CHINA</v>
          </cell>
          <cell r="X211">
            <v>3.3000000000000002E-2</v>
          </cell>
        </row>
        <row r="212">
          <cell r="B212" t="str">
            <v>Sales to the automotive end market - % Asia ex-China</v>
          </cell>
          <cell r="C212" t="str">
            <v>SALES_AUTOMTV_EMKT_ASIAEXCHINA</v>
          </cell>
          <cell r="X212">
            <v>2.3999999999999994E-2</v>
          </cell>
        </row>
        <row r="213">
          <cell r="B213" t="str">
            <v>Sales to the rail end market - % Global</v>
          </cell>
          <cell r="C213" t="str">
            <v>SALES_RAIL_EMKT_GLOBAL</v>
          </cell>
          <cell r="X213">
            <v>0.04</v>
          </cell>
        </row>
        <row r="214">
          <cell r="B214" t="str">
            <v>Sales to the rail end market - % No. America</v>
          </cell>
          <cell r="C214" t="str">
            <v>SALES_RAIL_EMKT_NO_AMERICA</v>
          </cell>
          <cell r="X214">
            <v>8.8000000000000005E-3</v>
          </cell>
        </row>
        <row r="215">
          <cell r="B215" t="str">
            <v>Sales to the rail end market - % EAME</v>
          </cell>
          <cell r="C215" t="str">
            <v>SALES_RAIL_EMKT_EAME</v>
          </cell>
          <cell r="X215">
            <v>1.84E-2</v>
          </cell>
        </row>
        <row r="216">
          <cell r="B216" t="str">
            <v>Sales to the rail end market - % So. America</v>
          </cell>
          <cell r="C216" t="str">
            <v>SALES_RAIL_EMKT_SO_AMERICA</v>
          </cell>
          <cell r="X216">
            <v>3.2000000000000002E-3</v>
          </cell>
        </row>
        <row r="217">
          <cell r="B217" t="str">
            <v>Sales to the rail end market - % China</v>
          </cell>
          <cell r="C217" t="str">
            <v>SALES_RAIL_EMKT_CHINA</v>
          </cell>
          <cell r="X217">
            <v>4.4000000000000003E-3</v>
          </cell>
        </row>
        <row r="218">
          <cell r="B218" t="str">
            <v>Sales to the rail end market - % Asia ex-China</v>
          </cell>
          <cell r="C218" t="str">
            <v>SALES_RAIL_EMKT_ASIAEXCHINA</v>
          </cell>
          <cell r="X218">
            <v>5.1999999999999989E-3</v>
          </cell>
        </row>
        <row r="219">
          <cell r="B219" t="str">
            <v>Sales to the consumer end market - % Global</v>
          </cell>
          <cell r="C219" t="str">
            <v>SALES_CONS_EMKT_GLOBAL</v>
          </cell>
          <cell r="X219">
            <v>0</v>
          </cell>
        </row>
        <row r="220">
          <cell r="B220" t="str">
            <v>Sales to the consumer end market - % No. America</v>
          </cell>
          <cell r="C220" t="str">
            <v>SALES_CONS_EMKT_NO_AMERICA</v>
          </cell>
          <cell r="X220">
            <v>0</v>
          </cell>
        </row>
        <row r="221">
          <cell r="B221" t="str">
            <v>Sales to the consumer end market - % EAME</v>
          </cell>
          <cell r="C221" t="str">
            <v>SALES_CONS_EMKT_EAME</v>
          </cell>
          <cell r="X221">
            <v>0</v>
          </cell>
        </row>
        <row r="222">
          <cell r="B222" t="str">
            <v>Sales to the consumer end market - % So. America</v>
          </cell>
          <cell r="C222" t="str">
            <v>SALES_CONS_EMKT_SO_AMERICA</v>
          </cell>
          <cell r="X222">
            <v>0</v>
          </cell>
        </row>
        <row r="223">
          <cell r="B223" t="str">
            <v>Sales to the consumer end market - % China</v>
          </cell>
          <cell r="C223" t="str">
            <v>SALES_CONS_EMKT_CHINA</v>
          </cell>
          <cell r="X223">
            <v>0</v>
          </cell>
        </row>
        <row r="224">
          <cell r="B224" t="str">
            <v>Sales to the consumer end market - % Asia ex-China</v>
          </cell>
          <cell r="C224" t="str">
            <v>SALES_CONS_EMKT_ASIAEXCHINA</v>
          </cell>
          <cell r="X224">
            <v>0</v>
          </cell>
        </row>
        <row r="225">
          <cell r="B225" t="str">
            <v>Sales to the tech end market - % Global</v>
          </cell>
          <cell r="C225" t="str">
            <v>SALES_TECH_EMKT_GLOBAL</v>
          </cell>
          <cell r="X225">
            <v>0</v>
          </cell>
        </row>
        <row r="226">
          <cell r="B226" t="str">
            <v>Sales to the tech end market - % No. America</v>
          </cell>
          <cell r="C226" t="str">
            <v>SALES_TECH_EMKT_NO_AMERICA</v>
          </cell>
          <cell r="X226">
            <v>0</v>
          </cell>
        </row>
        <row r="227">
          <cell r="B227" t="str">
            <v>Sales to the tech end market - % EAME</v>
          </cell>
          <cell r="C227" t="str">
            <v>SALES_TECH_EMKT_EAME</v>
          </cell>
          <cell r="X227">
            <v>0</v>
          </cell>
        </row>
        <row r="228">
          <cell r="B228" t="str">
            <v>Sales to the tech end market - % So. America</v>
          </cell>
          <cell r="C228" t="str">
            <v>SALES_TECH_EMKT_SO_AMERICA</v>
          </cell>
          <cell r="X228">
            <v>0</v>
          </cell>
        </row>
        <row r="229">
          <cell r="B229" t="str">
            <v>Sales to the tech end market - % China</v>
          </cell>
          <cell r="C229" t="str">
            <v>SALES_TECH_EMKT_CHINA</v>
          </cell>
          <cell r="X229">
            <v>0</v>
          </cell>
        </row>
        <row r="230">
          <cell r="B230" t="str">
            <v>Sales to the tech end market - % Asia ex-China</v>
          </cell>
          <cell r="C230" t="str">
            <v>SALES_TECH_EMKT_ASIAEXCHINA</v>
          </cell>
          <cell r="X230">
            <v>0</v>
          </cell>
        </row>
        <row r="231">
          <cell r="B231" t="str">
            <v>Sales to the agriculture end market - % Global</v>
          </cell>
          <cell r="C231" t="str">
            <v>SALES_AGRI_EMKT_GLOBAL</v>
          </cell>
          <cell r="X231">
            <v>0</v>
          </cell>
        </row>
        <row r="232">
          <cell r="B232" t="str">
            <v>Sales to the agriculture end market - % No. America</v>
          </cell>
          <cell r="C232" t="str">
            <v>SALES_AGRI_EMKT_NO_AMERICA</v>
          </cell>
          <cell r="X232">
            <v>0</v>
          </cell>
        </row>
        <row r="233">
          <cell r="B233" t="str">
            <v>Sales to the agriculture end market - % EAME</v>
          </cell>
          <cell r="C233" t="str">
            <v>SALES_AGRI_EMKT_EAME</v>
          </cell>
          <cell r="X233">
            <v>0</v>
          </cell>
        </row>
        <row r="234">
          <cell r="B234" t="str">
            <v>Sales to the agriculture end market - % So. America</v>
          </cell>
          <cell r="C234" t="str">
            <v>SALES_AGRI_EMKT_SO_AMERICA</v>
          </cell>
          <cell r="X234">
            <v>0</v>
          </cell>
        </row>
        <row r="235">
          <cell r="B235" t="str">
            <v>Sales to the agriculture end market - % China</v>
          </cell>
          <cell r="C235" t="str">
            <v>SALES_AGRI_EMKT_CHINA</v>
          </cell>
          <cell r="X235">
            <v>0</v>
          </cell>
        </row>
        <row r="236">
          <cell r="B236" t="str">
            <v>Sales to the agriculture end market - % Asia ex-China</v>
          </cell>
          <cell r="C236" t="str">
            <v>SALES_AGRI_EMKT_ASIAEXCHINA</v>
          </cell>
          <cell r="X236">
            <v>0</v>
          </cell>
        </row>
        <row r="237">
          <cell r="B237" t="str">
            <v>Sales to the general industrial end market - % Global</v>
          </cell>
          <cell r="C237" t="str">
            <v>SALES_GNRL_IND_EMKT_GLOBAL</v>
          </cell>
          <cell r="X237">
            <v>0.65999999999999992</v>
          </cell>
        </row>
        <row r="238">
          <cell r="B238" t="str">
            <v>Sales to the general industrial end market - % No. America</v>
          </cell>
          <cell r="C238" t="str">
            <v>SALES_GNRL_IND_EMKT_NO_AMERICA</v>
          </cell>
          <cell r="X238">
            <v>0.1452</v>
          </cell>
        </row>
        <row r="239">
          <cell r="B239" t="str">
            <v>Sales to the general industrial end market - % EAME</v>
          </cell>
          <cell r="C239" t="str">
            <v>SALES_GNRL_IND_EMKT_EAME</v>
          </cell>
          <cell r="X239">
            <v>0.30359999999999993</v>
          </cell>
        </row>
        <row r="240">
          <cell r="B240" t="str">
            <v>Sales to the general industrial end market - % So. America</v>
          </cell>
          <cell r="C240" t="str">
            <v>SALES_GNRL_IND_EMKT_SO_AMERICA</v>
          </cell>
          <cell r="X240">
            <v>5.2799999999999993E-2</v>
          </cell>
        </row>
        <row r="241">
          <cell r="B241" t="str">
            <v>Sales to the general industrial end market - % China</v>
          </cell>
          <cell r="C241" t="str">
            <v>SALES_GNRL_IND_EMKT_CHINA</v>
          </cell>
          <cell r="X241">
            <v>7.2599999999999998E-2</v>
          </cell>
        </row>
        <row r="242">
          <cell r="B242" t="str">
            <v>Sales to the general industrial end market - % Asia ex-China</v>
          </cell>
          <cell r="C242" t="str">
            <v>SALES_GNRL_IND_EMKT_ASIAEXCHINA</v>
          </cell>
          <cell r="X242">
            <v>8.5799999999999987E-2</v>
          </cell>
        </row>
        <row r="243">
          <cell r="B243" t="str">
            <v>Sales to the aftermarket end market - % Global</v>
          </cell>
          <cell r="C243" t="str">
            <v>SALES_AMKT_EMKT_GLOBAL</v>
          </cell>
          <cell r="X243">
            <v>0.3</v>
          </cell>
        </row>
        <row r="244">
          <cell r="B244" t="str">
            <v>End market exposure as % of revenues - Aerospace</v>
          </cell>
          <cell r="C244" t="str">
            <v>SALES_EMKT_AEROSPC</v>
          </cell>
          <cell r="X244">
            <v>0</v>
          </cell>
          <cell r="AA244">
            <v>0.06</v>
          </cell>
          <cell r="AB244">
            <v>7.0000000000000007E-2</v>
          </cell>
          <cell r="AC244">
            <v>0.05</v>
          </cell>
          <cell r="AD244">
            <v>0.06</v>
          </cell>
          <cell r="AE244">
            <v>0.06</v>
          </cell>
          <cell r="AF244">
            <v>0.06</v>
          </cell>
          <cell r="AG244">
            <v>0.05</v>
          </cell>
          <cell r="AH244">
            <v>0.05</v>
          </cell>
          <cell r="AI244">
            <v>0</v>
          </cell>
          <cell r="AJ244">
            <v>0</v>
          </cell>
          <cell r="AK244">
            <v>0</v>
          </cell>
        </row>
        <row r="245">
          <cell r="B245" t="str">
            <v>End market exposure as % of revenues - Agriculture</v>
          </cell>
          <cell r="C245" t="str">
            <v>SALES_EMRKT_AGRI</v>
          </cell>
          <cell r="AE245">
            <v>0</v>
          </cell>
          <cell r="AF245">
            <v>0</v>
          </cell>
          <cell r="AG245">
            <v>0</v>
          </cell>
          <cell r="AH245">
            <v>0</v>
          </cell>
          <cell r="AI245">
            <v>0</v>
          </cell>
          <cell r="AJ245">
            <v>0</v>
          </cell>
          <cell r="AK245">
            <v>0</v>
          </cell>
        </row>
        <row r="246">
          <cell r="B246" t="str">
            <v>End market exposure as % of revenues - Chemicals</v>
          </cell>
          <cell r="C246" t="str">
            <v>SALES_EMRKT_CHEM</v>
          </cell>
        </row>
        <row r="247">
          <cell r="B247" t="str">
            <v>End market exposure as % of revenues - Consumer</v>
          </cell>
          <cell r="C247" t="str">
            <v>SALES_EMKT_CONS</v>
          </cell>
          <cell r="X247">
            <v>0</v>
          </cell>
        </row>
        <row r="248">
          <cell r="B248" t="str">
            <v>End market exposure as % of revenues - Electronics</v>
          </cell>
          <cell r="C248" t="str">
            <v>SALES_EMRKT_ELEC</v>
          </cell>
          <cell r="AE248">
            <v>0.01</v>
          </cell>
          <cell r="AF248">
            <v>0</v>
          </cell>
          <cell r="AG248">
            <v>0</v>
          </cell>
          <cell r="AH248">
            <v>0</v>
          </cell>
          <cell r="AI248">
            <v>0</v>
          </cell>
          <cell r="AJ248">
            <v>0</v>
          </cell>
          <cell r="AK248">
            <v>0</v>
          </cell>
        </row>
        <row r="249">
          <cell r="B249" t="str">
            <v>End market exposure as % of revenues - General Industrial</v>
          </cell>
          <cell r="C249" t="str">
            <v>SALES_EMKT_GNRL_IND</v>
          </cell>
          <cell r="X249">
            <v>0</v>
          </cell>
          <cell r="AA249">
            <v>0.3899999999999999</v>
          </cell>
          <cell r="AB249">
            <v>0.31999999999999984</v>
          </cell>
          <cell r="AC249">
            <v>0.32999999999999985</v>
          </cell>
          <cell r="AD249">
            <v>0.45999999999999996</v>
          </cell>
          <cell r="AE249">
            <v>0.45999999999999996</v>
          </cell>
          <cell r="AF249">
            <v>0.44999999999999996</v>
          </cell>
          <cell r="AG249">
            <v>0.45999999999999996</v>
          </cell>
          <cell r="AH249">
            <v>0.51</v>
          </cell>
          <cell r="AI249">
            <v>1</v>
          </cell>
          <cell r="AJ249">
            <v>1</v>
          </cell>
          <cell r="AK249">
            <v>1</v>
          </cell>
        </row>
        <row r="250">
          <cell r="B250" t="str">
            <v>End market exposure as % of revenues - Marine (ex. O&amp;G)</v>
          </cell>
          <cell r="C250" t="str">
            <v>SALES_EMRKT_MARINE</v>
          </cell>
          <cell r="AA250">
            <v>2.5000000000000001E-2</v>
          </cell>
          <cell r="AB250">
            <v>2.5000000000000001E-2</v>
          </cell>
          <cell r="AC250">
            <v>2.5000000000000001E-2</v>
          </cell>
          <cell r="AD250">
            <v>0.02</v>
          </cell>
          <cell r="AE250">
            <v>0.02</v>
          </cell>
          <cell r="AF250">
            <v>0.02</v>
          </cell>
          <cell r="AG250">
            <v>0.02</v>
          </cell>
          <cell r="AH250">
            <v>0.02</v>
          </cell>
          <cell r="AI250">
            <v>0</v>
          </cell>
          <cell r="AJ250">
            <v>0</v>
          </cell>
          <cell r="AK250">
            <v>0</v>
          </cell>
        </row>
        <row r="251">
          <cell r="B251" t="str">
            <v>End market exposure as % of revenues - Not classified</v>
          </cell>
          <cell r="C251" t="str">
            <v>SALES_EMRKT_NC</v>
          </cell>
        </row>
        <row r="252">
          <cell r="B252" t="str">
            <v>End market exposure as % of revenues - Medical</v>
          </cell>
          <cell r="C252" t="str">
            <v>SALES_EMKT_MED</v>
          </cell>
          <cell r="X252">
            <v>0</v>
          </cell>
        </row>
        <row r="253">
          <cell r="B253" t="str">
            <v>End market exposure as % of revenues - Mining</v>
          </cell>
          <cell r="C253" t="str">
            <v>SALES_EMKT_MINING</v>
          </cell>
          <cell r="X253">
            <v>0</v>
          </cell>
          <cell r="AA253">
            <v>0.05</v>
          </cell>
          <cell r="AB253">
            <v>0.05</v>
          </cell>
          <cell r="AC253">
            <v>0.05</v>
          </cell>
          <cell r="AD253">
            <v>0</v>
          </cell>
          <cell r="AE253">
            <v>0</v>
          </cell>
          <cell r="AF253">
            <v>0</v>
          </cell>
          <cell r="AG253">
            <v>0</v>
          </cell>
          <cell r="AH253">
            <v>0</v>
          </cell>
          <cell r="AI253">
            <v>0</v>
          </cell>
          <cell r="AJ253">
            <v>0</v>
          </cell>
          <cell r="AK253">
            <v>0</v>
          </cell>
        </row>
        <row r="254">
          <cell r="B254" t="str">
            <v>End market exposure as % of revenues - Non-res construction</v>
          </cell>
          <cell r="C254" t="str">
            <v>SALES_EMKT_NRES_CONSRT</v>
          </cell>
          <cell r="X254">
            <v>0</v>
          </cell>
        </row>
        <row r="255">
          <cell r="B255" t="str">
            <v>End market exposure as % of revenues - O&amp;G</v>
          </cell>
          <cell r="C255" t="str">
            <v>SALES_EMKT_OIL_GAS</v>
          </cell>
          <cell r="X255">
            <v>0</v>
          </cell>
          <cell r="AB255">
            <v>0.06</v>
          </cell>
          <cell r="AC255">
            <v>0.06</v>
          </cell>
          <cell r="AD255">
            <v>0.06</v>
          </cell>
        </row>
        <row r="256">
          <cell r="B256" t="str">
            <v>End market exposure as % of revenues - Power Gen</v>
          </cell>
          <cell r="C256" t="str">
            <v>SALES_EMKT_PWR_GEN</v>
          </cell>
          <cell r="X256">
            <v>0</v>
          </cell>
          <cell r="AA256">
            <v>0.06</v>
          </cell>
          <cell r="AB256">
            <v>0.06</v>
          </cell>
          <cell r="AC256">
            <v>0.06</v>
          </cell>
          <cell r="AD256">
            <v>0.05</v>
          </cell>
          <cell r="AE256">
            <v>0.06</v>
          </cell>
          <cell r="AF256">
            <v>0.08</v>
          </cell>
          <cell r="AG256">
            <v>7.0000000000000007E-2</v>
          </cell>
          <cell r="AH256">
            <v>7.0000000000000007E-2</v>
          </cell>
          <cell r="AI256">
            <v>0</v>
          </cell>
          <cell r="AJ256">
            <v>0</v>
          </cell>
          <cell r="AK256">
            <v>0</v>
          </cell>
        </row>
        <row r="257">
          <cell r="B257" t="str">
            <v>End market exposure as % of revenues - Pulp &amp; paper</v>
          </cell>
          <cell r="C257" t="str">
            <v>SALES_EMRKT_PULP</v>
          </cell>
          <cell r="AA257">
            <v>2.5000000000000001E-2</v>
          </cell>
          <cell r="AB257">
            <v>2.5000000000000001E-2</v>
          </cell>
          <cell r="AC257">
            <v>2.5000000000000001E-2</v>
          </cell>
          <cell r="AD257">
            <v>0</v>
          </cell>
          <cell r="AE257">
            <v>0</v>
          </cell>
          <cell r="AF257">
            <v>0</v>
          </cell>
          <cell r="AG257">
            <v>0</v>
          </cell>
          <cell r="AH257">
            <v>0</v>
          </cell>
          <cell r="AI257">
            <v>0</v>
          </cell>
          <cell r="AJ257">
            <v>0</v>
          </cell>
          <cell r="AK257">
            <v>0</v>
          </cell>
        </row>
        <row r="258">
          <cell r="B258" t="str">
            <v>End market exposure as % of revenues - Rail</v>
          </cell>
          <cell r="C258" t="str">
            <v>SALES_EMKT_RAIL</v>
          </cell>
          <cell r="X258">
            <v>0</v>
          </cell>
          <cell r="AA258">
            <v>0.04</v>
          </cell>
          <cell r="AB258">
            <v>0.04</v>
          </cell>
          <cell r="AC258">
            <v>0.04</v>
          </cell>
          <cell r="AD258">
            <v>0.04</v>
          </cell>
          <cell r="AE258">
            <v>0.05</v>
          </cell>
          <cell r="AF258">
            <v>0.04</v>
          </cell>
          <cell r="AG258">
            <v>0.04</v>
          </cell>
          <cell r="AH258">
            <v>0.05</v>
          </cell>
          <cell r="AI258">
            <v>0</v>
          </cell>
          <cell r="AJ258">
            <v>0</v>
          </cell>
          <cell r="AK258">
            <v>0</v>
          </cell>
        </row>
        <row r="259">
          <cell r="B259" t="str">
            <v>End market exposure as % of revenues - Res construction</v>
          </cell>
          <cell r="C259" t="str">
            <v>SALES_EMKT_RES_CONSRT</v>
          </cell>
          <cell r="X259">
            <v>0</v>
          </cell>
        </row>
        <row r="260">
          <cell r="B260" t="str">
            <v>End market exposure as % of revenues - T&amp;D</v>
          </cell>
          <cell r="C260" t="str">
            <v>SALES_EMKT_TRN_DIST</v>
          </cell>
          <cell r="X260">
            <v>0</v>
          </cell>
        </row>
        <row r="261">
          <cell r="B261" t="str">
            <v>End market exposure as % of revenues - Tech/telecom</v>
          </cell>
          <cell r="C261" t="str">
            <v>SALES_EMKT_TECH_TELCO</v>
          </cell>
          <cell r="X261">
            <v>0</v>
          </cell>
        </row>
        <row r="262">
          <cell r="B262" t="str">
            <v>End market exposure as % of revenues - Vehicle</v>
          </cell>
          <cell r="C262" t="str">
            <v>SALES_EMKT_VHCLE</v>
          </cell>
          <cell r="X262">
            <v>0</v>
          </cell>
          <cell r="AA262">
            <v>0.35000000000000003</v>
          </cell>
          <cell r="AB262">
            <v>0.35000000000000003</v>
          </cell>
          <cell r="AC262">
            <v>0.36000000000000004</v>
          </cell>
          <cell r="AD262">
            <v>0.31</v>
          </cell>
          <cell r="AE262">
            <v>0.35000000000000003</v>
          </cell>
          <cell r="AF262">
            <v>0.35000000000000003</v>
          </cell>
          <cell r="AG262">
            <v>0.36000000000000004</v>
          </cell>
          <cell r="AH262">
            <v>0.3</v>
          </cell>
          <cell r="AI262">
            <v>0</v>
          </cell>
          <cell r="AJ262">
            <v>0</v>
          </cell>
          <cell r="AK262">
            <v>0</v>
          </cell>
        </row>
        <row r="263">
          <cell r="A263" t="str">
            <v>Geographical Breakdown</v>
          </cell>
          <cell r="Z263">
            <v>1.0000000000000002</v>
          </cell>
          <cell r="AA263">
            <v>1.0000000000000002</v>
          </cell>
        </row>
        <row r="264">
          <cell r="B264" t="str">
            <v>Sales - % Canada</v>
          </cell>
          <cell r="C264" t="str">
            <v>SALES_CANADA</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row>
        <row r="265">
          <cell r="B265" t="str">
            <v>Sales - % United States</v>
          </cell>
          <cell r="C265" t="str">
            <v>SALES_US</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0.154</v>
          </cell>
          <cell r="U265">
            <v>0.156</v>
          </cell>
          <cell r="V265">
            <v>0.157</v>
          </cell>
          <cell r="W265">
            <v>0.17</v>
          </cell>
          <cell r="X265">
            <v>0.2</v>
          </cell>
          <cell r="Y265">
            <v>0.22</v>
          </cell>
          <cell r="Z265">
            <v>0.22</v>
          </cell>
          <cell r="AA265">
            <v>0.22</v>
          </cell>
          <cell r="AB265">
            <v>0.22</v>
          </cell>
          <cell r="AC265">
            <v>0.2</v>
          </cell>
          <cell r="AD265">
            <v>0.2</v>
          </cell>
          <cell r="AE265">
            <v>0.2</v>
          </cell>
          <cell r="AF265">
            <v>0.2</v>
          </cell>
          <cell r="AG265">
            <v>0.18181818181818185</v>
          </cell>
          <cell r="AH265">
            <v>0.18181818181818185</v>
          </cell>
          <cell r="AI265">
            <v>0.18181818181818185</v>
          </cell>
          <cell r="AJ265">
            <v>0.18181818181818185</v>
          </cell>
          <cell r="AK265">
            <v>0.18181818181818185</v>
          </cell>
          <cell r="AL265">
            <v>0.18181818181818185</v>
          </cell>
        </row>
        <row r="266">
          <cell r="B266" t="str">
            <v>Sales - % Other North Americas</v>
          </cell>
          <cell r="C266" t="str">
            <v>SALES_OTH_NO_AMER</v>
          </cell>
          <cell r="Y266">
            <v>4.0000000000000008E-2</v>
          </cell>
          <cell r="Z266">
            <v>4.0000000000000008E-2</v>
          </cell>
          <cell r="AA266">
            <v>4.0000000000000008E-2</v>
          </cell>
          <cell r="AB266">
            <v>4.0000000000000008E-2</v>
          </cell>
          <cell r="AC266">
            <v>1.0000000000000009E-2</v>
          </cell>
          <cell r="AD266">
            <v>1.0000000000000009E-2</v>
          </cell>
          <cell r="AE266">
            <v>1.999999999999999E-2</v>
          </cell>
          <cell r="AF266">
            <v>1.999999999999999E-2</v>
          </cell>
          <cell r="AG266">
            <v>1.3124924920916659E-2</v>
          </cell>
          <cell r="AH266">
            <v>1.3124924920916659E-2</v>
          </cell>
          <cell r="AI266">
            <v>1.3124924920916659E-2</v>
          </cell>
          <cell r="AJ266">
            <v>1.3124924920916659E-2</v>
          </cell>
          <cell r="AK266">
            <v>1.3124924920916659E-2</v>
          </cell>
          <cell r="AL266">
            <v>1.3124924920916659E-2</v>
          </cell>
        </row>
        <row r="267">
          <cell r="B267" t="str">
            <v>Sales - % Argentina</v>
          </cell>
          <cell r="C267" t="str">
            <v>SALES_ARGENTINA</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row>
        <row r="268">
          <cell r="B268" t="str">
            <v>Sales - % Brazil</v>
          </cell>
          <cell r="C268" t="str">
            <v>SALES_BRAZIL</v>
          </cell>
          <cell r="Y268">
            <v>2.5806451612903229E-2</v>
          </cell>
          <cell r="Z268">
            <v>2.5806451612903229E-2</v>
          </cell>
          <cell r="AA268">
            <v>2.5806451612903229E-2</v>
          </cell>
          <cell r="AB268">
            <v>2.5806451612903229E-2</v>
          </cell>
          <cell r="AC268">
            <v>0.03</v>
          </cell>
          <cell r="AD268">
            <v>0.03</v>
          </cell>
          <cell r="AE268">
            <v>0.03</v>
          </cell>
          <cell r="AF268">
            <v>0.03</v>
          </cell>
          <cell r="AG268">
            <v>3.8571428571428562E-2</v>
          </cell>
          <cell r="AH268">
            <v>3.8571428571428562E-2</v>
          </cell>
          <cell r="AI268">
            <v>3.8571428571428562E-2</v>
          </cell>
          <cell r="AJ268">
            <v>3.8571428571428562E-2</v>
          </cell>
          <cell r="AK268">
            <v>3.8571428571428562E-2</v>
          </cell>
          <cell r="AL268">
            <v>3.8571428571428562E-2</v>
          </cell>
        </row>
        <row r="269">
          <cell r="B269" t="str">
            <v>Sales - % Chile</v>
          </cell>
          <cell r="C269" t="str">
            <v>SALES_CHILE</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row>
        <row r="270">
          <cell r="B270" t="str">
            <v>Sales - % Colombia</v>
          </cell>
          <cell r="C270" t="str">
            <v>SALES_COLOMBIA</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row>
        <row r="271">
          <cell r="B271" t="str">
            <v>Sales - % Mexico</v>
          </cell>
          <cell r="C271" t="str">
            <v>SALES_MEXICO</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row>
        <row r="272">
          <cell r="B272" t="str">
            <v>Sales - % Venezuela</v>
          </cell>
          <cell r="C272" t="str">
            <v>SALES_VENEZUELA</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row>
        <row r="273">
          <cell r="B273" t="str">
            <v>Sales - % Other Latin Americas</v>
          </cell>
          <cell r="C273" t="str">
            <v>SALES_OTH_LATAM</v>
          </cell>
          <cell r="Y273">
            <v>3.4193548387096769E-2</v>
          </cell>
          <cell r="Z273">
            <v>3.4193548387096769E-2</v>
          </cell>
          <cell r="AA273">
            <v>3.4193548387096769E-2</v>
          </cell>
          <cell r="AB273">
            <v>3.4193548387096769E-2</v>
          </cell>
          <cell r="AC273">
            <v>0.05</v>
          </cell>
          <cell r="AD273">
            <v>0.05</v>
          </cell>
          <cell r="AE273">
            <v>4.0000000000000008E-2</v>
          </cell>
          <cell r="AF273">
            <v>4.0000000000000008E-2</v>
          </cell>
          <cell r="AG273">
            <v>5.5564283267263745E-2</v>
          </cell>
          <cell r="AH273">
            <v>5.5564283267263745E-2</v>
          </cell>
          <cell r="AI273">
            <v>5.5564283267263745E-2</v>
          </cell>
          <cell r="AJ273">
            <v>5.5564283267263745E-2</v>
          </cell>
          <cell r="AK273">
            <v>5.5564283267263745E-2</v>
          </cell>
          <cell r="AL273">
            <v>5.5564283267263745E-2</v>
          </cell>
        </row>
        <row r="274">
          <cell r="B274" t="str">
            <v>Sales - % Austria</v>
          </cell>
          <cell r="C274" t="str">
            <v>SALES_AUSTRIA</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row>
        <row r="275">
          <cell r="B275" t="str">
            <v>Sales - % Belgium</v>
          </cell>
          <cell r="C275" t="str">
            <v>SALES_BEL</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row>
        <row r="276">
          <cell r="B276" t="str">
            <v>Sales - % France</v>
          </cell>
          <cell r="C276" t="str">
            <v>SALES_FRA</v>
          </cell>
          <cell r="Y276">
            <v>4.7693329999999999E-2</v>
          </cell>
          <cell r="Z276">
            <v>4.7693329999999999E-2</v>
          </cell>
          <cell r="AA276">
            <v>4.7693329999999999E-2</v>
          </cell>
          <cell r="AB276">
            <v>4.7693329999999999E-2</v>
          </cell>
          <cell r="AC276">
            <v>0.05</v>
          </cell>
          <cell r="AD276">
            <v>0.05</v>
          </cell>
          <cell r="AE276">
            <v>4.7693329999999999E-2</v>
          </cell>
          <cell r="AF276">
            <v>4.7693329999999999E-2</v>
          </cell>
          <cell r="AG276">
            <v>5.1592228403647036E-2</v>
          </cell>
          <cell r="AH276">
            <v>5.1592228403647036E-2</v>
          </cell>
          <cell r="AI276">
            <v>5.1592228403647036E-2</v>
          </cell>
          <cell r="AJ276">
            <v>5.1592228403647036E-2</v>
          </cell>
          <cell r="AK276">
            <v>5.1592228403647036E-2</v>
          </cell>
          <cell r="AL276">
            <v>5.1592228403647036E-2</v>
          </cell>
        </row>
        <row r="277">
          <cell r="B277" t="str">
            <v>Sales - % Germany</v>
          </cell>
          <cell r="C277" t="str">
            <v>SALES_GER</v>
          </cell>
          <cell r="Y277">
            <v>0.12</v>
          </cell>
          <cell r="Z277">
            <v>0.12</v>
          </cell>
          <cell r="AA277">
            <v>0.12</v>
          </cell>
          <cell r="AB277">
            <v>0.12</v>
          </cell>
          <cell r="AC277">
            <v>0.12</v>
          </cell>
          <cell r="AD277">
            <v>0.12</v>
          </cell>
          <cell r="AE277">
            <v>0.1</v>
          </cell>
          <cell r="AF277">
            <v>0.1</v>
          </cell>
          <cell r="AG277">
            <v>0.10817493432236132</v>
          </cell>
          <cell r="AH277">
            <v>0.10817493432236132</v>
          </cell>
          <cell r="AI277">
            <v>0.10817493432236132</v>
          </cell>
          <cell r="AJ277">
            <v>0.10817493432236132</v>
          </cell>
          <cell r="AK277">
            <v>0.10817493432236132</v>
          </cell>
          <cell r="AL277">
            <v>0.10817493432236132</v>
          </cell>
        </row>
        <row r="278">
          <cell r="B278" t="str">
            <v>Sales - % Greece</v>
          </cell>
          <cell r="C278" t="str">
            <v>SALES_GRE</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row>
        <row r="279">
          <cell r="B279" t="str">
            <v>Sales - % Ireland</v>
          </cell>
          <cell r="C279" t="str">
            <v>SALES_IRE</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row>
        <row r="280">
          <cell r="B280" t="str">
            <v>Sales - % Italy</v>
          </cell>
          <cell r="C280" t="str">
            <v>SALES_ITA</v>
          </cell>
          <cell r="Y280">
            <v>3.7747179999999998E-2</v>
          </cell>
          <cell r="Z280">
            <v>3.7747179999999998E-2</v>
          </cell>
          <cell r="AA280">
            <v>3.7747179999999998E-2</v>
          </cell>
          <cell r="AB280">
            <v>3.7747179999999998E-2</v>
          </cell>
          <cell r="AC280">
            <v>3.7747179999999998E-2</v>
          </cell>
          <cell r="AD280">
            <v>3.7747179999999998E-2</v>
          </cell>
          <cell r="AE280">
            <v>3.7747179999999998E-2</v>
          </cell>
          <cell r="AF280">
            <v>3.7747179999999998E-2</v>
          </cell>
          <cell r="AG280">
            <v>4.08329871735435E-2</v>
          </cell>
          <cell r="AH280">
            <v>4.08329871735435E-2</v>
          </cell>
          <cell r="AI280">
            <v>4.08329871735435E-2</v>
          </cell>
          <cell r="AJ280">
            <v>4.08329871735435E-2</v>
          </cell>
          <cell r="AK280">
            <v>4.08329871735435E-2</v>
          </cell>
          <cell r="AL280">
            <v>4.08329871735435E-2</v>
          </cell>
        </row>
        <row r="281">
          <cell r="B281" t="str">
            <v>Sales - % Netherlands</v>
          </cell>
          <cell r="C281" t="str">
            <v>SALES_NETH</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row>
        <row r="282">
          <cell r="B282" t="str">
            <v>Sales - % Norway</v>
          </cell>
          <cell r="C282" t="str">
            <v>SALES_NOR</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row>
        <row r="283">
          <cell r="B283" t="str">
            <v>Sales - % Portugal</v>
          </cell>
          <cell r="C283" t="str">
            <v>SALES_POR</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row>
        <row r="284">
          <cell r="B284" t="str">
            <v>Sales - % Spain</v>
          </cell>
          <cell r="C284" t="str">
            <v>SALES_SPA</v>
          </cell>
          <cell r="Y284">
            <v>2.5400640000000002E-2</v>
          </cell>
          <cell r="Z284">
            <v>2.5400640000000002E-2</v>
          </cell>
          <cell r="AA284">
            <v>2.5400640000000002E-2</v>
          </cell>
          <cell r="AB284">
            <v>2.5400640000000002E-2</v>
          </cell>
          <cell r="AC284">
            <v>2.5400640000000002E-2</v>
          </cell>
          <cell r="AD284">
            <v>2.5400640000000002E-2</v>
          </cell>
          <cell r="AE284">
            <v>2.5400640000000002E-2</v>
          </cell>
          <cell r="AF284">
            <v>2.5400640000000002E-2</v>
          </cell>
          <cell r="AG284">
            <v>2.7477125637459437E-2</v>
          </cell>
          <cell r="AH284">
            <v>2.7477125637459437E-2</v>
          </cell>
          <cell r="AI284">
            <v>2.7477125637459437E-2</v>
          </cell>
          <cell r="AJ284">
            <v>2.7477125637459437E-2</v>
          </cell>
          <cell r="AK284">
            <v>2.7477125637459437E-2</v>
          </cell>
          <cell r="AL284">
            <v>2.7477125637459437E-2</v>
          </cell>
        </row>
        <row r="285">
          <cell r="B285" t="str">
            <v>Sales - % Sweden</v>
          </cell>
          <cell r="C285" t="str">
            <v>SALES_SWE</v>
          </cell>
          <cell r="Y285">
            <v>0.02</v>
          </cell>
          <cell r="Z285">
            <v>0.02</v>
          </cell>
          <cell r="AA285">
            <v>0.02</v>
          </cell>
          <cell r="AB285">
            <v>0.02</v>
          </cell>
          <cell r="AC285">
            <v>2.6040390605859089E-2</v>
          </cell>
          <cell r="AD285">
            <v>2.6040390605859089E-2</v>
          </cell>
          <cell r="AE285">
            <v>2.3252299071070653E-2</v>
          </cell>
          <cell r="AF285">
            <v>2.3252299071070653E-2</v>
          </cell>
          <cell r="AG285">
            <v>2.5153159248569704E-2</v>
          </cell>
          <cell r="AH285">
            <v>2.5153159248569704E-2</v>
          </cell>
          <cell r="AI285">
            <v>2.5153159248569704E-2</v>
          </cell>
          <cell r="AJ285">
            <v>2.5153159248569704E-2</v>
          </cell>
          <cell r="AK285">
            <v>2.5153159248569704E-2</v>
          </cell>
          <cell r="AL285">
            <v>2.5153159248569704E-2</v>
          </cell>
        </row>
        <row r="286">
          <cell r="B286" t="str">
            <v>Sales - % Switzerland</v>
          </cell>
          <cell r="C286" t="str">
            <v>SALES_SWIT</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row>
        <row r="287">
          <cell r="B287" t="str">
            <v>Sales - % UK</v>
          </cell>
          <cell r="C287" t="str">
            <v>SALES_UK</v>
          </cell>
          <cell r="Y287">
            <v>4.1739999999999999E-2</v>
          </cell>
          <cell r="Z287">
            <v>4.1739999999999999E-2</v>
          </cell>
          <cell r="AA287">
            <v>4.1739999999999999E-2</v>
          </cell>
          <cell r="AB287">
            <v>4.1739999999999999E-2</v>
          </cell>
          <cell r="AC287">
            <v>4.1739999999999999E-2</v>
          </cell>
          <cell r="AD287">
            <v>4.1739999999999999E-2</v>
          </cell>
          <cell r="AE287">
            <v>4.1739999999999999E-2</v>
          </cell>
          <cell r="AF287">
            <v>4.1739999999999999E-2</v>
          </cell>
          <cell r="AG287">
            <v>4.5152217586153606E-2</v>
          </cell>
          <cell r="AH287">
            <v>4.5152217586153606E-2</v>
          </cell>
          <cell r="AI287">
            <v>4.5152217586153606E-2</v>
          </cell>
          <cell r="AJ287">
            <v>4.5152217586153606E-2</v>
          </cell>
          <cell r="AK287">
            <v>4.5152217586153606E-2</v>
          </cell>
          <cell r="AL287">
            <v>4.5152217586153606E-2</v>
          </cell>
        </row>
        <row r="288">
          <cell r="B288" t="str">
            <v>Sales - % Other Western Europe</v>
          </cell>
          <cell r="C288" t="str">
            <v>SALES_OTH_WEST_EURO</v>
          </cell>
          <cell r="Y288">
            <v>4.7418850000000012E-2</v>
          </cell>
          <cell r="Z288">
            <v>4.7418850000000012E-2</v>
          </cell>
          <cell r="AA288">
            <v>4.7418850000000012E-2</v>
          </cell>
          <cell r="AB288">
            <v>4.7418850000000012E-2</v>
          </cell>
          <cell r="AC288">
            <v>1.7569618989966396E-2</v>
          </cell>
          <cell r="AD288">
            <v>1.7569618989966396E-2</v>
          </cell>
          <cell r="AE288">
            <v>5.2426550928929339E-2</v>
          </cell>
          <cell r="AF288">
            <v>5.2426550928929339E-2</v>
          </cell>
          <cell r="AG288">
            <v>5.6712387034848606E-2</v>
          </cell>
          <cell r="AH288">
            <v>5.6712387034848606E-2</v>
          </cell>
          <cell r="AI288">
            <v>5.6712387034848606E-2</v>
          </cell>
          <cell r="AJ288">
            <v>5.6712387034848606E-2</v>
          </cell>
          <cell r="AK288">
            <v>5.6712387034848606E-2</v>
          </cell>
          <cell r="AL288">
            <v>5.6712387034848606E-2</v>
          </cell>
        </row>
        <row r="289">
          <cell r="B289" t="str">
            <v>Sales - % Poland</v>
          </cell>
          <cell r="C289" t="str">
            <v>SALES_POLAND</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row>
        <row r="290">
          <cell r="B290" t="str">
            <v>Sales - % Russia</v>
          </cell>
          <cell r="C290" t="str">
            <v>SALES_RUSSIA</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row>
        <row r="291">
          <cell r="B291" t="str">
            <v>Sales - % Turkey</v>
          </cell>
          <cell r="C291" t="str">
            <v>SALES_TURKEY</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row>
        <row r="292">
          <cell r="B292" t="str">
            <v>Sales - % Other CEE</v>
          </cell>
          <cell r="C292" t="str">
            <v>SALES_OTH_CEE</v>
          </cell>
          <cell r="Y292">
            <v>0.05</v>
          </cell>
          <cell r="Z292">
            <v>0.05</v>
          </cell>
          <cell r="AA292">
            <v>0.05</v>
          </cell>
          <cell r="AB292">
            <v>0.05</v>
          </cell>
          <cell r="AC292">
            <v>0.05</v>
          </cell>
          <cell r="AD292">
            <v>0.05</v>
          </cell>
          <cell r="AE292">
            <v>0.05</v>
          </cell>
          <cell r="AF292">
            <v>0.05</v>
          </cell>
          <cell r="AG292">
            <v>5.4087467161180659E-2</v>
          </cell>
          <cell r="AH292">
            <v>5.4087467161180659E-2</v>
          </cell>
          <cell r="AI292">
            <v>5.4087467161180659E-2</v>
          </cell>
          <cell r="AJ292">
            <v>5.4087467161180659E-2</v>
          </cell>
          <cell r="AK292">
            <v>5.4087467161180659E-2</v>
          </cell>
          <cell r="AL292">
            <v>5.4087467161180659E-2</v>
          </cell>
        </row>
        <row r="293">
          <cell r="B293" t="str">
            <v>Sales - % Saudi Arabia</v>
          </cell>
          <cell r="C293" t="str">
            <v>SALES_SAUDI_ARABIA</v>
          </cell>
          <cell r="Y293">
            <v>1.4999999999999999E-2</v>
          </cell>
          <cell r="Z293">
            <v>1.4999999999999999E-2</v>
          </cell>
          <cell r="AA293">
            <v>1.4999999999999999E-2</v>
          </cell>
          <cell r="AB293">
            <v>1.4999999999999999E-2</v>
          </cell>
          <cell r="AC293">
            <v>0.01</v>
          </cell>
          <cell r="AD293">
            <v>0.01</v>
          </cell>
          <cell r="AE293">
            <v>0.01</v>
          </cell>
          <cell r="AF293">
            <v>0.01</v>
          </cell>
          <cell r="AG293">
            <v>1.081749343223613E-2</v>
          </cell>
          <cell r="AH293">
            <v>1.081749343223613E-2</v>
          </cell>
          <cell r="AI293">
            <v>1.081749343223613E-2</v>
          </cell>
          <cell r="AJ293">
            <v>1.081749343223613E-2</v>
          </cell>
          <cell r="AK293">
            <v>1.081749343223613E-2</v>
          </cell>
          <cell r="AL293">
            <v>1.081749343223613E-2</v>
          </cell>
        </row>
        <row r="294">
          <cell r="B294" t="str">
            <v>Sales - % United Arab Emirates</v>
          </cell>
          <cell r="C294" t="str">
            <v>SALES_UAE</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row>
        <row r="295">
          <cell r="B295" t="str">
            <v>Sales - % Other Middle East</v>
          </cell>
          <cell r="C295" t="str">
            <v>SALES_OTH_ME</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row>
        <row r="296">
          <cell r="B296" t="str">
            <v>Sales - % Nigeria</v>
          </cell>
          <cell r="C296" t="str">
            <v>SALES_NIGERIA</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row>
        <row r="297">
          <cell r="B297" t="str">
            <v>Sales - % South Africa</v>
          </cell>
          <cell r="C297" t="str">
            <v>SALES_SO_AFRICA</v>
          </cell>
          <cell r="Y297">
            <v>1.4999999999999999E-2</v>
          </cell>
          <cell r="Z297">
            <v>1.4999999999999999E-2</v>
          </cell>
          <cell r="AA297">
            <v>1.4999999999999999E-2</v>
          </cell>
          <cell r="AB297">
            <v>1.4999999999999999E-2</v>
          </cell>
          <cell r="AC297">
            <v>0</v>
          </cell>
          <cell r="AD297">
            <v>0</v>
          </cell>
          <cell r="AE297">
            <v>0</v>
          </cell>
          <cell r="AF297">
            <v>0</v>
          </cell>
          <cell r="AG297">
            <v>0</v>
          </cell>
          <cell r="AH297">
            <v>0</v>
          </cell>
          <cell r="AI297">
            <v>0</v>
          </cell>
          <cell r="AJ297">
            <v>0</v>
          </cell>
          <cell r="AK297">
            <v>0</v>
          </cell>
          <cell r="AL297">
            <v>0</v>
          </cell>
        </row>
        <row r="298">
          <cell r="B298" t="str">
            <v>Sales - % Other Africa</v>
          </cell>
          <cell r="C298" t="str">
            <v>SALES_OTH_AFRICA</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row>
        <row r="299">
          <cell r="B299" t="str">
            <v>Sales - % Hong Kong</v>
          </cell>
          <cell r="C299" t="str">
            <v>SALES_HONG_KONG</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row>
        <row r="300">
          <cell r="B300" t="str">
            <v>Sales - % Japan</v>
          </cell>
          <cell r="C300" t="str">
            <v>SALES_JAPAN</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row>
        <row r="301">
          <cell r="B301" t="str">
            <v>Sales - % Singapore</v>
          </cell>
          <cell r="C301" t="str">
            <v>SALES_SINGAPORE</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row>
        <row r="302">
          <cell r="B302" t="str">
            <v>Sales - % South Korea</v>
          </cell>
          <cell r="C302" t="str">
            <v>SALES_SK</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row>
        <row r="303">
          <cell r="B303" t="str">
            <v>Sales - % Taiwan</v>
          </cell>
          <cell r="C303" t="str">
            <v>SALES_TAIWAN</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row>
        <row r="304">
          <cell r="B304" t="str">
            <v>Sales - % Other Developed Asia</v>
          </cell>
          <cell r="C304" t="str">
            <v>SALES_OTH_DEV_ASIA</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row>
        <row r="305">
          <cell r="B305" t="str">
            <v>Sales - % China</v>
          </cell>
          <cell r="C305" t="str">
            <v>SALES_CHINA</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7.9000000000000001E-2</v>
          </cell>
          <cell r="U305">
            <v>0.109</v>
          </cell>
          <cell r="V305">
            <v>0.129</v>
          </cell>
          <cell r="W305">
            <v>0.12</v>
          </cell>
          <cell r="X305">
            <v>0.11</v>
          </cell>
          <cell r="Y305">
            <v>0.14000000000000001</v>
          </cell>
          <cell r="Z305">
            <v>0.14000000000000001</v>
          </cell>
          <cell r="AA305">
            <v>0.14000000000000001</v>
          </cell>
          <cell r="AB305">
            <v>0.14000000000000001</v>
          </cell>
          <cell r="AC305">
            <v>0.16</v>
          </cell>
          <cell r="AD305">
            <v>0.16</v>
          </cell>
          <cell r="AE305">
            <v>0.17</v>
          </cell>
          <cell r="AF305">
            <v>0.17</v>
          </cell>
          <cell r="AG305">
            <v>0.18259259259259258</v>
          </cell>
          <cell r="AH305">
            <v>0.18259259259259258</v>
          </cell>
          <cell r="AI305">
            <v>0.18259259259259258</v>
          </cell>
          <cell r="AJ305">
            <v>0.18259259259259258</v>
          </cell>
          <cell r="AK305">
            <v>0.18259259259259258</v>
          </cell>
          <cell r="AL305">
            <v>0.18259259259259258</v>
          </cell>
        </row>
        <row r="306">
          <cell r="B306" t="str">
            <v>Sales - % India</v>
          </cell>
          <cell r="C306" t="str">
            <v>SALES_INDIA</v>
          </cell>
          <cell r="Y306">
            <v>0.04</v>
          </cell>
          <cell r="Z306">
            <v>0.04</v>
          </cell>
          <cell r="AA306">
            <v>0.04</v>
          </cell>
          <cell r="AB306">
            <v>0.04</v>
          </cell>
          <cell r="AC306">
            <v>0.04</v>
          </cell>
          <cell r="AD306">
            <v>0.04</v>
          </cell>
          <cell r="AE306">
            <v>0.04</v>
          </cell>
          <cell r="AF306">
            <v>0.04</v>
          </cell>
          <cell r="AG306">
            <v>4.296296296296296E-2</v>
          </cell>
          <cell r="AH306">
            <v>4.296296296296296E-2</v>
          </cell>
          <cell r="AI306">
            <v>4.296296296296296E-2</v>
          </cell>
          <cell r="AJ306">
            <v>4.296296296296296E-2</v>
          </cell>
          <cell r="AK306">
            <v>4.296296296296296E-2</v>
          </cell>
          <cell r="AL306">
            <v>4.296296296296296E-2</v>
          </cell>
        </row>
        <row r="307">
          <cell r="B307" t="str">
            <v>Sales - % Indonesia</v>
          </cell>
          <cell r="C307" t="str">
            <v>SALES_INDONESIA</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row>
        <row r="308">
          <cell r="B308" t="str">
            <v>Sales - % Thailand</v>
          </cell>
          <cell r="C308" t="str">
            <v>SALES_THAILAND</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row>
        <row r="309">
          <cell r="B309" t="str">
            <v>Sales - % Other Emerging Asia</v>
          </cell>
          <cell r="C309" t="str">
            <v>SALES_OTH_EMERG_ASIA</v>
          </cell>
          <cell r="Y309">
            <v>7.9999999999999988E-2</v>
          </cell>
          <cell r="Z309">
            <v>7.9999999999999988E-2</v>
          </cell>
          <cell r="AA309">
            <v>7.9999999999999988E-2</v>
          </cell>
          <cell r="AB309">
            <v>7.9999999999999988E-2</v>
          </cell>
          <cell r="AC309">
            <v>7.9999999999999988E-2</v>
          </cell>
          <cell r="AD309">
            <v>7.9999999999999988E-2</v>
          </cell>
          <cell r="AE309">
            <v>0.06</v>
          </cell>
          <cell r="AF309">
            <v>0.06</v>
          </cell>
          <cell r="AG309">
            <v>6.4444444444444443E-2</v>
          </cell>
          <cell r="AH309">
            <v>6.4444444444444443E-2</v>
          </cell>
          <cell r="AI309">
            <v>6.4444444444444443E-2</v>
          </cell>
          <cell r="AJ309">
            <v>6.4444444444444443E-2</v>
          </cell>
          <cell r="AK309">
            <v>6.4444444444444443E-2</v>
          </cell>
          <cell r="AL309">
            <v>6.4444444444444443E-2</v>
          </cell>
        </row>
        <row r="310">
          <cell r="B310" t="str">
            <v>Sales - % Australia</v>
          </cell>
          <cell r="C310" t="str">
            <v>SALES_AUSTRA</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row>
        <row r="311">
          <cell r="B311" t="str">
            <v>Sales - % New Zealand</v>
          </cell>
          <cell r="C311" t="str">
            <v>SALES_NZ</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row>
        <row r="312">
          <cell r="B312" t="str">
            <v>Sales - % Others</v>
          </cell>
          <cell r="C312" t="str">
            <v>SALES_OTHER</v>
          </cell>
          <cell r="Y312">
            <v>0</v>
          </cell>
          <cell r="Z312">
            <v>0</v>
          </cell>
          <cell r="AA312">
            <v>0</v>
          </cell>
          <cell r="AB312">
            <v>0</v>
          </cell>
          <cell r="AC312">
            <v>5.1739999999999897E-2</v>
          </cell>
          <cell r="AD312">
            <v>5.1739999999999897E-2</v>
          </cell>
          <cell r="AE312">
            <v>5.1739999999999897E-2</v>
          </cell>
          <cell r="AF312">
            <v>5.1739999999999897E-2</v>
          </cell>
          <cell r="AG312">
            <v>9.2118142220920518E-4</v>
          </cell>
          <cell r="AH312">
            <v>9.2118142220920518E-4</v>
          </cell>
          <cell r="AI312">
            <v>9.2118142220920518E-4</v>
          </cell>
          <cell r="AJ312">
            <v>9.2118142220920518E-4</v>
          </cell>
          <cell r="AK312">
            <v>9.2118142220920518E-4</v>
          </cell>
          <cell r="AL312">
            <v>9.2118142220920518E-4</v>
          </cell>
        </row>
        <row r="313">
          <cell r="B313" t="str">
            <v>% of CoGS from U.S. (GS estimate)</v>
          </cell>
          <cell r="C313" t="str">
            <v>COGS_PCT_US</v>
          </cell>
          <cell r="Z313">
            <v>0.11947691774493774</v>
          </cell>
          <cell r="AA313">
            <v>0.11947691774493774</v>
          </cell>
          <cell r="AB313">
            <v>0.11947691774493774</v>
          </cell>
          <cell r="AC313">
            <v>0.11947691774493774</v>
          </cell>
          <cell r="AD313">
            <v>0.11947691774493774</v>
          </cell>
          <cell r="AE313">
            <v>0.11947691774493774</v>
          </cell>
          <cell r="AF313">
            <v>0.11947691774493774</v>
          </cell>
        </row>
        <row r="314">
          <cell r="B314" t="str">
            <v>% of CoGS from non-U.S. (GS estimate)</v>
          </cell>
          <cell r="C314" t="str">
            <v>COGS_PCT_ROW</v>
          </cell>
          <cell r="Z314">
            <v>0.88052308225506226</v>
          </cell>
          <cell r="AA314">
            <v>0.88052308225506226</v>
          </cell>
          <cell r="AB314">
            <v>0.88052308225506226</v>
          </cell>
          <cell r="AC314">
            <v>0.88052308225506226</v>
          </cell>
          <cell r="AD314">
            <v>0.88052308225506226</v>
          </cell>
          <cell r="AE314">
            <v>0.88052308225506226</v>
          </cell>
          <cell r="AF314">
            <v>0.88052308225506226</v>
          </cell>
        </row>
        <row r="315">
          <cell r="B315" t="str">
            <v>% of SG&amp;A from U.S. (GS estimate)</v>
          </cell>
          <cell r="C315" t="str">
            <v>SGA_PCT_US</v>
          </cell>
          <cell r="Z315">
            <v>0.22000000000000003</v>
          </cell>
          <cell r="AA315">
            <v>0.22000000000000003</v>
          </cell>
          <cell r="AB315">
            <v>0.22000000000000003</v>
          </cell>
          <cell r="AC315">
            <v>0.22000000000000003</v>
          </cell>
          <cell r="AD315">
            <v>0.22000000000000003</v>
          </cell>
          <cell r="AE315">
            <v>0.22000000000000003</v>
          </cell>
          <cell r="AF315">
            <v>0.22000000000000003</v>
          </cell>
        </row>
        <row r="316">
          <cell r="B316" t="str">
            <v>% of SG&amp;A from non-U.S. (GS estimate)</v>
          </cell>
          <cell r="C316" t="str">
            <v>SGA_PCT_ROW</v>
          </cell>
          <cell r="Z316">
            <v>0.78</v>
          </cell>
          <cell r="AA316">
            <v>0.78</v>
          </cell>
          <cell r="AB316">
            <v>0.78</v>
          </cell>
          <cell r="AC316">
            <v>0.78</v>
          </cell>
          <cell r="AD316">
            <v>0.78</v>
          </cell>
          <cell r="AE316">
            <v>0.78</v>
          </cell>
          <cell r="AF316">
            <v>0.78</v>
          </cell>
        </row>
        <row r="317">
          <cell r="B317" t="str">
            <v>Sales -% Consumer (C)</v>
          </cell>
          <cell r="C317" t="str">
            <v>SALES_CONS</v>
          </cell>
          <cell r="U317">
            <v>0.26</v>
          </cell>
          <cell r="V317">
            <v>0.26</v>
          </cell>
          <cell r="W317">
            <v>0.26</v>
          </cell>
          <cell r="X317">
            <v>0.26</v>
          </cell>
          <cell r="Y317">
            <v>0.26</v>
          </cell>
          <cell r="Z317">
            <v>0.26</v>
          </cell>
          <cell r="AA317">
            <v>0.26</v>
          </cell>
          <cell r="AB317">
            <v>0.26</v>
          </cell>
          <cell r="AC317">
            <v>0.26</v>
          </cell>
          <cell r="AD317">
            <v>0.26</v>
          </cell>
          <cell r="AE317">
            <v>0.26</v>
          </cell>
          <cell r="AF317">
            <v>0.26</v>
          </cell>
          <cell r="AG317">
            <v>0.26</v>
          </cell>
          <cell r="AH317">
            <v>0.26</v>
          </cell>
          <cell r="AI317">
            <v>0.26</v>
          </cell>
          <cell r="AJ317">
            <v>0.26</v>
          </cell>
          <cell r="AK317">
            <v>0.26</v>
          </cell>
          <cell r="AL317">
            <v>0.26</v>
          </cell>
        </row>
        <row r="318">
          <cell r="B318" t="str">
            <v>Sales -% Industry (I)</v>
          </cell>
          <cell r="C318" t="str">
            <v>SALES_IND</v>
          </cell>
          <cell r="U318">
            <v>0.74</v>
          </cell>
          <cell r="V318">
            <v>0.74</v>
          </cell>
          <cell r="W318">
            <v>0.74</v>
          </cell>
          <cell r="X318">
            <v>0.74</v>
          </cell>
          <cell r="Y318">
            <v>0.74</v>
          </cell>
          <cell r="Z318">
            <v>0.74</v>
          </cell>
          <cell r="AA318">
            <v>0.74</v>
          </cell>
          <cell r="AB318">
            <v>0.74</v>
          </cell>
          <cell r="AC318">
            <v>0.74</v>
          </cell>
          <cell r="AD318">
            <v>0.74</v>
          </cell>
          <cell r="AE318">
            <v>0.74</v>
          </cell>
          <cell r="AF318">
            <v>0.74</v>
          </cell>
          <cell r="AG318">
            <v>0.74</v>
          </cell>
          <cell r="AH318">
            <v>0.74</v>
          </cell>
          <cell r="AI318">
            <v>0.74</v>
          </cell>
          <cell r="AJ318">
            <v>0.74</v>
          </cell>
          <cell r="AK318">
            <v>0.74</v>
          </cell>
          <cell r="AL318">
            <v>0.74</v>
          </cell>
        </row>
        <row r="319">
          <cell r="B319" t="str">
            <v>Sales -% Government (G)</v>
          </cell>
          <cell r="C319" t="str">
            <v>SALES_GOV</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row>
        <row r="320">
          <cell r="B320" t="str">
            <v>Sales - % Industry Sub-Segment: Financial Services</v>
          </cell>
          <cell r="C320" t="str">
            <v>SALES_FINAN</v>
          </cell>
        </row>
        <row r="321">
          <cell r="B321" t="str">
            <v>Sales - % Industry Sub-Segment: Oil &amp; Gas</v>
          </cell>
          <cell r="C321" t="str">
            <v>SALES_OIL_GAS</v>
          </cell>
        </row>
        <row r="322">
          <cell r="A322" t="str">
            <v>Commodities Exposure - Sales</v>
          </cell>
        </row>
        <row r="323">
          <cell r="B323" t="str">
            <v>Sales - % Oil/Petrol/Fuel</v>
          </cell>
          <cell r="C323" t="str">
            <v>SALES_OIL_PETRO_FUEL</v>
          </cell>
          <cell r="X323">
            <v>0</v>
          </cell>
        </row>
        <row r="324">
          <cell r="B324" t="str">
            <v>Sales - % Oil derivatives/NGLs/plastics</v>
          </cell>
          <cell r="C324" t="str">
            <v>SALES_OIL_DERIV_NGLS_PLASTICS</v>
          </cell>
          <cell r="X324">
            <v>0</v>
          </cell>
        </row>
        <row r="325">
          <cell r="B325" t="str">
            <v>Sales - % Nat Gas</v>
          </cell>
          <cell r="C325" t="str">
            <v>SALES_NAT_GAS</v>
          </cell>
          <cell r="X325">
            <v>0</v>
          </cell>
        </row>
        <row r="326">
          <cell r="B326" t="str">
            <v>Sales - % Gold</v>
          </cell>
          <cell r="C326" t="str">
            <v>SALES_GOLD</v>
          </cell>
          <cell r="X326">
            <v>0</v>
          </cell>
        </row>
        <row r="327">
          <cell r="B327" t="str">
            <v>Sales - % Copper</v>
          </cell>
          <cell r="C327" t="str">
            <v>SALES_COPPER</v>
          </cell>
          <cell r="X327">
            <v>0</v>
          </cell>
        </row>
        <row r="328">
          <cell r="B328" t="str">
            <v>Sales - % Silver</v>
          </cell>
          <cell r="C328" t="str">
            <v>SALES_SILVER</v>
          </cell>
          <cell r="X328">
            <v>0</v>
          </cell>
        </row>
        <row r="329">
          <cell r="B329" t="str">
            <v>Sales - % Platinum</v>
          </cell>
          <cell r="C329" t="str">
            <v>SALES_PLATINUM</v>
          </cell>
          <cell r="X329">
            <v>0</v>
          </cell>
        </row>
        <row r="330">
          <cell r="B330" t="str">
            <v>Sales - % Palladium</v>
          </cell>
          <cell r="C330" t="str">
            <v>SALES_PALLADIUM</v>
          </cell>
          <cell r="X330">
            <v>0</v>
          </cell>
        </row>
        <row r="331">
          <cell r="B331" t="str">
            <v>Sales - % Aluminium</v>
          </cell>
          <cell r="C331" t="str">
            <v>SALES_ALUMINIUM</v>
          </cell>
          <cell r="X331">
            <v>0</v>
          </cell>
        </row>
        <row r="332">
          <cell r="B332" t="str">
            <v>Sales - % Nickel</v>
          </cell>
          <cell r="C332" t="str">
            <v>SALES_NICKEL</v>
          </cell>
          <cell r="X332">
            <v>0</v>
          </cell>
        </row>
        <row r="333">
          <cell r="B333" t="str">
            <v>Sales - % Zinc</v>
          </cell>
          <cell r="C333" t="str">
            <v>SALES_ZINC</v>
          </cell>
          <cell r="X333">
            <v>0</v>
          </cell>
        </row>
        <row r="334">
          <cell r="B334" t="str">
            <v>Sales - % Steel</v>
          </cell>
          <cell r="C334" t="str">
            <v>SALES_STEEL</v>
          </cell>
          <cell r="X334">
            <v>0</v>
          </cell>
        </row>
        <row r="335">
          <cell r="B335" t="str">
            <v>Sales - % Tin</v>
          </cell>
          <cell r="C335" t="str">
            <v>SALES_TIN</v>
          </cell>
          <cell r="X335">
            <v>0</v>
          </cell>
        </row>
        <row r="336">
          <cell r="B336" t="str">
            <v>Sales - % Iron Ore</v>
          </cell>
          <cell r="C336" t="str">
            <v>SALES_IRON_ORE</v>
          </cell>
          <cell r="X336">
            <v>0</v>
          </cell>
        </row>
        <row r="337">
          <cell r="B337" t="str">
            <v>Sales - % Ferrochrome</v>
          </cell>
          <cell r="C337" t="str">
            <v>SALES_FERROCHROME</v>
          </cell>
          <cell r="X337">
            <v>0</v>
          </cell>
        </row>
        <row r="338">
          <cell r="B338" t="str">
            <v>Sales - % Diamonds</v>
          </cell>
          <cell r="C338" t="str">
            <v>SALES_DIAMONDS</v>
          </cell>
          <cell r="X338">
            <v>0</v>
          </cell>
        </row>
        <row r="339">
          <cell r="B339" t="str">
            <v>Sales - % Coal: thermal</v>
          </cell>
          <cell r="C339" t="str">
            <v>SALES_COAL_THERMAL</v>
          </cell>
          <cell r="X339">
            <v>0</v>
          </cell>
        </row>
        <row r="340">
          <cell r="B340" t="str">
            <v>Sales - % Coal: Metallurgical</v>
          </cell>
          <cell r="C340" t="str">
            <v>SALES_COAL_MET</v>
          </cell>
          <cell r="X340">
            <v>0</v>
          </cell>
        </row>
        <row r="341">
          <cell r="B341" t="str">
            <v>Sales - % Paper/pulp</v>
          </cell>
          <cell r="C341" t="str">
            <v>SALES_PAPER_PULP</v>
          </cell>
          <cell r="X341">
            <v>0</v>
          </cell>
        </row>
        <row r="342">
          <cell r="B342" t="str">
            <v>Sales - % Glass</v>
          </cell>
          <cell r="C342" t="str">
            <v>SALES_GLASS</v>
          </cell>
          <cell r="X342">
            <v>0</v>
          </cell>
        </row>
        <row r="343">
          <cell r="B343" t="str">
            <v>Sales - % Cement</v>
          </cell>
          <cell r="C343" t="str">
            <v>SALES_CEMENT</v>
          </cell>
          <cell r="X343">
            <v>0</v>
          </cell>
        </row>
        <row r="344">
          <cell r="B344" t="str">
            <v>Sales - % Palm oil</v>
          </cell>
          <cell r="C344" t="str">
            <v>SALES_PALM_OIL</v>
          </cell>
          <cell r="X344">
            <v>0</v>
          </cell>
        </row>
        <row r="345">
          <cell r="B345" t="str">
            <v>Sales - % Other commodity</v>
          </cell>
          <cell r="C345" t="str">
            <v>SALES_OTH_COMMODITY</v>
          </cell>
          <cell r="X345">
            <v>0</v>
          </cell>
        </row>
        <row r="346">
          <cell r="B346" t="str">
            <v>Sales - % Other (Non-Commodity) sales sources</v>
          </cell>
          <cell r="C346" t="str">
            <v>SALES_OTH_SALES_SOURCES</v>
          </cell>
        </row>
        <row r="347">
          <cell r="A347" t="str">
            <v>Commodities Exposure - Expense</v>
          </cell>
        </row>
        <row r="348">
          <cell r="B348" t="str">
            <v>Expense - % Oil/Petrol/Fuel</v>
          </cell>
          <cell r="C348" t="str">
            <v>EXP_OIL_PETRO_FUEL</v>
          </cell>
          <cell r="X348">
            <v>0</v>
          </cell>
          <cell r="Y348">
            <v>0.05</v>
          </cell>
          <cell r="Z348">
            <v>0.05</v>
          </cell>
          <cell r="AA348">
            <v>0.05</v>
          </cell>
          <cell r="AB348">
            <v>0.05</v>
          </cell>
          <cell r="AC348">
            <v>0.05</v>
          </cell>
          <cell r="AD348">
            <v>0.05</v>
          </cell>
          <cell r="AE348">
            <v>0.05</v>
          </cell>
          <cell r="AF348">
            <v>0.05</v>
          </cell>
          <cell r="AG348">
            <v>0.05</v>
          </cell>
          <cell r="AH348">
            <v>0.05</v>
          </cell>
          <cell r="AI348">
            <v>0.05</v>
          </cell>
          <cell r="AJ348">
            <v>0.05</v>
          </cell>
          <cell r="AK348">
            <v>0.05</v>
          </cell>
          <cell r="AL348">
            <v>0.05</v>
          </cell>
        </row>
        <row r="349">
          <cell r="B349" t="str">
            <v>Expense - % Oil derivatives/NGLs/plastics</v>
          </cell>
          <cell r="C349" t="str">
            <v>EXP_OIL_DERIV_NGLS_PLASTICS</v>
          </cell>
          <cell r="X349">
            <v>0</v>
          </cell>
          <cell r="Y349">
            <v>0.05</v>
          </cell>
          <cell r="Z349">
            <v>0.05</v>
          </cell>
          <cell r="AA349">
            <v>0.05</v>
          </cell>
          <cell r="AB349">
            <v>0.05</v>
          </cell>
          <cell r="AC349">
            <v>0.05</v>
          </cell>
          <cell r="AD349">
            <v>0.05</v>
          </cell>
          <cell r="AE349">
            <v>0.05</v>
          </cell>
          <cell r="AF349">
            <v>0.05</v>
          </cell>
          <cell r="AG349">
            <v>0.05</v>
          </cell>
          <cell r="AH349">
            <v>0.05</v>
          </cell>
          <cell r="AI349">
            <v>0.05</v>
          </cell>
          <cell r="AJ349">
            <v>0.05</v>
          </cell>
          <cell r="AK349">
            <v>0.05</v>
          </cell>
          <cell r="AL349">
            <v>0.05</v>
          </cell>
        </row>
        <row r="350">
          <cell r="B350" t="str">
            <v>Expense - % Nat Gas</v>
          </cell>
          <cell r="C350" t="str">
            <v>EXP_NAT_GAS</v>
          </cell>
          <cell r="X350">
            <v>0</v>
          </cell>
        </row>
        <row r="351">
          <cell r="B351" t="str">
            <v>Expense - % Gold</v>
          </cell>
          <cell r="C351" t="str">
            <v>EXP_GOLD</v>
          </cell>
          <cell r="X351">
            <v>0</v>
          </cell>
        </row>
        <row r="352">
          <cell r="B352" t="str">
            <v>Expense - % Copper</v>
          </cell>
          <cell r="C352" t="str">
            <v>EXP_COPPER</v>
          </cell>
          <cell r="X352">
            <v>0</v>
          </cell>
        </row>
        <row r="353">
          <cell r="B353" t="str">
            <v>Expense - % Silver</v>
          </cell>
          <cell r="C353" t="str">
            <v>EXP_SILVER</v>
          </cell>
          <cell r="X353">
            <v>0</v>
          </cell>
        </row>
        <row r="354">
          <cell r="B354" t="str">
            <v>Expense - % Platinum</v>
          </cell>
          <cell r="C354" t="str">
            <v>EXP_PLATINUM</v>
          </cell>
          <cell r="X354">
            <v>0</v>
          </cell>
        </row>
        <row r="355">
          <cell r="B355" t="str">
            <v>Expense - % Palladium</v>
          </cell>
          <cell r="C355" t="str">
            <v>EXP_PALLADIUM</v>
          </cell>
          <cell r="X355">
            <v>0</v>
          </cell>
        </row>
        <row r="356">
          <cell r="B356" t="str">
            <v>Expense - % Aluminium</v>
          </cell>
          <cell r="C356" t="str">
            <v>EXP_ALUMINIUM</v>
          </cell>
          <cell r="X356">
            <v>0</v>
          </cell>
        </row>
        <row r="357">
          <cell r="B357" t="str">
            <v>Expense - % Nickel</v>
          </cell>
          <cell r="C357" t="str">
            <v>EXP_NICKEL</v>
          </cell>
          <cell r="X357">
            <v>0</v>
          </cell>
        </row>
        <row r="358">
          <cell r="B358" t="str">
            <v>Expense - % Zinc</v>
          </cell>
          <cell r="C358" t="str">
            <v>EXP_ZINC</v>
          </cell>
          <cell r="X358">
            <v>0</v>
          </cell>
        </row>
        <row r="359">
          <cell r="B359" t="str">
            <v>Expense - % Steel</v>
          </cell>
          <cell r="C359" t="str">
            <v>EXP_STEEL</v>
          </cell>
          <cell r="X359">
            <v>0</v>
          </cell>
        </row>
        <row r="360">
          <cell r="B360" t="str">
            <v>Expense - % Tin</v>
          </cell>
          <cell r="C360" t="str">
            <v>EXP_TIN</v>
          </cell>
          <cell r="X360">
            <v>0</v>
          </cell>
        </row>
        <row r="361">
          <cell r="B361" t="str">
            <v>Expense - % Iron Ore</v>
          </cell>
          <cell r="C361" t="str">
            <v>EXP_IRON_ORE</v>
          </cell>
          <cell r="X361">
            <v>0</v>
          </cell>
        </row>
        <row r="362">
          <cell r="B362" t="str">
            <v>Expense - % Ferrochrome</v>
          </cell>
          <cell r="C362" t="str">
            <v>EXP_FERROCHROME</v>
          </cell>
          <cell r="X362">
            <v>0</v>
          </cell>
        </row>
        <row r="363">
          <cell r="B363" t="str">
            <v>Expense - % Diamonds</v>
          </cell>
          <cell r="C363" t="str">
            <v>EXP_DIAMONDS</v>
          </cell>
          <cell r="X363">
            <v>0</v>
          </cell>
        </row>
        <row r="364">
          <cell r="B364" t="str">
            <v>Expense - % Paper/pulp</v>
          </cell>
          <cell r="C364" t="str">
            <v>EXP_PAPER_PULP</v>
          </cell>
          <cell r="X364">
            <v>0</v>
          </cell>
        </row>
        <row r="365">
          <cell r="B365" t="str">
            <v>Expense - % Lumber</v>
          </cell>
          <cell r="C365" t="str">
            <v>EXP_LUMBER</v>
          </cell>
          <cell r="X365">
            <v>0</v>
          </cell>
        </row>
        <row r="366">
          <cell r="B366" t="str">
            <v>Expense - % Glass</v>
          </cell>
          <cell r="C366" t="str">
            <v>EXP_GLASS</v>
          </cell>
          <cell r="X366">
            <v>0</v>
          </cell>
        </row>
        <row r="367">
          <cell r="B367" t="str">
            <v>Expense - % Cement</v>
          </cell>
          <cell r="C367" t="str">
            <v>EXP_CEMENT</v>
          </cell>
          <cell r="X367">
            <v>0</v>
          </cell>
        </row>
        <row r="368">
          <cell r="B368" t="str">
            <v>Expense - % Rubber</v>
          </cell>
          <cell r="C368" t="str">
            <v>EXP_RUBBER</v>
          </cell>
          <cell r="X368">
            <v>0</v>
          </cell>
        </row>
        <row r="369">
          <cell r="B369" t="str">
            <v>Expense - % Water</v>
          </cell>
          <cell r="C369" t="str">
            <v>EXP_WATER</v>
          </cell>
          <cell r="X369">
            <v>0</v>
          </cell>
        </row>
        <row r="370">
          <cell r="B370" t="str">
            <v>Expense - % Other commodity</v>
          </cell>
          <cell r="C370" t="str">
            <v>EXP_OTH_COMMODITY</v>
          </cell>
          <cell r="X370">
            <v>0</v>
          </cell>
        </row>
        <row r="371">
          <cell r="B371" t="str">
            <v>Expense - % Other (Non-Commodity) cost</v>
          </cell>
          <cell r="C371" t="str">
            <v>EXP_OTH_COST</v>
          </cell>
        </row>
        <row r="372">
          <cell r="A372" t="str">
            <v>FX Exposure - Sales</v>
          </cell>
        </row>
        <row r="373">
          <cell r="B373" t="str">
            <v>Sales - % FX: British Pounds/Pence</v>
          </cell>
          <cell r="C373" t="str">
            <v>SALES_FX_GPB</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row>
        <row r="374">
          <cell r="B374" t="str">
            <v>Sales - % FX: Euro</v>
          </cell>
          <cell r="C374" t="str">
            <v>SALES_FX_EUR</v>
          </cell>
          <cell r="F374">
            <v>0.53999999999999992</v>
          </cell>
          <cell r="G374">
            <v>0.56999999999999995</v>
          </cell>
          <cell r="H374">
            <v>0.53999999999999992</v>
          </cell>
          <cell r="I374">
            <v>0.52</v>
          </cell>
          <cell r="J374">
            <v>0.53999999999999992</v>
          </cell>
          <cell r="K374">
            <v>0.52999999999999992</v>
          </cell>
          <cell r="L374">
            <v>0.49999999999999994</v>
          </cell>
          <cell r="M374">
            <v>0.51</v>
          </cell>
          <cell r="N374">
            <v>0.51999999999999991</v>
          </cell>
          <cell r="O374">
            <v>0.54999999999999993</v>
          </cell>
          <cell r="P374">
            <v>0.53999999999999992</v>
          </cell>
          <cell r="Q374">
            <v>0.53999999999999992</v>
          </cell>
          <cell r="R374">
            <v>0.53</v>
          </cell>
          <cell r="S374">
            <v>0.55000000000000004</v>
          </cell>
          <cell r="T374">
            <v>0.54999999999999982</v>
          </cell>
          <cell r="U374">
            <v>0.51191740622832449</v>
          </cell>
          <cell r="V374">
            <v>0.4588672598272952</v>
          </cell>
          <cell r="W374">
            <v>0.45750030204180253</v>
          </cell>
          <cell r="X374">
            <v>0.43331784746418894</v>
          </cell>
          <cell r="Y374">
            <v>0.42245153073258168</v>
          </cell>
          <cell r="Z374">
            <v>0.42000000000000004</v>
          </cell>
          <cell r="AA374">
            <v>0.40999999999999992</v>
          </cell>
          <cell r="AB374">
            <v>0.40999999999999992</v>
          </cell>
          <cell r="AC374">
            <v>0.41</v>
          </cell>
          <cell r="AD374">
            <v>0.41999999999999993</v>
          </cell>
          <cell r="AE374">
            <v>0.41674770092892932</v>
          </cell>
          <cell r="AF374">
            <v>0.39483180142147173</v>
          </cell>
          <cell r="AG374">
            <v>0.39710810943082275</v>
          </cell>
          <cell r="AH374">
            <v>0.39999999999999997</v>
          </cell>
          <cell r="AI374">
            <v>0.39999999999999997</v>
          </cell>
          <cell r="AJ374">
            <v>0.39999999999999997</v>
          </cell>
          <cell r="AK374">
            <v>0.39999999999999997</v>
          </cell>
          <cell r="AL374">
            <v>0.39999999999999997</v>
          </cell>
        </row>
        <row r="375">
          <cell r="B375" t="str">
            <v>Sales - % FX: New Russian Ruble</v>
          </cell>
          <cell r="C375" t="str">
            <v>SALES_FX_RUB</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row>
        <row r="376">
          <cell r="B376" t="str">
            <v>Sales - % FX: U.S. Dollar</v>
          </cell>
          <cell r="C376" t="str">
            <v>SALES_FX_USD</v>
          </cell>
          <cell r="F376">
            <v>0.26</v>
          </cell>
          <cell r="G376">
            <v>0.22</v>
          </cell>
          <cell r="H376">
            <v>0.24</v>
          </cell>
          <cell r="I376">
            <v>0.25</v>
          </cell>
          <cell r="J376">
            <v>0.25</v>
          </cell>
          <cell r="K376">
            <v>0.26</v>
          </cell>
          <cell r="L376">
            <v>0.27</v>
          </cell>
          <cell r="M376">
            <v>0.26</v>
          </cell>
          <cell r="N376">
            <v>0.26</v>
          </cell>
          <cell r="O376">
            <v>0.22</v>
          </cell>
          <cell r="P376">
            <v>0.2</v>
          </cell>
          <cell r="Q376">
            <v>0.2</v>
          </cell>
          <cell r="R376">
            <v>0.2</v>
          </cell>
          <cell r="S376">
            <v>0.18</v>
          </cell>
          <cell r="T376">
            <v>0.17</v>
          </cell>
          <cell r="U376">
            <v>0.17</v>
          </cell>
          <cell r="V376">
            <v>0.18</v>
          </cell>
          <cell r="W376">
            <v>0.19</v>
          </cell>
          <cell r="X376">
            <v>0.22</v>
          </cell>
          <cell r="Y376">
            <v>0.24</v>
          </cell>
          <cell r="Z376">
            <v>0.25</v>
          </cell>
          <cell r="AA376">
            <v>0.21</v>
          </cell>
          <cell r="AB376">
            <v>0.21</v>
          </cell>
          <cell r="AC376">
            <v>0.23</v>
          </cell>
          <cell r="AD376">
            <v>0.23</v>
          </cell>
          <cell r="AE376">
            <v>0.22</v>
          </cell>
          <cell r="AF376">
            <v>0.20910436594880566</v>
          </cell>
          <cell r="AG376">
            <v>0.2</v>
          </cell>
          <cell r="AH376">
            <v>0.19</v>
          </cell>
          <cell r="AI376">
            <v>0.19</v>
          </cell>
          <cell r="AJ376">
            <v>0.19</v>
          </cell>
          <cell r="AK376">
            <v>0.19</v>
          </cell>
          <cell r="AL376">
            <v>0.19</v>
          </cell>
        </row>
        <row r="377">
          <cell r="B377" t="str">
            <v>Sales - % FX: Brazilian Real</v>
          </cell>
          <cell r="C377" t="str">
            <v>SALES_FX_BRL</v>
          </cell>
          <cell r="F377">
            <v>0.05</v>
          </cell>
          <cell r="G377">
            <v>0.05</v>
          </cell>
          <cell r="H377">
            <v>0.05</v>
          </cell>
          <cell r="I377">
            <v>0.06</v>
          </cell>
          <cell r="J377">
            <v>0.06</v>
          </cell>
          <cell r="K377">
            <v>0.05</v>
          </cell>
          <cell r="L377">
            <v>0.05</v>
          </cell>
          <cell r="M377">
            <v>0.05</v>
          </cell>
          <cell r="N377">
            <v>0.04</v>
          </cell>
          <cell r="O377">
            <v>0.04</v>
          </cell>
          <cell r="P377">
            <v>4296</v>
          </cell>
          <cell r="Q377">
            <v>0.05</v>
          </cell>
          <cell r="R377">
            <v>0.05</v>
          </cell>
          <cell r="S377">
            <v>0.05</v>
          </cell>
          <cell r="T377">
            <v>0.05</v>
          </cell>
          <cell r="U377">
            <v>0.06</v>
          </cell>
          <cell r="V377">
            <v>0.06</v>
          </cell>
          <cell r="W377">
            <v>0.06</v>
          </cell>
          <cell r="X377">
            <v>0.08</v>
          </cell>
          <cell r="Y377">
            <v>7.0000000000000007E-2</v>
          </cell>
          <cell r="Z377">
            <v>0.06</v>
          </cell>
          <cell r="AA377">
            <v>7.0000000000000007E-2</v>
          </cell>
          <cell r="AB377">
            <v>7.0000000000000007E-2</v>
          </cell>
          <cell r="AC377">
            <v>0.08</v>
          </cell>
          <cell r="AD377">
            <v>0.05</v>
          </cell>
          <cell r="AE377">
            <v>7.0000000000000007E-2</v>
          </cell>
          <cell r="AF377">
            <v>7.6343451076791524E-2</v>
          </cell>
          <cell r="AG377">
            <v>0.09</v>
          </cell>
          <cell r="AH377">
            <v>9.0000000000000024E-2</v>
          </cell>
          <cell r="AI377">
            <v>9.0000000000000024E-2</v>
          </cell>
          <cell r="AJ377">
            <v>9.0000000000000024E-2</v>
          </cell>
          <cell r="AK377">
            <v>9.0000000000000024E-2</v>
          </cell>
          <cell r="AL377">
            <v>9.0000000000000024E-2</v>
          </cell>
        </row>
        <row r="378">
          <cell r="B378" t="str">
            <v>Sales - % FX: Japanese Yen</v>
          </cell>
          <cell r="C378" t="str">
            <v>SALES_FX_YEN</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row>
        <row r="379">
          <cell r="B379" t="str">
            <v>Sales - % FX: Chinese Renminbi</v>
          </cell>
          <cell r="C379" t="str">
            <v>SALES_FX_CNY</v>
          </cell>
          <cell r="F379">
            <v>0.1</v>
          </cell>
          <cell r="G379">
            <v>0.1</v>
          </cell>
          <cell r="H379">
            <v>0.11</v>
          </cell>
          <cell r="I379">
            <v>0.12</v>
          </cell>
          <cell r="J379">
            <v>0.1</v>
          </cell>
          <cell r="K379">
            <v>0.11</v>
          </cell>
          <cell r="L379">
            <v>0.13</v>
          </cell>
          <cell r="M379">
            <v>0.13</v>
          </cell>
          <cell r="N379">
            <v>0.13</v>
          </cell>
          <cell r="O379">
            <v>0.14000000000000001</v>
          </cell>
          <cell r="P379">
            <v>0.15</v>
          </cell>
          <cell r="Q379">
            <v>0.17</v>
          </cell>
          <cell r="R379">
            <v>0.18</v>
          </cell>
          <cell r="S379">
            <v>0.18</v>
          </cell>
          <cell r="T379">
            <v>0.19</v>
          </cell>
          <cell r="U379">
            <v>0.23</v>
          </cell>
          <cell r="V379">
            <v>0.27</v>
          </cell>
          <cell r="W379">
            <v>0.26</v>
          </cell>
          <cell r="X379">
            <v>0.24</v>
          </cell>
          <cell r="Y379">
            <v>0.24</v>
          </cell>
          <cell r="Z379">
            <v>0.25</v>
          </cell>
          <cell r="AA379">
            <v>0.28999999999999998</v>
          </cell>
          <cell r="AB379">
            <v>0.28999999999999998</v>
          </cell>
          <cell r="AC379">
            <v>0.26</v>
          </cell>
          <cell r="AD379">
            <v>0.28000000000000003</v>
          </cell>
          <cell r="AE379">
            <v>0.27</v>
          </cell>
          <cell r="AF379">
            <v>0.29727609148720141</v>
          </cell>
          <cell r="AG379">
            <v>0.28999999999999998</v>
          </cell>
          <cell r="AH379">
            <v>0.3</v>
          </cell>
          <cell r="AI379">
            <v>0.3</v>
          </cell>
          <cell r="AJ379">
            <v>0.3</v>
          </cell>
          <cell r="AK379">
            <v>0.3</v>
          </cell>
          <cell r="AL379">
            <v>0.3</v>
          </cell>
        </row>
        <row r="380">
          <cell r="B380" t="str">
            <v>Sales - % FX: Indian Rupee</v>
          </cell>
          <cell r="C380" t="str">
            <v>SALES_FX_INR</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row>
        <row r="381">
          <cell r="B381" t="str">
            <v>Sales - % FX: South African Rand</v>
          </cell>
          <cell r="C381" t="str">
            <v>SALES_FX_ZAR</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row>
        <row r="382">
          <cell r="B382" t="str">
            <v>Sales - % FX: Nigerian Naira</v>
          </cell>
          <cell r="C382" t="str">
            <v>SALES_FX_NGN</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row>
        <row r="383">
          <cell r="B383" t="str">
            <v>Sales - % FX: Swiss Franc</v>
          </cell>
          <cell r="C383" t="str">
            <v>SALES_FX_CHF</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row>
        <row r="384">
          <cell r="B384" t="str">
            <v>Sales - % FX: UAE Dirham</v>
          </cell>
          <cell r="C384" t="str">
            <v>SALES_FX_AED</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row>
        <row r="385">
          <cell r="B385" t="str">
            <v>Sales - % FX: New Turkish Lira</v>
          </cell>
          <cell r="C385" t="str">
            <v>SALES_FX_TRY</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row>
        <row r="386">
          <cell r="B386" t="str">
            <v>Sales - % FX: Other Currency</v>
          </cell>
          <cell r="C386" t="str">
            <v>SALES_FX_OTH</v>
          </cell>
          <cell r="F386">
            <v>5.0000000000000044E-2</v>
          </cell>
          <cell r="G386">
            <v>6.0000000000000053E-2</v>
          </cell>
          <cell r="H386">
            <v>6.0000000000000053E-2</v>
          </cell>
          <cell r="I386">
            <v>4.9999999999999933E-2</v>
          </cell>
          <cell r="J386">
            <v>5.0000000000000155E-2</v>
          </cell>
          <cell r="K386">
            <v>5.0000000000000044E-2</v>
          </cell>
          <cell r="L386">
            <v>4.9999999999999933E-2</v>
          </cell>
          <cell r="M386">
            <v>4.9999999999999933E-2</v>
          </cell>
          <cell r="N386">
            <v>5.0000000000000044E-2</v>
          </cell>
          <cell r="O386">
            <v>5.0000000000000044E-2</v>
          </cell>
          <cell r="P386">
            <v>-4295.8899999999994</v>
          </cell>
          <cell r="Q386">
            <v>3.9999999999999925E-2</v>
          </cell>
          <cell r="R386">
            <v>4.0000000000000036E-2</v>
          </cell>
          <cell r="S386">
            <v>4.0000000000000036E-2</v>
          </cell>
          <cell r="T386">
            <v>4.0000000000000036E-2</v>
          </cell>
          <cell r="U386">
            <v>2.8082593771675546E-2</v>
          </cell>
          <cell r="V386">
            <v>3.1132740172704843E-2</v>
          </cell>
          <cell r="W386">
            <v>3.2499697958197515E-2</v>
          </cell>
          <cell r="X386">
            <v>2.6682152535811077E-2</v>
          </cell>
          <cell r="Y386">
            <v>2.7548469267418385E-2</v>
          </cell>
          <cell r="Z386">
            <v>2.0000000000000018E-2</v>
          </cell>
          <cell r="AA386">
            <v>2.0000000000000018E-2</v>
          </cell>
          <cell r="AB386">
            <v>2.0000000000000018E-2</v>
          </cell>
          <cell r="AC386">
            <v>2.0000000000000018E-2</v>
          </cell>
          <cell r="AD386">
            <v>2.0000000000000018E-2</v>
          </cell>
          <cell r="AE386">
            <v>2.3252299071070626E-2</v>
          </cell>
          <cell r="AF386">
            <v>2.2444290065729566E-2</v>
          </cell>
          <cell r="AG386">
            <v>2.2891890569177287E-2</v>
          </cell>
          <cell r="AH386">
            <v>2.0000000000000018E-2</v>
          </cell>
          <cell r="AI386">
            <v>2.0000000000000018E-2</v>
          </cell>
          <cell r="AJ386">
            <v>2.0000000000000018E-2</v>
          </cell>
          <cell r="AK386">
            <v>2.0000000000000018E-2</v>
          </cell>
          <cell r="AL386">
            <v>2.0000000000000018E-2</v>
          </cell>
        </row>
        <row r="387">
          <cell r="A387" t="str">
            <v>Items to be removed</v>
          </cell>
        </row>
        <row r="388">
          <cell r="B388" t="str">
            <v>Sales - Total % Americas</v>
          </cell>
          <cell r="C388" t="str">
            <v>SALES_TOT_AM</v>
          </cell>
        </row>
        <row r="389">
          <cell r="B389" t="str">
            <v>Sales - % Other Americas</v>
          </cell>
          <cell r="C389" t="str">
            <v>SALES_OTH_AM</v>
          </cell>
        </row>
        <row r="390">
          <cell r="B390" t="str">
            <v>Sales - Total % EMEA</v>
          </cell>
          <cell r="C390" t="str">
            <v>SALES_TOT_EMEA</v>
          </cell>
        </row>
        <row r="391">
          <cell r="B391" t="str">
            <v>Sales - % Western Europe-Ex UK</v>
          </cell>
          <cell r="C391" t="str">
            <v>SALES_EU_EX_UK</v>
          </cell>
        </row>
        <row r="392">
          <cell r="B392" t="str">
            <v>Sales - % Other Western Europe-Ex UK</v>
          </cell>
          <cell r="C392" t="str">
            <v>SALES_OTH_EU_EX_UK</v>
          </cell>
        </row>
        <row r="393">
          <cell r="B393" t="str">
            <v>Sales - % Central &amp; Eastern Europe</v>
          </cell>
          <cell r="C393" t="str">
            <v>SALES_CEE</v>
          </cell>
        </row>
        <row r="394">
          <cell r="B394" t="str">
            <v>Sales - % Middle East</v>
          </cell>
          <cell r="C394" t="str">
            <v>SALES_ME</v>
          </cell>
        </row>
        <row r="395">
          <cell r="B395" t="str">
            <v>Sales - % Total Africa</v>
          </cell>
          <cell r="C395" t="str">
            <v>SALES_TOT_AFRICA</v>
          </cell>
        </row>
        <row r="396">
          <cell r="B396" t="str">
            <v>Sales - % Other EMEA</v>
          </cell>
          <cell r="C396" t="str">
            <v>SALES_OTH_EMEA</v>
          </cell>
        </row>
        <row r="397">
          <cell r="B397" t="str">
            <v>Sales - Total % Asia (incl Australia &amp; New Zealand)</v>
          </cell>
          <cell r="C397" t="str">
            <v>SALES_TOT_ASIA</v>
          </cell>
        </row>
        <row r="398">
          <cell r="B398" t="str">
            <v>Sales - % Other Asia</v>
          </cell>
          <cell r="C398" t="str">
            <v>SALES_OTH_AEJ</v>
          </cell>
        </row>
        <row r="399">
          <cell r="B399" t="str">
            <v>Indirect Sales - % Brazil</v>
          </cell>
          <cell r="C399" t="str">
            <v>IND_SALES_BRAZIL</v>
          </cell>
        </row>
        <row r="400">
          <cell r="B400" t="str">
            <v>Indirect Sales - % United States</v>
          </cell>
          <cell r="C400" t="str">
            <v>IND_SALES_US</v>
          </cell>
        </row>
        <row r="401">
          <cell r="B401" t="str">
            <v>Indirect Sales - % Other Americas</v>
          </cell>
          <cell r="C401" t="str">
            <v>IND_SALES_OTH_AM</v>
          </cell>
        </row>
        <row r="402">
          <cell r="B402" t="str">
            <v>Indirect Sales - Total % Americas</v>
          </cell>
          <cell r="C402" t="str">
            <v>IND_SALES_TOT_AM</v>
          </cell>
        </row>
        <row r="403">
          <cell r="B403" t="str">
            <v>Indirect Sales - % France</v>
          </cell>
          <cell r="C403" t="str">
            <v>IND_SALES_FRA</v>
          </cell>
        </row>
        <row r="404">
          <cell r="B404" t="str">
            <v>Indirect Sales - % Germany</v>
          </cell>
          <cell r="C404" t="str">
            <v>IND_SALES_GER</v>
          </cell>
        </row>
        <row r="405">
          <cell r="B405" t="str">
            <v>Indirect Sales - % Italy</v>
          </cell>
          <cell r="C405" t="str">
            <v>IND_SALES_ITA</v>
          </cell>
        </row>
        <row r="406">
          <cell r="B406" t="str">
            <v>Indirect Sales - % Spain</v>
          </cell>
          <cell r="C406" t="str">
            <v>IND_SALES_SPA</v>
          </cell>
        </row>
        <row r="407">
          <cell r="B407" t="str">
            <v>Indirect Sales - % UK</v>
          </cell>
          <cell r="C407" t="str">
            <v>IND_SALES_UK</v>
          </cell>
        </row>
        <row r="408">
          <cell r="B408" t="str">
            <v>Indirect Sales - % Western Europe-Ex UK</v>
          </cell>
          <cell r="C408" t="str">
            <v>IND_SALES_EU_EX_UK</v>
          </cell>
        </row>
        <row r="409">
          <cell r="B409" t="str">
            <v>Indirect Sales - % Other Western Europe-Ex UK</v>
          </cell>
          <cell r="C409" t="str">
            <v>IND_SALES_OTH_EU_EX_UK</v>
          </cell>
        </row>
        <row r="410">
          <cell r="B410" t="str">
            <v>Indirect Sales - % Russia</v>
          </cell>
          <cell r="C410" t="str">
            <v>IND_SALES_RUSSIA</v>
          </cell>
        </row>
        <row r="411">
          <cell r="B411" t="str">
            <v>Indirect Sales - % Central &amp; Eastern Europe</v>
          </cell>
          <cell r="C411" t="str">
            <v>IND_SALES_CEE</v>
          </cell>
        </row>
        <row r="412">
          <cell r="B412" t="str">
            <v>Indirect Sales - % Other EMEA</v>
          </cell>
          <cell r="C412" t="str">
            <v>IND_SALES_OTH_EMEA</v>
          </cell>
        </row>
        <row r="413">
          <cell r="B413" t="str">
            <v>Indirect Sales - Total % EMEA</v>
          </cell>
          <cell r="C413" t="str">
            <v>IND_SALES_TOT_EMEA</v>
          </cell>
        </row>
        <row r="414">
          <cell r="B414" t="str">
            <v>Indirect Sales - % Middle East</v>
          </cell>
          <cell r="C414" t="str">
            <v>IND_SALES_ME</v>
          </cell>
        </row>
        <row r="415">
          <cell r="B415" t="str">
            <v>Indirect sales - % Nigeria</v>
          </cell>
          <cell r="C415" t="str">
            <v>IND_SALES_NIGERIA</v>
          </cell>
        </row>
        <row r="416">
          <cell r="B416" t="str">
            <v>Indirect sales - % South Africa</v>
          </cell>
          <cell r="C416" t="str">
            <v>IND_SALES_SO_AFRICA</v>
          </cell>
        </row>
        <row r="417">
          <cell r="B417" t="str">
            <v>Indirect sales - % Other Africa</v>
          </cell>
          <cell r="C417" t="str">
            <v>IND_SALES_OTH_AFRICA</v>
          </cell>
        </row>
        <row r="418">
          <cell r="B418" t="str">
            <v>Indirect sales - % Total Africa</v>
          </cell>
          <cell r="C418" t="str">
            <v>IND_SALES_TOT_AFRICA</v>
          </cell>
        </row>
        <row r="419">
          <cell r="B419" t="str">
            <v>Indirect Sales - % China</v>
          </cell>
          <cell r="C419" t="str">
            <v>IND_SALES_CHINA</v>
          </cell>
        </row>
        <row r="420">
          <cell r="B420" t="str">
            <v>Indirect Sales - % India</v>
          </cell>
          <cell r="C420" t="str">
            <v>IND_SALES_INDIA</v>
          </cell>
        </row>
        <row r="421">
          <cell r="B421" t="str">
            <v>Indirect Sales - % Japan</v>
          </cell>
          <cell r="C421" t="str">
            <v>IND_SALES_JAPAN</v>
          </cell>
        </row>
        <row r="422">
          <cell r="B422" t="str">
            <v>Indirect Sales - % Other Asia</v>
          </cell>
          <cell r="C422" t="str">
            <v>IND_SALES_OTH_AEJ</v>
          </cell>
        </row>
        <row r="423">
          <cell r="B423" t="str">
            <v>Indirect Sales - Total % Asia (incl Australia &amp; New Zealand)</v>
          </cell>
          <cell r="C423" t="str">
            <v>IND_SALES_TOT_ASIA</v>
          </cell>
        </row>
        <row r="424">
          <cell r="B424" t="str">
            <v>Indirect Sales - % Others</v>
          </cell>
          <cell r="C424" t="str">
            <v>IND_SALES_OTHER</v>
          </cell>
        </row>
        <row r="425">
          <cell r="B425" t="str">
            <v>Indirect Sales -% Consumer (C)</v>
          </cell>
          <cell r="C425" t="str">
            <v>IND_SALES_CONS</v>
          </cell>
        </row>
        <row r="426">
          <cell r="B426" t="str">
            <v>Indirect Sales -% Industry (I)</v>
          </cell>
          <cell r="C426" t="str">
            <v>IND_SALES_IND</v>
          </cell>
        </row>
        <row r="427">
          <cell r="B427" t="str">
            <v>Indirect Sales -% Government (G)</v>
          </cell>
          <cell r="C427" t="str">
            <v>IND_SALES_GOV</v>
          </cell>
        </row>
        <row r="428">
          <cell r="B428" t="str">
            <v>Indirect Sales -% Industry Sub-Segment: Financial Services</v>
          </cell>
          <cell r="C428" t="str">
            <v>IND_SALES_FINAN</v>
          </cell>
        </row>
        <row r="429">
          <cell r="A429" t="str">
            <v>Analyst Defined Items</v>
          </cell>
        </row>
        <row r="430">
          <cell r="B430" t="str">
            <v>Consensus equivalent EBIT</v>
          </cell>
          <cell r="C430" t="str">
            <v>CEEE_EBIT</v>
          </cell>
          <cell r="F430">
            <v>2591</v>
          </cell>
          <cell r="G430">
            <v>4000</v>
          </cell>
          <cell r="H430">
            <v>2874</v>
          </cell>
          <cell r="I430">
            <v>3004</v>
          </cell>
          <cell r="J430">
            <v>2137</v>
          </cell>
          <cell r="K430">
            <v>2132</v>
          </cell>
          <cell r="L430">
            <v>3567</v>
          </cell>
          <cell r="M430">
            <v>3622</v>
          </cell>
          <cell r="N430">
            <v>3990</v>
          </cell>
          <cell r="O430">
            <v>3767</v>
          </cell>
          <cell r="P430">
            <v>4537</v>
          </cell>
          <cell r="Q430">
            <v>5493</v>
          </cell>
          <cell r="R430">
            <v>6369</v>
          </cell>
          <cell r="S430">
            <v>7799</v>
          </cell>
          <cell r="T430">
            <v>8050</v>
          </cell>
          <cell r="U430">
            <v>4478</v>
          </cell>
          <cell r="V430">
            <v>8642</v>
          </cell>
          <cell r="W430">
            <v>9712</v>
          </cell>
          <cell r="X430">
            <v>7754</v>
          </cell>
          <cell r="Y430">
            <v>7568</v>
          </cell>
          <cell r="Z430">
            <v>8291</v>
          </cell>
          <cell r="AA430">
            <v>8655</v>
          </cell>
          <cell r="AB430">
            <v>7544</v>
          </cell>
          <cell r="AC430">
            <v>9096</v>
          </cell>
          <cell r="AD430">
            <v>10264</v>
          </cell>
          <cell r="AE430">
            <v>10136</v>
          </cell>
          <cell r="AF430">
            <v>9194</v>
          </cell>
          <cell r="AG430">
            <v>10889</v>
          </cell>
          <cell r="AH430">
            <v>10204</v>
          </cell>
          <cell r="AI430" t="e">
            <v>#VALUE!</v>
          </cell>
          <cell r="AJ430" t="e">
            <v>#VALUE!</v>
          </cell>
          <cell r="AK430" t="e">
            <v>#VALUE!</v>
          </cell>
          <cell r="AL430" t="e">
            <v>#VALUE!</v>
          </cell>
        </row>
        <row r="431">
          <cell r="B431" t="str">
            <v>Division 1 EBIT</v>
          </cell>
          <cell r="C431" t="str">
            <v>DIV1_EBIT</v>
          </cell>
          <cell r="Z431">
            <v>7576</v>
          </cell>
          <cell r="AA431">
            <v>7471</v>
          </cell>
          <cell r="AB431">
            <v>6112</v>
          </cell>
          <cell r="AC431">
            <v>7369</v>
          </cell>
          <cell r="AD431">
            <v>8741.3760000000002</v>
          </cell>
          <cell r="AE431">
            <v>9054.759</v>
          </cell>
          <cell r="AF431">
            <v>8153</v>
          </cell>
          <cell r="AG431">
            <v>9455</v>
          </cell>
          <cell r="AH431">
            <v>9216</v>
          </cell>
          <cell r="AI431" t="e">
            <v>#VALUE!</v>
          </cell>
          <cell r="AJ431" t="e">
            <v>#VALUE!</v>
          </cell>
          <cell r="AK431" t="e">
            <v>#VALUE!</v>
          </cell>
          <cell r="AL431" t="e">
            <v>#VALUE!</v>
          </cell>
          <cell r="CG431">
            <v>2154</v>
          </cell>
          <cell r="CH431">
            <v>2154</v>
          </cell>
          <cell r="CI431">
            <v>2205</v>
          </cell>
          <cell r="CJ431">
            <v>1670</v>
          </cell>
          <cell r="CK431">
            <v>1442</v>
          </cell>
          <cell r="CL431">
            <v>1588</v>
          </cell>
          <cell r="CM431">
            <v>1518</v>
          </cell>
          <cell r="CN431">
            <v>1749</v>
          </cell>
          <cell r="CO431">
            <v>1327</v>
          </cell>
          <cell r="CP431">
            <v>1879</v>
          </cell>
          <cell r="CQ431">
            <v>1918</v>
          </cell>
          <cell r="CR431">
            <v>1744</v>
          </cell>
          <cell r="CS431">
            <v>1719</v>
          </cell>
          <cell r="CT431">
            <v>2140</v>
          </cell>
          <cell r="CU431">
            <v>2330</v>
          </cell>
          <cell r="CV431">
            <v>2181</v>
          </cell>
          <cell r="CW431">
            <v>2779</v>
          </cell>
          <cell r="CX431">
            <v>2317</v>
          </cell>
          <cell r="CY431">
            <v>2546</v>
          </cell>
          <cell r="CZ431">
            <v>2132.7659999999996</v>
          </cell>
          <cell r="DA431">
            <v>2058.9930000000004</v>
          </cell>
          <cell r="DB431">
            <v>2251</v>
          </cell>
          <cell r="DC431">
            <v>1851</v>
          </cell>
          <cell r="DD431">
            <v>2072</v>
          </cell>
          <cell r="DE431">
            <v>1979</v>
          </cell>
          <cell r="DF431">
            <v>2271</v>
          </cell>
          <cell r="DG431">
            <v>2588</v>
          </cell>
          <cell r="DH431">
            <v>2430</v>
          </cell>
          <cell r="DI431">
            <v>2166</v>
          </cell>
          <cell r="DJ431">
            <v>2785</v>
          </cell>
          <cell r="DK431">
            <v>2360</v>
          </cell>
          <cell r="DL431">
            <v>1916</v>
          </cell>
          <cell r="DM431">
            <v>2155</v>
          </cell>
          <cell r="DN431">
            <v>3208</v>
          </cell>
          <cell r="DO431">
            <v>3047</v>
          </cell>
          <cell r="DP431" t="e">
            <v>#VALUE!</v>
          </cell>
          <cell r="DQ431" t="e">
            <v>#VALUE!</v>
          </cell>
          <cell r="DR431" t="e">
            <v>#VALUE!</v>
          </cell>
          <cell r="DS431" t="e">
            <v>#VALUE!</v>
          </cell>
        </row>
        <row r="432">
          <cell r="B432" t="str">
            <v>Division 1 Name</v>
          </cell>
          <cell r="C432" t="str">
            <v>DIV1_NAME</v>
          </cell>
          <cell r="E432" t="str">
            <v>Industrial</v>
          </cell>
        </row>
        <row r="433">
          <cell r="B433" t="str">
            <v>Division 1 OGS</v>
          </cell>
          <cell r="C433" t="str">
            <v>DIV1_OGS</v>
          </cell>
          <cell r="AB433">
            <v>-2.8000000000000001E-2</v>
          </cell>
          <cell r="AC433">
            <v>8.4000000000000005E-2</v>
          </cell>
          <cell r="AD433">
            <v>9.4E-2</v>
          </cell>
          <cell r="AE433">
            <v>1E-3</v>
          </cell>
          <cell r="AF433">
            <v>-8.7999999999999995E-2</v>
          </cell>
          <cell r="AG433">
            <v>0.122</v>
          </cell>
          <cell r="AH433">
            <v>8.5000000000000006E-2</v>
          </cell>
          <cell r="AI433">
            <v>2.3200000000000002E-2</v>
          </cell>
          <cell r="AJ433">
            <v>2.5372584775050066E-2</v>
          </cell>
          <cell r="AK433">
            <v>3.8091211387642467E-2</v>
          </cell>
          <cell r="AL433">
            <v>3.8184032254418257E-2</v>
          </cell>
          <cell r="BM433">
            <v>-2.2127439193563303E-2</v>
          </cell>
          <cell r="BN433">
            <v>-2.2127439193563303E-2</v>
          </cell>
          <cell r="BO433">
            <v>0.1339678177360033</v>
          </cell>
          <cell r="BP433">
            <v>0.21753904170363803</v>
          </cell>
          <cell r="BQ433">
            <v>0.18060466582597734</v>
          </cell>
          <cell r="BR433">
            <v>0.22760196158561508</v>
          </cell>
          <cell r="BS433">
            <v>0.18366749143509709</v>
          </cell>
          <cell r="BT433">
            <v>0.10606553352219077</v>
          </cell>
          <cell r="BU433">
            <v>5.9530235639254289E-2</v>
          </cell>
          <cell r="BV433">
            <v>2.7976069960603311E-2</v>
          </cell>
          <cell r="BW433">
            <v>5.7191245991275409E-3</v>
          </cell>
          <cell r="BX433">
            <v>-5.2516485287026217E-2</v>
          </cell>
          <cell r="BY433">
            <v>-6.9041018064661036E-2</v>
          </cell>
          <cell r="BZ433">
            <v>-9.6847096535203361E-2</v>
          </cell>
          <cell r="CA433">
            <v>-5.9453377113503257E-2</v>
          </cell>
          <cell r="CB433">
            <v>-1.3978771503762024E-3</v>
          </cell>
          <cell r="CC433">
            <v>5.5166102486518757E-2</v>
          </cell>
          <cell r="CD433">
            <v>4.6204733909396584E-2</v>
          </cell>
          <cell r="CE433">
            <v>6.0191068849084726E-2</v>
          </cell>
          <cell r="CF433">
            <v>4.4572112877574711E-2</v>
          </cell>
          <cell r="CG433">
            <v>4.4058511741126731E-2</v>
          </cell>
          <cell r="CH433">
            <v>1.820600220333516E-2</v>
          </cell>
          <cell r="CI433">
            <v>-2.468702738218817E-2</v>
          </cell>
          <cell r="CJ433">
            <v>-5.3251676617243102E-2</v>
          </cell>
          <cell r="CK433">
            <v>-8.5368747066410899E-2</v>
          </cell>
          <cell r="CL433">
            <v>-8.1299806020547455E-2</v>
          </cell>
          <cell r="CM433">
            <v>-5.5E-2</v>
          </cell>
          <cell r="CN433">
            <v>-2.8000000000000001E-2</v>
          </cell>
          <cell r="CO433">
            <v>3.0000000000000001E-3</v>
          </cell>
          <cell r="CP433">
            <v>7.9000000000000001E-2</v>
          </cell>
          <cell r="CQ433">
            <v>7.6999999999999999E-2</v>
          </cell>
          <cell r="CR433">
            <v>9.5000000000000001E-2</v>
          </cell>
          <cell r="CS433">
            <v>7.6999999999999999E-2</v>
          </cell>
          <cell r="CT433">
            <v>8.5000000000000006E-2</v>
          </cell>
          <cell r="CU433">
            <v>0.107</v>
          </cell>
          <cell r="CV433">
            <v>9.1999999999999998E-2</v>
          </cell>
          <cell r="CW433">
            <v>8.7999999999999995E-2</v>
          </cell>
          <cell r="CX433">
            <v>0.03</v>
          </cell>
          <cell r="CY433">
            <v>6.0000000000000001E-3</v>
          </cell>
          <cell r="CZ433">
            <v>-1.4E-2</v>
          </cell>
          <cell r="DA433">
            <v>-1.2E-2</v>
          </cell>
          <cell r="DB433">
            <v>-6.7000000000000004E-2</v>
          </cell>
          <cell r="DC433">
            <v>-0.17100000000000001</v>
          </cell>
          <cell r="DD433">
            <v>-6.9000000000000006E-2</v>
          </cell>
          <cell r="DE433">
            <v>-4.3999999999999997E-2</v>
          </cell>
          <cell r="DF433">
            <v>5.3999999999999999E-2</v>
          </cell>
          <cell r="DG433">
            <v>0.217</v>
          </cell>
          <cell r="DH433">
            <v>0.13300000000000001</v>
          </cell>
          <cell r="DI433">
            <v>9.0999999999999998E-2</v>
          </cell>
          <cell r="DJ433">
            <v>0.106</v>
          </cell>
          <cell r="DK433">
            <v>6.4000000000000001E-2</v>
          </cell>
          <cell r="DL433">
            <v>8.3000000000000004E-2</v>
          </cell>
          <cell r="DM433">
            <v>8.8999999999999996E-2</v>
          </cell>
          <cell r="DN433">
            <v>9.5000000000000001E-2</v>
          </cell>
          <cell r="DO433">
            <v>5.7000000000000002E-2</v>
          </cell>
          <cell r="DP433">
            <v>8.1000000000000013E-3</v>
          </cell>
          <cell r="DQ433">
            <v>-5.9281440458477982E-2</v>
          </cell>
          <cell r="DR433">
            <v>-3.0499999999999999E-2</v>
          </cell>
          <cell r="DS433">
            <v>1.0499999999999997E-2</v>
          </cell>
        </row>
        <row r="434">
          <cell r="B434" t="str">
            <v>Division 1 Order Backlog</v>
          </cell>
          <cell r="C434" t="str">
            <v>DIV1_ORDERBACKLOG</v>
          </cell>
        </row>
        <row r="435">
          <cell r="B435" t="str">
            <v>Division 1 Order Intake</v>
          </cell>
          <cell r="C435" t="str">
            <v>DIV1_ORDERINTAKE</v>
          </cell>
        </row>
        <row r="436">
          <cell r="B436" t="str">
            <v>Division 2 Sales</v>
          </cell>
          <cell r="C436" t="str">
            <v>DIV2_REVS</v>
          </cell>
          <cell r="Z436">
            <v>19716</v>
          </cell>
          <cell r="AA436">
            <v>21842</v>
          </cell>
          <cell r="AB436">
            <v>22005</v>
          </cell>
          <cell r="AC436">
            <v>23966</v>
          </cell>
          <cell r="AD436">
            <v>25009</v>
          </cell>
          <cell r="AE436">
            <v>24416</v>
          </cell>
          <cell r="AF436">
            <v>20389</v>
          </cell>
          <cell r="AG436">
            <v>23173</v>
          </cell>
          <cell r="AH436">
            <v>27417</v>
          </cell>
          <cell r="AI436">
            <v>29714.682131668786</v>
          </cell>
          <cell r="AJ436">
            <v>29895.783729492465</v>
          </cell>
          <cell r="AK436">
            <v>30965.578085567893</v>
          </cell>
          <cell r="AL436">
            <v>31903.170123318829</v>
          </cell>
          <cell r="BI436">
            <v>3747</v>
          </cell>
          <cell r="BJ436">
            <v>3747</v>
          </cell>
          <cell r="BK436">
            <v>4126</v>
          </cell>
          <cell r="BL436">
            <v>4068</v>
          </cell>
          <cell r="BM436">
            <v>4110</v>
          </cell>
          <cell r="BN436">
            <v>4451</v>
          </cell>
          <cell r="BO436">
            <v>4919</v>
          </cell>
          <cell r="BP436">
            <v>4596</v>
          </cell>
          <cell r="BQ436">
            <v>4552</v>
          </cell>
          <cell r="BR436">
            <v>4763</v>
          </cell>
          <cell r="BS436">
            <v>4638</v>
          </cell>
          <cell r="BT436">
            <v>4442</v>
          </cell>
          <cell r="BU436">
            <v>4200</v>
          </cell>
          <cell r="BV436">
            <v>4585.1000000000004</v>
          </cell>
          <cell r="BW436">
            <v>4570.3999999999996</v>
          </cell>
          <cell r="BX436">
            <v>4159.05</v>
          </cell>
          <cell r="BY436">
            <v>4007.3</v>
          </cell>
          <cell r="BZ436">
            <v>4358.3</v>
          </cell>
          <cell r="CA436">
            <v>4867</v>
          </cell>
          <cell r="CB436">
            <v>4520.6000000000004</v>
          </cell>
          <cell r="CC436">
            <v>4581.25</v>
          </cell>
          <cell r="CD436">
            <v>4797.55</v>
          </cell>
          <cell r="CE436">
            <v>5094.45</v>
          </cell>
          <cell r="CF436">
            <v>4881.55</v>
          </cell>
          <cell r="CG436">
            <v>4970.3500000000004</v>
          </cell>
          <cell r="CH436">
            <v>5529</v>
          </cell>
          <cell r="CI436">
            <v>5717</v>
          </cell>
          <cell r="CJ436">
            <v>5297</v>
          </cell>
          <cell r="CK436">
            <v>5299</v>
          </cell>
          <cell r="CL436">
            <v>5337</v>
          </cell>
          <cell r="CM436">
            <v>5464</v>
          </cell>
          <cell r="CN436">
            <v>5569</v>
          </cell>
          <cell r="CO436">
            <v>5677</v>
          </cell>
          <cell r="CP436">
            <v>6138</v>
          </cell>
          <cell r="CQ436">
            <v>6219</v>
          </cell>
          <cell r="CR436">
            <v>5689</v>
          </cell>
          <cell r="CS436">
            <v>6017</v>
          </cell>
          <cell r="CT436">
            <v>6319</v>
          </cell>
          <cell r="CU436">
            <v>6690</v>
          </cell>
          <cell r="CV436">
            <v>6133</v>
          </cell>
          <cell r="CW436">
            <v>5978</v>
          </cell>
          <cell r="CX436">
            <v>6229</v>
          </cell>
          <cell r="CY436">
            <v>6427</v>
          </cell>
          <cell r="CZ436">
            <v>5913</v>
          </cell>
          <cell r="DA436">
            <v>5847</v>
          </cell>
          <cell r="DB436">
            <v>5584</v>
          </cell>
          <cell r="DC436">
            <v>3407</v>
          </cell>
          <cell r="DD436">
            <v>5446</v>
          </cell>
          <cell r="DE436">
            <v>5952</v>
          </cell>
          <cell r="DF436">
            <v>6077</v>
          </cell>
          <cell r="DG436">
            <v>5846</v>
          </cell>
          <cell r="DH436">
            <v>5399</v>
          </cell>
          <cell r="DI436">
            <v>5851</v>
          </cell>
          <cell r="DJ436">
            <v>6422</v>
          </cell>
          <cell r="DK436">
            <v>6541</v>
          </cell>
          <cell r="DL436">
            <v>7240</v>
          </cell>
          <cell r="DM436">
            <v>7214</v>
          </cell>
          <cell r="DN436">
            <v>7581</v>
          </cell>
          <cell r="DO436">
            <v>7943</v>
          </cell>
          <cell r="DP436">
            <v>7588.6762584355265</v>
          </cell>
          <cell r="DQ436">
            <v>6602.0058732332582</v>
          </cell>
          <cell r="DR436">
            <v>7479.1065272377127</v>
          </cell>
          <cell r="DS436">
            <v>7734.3463467259498</v>
          </cell>
        </row>
        <row r="437">
          <cell r="B437" t="str">
            <v>Division 1 Sales</v>
          </cell>
          <cell r="C437" t="str">
            <v>DIV1_REVS</v>
          </cell>
          <cell r="Z437">
            <v>51226</v>
          </cell>
          <cell r="AA437">
            <v>54132</v>
          </cell>
          <cell r="AB437">
            <v>50756</v>
          </cell>
          <cell r="AC437">
            <v>53972</v>
          </cell>
          <cell r="AD437">
            <v>60704</v>
          </cell>
          <cell r="AE437">
            <v>61597</v>
          </cell>
          <cell r="AF437">
            <v>54463</v>
          </cell>
          <cell r="AG437">
            <v>58559</v>
          </cell>
          <cell r="AH437">
            <v>69516</v>
          </cell>
          <cell r="AI437">
            <v>74285.457424301741</v>
          </cell>
          <cell r="AJ437">
            <v>76170.271490353218</v>
          </cell>
          <cell r="AK437">
            <v>79071.689403146374</v>
          </cell>
          <cell r="AL437">
            <v>82090.965341727453</v>
          </cell>
          <cell r="BI437">
            <v>10813</v>
          </cell>
          <cell r="BJ437">
            <v>10813</v>
          </cell>
          <cell r="BK437">
            <v>9788</v>
          </cell>
          <cell r="BL437">
            <v>9016</v>
          </cell>
          <cell r="BM437">
            <v>9516</v>
          </cell>
          <cell r="BN437">
            <v>9699</v>
          </cell>
          <cell r="BO437">
            <v>10439</v>
          </cell>
          <cell r="BP437">
            <v>10521</v>
          </cell>
          <cell r="BQ437">
            <v>10507</v>
          </cell>
          <cell r="BR437">
            <v>11577</v>
          </cell>
          <cell r="BS437">
            <v>11699</v>
          </cell>
          <cell r="BT437">
            <v>11722</v>
          </cell>
          <cell r="BU437">
            <v>11677</v>
          </cell>
          <cell r="BV437">
            <v>12345.9</v>
          </cell>
          <cell r="BW437">
            <v>12603.6</v>
          </cell>
          <cell r="BX437">
            <v>11326.95</v>
          </cell>
          <cell r="BY437">
            <v>10976.7</v>
          </cell>
          <cell r="BZ437">
            <v>10695.7</v>
          </cell>
          <cell r="CA437">
            <v>11424</v>
          </cell>
          <cell r="CB437">
            <v>11000.4</v>
          </cell>
          <cell r="CC437">
            <v>11742.75</v>
          </cell>
          <cell r="CD437">
            <v>11834.45</v>
          </cell>
          <cell r="CE437">
            <v>12745.55</v>
          </cell>
          <cell r="CF437">
            <v>12793.45</v>
          </cell>
          <cell r="CG437">
            <v>13406.65</v>
          </cell>
          <cell r="CH437">
            <v>13919</v>
          </cell>
          <cell r="CI437">
            <v>14240</v>
          </cell>
          <cell r="CJ437">
            <v>13064</v>
          </cell>
          <cell r="CK437">
            <v>12909</v>
          </cell>
          <cell r="CL437">
            <v>12375</v>
          </cell>
          <cell r="CM437">
            <v>12855</v>
          </cell>
          <cell r="CN437">
            <v>12293</v>
          </cell>
          <cell r="CO437">
            <v>13055</v>
          </cell>
          <cell r="CP437">
            <v>13463</v>
          </cell>
          <cell r="CQ437">
            <v>14010</v>
          </cell>
          <cell r="CR437">
            <v>12938</v>
          </cell>
          <cell r="CS437">
            <v>13464</v>
          </cell>
          <cell r="CT437">
            <v>14241</v>
          </cell>
          <cell r="CU437">
            <v>15930</v>
          </cell>
          <cell r="CV437">
            <v>15208</v>
          </cell>
          <cell r="CW437">
            <v>15214</v>
          </cell>
          <cell r="CX437">
            <v>15049</v>
          </cell>
          <cell r="CY437">
            <v>16061</v>
          </cell>
          <cell r="CZ437">
            <v>15126</v>
          </cell>
          <cell r="DA437">
            <v>15361</v>
          </cell>
          <cell r="DB437">
            <v>14501</v>
          </cell>
          <cell r="DC437">
            <v>13192</v>
          </cell>
          <cell r="DD437">
            <v>13150</v>
          </cell>
          <cell r="DE437">
            <v>13620</v>
          </cell>
          <cell r="DF437">
            <v>13788</v>
          </cell>
          <cell r="DG437">
            <v>14889</v>
          </cell>
          <cell r="DH437">
            <v>14747</v>
          </cell>
          <cell r="DI437">
            <v>15135</v>
          </cell>
          <cell r="DJ437">
            <v>16520</v>
          </cell>
          <cell r="DK437">
            <v>17114</v>
          </cell>
          <cell r="DL437">
            <v>17735</v>
          </cell>
          <cell r="DM437">
            <v>18147</v>
          </cell>
          <cell r="DN437">
            <v>18968</v>
          </cell>
          <cell r="DO437">
            <v>19179</v>
          </cell>
          <cell r="DP437">
            <v>18605.073854054426</v>
          </cell>
          <cell r="DQ437">
            <v>17533.383570247315</v>
          </cell>
          <cell r="DR437">
            <v>18766.168388213289</v>
          </cell>
          <cell r="DS437">
            <v>19524.818996721264</v>
          </cell>
        </row>
        <row r="438">
          <cell r="B438" t="str">
            <v>Division 2 EBIT</v>
          </cell>
          <cell r="C438" t="str">
            <v>DIV2_EBIT</v>
          </cell>
          <cell r="Z438">
            <v>865</v>
          </cell>
          <cell r="AA438">
            <v>1184</v>
          </cell>
          <cell r="AB438">
            <v>1432</v>
          </cell>
          <cell r="AC438">
            <v>1727</v>
          </cell>
          <cell r="AD438">
            <v>1725.6210000000001</v>
          </cell>
          <cell r="AE438">
            <v>1098.72</v>
          </cell>
          <cell r="AF438">
            <v>1041</v>
          </cell>
          <cell r="AG438">
            <v>1434</v>
          </cell>
          <cell r="AH438">
            <v>988</v>
          </cell>
          <cell r="AI438" t="e">
            <v>#VALUE!</v>
          </cell>
          <cell r="AJ438" t="e">
            <v>#VALUE!</v>
          </cell>
          <cell r="AK438" t="e">
            <v>#VALUE!</v>
          </cell>
          <cell r="AL438" t="e">
            <v>#VALUE!</v>
          </cell>
          <cell r="CG438">
            <v>222</v>
          </cell>
          <cell r="CH438">
            <v>222</v>
          </cell>
          <cell r="CI438">
            <v>372</v>
          </cell>
          <cell r="CJ438">
            <v>306</v>
          </cell>
          <cell r="CK438">
            <v>284</v>
          </cell>
          <cell r="CL438">
            <v>384</v>
          </cell>
          <cell r="CM438">
            <v>357</v>
          </cell>
          <cell r="CN438">
            <v>442</v>
          </cell>
          <cell r="CO438">
            <v>259</v>
          </cell>
          <cell r="CP438">
            <v>416</v>
          </cell>
          <cell r="CQ438">
            <v>397</v>
          </cell>
          <cell r="CR438">
            <v>428</v>
          </cell>
          <cell r="CS438">
            <v>298</v>
          </cell>
          <cell r="CT438">
            <v>485</v>
          </cell>
          <cell r="CU438">
            <v>595</v>
          </cell>
          <cell r="CV438">
            <v>416</v>
          </cell>
          <cell r="CW438">
            <v>123</v>
          </cell>
          <cell r="CX438">
            <v>341</v>
          </cell>
          <cell r="CY438">
            <v>310</v>
          </cell>
          <cell r="CZ438">
            <v>254.25899999999999</v>
          </cell>
          <cell r="DA438">
            <v>193.46100000000001</v>
          </cell>
          <cell r="DB438">
            <v>321</v>
          </cell>
          <cell r="DC438">
            <v>-286</v>
          </cell>
          <cell r="DD438">
            <v>403</v>
          </cell>
          <cell r="DE438">
            <v>603</v>
          </cell>
          <cell r="DF438">
            <v>518</v>
          </cell>
          <cell r="DG438">
            <v>530</v>
          </cell>
          <cell r="DH438">
            <v>242</v>
          </cell>
          <cell r="DI438">
            <v>144</v>
          </cell>
          <cell r="DJ438">
            <v>273</v>
          </cell>
          <cell r="DK438">
            <v>113</v>
          </cell>
          <cell r="DL438">
            <v>215</v>
          </cell>
          <cell r="DM438">
            <v>387</v>
          </cell>
          <cell r="DN438">
            <v>270</v>
          </cell>
          <cell r="DO438">
            <v>568</v>
          </cell>
          <cell r="DP438" t="e">
            <v>#VALUE!</v>
          </cell>
          <cell r="DQ438" t="e">
            <v>#VALUE!</v>
          </cell>
          <cell r="DR438" t="e">
            <v>#VALUE!</v>
          </cell>
          <cell r="DS438" t="e">
            <v>#VALUE!</v>
          </cell>
        </row>
        <row r="439">
          <cell r="B439" t="str">
            <v>Division 2 Name</v>
          </cell>
          <cell r="C439" t="str">
            <v>DIV2_NAME</v>
          </cell>
          <cell r="E439" t="str">
            <v>Automotive</v>
          </cell>
        </row>
        <row r="440">
          <cell r="B440" t="str">
            <v>Division 2 OGS</v>
          </cell>
          <cell r="C440" t="str">
            <v>DIV2_OGS</v>
          </cell>
          <cell r="AB440">
            <v>1.2E-2</v>
          </cell>
          <cell r="AC440">
            <v>7.9000000000000001E-2</v>
          </cell>
          <cell r="AD440">
            <v>2.1000000000000001E-2</v>
          </cell>
          <cell r="AE440">
            <v>-6.8000000000000005E-2</v>
          </cell>
          <cell r="AF440">
            <v>-0.128</v>
          </cell>
          <cell r="AG440">
            <v>0.13700000000000001</v>
          </cell>
          <cell r="AH440">
            <v>7.1999999999999995E-2</v>
          </cell>
          <cell r="AI440">
            <v>3.39E-2</v>
          </cell>
          <cell r="AJ440">
            <v>6.0946840023796732E-3</v>
          </cell>
          <cell r="AK440">
            <v>3.5784121458574243E-2</v>
          </cell>
          <cell r="AL440">
            <v>3.0278525243742038E-2</v>
          </cell>
          <cell r="BM440">
            <v>0.26200000000000001</v>
          </cell>
          <cell r="BN440">
            <v>0.26200000000000001</v>
          </cell>
          <cell r="BO440">
            <v>0.23499999999999999</v>
          </cell>
          <cell r="BP440">
            <v>0.15</v>
          </cell>
          <cell r="BQ440">
            <v>0.16300000000000001</v>
          </cell>
          <cell r="BR440">
            <v>0.19800000000000001</v>
          </cell>
          <cell r="BS440">
            <v>6.2E-2</v>
          </cell>
          <cell r="BT440">
            <v>3.2000000000000001E-2</v>
          </cell>
          <cell r="BU440">
            <v>-4.3999999999999997E-2</v>
          </cell>
          <cell r="BV440">
            <v>-4.2000000000000003E-2</v>
          </cell>
          <cell r="BW440">
            <v>-4.5999999999999999E-2</v>
          </cell>
          <cell r="BX440">
            <v>-3.5000000000000003E-2</v>
          </cell>
          <cell r="BY440">
            <v>-1.4999999999999999E-2</v>
          </cell>
          <cell r="BZ440">
            <v>-3.6999999999999998E-2</v>
          </cell>
          <cell r="CA440">
            <v>7.6999999999999999E-2</v>
          </cell>
          <cell r="CB440">
            <v>7.4999999999999997E-2</v>
          </cell>
          <cell r="CC440">
            <v>0.108</v>
          </cell>
          <cell r="CD440">
            <v>8.1000000000000003E-2</v>
          </cell>
          <cell r="CE440">
            <v>1.2999999999999999E-2</v>
          </cell>
          <cell r="CF440">
            <v>-5.0000000000000001E-3</v>
          </cell>
          <cell r="CG440">
            <v>-5.0000000000000001E-3</v>
          </cell>
          <cell r="CH440">
            <v>6.3E-3</v>
          </cell>
          <cell r="CI440">
            <v>0</v>
          </cell>
          <cell r="CJ440">
            <v>-5.0000000000000001E-3</v>
          </cell>
          <cell r="CK440">
            <v>1.2E-2</v>
          </cell>
          <cell r="CL440">
            <v>-9.8639898715861818E-3</v>
          </cell>
          <cell r="CM440">
            <v>-1.7999999999999999E-2</v>
          </cell>
          <cell r="CN440">
            <v>4.3999999999999997E-2</v>
          </cell>
          <cell r="CO440">
            <v>3.3000000000000002E-2</v>
          </cell>
          <cell r="CP440">
            <v>8.4000000000000005E-2</v>
          </cell>
          <cell r="CQ440">
            <v>7.0999999999999994E-2</v>
          </cell>
          <cell r="CR440">
            <v>4.9000000000000002E-2</v>
          </cell>
          <cell r="CS440">
            <v>9.6000000000000002E-2</v>
          </cell>
          <cell r="CT440">
            <v>5.5E-2</v>
          </cell>
          <cell r="CU440">
            <v>5.1999999999999998E-2</v>
          </cell>
          <cell r="CV440">
            <v>1.7000000000000001E-2</v>
          </cell>
          <cell r="CW440">
            <v>-3.6999999999999998E-2</v>
          </cell>
          <cell r="CX440">
            <v>-5.8999999999999997E-2</v>
          </cell>
          <cell r="CY440">
            <v>-6.8000000000000005E-2</v>
          </cell>
          <cell r="CZ440">
            <v>-7.0000000000000007E-2</v>
          </cell>
          <cell r="DA440">
            <v>-7.2999999999999995E-2</v>
          </cell>
          <cell r="DB440">
            <v>-0.13300000000000001</v>
          </cell>
          <cell r="DC440">
            <v>-0.45400000000000001</v>
          </cell>
          <cell r="DD440">
            <v>-7.0000000000000001E-3</v>
          </cell>
          <cell r="DE440">
            <v>0.111</v>
          </cell>
          <cell r="DF440">
            <v>0.16700000000000001</v>
          </cell>
          <cell r="DG440">
            <v>0.75900000000000001</v>
          </cell>
          <cell r="DH440">
            <v>-5.1999999999999998E-2</v>
          </cell>
          <cell r="DI440">
            <v>-7.9000000000000001E-2</v>
          </cell>
          <cell r="DJ440">
            <v>-2.7E-2</v>
          </cell>
          <cell r="DK440">
            <v>2.7E-2</v>
          </cell>
          <cell r="DL440">
            <v>0.184</v>
          </cell>
          <cell r="DM440">
            <v>0.11700000000000001</v>
          </cell>
          <cell r="DN440">
            <v>0.11899999999999999</v>
          </cell>
          <cell r="DO440">
            <v>0.13800000000000001</v>
          </cell>
          <cell r="DP440">
            <v>7.2000000000000024E-3</v>
          </cell>
          <cell r="DQ440">
            <v>-0.10944936235098422</v>
          </cell>
          <cell r="DR440">
            <v>-3.3300000000000003E-2</v>
          </cell>
          <cell r="DS440">
            <v>-3.3800000000000004E-2</v>
          </cell>
        </row>
        <row r="441">
          <cell r="B441" t="str">
            <v>Division 2 Order Backlog</v>
          </cell>
          <cell r="C441" t="str">
            <v>DIV2_ORDERBACKLOG</v>
          </cell>
        </row>
        <row r="442">
          <cell r="B442" t="str">
            <v>Division 2 Order Intake</v>
          </cell>
          <cell r="C442" t="str">
            <v>DIV2_ORDERINTAKE</v>
          </cell>
        </row>
        <row r="443">
          <cell r="B443" t="str">
            <v>Division 3 EBIT</v>
          </cell>
          <cell r="C443" t="str">
            <v>DIV3_EBIT</v>
          </cell>
        </row>
        <row r="444">
          <cell r="B444" t="str">
            <v>Division 3 Name</v>
          </cell>
          <cell r="C444" t="str">
            <v>DIV3_NAME</v>
          </cell>
        </row>
        <row r="445">
          <cell r="B445" t="str">
            <v>Division 3 OGS</v>
          </cell>
          <cell r="C445" t="str">
            <v>DIV3_OGS</v>
          </cell>
        </row>
        <row r="446">
          <cell r="B446" t="str">
            <v>Division 3 Order Backlog</v>
          </cell>
          <cell r="C446" t="str">
            <v>DIV3_ORDERBACKLOG</v>
          </cell>
        </row>
        <row r="447">
          <cell r="B447" t="str">
            <v>Division 3 Order Intake</v>
          </cell>
          <cell r="C447" t="str">
            <v>DIV3_ORDERINTAKE</v>
          </cell>
        </row>
        <row r="448">
          <cell r="B448" t="str">
            <v>Division 3 Sales</v>
          </cell>
          <cell r="C448" t="str">
            <v>DIV3_REVS</v>
          </cell>
        </row>
        <row r="449">
          <cell r="B449" t="str">
            <v>Division 4 EBIT</v>
          </cell>
          <cell r="C449" t="str">
            <v>DIV4_EBIT</v>
          </cell>
        </row>
        <row r="450">
          <cell r="B450" t="str">
            <v>Division 4 Name</v>
          </cell>
          <cell r="C450" t="str">
            <v>DIV4_NAME</v>
          </cell>
        </row>
        <row r="451">
          <cell r="B451" t="str">
            <v>Division 4 OGS</v>
          </cell>
          <cell r="C451" t="str">
            <v>DIV4_OGS</v>
          </cell>
        </row>
        <row r="452">
          <cell r="B452" t="str">
            <v>Division 4 Order Backlog</v>
          </cell>
          <cell r="C452" t="str">
            <v>DIV4_ORDERBACKLOG</v>
          </cell>
        </row>
        <row r="453">
          <cell r="B453" t="str">
            <v>Division 4 Order Intake</v>
          </cell>
          <cell r="C453" t="str">
            <v>DIV4_ORDERINTAKE</v>
          </cell>
        </row>
        <row r="454">
          <cell r="B454" t="str">
            <v>Division 4 Sales</v>
          </cell>
          <cell r="C454" t="str">
            <v>DIV4_REVS</v>
          </cell>
        </row>
        <row r="455">
          <cell r="B455" t="str">
            <v>Division 5 EBIT</v>
          </cell>
          <cell r="C455" t="str">
            <v>DIV5_EBIT</v>
          </cell>
        </row>
        <row r="456">
          <cell r="B456" t="str">
            <v>Division 5 Name</v>
          </cell>
          <cell r="C456" t="str">
            <v>DIV5_NAME</v>
          </cell>
        </row>
        <row r="457">
          <cell r="B457" t="str">
            <v>Division 5 OGS</v>
          </cell>
          <cell r="C457" t="str">
            <v>DIV5_OGS</v>
          </cell>
        </row>
        <row r="458">
          <cell r="B458" t="str">
            <v>Division 5 Order Backlog</v>
          </cell>
          <cell r="C458" t="str">
            <v>DIV5_ORDERBACKLOG</v>
          </cell>
        </row>
        <row r="459">
          <cell r="B459" t="str">
            <v>Division 5 Order Intake</v>
          </cell>
          <cell r="C459" t="str">
            <v>DIV5_ORDERINTAKE</v>
          </cell>
        </row>
        <row r="460">
          <cell r="B460" t="str">
            <v>Division 5 Sales</v>
          </cell>
          <cell r="C460" t="str">
            <v>DIV5_REVS</v>
          </cell>
        </row>
        <row r="461">
          <cell r="B461" t="str">
            <v>Division 6 EBIT</v>
          </cell>
          <cell r="C461" t="str">
            <v>DIV6_EBIT</v>
          </cell>
        </row>
        <row r="462">
          <cell r="B462" t="str">
            <v>Division 6 Name</v>
          </cell>
          <cell r="C462" t="str">
            <v>DIV6_NAME</v>
          </cell>
        </row>
        <row r="463">
          <cell r="B463" t="str">
            <v>Division 6 OGS</v>
          </cell>
          <cell r="C463" t="str">
            <v>DIV6_OGS</v>
          </cell>
        </row>
        <row r="464">
          <cell r="B464" t="str">
            <v>Division 6 Order Backlog</v>
          </cell>
          <cell r="C464" t="str">
            <v>DIV6_ORDERBACKLOG</v>
          </cell>
        </row>
        <row r="465">
          <cell r="B465" t="str">
            <v>Division 6 Order Intake</v>
          </cell>
          <cell r="C465" t="str">
            <v>DIV6_ORDERINTAKE</v>
          </cell>
        </row>
        <row r="466">
          <cell r="B466" t="str">
            <v>Division 6 Sales</v>
          </cell>
          <cell r="C466" t="str">
            <v>DIV6_REVS</v>
          </cell>
        </row>
        <row r="467">
          <cell r="B467" t="str">
            <v>Group order backlog</v>
          </cell>
          <cell r="C467" t="str">
            <v>GROUP_ORDERBACKLOG</v>
          </cell>
        </row>
        <row r="468">
          <cell r="B468" t="str">
            <v>Group order intake</v>
          </cell>
          <cell r="C468" t="str">
            <v>GROUP_ORDERINTAKE</v>
          </cell>
        </row>
        <row r="469">
          <cell r="B469" t="str">
            <v>Group organic sales growth</v>
          </cell>
          <cell r="C469" t="str">
            <v>GROUP_OGS</v>
          </cell>
          <cell r="F469">
            <v>0.15000000000000002</v>
          </cell>
          <cell r="G469">
            <v>0.13300000000000001</v>
          </cell>
          <cell r="H469">
            <v>0</v>
          </cell>
          <cell r="I469">
            <v>4.9000000000000002E-2</v>
          </cell>
          <cell r="J469">
            <v>1.5999999999999997E-2</v>
          </cell>
          <cell r="K469">
            <v>-4.5999999999999999E-2</v>
          </cell>
          <cell r="L469">
            <v>6.7000000000000004E-2</v>
          </cell>
          <cell r="M469">
            <v>-2.0000000000000018E-3</v>
          </cell>
          <cell r="N469">
            <v>1.3999999999999999E-2</v>
          </cell>
          <cell r="O469">
            <v>4.9000000000000002E-2</v>
          </cell>
          <cell r="P469">
            <v>0.10700000000000001</v>
          </cell>
          <cell r="Q469">
            <v>8.4000000000000005E-2</v>
          </cell>
          <cell r="R469">
            <v>7.3999999999999996E-2</v>
          </cell>
          <cell r="S469">
            <v>0.10100000000000001</v>
          </cell>
          <cell r="T469">
            <v>5.7000000000000002E-2</v>
          </cell>
          <cell r="U469">
            <v>-0.2</v>
          </cell>
          <cell r="V469">
            <v>0.14199999999999999</v>
          </cell>
          <cell r="W469">
            <v>0.115</v>
          </cell>
          <cell r="X469">
            <v>-2.6318736672950337E-2</v>
          </cell>
          <cell r="Y469">
            <v>-6.976910569105689E-3</v>
          </cell>
          <cell r="Z469">
            <v>3.7513769460291294E-2</v>
          </cell>
          <cell r="AA469">
            <v>-2.567789688616641E-2</v>
          </cell>
          <cell r="AB469">
            <v>-1.6E-2</v>
          </cell>
          <cell r="AC469">
            <v>8.2000000000000003E-2</v>
          </cell>
          <cell r="AD469">
            <v>7.0999999999999994E-2</v>
          </cell>
          <cell r="AE469">
            <v>-0.02</v>
          </cell>
          <cell r="AF469">
            <v>-0.1</v>
          </cell>
          <cell r="AG469">
            <v>0.126</v>
          </cell>
          <cell r="AH469">
            <v>8.1000000000000003E-2</v>
          </cell>
          <cell r="AI469">
            <v>2.6226439912104237E-2</v>
          </cell>
          <cell r="AJ469">
            <v>1.9864547035182752E-2</v>
          </cell>
          <cell r="AK469">
            <v>3.7440934902663807E-2</v>
          </cell>
          <cell r="AL469">
            <v>3.595934419889011E-2</v>
          </cell>
          <cell r="AO469">
            <v>5.8999999999999997E-2</v>
          </cell>
          <cell r="AP469">
            <v>5.8999999999999997E-2</v>
          </cell>
          <cell r="AQ469">
            <v>0.107</v>
          </cell>
          <cell r="AR469">
            <v>0.11899999999999999</v>
          </cell>
          <cell r="AS469">
            <v>0.14399999999999999</v>
          </cell>
          <cell r="AT469">
            <v>0.11899999999999999</v>
          </cell>
          <cell r="AU469">
            <v>0.11199999999999999</v>
          </cell>
          <cell r="AV469">
            <v>7.1999999999999995E-2</v>
          </cell>
          <cell r="AW469">
            <v>3.9E-2</v>
          </cell>
          <cell r="AX469">
            <v>8.8999999999999996E-2</v>
          </cell>
          <cell r="AY469">
            <v>4.4999999999999998E-2</v>
          </cell>
          <cell r="AZ469">
            <v>5.3000000000000005E-2</v>
          </cell>
          <cell r="BA469">
            <v>0.11099999999999999</v>
          </cell>
          <cell r="BB469">
            <v>9.7000000000000003E-2</v>
          </cell>
          <cell r="BC469">
            <v>9.6000000000000002E-2</v>
          </cell>
          <cell r="BD469">
            <v>0.11</v>
          </cell>
          <cell r="BE469">
            <v>9.5000000000000001E-2</v>
          </cell>
          <cell r="BF469">
            <v>8.6999999999999994E-2</v>
          </cell>
          <cell r="BG469">
            <v>0.10200000000000001</v>
          </cell>
          <cell r="BH469">
            <v>9.0999999999999998E-2</v>
          </cell>
          <cell r="BI469">
            <v>-4.4999999999999998E-2</v>
          </cell>
          <cell r="BJ469">
            <v>-0.19800000000000001</v>
          </cell>
          <cell r="BK469">
            <v>-0.252</v>
          </cell>
          <cell r="BL469">
            <v>-0.21199999999999999</v>
          </cell>
          <cell r="BM469">
            <v>-0.13800000000000001</v>
          </cell>
          <cell r="BN469">
            <v>0.05</v>
          </cell>
          <cell r="BO469">
            <v>0.161</v>
          </cell>
          <cell r="BP469">
            <v>0.193</v>
          </cell>
          <cell r="BQ469">
            <v>0.17200000000000001</v>
          </cell>
          <cell r="BR469">
            <v>0.21400000000000002</v>
          </cell>
          <cell r="BS469">
            <v>0.14200000000000002</v>
          </cell>
          <cell r="BT469">
            <v>8.2000000000000003E-2</v>
          </cell>
          <cell r="BU469">
            <v>2.8000000000000001E-2</v>
          </cell>
          <cell r="BV469">
            <v>7.4142594859241129E-3</v>
          </cell>
          <cell r="BW469">
            <v>-8.7625635061516806E-3</v>
          </cell>
          <cell r="BX469">
            <v>-4.660430586488494E-2</v>
          </cell>
          <cell r="BY469">
            <v>-5.3465705108017889E-2</v>
          </cell>
          <cell r="BZ469">
            <v>-8.0859357026094328E-2</v>
          </cell>
          <cell r="CA469">
            <v>-2.3635756056808687E-2</v>
          </cell>
          <cell r="CB469">
            <v>1.8730195868707802E-2</v>
          </cell>
          <cell r="CC469">
            <v>6.8998682568298442E-2</v>
          </cell>
          <cell r="CD469">
            <v>6.3141988834819751E-2</v>
          </cell>
          <cell r="CE469">
            <v>4.6999649676701977E-2</v>
          </cell>
          <cell r="CF469">
            <v>3.2052469199115412E-2</v>
          </cell>
          <cell r="CG469">
            <v>2.6154675445615106E-2</v>
          </cell>
          <cell r="CH469">
            <v>1.3601166426166428E-2</v>
          </cell>
          <cell r="CI469">
            <v>-1.3791760089686101E-2</v>
          </cell>
          <cell r="CJ469">
            <v>-4.7E-2</v>
          </cell>
          <cell r="CK469">
            <v>-5.2064646024922452E-2</v>
          </cell>
          <cell r="CL469">
            <v>-6.0747349914680171E-2</v>
          </cell>
          <cell r="CM469">
            <v>-4.4400761637520672E-2</v>
          </cell>
          <cell r="CN469">
            <v>-6.0000000000000001E-3</v>
          </cell>
          <cell r="CO469">
            <v>1.2E-2</v>
          </cell>
          <cell r="CP469">
            <v>0.08</v>
          </cell>
          <cell r="CQ469">
            <v>7.4999999999999997E-2</v>
          </cell>
          <cell r="CR469">
            <v>0.08</v>
          </cell>
          <cell r="CS469">
            <v>8.2000000000000003E-2</v>
          </cell>
          <cell r="CT469">
            <v>7.4999999999999997E-2</v>
          </cell>
          <cell r="CU469">
            <v>0.09</v>
          </cell>
          <cell r="CV469">
            <v>6.9093734900950235E-2</v>
          </cell>
          <cell r="CW469">
            <v>4.9391869000564644E-2</v>
          </cell>
          <cell r="CX469">
            <v>2.6463521400778207E-3</v>
          </cell>
          <cell r="CY469">
            <v>-1.5885941644562335E-2</v>
          </cell>
          <cell r="CZ469">
            <v>-3.0093341455414466E-2</v>
          </cell>
          <cell r="DA469">
            <v>-2.9207342393355984E-2</v>
          </cell>
          <cell r="DB469">
            <v>-8.6321082808534635E-2</v>
          </cell>
          <cell r="DC469">
            <v>-0.25188051405193884</v>
          </cell>
          <cell r="DD469">
            <v>-5.0999999999999997E-2</v>
          </cell>
          <cell r="DE469">
            <v>-1.2668332704639741E-3</v>
          </cell>
          <cell r="DF469">
            <v>8.5999999999999993E-2</v>
          </cell>
          <cell r="DG469">
            <v>0.33200000000000002</v>
          </cell>
          <cell r="DH469">
            <v>7.6999999999999999E-2</v>
          </cell>
          <cell r="DI469">
            <v>3.7999999999999999E-2</v>
          </cell>
          <cell r="DJ469">
            <v>6.5000000000000002E-2</v>
          </cell>
          <cell r="DK469">
            <v>5.3999999999999999E-2</v>
          </cell>
          <cell r="DL469">
            <v>0.11006735828452298</v>
          </cell>
          <cell r="DM469">
            <v>9.6806537691794523E-2</v>
          </cell>
          <cell r="DN469">
            <v>0.10100000000000001</v>
          </cell>
          <cell r="DO469">
            <v>7.9000000000000001E-2</v>
          </cell>
          <cell r="DP469">
            <v>7.8390990990991009E-3</v>
          </cell>
          <cell r="DQ469">
            <v>-7.3551831552383581E-2</v>
          </cell>
          <cell r="DR469">
            <v>-3.1299532939093752E-2</v>
          </cell>
          <cell r="DS469">
            <v>-2.4737814320477869E-3</v>
          </cell>
        </row>
        <row r="470">
          <cell r="B470" t="str">
            <v>Group sales growth attributable to pricing</v>
          </cell>
          <cell r="C470" t="str">
            <v>GROUP_PRICE_GRTH</v>
          </cell>
        </row>
        <row r="471">
          <cell r="B471" t="str">
            <v>Group sales growth attributable to mix</v>
          </cell>
          <cell r="C471" t="str">
            <v>GROUP_MIX_GRTH</v>
          </cell>
        </row>
        <row r="472">
          <cell r="B472" t="str">
            <v>Group organic order growth</v>
          </cell>
          <cell r="C472" t="str">
            <v>GROUP_ORG_ORDERGRTH</v>
          </cell>
        </row>
        <row r="473">
          <cell r="B473" t="str">
            <v>Customer advances</v>
          </cell>
          <cell r="C473" t="str">
            <v>CUST_ADVANCES</v>
          </cell>
        </row>
        <row r="474">
          <cell r="B474" t="str">
            <v>EBIT bridge - Pricing</v>
          </cell>
          <cell r="C474" t="str">
            <v>EBIT_BRIDGE_PRICE</v>
          </cell>
        </row>
        <row r="475">
          <cell r="B475" t="str">
            <v>EBIT bridge - Volume</v>
          </cell>
          <cell r="C475" t="str">
            <v>EBIT_BRIDGE_VOL</v>
          </cell>
          <cell r="N475">
            <v>442.37399999999991</v>
          </cell>
          <cell r="O475">
            <v>392.96500000000003</v>
          </cell>
          <cell r="P475">
            <v>1379.5769</v>
          </cell>
          <cell r="Q475">
            <v>1382.8168000000001</v>
          </cell>
          <cell r="R475">
            <v>1136.421</v>
          </cell>
          <cell r="S475">
            <v>1736.2779</v>
          </cell>
          <cell r="T475">
            <v>2303.3117999999999</v>
          </cell>
          <cell r="U475">
            <v>-2711.8508000000002</v>
          </cell>
          <cell r="V475">
            <v>1922.1569999999999</v>
          </cell>
          <cell r="W475">
            <v>2182.6529</v>
          </cell>
          <cell r="X475">
            <v>37.688000000000045</v>
          </cell>
          <cell r="Y475">
            <v>-257.22781968253969</v>
          </cell>
          <cell r="Z475">
            <v>1270</v>
          </cell>
          <cell r="AA475">
            <v>-690</v>
          </cell>
          <cell r="AB475">
            <v>-854.49759999999992</v>
          </cell>
          <cell r="AC475">
            <v>1888.8701953125001</v>
          </cell>
          <cell r="AD475">
            <v>2938.7384999999999</v>
          </cell>
          <cell r="AE475">
            <v>-542.2510000000002</v>
          </cell>
          <cell r="AF475">
            <v>-2098.5547509406829</v>
          </cell>
          <cell r="AG475">
            <v>3695.046481996636</v>
          </cell>
          <cell r="AH475">
            <v>6647</v>
          </cell>
          <cell r="AI475" t="e">
            <v>#VALUE!</v>
          </cell>
          <cell r="AJ475" t="e">
            <v>#VALUE!</v>
          </cell>
          <cell r="AK475" t="e">
            <v>#VALUE!</v>
          </cell>
          <cell r="AL475" t="e">
            <v>#VALUE!</v>
          </cell>
        </row>
        <row r="476">
          <cell r="B476" t="str">
            <v>EBIT bridge - Depreciation</v>
          </cell>
          <cell r="C476" t="str">
            <v>EBIT_BRIDGE_DEPREC</v>
          </cell>
          <cell r="N476">
            <v>-65</v>
          </cell>
          <cell r="O476">
            <v>67</v>
          </cell>
          <cell r="P476">
            <v>59</v>
          </cell>
          <cell r="Q476">
            <v>-19</v>
          </cell>
          <cell r="R476">
            <v>-82</v>
          </cell>
          <cell r="S476">
            <v>58</v>
          </cell>
          <cell r="T476">
            <v>-173</v>
          </cell>
          <cell r="U476">
            <v>-222</v>
          </cell>
          <cell r="V476">
            <v>179</v>
          </cell>
          <cell r="W476">
            <v>202</v>
          </cell>
          <cell r="X476">
            <v>-41</v>
          </cell>
          <cell r="Y476">
            <v>-62</v>
          </cell>
          <cell r="Z476">
            <v>-499</v>
          </cell>
          <cell r="AA476">
            <v>-466</v>
          </cell>
          <cell r="AB476">
            <v>490</v>
          </cell>
          <cell r="AC476">
            <v>45</v>
          </cell>
          <cell r="AD476">
            <v>-149</v>
          </cell>
          <cell r="AE476">
            <v>1356.4996500000002</v>
          </cell>
          <cell r="AF476">
            <v>97.098459741281545</v>
          </cell>
          <cell r="AG476">
            <v>97.952755282874335</v>
          </cell>
          <cell r="AH476">
            <v>-479</v>
          </cell>
          <cell r="AI476">
            <v>-221</v>
          </cell>
          <cell r="AJ476">
            <v>-249.99999999999989</v>
          </cell>
          <cell r="AK476">
            <v>-250</v>
          </cell>
          <cell r="AL476">
            <v>-249.99999999999989</v>
          </cell>
        </row>
        <row r="477">
          <cell r="B477" t="str">
            <v>EBIT bridge - Mix</v>
          </cell>
          <cell r="C477" t="str">
            <v>EBIT_BRIDGE_MIX</v>
          </cell>
        </row>
        <row r="478">
          <cell r="B478" t="str">
            <v>EBIT bridge - Raw materials</v>
          </cell>
          <cell r="C478" t="str">
            <v>EBIT_BRIDGE_RAW_MAT</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1653</v>
          </cell>
          <cell r="AC478">
            <v>-1792</v>
          </cell>
          <cell r="AD478">
            <v>-1807</v>
          </cell>
          <cell r="AE478">
            <v>-1354</v>
          </cell>
          <cell r="AF478">
            <v>0</v>
          </cell>
          <cell r="AG478">
            <v>-3879</v>
          </cell>
          <cell r="AH478">
            <v>-8111</v>
          </cell>
          <cell r="AI478">
            <v>1250</v>
          </cell>
          <cell r="AJ478">
            <v>0</v>
          </cell>
          <cell r="AK478">
            <v>0</v>
          </cell>
          <cell r="AL478">
            <v>0</v>
          </cell>
        </row>
        <row r="479">
          <cell r="B479" t="str">
            <v>EBIT bridge - Restructuring</v>
          </cell>
          <cell r="C479" t="str">
            <v>EBIT_BRIDGE_REST</v>
          </cell>
          <cell r="N479">
            <v>0</v>
          </cell>
          <cell r="O479">
            <v>0</v>
          </cell>
          <cell r="P479">
            <v>0</v>
          </cell>
          <cell r="Q479">
            <v>0</v>
          </cell>
          <cell r="R479">
            <v>200</v>
          </cell>
          <cell r="S479">
            <v>302</v>
          </cell>
          <cell r="T479">
            <v>0</v>
          </cell>
          <cell r="U479">
            <v>0</v>
          </cell>
          <cell r="V479">
            <v>0</v>
          </cell>
          <cell r="W479">
            <v>0</v>
          </cell>
          <cell r="X479">
            <v>0</v>
          </cell>
          <cell r="Y479">
            <v>800</v>
          </cell>
          <cell r="Z479">
            <v>500</v>
          </cell>
          <cell r="AA479">
            <v>430</v>
          </cell>
          <cell r="AB479">
            <v>640</v>
          </cell>
          <cell r="AC479">
            <v>0</v>
          </cell>
          <cell r="AD479">
            <v>0</v>
          </cell>
          <cell r="AE479">
            <v>1213</v>
          </cell>
          <cell r="AF479">
            <v>3700.9999999999995</v>
          </cell>
          <cell r="AG479">
            <v>661</v>
          </cell>
          <cell r="AH479">
            <v>235</v>
          </cell>
          <cell r="AI479">
            <v>600</v>
          </cell>
          <cell r="AJ479">
            <v>750</v>
          </cell>
          <cell r="AK479">
            <v>750</v>
          </cell>
          <cell r="AL479">
            <v>750</v>
          </cell>
        </row>
        <row r="480">
          <cell r="B480" t="str">
            <v>EBIT bridge - FX</v>
          </cell>
          <cell r="C480" t="str">
            <v>EBIT_BRIDGE_FX</v>
          </cell>
          <cell r="N480">
            <v>-75</v>
          </cell>
          <cell r="O480">
            <v>-787</v>
          </cell>
          <cell r="P480">
            <v>-410</v>
          </cell>
          <cell r="Q480">
            <v>-150</v>
          </cell>
          <cell r="R480">
            <v>250</v>
          </cell>
          <cell r="S480">
            <v>-640</v>
          </cell>
          <cell r="T480">
            <v>-140</v>
          </cell>
          <cell r="U480">
            <v>700</v>
          </cell>
          <cell r="V480">
            <v>-400</v>
          </cell>
          <cell r="W480">
            <v>-1200</v>
          </cell>
          <cell r="X480">
            <v>200</v>
          </cell>
          <cell r="Y480">
            <v>-660</v>
          </cell>
          <cell r="Z480">
            <v>180</v>
          </cell>
          <cell r="AA480">
            <v>1680</v>
          </cell>
          <cell r="AB480">
            <v>-200</v>
          </cell>
          <cell r="AC480">
            <v>-25</v>
          </cell>
          <cell r="AD480">
            <v>-69</v>
          </cell>
          <cell r="AE480">
            <v>539</v>
          </cell>
          <cell r="AF480">
            <v>-1013</v>
          </cell>
          <cell r="AG480">
            <v>-1464.9999999999998</v>
          </cell>
          <cell r="AH480">
            <v>965</v>
          </cell>
          <cell r="AI480">
            <v>-252.3917265143821</v>
          </cell>
          <cell r="AJ480">
            <v>-244.05624083670398</v>
          </cell>
          <cell r="AK480">
            <v>0</v>
          </cell>
          <cell r="AL480">
            <v>0</v>
          </cell>
        </row>
        <row r="481">
          <cell r="B481" t="str">
            <v>EBIT bridge - M&amp;A</v>
          </cell>
          <cell r="C481" t="str">
            <v>EBIT_BRIDGE_MA</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30.000000000000004</v>
          </cell>
          <cell r="AB481">
            <v>-121</v>
          </cell>
          <cell r="AC481">
            <v>-145</v>
          </cell>
          <cell r="AD481">
            <v>1196</v>
          </cell>
          <cell r="AE481">
            <v>-176.24865</v>
          </cell>
          <cell r="AF481">
            <v>2.4078400000000002</v>
          </cell>
          <cell r="AG481">
            <v>0</v>
          </cell>
          <cell r="AH481">
            <v>-136</v>
          </cell>
          <cell r="AI481">
            <v>-72.149174999999985</v>
          </cell>
          <cell r="AJ481">
            <v>0</v>
          </cell>
          <cell r="AK481">
            <v>0</v>
          </cell>
          <cell r="AL481">
            <v>0</v>
          </cell>
        </row>
        <row r="482">
          <cell r="B482" t="str">
            <v>EBIT bridge - Other</v>
          </cell>
          <cell r="C482" t="str">
            <v>EBIT_BRIDGE_OTH</v>
          </cell>
          <cell r="N482">
            <v>65.62600000000009</v>
          </cell>
          <cell r="O482">
            <v>104.03499999999997</v>
          </cell>
          <cell r="P482">
            <v>-258.57690000000002</v>
          </cell>
          <cell r="Q482">
            <v>-257.81680000000006</v>
          </cell>
          <cell r="R482">
            <v>-628.42100000000005</v>
          </cell>
          <cell r="S482">
            <v>-26.277900000000045</v>
          </cell>
          <cell r="T482">
            <v>-1739.3117999999999</v>
          </cell>
          <cell r="U482">
            <v>-1338.1491999999998</v>
          </cell>
          <cell r="V482">
            <v>2462.8429999999998</v>
          </cell>
          <cell r="W482">
            <v>-114.65290000000005</v>
          </cell>
          <cell r="X482">
            <v>-2154.6880000000001</v>
          </cell>
          <cell r="Y482">
            <v>-6.772180317460311</v>
          </cell>
          <cell r="Z482">
            <v>-728</v>
          </cell>
          <cell r="AA482">
            <v>-620</v>
          </cell>
          <cell r="AB482">
            <v>-2718.5023999999999</v>
          </cell>
          <cell r="AC482">
            <v>1580.1298046874999</v>
          </cell>
          <cell r="AD482">
            <v>-941.73849999999982</v>
          </cell>
          <cell r="AE482">
            <v>-1164</v>
          </cell>
          <cell r="AF482">
            <v>-1648.4305488005978</v>
          </cell>
          <cell r="AG482">
            <v>2585.0007627204868</v>
          </cell>
          <cell r="AH482">
            <v>194.00000000000045</v>
          </cell>
          <cell r="AI482">
            <v>0</v>
          </cell>
          <cell r="AJ482">
            <v>0</v>
          </cell>
          <cell r="AK482">
            <v>0</v>
          </cell>
          <cell r="AL482">
            <v>0</v>
          </cell>
        </row>
        <row r="483">
          <cell r="B483" t="str">
            <v>Division 1 FX growth</v>
          </cell>
          <cell r="C483" t="str">
            <v>DIV1_FX_GRTH</v>
          </cell>
        </row>
        <row r="484">
          <cell r="B484" t="str">
            <v>Division 1 M&amp;A growth</v>
          </cell>
          <cell r="C484" t="str">
            <v>DIV1_MA_GRTH</v>
          </cell>
        </row>
        <row r="485">
          <cell r="B485" t="str">
            <v>Division 1 organic order growth</v>
          </cell>
          <cell r="C485" t="str">
            <v>DIV1_ORG_ORDERGRTH</v>
          </cell>
        </row>
        <row r="486">
          <cell r="B486" t="str">
            <v>Division 2 FX growth</v>
          </cell>
          <cell r="C486" t="str">
            <v>DIV2_FX_GRTH</v>
          </cell>
        </row>
        <row r="487">
          <cell r="B487" t="str">
            <v>Division 2 M&amp;A growth</v>
          </cell>
          <cell r="C487" t="str">
            <v>DIV2_MA_GRTH</v>
          </cell>
        </row>
        <row r="488">
          <cell r="B488" t="str">
            <v>Division 2 organic order growth</v>
          </cell>
          <cell r="C488" t="str">
            <v>DIV2_ORG_ORDERGRTH</v>
          </cell>
        </row>
        <row r="489">
          <cell r="B489" t="str">
            <v>Division 3 FX growth</v>
          </cell>
          <cell r="C489" t="str">
            <v>DIV3_FX_GRTH</v>
          </cell>
        </row>
        <row r="490">
          <cell r="B490" t="str">
            <v>Division 3 M&amp;A growth</v>
          </cell>
          <cell r="C490" t="str">
            <v>DIV3_MA_GRTH</v>
          </cell>
        </row>
        <row r="491">
          <cell r="B491" t="str">
            <v>Division 3 organic order growth</v>
          </cell>
          <cell r="C491" t="str">
            <v>DIV3_ORG_ORDERGRTH</v>
          </cell>
        </row>
        <row r="492">
          <cell r="B492" t="str">
            <v>Division 4 FX growth</v>
          </cell>
          <cell r="C492" t="str">
            <v>DIV4_FX_GRTH</v>
          </cell>
        </row>
        <row r="493">
          <cell r="B493" t="str">
            <v>Division 4 M&amp;A growth</v>
          </cell>
          <cell r="C493" t="str">
            <v>DIV4_MA_GRTH</v>
          </cell>
        </row>
        <row r="494">
          <cell r="B494" t="str">
            <v>Division 4 organic order growth</v>
          </cell>
          <cell r="C494" t="str">
            <v>DIV4_ORG_ORDERGRTH</v>
          </cell>
        </row>
        <row r="495">
          <cell r="B495" t="str">
            <v>Division 5 FX growth</v>
          </cell>
          <cell r="C495" t="str">
            <v>DIV5_FX_GRTH</v>
          </cell>
        </row>
        <row r="496">
          <cell r="B496" t="str">
            <v>Division 5 M&amp;A growth</v>
          </cell>
          <cell r="C496" t="str">
            <v>DIV5_MA_GRTH</v>
          </cell>
        </row>
        <row r="497">
          <cell r="B497" t="str">
            <v>Division 5 organic order growth</v>
          </cell>
          <cell r="C497" t="str">
            <v>DIV5_ORG_ORDERGRTH</v>
          </cell>
        </row>
        <row r="498">
          <cell r="B498" t="str">
            <v>Division 6 FX growth</v>
          </cell>
          <cell r="C498" t="str">
            <v>DIV6_FX_GRTH</v>
          </cell>
        </row>
        <row r="499">
          <cell r="B499" t="str">
            <v>Division 6 M&amp;A growth</v>
          </cell>
          <cell r="C499" t="str">
            <v>DIV6_MA_GRTH</v>
          </cell>
        </row>
        <row r="500">
          <cell r="B500" t="str">
            <v>Division 6 organic order growth</v>
          </cell>
          <cell r="C500" t="str">
            <v>DIV6_ORG_ORDERGRTH</v>
          </cell>
        </row>
        <row r="501">
          <cell r="A501" t="str">
            <v>Security: SKF</v>
          </cell>
        </row>
        <row r="502">
          <cell r="A502" t="str">
            <v>Reference Data</v>
          </cell>
        </row>
        <row r="503">
          <cell r="B503" t="str">
            <v>Ticker</v>
          </cell>
          <cell r="C503" t="str">
            <v>Ticker</v>
          </cell>
          <cell r="E503" t="str">
            <v>SKFb.ST</v>
          </cell>
        </row>
        <row r="504">
          <cell r="B504" t="str">
            <v>Security Name</v>
          </cell>
          <cell r="C504" t="str">
            <v>Security Name</v>
          </cell>
          <cell r="E504" t="str">
            <v>SKF</v>
          </cell>
        </row>
        <row r="505">
          <cell r="B505" t="str">
            <v>Interim Type</v>
          </cell>
          <cell r="C505" t="str">
            <v>Interim Type</v>
          </cell>
          <cell r="E505" t="str">
            <v>Q</v>
          </cell>
        </row>
        <row r="506">
          <cell r="B506" t="str">
            <v>Publishing Currency</v>
          </cell>
          <cell r="C506" t="str">
            <v>PUB_CURRENCY_ISO</v>
          </cell>
          <cell r="E506" t="str">
            <v>SEK</v>
          </cell>
        </row>
        <row r="507">
          <cell r="B507" t="str">
            <v>Pricing Currency</v>
          </cell>
          <cell r="C507" t="str">
            <v>PRICE_CURRENCY_ISO</v>
          </cell>
          <cell r="E507" t="str">
            <v>SEK</v>
          </cell>
        </row>
        <row r="508">
          <cell r="B508" t="str">
            <v>Reporting Currency</v>
          </cell>
          <cell r="C508" t="str">
            <v>CURRENCY_ISO</v>
          </cell>
          <cell r="E508" t="str">
            <v>SEK</v>
          </cell>
        </row>
        <row r="509">
          <cell r="A509" t="str">
            <v>General Information</v>
          </cell>
        </row>
        <row r="510">
          <cell r="B510" t="str">
            <v>Pan Europe Investment List</v>
          </cell>
          <cell r="C510" t="str">
            <v>EURO_LIST</v>
          </cell>
          <cell r="E510" t="str">
            <v>Buy</v>
          </cell>
          <cell r="I510" t="str">
            <v>Acceptable values include BUY or SELL</v>
          </cell>
        </row>
        <row r="511">
          <cell r="B511" t="str">
            <v>Pan Europe Conviction List</v>
          </cell>
          <cell r="C511" t="str">
            <v>EURO_CONVICTION</v>
          </cell>
          <cell r="I511" t="str">
            <v>Acceptable values include BUY or SELL</v>
          </cell>
        </row>
        <row r="512">
          <cell r="B512" t="str">
            <v>Legal rating</v>
          </cell>
          <cell r="C512" t="str">
            <v>LEGAL_RATING</v>
          </cell>
          <cell r="I512" t="str">
            <v>Acceptable values include RS, CS or NR</v>
          </cell>
        </row>
        <row r="513">
          <cell r="B513" t="str">
            <v>Target price</v>
          </cell>
          <cell r="C513" t="str">
            <v>TARGET_PRICE</v>
          </cell>
          <cell r="E513" t="e">
            <v>#VALUE!</v>
          </cell>
        </row>
        <row r="514">
          <cell r="B514" t="str">
            <v>Target price period</v>
          </cell>
          <cell r="C514" t="str">
            <v>TP_PERIOD</v>
          </cell>
          <cell r="E514" t="str">
            <v>12 months</v>
          </cell>
          <cell r="I514" t="str">
            <v>Acceptable values  for this cell are "6 months", "12 months", "18 months" unless there is no target price, in which case it must  be left blank.</v>
          </cell>
        </row>
        <row r="515">
          <cell r="B515" t="str">
            <v>Fundamental value</v>
          </cell>
          <cell r="C515" t="str">
            <v>TARGET_PRICE_FUNDAMENTAL</v>
          </cell>
        </row>
        <row r="516">
          <cell r="B516" t="str">
            <v>M&amp;A value</v>
          </cell>
          <cell r="C516" t="str">
            <v>TARGET_PRICE_MA</v>
          </cell>
        </row>
        <row r="517">
          <cell r="B517" t="str">
            <v>Current shares outstanding (mn)</v>
          </cell>
          <cell r="C517" t="str">
            <v>NUM_SH</v>
          </cell>
          <cell r="E517">
            <v>455.351068</v>
          </cell>
        </row>
        <row r="518">
          <cell r="B518" t="str">
            <v>Free float</v>
          </cell>
          <cell r="C518" t="str">
            <v>FREE_FLOAT</v>
          </cell>
          <cell r="E518">
            <v>0.84537899999999999</v>
          </cell>
        </row>
        <row r="519">
          <cell r="B519" t="str">
            <v>Indirect Sales - % Denmark</v>
          </cell>
          <cell r="C519" t="str">
            <v>ACT1</v>
          </cell>
          <cell r="E519">
            <v>6.7799999999999999E-2</v>
          </cell>
        </row>
        <row r="520">
          <cell r="B520" t="str">
            <v>Indirect Sales - % Finland</v>
          </cell>
          <cell r="C520" t="str">
            <v>ACT2</v>
          </cell>
          <cell r="E520">
            <v>3.1099999999999999E-2</v>
          </cell>
        </row>
        <row r="521">
          <cell r="B521" t="str">
            <v>Indirect Sales - % France</v>
          </cell>
          <cell r="C521" t="str">
            <v>ACT3</v>
          </cell>
          <cell r="E521">
            <v>2.46E-2</v>
          </cell>
        </row>
        <row r="522">
          <cell r="B522" t="str">
            <v>Indirect Sales - % Germany</v>
          </cell>
          <cell r="C522" t="str">
            <v>ACT4</v>
          </cell>
          <cell r="E522">
            <v>2.4E-2</v>
          </cell>
        </row>
        <row r="523">
          <cell r="A523" t="str">
            <v>Publishing Items</v>
          </cell>
        </row>
        <row r="524">
          <cell r="B524" t="str">
            <v>Book value per share, BVPS (Pub)</v>
          </cell>
          <cell r="C524" t="str">
            <v>BVPS_PUB</v>
          </cell>
          <cell r="F524">
            <v>20.316451508889116</v>
          </cell>
          <cell r="G524">
            <v>22.393893299899339</v>
          </cell>
          <cell r="H524">
            <v>25.022222211209396</v>
          </cell>
          <cell r="I524">
            <v>27.644604096986548</v>
          </cell>
          <cell r="J524">
            <v>24.00784969719232</v>
          </cell>
          <cell r="K524">
            <v>24.963156559457108</v>
          </cell>
          <cell r="L524">
            <v>29.853888472706952</v>
          </cell>
          <cell r="M524">
            <v>35.629650861923942</v>
          </cell>
          <cell r="N524">
            <v>35.939302990720115</v>
          </cell>
          <cell r="O524">
            <v>33.301777607777566</v>
          </cell>
          <cell r="P524">
            <v>36.413662260258491</v>
          </cell>
          <cell r="Q524">
            <v>38.71518316061136</v>
          </cell>
          <cell r="R524">
            <v>41.666751948850155</v>
          </cell>
          <cell r="S524">
            <v>38.622946635978899</v>
          </cell>
          <cell r="T524">
            <v>43.17328185118037</v>
          </cell>
          <cell r="U524">
            <v>38.236431675614298</v>
          </cell>
          <cell r="V524">
            <v>41.583299855135067</v>
          </cell>
          <cell r="W524">
            <v>47.075765286225263</v>
          </cell>
          <cell r="X524">
            <v>46.867054055006257</v>
          </cell>
          <cell r="Y524">
            <v>44.143757568211143</v>
          </cell>
          <cell r="Z524">
            <v>50.705931362831457</v>
          </cell>
          <cell r="AA524">
            <v>54.496413303679788</v>
          </cell>
          <cell r="AB524">
            <v>58.853706667212116</v>
          </cell>
          <cell r="AC524">
            <v>61.570076299897913</v>
          </cell>
          <cell r="AD524">
            <v>73.64866881129177</v>
          </cell>
          <cell r="AE524">
            <v>77.988177684476184</v>
          </cell>
          <cell r="AF524">
            <v>75.316487524403058</v>
          </cell>
          <cell r="AG524">
            <v>95.849121847233704</v>
          </cell>
          <cell r="AH524">
            <v>114.03728606166352</v>
          </cell>
          <cell r="AI524" t="e">
            <v>#VALUE!</v>
          </cell>
          <cell r="AJ524" t="e">
            <v>#VALUE!</v>
          </cell>
          <cell r="AK524" t="e">
            <v>#VALUE!</v>
          </cell>
          <cell r="AL524" t="e">
            <v>#VALUE!</v>
          </cell>
        </row>
        <row r="525">
          <cell r="B525" t="str">
            <v>DPS, dividend per share (Pub)</v>
          </cell>
          <cell r="C525" t="str">
            <v>DPS_PUB</v>
          </cell>
          <cell r="F525">
            <v>1.5</v>
          </cell>
          <cell r="G525">
            <v>1</v>
          </cell>
          <cell r="H525">
            <v>1.25</v>
          </cell>
          <cell r="I525">
            <v>1.3125</v>
          </cell>
          <cell r="J525">
            <v>0.5</v>
          </cell>
          <cell r="K525">
            <v>1</v>
          </cell>
          <cell r="L525">
            <v>1.3125</v>
          </cell>
          <cell r="M525">
            <v>1.5</v>
          </cell>
          <cell r="N525">
            <v>2</v>
          </cell>
          <cell r="O525">
            <v>2.5</v>
          </cell>
          <cell r="P525">
            <v>3</v>
          </cell>
          <cell r="Q525">
            <v>4</v>
          </cell>
          <cell r="R525">
            <v>4.5</v>
          </cell>
          <cell r="S525">
            <v>5</v>
          </cell>
          <cell r="T525">
            <v>3.5</v>
          </cell>
          <cell r="U525">
            <v>3.5</v>
          </cell>
          <cell r="V525">
            <v>5</v>
          </cell>
          <cell r="W525">
            <v>5.5</v>
          </cell>
          <cell r="X525">
            <v>5.5</v>
          </cell>
          <cell r="Y525">
            <v>5.5</v>
          </cell>
          <cell r="Z525">
            <v>5.5</v>
          </cell>
          <cell r="AA525">
            <v>5.5</v>
          </cell>
          <cell r="AB525">
            <v>5.5</v>
          </cell>
          <cell r="AC525">
            <v>5.5</v>
          </cell>
          <cell r="AD525">
            <v>6</v>
          </cell>
          <cell r="AE525">
            <v>3</v>
          </cell>
          <cell r="AF525">
            <v>6.5</v>
          </cell>
          <cell r="AG525">
            <v>7</v>
          </cell>
          <cell r="AH525">
            <v>7</v>
          </cell>
          <cell r="AI525" t="e">
            <v>#VALUE!</v>
          </cell>
          <cell r="AJ525" t="e">
            <v>#VALUE!</v>
          </cell>
          <cell r="AK525" t="e">
            <v>#VALUE!</v>
          </cell>
          <cell r="AL525" t="e">
            <v>#VALUE!</v>
          </cell>
        </row>
        <row r="526">
          <cell r="B526" t="str">
            <v>Special dividend per share</v>
          </cell>
          <cell r="C526" t="str">
            <v>DPS_SPECIAL_PUB</v>
          </cell>
          <cell r="AF526">
            <v>0</v>
          </cell>
          <cell r="AG526">
            <v>0</v>
          </cell>
          <cell r="AH526">
            <v>0</v>
          </cell>
          <cell r="AI526" t="e">
            <v>#VALUE!</v>
          </cell>
          <cell r="AJ526" t="e">
            <v>#VALUE!</v>
          </cell>
          <cell r="AK526" t="e">
            <v>#VALUE!</v>
          </cell>
          <cell r="AL526" t="e">
            <v>#VALUE!</v>
          </cell>
        </row>
        <row r="527">
          <cell r="B527" t="str">
            <v>EBITDA (Pub)</v>
          </cell>
          <cell r="C527" t="str">
            <v>EBITDA_PUB</v>
          </cell>
          <cell r="F527">
            <v>4112</v>
          </cell>
          <cell r="G527">
            <v>5434</v>
          </cell>
          <cell r="H527">
            <v>4335</v>
          </cell>
          <cell r="I527">
            <v>4532</v>
          </cell>
          <cell r="J527">
            <v>4234</v>
          </cell>
          <cell r="K527">
            <v>4005</v>
          </cell>
          <cell r="L527">
            <v>5193</v>
          </cell>
          <cell r="M527">
            <v>5404</v>
          </cell>
          <cell r="N527">
            <v>5817</v>
          </cell>
          <cell r="O527">
            <v>5540</v>
          </cell>
          <cell r="P527">
            <v>6273</v>
          </cell>
          <cell r="Q527">
            <v>7073</v>
          </cell>
          <cell r="R527">
            <v>7465</v>
          </cell>
          <cell r="S527">
            <v>9578</v>
          </cell>
          <cell r="T527">
            <v>9998</v>
          </cell>
          <cell r="U527">
            <v>6660</v>
          </cell>
          <cell r="V527">
            <v>10634</v>
          </cell>
          <cell r="W527">
            <v>11518</v>
          </cell>
          <cell r="X527">
            <v>9587</v>
          </cell>
          <cell r="Y527">
            <v>9459</v>
          </cell>
          <cell r="Z527">
            <v>10677</v>
          </cell>
          <cell r="AA527">
            <v>11513</v>
          </cell>
          <cell r="AB527">
            <v>9912</v>
          </cell>
          <cell r="AC527">
            <v>11419</v>
          </cell>
          <cell r="AD527">
            <v>12736</v>
          </cell>
          <cell r="AE527">
            <v>13632</v>
          </cell>
          <cell r="AF527">
            <v>12595</v>
          </cell>
          <cell r="AG527">
            <v>14144</v>
          </cell>
          <cell r="AH527">
            <v>13988</v>
          </cell>
          <cell r="AI527" t="e">
            <v>#VALUE!</v>
          </cell>
          <cell r="AJ527" t="e">
            <v>#VALUE!</v>
          </cell>
          <cell r="AK527" t="e">
            <v>#VALUE!</v>
          </cell>
          <cell r="AL527" t="e">
            <v>#VALUE!</v>
          </cell>
          <cell r="BM527">
            <v>2256</v>
          </cell>
          <cell r="BN527">
            <v>2256</v>
          </cell>
          <cell r="BO527">
            <v>2754</v>
          </cell>
          <cell r="BP527">
            <v>2783</v>
          </cell>
          <cell r="BQ527">
            <v>2841</v>
          </cell>
          <cell r="BR527">
            <v>2949</v>
          </cell>
          <cell r="BS527">
            <v>3046</v>
          </cell>
          <cell r="BT527">
            <v>2913</v>
          </cell>
          <cell r="BU527">
            <v>2610</v>
          </cell>
          <cell r="BV527">
            <v>2581</v>
          </cell>
          <cell r="BW527">
            <v>2637</v>
          </cell>
          <cell r="BX527">
            <v>2326</v>
          </cell>
          <cell r="BY527">
            <v>2043</v>
          </cell>
          <cell r="BZ527">
            <v>2192</v>
          </cell>
          <cell r="CA527">
            <v>2481</v>
          </cell>
          <cell r="CB527">
            <v>2486</v>
          </cell>
          <cell r="CC527">
            <v>2302</v>
          </cell>
        </row>
        <row r="528">
          <cell r="B528" t="str">
            <v>EPS (Pub)</v>
          </cell>
          <cell r="C528" t="str">
            <v>EPS_PUB</v>
          </cell>
          <cell r="F528">
            <v>2.83</v>
          </cell>
          <cell r="G528">
            <v>4.55</v>
          </cell>
          <cell r="H528">
            <v>3.74</v>
          </cell>
          <cell r="I528">
            <v>3.54</v>
          </cell>
          <cell r="J528">
            <v>2.4500000000000002</v>
          </cell>
          <cell r="K528">
            <v>1.59</v>
          </cell>
          <cell r="L528">
            <v>4.07</v>
          </cell>
          <cell r="M528">
            <v>4.7300000000000004</v>
          </cell>
          <cell r="N528">
            <v>5.35</v>
          </cell>
          <cell r="O528">
            <v>5.51</v>
          </cell>
          <cell r="P528">
            <v>6.65</v>
          </cell>
          <cell r="Q528">
            <v>8.1</v>
          </cell>
          <cell r="R528">
            <v>8.74</v>
          </cell>
          <cell r="S528">
            <v>10.66</v>
          </cell>
          <cell r="T528">
            <v>10.88</v>
          </cell>
          <cell r="U528">
            <v>6.41</v>
          </cell>
          <cell r="V528">
            <v>11.28</v>
          </cell>
          <cell r="W528">
            <v>13.29</v>
          </cell>
          <cell r="X528">
            <v>10.33</v>
          </cell>
          <cell r="Y528">
            <v>2</v>
          </cell>
          <cell r="Z528">
            <v>10.1</v>
          </cell>
          <cell r="AA528">
            <v>8.52</v>
          </cell>
          <cell r="AB528">
            <v>9.01</v>
          </cell>
          <cell r="AC528">
            <v>12.02</v>
          </cell>
          <cell r="AD528">
            <v>16</v>
          </cell>
          <cell r="AE528">
            <v>12.2</v>
          </cell>
          <cell r="AF528">
            <v>9.44</v>
          </cell>
          <cell r="AG528">
            <v>16.100000000000001</v>
          </cell>
          <cell r="AH528">
            <v>9.81</v>
          </cell>
          <cell r="AI528" t="e">
            <v>#VALUE!</v>
          </cell>
          <cell r="AJ528" t="e">
            <v>#VALUE!</v>
          </cell>
          <cell r="AK528" t="e">
            <v>#VALUE!</v>
          </cell>
          <cell r="AL528" t="e">
            <v>#VALUE!</v>
          </cell>
          <cell r="BM528">
            <v>2.2685792844127031</v>
          </cell>
          <cell r="BN528">
            <v>2.2685792844127031</v>
          </cell>
          <cell r="BO528">
            <v>3.0855313597287974</v>
          </cell>
          <cell r="BP528">
            <v>3.0503936360592876</v>
          </cell>
          <cell r="BQ528">
            <v>2.8690972331704292</v>
          </cell>
          <cell r="BR528">
            <v>3.4434969196119245</v>
          </cell>
          <cell r="BS528">
            <v>3.7631481094494763</v>
          </cell>
          <cell r="BT528">
            <v>3.5203606901389763</v>
          </cell>
          <cell r="BU528">
            <v>2.5716421510622216</v>
          </cell>
          <cell r="BV528">
            <v>2.8417634017715754</v>
          </cell>
          <cell r="BW528">
            <v>2.6726631066120614</v>
          </cell>
          <cell r="BX528">
            <v>2.71</v>
          </cell>
          <cell r="BY528">
            <v>2.16</v>
          </cell>
          <cell r="BZ528">
            <v>1.74</v>
          </cell>
          <cell r="CA528">
            <v>2.36</v>
          </cell>
          <cell r="CB528">
            <v>2.4700000000000002</v>
          </cell>
          <cell r="CC528">
            <v>-4.57</v>
          </cell>
          <cell r="CD528">
            <v>2.72</v>
          </cell>
          <cell r="CE528">
            <v>2.54</v>
          </cell>
          <cell r="CF528">
            <v>3.01</v>
          </cell>
          <cell r="CG528">
            <v>1.84</v>
          </cell>
          <cell r="CH528">
            <v>2.46</v>
          </cell>
          <cell r="CI528">
            <v>2.72</v>
          </cell>
          <cell r="CJ528">
            <v>1.59</v>
          </cell>
          <cell r="CK528">
            <v>0.82</v>
          </cell>
          <cell r="CL528">
            <v>2.4</v>
          </cell>
          <cell r="CM528">
            <v>1.4362544549911982</v>
          </cell>
          <cell r="CN528">
            <v>2.9669415423442027</v>
          </cell>
          <cell r="CO528">
            <v>1.952339771387118</v>
          </cell>
          <cell r="CP528">
            <v>3.09</v>
          </cell>
          <cell r="CQ528">
            <v>2.5099999999999998</v>
          </cell>
          <cell r="CR528">
            <v>2.29</v>
          </cell>
          <cell r="CS528">
            <v>4.12</v>
          </cell>
          <cell r="CT528">
            <v>3.78</v>
          </cell>
          <cell r="CU528">
            <v>4.25</v>
          </cell>
          <cell r="CV528">
            <v>3.35</v>
          </cell>
          <cell r="CW528">
            <v>4.63</v>
          </cell>
          <cell r="CX528">
            <v>3.77</v>
          </cell>
          <cell r="CY528">
            <v>3.32</v>
          </cell>
          <cell r="CZ528">
            <v>2.84</v>
          </cell>
          <cell r="DA528">
            <v>2.27</v>
          </cell>
          <cell r="DB528">
            <v>2.75</v>
          </cell>
          <cell r="DC528">
            <v>0.75</v>
          </cell>
          <cell r="DD528">
            <v>2.59</v>
          </cell>
          <cell r="DE528">
            <v>3.35</v>
          </cell>
          <cell r="DF528">
            <v>3.91</v>
          </cell>
          <cell r="DG528">
            <v>4.59</v>
          </cell>
          <cell r="DH528">
            <v>3.86</v>
          </cell>
          <cell r="DI528">
            <v>3.74</v>
          </cell>
          <cell r="DJ528">
            <v>4.3600000000000003</v>
          </cell>
          <cell r="DK528">
            <v>1.08</v>
          </cell>
          <cell r="DL528">
            <v>2.41</v>
          </cell>
          <cell r="DM528">
            <v>1.96</v>
          </cell>
          <cell r="DN528">
            <v>4.55</v>
          </cell>
          <cell r="DO528">
            <v>4.4800000000000004</v>
          </cell>
          <cell r="DP528" t="e">
            <v>#VALUE!</v>
          </cell>
          <cell r="DQ528" t="e">
            <v>#VALUE!</v>
          </cell>
          <cell r="DR528" t="e">
            <v>#VALUE!</v>
          </cell>
          <cell r="DS528" t="e">
            <v>#VALUE!</v>
          </cell>
        </row>
        <row r="529">
          <cell r="B529" t="str">
            <v>Consensus earnings equivalent estimate</v>
          </cell>
          <cell r="C529" t="str">
            <v>CEEE_EPS</v>
          </cell>
          <cell r="F529">
            <v>2.8296571359979503</v>
          </cell>
          <cell r="G529">
            <v>4.5531152352492432</v>
          </cell>
          <cell r="H529">
            <v>3.7433775403506897</v>
          </cell>
          <cell r="I529">
            <v>3.4215358423184812</v>
          </cell>
          <cell r="J529">
            <v>3.037216989683222</v>
          </cell>
          <cell r="K529">
            <v>1.5877858883159577</v>
          </cell>
          <cell r="L529">
            <v>4.07377983793375</v>
          </cell>
          <cell r="M529">
            <v>4.7326120320171414</v>
          </cell>
          <cell r="N529">
            <v>5.3453262132241219</v>
          </cell>
          <cell r="O529">
            <v>5.5056420774662591</v>
          </cell>
          <cell r="P529">
            <v>6.6520103121840037</v>
          </cell>
          <cell r="Q529">
            <v>8.0970491980925807</v>
          </cell>
          <cell r="R529">
            <v>8.7383126550611276</v>
          </cell>
          <cell r="S529">
            <v>10.662103025966768</v>
          </cell>
          <cell r="T529">
            <v>10.883909906630548</v>
          </cell>
          <cell r="U529">
            <v>6.4060462464974384</v>
          </cell>
          <cell r="V529">
            <v>11.700861981946641</v>
          </cell>
          <cell r="W529">
            <v>13.508258643197033</v>
          </cell>
          <cell r="X529">
            <v>11.299484213355539</v>
          </cell>
          <cell r="Y529">
            <v>10.51324216313566</v>
          </cell>
          <cell r="Z529">
            <v>11.178188342362688</v>
          </cell>
          <cell r="AA529">
            <v>12.225731729259939</v>
          </cell>
          <cell r="AB529">
            <v>9.0471127787578887</v>
          </cell>
          <cell r="AC529">
            <v>12.02</v>
          </cell>
          <cell r="AD529">
            <v>16</v>
          </cell>
          <cell r="AE529">
            <v>12.2</v>
          </cell>
          <cell r="AF529">
            <v>9.44</v>
          </cell>
          <cell r="AG529">
            <v>16.100000000000001</v>
          </cell>
          <cell r="AH529">
            <v>9.81</v>
          </cell>
          <cell r="AI529" t="e">
            <v>#VALUE!</v>
          </cell>
          <cell r="AJ529" t="e">
            <v>#VALUE!</v>
          </cell>
          <cell r="AK529" t="e">
            <v>#VALUE!</v>
          </cell>
          <cell r="AL529" t="e">
            <v>#VALUE!</v>
          </cell>
        </row>
        <row r="530">
          <cell r="B530" t="str">
            <v>EV adjustment (Pub)</v>
          </cell>
          <cell r="C530" t="str">
            <v>EV_ADJ_PUB</v>
          </cell>
          <cell r="F530">
            <v>0</v>
          </cell>
          <cell r="G530">
            <v>0</v>
          </cell>
          <cell r="H530">
            <v>0</v>
          </cell>
          <cell r="I530">
            <v>0</v>
          </cell>
          <cell r="J530">
            <v>0</v>
          </cell>
          <cell r="K530">
            <v>0</v>
          </cell>
          <cell r="L530">
            <v>0</v>
          </cell>
          <cell r="M530">
            <v>0</v>
          </cell>
          <cell r="N530">
            <v>0</v>
          </cell>
          <cell r="O530">
            <v>0</v>
          </cell>
          <cell r="P530">
            <v>0</v>
          </cell>
          <cell r="Q530">
            <v>0</v>
          </cell>
          <cell r="R530">
            <v>0</v>
          </cell>
          <cell r="S530">
            <v>-70</v>
          </cell>
          <cell r="T530">
            <v>-80</v>
          </cell>
          <cell r="U530">
            <v>-91</v>
          </cell>
          <cell r="V530">
            <v>0</v>
          </cell>
          <cell r="W530">
            <v>0</v>
          </cell>
          <cell r="X530">
            <v>-44</v>
          </cell>
          <cell r="Y530">
            <v>-54</v>
          </cell>
          <cell r="Z530">
            <v>-65</v>
          </cell>
          <cell r="AA530">
            <v>-56.098281417830293</v>
          </cell>
          <cell r="AB530">
            <v>0</v>
          </cell>
          <cell r="AC530">
            <v>0</v>
          </cell>
          <cell r="AD530">
            <v>0</v>
          </cell>
          <cell r="AE530">
            <v>0</v>
          </cell>
          <cell r="AF530">
            <v>0</v>
          </cell>
          <cell r="AG530">
            <v>0</v>
          </cell>
          <cell r="AH530">
            <v>0</v>
          </cell>
          <cell r="AI530">
            <v>0</v>
          </cell>
          <cell r="AJ530">
            <v>0</v>
          </cell>
          <cell r="AK530">
            <v>0</v>
          </cell>
          <cell r="AL530">
            <v>0</v>
          </cell>
        </row>
        <row r="531">
          <cell r="B531" t="str">
            <v>Net debt (Pub)</v>
          </cell>
          <cell r="C531" t="str">
            <v>NET_DEBT_PUB</v>
          </cell>
          <cell r="F531">
            <v>4745.4558144218308</v>
          </cell>
          <cell r="G531">
            <v>3623.2108090197894</v>
          </cell>
          <cell r="H531">
            <v>4975.3045770523067</v>
          </cell>
          <cell r="I531">
            <v>5274.8333218882053</v>
          </cell>
          <cell r="J531">
            <v>6699.8997750177814</v>
          </cell>
          <cell r="K531">
            <v>4659.6209265913285</v>
          </cell>
          <cell r="L531">
            <v>1990.430955189988</v>
          </cell>
          <cell r="M531">
            <v>-1615.0280724556003</v>
          </cell>
          <cell r="N531">
            <v>-2965.537657456699</v>
          </cell>
          <cell r="O531">
            <v>-3851.9934312089472</v>
          </cell>
          <cell r="P531">
            <v>-1568.1976714376844</v>
          </cell>
          <cell r="Q531">
            <v>276</v>
          </cell>
          <cell r="R531">
            <v>-229</v>
          </cell>
          <cell r="S531">
            <v>4537</v>
          </cell>
          <cell r="T531">
            <v>11199</v>
          </cell>
          <cell r="U531">
            <v>6572</v>
          </cell>
          <cell r="V531">
            <v>10190</v>
          </cell>
          <cell r="W531">
            <v>9003</v>
          </cell>
          <cell r="X531">
            <v>7715</v>
          </cell>
          <cell r="Y531">
            <v>16569</v>
          </cell>
          <cell r="Z531">
            <v>19068</v>
          </cell>
          <cell r="AA531">
            <v>16909</v>
          </cell>
          <cell r="AB531">
            <v>13093</v>
          </cell>
          <cell r="AC531">
            <v>12547</v>
          </cell>
          <cell r="AD531">
            <v>7797</v>
          </cell>
          <cell r="AE531">
            <v>6863</v>
          </cell>
          <cell r="AF531">
            <v>3324</v>
          </cell>
          <cell r="AG531">
            <v>4236</v>
          </cell>
          <cell r="AH531">
            <v>7190</v>
          </cell>
          <cell r="AI531" t="e">
            <v>#VALUE!</v>
          </cell>
          <cell r="AJ531" t="e">
            <v>#VALUE!</v>
          </cell>
          <cell r="AK531" t="e">
            <v>#VALUE!</v>
          </cell>
          <cell r="AL531" t="e">
            <v>#VALUE!</v>
          </cell>
        </row>
        <row r="532">
          <cell r="B532" t="str">
            <v>Net Debt (ex leases) (Pub)</v>
          </cell>
          <cell r="C532" t="str">
            <v>NET_DEBT_EX_LEASES_PUB</v>
          </cell>
          <cell r="F532">
            <v>3407</v>
          </cell>
          <cell r="G532">
            <v>2264</v>
          </cell>
          <cell r="H532">
            <v>3462</v>
          </cell>
          <cell r="I532">
            <v>3629.9999999999995</v>
          </cell>
          <cell r="J532">
            <v>4942</v>
          </cell>
          <cell r="K532">
            <v>3082</v>
          </cell>
          <cell r="L532">
            <v>411</v>
          </cell>
          <cell r="M532">
            <v>-3256</v>
          </cell>
          <cell r="N532">
            <v>-4464</v>
          </cell>
          <cell r="O532">
            <v>-5196</v>
          </cell>
          <cell r="P532">
            <v>-2897</v>
          </cell>
          <cell r="Q532">
            <v>-1082</v>
          </cell>
          <cell r="R532">
            <v>-1614</v>
          </cell>
          <cell r="S532">
            <v>3158</v>
          </cell>
          <cell r="T532">
            <v>9486</v>
          </cell>
          <cell r="U532">
            <v>4808</v>
          </cell>
          <cell r="V532">
            <v>8388</v>
          </cell>
          <cell r="W532">
            <v>7005</v>
          </cell>
          <cell r="X532">
            <v>5829</v>
          </cell>
          <cell r="Y532">
            <v>14302</v>
          </cell>
          <cell r="Z532">
            <v>16208</v>
          </cell>
          <cell r="AA532">
            <v>13259</v>
          </cell>
          <cell r="AB532">
            <v>9465</v>
          </cell>
          <cell r="AC532">
            <v>9045</v>
          </cell>
          <cell r="AD532">
            <v>4567</v>
          </cell>
          <cell r="AE532">
            <v>3852</v>
          </cell>
          <cell r="AF532">
            <v>485.02920750308294</v>
          </cell>
          <cell r="AG532">
            <v>1320.1827091581749</v>
          </cell>
          <cell r="AH532">
            <v>4158.8679088140552</v>
          </cell>
          <cell r="AI532" t="e">
            <v>#VALUE!</v>
          </cell>
          <cell r="AJ532" t="e">
            <v>#VALUE!</v>
          </cell>
          <cell r="AK532" t="e">
            <v>#VALUE!</v>
          </cell>
          <cell r="AL532" t="e">
            <v>#VALUE!</v>
          </cell>
        </row>
        <row r="533">
          <cell r="B533" t="str">
            <v>Consensus equivalent net debt</v>
          </cell>
          <cell r="C533" t="str">
            <v>CEEE_NDEBT</v>
          </cell>
        </row>
        <row r="534">
          <cell r="B534" t="str">
            <v>Net income (Pub)</v>
          </cell>
          <cell r="C534" t="str">
            <v>NI_PUB</v>
          </cell>
          <cell r="F534">
            <v>1279</v>
          </cell>
          <cell r="G534">
            <v>2058</v>
          </cell>
          <cell r="H534">
            <v>1692</v>
          </cell>
          <cell r="I534">
            <v>1613</v>
          </cell>
          <cell r="J534">
            <v>1117</v>
          </cell>
          <cell r="K534">
            <v>723</v>
          </cell>
          <cell r="L534">
            <v>1855</v>
          </cell>
          <cell r="M534">
            <v>2155</v>
          </cell>
          <cell r="N534">
            <v>2434</v>
          </cell>
          <cell r="O534">
            <v>2507</v>
          </cell>
          <cell r="P534">
            <v>3029</v>
          </cell>
          <cell r="Q534">
            <v>3687</v>
          </cell>
          <cell r="R534">
            <v>3979</v>
          </cell>
          <cell r="S534">
            <v>4855</v>
          </cell>
          <cell r="T534">
            <v>4956</v>
          </cell>
          <cell r="U534">
            <v>2917</v>
          </cell>
          <cell r="V534">
            <v>5138</v>
          </cell>
          <cell r="W534">
            <v>6051</v>
          </cell>
          <cell r="X534">
            <v>4705</v>
          </cell>
          <cell r="Y534">
            <v>912</v>
          </cell>
          <cell r="Z534">
            <v>4600</v>
          </cell>
          <cell r="AA534">
            <v>3880</v>
          </cell>
          <cell r="AB534">
            <v>3985</v>
          </cell>
          <cell r="AC534">
            <v>5475</v>
          </cell>
          <cell r="AD534">
            <v>7285</v>
          </cell>
          <cell r="AE534">
            <v>5557</v>
          </cell>
          <cell r="AF534">
            <v>4298</v>
          </cell>
          <cell r="AG534">
            <v>7331</v>
          </cell>
          <cell r="AH534">
            <v>4469</v>
          </cell>
          <cell r="AI534" t="e">
            <v>#VALUE!</v>
          </cell>
          <cell r="AJ534" t="e">
            <v>#VALUE!</v>
          </cell>
          <cell r="AK534" t="e">
            <v>#VALUE!</v>
          </cell>
          <cell r="AL534" t="e">
            <v>#VALUE!</v>
          </cell>
          <cell r="BA534">
            <v>1169</v>
          </cell>
          <cell r="BB534">
            <v>1169</v>
          </cell>
          <cell r="BC534">
            <v>1233</v>
          </cell>
          <cell r="BD534">
            <v>1132</v>
          </cell>
          <cell r="BE534">
            <v>1061</v>
          </cell>
          <cell r="BF534">
            <v>1261</v>
          </cell>
          <cell r="BG534">
            <v>1341</v>
          </cell>
          <cell r="BH534">
            <v>1217</v>
          </cell>
          <cell r="BI534">
            <v>797</v>
          </cell>
          <cell r="BJ534">
            <v>390</v>
          </cell>
          <cell r="BK534">
            <v>314</v>
          </cell>
          <cell r="BL534">
            <v>462</v>
          </cell>
          <cell r="BM534">
            <v>476</v>
          </cell>
          <cell r="BN534">
            <v>1033</v>
          </cell>
          <cell r="BO534">
            <v>1405</v>
          </cell>
          <cell r="BP534">
            <v>1389</v>
          </cell>
          <cell r="BQ534">
            <v>1311</v>
          </cell>
          <cell r="BR534">
            <v>1568</v>
          </cell>
          <cell r="BS534">
            <v>1709</v>
          </cell>
          <cell r="BT534">
            <v>1603</v>
          </cell>
          <cell r="BU534">
            <v>1171</v>
          </cell>
          <cell r="BV534">
            <v>1294</v>
          </cell>
          <cell r="BW534">
            <v>1217</v>
          </cell>
          <cell r="BX534">
            <v>1230</v>
          </cell>
          <cell r="BY534">
            <v>964</v>
          </cell>
          <cell r="BZ534">
            <v>793</v>
          </cell>
          <cell r="CA534">
            <v>1077</v>
          </cell>
          <cell r="CB534">
            <v>1123</v>
          </cell>
          <cell r="CC534">
            <v>-2081</v>
          </cell>
          <cell r="CD534">
            <v>1238</v>
          </cell>
          <cell r="CE534">
            <v>1156</v>
          </cell>
          <cell r="CF534">
            <v>1370</v>
          </cell>
          <cell r="CG534">
            <v>836</v>
          </cell>
          <cell r="CH534">
            <v>1120</v>
          </cell>
          <cell r="CI534">
            <v>1662</v>
          </cell>
          <cell r="CJ534">
            <v>724</v>
          </cell>
          <cell r="CK534">
            <v>374</v>
          </cell>
          <cell r="CL534">
            <v>1091</v>
          </cell>
          <cell r="CM534">
            <v>654</v>
          </cell>
          <cell r="CN534">
            <v>1351</v>
          </cell>
          <cell r="CO534">
            <v>889</v>
          </cell>
          <cell r="CP534">
            <v>1408</v>
          </cell>
          <cell r="CQ534">
            <v>1145</v>
          </cell>
          <cell r="CR534">
            <v>1044</v>
          </cell>
          <cell r="CS534">
            <v>1878</v>
          </cell>
          <cell r="CT534">
            <v>1719</v>
          </cell>
          <cell r="CU534">
            <v>1935</v>
          </cell>
          <cell r="CV534">
            <v>1524</v>
          </cell>
          <cell r="CW534">
            <v>2107</v>
          </cell>
          <cell r="CX534">
            <v>1718</v>
          </cell>
          <cell r="CY534">
            <v>1511</v>
          </cell>
          <cell r="CZ534">
            <v>1293</v>
          </cell>
          <cell r="DA534">
            <v>1035</v>
          </cell>
          <cell r="DB534">
            <v>1250</v>
          </cell>
          <cell r="DC534">
            <v>342</v>
          </cell>
          <cell r="DD534">
            <v>1179</v>
          </cell>
          <cell r="DE534">
            <v>1527</v>
          </cell>
          <cell r="DF534">
            <v>1782</v>
          </cell>
          <cell r="DG534">
            <v>2089</v>
          </cell>
          <cell r="DH534">
            <v>1756</v>
          </cell>
          <cell r="DI534">
            <v>1704</v>
          </cell>
          <cell r="DJ534">
            <v>1984</v>
          </cell>
          <cell r="DK534">
            <v>493</v>
          </cell>
          <cell r="DL534">
            <v>1099</v>
          </cell>
          <cell r="DM534">
            <v>893</v>
          </cell>
          <cell r="DN534">
            <v>2073</v>
          </cell>
          <cell r="DO534">
            <v>2042</v>
          </cell>
          <cell r="DP534" t="e">
            <v>#VALUE!</v>
          </cell>
          <cell r="DQ534" t="e">
            <v>#VALUE!</v>
          </cell>
          <cell r="DR534" t="e">
            <v>#VALUE!</v>
          </cell>
          <cell r="DS534" t="e">
            <v>#VALUE!</v>
          </cell>
        </row>
        <row r="535">
          <cell r="B535" t="str">
            <v>EBIT, operating profit (Pub)</v>
          </cell>
          <cell r="C535" t="str">
            <v>EBIT_PUB</v>
          </cell>
          <cell r="F535">
            <v>2591</v>
          </cell>
          <cell r="G535">
            <v>4000</v>
          </cell>
          <cell r="H535">
            <v>2874</v>
          </cell>
          <cell r="I535">
            <v>3004</v>
          </cell>
          <cell r="J535">
            <v>2137</v>
          </cell>
          <cell r="K535">
            <v>2132</v>
          </cell>
          <cell r="L535">
            <v>3560</v>
          </cell>
          <cell r="M535">
            <v>3610</v>
          </cell>
          <cell r="N535">
            <v>3958</v>
          </cell>
          <cell r="O535">
            <v>3748</v>
          </cell>
          <cell r="P535">
            <v>4540</v>
          </cell>
          <cell r="Q535">
            <v>5321</v>
          </cell>
          <cell r="R535">
            <v>5631</v>
          </cell>
          <cell r="S535">
            <v>7802</v>
          </cell>
          <cell r="T535">
            <v>8049</v>
          </cell>
          <cell r="U535">
            <v>4489</v>
          </cell>
          <cell r="V535">
            <v>8642</v>
          </cell>
          <cell r="W535">
            <v>9728</v>
          </cell>
          <cell r="X535">
            <v>7756</v>
          </cell>
          <cell r="Y535">
            <v>7566</v>
          </cell>
          <cell r="Z535">
            <v>8285</v>
          </cell>
          <cell r="AA535">
            <v>8655</v>
          </cell>
          <cell r="AB535">
            <v>7544</v>
          </cell>
          <cell r="AC535">
            <v>9096</v>
          </cell>
          <cell r="AD535">
            <v>10264</v>
          </cell>
          <cell r="AE535">
            <v>10136</v>
          </cell>
          <cell r="AF535">
            <v>9194</v>
          </cell>
          <cell r="AG535">
            <v>10839</v>
          </cell>
          <cell r="AH535">
            <v>10204</v>
          </cell>
          <cell r="AI535" t="e">
            <v>#VALUE!</v>
          </cell>
          <cell r="AJ535" t="e">
            <v>#VALUE!</v>
          </cell>
          <cell r="AK535" t="e">
            <v>#VALUE!</v>
          </cell>
          <cell r="AL535" t="e">
            <v>#VALUE!</v>
          </cell>
          <cell r="AO535">
            <v>953</v>
          </cell>
          <cell r="AP535">
            <v>953</v>
          </cell>
          <cell r="AQ535">
            <v>1174</v>
          </cell>
          <cell r="AR535">
            <v>1189</v>
          </cell>
          <cell r="AS535">
            <v>1670</v>
          </cell>
          <cell r="AT535">
            <v>1207</v>
          </cell>
          <cell r="AU535">
            <v>1528</v>
          </cell>
          <cell r="AV535">
            <v>1464</v>
          </cell>
          <cell r="AW535">
            <v>1468</v>
          </cell>
          <cell r="AX535">
            <v>1609</v>
          </cell>
          <cell r="AY535">
            <v>1702</v>
          </cell>
          <cell r="AZ535">
            <v>1538</v>
          </cell>
          <cell r="BA535">
            <v>1520</v>
          </cell>
          <cell r="BB535">
            <v>1886</v>
          </cell>
          <cell r="BC535">
            <v>2019</v>
          </cell>
          <cell r="BD535">
            <v>1803</v>
          </cell>
          <cell r="BE535">
            <v>2131</v>
          </cell>
          <cell r="BF535">
            <v>2040</v>
          </cell>
          <cell r="BG535">
            <v>2135</v>
          </cell>
          <cell r="BH535">
            <v>2085</v>
          </cell>
          <cell r="BI535">
            <v>1790</v>
          </cell>
          <cell r="BJ535">
            <v>943</v>
          </cell>
          <cell r="BK535">
            <v>974</v>
          </cell>
          <cell r="BL535">
            <v>1157</v>
          </cell>
          <cell r="BM535">
            <v>1404</v>
          </cell>
          <cell r="BN535">
            <v>1792</v>
          </cell>
          <cell r="BO535">
            <v>2239</v>
          </cell>
          <cell r="BP535">
            <v>2309</v>
          </cell>
          <cell r="BQ535">
            <v>2302</v>
          </cell>
          <cell r="BR535">
            <v>2504</v>
          </cell>
          <cell r="BS535">
            <v>2623</v>
          </cell>
          <cell r="BT535">
            <v>2479</v>
          </cell>
          <cell r="BU535">
            <v>2106</v>
          </cell>
          <cell r="BV535">
            <v>2140</v>
          </cell>
          <cell r="BW535">
            <v>2193</v>
          </cell>
          <cell r="BX535">
            <v>1913</v>
          </cell>
          <cell r="BY535">
            <v>1527</v>
          </cell>
          <cell r="BZ535">
            <v>1730</v>
          </cell>
          <cell r="CA535">
            <v>2027</v>
          </cell>
          <cell r="CB535">
            <v>2008</v>
          </cell>
          <cell r="CC535">
            <v>1803</v>
          </cell>
          <cell r="CD535">
            <v>1904</v>
          </cell>
          <cell r="CE535">
            <v>2216</v>
          </cell>
          <cell r="CF535">
            <v>2093</v>
          </cell>
          <cell r="CG535">
            <v>2078</v>
          </cell>
          <cell r="CH535">
            <v>2376</v>
          </cell>
          <cell r="CI535">
            <v>2577</v>
          </cell>
          <cell r="CJ535">
            <v>1976</v>
          </cell>
          <cell r="CK535">
            <v>1726</v>
          </cell>
          <cell r="CL535">
            <v>1972</v>
          </cell>
          <cell r="CM535">
            <v>2020</v>
          </cell>
          <cell r="CN535">
            <v>1811</v>
          </cell>
          <cell r="CO535">
            <v>1741</v>
          </cell>
          <cell r="CP535">
            <v>2357</v>
          </cell>
          <cell r="CQ535">
            <v>2436</v>
          </cell>
          <cell r="CR535">
            <v>2211</v>
          </cell>
          <cell r="CS535">
            <v>2092</v>
          </cell>
          <cell r="CT535">
            <v>2625</v>
          </cell>
          <cell r="CU535">
            <v>2925</v>
          </cell>
          <cell r="CV535">
            <v>2597</v>
          </cell>
          <cell r="CW535">
            <v>2117</v>
          </cell>
          <cell r="CX535">
            <v>2658</v>
          </cell>
          <cell r="CY535">
            <v>2856</v>
          </cell>
          <cell r="CZ535">
            <v>2380</v>
          </cell>
          <cell r="DA535">
            <v>2181</v>
          </cell>
          <cell r="DB535">
            <v>2572</v>
          </cell>
          <cell r="DC535">
            <v>1565</v>
          </cell>
          <cell r="DD535">
            <v>2475</v>
          </cell>
          <cell r="DE535">
            <v>2582</v>
          </cell>
          <cell r="DF535">
            <v>2790</v>
          </cell>
          <cell r="DG535">
            <v>3116</v>
          </cell>
          <cell r="DH535">
            <v>2672</v>
          </cell>
          <cell r="DI535">
            <v>2261</v>
          </cell>
          <cell r="DJ535">
            <v>3058</v>
          </cell>
          <cell r="DK535">
            <v>2474</v>
          </cell>
          <cell r="DL535">
            <v>2131</v>
          </cell>
          <cell r="DM535">
            <v>2541</v>
          </cell>
          <cell r="DN535">
            <v>3478</v>
          </cell>
          <cell r="DO535">
            <v>3614</v>
          </cell>
          <cell r="DP535" t="e">
            <v>#VALUE!</v>
          </cell>
          <cell r="DQ535" t="e">
            <v>#VALUE!</v>
          </cell>
          <cell r="DR535" t="e">
            <v>#VALUE!</v>
          </cell>
          <cell r="DS535" t="e">
            <v>#VALUE!</v>
          </cell>
        </row>
        <row r="536">
          <cell r="B536" t="str">
            <v>Pre-tax profit (Pub)</v>
          </cell>
          <cell r="C536" t="str">
            <v>PTP_PUB</v>
          </cell>
          <cell r="F536">
            <v>1877</v>
          </cell>
          <cell r="G536">
            <v>3389</v>
          </cell>
          <cell r="H536">
            <v>2412</v>
          </cell>
          <cell r="I536">
            <v>2161</v>
          </cell>
          <cell r="J536">
            <v>1073</v>
          </cell>
          <cell r="K536">
            <v>1381</v>
          </cell>
          <cell r="L536">
            <v>2895</v>
          </cell>
          <cell r="M536">
            <v>3108</v>
          </cell>
          <cell r="N536">
            <v>3510</v>
          </cell>
          <cell r="O536">
            <v>3261</v>
          </cell>
          <cell r="P536">
            <v>4190</v>
          </cell>
          <cell r="Q536">
            <v>5419</v>
          </cell>
          <cell r="R536">
            <v>6049</v>
          </cell>
          <cell r="S536">
            <v>7398</v>
          </cell>
          <cell r="T536">
            <v>7208</v>
          </cell>
          <cell r="U536">
            <v>3572</v>
          </cell>
          <cell r="V536">
            <v>7549</v>
          </cell>
          <cell r="W536">
            <v>8932</v>
          </cell>
          <cell r="X536">
            <v>6492</v>
          </cell>
          <cell r="Y536">
            <v>2821</v>
          </cell>
          <cell r="Z536">
            <v>6668</v>
          </cell>
          <cell r="AA536">
            <v>5834</v>
          </cell>
          <cell r="AB536">
            <v>6739</v>
          </cell>
          <cell r="AC536">
            <v>7658</v>
          </cell>
          <cell r="AD536">
            <v>10188</v>
          </cell>
          <cell r="AE536">
            <v>8469</v>
          </cell>
          <cell r="AF536">
            <v>6300</v>
          </cell>
          <cell r="AG536">
            <v>10063</v>
          </cell>
          <cell r="AH536">
            <v>7293</v>
          </cell>
          <cell r="AI536" t="e">
            <v>#VALUE!</v>
          </cell>
          <cell r="AJ536" t="e">
            <v>#VALUE!</v>
          </cell>
          <cell r="AK536" t="e">
            <v>#VALUE!</v>
          </cell>
          <cell r="AL536" t="e">
            <v>#VALUE!</v>
          </cell>
          <cell r="BA536">
            <v>1825</v>
          </cell>
          <cell r="BB536">
            <v>1825</v>
          </cell>
          <cell r="BC536">
            <v>1957</v>
          </cell>
          <cell r="BD536">
            <v>1646</v>
          </cell>
          <cell r="BE536">
            <v>1710</v>
          </cell>
          <cell r="BF536">
            <v>1924</v>
          </cell>
          <cell r="BG536">
            <v>1978</v>
          </cell>
          <cell r="BH536">
            <v>1859</v>
          </cell>
          <cell r="BI536">
            <v>1107</v>
          </cell>
          <cell r="BJ536">
            <v>531</v>
          </cell>
          <cell r="BK536">
            <v>312</v>
          </cell>
          <cell r="BL536">
            <v>689</v>
          </cell>
          <cell r="BM536">
            <v>765</v>
          </cell>
        </row>
        <row r="537">
          <cell r="B537" t="str">
            <v>Sales, revenue (Pub)</v>
          </cell>
          <cell r="C537" t="str">
            <v>REVS_PUB</v>
          </cell>
          <cell r="F537">
            <v>33273</v>
          </cell>
          <cell r="G537">
            <v>36700</v>
          </cell>
          <cell r="H537">
            <v>33589</v>
          </cell>
          <cell r="I537">
            <v>36922</v>
          </cell>
          <cell r="J537">
            <v>37688</v>
          </cell>
          <cell r="K537">
            <v>36693</v>
          </cell>
          <cell r="L537">
            <v>39848</v>
          </cell>
          <cell r="M537">
            <v>43370</v>
          </cell>
          <cell r="N537">
            <v>42430</v>
          </cell>
          <cell r="O537">
            <v>41377</v>
          </cell>
          <cell r="P537">
            <v>44826</v>
          </cell>
          <cell r="Q537">
            <v>49285</v>
          </cell>
          <cell r="R537">
            <v>53101</v>
          </cell>
          <cell r="S537">
            <v>58559</v>
          </cell>
          <cell r="T537">
            <v>63361</v>
          </cell>
          <cell r="U537">
            <v>56227</v>
          </cell>
          <cell r="V537">
            <v>61029</v>
          </cell>
          <cell r="W537">
            <v>66216</v>
          </cell>
          <cell r="X537">
            <v>64575</v>
          </cell>
          <cell r="Y537">
            <v>63597</v>
          </cell>
          <cell r="Z537">
            <v>70975</v>
          </cell>
          <cell r="AA537">
            <v>75997</v>
          </cell>
          <cell r="AB537">
            <v>72589</v>
          </cell>
          <cell r="AC537">
            <v>77938</v>
          </cell>
          <cell r="AD537">
            <v>85713</v>
          </cell>
          <cell r="AE537">
            <v>86013</v>
          </cell>
          <cell r="AF537">
            <v>74852</v>
          </cell>
          <cell r="AG537">
            <v>81732</v>
          </cell>
          <cell r="AH537">
            <v>96933</v>
          </cell>
          <cell r="AI537">
            <v>104000.13955597053</v>
          </cell>
          <cell r="AJ537">
            <v>106066.05521984569</v>
          </cell>
          <cell r="AK537">
            <v>110037.26748871426</v>
          </cell>
          <cell r="AL537">
            <v>113994.13546504627</v>
          </cell>
          <cell r="AO537">
            <v>10689</v>
          </cell>
          <cell r="AP537">
            <v>10689</v>
          </cell>
          <cell r="AQ537">
            <v>11417</v>
          </cell>
          <cell r="AR537">
            <v>11184</v>
          </cell>
          <cell r="AS537">
            <v>11536</v>
          </cell>
          <cell r="AT537">
            <v>11871</v>
          </cell>
          <cell r="AU537">
            <v>12739</v>
          </cell>
          <cell r="AV537">
            <v>12027</v>
          </cell>
          <cell r="AW537">
            <v>12648</v>
          </cell>
          <cell r="AX537">
            <v>13289</v>
          </cell>
          <cell r="AY537">
            <v>13373</v>
          </cell>
          <cell r="AZ537">
            <v>12544</v>
          </cell>
          <cell r="BA537">
            <v>13895</v>
          </cell>
          <cell r="BB537">
            <v>14371</v>
          </cell>
          <cell r="BC537">
            <v>14963</v>
          </cell>
          <cell r="BD537">
            <v>14155</v>
          </cell>
          <cell r="BE537">
            <v>15070</v>
          </cell>
          <cell r="BF537">
            <v>15596</v>
          </cell>
          <cell r="BG537">
            <v>16077</v>
          </cell>
          <cell r="BH537">
            <v>15381</v>
          </cell>
          <cell r="BI537">
            <v>16307</v>
          </cell>
          <cell r="BJ537">
            <v>14849</v>
          </cell>
          <cell r="BK537">
            <v>14167</v>
          </cell>
          <cell r="BL537">
            <v>13324</v>
          </cell>
          <cell r="BM537">
            <v>13887</v>
          </cell>
          <cell r="BN537">
            <v>14446</v>
          </cell>
          <cell r="BO537">
            <v>15709</v>
          </cell>
          <cell r="BP537">
            <v>15465</v>
          </cell>
          <cell r="BQ537">
            <v>15409</v>
          </cell>
          <cell r="BR537">
            <v>16702</v>
          </cell>
          <cell r="BS537">
            <v>16712</v>
          </cell>
          <cell r="BT537">
            <v>16545</v>
          </cell>
          <cell r="BU537">
            <v>16257</v>
          </cell>
          <cell r="BV537">
            <v>16931</v>
          </cell>
          <cell r="BW537">
            <v>17174</v>
          </cell>
          <cell r="BX537">
            <v>15486</v>
          </cell>
          <cell r="BY537">
            <v>14984</v>
          </cell>
          <cell r="BZ537">
            <v>15152</v>
          </cell>
          <cell r="CA537">
            <v>16392</v>
          </cell>
          <cell r="CB537">
            <v>15623</v>
          </cell>
          <cell r="CC537">
            <v>16430</v>
          </cell>
          <cell r="CD537">
            <v>16734</v>
          </cell>
          <cell r="CE537">
            <v>17955</v>
          </cell>
          <cell r="CF537">
            <v>17787</v>
          </cell>
          <cell r="CG537">
            <v>18499</v>
          </cell>
          <cell r="CH537">
            <v>19454</v>
          </cell>
          <cell r="CI537">
            <v>19961</v>
          </cell>
          <cell r="CJ537">
            <v>18367</v>
          </cell>
          <cell r="CK537">
            <v>18215</v>
          </cell>
          <cell r="CL537">
            <v>17720</v>
          </cell>
          <cell r="CM537">
            <v>18319</v>
          </cell>
          <cell r="CN537">
            <v>17862</v>
          </cell>
          <cell r="CO537">
            <v>18732</v>
          </cell>
          <cell r="CP537">
            <v>19601</v>
          </cell>
          <cell r="CQ537">
            <v>20229</v>
          </cell>
          <cell r="CR537">
            <v>18627</v>
          </cell>
          <cell r="CS537">
            <v>19481</v>
          </cell>
          <cell r="CT537">
            <v>20560</v>
          </cell>
          <cell r="CU537">
            <v>22620</v>
          </cell>
          <cell r="CV537">
            <v>21341</v>
          </cell>
          <cell r="CW537">
            <v>21192</v>
          </cell>
          <cell r="CX537">
            <v>21278</v>
          </cell>
          <cell r="CY537">
            <v>22488</v>
          </cell>
          <cell r="CZ537">
            <v>21039</v>
          </cell>
          <cell r="DA537">
            <v>21208</v>
          </cell>
          <cell r="DB537">
            <v>20085</v>
          </cell>
          <cell r="DC537">
            <v>16599</v>
          </cell>
          <cell r="DD537">
            <v>18596</v>
          </cell>
          <cell r="DE537">
            <v>19572</v>
          </cell>
          <cell r="DF537">
            <v>19865</v>
          </cell>
          <cell r="DG537">
            <v>20735</v>
          </cell>
          <cell r="DH537">
            <v>20146</v>
          </cell>
          <cell r="DI537">
            <v>20986</v>
          </cell>
          <cell r="DJ537">
            <v>22942</v>
          </cell>
          <cell r="DK537">
            <v>23655</v>
          </cell>
          <cell r="DL537">
            <v>24975</v>
          </cell>
          <cell r="DM537">
            <v>25361</v>
          </cell>
          <cell r="DN537">
            <v>26549</v>
          </cell>
          <cell r="DO537">
            <v>27123</v>
          </cell>
          <cell r="DP537">
            <v>26193.750112489954</v>
          </cell>
          <cell r="DQ537">
            <v>24135.389443480573</v>
          </cell>
          <cell r="DR537">
            <v>26245.274915451002</v>
          </cell>
          <cell r="DS537">
            <v>27259.165343447214</v>
          </cell>
        </row>
        <row r="538">
          <cell r="B538" t="str">
            <v>Total shareholders' equity (Pub)</v>
          </cell>
          <cell r="C538" t="str">
            <v>EQ_PUB</v>
          </cell>
          <cell r="F538">
            <v>9327</v>
          </cell>
          <cell r="G538">
            <v>10288</v>
          </cell>
          <cell r="H538">
            <v>11598</v>
          </cell>
          <cell r="I538">
            <v>12878</v>
          </cell>
          <cell r="J538">
            <v>11299</v>
          </cell>
          <cell r="K538">
            <v>11765</v>
          </cell>
          <cell r="L538">
            <v>14061</v>
          </cell>
          <cell r="M538">
            <v>16815</v>
          </cell>
          <cell r="N538">
            <v>16935</v>
          </cell>
          <cell r="O538">
            <v>15663</v>
          </cell>
          <cell r="P538">
            <v>17085</v>
          </cell>
          <cell r="Q538">
            <v>18233</v>
          </cell>
          <cell r="R538">
            <v>19607</v>
          </cell>
          <cell r="S538">
            <v>18355</v>
          </cell>
          <cell r="T538">
            <v>20598</v>
          </cell>
          <cell r="U538">
            <v>18280</v>
          </cell>
          <cell r="V538">
            <v>19894</v>
          </cell>
          <cell r="W538">
            <v>22455</v>
          </cell>
          <cell r="X538">
            <v>22468</v>
          </cell>
          <cell r="Y538">
            <v>21152</v>
          </cell>
          <cell r="Z538">
            <v>24404</v>
          </cell>
          <cell r="AA538">
            <v>26282</v>
          </cell>
          <cell r="AB538">
            <v>27683</v>
          </cell>
          <cell r="AC538">
            <v>29823</v>
          </cell>
          <cell r="AD538">
            <v>35452</v>
          </cell>
          <cell r="AE538">
            <v>37366</v>
          </cell>
          <cell r="AF538">
            <v>35712</v>
          </cell>
          <cell r="AG538">
            <v>45365</v>
          </cell>
          <cell r="AH538">
            <v>54043</v>
          </cell>
          <cell r="AI538" t="e">
            <v>#VALUE!</v>
          </cell>
          <cell r="AJ538" t="e">
            <v>#VALUE!</v>
          </cell>
          <cell r="AK538" t="e">
            <v>#VALUE!</v>
          </cell>
          <cell r="AL538" t="e">
            <v>#VALUE!</v>
          </cell>
        </row>
        <row r="539">
          <cell r="A539" t="str">
            <v>Income Statement</v>
          </cell>
        </row>
        <row r="540">
          <cell r="B540" t="str">
            <v>Provision for income tax</v>
          </cell>
          <cell r="C540" t="str">
            <v>PROV_INC_TAX</v>
          </cell>
          <cell r="F540">
            <v>-570</v>
          </cell>
          <cell r="G540">
            <v>-1301</v>
          </cell>
          <cell r="H540">
            <v>-701</v>
          </cell>
          <cell r="I540">
            <v>-583</v>
          </cell>
          <cell r="J540">
            <v>0</v>
          </cell>
          <cell r="K540">
            <v>-650</v>
          </cell>
          <cell r="L540">
            <v>-1001</v>
          </cell>
          <cell r="M540">
            <v>-909</v>
          </cell>
          <cell r="N540">
            <v>-1055</v>
          </cell>
          <cell r="O540">
            <v>-698</v>
          </cell>
          <cell r="P540">
            <v>-1111</v>
          </cell>
          <cell r="Q540">
            <v>-1646</v>
          </cell>
          <cell r="R540">
            <v>-1955</v>
          </cell>
          <cell r="S540">
            <v>-2371</v>
          </cell>
          <cell r="T540">
            <v>-2127</v>
          </cell>
          <cell r="U540">
            <v>-592</v>
          </cell>
          <cell r="V540">
            <v>-2253</v>
          </cell>
          <cell r="W540">
            <v>-2708</v>
          </cell>
          <cell r="X540">
            <v>-1633</v>
          </cell>
          <cell r="Y540">
            <v>-1777</v>
          </cell>
          <cell r="Z540">
            <v>-1918</v>
          </cell>
          <cell r="AA540">
            <v>-1760</v>
          </cell>
          <cell r="AB540">
            <v>-2530</v>
          </cell>
          <cell r="AC540">
            <v>-1898</v>
          </cell>
          <cell r="AD540">
            <v>-2603</v>
          </cell>
          <cell r="AE540">
            <v>-2677</v>
          </cell>
          <cell r="AF540">
            <v>-1826</v>
          </cell>
          <cell r="AG540">
            <v>-2484</v>
          </cell>
          <cell r="AH540">
            <v>-2438</v>
          </cell>
          <cell r="AI540" t="e">
            <v>#VALUE!</v>
          </cell>
          <cell r="AJ540" t="e">
            <v>#VALUE!</v>
          </cell>
          <cell r="AK540" t="e">
            <v>#VALUE!</v>
          </cell>
          <cell r="AL540" t="e">
            <v>#VALUE!</v>
          </cell>
        </row>
        <row r="541">
          <cell r="B541" t="str">
            <v>Minority interest</v>
          </cell>
          <cell r="C541" t="str">
            <v>INC_MINORITY</v>
          </cell>
          <cell r="F541">
            <v>-28</v>
          </cell>
          <cell r="G541">
            <v>-30</v>
          </cell>
          <cell r="H541">
            <v>-19</v>
          </cell>
          <cell r="I541">
            <v>35</v>
          </cell>
          <cell r="J541">
            <v>44</v>
          </cell>
          <cell r="K541">
            <v>-8</v>
          </cell>
          <cell r="L541">
            <v>-39</v>
          </cell>
          <cell r="M541">
            <v>-44</v>
          </cell>
          <cell r="N541">
            <v>-21</v>
          </cell>
          <cell r="O541">
            <v>-56</v>
          </cell>
          <cell r="P541">
            <v>-50</v>
          </cell>
          <cell r="Q541">
            <v>-86</v>
          </cell>
          <cell r="R541">
            <v>-115</v>
          </cell>
          <cell r="S541">
            <v>-172</v>
          </cell>
          <cell r="T541">
            <v>-125</v>
          </cell>
          <cell r="U541">
            <v>-63</v>
          </cell>
          <cell r="V541">
            <v>-158</v>
          </cell>
          <cell r="W541">
            <v>-173</v>
          </cell>
          <cell r="X541">
            <v>-154</v>
          </cell>
          <cell r="Y541">
            <v>-132</v>
          </cell>
          <cell r="Z541">
            <v>-150</v>
          </cell>
          <cell r="AA541">
            <v>-194</v>
          </cell>
          <cell r="AB541">
            <v>-224</v>
          </cell>
          <cell r="AC541">
            <v>-285</v>
          </cell>
          <cell r="AD541">
            <v>-300</v>
          </cell>
          <cell r="AE541">
            <v>-235</v>
          </cell>
          <cell r="AF541">
            <v>-176</v>
          </cell>
          <cell r="AG541">
            <v>-248</v>
          </cell>
          <cell r="AH541">
            <v>-386</v>
          </cell>
          <cell r="AI541">
            <v>-420</v>
          </cell>
          <cell r="AJ541" t="e">
            <v>#VALUE!</v>
          </cell>
          <cell r="AK541" t="e">
            <v>#VALUE!</v>
          </cell>
          <cell r="AL541" t="e">
            <v>#VALUE!</v>
          </cell>
        </row>
        <row r="542">
          <cell r="B542" t="str">
            <v>Net income (pre-preferred dividends)</v>
          </cell>
          <cell r="C542" t="str">
            <v>NI_PRE_PREF</v>
          </cell>
          <cell r="F542">
            <v>1279</v>
          </cell>
          <cell r="G542">
            <v>2058</v>
          </cell>
          <cell r="H542">
            <v>1692</v>
          </cell>
          <cell r="I542">
            <v>1613</v>
          </cell>
          <cell r="J542">
            <v>1117</v>
          </cell>
          <cell r="K542">
            <v>723</v>
          </cell>
          <cell r="L542">
            <v>1855</v>
          </cell>
          <cell r="M542">
            <v>2155</v>
          </cell>
          <cell r="N542">
            <v>2434</v>
          </cell>
          <cell r="O542">
            <v>2507</v>
          </cell>
          <cell r="P542">
            <v>3029</v>
          </cell>
          <cell r="Q542">
            <v>3687</v>
          </cell>
          <cell r="R542">
            <v>3979</v>
          </cell>
          <cell r="S542">
            <v>4855</v>
          </cell>
          <cell r="T542">
            <v>4956</v>
          </cell>
          <cell r="U542">
            <v>2917</v>
          </cell>
          <cell r="V542">
            <v>5138</v>
          </cell>
          <cell r="W542">
            <v>6051</v>
          </cell>
          <cell r="X542">
            <v>4705</v>
          </cell>
          <cell r="Y542">
            <v>912</v>
          </cell>
          <cell r="Z542">
            <v>4600</v>
          </cell>
          <cell r="AA542">
            <v>3880</v>
          </cell>
          <cell r="AB542">
            <v>3985</v>
          </cell>
          <cell r="AC542">
            <v>5475</v>
          </cell>
          <cell r="AD542">
            <v>7285</v>
          </cell>
          <cell r="AE542">
            <v>5557</v>
          </cell>
          <cell r="AF542">
            <v>4298</v>
          </cell>
          <cell r="AG542">
            <v>7331</v>
          </cell>
          <cell r="AH542">
            <v>4469</v>
          </cell>
          <cell r="AI542" t="e">
            <v>#VALUE!</v>
          </cell>
          <cell r="AJ542" t="e">
            <v>#VALUE!</v>
          </cell>
          <cell r="AK542" t="e">
            <v>#VALUE!</v>
          </cell>
          <cell r="AL542" t="e">
            <v>#VALUE!</v>
          </cell>
        </row>
        <row r="543">
          <cell r="B543" t="str">
            <v>Preferred dividends</v>
          </cell>
          <cell r="C543" t="str">
            <v>PREF_DIV</v>
          </cell>
        </row>
        <row r="544">
          <cell r="B544" t="str">
            <v>Net income (pre-exceptionals)</v>
          </cell>
          <cell r="C544" t="str">
            <v>NET_EARNING</v>
          </cell>
          <cell r="F544">
            <v>1279</v>
          </cell>
          <cell r="G544">
            <v>2058</v>
          </cell>
          <cell r="H544">
            <v>1692</v>
          </cell>
          <cell r="I544">
            <v>1613</v>
          </cell>
          <cell r="J544">
            <v>1117</v>
          </cell>
          <cell r="K544">
            <v>723</v>
          </cell>
          <cell r="L544">
            <v>1855</v>
          </cell>
          <cell r="M544">
            <v>2155</v>
          </cell>
          <cell r="N544">
            <v>2434</v>
          </cell>
          <cell r="O544">
            <v>2507</v>
          </cell>
          <cell r="P544">
            <v>3029</v>
          </cell>
          <cell r="Q544">
            <v>3687</v>
          </cell>
          <cell r="R544">
            <v>3979</v>
          </cell>
          <cell r="S544">
            <v>4855</v>
          </cell>
          <cell r="T544">
            <v>4956</v>
          </cell>
          <cell r="U544">
            <v>2917</v>
          </cell>
          <cell r="V544">
            <v>5138</v>
          </cell>
          <cell r="W544">
            <v>6051</v>
          </cell>
          <cell r="X544">
            <v>4705</v>
          </cell>
          <cell r="Y544">
            <v>912</v>
          </cell>
          <cell r="Z544">
            <v>4600</v>
          </cell>
          <cell r="AA544">
            <v>3880</v>
          </cell>
          <cell r="AB544">
            <v>3985</v>
          </cell>
          <cell r="AC544">
            <v>5475</v>
          </cell>
          <cell r="AD544">
            <v>7285</v>
          </cell>
          <cell r="AE544">
            <v>5557</v>
          </cell>
          <cell r="AF544">
            <v>4298</v>
          </cell>
          <cell r="AG544">
            <v>7331</v>
          </cell>
          <cell r="AH544">
            <v>4469</v>
          </cell>
          <cell r="AI544" t="e">
            <v>#VALUE!</v>
          </cell>
          <cell r="AJ544" t="e">
            <v>#VALUE!</v>
          </cell>
          <cell r="AK544" t="e">
            <v>#VALUE!</v>
          </cell>
          <cell r="AL544" t="e">
            <v>#VALUE!</v>
          </cell>
        </row>
        <row r="545">
          <cell r="B545" t="str">
            <v>Post-tax exceptionals</v>
          </cell>
          <cell r="C545" t="str">
            <v>TAX_EXC</v>
          </cell>
          <cell r="F545">
            <v>0</v>
          </cell>
          <cell r="G545">
            <v>0</v>
          </cell>
          <cell r="H545">
            <v>0</v>
          </cell>
          <cell r="I545">
            <v>-55</v>
          </cell>
          <cell r="J545">
            <v>-2759</v>
          </cell>
          <cell r="K545">
            <v>388</v>
          </cell>
          <cell r="L545">
            <v>107</v>
          </cell>
          <cell r="M545">
            <v>12</v>
          </cell>
          <cell r="N545">
            <v>32</v>
          </cell>
          <cell r="O545">
            <v>-468</v>
          </cell>
          <cell r="P545">
            <v>-103</v>
          </cell>
          <cell r="Q545">
            <v>-166</v>
          </cell>
          <cell r="R545">
            <v>338</v>
          </cell>
          <cell r="S545">
            <v>-260</v>
          </cell>
          <cell r="T545">
            <v>-340</v>
          </cell>
          <cell r="U545">
            <v>-1275</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t="e">
            <v>#VALUE!</v>
          </cell>
          <cell r="AJ545" t="e">
            <v>#VALUE!</v>
          </cell>
          <cell r="AK545" t="e">
            <v>#VALUE!</v>
          </cell>
          <cell r="AL545" t="e">
            <v>#VALUE!</v>
          </cell>
        </row>
        <row r="546">
          <cell r="B546" t="str">
            <v>Net income (post-exceptionals)</v>
          </cell>
          <cell r="C546" t="str">
            <v>NET_INC</v>
          </cell>
          <cell r="F546">
            <v>1279</v>
          </cell>
          <cell r="G546">
            <v>2058</v>
          </cell>
          <cell r="H546">
            <v>1692</v>
          </cell>
          <cell r="I546">
            <v>1558</v>
          </cell>
          <cell r="J546">
            <v>-1642</v>
          </cell>
          <cell r="K546">
            <v>1111</v>
          </cell>
          <cell r="L546">
            <v>1962</v>
          </cell>
          <cell r="M546">
            <v>2167</v>
          </cell>
          <cell r="N546">
            <v>2466</v>
          </cell>
          <cell r="O546">
            <v>2039</v>
          </cell>
          <cell r="P546">
            <v>2926</v>
          </cell>
          <cell r="Q546">
            <v>3521</v>
          </cell>
          <cell r="R546">
            <v>4317</v>
          </cell>
          <cell r="S546">
            <v>4595</v>
          </cell>
          <cell r="T546">
            <v>4616</v>
          </cell>
          <cell r="U546">
            <v>1642</v>
          </cell>
          <cell r="V546">
            <v>5138</v>
          </cell>
          <cell r="W546">
            <v>6051</v>
          </cell>
          <cell r="X546">
            <v>4705</v>
          </cell>
          <cell r="Y546">
            <v>912</v>
          </cell>
          <cell r="Z546">
            <v>4600</v>
          </cell>
          <cell r="AA546">
            <v>3880</v>
          </cell>
          <cell r="AB546">
            <v>3985</v>
          </cell>
          <cell r="AC546">
            <v>5475</v>
          </cell>
          <cell r="AD546">
            <v>7285</v>
          </cell>
          <cell r="AE546">
            <v>5557</v>
          </cell>
          <cell r="AF546">
            <v>4298</v>
          </cell>
          <cell r="AG546">
            <v>7331</v>
          </cell>
          <cell r="AH546">
            <v>4469</v>
          </cell>
          <cell r="AI546" t="e">
            <v>#VALUE!</v>
          </cell>
          <cell r="AJ546" t="e">
            <v>#VALUE!</v>
          </cell>
          <cell r="AK546" t="e">
            <v>#VALUE!</v>
          </cell>
          <cell r="AL546" t="e">
            <v>#VALUE!</v>
          </cell>
        </row>
        <row r="547">
          <cell r="B547" t="str">
            <v>EPS (pre-exceptionals, basic)</v>
          </cell>
          <cell r="C547" t="str">
            <v>EPS</v>
          </cell>
          <cell r="E547" t="str">
            <v>Must be multiplied by 100 for GBP companies</v>
          </cell>
          <cell r="F547">
            <v>2.83</v>
          </cell>
          <cell r="G547">
            <v>4.55</v>
          </cell>
          <cell r="H547">
            <v>3.74</v>
          </cell>
          <cell r="I547">
            <v>3.54</v>
          </cell>
          <cell r="J547">
            <v>2.4500000000000002</v>
          </cell>
          <cell r="K547">
            <v>1.59</v>
          </cell>
          <cell r="L547">
            <v>4.07</v>
          </cell>
          <cell r="M547">
            <v>4.7300000000000004</v>
          </cell>
          <cell r="N547">
            <v>5.35</v>
          </cell>
          <cell r="O547">
            <v>5.51</v>
          </cell>
          <cell r="P547">
            <v>6.65</v>
          </cell>
          <cell r="Q547">
            <v>8.1</v>
          </cell>
          <cell r="R547">
            <v>8.74</v>
          </cell>
          <cell r="S547">
            <v>10.66</v>
          </cell>
          <cell r="T547">
            <v>10.88</v>
          </cell>
          <cell r="U547">
            <v>6.41</v>
          </cell>
          <cell r="V547">
            <v>11.28</v>
          </cell>
          <cell r="W547">
            <v>13.29</v>
          </cell>
          <cell r="X547">
            <v>10.33</v>
          </cell>
          <cell r="Y547">
            <v>2</v>
          </cell>
          <cell r="Z547">
            <v>10.1</v>
          </cell>
          <cell r="AA547">
            <v>8.52</v>
          </cell>
          <cell r="AB547">
            <v>9.01</v>
          </cell>
          <cell r="AC547">
            <v>12.02</v>
          </cell>
          <cell r="AD547">
            <v>16</v>
          </cell>
          <cell r="AE547">
            <v>12.2</v>
          </cell>
          <cell r="AF547">
            <v>9.44</v>
          </cell>
          <cell r="AG547">
            <v>16.100000000000001</v>
          </cell>
          <cell r="AH547">
            <v>9.81</v>
          </cell>
          <cell r="AI547" t="e">
            <v>#VALUE!</v>
          </cell>
          <cell r="AJ547" t="e">
            <v>#VALUE!</v>
          </cell>
          <cell r="AK547" t="e">
            <v>#VALUE!</v>
          </cell>
          <cell r="AL547" t="e">
            <v>#VALUE!</v>
          </cell>
        </row>
        <row r="548">
          <cell r="B548" t="str">
            <v>EPS (pre-exceptionals, diluted)</v>
          </cell>
          <cell r="C548" t="str">
            <v>EPS_FUL_DIL</v>
          </cell>
          <cell r="E548" t="str">
            <v>Must be multiplied by 100 for GBP companies</v>
          </cell>
          <cell r="F548">
            <v>2.8296571359979503</v>
          </cell>
          <cell r="G548">
            <v>4.5531152352492432</v>
          </cell>
          <cell r="H548">
            <v>3.7433775403506897</v>
          </cell>
          <cell r="I548">
            <v>3.5423217674324197</v>
          </cell>
          <cell r="J548">
            <v>2.4530523336776273</v>
          </cell>
          <cell r="K548">
            <v>1.5877858883159577</v>
          </cell>
          <cell r="L548">
            <v>4.07377983793375</v>
          </cell>
          <cell r="M548">
            <v>4.7326120320171414</v>
          </cell>
          <cell r="N548">
            <v>5.3453262132241219</v>
          </cell>
          <cell r="O548">
            <v>5.5056420774662591</v>
          </cell>
          <cell r="P548">
            <v>6.6520103121840037</v>
          </cell>
          <cell r="Q548">
            <v>8.0970491980925807</v>
          </cell>
          <cell r="R548">
            <v>8.7383126550611276</v>
          </cell>
          <cell r="S548">
            <v>10.662103025966768</v>
          </cell>
          <cell r="T548">
            <v>10.883909906630548</v>
          </cell>
          <cell r="U548">
            <v>6.4060462464974384</v>
          </cell>
          <cell r="V548">
            <v>11.283601513371217</v>
          </cell>
          <cell r="W548">
            <v>13.288647870262599</v>
          </cell>
          <cell r="X548">
            <v>10.333153201912111</v>
          </cell>
          <cell r="Y548">
            <v>2.0029406419009237</v>
          </cell>
          <cell r="Z548">
            <v>10.102095554983963</v>
          </cell>
          <cell r="AA548">
            <v>8.5208979898560386</v>
          </cell>
          <cell r="AB548">
            <v>9.0086817649550692</v>
          </cell>
          <cell r="AC548">
            <v>12.023689818160261</v>
          </cell>
          <cell r="AD548">
            <v>15.998644808273514</v>
          </cell>
          <cell r="AE548">
            <v>12.203770651966495</v>
          </cell>
          <cell r="AF548">
            <v>9.4351413151034524</v>
          </cell>
          <cell r="AG548">
            <v>16.099665763823353</v>
          </cell>
          <cell r="AH548">
            <v>9.8144054424398544</v>
          </cell>
          <cell r="AI548" t="e">
            <v>#VALUE!</v>
          </cell>
          <cell r="AJ548" t="e">
            <v>#VALUE!</v>
          </cell>
          <cell r="AK548" t="e">
            <v>#VALUE!</v>
          </cell>
          <cell r="AL548" t="e">
            <v>#VALUE!</v>
          </cell>
        </row>
        <row r="549">
          <cell r="B549" t="str">
            <v>EPS (post-exceptionals, basic)</v>
          </cell>
          <cell r="C549" t="str">
            <v>EPS_POST_BASIC</v>
          </cell>
          <cell r="E549" t="str">
            <v>Must be multiplied by 100 for GBP companies</v>
          </cell>
          <cell r="F549">
            <v>2.8296571359979503</v>
          </cell>
          <cell r="G549">
            <v>4.5531152352492432</v>
          </cell>
          <cell r="H549">
            <v>3.7433775403506897</v>
          </cell>
          <cell r="I549">
            <v>3.4215358423184812</v>
          </cell>
          <cell r="J549">
            <v>-3.6060088915834059</v>
          </cell>
          <cell r="K549">
            <v>2.4398756873015612</v>
          </cell>
          <cell r="L549">
            <v>4.3087633649735944</v>
          </cell>
          <cell r="M549">
            <v>4.7589653240747776</v>
          </cell>
          <cell r="N549">
            <v>5.4156016605631407</v>
          </cell>
          <cell r="O549">
            <v>4.4778636601331083</v>
          </cell>
          <cell r="P549">
            <v>6.425811216061537</v>
          </cell>
          <cell r="Q549">
            <v>7.7324953150214197</v>
          </cell>
          <cell r="R549">
            <v>9.4805970675795148</v>
          </cell>
          <cell r="S549">
            <v>10.091115016337241</v>
          </cell>
          <cell r="T549">
            <v>10.137233278653472</v>
          </cell>
          <cell r="U549">
            <v>3.6060088915834059</v>
          </cell>
          <cell r="V549">
            <v>11.283601513371217</v>
          </cell>
          <cell r="W549">
            <v>13.288647870262599</v>
          </cell>
          <cell r="X549">
            <v>10.333153201912111</v>
          </cell>
          <cell r="Y549">
            <v>2.0029406419009237</v>
          </cell>
          <cell r="Z549">
            <v>10.102095554983963</v>
          </cell>
          <cell r="AA549">
            <v>8.5208979898560386</v>
          </cell>
          <cell r="AB549">
            <v>9.0086817649550692</v>
          </cell>
          <cell r="AC549">
            <v>12.023689818160261</v>
          </cell>
          <cell r="AD549">
            <v>15.998644808273514</v>
          </cell>
          <cell r="AE549">
            <v>12.203770651966495</v>
          </cell>
          <cell r="AF549">
            <v>9.4351413151034524</v>
          </cell>
          <cell r="AG549">
            <v>16.099665763823353</v>
          </cell>
          <cell r="AH549">
            <v>9.8144054424398544</v>
          </cell>
          <cell r="AI549" t="e">
            <v>#VALUE!</v>
          </cell>
          <cell r="AJ549" t="e">
            <v>#VALUE!</v>
          </cell>
          <cell r="AK549" t="e">
            <v>#VALUE!</v>
          </cell>
          <cell r="AL549" t="e">
            <v>#VALUE!</v>
          </cell>
        </row>
        <row r="550">
          <cell r="B550" t="str">
            <v>EPS (post-exceptionals, diluted)</v>
          </cell>
          <cell r="C550" t="str">
            <v>FULLY_DIL_EPS</v>
          </cell>
          <cell r="E550" t="str">
            <v>Must be multiplied by 100 for GBP companies</v>
          </cell>
          <cell r="F550">
            <v>2.8296571359979503</v>
          </cell>
          <cell r="G550">
            <v>4.5531152352492432</v>
          </cell>
          <cell r="H550">
            <v>3.7433775403506897</v>
          </cell>
          <cell r="I550">
            <v>3.4215358423184812</v>
          </cell>
          <cell r="J550">
            <v>-3.6060088915834059</v>
          </cell>
          <cell r="K550">
            <v>2.4398756873015612</v>
          </cell>
          <cell r="L550">
            <v>4.3087633649735944</v>
          </cell>
          <cell r="M550">
            <v>4.7589653240747776</v>
          </cell>
          <cell r="N550">
            <v>5.4156016605631407</v>
          </cell>
          <cell r="O550">
            <v>4.4778636601331083</v>
          </cell>
          <cell r="P550">
            <v>6.425811216061537</v>
          </cell>
          <cell r="Q550">
            <v>7.7324953150214197</v>
          </cell>
          <cell r="R550">
            <v>9.4805970675795148</v>
          </cell>
          <cell r="S550">
            <v>10.091115016337241</v>
          </cell>
          <cell r="T550">
            <v>10.137233278653472</v>
          </cell>
          <cell r="U550">
            <v>3.6060088915834059</v>
          </cell>
          <cell r="V550">
            <v>11.283601513371217</v>
          </cell>
          <cell r="W550">
            <v>13.288647870262599</v>
          </cell>
          <cell r="X550">
            <v>10.333153201912111</v>
          </cell>
          <cell r="Y550">
            <v>2.0029406419009237</v>
          </cell>
          <cell r="Z550">
            <v>10.102095554983963</v>
          </cell>
          <cell r="AA550">
            <v>8.5208979898560386</v>
          </cell>
          <cell r="AB550">
            <v>9.0086817649550692</v>
          </cell>
          <cell r="AC550">
            <v>12.023689818160261</v>
          </cell>
          <cell r="AD550">
            <v>15.998644808273514</v>
          </cell>
          <cell r="AE550">
            <v>12.203770651966495</v>
          </cell>
          <cell r="AF550">
            <v>9.4351413151034524</v>
          </cell>
          <cell r="AG550">
            <v>16.099665763823353</v>
          </cell>
          <cell r="AH550">
            <v>9.8144054424398544</v>
          </cell>
          <cell r="AI550" t="e">
            <v>#VALUE!</v>
          </cell>
          <cell r="AJ550" t="e">
            <v>#VALUE!</v>
          </cell>
          <cell r="AK550" t="e">
            <v>#VALUE!</v>
          </cell>
          <cell r="AL550" t="e">
            <v>#VALUE!</v>
          </cell>
        </row>
        <row r="551">
          <cell r="B551" t="str">
            <v>Common dividends paid</v>
          </cell>
          <cell r="C551" t="str">
            <v>COMMON_DIV_PAID</v>
          </cell>
          <cell r="F551">
            <v>-677.99733600000002</v>
          </cell>
          <cell r="G551">
            <v>-451.99822399999999</v>
          </cell>
          <cell r="H551">
            <v>-564.99778000000003</v>
          </cell>
          <cell r="I551">
            <v>-597.64827675000004</v>
          </cell>
          <cell r="J551">
            <v>-227.675534</v>
          </cell>
          <cell r="K551">
            <v>-455.351068</v>
          </cell>
          <cell r="L551">
            <v>-597.64827675000004</v>
          </cell>
          <cell r="M551">
            <v>-683.02662000000009</v>
          </cell>
          <cell r="N551">
            <v>-910.70213600000011</v>
          </cell>
          <cell r="O551">
            <v>-1138.3776700000001</v>
          </cell>
          <cell r="P551">
            <v>-1366.0532040000003</v>
          </cell>
          <cell r="Q551">
            <v>-1821.404272</v>
          </cell>
          <cell r="R551">
            <v>-2049.0798060000002</v>
          </cell>
          <cell r="S551">
            <v>-2276.7553400000002</v>
          </cell>
          <cell r="T551">
            <v>-1593.728738</v>
          </cell>
          <cell r="U551">
            <v>-1593.728738</v>
          </cell>
          <cell r="V551">
            <v>-2276.7553400000002</v>
          </cell>
          <cell r="W551">
            <v>-2504.4308740000001</v>
          </cell>
          <cell r="X551">
            <v>-2504.317849</v>
          </cell>
          <cell r="Y551">
            <v>-2504.317849</v>
          </cell>
          <cell r="Z551">
            <v>-2504.4308740000001</v>
          </cell>
          <cell r="AA551">
            <v>-2504.4308740000001</v>
          </cell>
          <cell r="AB551">
            <v>-2432.9308740000001</v>
          </cell>
          <cell r="AC551">
            <v>-2504.4308739999997</v>
          </cell>
          <cell r="AD551">
            <v>-2732.1064080000001</v>
          </cell>
          <cell r="AE551">
            <v>-1366.0532040000001</v>
          </cell>
          <cell r="AF551">
            <v>-2960.9519420000001</v>
          </cell>
          <cell r="AG551">
            <v>-3187.457476</v>
          </cell>
          <cell r="AH551">
            <v>-3187.457476</v>
          </cell>
          <cell r="AI551" t="e">
            <v>#VALUE!</v>
          </cell>
          <cell r="AJ551" t="e">
            <v>#VALUE!</v>
          </cell>
          <cell r="AK551" t="e">
            <v>#VALUE!</v>
          </cell>
          <cell r="AL551" t="e">
            <v>#VALUE!</v>
          </cell>
        </row>
        <row r="552">
          <cell r="B552" t="str">
            <v>DPS, dividend per share</v>
          </cell>
          <cell r="C552" t="str">
            <v>DPS</v>
          </cell>
          <cell r="F552">
            <v>1.5</v>
          </cell>
          <cell r="G552">
            <v>1</v>
          </cell>
          <cell r="H552">
            <v>1.25</v>
          </cell>
          <cell r="I552">
            <v>1.3125</v>
          </cell>
          <cell r="J552">
            <v>0.5</v>
          </cell>
          <cell r="K552">
            <v>1</v>
          </cell>
          <cell r="L552">
            <v>1.3125</v>
          </cell>
          <cell r="M552">
            <v>1.5</v>
          </cell>
          <cell r="N552">
            <v>2</v>
          </cell>
          <cell r="O552">
            <v>2.5</v>
          </cell>
          <cell r="P552">
            <v>3</v>
          </cell>
          <cell r="Q552">
            <v>4</v>
          </cell>
          <cell r="R552">
            <v>4.5</v>
          </cell>
          <cell r="S552">
            <v>5</v>
          </cell>
          <cell r="T552">
            <v>3.5</v>
          </cell>
          <cell r="U552">
            <v>3.5</v>
          </cell>
          <cell r="V552">
            <v>5</v>
          </cell>
          <cell r="W552">
            <v>5.5</v>
          </cell>
          <cell r="X552">
            <v>5.5</v>
          </cell>
          <cell r="Y552">
            <v>5.5</v>
          </cell>
          <cell r="Z552">
            <v>5.5</v>
          </cell>
          <cell r="AA552">
            <v>5.5</v>
          </cell>
          <cell r="AB552">
            <v>5.5</v>
          </cell>
          <cell r="AC552">
            <v>5.5</v>
          </cell>
          <cell r="AD552">
            <v>6</v>
          </cell>
          <cell r="AE552">
            <v>3</v>
          </cell>
          <cell r="AF552">
            <v>6.5</v>
          </cell>
          <cell r="AG552">
            <v>7</v>
          </cell>
          <cell r="AH552">
            <v>7</v>
          </cell>
          <cell r="AI552" t="e">
            <v>#VALUE!</v>
          </cell>
          <cell r="AJ552" t="e">
            <v>#VALUE!</v>
          </cell>
          <cell r="AK552" t="e">
            <v>#VALUE!</v>
          </cell>
          <cell r="AL552" t="e">
            <v>#VALUE!</v>
          </cell>
        </row>
        <row r="553">
          <cell r="B553" t="str">
            <v>Weighted average shares outstanding, basic</v>
          </cell>
          <cell r="C553" t="str">
            <v>SH</v>
          </cell>
          <cell r="F553">
            <v>451.99822399999999</v>
          </cell>
          <cell r="G553">
            <v>451.99822399999999</v>
          </cell>
          <cell r="H553">
            <v>451.99822399999999</v>
          </cell>
          <cell r="I553">
            <v>455.351068</v>
          </cell>
          <cell r="J553">
            <v>455.351068</v>
          </cell>
          <cell r="K553">
            <v>455.351068</v>
          </cell>
          <cell r="L553">
            <v>455.351068</v>
          </cell>
          <cell r="M553">
            <v>455.35108000000002</v>
          </cell>
          <cell r="N553">
            <v>455.35106800000005</v>
          </cell>
          <cell r="O553">
            <v>455.351068</v>
          </cell>
          <cell r="P553">
            <v>455.35106800000005</v>
          </cell>
          <cell r="Q553">
            <v>455.351068</v>
          </cell>
          <cell r="R553">
            <v>455.351068</v>
          </cell>
          <cell r="S553">
            <v>455.351068</v>
          </cell>
          <cell r="T553">
            <v>455.351068</v>
          </cell>
          <cell r="U553">
            <v>455.351068</v>
          </cell>
          <cell r="V553">
            <v>455.35106800000005</v>
          </cell>
          <cell r="W553">
            <v>455.351068</v>
          </cell>
          <cell r="X553">
            <v>455.33051799999998</v>
          </cell>
          <cell r="Y553">
            <v>455.33051799999998</v>
          </cell>
          <cell r="Z553">
            <v>455.351068</v>
          </cell>
          <cell r="AA553">
            <v>455.351068</v>
          </cell>
          <cell r="AB553">
            <v>442.351068</v>
          </cell>
          <cell r="AC553">
            <v>455.35106799999994</v>
          </cell>
          <cell r="AD553">
            <v>455.351068</v>
          </cell>
          <cell r="AE553">
            <v>455.351068</v>
          </cell>
          <cell r="AF553">
            <v>455.531068</v>
          </cell>
          <cell r="AG553">
            <v>455.351068</v>
          </cell>
          <cell r="AH553">
            <v>455.351068</v>
          </cell>
          <cell r="AI553">
            <v>456.25106799999998</v>
          </cell>
          <cell r="AJ553">
            <v>457.15106799999995</v>
          </cell>
          <cell r="AK553">
            <v>458.05106799999993</v>
          </cell>
          <cell r="AL553">
            <v>458.95106799999991</v>
          </cell>
        </row>
        <row r="554">
          <cell r="B554" t="str">
            <v>Diluted average shares outstanding (mn)</v>
          </cell>
          <cell r="C554" t="str">
            <v>DILUTE_SHARES</v>
          </cell>
          <cell r="F554">
            <v>451.99822399999999</v>
          </cell>
          <cell r="G554">
            <v>451.99822399999999</v>
          </cell>
          <cell r="H554">
            <v>451.99822399999999</v>
          </cell>
          <cell r="I554">
            <v>455.351068</v>
          </cell>
          <cell r="J554">
            <v>455.351068</v>
          </cell>
          <cell r="K554">
            <v>455.351068</v>
          </cell>
          <cell r="L554">
            <v>455.351068</v>
          </cell>
          <cell r="M554">
            <v>455.35108000000002</v>
          </cell>
          <cell r="N554">
            <v>455.35106800000005</v>
          </cell>
          <cell r="O554">
            <v>455.351068</v>
          </cell>
          <cell r="P554">
            <v>455.35106800000005</v>
          </cell>
          <cell r="Q554">
            <v>455.351068</v>
          </cell>
          <cell r="R554">
            <v>455.351068</v>
          </cell>
          <cell r="S554">
            <v>455.351068</v>
          </cell>
          <cell r="T554">
            <v>455.351068</v>
          </cell>
          <cell r="U554">
            <v>455.351068</v>
          </cell>
          <cell r="V554">
            <v>455.35106800000005</v>
          </cell>
          <cell r="W554">
            <v>455.351068</v>
          </cell>
          <cell r="X554">
            <v>455.33051799999998</v>
          </cell>
          <cell r="Y554">
            <v>455.33051799999998</v>
          </cell>
          <cell r="Z554">
            <v>455.351068</v>
          </cell>
          <cell r="AA554">
            <v>455.351068</v>
          </cell>
          <cell r="AB554">
            <v>442.351068</v>
          </cell>
          <cell r="AC554">
            <v>455.35106799999994</v>
          </cell>
          <cell r="AD554">
            <v>455.351068</v>
          </cell>
          <cell r="AE554">
            <v>455.351068</v>
          </cell>
          <cell r="AF554">
            <v>455.531068</v>
          </cell>
          <cell r="AG554">
            <v>455.351068</v>
          </cell>
          <cell r="AH554">
            <v>455.351068</v>
          </cell>
          <cell r="AI554">
            <v>456.25106799999998</v>
          </cell>
          <cell r="AJ554">
            <v>457.15106799999995</v>
          </cell>
          <cell r="AK554">
            <v>458.05106799999993</v>
          </cell>
          <cell r="AL554">
            <v>458.95106799999991</v>
          </cell>
          <cell r="AO554">
            <v>113.837767</v>
          </cell>
          <cell r="AP554">
            <v>113.837767</v>
          </cell>
          <cell r="AQ554">
            <v>113.837767</v>
          </cell>
          <cell r="AR554">
            <v>113.837767</v>
          </cell>
          <cell r="AS554">
            <v>113.837767</v>
          </cell>
          <cell r="AT554">
            <v>113.837767</v>
          </cell>
          <cell r="AU554">
            <v>455.351068</v>
          </cell>
          <cell r="AV554">
            <v>455.351068</v>
          </cell>
          <cell r="AW554">
            <v>455.351068</v>
          </cell>
          <cell r="AX554">
            <v>455.351068</v>
          </cell>
          <cell r="AY554">
            <v>455.351068</v>
          </cell>
          <cell r="AZ554">
            <v>455.351068</v>
          </cell>
          <cell r="BA554">
            <v>455.351068</v>
          </cell>
          <cell r="BB554">
            <v>455.351068</v>
          </cell>
          <cell r="BC554">
            <v>455.351068</v>
          </cell>
          <cell r="BD554">
            <v>455.351068</v>
          </cell>
          <cell r="BE554">
            <v>455.351068</v>
          </cell>
          <cell r="BF554">
            <v>455.351068</v>
          </cell>
          <cell r="BG554">
            <v>455.351068</v>
          </cell>
          <cell r="BH554">
            <v>455.351068</v>
          </cell>
          <cell r="BI554">
            <v>455.351068</v>
          </cell>
          <cell r="BJ554">
            <v>455.351068</v>
          </cell>
          <cell r="BK554">
            <v>455.351068</v>
          </cell>
          <cell r="BL554">
            <v>455.351068</v>
          </cell>
          <cell r="BM554">
            <v>455.351068</v>
          </cell>
          <cell r="BN554">
            <v>455.351068</v>
          </cell>
          <cell r="BO554">
            <v>455.351068</v>
          </cell>
          <cell r="BP554">
            <v>455.351068</v>
          </cell>
          <cell r="BQ554">
            <v>455.35106800000005</v>
          </cell>
          <cell r="BR554">
            <v>455.351068</v>
          </cell>
          <cell r="BS554">
            <v>455.351068</v>
          </cell>
          <cell r="BT554">
            <v>455.351068</v>
          </cell>
          <cell r="BU554">
            <v>455.351068</v>
          </cell>
          <cell r="BV554">
            <v>455.351068</v>
          </cell>
          <cell r="BW554">
            <v>455.351068</v>
          </cell>
          <cell r="BX554">
            <v>455.351068</v>
          </cell>
          <cell r="BY554">
            <v>455.33051799999998</v>
          </cell>
          <cell r="BZ554">
            <v>455.28306800000001</v>
          </cell>
          <cell r="CA554">
            <v>455.351068</v>
          </cell>
          <cell r="CB554">
            <v>455.351068</v>
          </cell>
          <cell r="CC554">
            <v>455.351068</v>
          </cell>
          <cell r="CD554">
            <v>455.26151199999998</v>
          </cell>
          <cell r="CE554">
            <v>452.351068</v>
          </cell>
          <cell r="CF554">
            <v>455.351068</v>
          </cell>
          <cell r="CG554">
            <v>455.351068</v>
          </cell>
          <cell r="CH554">
            <v>455.351068</v>
          </cell>
          <cell r="CI554">
            <v>455.351068</v>
          </cell>
          <cell r="CJ554">
            <v>455.351068</v>
          </cell>
          <cell r="CK554">
            <v>455.351068</v>
          </cell>
          <cell r="CL554">
            <v>455.351068</v>
          </cell>
          <cell r="CM554">
            <v>455.351068</v>
          </cell>
          <cell r="CN554">
            <v>455.351068</v>
          </cell>
          <cell r="CO554">
            <v>455.351068</v>
          </cell>
          <cell r="CP554">
            <v>455.351068</v>
          </cell>
          <cell r="CQ554">
            <v>455.35106800000005</v>
          </cell>
          <cell r="CR554">
            <v>455.35106800000005</v>
          </cell>
          <cell r="CS554">
            <v>455.35106799999994</v>
          </cell>
          <cell r="CT554">
            <v>455.351068</v>
          </cell>
          <cell r="CU554">
            <v>455.351068</v>
          </cell>
          <cell r="CV554">
            <v>455.351068</v>
          </cell>
          <cell r="CW554">
            <v>455.351068</v>
          </cell>
          <cell r="CX554">
            <v>455.351068</v>
          </cell>
          <cell r="CY554">
            <v>455.351068</v>
          </cell>
          <cell r="CZ554">
            <v>455.351068</v>
          </cell>
          <cell r="DA554">
            <v>455.351068</v>
          </cell>
          <cell r="DB554">
            <v>455.351068</v>
          </cell>
          <cell r="DC554">
            <v>455.351068</v>
          </cell>
          <cell r="DD554">
            <v>455.351068</v>
          </cell>
          <cell r="DE554">
            <v>455.351068</v>
          </cell>
          <cell r="DF554">
            <v>455.351068</v>
          </cell>
          <cell r="DG554">
            <v>455.351068</v>
          </cell>
          <cell r="DH554">
            <v>455.351068</v>
          </cell>
          <cell r="DI554">
            <v>455.351068</v>
          </cell>
          <cell r="DJ554">
            <v>455.351068</v>
          </cell>
          <cell r="DK554">
            <v>455.351068</v>
          </cell>
          <cell r="DL554">
            <v>455.351068</v>
          </cell>
          <cell r="DM554">
            <v>455.351068</v>
          </cell>
          <cell r="DN554">
            <v>455.351068</v>
          </cell>
          <cell r="DO554">
            <v>455.33106800000002</v>
          </cell>
          <cell r="DP554">
            <v>455.33106800000002</v>
          </cell>
          <cell r="DQ554">
            <v>455.33106800000002</v>
          </cell>
          <cell r="DR554">
            <v>455.33106800000002</v>
          </cell>
          <cell r="DS554">
            <v>455.33106800000002</v>
          </cell>
        </row>
        <row r="555">
          <cell r="B555" t="str">
            <v>Period-end shares outstanding</v>
          </cell>
          <cell r="C555" t="str">
            <v>NON_OP_ADD</v>
          </cell>
          <cell r="F555">
            <v>451.99822399999999</v>
          </cell>
          <cell r="G555">
            <v>451.99822399999999</v>
          </cell>
          <cell r="H555">
            <v>451.99822399999999</v>
          </cell>
          <cell r="I555">
            <v>455.351068</v>
          </cell>
          <cell r="J555">
            <v>455.351068</v>
          </cell>
          <cell r="K555">
            <v>455.351068</v>
          </cell>
          <cell r="L555">
            <v>455.351068</v>
          </cell>
          <cell r="M555">
            <v>455.35108000000002</v>
          </cell>
          <cell r="N555">
            <v>455.35106800000005</v>
          </cell>
          <cell r="O555">
            <v>455.351068</v>
          </cell>
          <cell r="P555">
            <v>455.35106800000005</v>
          </cell>
          <cell r="Q555">
            <v>455.351068</v>
          </cell>
          <cell r="R555">
            <v>455.351068</v>
          </cell>
          <cell r="S555">
            <v>455.351068</v>
          </cell>
          <cell r="T555">
            <v>455.351068</v>
          </cell>
          <cell r="U555">
            <v>455.351068</v>
          </cell>
          <cell r="V555">
            <v>455.35106800000005</v>
          </cell>
          <cell r="W555">
            <v>455.351068</v>
          </cell>
          <cell r="X555">
            <v>455.33051799999998</v>
          </cell>
          <cell r="Y555">
            <v>455.33051799999998</v>
          </cell>
          <cell r="Z555">
            <v>455.351068</v>
          </cell>
          <cell r="AA555">
            <v>455.351068</v>
          </cell>
          <cell r="AB555">
            <v>442.351068</v>
          </cell>
          <cell r="AC555">
            <v>455.35106799999994</v>
          </cell>
          <cell r="AD555">
            <v>455.351068</v>
          </cell>
          <cell r="AE555">
            <v>455.351068</v>
          </cell>
          <cell r="AF555">
            <v>455.531068</v>
          </cell>
          <cell r="AG555">
            <v>455.351068</v>
          </cell>
          <cell r="AH555">
            <v>455.351068</v>
          </cell>
          <cell r="AI555">
            <v>456.25106799999998</v>
          </cell>
          <cell r="AJ555">
            <v>457.15106799999995</v>
          </cell>
          <cell r="AK555">
            <v>458.05106799999993</v>
          </cell>
          <cell r="AL555">
            <v>458.95106799999991</v>
          </cell>
        </row>
        <row r="556">
          <cell r="A556" t="str">
            <v>Additional Income Statement Items</v>
          </cell>
        </row>
        <row r="557">
          <cell r="B557" t="str">
            <v>Organic net income (excl. acquisitions)</v>
          </cell>
          <cell r="C557" t="str">
            <v>ORG_NI</v>
          </cell>
          <cell r="Y557">
            <v>4448.5791608599993</v>
          </cell>
        </row>
        <row r="558">
          <cell r="B558" t="str">
            <v>Organic EPS (excl. acquisitions)</v>
          </cell>
          <cell r="C558" t="str">
            <v>ORG_EPS</v>
          </cell>
        </row>
        <row r="559">
          <cell r="B559" t="str">
            <v>Marginal tax rate</v>
          </cell>
          <cell r="C559" t="str">
            <v>MARGIN_TAX_RATE</v>
          </cell>
          <cell r="F559">
            <v>0.30367607884922748</v>
          </cell>
          <cell r="G559">
            <v>0.38388905281794039</v>
          </cell>
          <cell r="H559">
            <v>0.29063018242122718</v>
          </cell>
          <cell r="I559">
            <v>0.26978250809810272</v>
          </cell>
          <cell r="J559">
            <v>0.3</v>
          </cell>
          <cell r="K559">
            <v>0.47067342505430848</v>
          </cell>
          <cell r="L559">
            <v>0.3457685664939551</v>
          </cell>
          <cell r="M559">
            <v>0.2924710424710425</v>
          </cell>
          <cell r="N559">
            <v>0.30056980056980059</v>
          </cell>
          <cell r="O559">
            <v>0.21404477154247165</v>
          </cell>
          <cell r="P559">
            <v>0.26515513126491647</v>
          </cell>
          <cell r="Q559">
            <v>0.30374607861229008</v>
          </cell>
          <cell r="R559">
            <v>0.32319391634980987</v>
          </cell>
          <cell r="S559">
            <v>0.3204920248715869</v>
          </cell>
          <cell r="T559">
            <v>0.29508879023307438</v>
          </cell>
          <cell r="U559">
            <v>0.16573348264277715</v>
          </cell>
          <cell r="V559">
            <v>0.29845012584448272</v>
          </cell>
          <cell r="W559">
            <v>0.303179579041648</v>
          </cell>
          <cell r="X559">
            <v>0.2515403573629082</v>
          </cell>
          <cell r="Y559">
            <v>0.3</v>
          </cell>
          <cell r="Z559">
            <v>0.28764247150569888</v>
          </cell>
          <cell r="AA559">
            <v>0.30167980802194033</v>
          </cell>
          <cell r="AB559">
            <v>0.37542662116040953</v>
          </cell>
          <cell r="AC559">
            <v>0.2478453904413685</v>
          </cell>
          <cell r="AD559">
            <v>0.255496662740479</v>
          </cell>
          <cell r="AE559">
            <v>0.31609398984531822</v>
          </cell>
          <cell r="AF559">
            <v>0.28984126984126984</v>
          </cell>
          <cell r="AG559">
            <v>0.24684487727317897</v>
          </cell>
          <cell r="AH559">
            <v>0.33429315782256958</v>
          </cell>
          <cell r="AI559" t="e">
            <v>#VALUE!</v>
          </cell>
          <cell r="AJ559" t="e">
            <v>#VALUE!</v>
          </cell>
          <cell r="AK559" t="e">
            <v>#VALUE!</v>
          </cell>
          <cell r="AL559" t="e">
            <v>#VALUE!</v>
          </cell>
        </row>
        <row r="560">
          <cell r="A560" t="str">
            <v>Balance Sheet</v>
          </cell>
        </row>
        <row r="561">
          <cell r="B561" t="str">
            <v>BVPS, book value per share</v>
          </cell>
          <cell r="C561" t="str">
            <v>BVPS</v>
          </cell>
          <cell r="E561" t="str">
            <v>Must be multiplied by 100 for GBP companies</v>
          </cell>
          <cell r="F561">
            <v>20.316451508889116</v>
          </cell>
          <cell r="G561">
            <v>22.393893299899339</v>
          </cell>
          <cell r="H561">
            <v>25.022222211209396</v>
          </cell>
          <cell r="I561">
            <v>27.644604096986548</v>
          </cell>
          <cell r="J561">
            <v>24.00784969719232</v>
          </cell>
          <cell r="K561">
            <v>24.963156559457108</v>
          </cell>
          <cell r="L561">
            <v>29.853888472706952</v>
          </cell>
          <cell r="M561">
            <v>35.629650861923942</v>
          </cell>
          <cell r="N561">
            <v>35.939302990720115</v>
          </cell>
          <cell r="O561">
            <v>33.301777607777566</v>
          </cell>
          <cell r="P561">
            <v>36.413662260258491</v>
          </cell>
          <cell r="Q561">
            <v>38.71518316061136</v>
          </cell>
          <cell r="R561">
            <v>41.666751948850155</v>
          </cell>
          <cell r="S561">
            <v>38.622946635978899</v>
          </cell>
          <cell r="T561">
            <v>43.17328185118037</v>
          </cell>
          <cell r="U561">
            <v>38.236431675614298</v>
          </cell>
          <cell r="V561">
            <v>41.583299855135067</v>
          </cell>
          <cell r="W561">
            <v>47.075765286225263</v>
          </cell>
          <cell r="X561">
            <v>46.867054055006257</v>
          </cell>
          <cell r="Y561">
            <v>44.143757568211143</v>
          </cell>
          <cell r="Z561">
            <v>50.705931362831457</v>
          </cell>
          <cell r="AA561">
            <v>54.496413303679788</v>
          </cell>
          <cell r="AB561">
            <v>58.853706667212116</v>
          </cell>
          <cell r="AC561">
            <v>61.570076299897913</v>
          </cell>
          <cell r="AD561">
            <v>73.64866881129177</v>
          </cell>
          <cell r="AE561">
            <v>77.988177684476184</v>
          </cell>
          <cell r="AF561">
            <v>75.316487524403058</v>
          </cell>
          <cell r="AG561">
            <v>95.849121847233704</v>
          </cell>
          <cell r="AH561">
            <v>114.03728606166352</v>
          </cell>
          <cell r="AI561" t="e">
            <v>#VALUE!</v>
          </cell>
          <cell r="AJ561" t="e">
            <v>#VALUE!</v>
          </cell>
          <cell r="AK561" t="e">
            <v>#VALUE!</v>
          </cell>
          <cell r="AL561" t="e">
            <v>#VALUE!</v>
          </cell>
        </row>
        <row r="562">
          <cell r="A562" t="str">
            <v>Cash Flow Statement</v>
          </cell>
        </row>
        <row r="563">
          <cell r="B563" t="str">
            <v>Net income (pre-preferred dividends)</v>
          </cell>
          <cell r="C563" t="str">
            <v>CF_NI_PRE_PREF</v>
          </cell>
          <cell r="F563">
            <v>1279</v>
          </cell>
          <cell r="G563">
            <v>2058</v>
          </cell>
          <cell r="H563">
            <v>1692</v>
          </cell>
          <cell r="I563">
            <v>1613</v>
          </cell>
          <cell r="J563">
            <v>1117</v>
          </cell>
          <cell r="K563">
            <v>723</v>
          </cell>
          <cell r="L563">
            <v>1855</v>
          </cell>
          <cell r="M563">
            <v>2155</v>
          </cell>
          <cell r="N563">
            <v>2434</v>
          </cell>
          <cell r="O563">
            <v>2507</v>
          </cell>
          <cell r="P563">
            <v>3029</v>
          </cell>
          <cell r="Q563">
            <v>3687</v>
          </cell>
          <cell r="R563">
            <v>3979</v>
          </cell>
          <cell r="S563">
            <v>4855</v>
          </cell>
          <cell r="T563">
            <v>4956</v>
          </cell>
          <cell r="U563">
            <v>2917</v>
          </cell>
          <cell r="V563">
            <v>5138</v>
          </cell>
          <cell r="W563">
            <v>6051</v>
          </cell>
          <cell r="X563">
            <v>4705</v>
          </cell>
          <cell r="Y563">
            <v>912</v>
          </cell>
          <cell r="Z563">
            <v>4600</v>
          </cell>
          <cell r="AA563">
            <v>3880</v>
          </cell>
          <cell r="AB563">
            <v>3985</v>
          </cell>
          <cell r="AC563">
            <v>5475</v>
          </cell>
          <cell r="AD563">
            <v>7285</v>
          </cell>
          <cell r="AE563">
            <v>5557</v>
          </cell>
          <cell r="AF563">
            <v>4298</v>
          </cell>
          <cell r="AG563">
            <v>7331</v>
          </cell>
          <cell r="AH563">
            <v>4469</v>
          </cell>
          <cell r="AI563" t="e">
            <v>#VALUE!</v>
          </cell>
          <cell r="AJ563" t="e">
            <v>#VALUE!</v>
          </cell>
          <cell r="AK563" t="e">
            <v>#VALUE!</v>
          </cell>
          <cell r="AL563" t="e">
            <v>#VALUE!</v>
          </cell>
        </row>
        <row r="564">
          <cell r="A564" t="str">
            <v>Other Items</v>
          </cell>
        </row>
        <row r="565">
          <cell r="B565" t="str">
            <v>Beta</v>
          </cell>
          <cell r="C565" t="str">
            <v>BETA_ANALYST</v>
          </cell>
          <cell r="F565">
            <v>1.2</v>
          </cell>
          <cell r="G565">
            <v>1.2</v>
          </cell>
          <cell r="H565">
            <v>1.2</v>
          </cell>
          <cell r="I565">
            <v>1.2</v>
          </cell>
          <cell r="J565">
            <v>1.2</v>
          </cell>
          <cell r="K565">
            <v>1.2</v>
          </cell>
          <cell r="L565">
            <v>1.2</v>
          </cell>
          <cell r="M565">
            <v>1.2</v>
          </cell>
          <cell r="N565">
            <v>1.2</v>
          </cell>
          <cell r="O565">
            <v>1.2</v>
          </cell>
          <cell r="P565">
            <v>1.2</v>
          </cell>
          <cell r="Q565">
            <v>1.2</v>
          </cell>
          <cell r="R565">
            <v>1.2</v>
          </cell>
          <cell r="S565">
            <v>1.2</v>
          </cell>
          <cell r="T565">
            <v>1.2</v>
          </cell>
          <cell r="U565">
            <v>1.2</v>
          </cell>
          <cell r="V565">
            <v>1.2</v>
          </cell>
          <cell r="W565">
            <v>1.2</v>
          </cell>
          <cell r="X565">
            <v>1.2</v>
          </cell>
          <cell r="Y565">
            <v>1.2</v>
          </cell>
          <cell r="Z565">
            <v>1.2</v>
          </cell>
          <cell r="AA565">
            <v>1.2</v>
          </cell>
          <cell r="AB565">
            <v>1.2</v>
          </cell>
          <cell r="AC565">
            <v>1.2</v>
          </cell>
          <cell r="AD565">
            <v>1.2</v>
          </cell>
          <cell r="AE565">
            <v>1.2</v>
          </cell>
          <cell r="AF565">
            <v>1.2</v>
          </cell>
          <cell r="AG565">
            <v>1.2</v>
          </cell>
          <cell r="AH565">
            <v>1.2</v>
          </cell>
          <cell r="AI565">
            <v>1.2</v>
          </cell>
          <cell r="AJ565">
            <v>1.2</v>
          </cell>
          <cell r="AK565">
            <v>1.2</v>
          </cell>
          <cell r="AL565">
            <v>1.2</v>
          </cell>
        </row>
        <row r="566">
          <cell r="B566" t="str">
            <v>Market equity risk premium</v>
          </cell>
          <cell r="C566" t="str">
            <v>MKT_EQ_RISK_PREM</v>
          </cell>
        </row>
        <row r="567">
          <cell r="B567" t="str">
            <v>Risk-free rate</v>
          </cell>
          <cell r="C567" t="str">
            <v>RISK_FR_RATE</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row>
      </sheetData>
      <sheetData sheetId="6"/>
      <sheetData sheetId="7"/>
      <sheetData sheetId="8">
        <row r="290">
          <cell r="AQ290"/>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9">
          <cell r="Q9">
            <v>0.16447457627118633</v>
          </cell>
        </row>
      </sheetData>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4"/>
      <sheetName val="MigrationOutput_QP_ULE.L"/>
      <sheetName val="QP_ULE.L_migrated"/>
      <sheetName val="_QP_ULE.L"/>
      <sheetName val="ULE.L_Live_Sheet"/>
      <sheetName val="ULE.L_Validation_Sheet"/>
      <sheetName val="ULE.L_Annotation_Sheet"/>
      <sheetName val="ULE.L_Exchange_Sheet"/>
      <sheetName val="Financials"/>
      <sheetName val="Use of cash"/>
      <sheetName val="Interims"/>
      <sheetName val="Divisional"/>
      <sheetName val="Platforms"/>
      <sheetName val="Old vs New"/>
      <sheetName val="Old Model ---&gt;"/>
      <sheetName val="Data"/>
      <sheetName val="CROCI"/>
      <sheetName val="Val"/>
      <sheetName val="Financials DP"/>
      <sheetName val="Interims DP"/>
      <sheetName val="Aircraft &amp; Vehicle DP"/>
      <sheetName val="Info &amp; Power DP"/>
      <sheetName val="Tactical &amp; SonarDP"/>
      <sheetName val="R4"/>
      <sheetName val="DCF-old"/>
      <sheetName val="Structure - new"/>
      <sheetName val="Cyber peers"/>
      <sheetName val="Structure - old"/>
      <sheetName val="Report - divisions"/>
      <sheetName val="Report - Oman"/>
      <sheetName val="Ch1"/>
      <sheetName val="R1"/>
      <sheetName val="R2"/>
      <sheetName val="R3"/>
      <sheetName val="P1"/>
      <sheetName val="Z2 (GS)"/>
      <sheetName val="Z3 ROIC"/>
      <sheetName val="Z2 (pres)"/>
      <sheetName val="Charts 2"/>
      <sheetName val="Sheet1"/>
      <sheetName val="Sheet2"/>
      <sheetName val="Sheet3"/>
    </sheetNames>
    <sheetDataSet>
      <sheetData sheetId="0"/>
      <sheetData sheetId="1"/>
      <sheetData sheetId="2"/>
      <sheetData sheetId="3"/>
      <sheetData sheetId="4"/>
      <sheetData sheetId="5">
        <row r="1">
          <cell r="A1" t="str">
            <v>Issuer: Ultra Electronics</v>
          </cell>
          <cell r="F1">
            <v>1996</v>
          </cell>
          <cell r="G1">
            <v>1997</v>
          </cell>
          <cell r="H1">
            <v>1998</v>
          </cell>
          <cell r="I1">
            <v>1999</v>
          </cell>
          <cell r="J1">
            <v>2000</v>
          </cell>
          <cell r="K1">
            <v>2001</v>
          </cell>
          <cell r="L1">
            <v>2002</v>
          </cell>
          <cell r="M1">
            <v>2003</v>
          </cell>
          <cell r="N1">
            <v>2004</v>
          </cell>
          <cell r="O1">
            <v>2005</v>
          </cell>
          <cell r="P1" t="str">
            <v>2006 H1</v>
          </cell>
          <cell r="Q1" t="str">
            <v>2006 H2</v>
          </cell>
          <cell r="R1">
            <v>2006</v>
          </cell>
          <cell r="S1" t="str">
            <v>2007 H1</v>
          </cell>
          <cell r="T1" t="str">
            <v>2007 H2</v>
          </cell>
          <cell r="U1">
            <v>2007</v>
          </cell>
          <cell r="V1" t="str">
            <v>2008 H1</v>
          </cell>
          <cell r="W1" t="str">
            <v>2008 H2</v>
          </cell>
          <cell r="X1">
            <v>2008</v>
          </cell>
          <cell r="Y1" t="str">
            <v>2009 H1</v>
          </cell>
          <cell r="Z1" t="str">
            <v>2009 H2</v>
          </cell>
          <cell r="AA1">
            <v>2009</v>
          </cell>
          <cell r="AB1" t="str">
            <v>2010 H1</v>
          </cell>
          <cell r="AC1" t="str">
            <v>2010 H2</v>
          </cell>
          <cell r="AD1">
            <v>2010</v>
          </cell>
          <cell r="AE1" t="str">
            <v>2011 H1</v>
          </cell>
          <cell r="AF1" t="str">
            <v>2011 H2</v>
          </cell>
          <cell r="AG1">
            <v>2011</v>
          </cell>
          <cell r="AH1">
            <v>2012</v>
          </cell>
          <cell r="AI1">
            <v>2013</v>
          </cell>
          <cell r="AJ1">
            <v>2014</v>
          </cell>
          <cell r="AK1">
            <v>2015</v>
          </cell>
          <cell r="AL1">
            <v>2016</v>
          </cell>
          <cell r="AM1">
            <v>2017</v>
          </cell>
          <cell r="AN1">
            <v>2018</v>
          </cell>
          <cell r="AO1">
            <v>2019</v>
          </cell>
          <cell r="AP1">
            <v>2020</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Estimate</v>
          </cell>
          <cell r="AJ2" t="str">
            <v>Estimate</v>
          </cell>
          <cell r="AK2" t="str">
            <v>Estimate</v>
          </cell>
          <cell r="AL2" t="str">
            <v>Estimate</v>
          </cell>
          <cell r="AM2" t="str">
            <v>Estimate</v>
          </cell>
          <cell r="AN2" t="str">
            <v>Estimate</v>
          </cell>
          <cell r="AO2" t="str">
            <v>Estimate</v>
          </cell>
          <cell r="AP2" t="str">
            <v>Estimate</v>
          </cell>
        </row>
        <row r="3">
          <cell r="F3">
            <v>35430</v>
          </cell>
          <cell r="G3">
            <v>35795</v>
          </cell>
          <cell r="H3">
            <v>36160</v>
          </cell>
          <cell r="I3">
            <v>36525</v>
          </cell>
          <cell r="J3">
            <v>36891</v>
          </cell>
          <cell r="K3">
            <v>37256</v>
          </cell>
          <cell r="L3">
            <v>37621</v>
          </cell>
          <cell r="M3">
            <v>37986</v>
          </cell>
          <cell r="N3">
            <v>38352</v>
          </cell>
          <cell r="O3">
            <v>38717</v>
          </cell>
          <cell r="P3">
            <v>38898</v>
          </cell>
          <cell r="Q3">
            <v>39082</v>
          </cell>
          <cell r="R3">
            <v>39082</v>
          </cell>
          <cell r="S3">
            <v>39263</v>
          </cell>
          <cell r="T3">
            <v>39447</v>
          </cell>
          <cell r="U3">
            <v>39447</v>
          </cell>
          <cell r="V3">
            <v>39629</v>
          </cell>
          <cell r="W3">
            <v>39813</v>
          </cell>
          <cell r="X3">
            <v>39813</v>
          </cell>
          <cell r="Y3">
            <v>39994</v>
          </cell>
          <cell r="Z3">
            <v>40178</v>
          </cell>
          <cell r="AA3">
            <v>40178</v>
          </cell>
          <cell r="AB3">
            <v>40359</v>
          </cell>
          <cell r="AC3">
            <v>40543</v>
          </cell>
          <cell r="AD3">
            <v>40543</v>
          </cell>
          <cell r="AE3">
            <v>40724</v>
          </cell>
          <cell r="AF3">
            <v>40908</v>
          </cell>
          <cell r="AG3">
            <v>40908</v>
          </cell>
          <cell r="AH3">
            <v>41274</v>
          </cell>
          <cell r="AI3">
            <v>41639</v>
          </cell>
          <cell r="AJ3">
            <v>42004</v>
          </cell>
          <cell r="AK3">
            <v>42369</v>
          </cell>
          <cell r="AL3">
            <v>42735</v>
          </cell>
          <cell r="AM3">
            <v>43100</v>
          </cell>
          <cell r="AN3">
            <v>43465</v>
          </cell>
          <cell r="AO3">
            <v>43830</v>
          </cell>
          <cell r="AP3">
            <v>44196</v>
          </cell>
        </row>
        <row r="4">
          <cell r="A4" t="str">
            <v>Issuer: Ultra Electronics</v>
          </cell>
          <cell r="B4" t="str">
            <v>1679M</v>
          </cell>
        </row>
        <row r="5">
          <cell r="A5" t="str">
            <v>Reference Data</v>
          </cell>
        </row>
        <row r="6">
          <cell r="B6" t="str">
            <v>Issuer Name</v>
          </cell>
          <cell r="C6" t="str">
            <v>Issuer Name</v>
          </cell>
          <cell r="E6" t="str">
            <v>Ultra Electronics</v>
          </cell>
        </row>
        <row r="7">
          <cell r="B7" t="str">
            <v>Reporting Currency</v>
          </cell>
          <cell r="C7" t="str">
            <v>CURRENCY_ISO</v>
          </cell>
          <cell r="E7" t="str">
            <v>GBP</v>
          </cell>
        </row>
        <row r="8">
          <cell r="A8" t="str">
            <v>Income Statement</v>
          </cell>
        </row>
        <row r="9">
          <cell r="B9" t="str">
            <v>Sales, net revenue</v>
          </cell>
          <cell r="C9" t="str">
            <v>SALES</v>
          </cell>
          <cell r="D9" t="str">
            <v>GBP</v>
          </cell>
          <cell r="F9">
            <v>123.589</v>
          </cell>
          <cell r="G9">
            <v>143.35</v>
          </cell>
          <cell r="H9">
            <v>158.654</v>
          </cell>
          <cell r="I9">
            <v>192.98099999999999</v>
          </cell>
          <cell r="J9">
            <v>226.93199999999999</v>
          </cell>
          <cell r="K9">
            <v>239.54</v>
          </cell>
          <cell r="L9">
            <v>260.35199999999998</v>
          </cell>
          <cell r="M9">
            <v>284.35000000000002</v>
          </cell>
          <cell r="N9">
            <v>319.66899999999998</v>
          </cell>
          <cell r="O9">
            <v>342.41</v>
          </cell>
          <cell r="R9">
            <v>377.04</v>
          </cell>
          <cell r="U9">
            <v>412.89</v>
          </cell>
          <cell r="X9">
            <v>515.27099999999996</v>
          </cell>
          <cell r="AA9">
            <v>651.03599999999994</v>
          </cell>
          <cell r="AD9">
            <v>710.04300000000001</v>
          </cell>
          <cell r="AG9">
            <v>731.73299999999995</v>
          </cell>
          <cell r="AH9">
            <v>760.82600000000002</v>
          </cell>
          <cell r="AI9">
            <v>752.02227139013496</v>
          </cell>
          <cell r="AJ9">
            <v>819.01993800267405</v>
          </cell>
          <cell r="AK9">
            <v>864.11118122849405</v>
          </cell>
          <cell r="AL9">
            <v>923.25446190865205</v>
          </cell>
          <cell r="AM9">
            <v>991.01719037656005</v>
          </cell>
        </row>
        <row r="10">
          <cell r="B10" t="str">
            <v>Cost of goods sold, COGS</v>
          </cell>
          <cell r="C10" t="str">
            <v>COST_GD_SD</v>
          </cell>
          <cell r="D10" t="str">
            <v>GBP</v>
          </cell>
        </row>
        <row r="11">
          <cell r="B11" t="str">
            <v>SG&amp;A, selling, general and admin. expense</v>
          </cell>
          <cell r="C11" t="str">
            <v>SEL_GL_AD</v>
          </cell>
          <cell r="D11" t="str">
            <v>GBP</v>
          </cell>
          <cell r="H11">
            <v>0</v>
          </cell>
          <cell r="I11">
            <v>0</v>
          </cell>
          <cell r="J11">
            <v>0</v>
          </cell>
          <cell r="K11">
            <v>0</v>
          </cell>
          <cell r="L11">
            <v>0</v>
          </cell>
          <cell r="M11">
            <v>0</v>
          </cell>
          <cell r="N11">
            <v>0</v>
          </cell>
          <cell r="O11">
            <v>0</v>
          </cell>
          <cell r="R11">
            <v>0</v>
          </cell>
          <cell r="S11">
            <v>0</v>
          </cell>
          <cell r="T11">
            <v>0</v>
          </cell>
          <cell r="U11">
            <v>0</v>
          </cell>
        </row>
        <row r="12">
          <cell r="B12" t="str">
            <v>Total operating expense</v>
          </cell>
          <cell r="C12" t="str">
            <v>OP_COST</v>
          </cell>
          <cell r="D12" t="str">
            <v>GBP</v>
          </cell>
          <cell r="F12">
            <v>-97.807000000000002</v>
          </cell>
          <cell r="G12">
            <v>-112.758</v>
          </cell>
          <cell r="H12">
            <v>-125.032</v>
          </cell>
          <cell r="I12">
            <v>-154.96100000000001</v>
          </cell>
          <cell r="J12">
            <v>-182.72300000000001</v>
          </cell>
          <cell r="K12">
            <v>-193.809</v>
          </cell>
          <cell r="L12">
            <v>-212.441</v>
          </cell>
          <cell r="M12">
            <v>-229.89099999999999</v>
          </cell>
          <cell r="N12">
            <v>-256.65199999999999</v>
          </cell>
          <cell r="O12">
            <v>-270.02</v>
          </cell>
          <cell r="R12">
            <v>-287.99799999999999</v>
          </cell>
          <cell r="S12">
            <v>0</v>
          </cell>
          <cell r="T12">
            <v>0</v>
          </cell>
          <cell r="U12">
            <v>-311.94799999999998</v>
          </cell>
          <cell r="X12">
            <v>-382.87599999999998</v>
          </cell>
          <cell r="AA12">
            <v>-482.03199999999998</v>
          </cell>
          <cell r="AD12">
            <v>-525.41300000000001</v>
          </cell>
          <cell r="AG12">
            <v>-526.61099999999999</v>
          </cell>
          <cell r="AH12">
            <v>-540.54100000000005</v>
          </cell>
          <cell r="AI12">
            <v>-534.307835264549</v>
          </cell>
          <cell r="AJ12">
            <v>-587.95763599263205</v>
          </cell>
          <cell r="AK12">
            <v>-619.70214542184101</v>
          </cell>
          <cell r="AL12">
            <v>-661.85470746265798</v>
          </cell>
          <cell r="AM12">
            <v>-710.11292545601998</v>
          </cell>
        </row>
        <row r="13">
          <cell r="B13" t="str">
            <v>R&amp;D expense</v>
          </cell>
          <cell r="C13" t="str">
            <v>RD_EXP</v>
          </cell>
          <cell r="D13" t="str">
            <v>GBP</v>
          </cell>
          <cell r="F13">
            <v>-9.6189999999999998</v>
          </cell>
          <cell r="G13">
            <v>-10.526</v>
          </cell>
          <cell r="H13">
            <v>-10.222</v>
          </cell>
          <cell r="I13">
            <v>-10.222</v>
          </cell>
          <cell r="J13">
            <v>-9.5549999999999997</v>
          </cell>
          <cell r="K13">
            <v>-10.022</v>
          </cell>
          <cell r="L13">
            <v>-10.686999999999999</v>
          </cell>
          <cell r="M13">
            <v>-12.667</v>
          </cell>
          <cell r="N13">
            <v>-15.48</v>
          </cell>
          <cell r="O13">
            <v>-15.124000000000001</v>
          </cell>
          <cell r="R13">
            <v>-19.079999999999998</v>
          </cell>
          <cell r="U13">
            <v>-26.04</v>
          </cell>
          <cell r="X13">
            <v>-31.922999999999998</v>
          </cell>
          <cell r="AA13">
            <v>-34.159999999999997</v>
          </cell>
          <cell r="AD13">
            <v>-38.945</v>
          </cell>
          <cell r="AG13">
            <v>-40.548999999999999</v>
          </cell>
          <cell r="AH13">
            <v>-48.597000000000001</v>
          </cell>
          <cell r="AI13">
            <v>-43.622157846843997</v>
          </cell>
          <cell r="AJ13">
            <v>-47.508456031789997</v>
          </cell>
          <cell r="AK13">
            <v>-50.124039910538002</v>
          </cell>
          <cell r="AL13">
            <v>-53.554732888076003</v>
          </cell>
          <cell r="AM13">
            <v>-57.485409611114001</v>
          </cell>
        </row>
        <row r="14">
          <cell r="B14" t="str">
            <v>Other operating income/(expense) (incl. leases)</v>
          </cell>
          <cell r="C14" t="str">
            <v>OTH_OP_INC_EXP</v>
          </cell>
          <cell r="D14" t="str">
            <v>GBP</v>
          </cell>
          <cell r="S14">
            <v>0</v>
          </cell>
          <cell r="T14">
            <v>0</v>
          </cell>
          <cell r="U14">
            <v>0</v>
          </cell>
        </row>
        <row r="15">
          <cell r="B15" t="str">
            <v>Total operating expense (incl. D&amp;A)</v>
          </cell>
          <cell r="C15" t="str">
            <v>TOT_OPS_EXP_DDA</v>
          </cell>
          <cell r="D15" t="str">
            <v>GBP</v>
          </cell>
          <cell r="F15">
            <v>-109.631</v>
          </cell>
          <cell r="G15">
            <v>-125.39700000000001</v>
          </cell>
          <cell r="H15">
            <v>-137.75800000000001</v>
          </cell>
          <cell r="I15">
            <v>-168.43600000000001</v>
          </cell>
          <cell r="J15">
            <v>-196.607</v>
          </cell>
          <cell r="K15">
            <v>-207.85499999999999</v>
          </cell>
          <cell r="L15">
            <v>-226.899</v>
          </cell>
          <cell r="M15">
            <v>-246.80699999999999</v>
          </cell>
          <cell r="N15">
            <v>-277.20100000000002</v>
          </cell>
          <cell r="O15">
            <v>-291.27600000000001</v>
          </cell>
          <cell r="R15">
            <v>-319.53100000000001</v>
          </cell>
          <cell r="U15">
            <v>-349.96899999999999</v>
          </cell>
          <cell r="X15">
            <v>-438.18</v>
          </cell>
          <cell r="AA15">
            <v>-553.70600000000002</v>
          </cell>
          <cell r="AD15">
            <v>-599.697</v>
          </cell>
          <cell r="AG15">
            <v>-609.61699999999996</v>
          </cell>
          <cell r="AH15">
            <v>-638.58199999999999</v>
          </cell>
          <cell r="AI15">
            <v>-626.80186287742902</v>
          </cell>
          <cell r="AJ15">
            <v>-688.69195682741804</v>
          </cell>
          <cell r="AK15">
            <v>-725.982406655864</v>
          </cell>
          <cell r="AL15">
            <v>-775.40922166027201</v>
          </cell>
          <cell r="AM15">
            <v>-832.00183069028401</v>
          </cell>
        </row>
        <row r="16">
          <cell r="B16" t="str">
            <v>Total operating expense (excl. D&amp;A)</v>
          </cell>
          <cell r="C16" t="str">
            <v>TOT_OPS_EXP</v>
          </cell>
          <cell r="D16" t="str">
            <v>GBP</v>
          </cell>
          <cell r="F16">
            <v>-107.426</v>
          </cell>
          <cell r="G16">
            <v>-123.28400000000001</v>
          </cell>
          <cell r="H16">
            <v>-135.25399999999999</v>
          </cell>
          <cell r="I16">
            <v>-165.18299999999999</v>
          </cell>
          <cell r="J16">
            <v>-192.27799999999999</v>
          </cell>
          <cell r="K16">
            <v>-203.83099999999999</v>
          </cell>
          <cell r="L16">
            <v>-223.12799999999999</v>
          </cell>
          <cell r="M16">
            <v>-242.55799999999999</v>
          </cell>
          <cell r="N16">
            <v>-272.13200000000001</v>
          </cell>
          <cell r="O16">
            <v>-285.14400000000001</v>
          </cell>
          <cell r="R16">
            <v>-307.07799999999997</v>
          </cell>
          <cell r="U16">
            <v>-337.988</v>
          </cell>
          <cell r="X16">
            <v>-414.79899999999998</v>
          </cell>
          <cell r="AA16">
            <v>-516.19200000000001</v>
          </cell>
          <cell r="AD16">
            <v>-564.35799999999995</v>
          </cell>
          <cell r="AG16">
            <v>-567.16</v>
          </cell>
          <cell r="AH16">
            <v>-589.13800000000003</v>
          </cell>
          <cell r="AI16">
            <v>-577.92999311139295</v>
          </cell>
          <cell r="AJ16">
            <v>-635.46609202442198</v>
          </cell>
          <cell r="AK16">
            <v>-669.82618533237905</v>
          </cell>
          <cell r="AL16">
            <v>-715.40944035073301</v>
          </cell>
          <cell r="AM16">
            <v>-767.59833506713403</v>
          </cell>
        </row>
        <row r="17">
          <cell r="B17" t="str">
            <v>EBITDA</v>
          </cell>
          <cell r="C17" t="str">
            <v>EBITDA_CALC</v>
          </cell>
          <cell r="D17" t="str">
            <v>GBP</v>
          </cell>
          <cell r="F17">
            <v>16.163</v>
          </cell>
          <cell r="G17">
            <v>20.065999999999999</v>
          </cell>
          <cell r="H17">
            <v>23.4</v>
          </cell>
          <cell r="I17">
            <v>27.797999999999998</v>
          </cell>
          <cell r="J17">
            <v>34.654000000000003</v>
          </cell>
          <cell r="K17">
            <v>35.709000000000003</v>
          </cell>
          <cell r="L17">
            <v>37.223999999999997</v>
          </cell>
          <cell r="M17">
            <v>41.792000000000002</v>
          </cell>
          <cell r="N17">
            <v>47.536999999999999</v>
          </cell>
          <cell r="O17">
            <v>57.265999999999998</v>
          </cell>
          <cell r="R17">
            <v>69.962000000000003</v>
          </cell>
          <cell r="U17">
            <v>74.902000000000001</v>
          </cell>
          <cell r="X17">
            <v>100.47199999999999</v>
          </cell>
          <cell r="AA17">
            <v>134.84399999999999</v>
          </cell>
          <cell r="AD17">
            <v>145.685</v>
          </cell>
          <cell r="AG17">
            <v>164.57300000000001</v>
          </cell>
          <cell r="AH17">
            <v>171.68799999999999</v>
          </cell>
          <cell r="AI17">
            <v>174.09227827874099</v>
          </cell>
          <cell r="AJ17">
            <v>183.55384597825201</v>
          </cell>
          <cell r="AK17">
            <v>194.28499589611499</v>
          </cell>
          <cell r="AL17">
            <v>207.84502155791799</v>
          </cell>
          <cell r="AM17">
            <v>223.41885530942599</v>
          </cell>
        </row>
        <row r="18">
          <cell r="B18" t="str">
            <v>Depreciation</v>
          </cell>
          <cell r="C18" t="str">
            <v>DEPREC</v>
          </cell>
          <cell r="D18" t="str">
            <v>GBP</v>
          </cell>
          <cell r="F18">
            <v>-2.2050000000000001</v>
          </cell>
          <cell r="G18">
            <v>-2.113</v>
          </cell>
          <cell r="H18">
            <v>-2.504</v>
          </cell>
          <cell r="I18">
            <v>-3.2530000000000001</v>
          </cell>
          <cell r="J18">
            <v>-4.3289999999999997</v>
          </cell>
          <cell r="K18">
            <v>-4.024</v>
          </cell>
          <cell r="L18">
            <v>-3.7709999999999999</v>
          </cell>
          <cell r="M18">
            <v>-4.2489999999999997</v>
          </cell>
          <cell r="N18">
            <v>-5.069</v>
          </cell>
          <cell r="O18">
            <v>-6.1319999999999997</v>
          </cell>
          <cell r="R18">
            <v>-5.53</v>
          </cell>
          <cell r="S18">
            <v>0</v>
          </cell>
          <cell r="T18">
            <v>0</v>
          </cell>
          <cell r="U18">
            <v>-5.72</v>
          </cell>
          <cell r="X18">
            <v>-7.0259999999999998</v>
          </cell>
          <cell r="AA18">
            <v>-7.7220000000000004</v>
          </cell>
          <cell r="AD18">
            <v>-8.3849999999999998</v>
          </cell>
          <cell r="AG18">
            <v>-9.14</v>
          </cell>
          <cell r="AH18">
            <v>-10.882</v>
          </cell>
          <cell r="AI18">
            <v>-10.756081360610001</v>
          </cell>
          <cell r="AJ18">
            <v>-11.714340684132001</v>
          </cell>
          <cell r="AK18">
            <v>-12.359275148495</v>
          </cell>
          <cell r="AL18">
            <v>-13.205194163304</v>
          </cell>
          <cell r="AM18">
            <v>-14.17439607174</v>
          </cell>
        </row>
        <row r="19">
          <cell r="B19" t="str">
            <v>Amortization</v>
          </cell>
          <cell r="C19" t="str">
            <v>GOODWILL_AMORT</v>
          </cell>
          <cell r="D19" t="str">
            <v>GBP</v>
          </cell>
          <cell r="H19">
            <v>0</v>
          </cell>
          <cell r="R19">
            <v>-6.923</v>
          </cell>
          <cell r="S19">
            <v>0</v>
          </cell>
          <cell r="T19">
            <v>0</v>
          </cell>
          <cell r="U19">
            <v>-6.2610000000000001</v>
          </cell>
          <cell r="X19">
            <v>-16.355</v>
          </cell>
          <cell r="AA19">
            <v>-29.792000000000002</v>
          </cell>
          <cell r="AD19">
            <v>-26.954000000000001</v>
          </cell>
          <cell r="AG19">
            <v>-33.317</v>
          </cell>
          <cell r="AH19">
            <v>-38.561999999999998</v>
          </cell>
          <cell r="AI19">
            <v>-38.115788405426002</v>
          </cell>
          <cell r="AJ19">
            <v>-41.511524118864003</v>
          </cell>
          <cell r="AK19">
            <v>-43.796946174989998</v>
          </cell>
          <cell r="AL19">
            <v>-46.794587146235003</v>
          </cell>
          <cell r="AM19">
            <v>-50.229099551410002</v>
          </cell>
        </row>
        <row r="20">
          <cell r="B20" t="str">
            <v>EBIT, operating profit</v>
          </cell>
          <cell r="C20" t="str">
            <v>EBIT</v>
          </cell>
          <cell r="D20" t="str">
            <v>GBP</v>
          </cell>
          <cell r="F20">
            <v>13.958</v>
          </cell>
          <cell r="G20">
            <v>17.952999999999999</v>
          </cell>
          <cell r="H20">
            <v>20.896000000000001</v>
          </cell>
          <cell r="I20">
            <v>24.545000000000002</v>
          </cell>
          <cell r="J20">
            <v>30.324999999999999</v>
          </cell>
          <cell r="K20">
            <v>31.684999999999999</v>
          </cell>
          <cell r="L20">
            <v>33.453000000000003</v>
          </cell>
          <cell r="M20">
            <v>37.542999999999999</v>
          </cell>
          <cell r="N20">
            <v>42.468000000000004</v>
          </cell>
          <cell r="O20">
            <v>51.134</v>
          </cell>
          <cell r="R20">
            <v>57.509</v>
          </cell>
          <cell r="U20">
            <v>62.920999999999999</v>
          </cell>
          <cell r="X20">
            <v>77.090999999999994</v>
          </cell>
          <cell r="AA20">
            <v>97.33</v>
          </cell>
          <cell r="AD20">
            <v>110.346</v>
          </cell>
          <cell r="AG20">
            <v>122.116</v>
          </cell>
          <cell r="AH20">
            <v>122.244</v>
          </cell>
          <cell r="AI20">
            <v>125.220408512706</v>
          </cell>
          <cell r="AJ20">
            <v>130.32798117525601</v>
          </cell>
          <cell r="AK20">
            <v>138.12877457262999</v>
          </cell>
          <cell r="AL20">
            <v>147.84524024837901</v>
          </cell>
          <cell r="AM20">
            <v>159.01535968627601</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cell r="F23">
            <v>0.13</v>
          </cell>
          <cell r="G23">
            <v>0.13300000000000001</v>
          </cell>
          <cell r="H23">
            <v>0.20200000000000001</v>
          </cell>
          <cell r="I23">
            <v>-1.3029999999999999</v>
          </cell>
          <cell r="J23">
            <v>-4.7009999999999996</v>
          </cell>
          <cell r="K23">
            <v>-4.6239999999999997</v>
          </cell>
          <cell r="L23">
            <v>-3.5329999999999999</v>
          </cell>
          <cell r="M23">
            <v>-3.173</v>
          </cell>
          <cell r="N23">
            <v>-2.7850000000000001</v>
          </cell>
          <cell r="O23">
            <v>-3.6989999999999998</v>
          </cell>
          <cell r="R23">
            <v>-2.714</v>
          </cell>
          <cell r="U23">
            <v>-2.153</v>
          </cell>
          <cell r="X23">
            <v>-4.8929999999999998</v>
          </cell>
          <cell r="AA23">
            <v>-7.8440000000000003</v>
          </cell>
          <cell r="AD23">
            <v>-7.6580000000000004</v>
          </cell>
          <cell r="AG23">
            <v>-7.2149999999999999</v>
          </cell>
          <cell r="AH23">
            <v>-6.6779999999999999</v>
          </cell>
          <cell r="AI23">
            <v>-4.2441691007579996</v>
          </cell>
          <cell r="AJ23">
            <v>-4.2152822018740004</v>
          </cell>
          <cell r="AK23">
            <v>-4.3991867155889999</v>
          </cell>
          <cell r="AL23">
            <v>-5.4074368184530002</v>
          </cell>
          <cell r="AM23">
            <v>-6.9539404884050002</v>
          </cell>
        </row>
        <row r="24">
          <cell r="B24" t="str">
            <v>Income/(loss) from unconsolidated subs &amp; associates</v>
          </cell>
          <cell r="C24" t="str">
            <v>ASSOCIATE</v>
          </cell>
          <cell r="D24" t="str">
            <v>GBP</v>
          </cell>
          <cell r="H24">
            <v>0</v>
          </cell>
          <cell r="I24">
            <v>0</v>
          </cell>
          <cell r="J24">
            <v>0</v>
          </cell>
          <cell r="K24">
            <v>0</v>
          </cell>
          <cell r="L24">
            <v>0</v>
          </cell>
          <cell r="M24">
            <v>0</v>
          </cell>
          <cell r="N24">
            <v>0</v>
          </cell>
          <cell r="O24">
            <v>0</v>
          </cell>
          <cell r="R24">
            <v>0</v>
          </cell>
          <cell r="S24">
            <v>0</v>
          </cell>
          <cell r="T24">
            <v>0</v>
          </cell>
          <cell r="U24">
            <v>0</v>
          </cell>
        </row>
        <row r="25">
          <cell r="B25" t="str">
            <v>Profit/(loss) on disposals of assets, pre-tax</v>
          </cell>
          <cell r="C25" t="str">
            <v>PROFIT_ON_DISP</v>
          </cell>
          <cell r="D25" t="str">
            <v>GBP</v>
          </cell>
          <cell r="H25">
            <v>0</v>
          </cell>
          <cell r="I25">
            <v>0</v>
          </cell>
          <cell r="J25">
            <v>0</v>
          </cell>
          <cell r="K25">
            <v>0</v>
          </cell>
          <cell r="L25">
            <v>0</v>
          </cell>
          <cell r="M25">
            <v>0</v>
          </cell>
          <cell r="N25">
            <v>0</v>
          </cell>
          <cell r="O25">
            <v>0</v>
          </cell>
          <cell r="R25">
            <v>0</v>
          </cell>
          <cell r="S25">
            <v>0</v>
          </cell>
          <cell r="T25">
            <v>0</v>
          </cell>
          <cell r="U25">
            <v>0</v>
          </cell>
        </row>
        <row r="26">
          <cell r="B26" t="str">
            <v>Other non-ops income/(expense)</v>
          </cell>
          <cell r="C26" t="str">
            <v>OTH_COST_INC</v>
          </cell>
          <cell r="D26" t="str">
            <v>GBP</v>
          </cell>
          <cell r="H26">
            <v>0</v>
          </cell>
          <cell r="I26">
            <v>0</v>
          </cell>
          <cell r="J26">
            <v>0</v>
          </cell>
          <cell r="K26">
            <v>0</v>
          </cell>
          <cell r="L26">
            <v>0</v>
          </cell>
          <cell r="M26">
            <v>0</v>
          </cell>
          <cell r="N26">
            <v>0</v>
          </cell>
          <cell r="O26">
            <v>0</v>
          </cell>
          <cell r="R26">
            <v>0</v>
          </cell>
          <cell r="S26">
            <v>0</v>
          </cell>
          <cell r="T26">
            <v>0</v>
          </cell>
          <cell r="U26">
            <v>0</v>
          </cell>
        </row>
        <row r="27">
          <cell r="B27" t="str">
            <v>Pre-tax profit</v>
          </cell>
          <cell r="C27" t="str">
            <v>PT_PROF</v>
          </cell>
          <cell r="D27" t="str">
            <v>GBP</v>
          </cell>
          <cell r="F27">
            <v>14.087999999999999</v>
          </cell>
          <cell r="G27">
            <v>18.085999999999999</v>
          </cell>
          <cell r="H27">
            <v>21.097999999999999</v>
          </cell>
          <cell r="I27">
            <v>23.242000000000001</v>
          </cell>
          <cell r="J27">
            <v>25.623999999999999</v>
          </cell>
          <cell r="K27">
            <v>27.061</v>
          </cell>
          <cell r="L27">
            <v>29.92</v>
          </cell>
          <cell r="M27">
            <v>34.369999999999997</v>
          </cell>
          <cell r="N27">
            <v>39.683</v>
          </cell>
          <cell r="O27">
            <v>47.435000000000002</v>
          </cell>
          <cell r="R27">
            <v>54.795000000000002</v>
          </cell>
          <cell r="U27">
            <v>60.768000000000001</v>
          </cell>
          <cell r="X27">
            <v>72.197999999999993</v>
          </cell>
          <cell r="AA27">
            <v>89.486000000000004</v>
          </cell>
          <cell r="AD27">
            <v>102.688</v>
          </cell>
          <cell r="AG27">
            <v>114.901</v>
          </cell>
          <cell r="AH27">
            <v>115.566</v>
          </cell>
          <cell r="AI27">
            <v>120.97623941194701</v>
          </cell>
          <cell r="AJ27">
            <v>126.112698973382</v>
          </cell>
          <cell r="AK27">
            <v>133.729587857041</v>
          </cell>
          <cell r="AL27">
            <v>142.43780342992599</v>
          </cell>
          <cell r="AM27">
            <v>152.061419197871</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cell r="J30">
            <v>7.0000000000000007E-2</v>
          </cell>
          <cell r="K30">
            <v>3.2000000000000001E-2</v>
          </cell>
          <cell r="L30">
            <v>5.8000000000000003E-2</v>
          </cell>
          <cell r="M30">
            <v>1.7000000000000001E-2</v>
          </cell>
          <cell r="N30">
            <v>0.09</v>
          </cell>
          <cell r="O30">
            <v>0.06</v>
          </cell>
          <cell r="R30">
            <v>0.08</v>
          </cell>
          <cell r="U30">
            <v>7.0000000000000007E-2</v>
          </cell>
          <cell r="X30">
            <v>0.16</v>
          </cell>
          <cell r="AA30">
            <v>6.3E-2</v>
          </cell>
          <cell r="AD30">
            <v>5.7000000000000002E-2</v>
          </cell>
          <cell r="AG30">
            <v>2.1999999999999999E-2</v>
          </cell>
          <cell r="AH30">
            <v>-4.2000000000000003E-2</v>
          </cell>
          <cell r="AI30">
            <v>-1.6486037400999999E-2</v>
          </cell>
          <cell r="AJ30">
            <v>5.0687143288000003E-2</v>
          </cell>
          <cell r="AK30">
            <v>1.9453029970999999E-2</v>
          </cell>
          <cell r="AL30">
            <v>4.7294959639000003E-2</v>
          </cell>
          <cell r="AM30">
            <v>4.3288774352999999E-2</v>
          </cell>
        </row>
        <row r="31">
          <cell r="B31" t="str">
            <v>Lease payments</v>
          </cell>
          <cell r="C31" t="str">
            <v>LEASE_PAY</v>
          </cell>
          <cell r="D31" t="str">
            <v>GBP</v>
          </cell>
          <cell r="H31">
            <v>0</v>
          </cell>
          <cell r="I31">
            <v>0</v>
          </cell>
          <cell r="J31">
            <v>0</v>
          </cell>
          <cell r="K31">
            <v>0</v>
          </cell>
          <cell r="L31">
            <v>0</v>
          </cell>
          <cell r="M31">
            <v>0</v>
          </cell>
          <cell r="N31">
            <v>0</v>
          </cell>
          <cell r="O31">
            <v>0</v>
          </cell>
          <cell r="R31">
            <v>0</v>
          </cell>
          <cell r="S31">
            <v>0</v>
          </cell>
          <cell r="T31">
            <v>0</v>
          </cell>
          <cell r="U31">
            <v>0</v>
          </cell>
        </row>
        <row r="32">
          <cell r="B32" t="str">
            <v>Lease payments (deemed interest portion)</v>
          </cell>
          <cell r="C32" t="str">
            <v>LEASE_DEEM_INT</v>
          </cell>
          <cell r="D32" t="str">
            <v>GBP</v>
          </cell>
        </row>
        <row r="33">
          <cell r="B33" t="str">
            <v>Lease payments (deemed depreciation portion)</v>
          </cell>
          <cell r="C33" t="str">
            <v>LEASE_DEEM_DEPR</v>
          </cell>
          <cell r="D33" t="str">
            <v>GBP</v>
          </cell>
        </row>
        <row r="34">
          <cell r="B34" t="str">
            <v>Gross interest charge</v>
          </cell>
          <cell r="C34" t="str">
            <v>NET_INT_CH</v>
          </cell>
          <cell r="D34" t="str">
            <v>GBP</v>
          </cell>
          <cell r="S34">
            <v>0</v>
          </cell>
          <cell r="T34">
            <v>0</v>
          </cell>
        </row>
        <row r="35">
          <cell r="B35" t="str">
            <v>Income from associates (operating)</v>
          </cell>
          <cell r="C35" t="str">
            <v>ASSOCIATE_OP</v>
          </cell>
          <cell r="D35" t="str">
            <v>GBP</v>
          </cell>
          <cell r="H35">
            <v>0</v>
          </cell>
          <cell r="I35">
            <v>0</v>
          </cell>
          <cell r="J35">
            <v>0</v>
          </cell>
          <cell r="K35">
            <v>0</v>
          </cell>
          <cell r="L35">
            <v>0</v>
          </cell>
          <cell r="M35">
            <v>0</v>
          </cell>
          <cell r="N35">
            <v>0</v>
          </cell>
          <cell r="O35">
            <v>0</v>
          </cell>
          <cell r="R35">
            <v>0</v>
          </cell>
          <cell r="S35">
            <v>0</v>
          </cell>
          <cell r="T35">
            <v>0</v>
          </cell>
          <cell r="U35">
            <v>0</v>
          </cell>
        </row>
        <row r="36">
          <cell r="B36" t="str">
            <v>Goodwill amortization</v>
          </cell>
          <cell r="C36" t="str">
            <v>GW_AMORT</v>
          </cell>
          <cell r="D36" t="str">
            <v>GBP</v>
          </cell>
        </row>
        <row r="37">
          <cell r="B37" t="str">
            <v>Other intangible amortization</v>
          </cell>
          <cell r="C37" t="str">
            <v>OTH_INT_AMORT</v>
          </cell>
          <cell r="D37" t="str">
            <v>GBP</v>
          </cell>
          <cell r="H37">
            <v>0</v>
          </cell>
          <cell r="I37">
            <v>0</v>
          </cell>
          <cell r="J37">
            <v>0</v>
          </cell>
          <cell r="K37">
            <v>0</v>
          </cell>
          <cell r="L37">
            <v>0</v>
          </cell>
          <cell r="M37">
            <v>0</v>
          </cell>
          <cell r="N37">
            <v>0</v>
          </cell>
          <cell r="O37">
            <v>0</v>
          </cell>
          <cell r="R37">
            <v>0</v>
          </cell>
          <cell r="S37">
            <v>0</v>
          </cell>
          <cell r="T37">
            <v>0</v>
          </cell>
          <cell r="U37">
            <v>0</v>
          </cell>
        </row>
        <row r="38">
          <cell r="A38" t="str">
            <v>Balance Sheet</v>
          </cell>
        </row>
        <row r="39">
          <cell r="B39" t="str">
            <v>Cash &amp; cash equivalents</v>
          </cell>
          <cell r="C39" t="str">
            <v>CASH_EQ</v>
          </cell>
          <cell r="D39" t="str">
            <v>GBP</v>
          </cell>
          <cell r="F39">
            <v>5.7220000000000004</v>
          </cell>
          <cell r="G39">
            <v>9.0009999999999994</v>
          </cell>
          <cell r="H39">
            <v>14.606999999999999</v>
          </cell>
          <cell r="I39">
            <v>12.976000000000001</v>
          </cell>
          <cell r="J39">
            <v>12.823</v>
          </cell>
          <cell r="K39">
            <v>15.992000000000001</v>
          </cell>
          <cell r="L39">
            <v>8.1319999999999997</v>
          </cell>
          <cell r="M39">
            <v>19.047000000000001</v>
          </cell>
          <cell r="N39">
            <v>24.975000000000001</v>
          </cell>
          <cell r="O39">
            <v>40.192999999999998</v>
          </cell>
          <cell r="R39">
            <v>25.628</v>
          </cell>
          <cell r="S39">
            <v>0</v>
          </cell>
          <cell r="T39">
            <v>0</v>
          </cell>
          <cell r="U39">
            <v>27.419</v>
          </cell>
          <cell r="X39">
            <v>43.384999999999998</v>
          </cell>
          <cell r="AA39">
            <v>41.808999999999997</v>
          </cell>
          <cell r="AD39">
            <v>68.129000000000005</v>
          </cell>
          <cell r="AG39">
            <v>41.051000000000002</v>
          </cell>
          <cell r="AH39">
            <v>30.84</v>
          </cell>
          <cell r="AI39">
            <v>77.110529229880996</v>
          </cell>
          <cell r="AJ39">
            <v>41.600145324983004</v>
          </cell>
          <cell r="AK39">
            <v>8.6075271804979998</v>
          </cell>
          <cell r="AL39">
            <v>9.5199374305069995</v>
          </cell>
          <cell r="AM39">
            <v>5.022128384797</v>
          </cell>
        </row>
        <row r="40">
          <cell r="B40" t="str">
            <v>Accounts receivable</v>
          </cell>
          <cell r="C40" t="str">
            <v>DEBTORS</v>
          </cell>
          <cell r="D40" t="str">
            <v>GBP</v>
          </cell>
          <cell r="F40">
            <v>32.427999999999997</v>
          </cell>
          <cell r="G40">
            <v>25.876999999999999</v>
          </cell>
          <cell r="H40">
            <v>24.385000000000002</v>
          </cell>
          <cell r="I40">
            <v>38.274000000000001</v>
          </cell>
          <cell r="J40">
            <v>51.34</v>
          </cell>
          <cell r="K40">
            <v>53.904000000000003</v>
          </cell>
          <cell r="L40">
            <v>56.542999999999999</v>
          </cell>
          <cell r="M40">
            <v>62.536999999999999</v>
          </cell>
          <cell r="N40">
            <v>65.131</v>
          </cell>
          <cell r="O40">
            <v>74.412000000000006</v>
          </cell>
          <cell r="R40">
            <v>83.599000000000004</v>
          </cell>
          <cell r="U40">
            <v>84.225999999999999</v>
          </cell>
          <cell r="X40">
            <v>125.661</v>
          </cell>
          <cell r="AA40">
            <v>122.44199999999999</v>
          </cell>
          <cell r="AD40">
            <v>158.00299999999999</v>
          </cell>
          <cell r="AG40">
            <v>197.071</v>
          </cell>
          <cell r="AH40">
            <v>201.03899999999999</v>
          </cell>
          <cell r="AI40">
            <v>202.79789789736</v>
          </cell>
          <cell r="AJ40">
            <v>220.86516328291199</v>
          </cell>
          <cell r="AK40">
            <v>233.02492195983399</v>
          </cell>
          <cell r="AL40">
            <v>248.974094548191</v>
          </cell>
          <cell r="AM40">
            <v>267.24767421715302</v>
          </cell>
        </row>
        <row r="41">
          <cell r="B41" t="str">
            <v>Inventory</v>
          </cell>
          <cell r="C41" t="str">
            <v>STOCKS</v>
          </cell>
          <cell r="D41" t="str">
            <v>GBP</v>
          </cell>
          <cell r="F41">
            <v>14.452999999999999</v>
          </cell>
          <cell r="G41">
            <v>17.529</v>
          </cell>
          <cell r="H41">
            <v>23.276</v>
          </cell>
          <cell r="I41">
            <v>20.885000000000002</v>
          </cell>
          <cell r="J41">
            <v>19.234999999999999</v>
          </cell>
          <cell r="K41">
            <v>22.03</v>
          </cell>
          <cell r="L41">
            <v>23.834</v>
          </cell>
          <cell r="M41">
            <v>17.364000000000001</v>
          </cell>
          <cell r="N41">
            <v>21.137</v>
          </cell>
          <cell r="O41">
            <v>25.937000000000001</v>
          </cell>
          <cell r="R41">
            <v>29.198</v>
          </cell>
          <cell r="S41">
            <v>0</v>
          </cell>
          <cell r="T41">
            <v>0</v>
          </cell>
          <cell r="U41">
            <v>42.417000000000002</v>
          </cell>
          <cell r="X41">
            <v>52.826000000000001</v>
          </cell>
          <cell r="AA41">
            <v>50.612000000000002</v>
          </cell>
          <cell r="AD41">
            <v>49.366</v>
          </cell>
          <cell r="AG41">
            <v>47.671999999999997</v>
          </cell>
          <cell r="AH41">
            <v>52.185000000000002</v>
          </cell>
          <cell r="AI41">
            <v>51.581152895004003</v>
          </cell>
          <cell r="AJ41">
            <v>56.176517974766</v>
          </cell>
          <cell r="AK41">
            <v>59.269323067835003</v>
          </cell>
          <cell r="AL41">
            <v>63.325956387798001</v>
          </cell>
          <cell r="AM41">
            <v>67.973797004572006</v>
          </cell>
        </row>
        <row r="42">
          <cell r="B42" t="str">
            <v>Other current assets</v>
          </cell>
          <cell r="C42" t="str">
            <v>OTH_CUR_ASS</v>
          </cell>
          <cell r="D42" t="str">
            <v>GBP</v>
          </cell>
          <cell r="H42">
            <v>0</v>
          </cell>
          <cell r="I42">
            <v>0</v>
          </cell>
          <cell r="J42">
            <v>0</v>
          </cell>
          <cell r="N42">
            <v>0</v>
          </cell>
          <cell r="S42">
            <v>0</v>
          </cell>
          <cell r="T42">
            <v>0</v>
          </cell>
          <cell r="X42">
            <v>0.82799999999999996</v>
          </cell>
          <cell r="AA42">
            <v>0.99399999999999999</v>
          </cell>
          <cell r="AD42">
            <v>2.9329999999999998</v>
          </cell>
          <cell r="AG42">
            <v>2.746</v>
          </cell>
          <cell r="AH42">
            <v>2.4540000000000002</v>
          </cell>
          <cell r="AI42">
            <v>2.4540000000000002</v>
          </cell>
          <cell r="AJ42">
            <v>2.4540000000000002</v>
          </cell>
          <cell r="AK42">
            <v>2.4540000000000002</v>
          </cell>
          <cell r="AL42">
            <v>2.4540000000000002</v>
          </cell>
          <cell r="AM42">
            <v>2.4540000000000002</v>
          </cell>
        </row>
        <row r="43">
          <cell r="B43" t="str">
            <v>Total current assets</v>
          </cell>
          <cell r="C43" t="str">
            <v>CUR_ASS</v>
          </cell>
          <cell r="D43" t="str">
            <v>GBP</v>
          </cell>
          <cell r="F43">
            <v>52.603000000000002</v>
          </cell>
          <cell r="G43">
            <v>52.406999999999996</v>
          </cell>
          <cell r="H43">
            <v>62.268000000000001</v>
          </cell>
          <cell r="I43">
            <v>72.135000000000005</v>
          </cell>
          <cell r="J43">
            <v>83.397999999999996</v>
          </cell>
          <cell r="K43">
            <v>91.926000000000002</v>
          </cell>
          <cell r="L43">
            <v>88.509</v>
          </cell>
          <cell r="M43">
            <v>98.947999999999993</v>
          </cell>
          <cell r="N43">
            <v>111.24299999999999</v>
          </cell>
          <cell r="O43">
            <v>140.542</v>
          </cell>
          <cell r="R43">
            <v>138.42500000000001</v>
          </cell>
          <cell r="S43">
            <v>0</v>
          </cell>
          <cell r="T43">
            <v>0</v>
          </cell>
          <cell r="U43">
            <v>154.06200000000001</v>
          </cell>
          <cell r="X43">
            <v>222.7</v>
          </cell>
          <cell r="AA43">
            <v>215.857</v>
          </cell>
          <cell r="AD43">
            <v>278.43099999999998</v>
          </cell>
          <cell r="AG43">
            <v>288.54000000000002</v>
          </cell>
          <cell r="AH43">
            <v>286.51799999999997</v>
          </cell>
          <cell r="AI43">
            <v>333.94358002224402</v>
          </cell>
          <cell r="AJ43">
            <v>321.095826582661</v>
          </cell>
          <cell r="AK43">
            <v>303.35577220816799</v>
          </cell>
          <cell r="AL43">
            <v>324.27398836649598</v>
          </cell>
          <cell r="AM43">
            <v>342.697599606523</v>
          </cell>
        </row>
        <row r="44">
          <cell r="B44" t="str">
            <v>Gross fixed assets, PP&amp;E</v>
          </cell>
          <cell r="C44" t="str">
            <v>GR_FIX_ASS</v>
          </cell>
          <cell r="D44" t="str">
            <v>GBP</v>
          </cell>
          <cell r="F44">
            <v>9.8170000000000002</v>
          </cell>
          <cell r="G44">
            <v>10.726000000000001</v>
          </cell>
          <cell r="H44">
            <v>27.446999999999999</v>
          </cell>
          <cell r="I44">
            <v>32.526000000000003</v>
          </cell>
          <cell r="J44">
            <v>38.35</v>
          </cell>
          <cell r="K44">
            <v>40.503</v>
          </cell>
          <cell r="L44">
            <v>45.131999999999998</v>
          </cell>
          <cell r="M44">
            <v>51.515000000000001</v>
          </cell>
          <cell r="N44">
            <v>56.747</v>
          </cell>
          <cell r="O44">
            <v>63.902999999999999</v>
          </cell>
          <cell r="R44">
            <v>62.671999999999997</v>
          </cell>
          <cell r="U44">
            <v>72.248000000000005</v>
          </cell>
          <cell r="X44">
            <v>92.875</v>
          </cell>
          <cell r="AA44">
            <v>98.725999999999999</v>
          </cell>
          <cell r="AD44">
            <v>116.486</v>
          </cell>
          <cell r="AG44">
            <v>126.23399999999999</v>
          </cell>
          <cell r="AH44">
            <v>136.90100000000001</v>
          </cell>
          <cell r="AI44">
            <v>164.30927724414099</v>
          </cell>
          <cell r="AJ44">
            <v>230.16734501540299</v>
          </cell>
          <cell r="AK44">
            <v>297.25046814545601</v>
          </cell>
          <cell r="AL44">
            <v>365.94041751826302</v>
          </cell>
          <cell r="AM44">
            <v>436.47136943828599</v>
          </cell>
        </row>
        <row r="45">
          <cell r="B45" t="str">
            <v>Accumulated depreciation</v>
          </cell>
          <cell r="C45" t="str">
            <v>ACC_DDA</v>
          </cell>
          <cell r="D45" t="str">
            <v>GBP</v>
          </cell>
          <cell r="F45">
            <v>0</v>
          </cell>
          <cell r="G45">
            <v>0</v>
          </cell>
          <cell r="H45">
            <v>-14.103999999999999</v>
          </cell>
          <cell r="I45">
            <v>-17.652000000000001</v>
          </cell>
          <cell r="J45">
            <v>-22.204999999999998</v>
          </cell>
          <cell r="K45">
            <v>-25.077000000000002</v>
          </cell>
          <cell r="L45">
            <v>-29.952000000000002</v>
          </cell>
          <cell r="M45">
            <v>-32.344999999999999</v>
          </cell>
          <cell r="N45">
            <v>-36.533999999999999</v>
          </cell>
          <cell r="O45">
            <v>-41.058999999999997</v>
          </cell>
          <cell r="R45">
            <v>-41.857999999999997</v>
          </cell>
          <cell r="U45">
            <v>-48.012999999999998</v>
          </cell>
          <cell r="X45">
            <v>-57.959000000000003</v>
          </cell>
          <cell r="AA45">
            <v>-62.082000000000001</v>
          </cell>
          <cell r="AD45">
            <v>-71.132000000000005</v>
          </cell>
          <cell r="AG45">
            <v>-77.647000000000006</v>
          </cell>
          <cell r="AH45">
            <v>-79.144999999999996</v>
          </cell>
          <cell r="AI45">
            <v>-89.901081360609993</v>
          </cell>
          <cell r="AJ45">
            <v>-101.615422044742</v>
          </cell>
          <cell r="AK45">
            <v>-113.974697193236</v>
          </cell>
          <cell r="AL45">
            <v>-127.17989135654</v>
          </cell>
          <cell r="AM45">
            <v>-141.35428742828</v>
          </cell>
        </row>
        <row r="46">
          <cell r="B46" t="str">
            <v>Net PP&amp;E</v>
          </cell>
          <cell r="C46" t="str">
            <v>NET_FIX_ASS</v>
          </cell>
          <cell r="D46" t="str">
            <v>GBP</v>
          </cell>
          <cell r="F46">
            <v>9.8170000000000002</v>
          </cell>
          <cell r="G46">
            <v>10.726000000000001</v>
          </cell>
          <cell r="H46">
            <v>13.343</v>
          </cell>
          <cell r="I46">
            <v>14.874000000000001</v>
          </cell>
          <cell r="J46">
            <v>16.145</v>
          </cell>
          <cell r="K46">
            <v>15.426</v>
          </cell>
          <cell r="L46">
            <v>15.18</v>
          </cell>
          <cell r="M46">
            <v>19.170000000000002</v>
          </cell>
          <cell r="N46">
            <v>20.213000000000001</v>
          </cell>
          <cell r="O46">
            <v>22.844000000000001</v>
          </cell>
          <cell r="R46">
            <v>20.814</v>
          </cell>
          <cell r="S46">
            <v>0</v>
          </cell>
          <cell r="T46">
            <v>0</v>
          </cell>
          <cell r="U46">
            <v>24.234999999999999</v>
          </cell>
          <cell r="X46">
            <v>34.915999999999997</v>
          </cell>
          <cell r="AA46">
            <v>36.643999999999998</v>
          </cell>
          <cell r="AD46">
            <v>45.353999999999999</v>
          </cell>
          <cell r="AG46">
            <v>48.587000000000003</v>
          </cell>
          <cell r="AH46">
            <v>57.756</v>
          </cell>
          <cell r="AI46">
            <v>74.408195883530993</v>
          </cell>
          <cell r="AJ46">
            <v>128.55192297066199</v>
          </cell>
          <cell r="AK46">
            <v>183.27577095222</v>
          </cell>
          <cell r="AL46">
            <v>238.76052616172299</v>
          </cell>
          <cell r="AM46">
            <v>295.11708201000602</v>
          </cell>
        </row>
        <row r="47">
          <cell r="B47" t="str">
            <v>Gross intangibles</v>
          </cell>
          <cell r="C47" t="str">
            <v>GR_INTANG</v>
          </cell>
          <cell r="D47" t="str">
            <v>GBP</v>
          </cell>
          <cell r="H47">
            <v>19.690000000000001</v>
          </cell>
          <cell r="I47">
            <v>29.024000000000001</v>
          </cell>
          <cell r="J47">
            <v>72.052999999999997</v>
          </cell>
          <cell r="K47">
            <v>73.105999999999995</v>
          </cell>
          <cell r="L47">
            <v>93.44</v>
          </cell>
          <cell r="M47">
            <v>107.73399999999999</v>
          </cell>
          <cell r="N47">
            <v>130.11099999999999</v>
          </cell>
          <cell r="O47">
            <v>158.81899999999999</v>
          </cell>
          <cell r="R47">
            <v>163.92599999999999</v>
          </cell>
          <cell r="S47">
            <v>0</v>
          </cell>
          <cell r="T47">
            <v>0</v>
          </cell>
          <cell r="U47">
            <v>198.863</v>
          </cell>
          <cell r="X47">
            <v>367.74299999999999</v>
          </cell>
          <cell r="AA47">
            <v>368.29199999999997</v>
          </cell>
          <cell r="AD47">
            <v>398.30900000000003</v>
          </cell>
          <cell r="AG47">
            <v>540.51599999999996</v>
          </cell>
          <cell r="AH47">
            <v>583.17499999999995</v>
          </cell>
          <cell r="AI47">
            <v>596.73496686990802</v>
          </cell>
          <cell r="AJ47">
            <v>658.06956416230696</v>
          </cell>
          <cell r="AK47">
            <v>719.67620160903903</v>
          </cell>
          <cell r="AL47">
            <v>781.63965661175496</v>
          </cell>
          <cell r="AM47">
            <v>844.01193119432196</v>
          </cell>
        </row>
        <row r="48">
          <cell r="B48" t="str">
            <v>Accumulated amortization</v>
          </cell>
          <cell r="C48" t="str">
            <v>ACC_AMORT</v>
          </cell>
          <cell r="D48" t="str">
            <v>GBP</v>
          </cell>
          <cell r="H48">
            <v>-4.1000000000000002E-2</v>
          </cell>
          <cell r="I48">
            <v>-1.359</v>
          </cell>
          <cell r="J48">
            <v>-4.3550000000000004</v>
          </cell>
          <cell r="K48">
            <v>-8.0440000000000005</v>
          </cell>
          <cell r="L48">
            <v>-11.964</v>
          </cell>
          <cell r="M48">
            <v>-16.887</v>
          </cell>
          <cell r="N48">
            <v>-22.83</v>
          </cell>
          <cell r="O48">
            <v>-8.3249999999999993</v>
          </cell>
          <cell r="R48">
            <v>-14.167999999999999</v>
          </cell>
          <cell r="U48">
            <v>-19.609000000000002</v>
          </cell>
          <cell r="X48">
            <v>-42.06</v>
          </cell>
          <cell r="AA48">
            <v>-66.444000000000003</v>
          </cell>
          <cell r="AD48">
            <v>-91.248999999999995</v>
          </cell>
          <cell r="AG48">
            <v>-122.05800000000001</v>
          </cell>
          <cell r="AH48">
            <v>-152.191</v>
          </cell>
          <cell r="AI48">
            <v>-187.025205046004</v>
          </cell>
          <cell r="AJ48">
            <v>-224.962789533246</v>
          </cell>
          <cell r="AK48">
            <v>-264.98903239147501</v>
          </cell>
          <cell r="AL48">
            <v>-307.75483396316702</v>
          </cell>
          <cell r="AM48">
            <v>-353.65945318392301</v>
          </cell>
        </row>
        <row r="49">
          <cell r="B49" t="str">
            <v>Net intangible assets</v>
          </cell>
          <cell r="C49" t="str">
            <v>NET_INTANG</v>
          </cell>
          <cell r="D49" t="str">
            <v>GBP</v>
          </cell>
          <cell r="F49">
            <v>0</v>
          </cell>
          <cell r="G49">
            <v>0</v>
          </cell>
          <cell r="H49">
            <v>19.649000000000001</v>
          </cell>
          <cell r="I49">
            <v>27.664999999999999</v>
          </cell>
          <cell r="J49">
            <v>67.697999999999993</v>
          </cell>
          <cell r="K49">
            <v>65.061999999999998</v>
          </cell>
          <cell r="L49">
            <v>81.475999999999999</v>
          </cell>
          <cell r="M49">
            <v>90.846999999999994</v>
          </cell>
          <cell r="N49">
            <v>107.28100000000001</v>
          </cell>
          <cell r="O49">
            <v>150.494</v>
          </cell>
          <cell r="R49">
            <v>149.75800000000001</v>
          </cell>
          <cell r="S49">
            <v>0</v>
          </cell>
          <cell r="T49">
            <v>0</v>
          </cell>
          <cell r="U49">
            <v>179.25399999999999</v>
          </cell>
          <cell r="X49">
            <v>325.68299999999999</v>
          </cell>
          <cell r="AA49">
            <v>301.84800000000001</v>
          </cell>
          <cell r="AD49">
            <v>307.06</v>
          </cell>
          <cell r="AG49">
            <v>418.45800000000003</v>
          </cell>
          <cell r="AH49">
            <v>430.98399999999998</v>
          </cell>
          <cell r="AI49">
            <v>409.70976182390399</v>
          </cell>
          <cell r="AJ49">
            <v>433.10677462906102</v>
          </cell>
          <cell r="AK49">
            <v>454.68716921756499</v>
          </cell>
          <cell r="AL49">
            <v>473.884822648588</v>
          </cell>
          <cell r="AM49">
            <v>490.35247801039901</v>
          </cell>
        </row>
        <row r="50">
          <cell r="B50" t="str">
            <v>Equity method investments</v>
          </cell>
          <cell r="C50" t="str">
            <v>FIX_ASS_INV</v>
          </cell>
          <cell r="D50" t="str">
            <v>GBP</v>
          </cell>
          <cell r="F50">
            <v>0.45500000000000002</v>
          </cell>
          <cell r="G50">
            <v>0.30299999999999999</v>
          </cell>
          <cell r="H50">
            <v>0.51600000000000001</v>
          </cell>
          <cell r="I50">
            <v>0.34200000000000003</v>
          </cell>
          <cell r="J50">
            <v>0.36399999999999999</v>
          </cell>
          <cell r="K50">
            <v>0.83599999999999997</v>
          </cell>
          <cell r="L50">
            <v>0</v>
          </cell>
          <cell r="M50">
            <v>0</v>
          </cell>
          <cell r="N50">
            <v>0</v>
          </cell>
          <cell r="O50">
            <v>0</v>
          </cell>
          <cell r="R50">
            <v>0</v>
          </cell>
          <cell r="S50">
            <v>0</v>
          </cell>
          <cell r="T50">
            <v>0</v>
          </cell>
          <cell r="U50">
            <v>0</v>
          </cell>
          <cell r="X50">
            <v>2.12</v>
          </cell>
          <cell r="AA50">
            <v>1.107</v>
          </cell>
          <cell r="AD50">
            <v>3.6680000000000001</v>
          </cell>
          <cell r="AG50">
            <v>6.61</v>
          </cell>
          <cell r="AH50">
            <v>8.9890000000000008</v>
          </cell>
          <cell r="AI50">
            <v>8.9890000000000008</v>
          </cell>
          <cell r="AJ50">
            <v>8.9890000000000008</v>
          </cell>
          <cell r="AK50">
            <v>8.9890000000000008</v>
          </cell>
          <cell r="AL50">
            <v>8.9890000000000008</v>
          </cell>
          <cell r="AM50">
            <v>8.9890000000000008</v>
          </cell>
        </row>
        <row r="51">
          <cell r="B51" t="str">
            <v>Investments in securities</v>
          </cell>
          <cell r="C51" t="str">
            <v>INV_SECUR</v>
          </cell>
          <cell r="D51" t="str">
            <v>GBP</v>
          </cell>
          <cell r="H51">
            <v>0</v>
          </cell>
          <cell r="I51">
            <v>0</v>
          </cell>
          <cell r="J51">
            <v>0</v>
          </cell>
          <cell r="K51">
            <v>0</v>
          </cell>
          <cell r="L51">
            <v>0</v>
          </cell>
          <cell r="M51">
            <v>0</v>
          </cell>
          <cell r="N51">
            <v>0</v>
          </cell>
          <cell r="O51">
            <v>0</v>
          </cell>
          <cell r="R51">
            <v>0</v>
          </cell>
          <cell r="S51">
            <v>0</v>
          </cell>
          <cell r="T51">
            <v>0</v>
          </cell>
          <cell r="U51">
            <v>0</v>
          </cell>
          <cell r="AA51">
            <v>4.9080000000000004</v>
          </cell>
          <cell r="AD51">
            <v>3.75</v>
          </cell>
          <cell r="AG51">
            <v>1.948</v>
          </cell>
          <cell r="AH51">
            <v>3.1520000000000001</v>
          </cell>
          <cell r="AI51">
            <v>3.1520000000000001</v>
          </cell>
          <cell r="AJ51">
            <v>3.1520000000000001</v>
          </cell>
          <cell r="AK51">
            <v>3.1520000000000001</v>
          </cell>
          <cell r="AL51">
            <v>3.1520000000000001</v>
          </cell>
          <cell r="AM51">
            <v>3.1520000000000001</v>
          </cell>
        </row>
        <row r="52">
          <cell r="B52" t="str">
            <v>Other long-term assets</v>
          </cell>
          <cell r="C52" t="str">
            <v>OTH_LT_ASS</v>
          </cell>
          <cell r="D52" t="str">
            <v>GBP</v>
          </cell>
          <cell r="F52">
            <v>0</v>
          </cell>
          <cell r="G52">
            <v>0</v>
          </cell>
          <cell r="H52">
            <v>0</v>
          </cell>
          <cell r="I52">
            <v>0</v>
          </cell>
          <cell r="J52">
            <v>0</v>
          </cell>
          <cell r="K52">
            <v>1.2430000000000001</v>
          </cell>
          <cell r="L52">
            <v>1.036</v>
          </cell>
          <cell r="M52">
            <v>1.224</v>
          </cell>
          <cell r="N52">
            <v>0.76800000000000002</v>
          </cell>
          <cell r="O52">
            <v>17.300999999999998</v>
          </cell>
          <cell r="R52">
            <v>11.223000000000001</v>
          </cell>
          <cell r="S52">
            <v>0</v>
          </cell>
          <cell r="T52">
            <v>0</v>
          </cell>
          <cell r="U52">
            <v>10.634</v>
          </cell>
          <cell r="X52">
            <v>28.65</v>
          </cell>
          <cell r="AA52">
            <v>18.158999999999999</v>
          </cell>
          <cell r="AD52">
            <v>15.503</v>
          </cell>
          <cell r="AG52">
            <v>11.911</v>
          </cell>
          <cell r="AH52">
            <v>5.2709999999999999</v>
          </cell>
          <cell r="AI52">
            <v>1.1379999999999999</v>
          </cell>
          <cell r="AJ52">
            <v>1.1379999999999999</v>
          </cell>
          <cell r="AK52">
            <v>1.1379999999999999</v>
          </cell>
          <cell r="AL52">
            <v>1.1379999999999999</v>
          </cell>
          <cell r="AM52">
            <v>1.1379999999999999</v>
          </cell>
        </row>
        <row r="53">
          <cell r="B53" t="str">
            <v>Total assets</v>
          </cell>
          <cell r="C53" t="str">
            <v>TOT_ASSET</v>
          </cell>
          <cell r="D53" t="str">
            <v>GBP</v>
          </cell>
          <cell r="F53">
            <v>62.875</v>
          </cell>
          <cell r="G53">
            <v>63.436</v>
          </cell>
          <cell r="H53">
            <v>95.775999999999996</v>
          </cell>
          <cell r="I53">
            <v>115.01600000000001</v>
          </cell>
          <cell r="J53">
            <v>167.60499999999999</v>
          </cell>
          <cell r="K53">
            <v>174.49299999999999</v>
          </cell>
          <cell r="L53">
            <v>186.20099999999999</v>
          </cell>
          <cell r="M53">
            <v>210.18899999999999</v>
          </cell>
          <cell r="N53">
            <v>239.505</v>
          </cell>
          <cell r="O53">
            <v>331.18099999999998</v>
          </cell>
          <cell r="R53">
            <v>320.22000000000003</v>
          </cell>
          <cell r="U53">
            <v>368.185</v>
          </cell>
          <cell r="X53">
            <v>614.06899999999996</v>
          </cell>
          <cell r="AA53">
            <v>578.52300000000002</v>
          </cell>
          <cell r="AD53">
            <v>653.76599999999996</v>
          </cell>
          <cell r="AG53">
            <v>776.05399999999997</v>
          </cell>
          <cell r="AH53">
            <v>792.67</v>
          </cell>
          <cell r="AI53">
            <v>831.34053772968002</v>
          </cell>
          <cell r="AJ53">
            <v>896.03352418238399</v>
          </cell>
          <cell r="AK53">
            <v>954.59771237795201</v>
          </cell>
          <cell r="AL53">
            <v>1050.1983371768099</v>
          </cell>
          <cell r="AM53">
            <v>1141.44615962693</v>
          </cell>
        </row>
        <row r="54">
          <cell r="B54" t="str">
            <v>Accounts payable</v>
          </cell>
          <cell r="C54" t="str">
            <v>ACC_PAY_GQ</v>
          </cell>
          <cell r="D54" t="str">
            <v>GBP</v>
          </cell>
          <cell r="F54">
            <v>46.393999999999998</v>
          </cell>
          <cell r="G54">
            <v>46.188000000000002</v>
          </cell>
          <cell r="H54">
            <v>54.863</v>
          </cell>
          <cell r="I54">
            <v>54.442</v>
          </cell>
          <cell r="J54">
            <v>53.165999999999997</v>
          </cell>
          <cell r="K54">
            <v>62.512</v>
          </cell>
          <cell r="L54">
            <v>70.081000000000003</v>
          </cell>
          <cell r="M54">
            <v>77.537999999999997</v>
          </cell>
          <cell r="N54">
            <v>85.082999999999998</v>
          </cell>
          <cell r="O54">
            <v>104.009</v>
          </cell>
          <cell r="R54">
            <v>110.235</v>
          </cell>
          <cell r="S54">
            <v>0</v>
          </cell>
          <cell r="T54">
            <v>0</v>
          </cell>
          <cell r="U54">
            <v>116.247</v>
          </cell>
          <cell r="X54">
            <v>210.09299999999999</v>
          </cell>
          <cell r="AA54">
            <v>169.553</v>
          </cell>
          <cell r="AD54">
            <v>206.09299999999999</v>
          </cell>
          <cell r="AG54">
            <v>235.709</v>
          </cell>
          <cell r="AH54">
            <v>242.858</v>
          </cell>
          <cell r="AI54">
            <v>260.79197634535399</v>
          </cell>
          <cell r="AJ54">
            <v>284.025934369114</v>
          </cell>
          <cell r="AK54">
            <v>299.66301705151</v>
          </cell>
          <cell r="AL54">
            <v>320.17317166117903</v>
          </cell>
          <cell r="AM54">
            <v>343.672443626931</v>
          </cell>
        </row>
        <row r="55">
          <cell r="B55" t="str">
            <v>Short-term debt</v>
          </cell>
          <cell r="C55" t="str">
            <v>SHORT_T_DEBT</v>
          </cell>
          <cell r="D55" t="str">
            <v>GBP</v>
          </cell>
          <cell r="F55">
            <v>5.3999999999999999E-2</v>
          </cell>
          <cell r="G55">
            <v>3.4000000000000002E-2</v>
          </cell>
          <cell r="H55">
            <v>14.718999999999999</v>
          </cell>
          <cell r="I55">
            <v>24.681999999999999</v>
          </cell>
          <cell r="J55">
            <v>27.152999999999999</v>
          </cell>
          <cell r="K55">
            <v>23.686</v>
          </cell>
          <cell r="L55">
            <v>1.262</v>
          </cell>
          <cell r="M55">
            <v>1.2E-2</v>
          </cell>
          <cell r="N55">
            <v>48.134999999999998</v>
          </cell>
          <cell r="O55">
            <v>0.10299999999999999</v>
          </cell>
          <cell r="R55">
            <v>0</v>
          </cell>
          <cell r="S55">
            <v>0</v>
          </cell>
          <cell r="T55">
            <v>0</v>
          </cell>
          <cell r="U55">
            <v>0</v>
          </cell>
          <cell r="X55">
            <v>0</v>
          </cell>
          <cell r="AA55">
            <v>70.489000000000004</v>
          </cell>
          <cell r="AD55">
            <v>49.991999999999997</v>
          </cell>
          <cell r="AG55">
            <v>78.912000000000006</v>
          </cell>
          <cell r="AH55">
            <v>27.544</v>
          </cell>
          <cell r="AI55">
            <v>27.544</v>
          </cell>
          <cell r="AJ55">
            <v>27.544</v>
          </cell>
          <cell r="AK55">
            <v>27.544</v>
          </cell>
          <cell r="AL55">
            <v>27.544</v>
          </cell>
          <cell r="AM55">
            <v>27.544</v>
          </cell>
        </row>
        <row r="56">
          <cell r="B56" t="str">
            <v>Other current liabilities</v>
          </cell>
          <cell r="C56" t="str">
            <v>OTH_CUR_LIABS</v>
          </cell>
          <cell r="D56" t="str">
            <v>GBP</v>
          </cell>
          <cell r="F56">
            <v>6.1639999999999997</v>
          </cell>
          <cell r="G56">
            <v>7.2439999999999998</v>
          </cell>
          <cell r="H56">
            <v>8.4039999999999999</v>
          </cell>
          <cell r="I56">
            <v>7.3650000000000002</v>
          </cell>
          <cell r="J56">
            <v>10.148999999999999</v>
          </cell>
          <cell r="K56">
            <v>8.6359999999999992</v>
          </cell>
          <cell r="L56">
            <v>9.2789999999999999</v>
          </cell>
          <cell r="M56">
            <v>9.9779999999999998</v>
          </cell>
          <cell r="N56">
            <v>13.738</v>
          </cell>
          <cell r="O56">
            <v>15.117000000000001</v>
          </cell>
          <cell r="R56">
            <v>17.867999999999999</v>
          </cell>
          <cell r="S56">
            <v>0</v>
          </cell>
          <cell r="T56">
            <v>0</v>
          </cell>
          <cell r="U56">
            <v>19.792000000000002</v>
          </cell>
          <cell r="X56">
            <v>22.384</v>
          </cell>
          <cell r="AA56">
            <v>33.78</v>
          </cell>
          <cell r="AD56">
            <v>39.472999999999999</v>
          </cell>
          <cell r="AG56">
            <v>34.503999999999998</v>
          </cell>
          <cell r="AH56">
            <v>36.429000000000002</v>
          </cell>
          <cell r="AI56">
            <v>36.429000000000002</v>
          </cell>
          <cell r="AJ56">
            <v>36.429000000000002</v>
          </cell>
          <cell r="AK56">
            <v>36.429000000000002</v>
          </cell>
          <cell r="AL56">
            <v>36.429000000000002</v>
          </cell>
          <cell r="AM56">
            <v>36.429000000000002</v>
          </cell>
        </row>
        <row r="57">
          <cell r="B57" t="str">
            <v>Total current liabilities</v>
          </cell>
          <cell r="C57" t="str">
            <v>SHORT_TERM_LIABS</v>
          </cell>
          <cell r="D57" t="str">
            <v>GBP</v>
          </cell>
          <cell r="F57">
            <v>52.612000000000002</v>
          </cell>
          <cell r="G57">
            <v>53.466000000000001</v>
          </cell>
          <cell r="H57">
            <v>77.986000000000004</v>
          </cell>
          <cell r="I57">
            <v>86.489000000000004</v>
          </cell>
          <cell r="J57">
            <v>90.468000000000004</v>
          </cell>
          <cell r="K57">
            <v>94.834000000000003</v>
          </cell>
          <cell r="L57">
            <v>80.622</v>
          </cell>
          <cell r="M57">
            <v>87.528000000000006</v>
          </cell>
          <cell r="N57">
            <v>146.95599999999999</v>
          </cell>
          <cell r="O57">
            <v>119.229</v>
          </cell>
          <cell r="R57">
            <v>128.10300000000001</v>
          </cell>
          <cell r="U57">
            <v>136.03899999999999</v>
          </cell>
          <cell r="X57">
            <v>232.477</v>
          </cell>
          <cell r="AA57">
            <v>273.822</v>
          </cell>
          <cell r="AD57">
            <v>295.55799999999999</v>
          </cell>
          <cell r="AG57">
            <v>349.125</v>
          </cell>
          <cell r="AH57">
            <v>306.83100000000002</v>
          </cell>
          <cell r="AI57">
            <v>324.764976345354</v>
          </cell>
          <cell r="AJ57">
            <v>347.99893436911401</v>
          </cell>
          <cell r="AK57">
            <v>363.63601705151001</v>
          </cell>
          <cell r="AL57">
            <v>384.14617166117898</v>
          </cell>
          <cell r="AM57">
            <v>407.64544362693101</v>
          </cell>
        </row>
        <row r="58">
          <cell r="B58" t="str">
            <v>Long-term  debt</v>
          </cell>
          <cell r="C58" t="str">
            <v>LT_DEBT</v>
          </cell>
          <cell r="D58" t="str">
            <v>GBP</v>
          </cell>
          <cell r="F58">
            <v>0</v>
          </cell>
          <cell r="G58">
            <v>0</v>
          </cell>
          <cell r="H58">
            <v>0</v>
          </cell>
          <cell r="I58">
            <v>0</v>
          </cell>
          <cell r="J58">
            <v>41.322000000000003</v>
          </cell>
          <cell r="K58">
            <v>32.868000000000002</v>
          </cell>
          <cell r="L58">
            <v>46.125999999999998</v>
          </cell>
          <cell r="M58">
            <v>49.37</v>
          </cell>
          <cell r="N58">
            <v>0</v>
          </cell>
          <cell r="O58">
            <v>74.367000000000004</v>
          </cell>
          <cell r="R58">
            <v>32.722000000000001</v>
          </cell>
          <cell r="S58">
            <v>0</v>
          </cell>
          <cell r="T58">
            <v>0</v>
          </cell>
          <cell r="U58">
            <v>41.607999999999997</v>
          </cell>
          <cell r="X58">
            <v>107.214</v>
          </cell>
          <cell r="AA58">
            <v>0</v>
          </cell>
          <cell r="AD58">
            <v>0</v>
          </cell>
          <cell r="AG58">
            <v>8.1479999999999997</v>
          </cell>
          <cell r="AH58">
            <v>46.209000000000003</v>
          </cell>
          <cell r="AI58">
            <v>46.209000000000003</v>
          </cell>
          <cell r="AJ58">
            <v>46.209000000000003</v>
          </cell>
          <cell r="AK58">
            <v>46.209000000000003</v>
          </cell>
          <cell r="AL58">
            <v>76.209000000000003</v>
          </cell>
          <cell r="AM58">
            <v>96.209000000000003</v>
          </cell>
        </row>
        <row r="59">
          <cell r="B59" t="str">
            <v>Other long-term liabilities</v>
          </cell>
          <cell r="C59" t="str">
            <v>OTH_LT_CRED_GQ</v>
          </cell>
          <cell r="D59" t="str">
            <v>GBP</v>
          </cell>
          <cell r="F59">
            <v>6.3319999999999999</v>
          </cell>
          <cell r="G59">
            <v>5.8150000000000004</v>
          </cell>
          <cell r="H59">
            <v>4.6440000000000001</v>
          </cell>
          <cell r="I59">
            <v>4.9939999999999998</v>
          </cell>
          <cell r="J59">
            <v>2.98</v>
          </cell>
          <cell r="K59">
            <v>3.242</v>
          </cell>
          <cell r="L59">
            <v>4.8220000000000001</v>
          </cell>
          <cell r="M59">
            <v>8.6219999999999999</v>
          </cell>
          <cell r="N59">
            <v>12.42</v>
          </cell>
          <cell r="O59">
            <v>52.713999999999999</v>
          </cell>
          <cell r="R59">
            <v>42.003999999999998</v>
          </cell>
          <cell r="S59">
            <v>0</v>
          </cell>
          <cell r="T59">
            <v>0</v>
          </cell>
          <cell r="U59">
            <v>48.643999999999998</v>
          </cell>
          <cell r="X59">
            <v>130.309</v>
          </cell>
          <cell r="AA59">
            <v>121.235</v>
          </cell>
          <cell r="AD59">
            <v>115.07299999999999</v>
          </cell>
          <cell r="AG59">
            <v>133.613</v>
          </cell>
          <cell r="AH59">
            <v>125.405</v>
          </cell>
          <cell r="AI59">
            <v>104.41800000000001</v>
          </cell>
          <cell r="AJ59">
            <v>104.41800000000001</v>
          </cell>
          <cell r="AK59">
            <v>104.41800000000001</v>
          </cell>
          <cell r="AL59">
            <v>104.41800000000001</v>
          </cell>
          <cell r="AM59">
            <v>104.41800000000001</v>
          </cell>
        </row>
        <row r="60">
          <cell r="B60" t="str">
            <v>Total long-term liabilities</v>
          </cell>
          <cell r="C60" t="str">
            <v>TOT_LT_LIAB</v>
          </cell>
          <cell r="D60" t="str">
            <v>GBP</v>
          </cell>
          <cell r="F60">
            <v>6.3319999999999999</v>
          </cell>
          <cell r="G60">
            <v>5.8150000000000004</v>
          </cell>
          <cell r="H60">
            <v>4.6440000000000001</v>
          </cell>
          <cell r="I60">
            <v>4.9939999999999998</v>
          </cell>
          <cell r="J60">
            <v>44.302</v>
          </cell>
          <cell r="K60">
            <v>36.11</v>
          </cell>
          <cell r="L60">
            <v>50.948</v>
          </cell>
          <cell r="M60">
            <v>57.991999999999997</v>
          </cell>
          <cell r="N60">
            <v>12.42</v>
          </cell>
          <cell r="O60">
            <v>127.081</v>
          </cell>
          <cell r="R60">
            <v>74.725999999999999</v>
          </cell>
          <cell r="U60">
            <v>90.251999999999995</v>
          </cell>
          <cell r="X60">
            <v>237.523</v>
          </cell>
          <cell r="AA60">
            <v>121.235</v>
          </cell>
          <cell r="AD60">
            <v>115.07299999999999</v>
          </cell>
          <cell r="AG60">
            <v>141.761</v>
          </cell>
          <cell r="AH60">
            <v>171.614</v>
          </cell>
          <cell r="AI60">
            <v>150.62700000000001</v>
          </cell>
          <cell r="AJ60">
            <v>150.62700000000001</v>
          </cell>
          <cell r="AK60">
            <v>150.62700000000001</v>
          </cell>
          <cell r="AL60">
            <v>180.62700000000001</v>
          </cell>
          <cell r="AM60">
            <v>200.62700000000001</v>
          </cell>
        </row>
        <row r="61">
          <cell r="B61" t="str">
            <v>Total liabilities</v>
          </cell>
          <cell r="C61" t="str">
            <v>TOT_LIAB</v>
          </cell>
          <cell r="D61" t="str">
            <v>GBP</v>
          </cell>
          <cell r="F61">
            <v>58.944000000000003</v>
          </cell>
          <cell r="G61">
            <v>59.280999999999999</v>
          </cell>
          <cell r="H61">
            <v>82.63</v>
          </cell>
          <cell r="I61">
            <v>91.483000000000004</v>
          </cell>
          <cell r="J61">
            <v>134.77000000000001</v>
          </cell>
          <cell r="K61">
            <v>130.94399999999999</v>
          </cell>
          <cell r="L61">
            <v>131.57</v>
          </cell>
          <cell r="M61">
            <v>145.52000000000001</v>
          </cell>
          <cell r="N61">
            <v>159.376</v>
          </cell>
          <cell r="O61">
            <v>246.31</v>
          </cell>
          <cell r="R61">
            <v>202.82900000000001</v>
          </cell>
          <cell r="S61">
            <v>0</v>
          </cell>
          <cell r="T61">
            <v>0</v>
          </cell>
          <cell r="U61">
            <v>226.291</v>
          </cell>
          <cell r="X61">
            <v>470</v>
          </cell>
          <cell r="AA61">
            <v>395.05700000000002</v>
          </cell>
          <cell r="AD61">
            <v>410.63099999999997</v>
          </cell>
          <cell r="AG61">
            <v>490.88600000000002</v>
          </cell>
          <cell r="AH61">
            <v>478.44499999999999</v>
          </cell>
          <cell r="AI61">
            <v>475.39197634535401</v>
          </cell>
          <cell r="AJ61">
            <v>498.62593436911402</v>
          </cell>
          <cell r="AK61">
            <v>514.26301705151002</v>
          </cell>
          <cell r="AL61">
            <v>564.77317166117905</v>
          </cell>
          <cell r="AM61">
            <v>608.27244362693102</v>
          </cell>
        </row>
        <row r="62">
          <cell r="B62" t="str">
            <v>Preferred shares</v>
          </cell>
          <cell r="C62" t="str">
            <v>PREF_SH</v>
          </cell>
          <cell r="D62" t="str">
            <v>GBP</v>
          </cell>
          <cell r="H62">
            <v>0</v>
          </cell>
          <cell r="I62">
            <v>0</v>
          </cell>
          <cell r="J62">
            <v>0</v>
          </cell>
          <cell r="K62">
            <v>0</v>
          </cell>
          <cell r="L62">
            <v>0</v>
          </cell>
          <cell r="M62">
            <v>0</v>
          </cell>
          <cell r="N62">
            <v>0</v>
          </cell>
          <cell r="O62">
            <v>0</v>
          </cell>
          <cell r="R62">
            <v>0</v>
          </cell>
          <cell r="S62">
            <v>0</v>
          </cell>
          <cell r="T62">
            <v>0</v>
          </cell>
          <cell r="U62">
            <v>0</v>
          </cell>
        </row>
        <row r="63">
          <cell r="B63" t="str">
            <v>Total common equity</v>
          </cell>
          <cell r="C63" t="str">
            <v>ORD_SH_FUND</v>
          </cell>
          <cell r="D63" t="str">
            <v>GBP</v>
          </cell>
          <cell r="F63">
            <v>3.8969999999999998</v>
          </cell>
          <cell r="G63">
            <v>4.1379999999999999</v>
          </cell>
          <cell r="H63">
            <v>12.997999999999999</v>
          </cell>
          <cell r="I63">
            <v>23.414000000000001</v>
          </cell>
          <cell r="J63">
            <v>32.987000000000002</v>
          </cell>
          <cell r="K63">
            <v>43.664000000000001</v>
          </cell>
          <cell r="L63">
            <v>54.631</v>
          </cell>
          <cell r="M63">
            <v>64.674000000000007</v>
          </cell>
          <cell r="N63">
            <v>81.119</v>
          </cell>
          <cell r="O63">
            <v>85.055999999999997</v>
          </cell>
          <cell r="R63">
            <v>117.39100000000001</v>
          </cell>
          <cell r="S63">
            <v>0</v>
          </cell>
          <cell r="T63">
            <v>0</v>
          </cell>
          <cell r="U63">
            <v>141.89400000000001</v>
          </cell>
          <cell r="X63">
            <v>144.06899999999999</v>
          </cell>
          <cell r="AA63">
            <v>183.46600000000001</v>
          </cell>
          <cell r="AD63">
            <v>243.13499999999999</v>
          </cell>
          <cell r="AG63">
            <v>284.75400000000002</v>
          </cell>
          <cell r="AH63">
            <v>313.52600000000001</v>
          </cell>
          <cell r="AI63">
            <v>355.249561384326</v>
          </cell>
          <cell r="AJ63">
            <v>396.70858981327001</v>
          </cell>
          <cell r="AK63">
            <v>439.63569532644198</v>
          </cell>
          <cell r="AL63">
            <v>484.72616551562697</v>
          </cell>
          <cell r="AM63">
            <v>532.47471599999596</v>
          </cell>
        </row>
        <row r="64">
          <cell r="B64" t="str">
            <v>Minority interest</v>
          </cell>
          <cell r="C64" t="str">
            <v>MINORITIES</v>
          </cell>
          <cell r="D64" t="str">
            <v>GBP</v>
          </cell>
          <cell r="F64">
            <v>0</v>
          </cell>
          <cell r="G64">
            <v>0</v>
          </cell>
          <cell r="H64">
            <v>0</v>
          </cell>
          <cell r="I64">
            <v>0</v>
          </cell>
          <cell r="J64">
            <v>0</v>
          </cell>
          <cell r="K64">
            <v>0</v>
          </cell>
          <cell r="L64">
            <v>0</v>
          </cell>
          <cell r="M64">
            <v>0</v>
          </cell>
          <cell r="N64">
            <v>0</v>
          </cell>
          <cell r="O64">
            <v>0</v>
          </cell>
          <cell r="R64">
            <v>0</v>
          </cell>
          <cell r="S64">
            <v>0</v>
          </cell>
          <cell r="T64">
            <v>0</v>
          </cell>
          <cell r="U64">
            <v>0</v>
          </cell>
          <cell r="X64">
            <v>0</v>
          </cell>
          <cell r="AA64">
            <v>0</v>
          </cell>
          <cell r="AD64">
            <v>0</v>
          </cell>
          <cell r="AG64">
            <v>0.41399999999999998</v>
          </cell>
          <cell r="AH64">
            <v>0.69899999999999995</v>
          </cell>
          <cell r="AI64">
            <v>0.69899999999999995</v>
          </cell>
          <cell r="AJ64">
            <v>0.69899999999999995</v>
          </cell>
          <cell r="AK64">
            <v>0.69899999999999995</v>
          </cell>
          <cell r="AL64">
            <v>0.69899999999999995</v>
          </cell>
          <cell r="AM64">
            <v>0.69899999999999995</v>
          </cell>
        </row>
        <row r="65">
          <cell r="B65" t="str">
            <v>Total shareholders' equity</v>
          </cell>
          <cell r="C65" t="str">
            <v>EQ</v>
          </cell>
          <cell r="D65" t="str">
            <v>GBP</v>
          </cell>
          <cell r="F65">
            <v>3.8969999999999998</v>
          </cell>
          <cell r="G65">
            <v>4.1379999999999999</v>
          </cell>
          <cell r="H65">
            <v>12.997999999999999</v>
          </cell>
          <cell r="I65">
            <v>23.414000000000001</v>
          </cell>
          <cell r="J65">
            <v>32.987000000000002</v>
          </cell>
          <cell r="K65">
            <v>43.664000000000001</v>
          </cell>
          <cell r="L65">
            <v>54.631</v>
          </cell>
          <cell r="M65">
            <v>64.674000000000007</v>
          </cell>
          <cell r="N65">
            <v>81.119</v>
          </cell>
          <cell r="O65">
            <v>85.055999999999997</v>
          </cell>
          <cell r="R65">
            <v>117.39100000000001</v>
          </cell>
          <cell r="U65">
            <v>141.89400000000001</v>
          </cell>
          <cell r="X65">
            <v>144.06899999999999</v>
          </cell>
          <cell r="AA65">
            <v>183.46600000000001</v>
          </cell>
          <cell r="AD65">
            <v>243.13499999999999</v>
          </cell>
          <cell r="AG65">
            <v>285.16800000000001</v>
          </cell>
          <cell r="AH65">
            <v>314.22500000000002</v>
          </cell>
          <cell r="AI65">
            <v>355.94856138432601</v>
          </cell>
          <cell r="AJ65">
            <v>397.40758981327002</v>
          </cell>
          <cell r="AK65">
            <v>440.33469532644199</v>
          </cell>
          <cell r="AL65">
            <v>485.42516551562699</v>
          </cell>
          <cell r="AM65">
            <v>533.17371599999603</v>
          </cell>
        </row>
        <row r="66">
          <cell r="B66" t="str">
            <v>Total liabilities and equity</v>
          </cell>
          <cell r="C66" t="str">
            <v>TOT_LIAB_EQ</v>
          </cell>
          <cell r="D66" t="str">
            <v>GBP</v>
          </cell>
          <cell r="F66">
            <v>62.841000000000001</v>
          </cell>
          <cell r="G66">
            <v>63.418999999999997</v>
          </cell>
          <cell r="H66">
            <v>95.628</v>
          </cell>
          <cell r="I66">
            <v>114.89700000000001</v>
          </cell>
          <cell r="J66">
            <v>167.75700000000001</v>
          </cell>
          <cell r="K66">
            <v>174.608</v>
          </cell>
          <cell r="L66">
            <v>186.20099999999999</v>
          </cell>
          <cell r="M66">
            <v>210.19399999999999</v>
          </cell>
          <cell r="N66">
            <v>240.495</v>
          </cell>
          <cell r="O66">
            <v>331.36599999999999</v>
          </cell>
          <cell r="R66">
            <v>320.22000000000003</v>
          </cell>
          <cell r="U66">
            <v>368.185</v>
          </cell>
          <cell r="X66">
            <v>614.06899999999996</v>
          </cell>
          <cell r="AA66">
            <v>578.52300000000002</v>
          </cell>
          <cell r="AD66">
            <v>653.76599999999996</v>
          </cell>
          <cell r="AG66">
            <v>776.05399999999997</v>
          </cell>
          <cell r="AH66">
            <v>792.67</v>
          </cell>
          <cell r="AI66">
            <v>831.34053772968002</v>
          </cell>
          <cell r="AJ66">
            <v>896.03352418238399</v>
          </cell>
          <cell r="AK66">
            <v>954.59771237795201</v>
          </cell>
          <cell r="AL66">
            <v>1050.1983371768099</v>
          </cell>
          <cell r="AM66">
            <v>1141.44615962693</v>
          </cell>
        </row>
        <row r="67">
          <cell r="A67" t="str">
            <v>Additional Balance Sheet Items</v>
          </cell>
        </row>
        <row r="68">
          <cell r="B68" t="str">
            <v>Net debt</v>
          </cell>
          <cell r="C68" t="str">
            <v>NET_DEBT</v>
          </cell>
          <cell r="D68" t="str">
            <v>GBP</v>
          </cell>
          <cell r="F68">
            <v>-5.6680000000000001</v>
          </cell>
          <cell r="G68">
            <v>-8.9670000000000005</v>
          </cell>
          <cell r="H68">
            <v>0.112</v>
          </cell>
          <cell r="I68">
            <v>11.706</v>
          </cell>
          <cell r="J68">
            <v>55.652000000000001</v>
          </cell>
          <cell r="K68">
            <v>40.561999999999998</v>
          </cell>
          <cell r="L68">
            <v>39.256</v>
          </cell>
          <cell r="M68">
            <v>30.335000000000001</v>
          </cell>
          <cell r="N68">
            <v>23.16</v>
          </cell>
          <cell r="O68">
            <v>34.277000000000001</v>
          </cell>
          <cell r="R68">
            <v>7.0940000000000003</v>
          </cell>
          <cell r="S68">
            <v>0</v>
          </cell>
          <cell r="T68">
            <v>0</v>
          </cell>
          <cell r="U68">
            <v>14.189</v>
          </cell>
          <cell r="X68">
            <v>63.829000000000001</v>
          </cell>
          <cell r="AA68">
            <v>28.68</v>
          </cell>
          <cell r="AD68">
            <v>-18.137</v>
          </cell>
          <cell r="AG68">
            <v>46.009</v>
          </cell>
          <cell r="AH68">
            <v>42.912999999999997</v>
          </cell>
          <cell r="AI68">
            <v>-3.357529229881</v>
          </cell>
          <cell r="AJ68">
            <v>32.152854675016997</v>
          </cell>
          <cell r="AK68">
            <v>65.145472819502004</v>
          </cell>
          <cell r="AL68">
            <v>94.233062569493001</v>
          </cell>
          <cell r="AM68">
            <v>118.730871615203</v>
          </cell>
        </row>
        <row r="69">
          <cell r="B69" t="str">
            <v>Capitalized leases</v>
          </cell>
          <cell r="C69" t="str">
            <v>CAP_LEASES</v>
          </cell>
          <cell r="D69" t="str">
            <v>GBP</v>
          </cell>
          <cell r="H69">
            <v>0</v>
          </cell>
          <cell r="I69">
            <v>0</v>
          </cell>
          <cell r="J69">
            <v>0</v>
          </cell>
          <cell r="K69">
            <v>0</v>
          </cell>
          <cell r="L69">
            <v>0</v>
          </cell>
          <cell r="M69">
            <v>0</v>
          </cell>
          <cell r="N69">
            <v>0</v>
          </cell>
          <cell r="O69">
            <v>0</v>
          </cell>
          <cell r="R69">
            <v>0</v>
          </cell>
          <cell r="S69">
            <v>0</v>
          </cell>
          <cell r="T69">
            <v>0</v>
          </cell>
          <cell r="U69">
            <v>0</v>
          </cell>
        </row>
        <row r="70">
          <cell r="B70" t="str">
            <v>Deferred income taxes</v>
          </cell>
          <cell r="C70" t="str">
            <v>DEF_INC_TAX</v>
          </cell>
          <cell r="D70" t="str">
            <v>GBP</v>
          </cell>
          <cell r="H70">
            <v>0</v>
          </cell>
          <cell r="I70">
            <v>0</v>
          </cell>
          <cell r="J70">
            <v>0</v>
          </cell>
          <cell r="K70">
            <v>0</v>
          </cell>
          <cell r="L70">
            <v>0</v>
          </cell>
          <cell r="M70">
            <v>0</v>
          </cell>
          <cell r="N70">
            <v>0</v>
          </cell>
          <cell r="O70">
            <v>0</v>
          </cell>
          <cell r="R70">
            <v>0</v>
          </cell>
          <cell r="S70">
            <v>0</v>
          </cell>
          <cell r="T70">
            <v>0</v>
          </cell>
          <cell r="U70">
            <v>0</v>
          </cell>
        </row>
        <row r="71">
          <cell r="B71" t="str">
            <v>Associates (mkt value) used in EV calculation</v>
          </cell>
          <cell r="C71" t="str">
            <v>MV_ASSOCIATES</v>
          </cell>
          <cell r="D71" t="str">
            <v>GBP</v>
          </cell>
          <cell r="H71">
            <v>0</v>
          </cell>
          <cell r="I71">
            <v>0</v>
          </cell>
          <cell r="J71">
            <v>0</v>
          </cell>
          <cell r="K71">
            <v>0</v>
          </cell>
          <cell r="L71">
            <v>0</v>
          </cell>
          <cell r="M71">
            <v>0</v>
          </cell>
          <cell r="N71">
            <v>0</v>
          </cell>
          <cell r="O71">
            <v>0</v>
          </cell>
          <cell r="R71">
            <v>0</v>
          </cell>
          <cell r="S71">
            <v>0</v>
          </cell>
          <cell r="T71">
            <v>0</v>
          </cell>
          <cell r="U71">
            <v>0</v>
          </cell>
        </row>
        <row r="72">
          <cell r="B72" t="str">
            <v>Net debt adjustment</v>
          </cell>
          <cell r="C72" t="str">
            <v>NET_DEBT_ADJ</v>
          </cell>
          <cell r="D72" t="str">
            <v>GBP</v>
          </cell>
          <cell r="H72">
            <v>0</v>
          </cell>
          <cell r="I72">
            <v>0</v>
          </cell>
          <cell r="J72">
            <v>0</v>
          </cell>
          <cell r="K72">
            <v>0</v>
          </cell>
          <cell r="L72">
            <v>0</v>
          </cell>
          <cell r="M72">
            <v>0</v>
          </cell>
          <cell r="N72">
            <v>0</v>
          </cell>
          <cell r="O72">
            <v>0</v>
          </cell>
          <cell r="R72">
            <v>0</v>
          </cell>
          <cell r="S72">
            <v>0</v>
          </cell>
          <cell r="T72">
            <v>0</v>
          </cell>
          <cell r="U72">
            <v>0</v>
          </cell>
        </row>
        <row r="73">
          <cell r="B73" t="str">
            <v>Company borrowing margin</v>
          </cell>
          <cell r="C73" t="str">
            <v>CO_BOR_MARGIN</v>
          </cell>
        </row>
        <row r="74">
          <cell r="B74" t="str">
            <v>Unfunded pensions &amp; other provisions</v>
          </cell>
          <cell r="C74" t="str">
            <v>UNF_PENS</v>
          </cell>
          <cell r="D74" t="str">
            <v>GBP</v>
          </cell>
          <cell r="F74">
            <v>0</v>
          </cell>
          <cell r="G74">
            <v>0</v>
          </cell>
          <cell r="H74">
            <v>0</v>
          </cell>
          <cell r="I74">
            <v>0</v>
          </cell>
          <cell r="J74">
            <v>0</v>
          </cell>
          <cell r="K74">
            <v>0</v>
          </cell>
          <cell r="L74">
            <v>0</v>
          </cell>
          <cell r="M74">
            <v>-0.40450000000000003</v>
          </cell>
          <cell r="N74">
            <v>-0.38550000000000001</v>
          </cell>
          <cell r="O74">
            <v>-16.288</v>
          </cell>
          <cell r="S74">
            <v>0</v>
          </cell>
          <cell r="T74">
            <v>0</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cell r="F76">
            <v>0</v>
          </cell>
          <cell r="G76">
            <v>0</v>
          </cell>
          <cell r="H76">
            <v>0</v>
          </cell>
          <cell r="I76">
            <v>0</v>
          </cell>
          <cell r="J76">
            <v>0</v>
          </cell>
          <cell r="K76">
            <v>0</v>
          </cell>
          <cell r="L76">
            <v>0</v>
          </cell>
          <cell r="M76">
            <v>0.40450000000000003</v>
          </cell>
          <cell r="N76">
            <v>0.38550000000000001</v>
          </cell>
          <cell r="O76">
            <v>16.288</v>
          </cell>
          <cell r="R76">
            <v>25.231513149009999</v>
          </cell>
          <cell r="S76">
            <v>0</v>
          </cell>
          <cell r="T76">
            <v>0</v>
          </cell>
          <cell r="U76">
            <v>29.446389053449</v>
          </cell>
          <cell r="X76">
            <v>44.328345175766998</v>
          </cell>
          <cell r="AA76">
            <v>56.948854826453001</v>
          </cell>
          <cell r="AD76">
            <v>56.510615144905003</v>
          </cell>
          <cell r="AG76">
            <v>59.655782134185003</v>
          </cell>
          <cell r="AH76">
            <v>61.892376581347001</v>
          </cell>
          <cell r="AI76">
            <v>62.737479999999998</v>
          </cell>
          <cell r="AJ76">
            <v>62.737479999999998</v>
          </cell>
          <cell r="AK76">
            <v>62.737479999999998</v>
          </cell>
          <cell r="AL76">
            <v>62.737479999999998</v>
          </cell>
          <cell r="AM76">
            <v>62.737479999999998</v>
          </cell>
        </row>
        <row r="77">
          <cell r="B77" t="str">
            <v>Adjustment for unfunded pensions &amp; goodwill</v>
          </cell>
          <cell r="C77" t="str">
            <v>ADJ_UNF_PENS_GOOD</v>
          </cell>
          <cell r="D77" t="str">
            <v>GBP</v>
          </cell>
        </row>
        <row r="78">
          <cell r="B78" t="str">
            <v>Other GCI adjustments</v>
          </cell>
          <cell r="C78" t="str">
            <v>OTH_GCI_ADJ</v>
          </cell>
          <cell r="D78" t="str">
            <v>GBP</v>
          </cell>
          <cell r="R78">
            <v>-9.9640000000000004</v>
          </cell>
          <cell r="U78">
            <v>-14.122999999999999</v>
          </cell>
          <cell r="X78">
            <v>-14.723000000000001</v>
          </cell>
          <cell r="AA78">
            <v>-15.077</v>
          </cell>
          <cell r="AD78">
            <v>-15.877000000000001</v>
          </cell>
          <cell r="AG78">
            <v>-16.777000000000001</v>
          </cell>
          <cell r="AH78">
            <v>-17.376999999999999</v>
          </cell>
          <cell r="AI78">
            <v>-18.165474394353001</v>
          </cell>
          <cell r="AJ78">
            <v>-19.024193975071999</v>
          </cell>
          <cell r="AK78">
            <v>-19.930190467719999</v>
          </cell>
          <cell r="AL78">
            <v>-20.898197041968999</v>
          </cell>
          <cell r="AM78">
            <v>-21.937250948618001</v>
          </cell>
        </row>
        <row r="79">
          <cell r="B79" t="str">
            <v>GCI inflator</v>
          </cell>
          <cell r="C79" t="str">
            <v>GCI_INFL</v>
          </cell>
        </row>
        <row r="80">
          <cell r="B80" t="str">
            <v>Minority interest</v>
          </cell>
          <cell r="C80" t="str">
            <v>BAL_MINO_INT</v>
          </cell>
          <cell r="D80" t="str">
            <v>GBP</v>
          </cell>
          <cell r="H80">
            <v>0</v>
          </cell>
          <cell r="I80">
            <v>0</v>
          </cell>
          <cell r="J80">
            <v>0</v>
          </cell>
          <cell r="K80">
            <v>0</v>
          </cell>
          <cell r="L80">
            <v>0</v>
          </cell>
          <cell r="M80">
            <v>0</v>
          </cell>
          <cell r="N80">
            <v>0</v>
          </cell>
          <cell r="O80">
            <v>0</v>
          </cell>
          <cell r="R80">
            <v>0</v>
          </cell>
          <cell r="S80">
            <v>0</v>
          </cell>
          <cell r="T80">
            <v>0</v>
          </cell>
          <cell r="U80">
            <v>0</v>
          </cell>
        </row>
        <row r="81">
          <cell r="A81" t="str">
            <v>Cash Flow Statement</v>
          </cell>
        </row>
        <row r="82">
          <cell r="B82" t="str">
            <v>Minority interest add-back</v>
          </cell>
          <cell r="C82" t="str">
            <v>CF_INC_MINORITY</v>
          </cell>
          <cell r="D82" t="str">
            <v>GBP</v>
          </cell>
          <cell r="H82">
            <v>0</v>
          </cell>
          <cell r="I82">
            <v>0</v>
          </cell>
          <cell r="J82">
            <v>0</v>
          </cell>
          <cell r="K82">
            <v>0</v>
          </cell>
          <cell r="L82">
            <v>0</v>
          </cell>
          <cell r="M82">
            <v>0</v>
          </cell>
          <cell r="N82">
            <v>0</v>
          </cell>
          <cell r="S82">
            <v>0</v>
          </cell>
          <cell r="T82">
            <v>0</v>
          </cell>
          <cell r="U82">
            <v>0</v>
          </cell>
        </row>
        <row r="83">
          <cell r="B83" t="str">
            <v>Depreciation &amp; amortization add-back</v>
          </cell>
          <cell r="C83" t="str">
            <v>DEPR_AMORT</v>
          </cell>
          <cell r="D83" t="str">
            <v>GBP</v>
          </cell>
          <cell r="F83">
            <v>2.2570000000000001</v>
          </cell>
          <cell r="G83">
            <v>2.113</v>
          </cell>
          <cell r="H83">
            <v>2.5449999999999999</v>
          </cell>
          <cell r="I83">
            <v>4.5709999999999997</v>
          </cell>
          <cell r="J83">
            <v>7.3250000000000002</v>
          </cell>
          <cell r="K83">
            <v>7.7130000000000001</v>
          </cell>
          <cell r="L83">
            <v>8.2949999999999999</v>
          </cell>
          <cell r="M83">
            <v>9.9459999999999997</v>
          </cell>
          <cell r="N83">
            <v>11.912000000000001</v>
          </cell>
          <cell r="O83">
            <v>11.582000000000001</v>
          </cell>
          <cell r="R83">
            <v>12.066000000000001</v>
          </cell>
          <cell r="S83">
            <v>0</v>
          </cell>
          <cell r="T83">
            <v>0</v>
          </cell>
          <cell r="U83">
            <v>11.186999999999999</v>
          </cell>
          <cell r="X83">
            <v>22.513999999999999</v>
          </cell>
          <cell r="AA83">
            <v>36.295999999999999</v>
          </cell>
          <cell r="AD83">
            <v>31.472999999999999</v>
          </cell>
          <cell r="AG83">
            <v>38.570999999999998</v>
          </cell>
          <cell r="AH83">
            <v>46.124000000000002</v>
          </cell>
          <cell r="AI83">
            <v>45.590286406613998</v>
          </cell>
          <cell r="AJ83">
            <v>49.651925171373001</v>
          </cell>
          <cell r="AK83">
            <v>52.385518006722997</v>
          </cell>
          <cell r="AL83">
            <v>55.970995734996997</v>
          </cell>
          <cell r="AM83">
            <v>60.079015292496003</v>
          </cell>
        </row>
        <row r="84">
          <cell r="B84" t="str">
            <v>(Increase)/decrease in working capital</v>
          </cell>
          <cell r="C84" t="str">
            <v>WORK_CAP</v>
          </cell>
          <cell r="D84" t="str">
            <v>GBP</v>
          </cell>
          <cell r="F84">
            <v>1.048</v>
          </cell>
          <cell r="G84">
            <v>-1.1679999999999999</v>
          </cell>
          <cell r="H84">
            <v>1.218</v>
          </cell>
          <cell r="I84">
            <v>-15.946</v>
          </cell>
          <cell r="J84">
            <v>-13.388</v>
          </cell>
          <cell r="K84">
            <v>3.1970000000000001</v>
          </cell>
          <cell r="L84">
            <v>3.544</v>
          </cell>
          <cell r="M84">
            <v>11.532999999999999</v>
          </cell>
          <cell r="N84">
            <v>1.9079999999999999</v>
          </cell>
          <cell r="O84">
            <v>4.1180000000000003</v>
          </cell>
          <cell r="R84">
            <v>-2.2839999999999998</v>
          </cell>
          <cell r="S84">
            <v>0</v>
          </cell>
          <cell r="T84">
            <v>0</v>
          </cell>
          <cell r="U84">
            <v>-5.6459999999999999</v>
          </cell>
          <cell r="X84">
            <v>4.673</v>
          </cell>
          <cell r="AA84">
            <v>11.864000000000001</v>
          </cell>
          <cell r="AD84">
            <v>0.99</v>
          </cell>
          <cell r="AG84">
            <v>15.789</v>
          </cell>
          <cell r="AH84">
            <v>-10.734999999999999</v>
          </cell>
          <cell r="AI84">
            <v>-7.5074447010000003E-2</v>
          </cell>
          <cell r="AJ84">
            <v>0.57132755844600003</v>
          </cell>
          <cell r="AK84">
            <v>0.38451891240500002</v>
          </cell>
          <cell r="AL84">
            <v>0.50434870134900001</v>
          </cell>
          <cell r="AM84">
            <v>0.57785168001599996</v>
          </cell>
        </row>
        <row r="85">
          <cell r="B85" t="str">
            <v>Other operating cash flow items</v>
          </cell>
          <cell r="C85" t="str">
            <v>OTH_OP_CF</v>
          </cell>
          <cell r="D85" t="str">
            <v>GBP</v>
          </cell>
          <cell r="F85">
            <v>4.05</v>
          </cell>
          <cell r="G85">
            <v>2.355</v>
          </cell>
          <cell r="H85">
            <v>0.78900000000000003</v>
          </cell>
          <cell r="I85">
            <v>-1.9370000000000001</v>
          </cell>
          <cell r="J85">
            <v>-2.0790000000000002</v>
          </cell>
          <cell r="K85">
            <v>-4.891</v>
          </cell>
          <cell r="L85">
            <v>-1.573</v>
          </cell>
          <cell r="M85">
            <v>-3.3479999999999999</v>
          </cell>
          <cell r="N85">
            <v>-0.83299999999999996</v>
          </cell>
          <cell r="O85">
            <v>-0.92</v>
          </cell>
          <cell r="R85">
            <v>0.42699999999999999</v>
          </cell>
          <cell r="S85">
            <v>0</v>
          </cell>
          <cell r="T85">
            <v>0</v>
          </cell>
          <cell r="U85">
            <v>-0.28599999999999998</v>
          </cell>
          <cell r="X85">
            <v>-12.55</v>
          </cell>
          <cell r="AA85">
            <v>-11.863</v>
          </cell>
          <cell r="AD85">
            <v>-7.1390000000000002</v>
          </cell>
          <cell r="AG85">
            <v>-21.66</v>
          </cell>
          <cell r="AH85">
            <v>48.347999999999999</v>
          </cell>
          <cell r="AI85">
            <v>69.029426479326006</v>
          </cell>
          <cell r="AJ85">
            <v>-24.53432095866</v>
          </cell>
          <cell r="AK85">
            <v>-25.824221147863</v>
          </cell>
          <cell r="AL85">
            <v>-26.943508012275998</v>
          </cell>
          <cell r="AM85">
            <v>-27.930001283077999</v>
          </cell>
        </row>
        <row r="86">
          <cell r="B86" t="str">
            <v>Cash flow from operating activities</v>
          </cell>
          <cell r="C86" t="str">
            <v>CF_OPS</v>
          </cell>
          <cell r="D86" t="str">
            <v>GBP</v>
          </cell>
          <cell r="F86">
            <v>17.199000000000002</v>
          </cell>
          <cell r="G86">
            <v>16.466000000000001</v>
          </cell>
          <cell r="H86">
            <v>19.234000000000002</v>
          </cell>
          <cell r="I86">
            <v>3.5579999999999998</v>
          </cell>
          <cell r="J86">
            <v>10.832000000000001</v>
          </cell>
          <cell r="K86">
            <v>25.994</v>
          </cell>
          <cell r="L86">
            <v>32.087000000000003</v>
          </cell>
          <cell r="M86">
            <v>43.414999999999999</v>
          </cell>
          <cell r="N86">
            <v>42.362000000000002</v>
          </cell>
          <cell r="O86">
            <v>48.765999999999998</v>
          </cell>
          <cell r="R86">
            <v>49.55</v>
          </cell>
          <cell r="U86">
            <v>49.558</v>
          </cell>
          <cell r="X86">
            <v>69.102000000000004</v>
          </cell>
          <cell r="AA86">
            <v>102.056</v>
          </cell>
          <cell r="AD86">
            <v>99.281000000000006</v>
          </cell>
          <cell r="AG86">
            <v>115.413</v>
          </cell>
          <cell r="AH86">
            <v>83.736999999999995</v>
          </cell>
          <cell r="AI86">
            <v>114.54463843892999</v>
          </cell>
          <cell r="AJ86">
            <v>120.904019496063</v>
          </cell>
          <cell r="AK86">
            <v>127.91165460333001</v>
          </cell>
          <cell r="AL86">
            <v>137.07237801366401</v>
          </cell>
          <cell r="AM86">
            <v>147.533237183827</v>
          </cell>
        </row>
        <row r="87">
          <cell r="B87" t="str">
            <v>Capital expenditures, Capex</v>
          </cell>
          <cell r="C87" t="str">
            <v>CAPEX</v>
          </cell>
          <cell r="D87" t="str">
            <v>GBP</v>
          </cell>
          <cell r="F87">
            <v>0</v>
          </cell>
          <cell r="G87">
            <v>-2.75</v>
          </cell>
          <cell r="H87">
            <v>-3.2040000000000002</v>
          </cell>
          <cell r="I87">
            <v>-3.95</v>
          </cell>
          <cell r="J87">
            <v>-2.7080000000000002</v>
          </cell>
          <cell r="K87">
            <v>-3.24</v>
          </cell>
          <cell r="L87">
            <v>-3.2429999999999999</v>
          </cell>
          <cell r="M87">
            <v>-6.806</v>
          </cell>
          <cell r="N87">
            <v>-5.2430000000000003</v>
          </cell>
          <cell r="O87">
            <v>-10.2203</v>
          </cell>
          <cell r="R87">
            <v>-9.4009999999999998</v>
          </cell>
          <cell r="S87">
            <v>0</v>
          </cell>
          <cell r="T87">
            <v>0</v>
          </cell>
          <cell r="U87">
            <v>-14.058</v>
          </cell>
          <cell r="X87">
            <v>-14.907999999999999</v>
          </cell>
          <cell r="AA87">
            <v>-9.3320000000000007</v>
          </cell>
          <cell r="AD87">
            <v>-14.927</v>
          </cell>
          <cell r="AG87">
            <v>-15.154</v>
          </cell>
          <cell r="AH87">
            <v>-25.062000000000001</v>
          </cell>
          <cell r="AI87">
            <v>-24.968244114050002</v>
          </cell>
          <cell r="AJ87">
            <v>-27.192665063660002</v>
          </cell>
          <cell r="AK87">
            <v>-28.689760576785002</v>
          </cell>
          <cell r="AL87">
            <v>-30.653404375522999</v>
          </cell>
          <cell r="AM87">
            <v>-32.903226502590002</v>
          </cell>
        </row>
        <row r="88">
          <cell r="B88" t="str">
            <v>Acquisitions</v>
          </cell>
          <cell r="C88" t="str">
            <v>ACQ</v>
          </cell>
          <cell r="D88" t="str">
            <v>GBP</v>
          </cell>
          <cell r="F88">
            <v>-6.1369999999999996</v>
          </cell>
          <cell r="G88">
            <v>-8.8870000000000005</v>
          </cell>
          <cell r="H88">
            <v>-17.748999999999999</v>
          </cell>
          <cell r="I88">
            <v>-5.548</v>
          </cell>
          <cell r="J88">
            <v>-44.722999999999999</v>
          </cell>
          <cell r="K88">
            <v>0</v>
          </cell>
          <cell r="L88">
            <v>-21.946000000000002</v>
          </cell>
          <cell r="M88">
            <v>-18.257999999999999</v>
          </cell>
          <cell r="N88">
            <v>-23.288</v>
          </cell>
          <cell r="O88">
            <v>-36.81</v>
          </cell>
          <cell r="R88">
            <v>-7.7990000000000004</v>
          </cell>
          <cell r="S88">
            <v>0</v>
          </cell>
          <cell r="T88">
            <v>0</v>
          </cell>
          <cell r="U88">
            <v>-31.015999999999998</v>
          </cell>
          <cell r="X88">
            <v>-78.837999999999994</v>
          </cell>
          <cell r="AA88">
            <v>-30.757999999999999</v>
          </cell>
          <cell r="AD88">
            <v>-13.074</v>
          </cell>
          <cell r="AG88">
            <v>-142.14699999999999</v>
          </cell>
          <cell r="AH88">
            <v>-36.948</v>
          </cell>
          <cell r="AI88">
            <v>-16</v>
          </cell>
          <cell r="AJ88">
            <v>-100</v>
          </cell>
          <cell r="AK88">
            <v>-100</v>
          </cell>
          <cell r="AL88">
            <v>-100</v>
          </cell>
          <cell r="AM88">
            <v>-100</v>
          </cell>
        </row>
        <row r="89">
          <cell r="B89" t="str">
            <v>Divestitures</v>
          </cell>
          <cell r="C89" t="str">
            <v>DIVEST</v>
          </cell>
          <cell r="D89" t="str">
            <v>GBP</v>
          </cell>
          <cell r="F89">
            <v>1.847</v>
          </cell>
          <cell r="G89">
            <v>0</v>
          </cell>
          <cell r="H89">
            <v>0</v>
          </cell>
          <cell r="I89">
            <v>0</v>
          </cell>
          <cell r="J89">
            <v>0.24099999999999999</v>
          </cell>
          <cell r="K89">
            <v>0</v>
          </cell>
          <cell r="L89">
            <v>4.1000000000000002E-2</v>
          </cell>
          <cell r="M89">
            <v>0.01</v>
          </cell>
          <cell r="N89">
            <v>3.0000000000000001E-3</v>
          </cell>
          <cell r="O89">
            <v>0.1</v>
          </cell>
          <cell r="R89">
            <v>0</v>
          </cell>
          <cell r="S89">
            <v>0</v>
          </cell>
          <cell r="T89">
            <v>0</v>
          </cell>
          <cell r="U89">
            <v>0</v>
          </cell>
          <cell r="X89">
            <v>0</v>
          </cell>
          <cell r="AA89">
            <v>0</v>
          </cell>
          <cell r="AD89">
            <v>0</v>
          </cell>
          <cell r="AG89">
            <v>0</v>
          </cell>
        </row>
        <row r="90">
          <cell r="B90" t="str">
            <v>Other investing cash flow items</v>
          </cell>
          <cell r="C90" t="str">
            <v>OTH_INV_CF</v>
          </cell>
          <cell r="D90" t="str">
            <v>GBP</v>
          </cell>
          <cell r="H90">
            <v>0</v>
          </cell>
          <cell r="I90">
            <v>0</v>
          </cell>
          <cell r="J90">
            <v>0</v>
          </cell>
          <cell r="K90">
            <v>0</v>
          </cell>
          <cell r="L90">
            <v>0</v>
          </cell>
          <cell r="M90">
            <v>0</v>
          </cell>
          <cell r="N90">
            <v>0</v>
          </cell>
          <cell r="O90">
            <v>0</v>
          </cell>
          <cell r="R90">
            <v>1.216</v>
          </cell>
          <cell r="S90">
            <v>0</v>
          </cell>
          <cell r="T90">
            <v>0</v>
          </cell>
          <cell r="U90">
            <v>0.79100000000000004</v>
          </cell>
          <cell r="X90">
            <v>1.2290000000000001</v>
          </cell>
          <cell r="AA90">
            <v>0.58199999999999996</v>
          </cell>
          <cell r="AD90">
            <v>0.63500000000000001</v>
          </cell>
          <cell r="AG90">
            <v>0.29599999999999999</v>
          </cell>
          <cell r="AH90">
            <v>0.95299999999999996</v>
          </cell>
          <cell r="AI90">
            <v>0.70599999999999996</v>
          </cell>
          <cell r="AJ90">
            <v>0.70599999999999996</v>
          </cell>
          <cell r="AK90">
            <v>0.70599999999999996</v>
          </cell>
          <cell r="AL90">
            <v>0.70599999999999996</v>
          </cell>
          <cell r="AM90">
            <v>0.70599999999999996</v>
          </cell>
        </row>
        <row r="91">
          <cell r="B91" t="str">
            <v>Cash flow from investing</v>
          </cell>
          <cell r="C91" t="str">
            <v>CF_INV</v>
          </cell>
          <cell r="D91" t="str">
            <v>GBP</v>
          </cell>
          <cell r="F91">
            <v>-4.29</v>
          </cell>
          <cell r="G91">
            <v>-11.637</v>
          </cell>
          <cell r="H91">
            <v>-20.952999999999999</v>
          </cell>
          <cell r="I91">
            <v>-9.4979999999999993</v>
          </cell>
          <cell r="J91">
            <v>-47.19</v>
          </cell>
          <cell r="K91">
            <v>-3.24</v>
          </cell>
          <cell r="L91">
            <v>-25.148</v>
          </cell>
          <cell r="M91">
            <v>-25.053999999999998</v>
          </cell>
          <cell r="N91">
            <v>-28.527999999999999</v>
          </cell>
          <cell r="O91">
            <v>-46.930300000000003</v>
          </cell>
          <cell r="R91">
            <v>-15.984</v>
          </cell>
          <cell r="U91">
            <v>-44.283000000000001</v>
          </cell>
          <cell r="X91">
            <v>-92.516999999999996</v>
          </cell>
          <cell r="AA91">
            <v>-39.508000000000003</v>
          </cell>
          <cell r="AD91">
            <v>-27.366</v>
          </cell>
          <cell r="AG91">
            <v>-157.005</v>
          </cell>
          <cell r="AH91">
            <v>-61.057000000000002</v>
          </cell>
          <cell r="AI91">
            <v>-40.262244114049999</v>
          </cell>
          <cell r="AJ91">
            <v>-126.48666506366</v>
          </cell>
          <cell r="AK91">
            <v>-127.983760576785</v>
          </cell>
          <cell r="AL91">
            <v>-129.94740437552301</v>
          </cell>
          <cell r="AM91">
            <v>-132.19722650259001</v>
          </cell>
        </row>
        <row r="92">
          <cell r="B92" t="str">
            <v>Dividends paid</v>
          </cell>
          <cell r="C92" t="str">
            <v>DIV_PAID</v>
          </cell>
          <cell r="D92" t="str">
            <v>GBP</v>
          </cell>
          <cell r="F92">
            <v>-2.6789999999999998</v>
          </cell>
          <cell r="G92">
            <v>-1.56</v>
          </cell>
          <cell r="H92">
            <v>-4.875</v>
          </cell>
          <cell r="I92">
            <v>-5.4610000000000003</v>
          </cell>
          <cell r="J92">
            <v>-6.0110000000000001</v>
          </cell>
          <cell r="K92">
            <v>-6.4850000000000003</v>
          </cell>
          <cell r="L92">
            <v>-7.0449999999999999</v>
          </cell>
          <cell r="M92">
            <v>-7.6760000000000002</v>
          </cell>
          <cell r="N92">
            <v>-8.5310000000000006</v>
          </cell>
          <cell r="O92">
            <v>-9.5670000000000002</v>
          </cell>
          <cell r="R92">
            <v>-11.102</v>
          </cell>
          <cell r="S92">
            <v>0</v>
          </cell>
          <cell r="T92">
            <v>0</v>
          </cell>
          <cell r="U92">
            <v>-12.978</v>
          </cell>
          <cell r="X92">
            <v>-15.225</v>
          </cell>
          <cell r="AA92">
            <v>-18.748999999999999</v>
          </cell>
          <cell r="AD92">
            <v>-22.006</v>
          </cell>
          <cell r="AG92">
            <v>-24.469000000000001</v>
          </cell>
          <cell r="AH92">
            <v>-26.876999999999999</v>
          </cell>
          <cell r="AI92">
            <v>-28.011865095000001</v>
          </cell>
          <cell r="AJ92">
            <v>-29.927738337299999</v>
          </cell>
          <cell r="AK92">
            <v>-32.920512171029998</v>
          </cell>
          <cell r="AL92">
            <v>-36.212563388132999</v>
          </cell>
          <cell r="AM92">
            <v>-39.833819726945997</v>
          </cell>
        </row>
        <row r="93">
          <cell r="B93" t="str">
            <v>Common stock issuance/(repurchase)</v>
          </cell>
          <cell r="C93" t="str">
            <v>SH_REPUR</v>
          </cell>
          <cell r="D93" t="str">
            <v>GBP</v>
          </cell>
          <cell r="F93">
            <v>-1.7549999999999999</v>
          </cell>
          <cell r="G93">
            <v>-0.04</v>
          </cell>
          <cell r="H93">
            <v>1.4E-2</v>
          </cell>
          <cell r="I93">
            <v>0.63800000000000001</v>
          </cell>
          <cell r="J93">
            <v>0.41699999999999998</v>
          </cell>
          <cell r="K93">
            <v>0.72599999999999998</v>
          </cell>
          <cell r="L93">
            <v>0.98799999999999999</v>
          </cell>
          <cell r="M93">
            <v>1.22</v>
          </cell>
          <cell r="N93">
            <v>2.2370000000000001</v>
          </cell>
          <cell r="O93">
            <v>1.389</v>
          </cell>
          <cell r="R93">
            <v>1.0049999999999999</v>
          </cell>
          <cell r="S93">
            <v>0</v>
          </cell>
          <cell r="T93">
            <v>0</v>
          </cell>
          <cell r="U93">
            <v>1.897</v>
          </cell>
          <cell r="X93">
            <v>0.70499999999999996</v>
          </cell>
          <cell r="AA93">
            <v>1.899</v>
          </cell>
          <cell r="AD93">
            <v>1.268</v>
          </cell>
          <cell r="AG93">
            <v>2.319</v>
          </cell>
          <cell r="AH93">
            <v>4.9109999999999996</v>
          </cell>
        </row>
        <row r="94">
          <cell r="B94" t="str">
            <v>Increase/(decrease) in total debt</v>
          </cell>
          <cell r="C94" t="str">
            <v>CHG_LT_DEBT</v>
          </cell>
          <cell r="D94" t="str">
            <v>GBP</v>
          </cell>
          <cell r="F94">
            <v>-5.3999999999999999E-2</v>
          </cell>
          <cell r="G94">
            <v>0.02</v>
          </cell>
          <cell r="H94">
            <v>-14.685</v>
          </cell>
          <cell r="I94">
            <v>-9.9629999999999992</v>
          </cell>
          <cell r="J94">
            <v>38.850999999999999</v>
          </cell>
          <cell r="K94">
            <v>-4.9870000000000001</v>
          </cell>
          <cell r="L94">
            <v>35.682000000000002</v>
          </cell>
          <cell r="M94">
            <v>4.4939999999999998</v>
          </cell>
          <cell r="N94">
            <v>-97.492999999999995</v>
          </cell>
          <cell r="O94">
            <v>122.399</v>
          </cell>
          <cell r="R94">
            <v>-36.314999999999998</v>
          </cell>
          <cell r="S94">
            <v>0</v>
          </cell>
          <cell r="T94">
            <v>0</v>
          </cell>
          <cell r="U94">
            <v>6.5510000000000002</v>
          </cell>
          <cell r="X94">
            <v>48.040999999999997</v>
          </cell>
          <cell r="AA94">
            <v>-29.050999999999998</v>
          </cell>
          <cell r="AD94">
            <v>-23.456</v>
          </cell>
          <cell r="AG94">
            <v>36.625999999999998</v>
          </cell>
          <cell r="AH94">
            <v>-9.5690000000000008</v>
          </cell>
          <cell r="AL94">
            <v>30</v>
          </cell>
          <cell r="AM94">
            <v>20</v>
          </cell>
        </row>
        <row r="95">
          <cell r="B95" t="str">
            <v>Other financing cash flow items</v>
          </cell>
          <cell r="C95" t="str">
            <v>OTH_FIN_CF</v>
          </cell>
          <cell r="D95" t="str">
            <v>GBP</v>
          </cell>
          <cell r="F95">
            <v>-4.0000000000000001E-3</v>
          </cell>
          <cell r="G95">
            <v>-4.0000000000000001E-3</v>
          </cell>
          <cell r="H95">
            <v>-5.0000000000000001E-3</v>
          </cell>
          <cell r="I95">
            <v>-2.1999999999999999E-2</v>
          </cell>
          <cell r="J95">
            <v>-2.3E-2</v>
          </cell>
          <cell r="K95">
            <v>-2.1000000000000001E-2</v>
          </cell>
          <cell r="L95">
            <v>-1.4999999999999999E-2</v>
          </cell>
          <cell r="M95">
            <v>-6.0000000000000001E-3</v>
          </cell>
          <cell r="N95">
            <v>-3.0000000000000001E-3</v>
          </cell>
          <cell r="O95">
            <v>7.1999999999999995E-2</v>
          </cell>
          <cell r="R95">
            <v>-3.3000000000000002E-2</v>
          </cell>
          <cell r="S95">
            <v>0</v>
          </cell>
          <cell r="T95">
            <v>0</v>
          </cell>
          <cell r="U95">
            <v>-1.6E-2</v>
          </cell>
          <cell r="X95">
            <v>3.3000000000000002E-2</v>
          </cell>
          <cell r="AA95">
            <v>-16.027999999999999</v>
          </cell>
          <cell r="AD95">
            <v>-2.96</v>
          </cell>
          <cell r="AG95">
            <v>1.909</v>
          </cell>
          <cell r="AH95">
            <v>0.52500000000000002</v>
          </cell>
        </row>
        <row r="96">
          <cell r="B96" t="str">
            <v>Cash flow from financing</v>
          </cell>
          <cell r="C96" t="str">
            <v>CF_FIN</v>
          </cell>
          <cell r="D96" t="str">
            <v>GBP</v>
          </cell>
          <cell r="F96">
            <v>-4.492</v>
          </cell>
          <cell r="G96">
            <v>-1.5840000000000001</v>
          </cell>
          <cell r="H96">
            <v>-19.550999999999998</v>
          </cell>
          <cell r="I96">
            <v>-14.808</v>
          </cell>
          <cell r="J96">
            <v>33.234000000000002</v>
          </cell>
          <cell r="K96">
            <v>-10.766999999999999</v>
          </cell>
          <cell r="L96">
            <v>29.61</v>
          </cell>
          <cell r="M96">
            <v>-1.968</v>
          </cell>
          <cell r="N96">
            <v>-103.79</v>
          </cell>
          <cell r="O96">
            <v>114.29300000000001</v>
          </cell>
          <cell r="R96">
            <v>-46.445</v>
          </cell>
          <cell r="U96">
            <v>-4.5460000000000003</v>
          </cell>
          <cell r="X96">
            <v>33.554000000000002</v>
          </cell>
          <cell r="AA96">
            <v>-61.929000000000002</v>
          </cell>
          <cell r="AD96">
            <v>-47.154000000000003</v>
          </cell>
          <cell r="AG96">
            <v>16.385000000000002</v>
          </cell>
          <cell r="AH96">
            <v>-31.01</v>
          </cell>
          <cell r="AI96">
            <v>-28.011865095000001</v>
          </cell>
          <cell r="AJ96">
            <v>-29.927738337299999</v>
          </cell>
          <cell r="AK96">
            <v>-32.920512171029998</v>
          </cell>
          <cell r="AL96">
            <v>-6.2125633881329998</v>
          </cell>
          <cell r="AM96">
            <v>-19.833819726946</v>
          </cell>
        </row>
        <row r="97">
          <cell r="B97" t="str">
            <v>Other items net cash flow</v>
          </cell>
          <cell r="C97" t="str">
            <v>OTH_ITEM_NCF</v>
          </cell>
          <cell r="D97" t="str">
            <v>GBP</v>
          </cell>
          <cell r="G97">
            <v>3.4000000000000002E-2</v>
          </cell>
          <cell r="H97">
            <v>26.876000000000001</v>
          </cell>
          <cell r="I97">
            <v>19.117000000000001</v>
          </cell>
          <cell r="J97">
            <v>2.9710000000000001</v>
          </cell>
          <cell r="K97">
            <v>-8.8179999999999996</v>
          </cell>
          <cell r="L97">
            <v>-44.408999999999999</v>
          </cell>
          <cell r="M97">
            <v>-5.4779999999999998</v>
          </cell>
          <cell r="N97">
            <v>95.884</v>
          </cell>
          <cell r="O97">
            <v>-100.91070000000001</v>
          </cell>
          <cell r="R97">
            <v>-1.6859999999999999</v>
          </cell>
          <cell r="U97">
            <v>1.0620000000000001</v>
          </cell>
          <cell r="X97">
            <v>5.827</v>
          </cell>
          <cell r="AA97">
            <v>-2.1949999999999998</v>
          </cell>
          <cell r="AD97">
            <v>1.5589999999999999</v>
          </cell>
          <cell r="AG97">
            <v>-1.871</v>
          </cell>
          <cell r="AH97">
            <v>-1.881</v>
          </cell>
          <cell r="AI97">
            <v>0</v>
          </cell>
          <cell r="AJ97">
            <v>0</v>
          </cell>
          <cell r="AK97">
            <v>0</v>
          </cell>
          <cell r="AL97">
            <v>0</v>
          </cell>
          <cell r="AM97">
            <v>0</v>
          </cell>
        </row>
        <row r="98">
          <cell r="B98" t="str">
            <v>Total cash flow</v>
          </cell>
          <cell r="C98" t="str">
            <v>TOT_CF</v>
          </cell>
          <cell r="D98" t="str">
            <v>GBP</v>
          </cell>
          <cell r="F98">
            <v>8.4169999999999998</v>
          </cell>
          <cell r="G98">
            <v>3.2789999999999999</v>
          </cell>
          <cell r="H98">
            <v>5.6059999999999999</v>
          </cell>
          <cell r="I98">
            <v>-1.631</v>
          </cell>
          <cell r="J98">
            <v>-0.153</v>
          </cell>
          <cell r="K98">
            <v>3.169</v>
          </cell>
          <cell r="L98">
            <v>-7.86</v>
          </cell>
          <cell r="M98">
            <v>10.914999999999999</v>
          </cell>
          <cell r="N98">
            <v>5.9279999999999999</v>
          </cell>
          <cell r="O98">
            <v>15.218</v>
          </cell>
          <cell r="R98">
            <v>-14.565</v>
          </cell>
          <cell r="U98">
            <v>1.7909999999999999</v>
          </cell>
          <cell r="X98">
            <v>15.965999999999999</v>
          </cell>
          <cell r="AA98">
            <v>-1.5760000000000001</v>
          </cell>
          <cell r="AD98">
            <v>26.32</v>
          </cell>
          <cell r="AG98">
            <v>-27.077999999999999</v>
          </cell>
          <cell r="AH98">
            <v>-10.211</v>
          </cell>
          <cell r="AI98">
            <v>46.270529229880999</v>
          </cell>
          <cell r="AJ98">
            <v>-35.510383904897999</v>
          </cell>
          <cell r="AK98">
            <v>-32.992618144485</v>
          </cell>
          <cell r="AL98">
            <v>0.91241025000800002</v>
          </cell>
          <cell r="AM98">
            <v>-4.4978090457090003</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cell r="R111">
            <v>-3.762</v>
          </cell>
          <cell r="U111">
            <v>-4.1589999999999998</v>
          </cell>
          <cell r="X111">
            <v>-0.6</v>
          </cell>
          <cell r="AA111">
            <v>-0.35399999999999998</v>
          </cell>
          <cell r="AD111">
            <v>-0.8</v>
          </cell>
          <cell r="AG111">
            <v>-0.9</v>
          </cell>
          <cell r="AH111">
            <v>-0.6</v>
          </cell>
          <cell r="AI111">
            <v>-0.78847439435300004</v>
          </cell>
          <cell r="AJ111">
            <v>-0.85871958071900001</v>
          </cell>
          <cell r="AK111">
            <v>-0.90599649264799997</v>
          </cell>
          <cell r="AL111">
            <v>-0.96800657424900005</v>
          </cell>
          <cell r="AM111">
            <v>-1.03905390665</v>
          </cell>
        </row>
        <row r="112">
          <cell r="B112" t="str">
            <v>Dividends paid to minorities</v>
          </cell>
          <cell r="C112" t="str">
            <v>DIVDS_PD_MINORITIES</v>
          </cell>
          <cell r="D112" t="str">
            <v>GBP</v>
          </cell>
        </row>
        <row r="113">
          <cell r="A113" t="str">
            <v>Other Items</v>
          </cell>
        </row>
        <row r="114">
          <cell r="B114" t="str">
            <v>Number of employees</v>
          </cell>
          <cell r="C114" t="str">
            <v>EMPLOYEES</v>
          </cell>
          <cell r="U114">
            <v>3.0539999999999998</v>
          </cell>
          <cell r="X114">
            <v>3.5819999999999999</v>
          </cell>
          <cell r="AA114">
            <v>3.9609999999999999</v>
          </cell>
          <cell r="AD114">
            <v>4.0060000000000002</v>
          </cell>
          <cell r="AG114">
            <v>4.2060000000000004</v>
          </cell>
          <cell r="AH114">
            <v>4.43</v>
          </cell>
          <cell r="AI114">
            <v>4.43</v>
          </cell>
        </row>
        <row r="115">
          <cell r="A115" t="str">
            <v>Geographical Breakdown</v>
          </cell>
        </row>
        <row r="116">
          <cell r="B116" t="str">
            <v>Sales - Total % Americas</v>
          </cell>
          <cell r="C116" t="str">
            <v>SALES_TOT_AM</v>
          </cell>
          <cell r="AH116">
            <v>0.3</v>
          </cell>
          <cell r="AI116">
            <v>0.3</v>
          </cell>
        </row>
        <row r="117">
          <cell r="B117" t="str">
            <v>Sales - % United States</v>
          </cell>
          <cell r="C117" t="str">
            <v>SALES_US</v>
          </cell>
          <cell r="AH117">
            <v>0.3</v>
          </cell>
          <cell r="AI117">
            <v>0.3</v>
          </cell>
        </row>
        <row r="118">
          <cell r="B118" t="str">
            <v>Sales - % Brazil</v>
          </cell>
          <cell r="C118" t="str">
            <v>SALES_BRAZIL</v>
          </cell>
          <cell r="AH118">
            <v>0</v>
          </cell>
          <cell r="AI118">
            <v>0</v>
          </cell>
        </row>
        <row r="119">
          <cell r="B119" t="str">
            <v>Sales - % Other Americas</v>
          </cell>
          <cell r="C119" t="str">
            <v>SALES_OTH_AM</v>
          </cell>
          <cell r="AH119">
            <v>0</v>
          </cell>
          <cell r="AI119">
            <v>0</v>
          </cell>
        </row>
        <row r="120">
          <cell r="B120" t="str">
            <v>Sales - Total % EMEA</v>
          </cell>
          <cell r="C120" t="str">
            <v>SALES_TOT_EMEA</v>
          </cell>
          <cell r="AH120">
            <v>0</v>
          </cell>
          <cell r="AI120">
            <v>0</v>
          </cell>
        </row>
        <row r="121">
          <cell r="B121" t="str">
            <v>Sales - % UK</v>
          </cell>
          <cell r="C121" t="str">
            <v>SALES_UK</v>
          </cell>
          <cell r="AH121">
            <v>0</v>
          </cell>
          <cell r="AI121">
            <v>0</v>
          </cell>
        </row>
        <row r="122">
          <cell r="B122" t="str">
            <v>Sales - % Western Europe-Ex UK</v>
          </cell>
          <cell r="C122" t="str">
            <v>SALES_EU_EX_UK</v>
          </cell>
          <cell r="AH122">
            <v>0.46</v>
          </cell>
          <cell r="AI122">
            <v>0.46</v>
          </cell>
        </row>
        <row r="123">
          <cell r="B123" t="str">
            <v>Sales - % France</v>
          </cell>
          <cell r="C123" t="str">
            <v>SALES_FRA</v>
          </cell>
          <cell r="AH123">
            <v>0.23</v>
          </cell>
          <cell r="AI123">
            <v>0.23</v>
          </cell>
        </row>
        <row r="124">
          <cell r="B124" t="str">
            <v>Sales - % Germany</v>
          </cell>
          <cell r="C124" t="str">
            <v>SALES_GER</v>
          </cell>
          <cell r="AH124">
            <v>0</v>
          </cell>
          <cell r="AI124">
            <v>0</v>
          </cell>
        </row>
        <row r="125">
          <cell r="B125" t="str">
            <v>Sales - % Italy</v>
          </cell>
          <cell r="C125" t="str">
            <v>SALES_ITA</v>
          </cell>
          <cell r="AH125">
            <v>0</v>
          </cell>
          <cell r="AI125">
            <v>0</v>
          </cell>
        </row>
        <row r="126">
          <cell r="B126" t="str">
            <v>Sales - % Spain</v>
          </cell>
          <cell r="C126" t="str">
            <v>SALES_SPA</v>
          </cell>
          <cell r="AH126">
            <v>0</v>
          </cell>
          <cell r="AI126">
            <v>0</v>
          </cell>
        </row>
        <row r="127">
          <cell r="B127" t="str">
            <v>Sales - % Other Western Europe-Ex UK</v>
          </cell>
          <cell r="C127" t="str">
            <v>SALES_OTH_EU_EX_UK</v>
          </cell>
          <cell r="AH127">
            <v>0.23</v>
          </cell>
          <cell r="AI127">
            <v>0.23</v>
          </cell>
        </row>
        <row r="128">
          <cell r="B128" t="str">
            <v>Sales - % Central &amp; Eastern Europe</v>
          </cell>
          <cell r="C128" t="str">
            <v>SALES_CEE</v>
          </cell>
          <cell r="AH128">
            <v>0</v>
          </cell>
          <cell r="AI128">
            <v>0</v>
          </cell>
        </row>
        <row r="129">
          <cell r="B129" t="str">
            <v>Sales - % Middle East</v>
          </cell>
          <cell r="C129" t="str">
            <v>SALES_ME</v>
          </cell>
          <cell r="AH129">
            <v>0</v>
          </cell>
          <cell r="AI129">
            <v>0</v>
          </cell>
        </row>
        <row r="130">
          <cell r="B130" t="str">
            <v>Sales - % South Africa</v>
          </cell>
          <cell r="C130" t="str">
            <v>SALES_SO_AFRICA</v>
          </cell>
          <cell r="AH130">
            <v>0</v>
          </cell>
          <cell r="AI130">
            <v>0</v>
          </cell>
        </row>
        <row r="131">
          <cell r="B131" t="str">
            <v>Sales - % Nigeria</v>
          </cell>
          <cell r="C131" t="str">
            <v>SALES_NIGERIA</v>
          </cell>
          <cell r="AH131">
            <v>0</v>
          </cell>
          <cell r="AI131">
            <v>0</v>
          </cell>
        </row>
        <row r="132">
          <cell r="B132" t="str">
            <v>Sales - % Other Africa</v>
          </cell>
          <cell r="C132" t="str">
            <v>SALES_OTH_AFRICA</v>
          </cell>
          <cell r="AH132">
            <v>0</v>
          </cell>
          <cell r="AI132">
            <v>0</v>
          </cell>
        </row>
        <row r="133">
          <cell r="B133" t="str">
            <v>Sales - % Total Africa</v>
          </cell>
          <cell r="C133" t="str">
            <v>SALES_TOT_AFRICA</v>
          </cell>
          <cell r="AH133">
            <v>0</v>
          </cell>
          <cell r="AI133">
            <v>0</v>
          </cell>
        </row>
        <row r="134">
          <cell r="B134" t="str">
            <v>Sales - % Russia</v>
          </cell>
          <cell r="C134" t="str">
            <v>SALES_RUSSIA</v>
          </cell>
          <cell r="AH134">
            <v>0</v>
          </cell>
          <cell r="AI134">
            <v>0</v>
          </cell>
        </row>
        <row r="135">
          <cell r="B135" t="str">
            <v>Sales - % Other EMEA</v>
          </cell>
          <cell r="C135" t="str">
            <v>SALES_OTH_EMEA</v>
          </cell>
          <cell r="AH135">
            <v>0</v>
          </cell>
          <cell r="AI135">
            <v>0</v>
          </cell>
        </row>
        <row r="136">
          <cell r="B136" t="str">
            <v>Sales - Total % Asia (incl Australia &amp; New Zealand)</v>
          </cell>
          <cell r="C136" t="str">
            <v>SALES_TOT_ASIA</v>
          </cell>
          <cell r="AH136">
            <v>0.16</v>
          </cell>
          <cell r="AI136">
            <v>0.16</v>
          </cell>
        </row>
        <row r="137">
          <cell r="B137" t="str">
            <v>Sales - % Japan</v>
          </cell>
          <cell r="C137" t="str">
            <v>SALES_JAPAN</v>
          </cell>
          <cell r="AH137">
            <v>0</v>
          </cell>
          <cell r="AI137">
            <v>0</v>
          </cell>
        </row>
        <row r="138">
          <cell r="B138" t="str">
            <v>Sales - % China</v>
          </cell>
          <cell r="C138" t="str">
            <v>SALES_CHINA</v>
          </cell>
          <cell r="AH138">
            <v>0</v>
          </cell>
          <cell r="AI138">
            <v>0</v>
          </cell>
        </row>
        <row r="139">
          <cell r="B139" t="str">
            <v>Sales - % India</v>
          </cell>
          <cell r="C139" t="str">
            <v>SALES_INDIA</v>
          </cell>
          <cell r="AH139">
            <v>0</v>
          </cell>
          <cell r="AI139">
            <v>0</v>
          </cell>
        </row>
        <row r="140">
          <cell r="B140" t="str">
            <v>Sales - % Other Asia</v>
          </cell>
          <cell r="C140" t="str">
            <v>SALES_OTH_AEJ</v>
          </cell>
          <cell r="AH140">
            <v>0.16</v>
          </cell>
          <cell r="AI140">
            <v>0.16</v>
          </cell>
        </row>
        <row r="141">
          <cell r="B141" t="str">
            <v>Sales - % Others</v>
          </cell>
          <cell r="C141" t="str">
            <v>SALES_OTHER</v>
          </cell>
          <cell r="AH141">
            <v>0.08</v>
          </cell>
          <cell r="AI141">
            <v>0.08</v>
          </cell>
        </row>
        <row r="142">
          <cell r="B142" t="str">
            <v>Indirect Sales - Total % Americas</v>
          </cell>
          <cell r="C142" t="str">
            <v>IND_SALES_TOT_AM</v>
          </cell>
          <cell r="AH142">
            <v>0.3</v>
          </cell>
          <cell r="AI142">
            <v>0.3</v>
          </cell>
        </row>
        <row r="143">
          <cell r="B143" t="str">
            <v>Indirect Sales - % United States</v>
          </cell>
          <cell r="C143" t="str">
            <v>IND_SALES_US</v>
          </cell>
          <cell r="AH143">
            <v>0.3</v>
          </cell>
          <cell r="AI143">
            <v>0.3</v>
          </cell>
        </row>
        <row r="144">
          <cell r="B144" t="str">
            <v>Indirect Sales - % Brazil</v>
          </cell>
          <cell r="C144" t="str">
            <v>IND_SALES_BRAZIL</v>
          </cell>
          <cell r="AH144">
            <v>0</v>
          </cell>
          <cell r="AI144">
            <v>0</v>
          </cell>
        </row>
        <row r="145">
          <cell r="B145" t="str">
            <v>Indirect Sales - % Other Americas</v>
          </cell>
          <cell r="C145" t="str">
            <v>IND_SALES_OTH_AM</v>
          </cell>
          <cell r="AH145">
            <v>0</v>
          </cell>
          <cell r="AI145">
            <v>0</v>
          </cell>
        </row>
        <row r="146">
          <cell r="B146" t="str">
            <v>Indirect Sales - Total % EMEA</v>
          </cell>
          <cell r="C146" t="str">
            <v>IND_SALES_TOT_EMEA</v>
          </cell>
          <cell r="AH146">
            <v>0</v>
          </cell>
          <cell r="AI146">
            <v>0</v>
          </cell>
        </row>
        <row r="147">
          <cell r="B147" t="str">
            <v>Indirect Sales - % UK</v>
          </cell>
          <cell r="C147" t="str">
            <v>IND_SALES_UK</v>
          </cell>
          <cell r="AH147">
            <v>0</v>
          </cell>
          <cell r="AI147">
            <v>0</v>
          </cell>
        </row>
        <row r="148">
          <cell r="B148" t="str">
            <v>Indirect Sales - % Western Europe-Ex UK</v>
          </cell>
          <cell r="C148" t="str">
            <v>IND_SALES_EU_EX_UK</v>
          </cell>
          <cell r="AH148">
            <v>0.46</v>
          </cell>
          <cell r="AI148">
            <v>0.46</v>
          </cell>
        </row>
        <row r="149">
          <cell r="B149" t="str">
            <v>Indirect Sales - % France</v>
          </cell>
          <cell r="C149" t="str">
            <v>IND_SALES_FRA</v>
          </cell>
          <cell r="AH149">
            <v>0.23</v>
          </cell>
          <cell r="AI149">
            <v>0.23</v>
          </cell>
        </row>
        <row r="150">
          <cell r="B150" t="str">
            <v>Indirect Sales - % Germany</v>
          </cell>
          <cell r="C150" t="str">
            <v>IND_SALES_GER</v>
          </cell>
          <cell r="AH150">
            <v>0</v>
          </cell>
          <cell r="AI150">
            <v>0</v>
          </cell>
        </row>
        <row r="151">
          <cell r="B151" t="str">
            <v>Indirect Sales - % Italy</v>
          </cell>
          <cell r="C151" t="str">
            <v>IND_SALES_ITA</v>
          </cell>
          <cell r="AH151">
            <v>0</v>
          </cell>
          <cell r="AI151">
            <v>0</v>
          </cell>
        </row>
        <row r="152">
          <cell r="B152" t="str">
            <v>Indirect Sales - % Spain</v>
          </cell>
          <cell r="C152" t="str">
            <v>IND_SALES_SPA</v>
          </cell>
          <cell r="AH152">
            <v>0</v>
          </cell>
          <cell r="AI152">
            <v>0</v>
          </cell>
        </row>
        <row r="153">
          <cell r="B153" t="str">
            <v>Indirect Sales - % Other Western Europe-Ex UK</v>
          </cell>
          <cell r="C153" t="str">
            <v>IND_SALES_OTH_EU_EX_UK</v>
          </cell>
          <cell r="AH153">
            <v>0.23</v>
          </cell>
          <cell r="AI153">
            <v>0.23</v>
          </cell>
        </row>
        <row r="154">
          <cell r="B154" t="str">
            <v>Indirect Sales - % Central &amp; Eastern Europe</v>
          </cell>
          <cell r="C154" t="str">
            <v>IND_SALES_CEE</v>
          </cell>
          <cell r="AH154">
            <v>0</v>
          </cell>
          <cell r="AI154">
            <v>0</v>
          </cell>
        </row>
        <row r="155">
          <cell r="B155" t="str">
            <v>Indirect Sales - % Middle East</v>
          </cell>
          <cell r="C155" t="str">
            <v>IND_SALES_ME</v>
          </cell>
          <cell r="AH155">
            <v>0</v>
          </cell>
          <cell r="AI155">
            <v>0</v>
          </cell>
        </row>
        <row r="156">
          <cell r="B156" t="str">
            <v>Indirect Sales - % Russia</v>
          </cell>
          <cell r="C156" t="str">
            <v>IND_SALES_RUSSIA</v>
          </cell>
          <cell r="AH156">
            <v>0</v>
          </cell>
          <cell r="AI156">
            <v>0</v>
          </cell>
        </row>
        <row r="157">
          <cell r="B157" t="str">
            <v>Indirect sales - % South Africa</v>
          </cell>
          <cell r="C157" t="str">
            <v>IND_SALES_SO_AFRICA</v>
          </cell>
          <cell r="AH157">
            <v>0</v>
          </cell>
          <cell r="AI157">
            <v>0</v>
          </cell>
        </row>
        <row r="158">
          <cell r="B158" t="str">
            <v>Indirect sales - % Nigeria</v>
          </cell>
          <cell r="C158" t="str">
            <v>IND_SALES_NIGERIA</v>
          </cell>
          <cell r="AH158">
            <v>0</v>
          </cell>
          <cell r="AI158">
            <v>0</v>
          </cell>
        </row>
        <row r="159">
          <cell r="B159" t="str">
            <v>Indirect sales - % Other Africa</v>
          </cell>
          <cell r="C159" t="str">
            <v>IND_SALES_OTH_AFRICA</v>
          </cell>
          <cell r="AH159">
            <v>0</v>
          </cell>
          <cell r="AI159">
            <v>0</v>
          </cell>
        </row>
        <row r="160">
          <cell r="B160" t="str">
            <v>Indirect Sales - % Other EMEA</v>
          </cell>
          <cell r="C160" t="str">
            <v>IND_SALES_OTH_EMEA</v>
          </cell>
          <cell r="AH160">
            <v>0</v>
          </cell>
          <cell r="AI160">
            <v>0</v>
          </cell>
        </row>
        <row r="161">
          <cell r="B161" t="str">
            <v>Indirect sales - % Total Africa</v>
          </cell>
          <cell r="C161" t="str">
            <v>IND_SALES_TOT_AFRICA</v>
          </cell>
          <cell r="AH161">
            <v>0</v>
          </cell>
          <cell r="AI161">
            <v>0</v>
          </cell>
        </row>
        <row r="162">
          <cell r="B162" t="str">
            <v>Indirect Sales - Total % Asia (incl Australia &amp; New Zealand)</v>
          </cell>
          <cell r="C162" t="str">
            <v>IND_SALES_TOT_ASIA</v>
          </cell>
          <cell r="AH162">
            <v>0.16</v>
          </cell>
          <cell r="AI162">
            <v>0.16</v>
          </cell>
        </row>
        <row r="163">
          <cell r="B163" t="str">
            <v>Indirect Sales - % Japan</v>
          </cell>
          <cell r="C163" t="str">
            <v>IND_SALES_JAPAN</v>
          </cell>
          <cell r="AH163">
            <v>0</v>
          </cell>
          <cell r="AI163">
            <v>0</v>
          </cell>
        </row>
        <row r="164">
          <cell r="B164" t="str">
            <v>Indirect Sales - % China</v>
          </cell>
          <cell r="C164" t="str">
            <v>IND_SALES_CHINA</v>
          </cell>
          <cell r="AH164">
            <v>0</v>
          </cell>
          <cell r="AI164">
            <v>0</v>
          </cell>
        </row>
        <row r="165">
          <cell r="B165" t="str">
            <v>Indirect Sales - % India</v>
          </cell>
          <cell r="C165" t="str">
            <v>IND_SALES_INDIA</v>
          </cell>
          <cell r="AH165">
            <v>0</v>
          </cell>
          <cell r="AI165">
            <v>0</v>
          </cell>
        </row>
        <row r="166">
          <cell r="B166" t="str">
            <v>Indirect Sales - % Other Asia</v>
          </cell>
          <cell r="C166" t="str">
            <v>IND_SALES_OTH_AEJ</v>
          </cell>
          <cell r="AH166">
            <v>0.16</v>
          </cell>
          <cell r="AI166">
            <v>0.16</v>
          </cell>
        </row>
        <row r="167">
          <cell r="B167" t="str">
            <v>Indirect Sales - % Others</v>
          </cell>
          <cell r="C167" t="str">
            <v>IND_SALES_OTHER</v>
          </cell>
          <cell r="AH167">
            <v>0.08</v>
          </cell>
          <cell r="AI167">
            <v>0.08</v>
          </cell>
        </row>
        <row r="168">
          <cell r="B168" t="str">
            <v>Sales -% Consumer (C)</v>
          </cell>
          <cell r="C168" t="str">
            <v>SALES_CONS</v>
          </cell>
          <cell r="AH168">
            <v>0</v>
          </cell>
          <cell r="AI168">
            <v>0</v>
          </cell>
        </row>
        <row r="169">
          <cell r="B169" t="str">
            <v>Sales -% Industry (I)</v>
          </cell>
          <cell r="C169" t="str">
            <v>SALES_IND</v>
          </cell>
          <cell r="AH169">
            <v>0.69</v>
          </cell>
          <cell r="AI169">
            <v>0.69</v>
          </cell>
        </row>
        <row r="170">
          <cell r="B170" t="str">
            <v>Sales -% Government (G)</v>
          </cell>
          <cell r="C170" t="str">
            <v>SALES_GOV</v>
          </cell>
          <cell r="AH170">
            <v>0.31</v>
          </cell>
          <cell r="AI170">
            <v>0.31</v>
          </cell>
        </row>
        <row r="171">
          <cell r="B171" t="str">
            <v>Sales - % Industry Sub-Segment: Financial Services</v>
          </cell>
          <cell r="C171" t="str">
            <v>SALES_FINAN</v>
          </cell>
          <cell r="AH171">
            <v>0</v>
          </cell>
          <cell r="AI171">
            <v>0</v>
          </cell>
        </row>
        <row r="172">
          <cell r="B172" t="str">
            <v>Indirect Sales -% Consumer (C)</v>
          </cell>
          <cell r="C172" t="str">
            <v>IND_SALES_CONS</v>
          </cell>
          <cell r="AH172">
            <v>0</v>
          </cell>
          <cell r="AI172">
            <v>0</v>
          </cell>
        </row>
        <row r="173">
          <cell r="B173" t="str">
            <v>Indirect Sales -% Industry (I)</v>
          </cell>
          <cell r="C173" t="str">
            <v>IND_SALES_IND</v>
          </cell>
          <cell r="AH173">
            <v>0.69</v>
          </cell>
          <cell r="AI173">
            <v>0.69</v>
          </cell>
        </row>
        <row r="174">
          <cell r="B174" t="str">
            <v>Indirect Sales -% Government (G)</v>
          </cell>
          <cell r="C174" t="str">
            <v>IND_SALES_GOV</v>
          </cell>
          <cell r="AH174">
            <v>0.31</v>
          </cell>
          <cell r="AI174">
            <v>0.31</v>
          </cell>
        </row>
        <row r="175">
          <cell r="B175" t="str">
            <v>Indirect Sales -% Industry Sub-Segment: Financial Services</v>
          </cell>
          <cell r="C175" t="str">
            <v>IND_SALES_FINAN</v>
          </cell>
          <cell r="AH175">
            <v>0</v>
          </cell>
          <cell r="AI175">
            <v>0</v>
          </cell>
        </row>
        <row r="176">
          <cell r="A176" t="str">
            <v>Commodities Exposure - Sales</v>
          </cell>
        </row>
        <row r="177">
          <cell r="B177" t="str">
            <v>Sales - % Other commodity</v>
          </cell>
          <cell r="C177" t="str">
            <v>SALES_OTH_COMMODITY</v>
          </cell>
        </row>
        <row r="178">
          <cell r="B178" t="str">
            <v>Sales - % Other (Non-Commodity) sales sources</v>
          </cell>
          <cell r="C178" t="str">
            <v>SALES_OTH_SALES_SOURCES</v>
          </cell>
        </row>
        <row r="179">
          <cell r="A179" t="str">
            <v>Commodities Exposure - Expense</v>
          </cell>
        </row>
        <row r="180">
          <cell r="B180" t="str">
            <v>Expense - % Oil/Petrol/Fuel</v>
          </cell>
          <cell r="C180" t="str">
            <v>EXP_OIL_PETRO_FUEL</v>
          </cell>
        </row>
        <row r="181">
          <cell r="B181" t="str">
            <v>Expense - % Oil derivatives/NGLs/plastics</v>
          </cell>
          <cell r="C181" t="str">
            <v>EXP_OIL_DERIV_NGLS_PLASTICS</v>
          </cell>
        </row>
        <row r="182">
          <cell r="B182" t="str">
            <v>Expense - % Nat Gas</v>
          </cell>
          <cell r="C182" t="str">
            <v>EXP_NAT_GAS</v>
          </cell>
        </row>
        <row r="183">
          <cell r="B183" t="str">
            <v>Expense - % Gold</v>
          </cell>
          <cell r="C183" t="str">
            <v>EXP_GOLD</v>
          </cell>
        </row>
        <row r="184">
          <cell r="B184" t="str">
            <v>Expense - % Copper</v>
          </cell>
          <cell r="C184" t="str">
            <v>EXP_COPPER</v>
          </cell>
        </row>
        <row r="185">
          <cell r="B185" t="str">
            <v>Expense - % Silver</v>
          </cell>
          <cell r="C185" t="str">
            <v>EXP_SILVER</v>
          </cell>
        </row>
        <row r="186">
          <cell r="B186" t="str">
            <v>Expense - % Platinum</v>
          </cell>
          <cell r="C186" t="str">
            <v>EXP_PLATINUM</v>
          </cell>
        </row>
        <row r="187">
          <cell r="B187" t="str">
            <v>Expense - % Palladium</v>
          </cell>
          <cell r="C187" t="str">
            <v>EXP_PALLADIUM</v>
          </cell>
        </row>
        <row r="188">
          <cell r="B188" t="str">
            <v>Expense - % Aluminium</v>
          </cell>
          <cell r="C188" t="str">
            <v>EXP_ALUMINIUM</v>
          </cell>
        </row>
        <row r="189">
          <cell r="B189" t="str">
            <v>Expense - % Nickel</v>
          </cell>
          <cell r="C189" t="str">
            <v>EXP_NICKEL</v>
          </cell>
        </row>
        <row r="190">
          <cell r="B190" t="str">
            <v>Expense - % Zinc</v>
          </cell>
          <cell r="C190" t="str">
            <v>EXP_ZINC</v>
          </cell>
        </row>
        <row r="191">
          <cell r="B191" t="str">
            <v>Expense - % Steel</v>
          </cell>
          <cell r="C191" t="str">
            <v>EXP_STEEL</v>
          </cell>
        </row>
        <row r="192">
          <cell r="B192" t="str">
            <v>Expense - % Glass</v>
          </cell>
          <cell r="C192" t="str">
            <v>EXP_GLASS</v>
          </cell>
        </row>
        <row r="193">
          <cell r="B193" t="str">
            <v>Expense - % Rubber</v>
          </cell>
          <cell r="C193" t="str">
            <v>EXP_RUBBER</v>
          </cell>
        </row>
        <row r="194">
          <cell r="B194" t="str">
            <v>Expense - % Water</v>
          </cell>
          <cell r="C194" t="str">
            <v>EXP_WATER</v>
          </cell>
        </row>
        <row r="195">
          <cell r="B195" t="str">
            <v>Expense - % Other commodity</v>
          </cell>
          <cell r="C195" t="str">
            <v>EXP_OTH_COMMODITY</v>
          </cell>
        </row>
        <row r="196">
          <cell r="B196" t="str">
            <v>Expense - % Other (Non-Commodity) cost</v>
          </cell>
          <cell r="C196" t="str">
            <v>EXP_OTH_COST</v>
          </cell>
        </row>
        <row r="197">
          <cell r="A197" t="str">
            <v>FX Exposure - Sales</v>
          </cell>
        </row>
        <row r="198">
          <cell r="B198" t="str">
            <v>Sales - % FX: British Pounds/Pence</v>
          </cell>
          <cell r="C198" t="str">
            <v>SALES_FX_GPB</v>
          </cell>
          <cell r="AH198">
            <v>0</v>
          </cell>
          <cell r="AI198">
            <v>0</v>
          </cell>
        </row>
        <row r="199">
          <cell r="B199" t="str">
            <v>Sales - % FX: Euro</v>
          </cell>
          <cell r="C199" t="str">
            <v>SALES_FX_EUR</v>
          </cell>
          <cell r="AH199">
            <v>0.46</v>
          </cell>
          <cell r="AI199">
            <v>0.46</v>
          </cell>
        </row>
        <row r="200">
          <cell r="B200" t="str">
            <v>Sales - % FX: New Russian Ruble</v>
          </cell>
          <cell r="C200" t="str">
            <v>SALES_FX_RUB</v>
          </cell>
          <cell r="AH200">
            <v>0</v>
          </cell>
          <cell r="AI200">
            <v>0</v>
          </cell>
        </row>
        <row r="201">
          <cell r="B201" t="str">
            <v>Sales - % FX: U.S. Dollar</v>
          </cell>
          <cell r="C201" t="str">
            <v>SALES_FX_USD</v>
          </cell>
          <cell r="AH201">
            <v>0.54</v>
          </cell>
          <cell r="AI201">
            <v>0.54</v>
          </cell>
        </row>
        <row r="202">
          <cell r="B202" t="str">
            <v>Sales - % FX: Brazilian Real</v>
          </cell>
          <cell r="C202" t="str">
            <v>SALES_FX_BRL</v>
          </cell>
          <cell r="AH202">
            <v>0</v>
          </cell>
          <cell r="AI202">
            <v>0</v>
          </cell>
        </row>
        <row r="203">
          <cell r="B203" t="str">
            <v>Sales - % FX: Japanese Yen</v>
          </cell>
          <cell r="C203" t="str">
            <v>SALES_FX_YEN</v>
          </cell>
          <cell r="AH203">
            <v>0</v>
          </cell>
          <cell r="AI203">
            <v>0</v>
          </cell>
        </row>
        <row r="204">
          <cell r="B204" t="str">
            <v>Sales - % FX: Chinese Renminbi</v>
          </cell>
          <cell r="C204" t="str">
            <v>SALES_FX_CNY</v>
          </cell>
          <cell r="AH204">
            <v>0</v>
          </cell>
          <cell r="AI204">
            <v>0</v>
          </cell>
        </row>
        <row r="205">
          <cell r="B205" t="str">
            <v>Sales - % FX: Indian Rupee</v>
          </cell>
          <cell r="C205" t="str">
            <v>SALES_FX_INR</v>
          </cell>
          <cell r="AH205">
            <v>0</v>
          </cell>
          <cell r="AI205">
            <v>0</v>
          </cell>
        </row>
        <row r="206">
          <cell r="B206" t="str">
            <v>Sales - % FX: South African Rand</v>
          </cell>
          <cell r="C206" t="str">
            <v>SALES_FX_ZAR</v>
          </cell>
          <cell r="AH206">
            <v>0</v>
          </cell>
          <cell r="AI206">
            <v>0</v>
          </cell>
        </row>
        <row r="207">
          <cell r="B207" t="str">
            <v>Sales - % FX: Nigerian Naira</v>
          </cell>
          <cell r="C207" t="str">
            <v>SALES_FX_NGN</v>
          </cell>
          <cell r="AH207">
            <v>0</v>
          </cell>
          <cell r="AI207">
            <v>0</v>
          </cell>
        </row>
        <row r="208">
          <cell r="B208" t="str">
            <v>Sales - % FX: Swiss Franc</v>
          </cell>
          <cell r="C208" t="str">
            <v>SALES_FX_CHF</v>
          </cell>
          <cell r="AH208">
            <v>0</v>
          </cell>
          <cell r="AI208">
            <v>0</v>
          </cell>
        </row>
        <row r="209">
          <cell r="B209" t="str">
            <v>Sales - % FX: UAE Dirham</v>
          </cell>
          <cell r="C209" t="str">
            <v>SALES_FX_AED</v>
          </cell>
          <cell r="AH209">
            <v>0</v>
          </cell>
          <cell r="AI209">
            <v>0</v>
          </cell>
        </row>
        <row r="210">
          <cell r="B210" t="str">
            <v>Sales - % FX: New Turkish Lira</v>
          </cell>
          <cell r="C210" t="str">
            <v>SALES_FX_TRY</v>
          </cell>
          <cell r="AH210">
            <v>0</v>
          </cell>
          <cell r="AI210">
            <v>0</v>
          </cell>
        </row>
        <row r="211">
          <cell r="B211" t="str">
            <v>Sales - % FX: Other Currency</v>
          </cell>
          <cell r="C211" t="str">
            <v>SALES_FX_OTH</v>
          </cell>
          <cell r="AH211">
            <v>0</v>
          </cell>
          <cell r="AI211">
            <v>0</v>
          </cell>
        </row>
        <row r="212">
          <cell r="A212" t="str">
            <v>Security: Ultra Electronics</v>
          </cell>
          <cell r="B212" t="str">
            <v>1679M</v>
          </cell>
        </row>
        <row r="213">
          <cell r="A213" t="str">
            <v>Reference Data</v>
          </cell>
        </row>
        <row r="214">
          <cell r="B214" t="str">
            <v>Ticker</v>
          </cell>
          <cell r="C214" t="str">
            <v>Ticker</v>
          </cell>
          <cell r="E214" t="str">
            <v>ULE.L</v>
          </cell>
        </row>
        <row r="215">
          <cell r="B215" t="str">
            <v>Security Name</v>
          </cell>
          <cell r="C215" t="str">
            <v>Security Name</v>
          </cell>
          <cell r="E215" t="str">
            <v>Ultra Electronics</v>
          </cell>
        </row>
        <row r="216">
          <cell r="B216" t="str">
            <v>Interim Type</v>
          </cell>
          <cell r="C216" t="str">
            <v>Interim Type</v>
          </cell>
          <cell r="E216" t="str">
            <v>H</v>
          </cell>
        </row>
        <row r="217">
          <cell r="B217" t="str">
            <v>Publishing Currency</v>
          </cell>
          <cell r="C217" t="str">
            <v>PUB_CURRENCY_ISO</v>
          </cell>
          <cell r="E217" t="str">
            <v>GBP</v>
          </cell>
        </row>
        <row r="218">
          <cell r="B218" t="str">
            <v>Pricing Currency</v>
          </cell>
          <cell r="C218" t="str">
            <v>PRICE_CURRENCY_ISO</v>
          </cell>
          <cell r="E218" t="str">
            <v>GBP</v>
          </cell>
        </row>
        <row r="219">
          <cell r="B219" t="str">
            <v>Reporting Currency</v>
          </cell>
          <cell r="C219" t="str">
            <v>CURRENCY_ISO</v>
          </cell>
          <cell r="E219" t="str">
            <v>GBP</v>
          </cell>
        </row>
        <row r="220">
          <cell r="A220" t="str">
            <v>General Information</v>
          </cell>
        </row>
        <row r="221">
          <cell r="B221" t="str">
            <v>Pan Europe Investment List</v>
          </cell>
          <cell r="C221" t="str">
            <v>EURO_LIST</v>
          </cell>
        </row>
        <row r="222">
          <cell r="B222" t="str">
            <v>Pan Europe Conviction List</v>
          </cell>
          <cell r="C222" t="str">
            <v>EURO_CONVICTION</v>
          </cell>
        </row>
        <row r="223">
          <cell r="B223" t="str">
            <v>Legal rating</v>
          </cell>
          <cell r="C223" t="str">
            <v>LEGAL_RATING</v>
          </cell>
        </row>
        <row r="224">
          <cell r="B224" t="str">
            <v>Target price</v>
          </cell>
          <cell r="C224" t="str">
            <v>TARGET_PRICE</v>
          </cell>
          <cell r="D224" t="str">
            <v>GBP</v>
          </cell>
          <cell r="E224">
            <v>1930</v>
          </cell>
        </row>
        <row r="225">
          <cell r="B225" t="str">
            <v>Target price period</v>
          </cell>
          <cell r="C225" t="str">
            <v>TP_PERIOD</v>
          </cell>
          <cell r="E225" t="str">
            <v>12 months</v>
          </cell>
        </row>
        <row r="226">
          <cell r="B226" t="str">
            <v>Current shares outstanding (mn)</v>
          </cell>
          <cell r="C226" t="str">
            <v>NUM_SH</v>
          </cell>
          <cell r="E226">
            <v>68.809083999999999</v>
          </cell>
        </row>
        <row r="227">
          <cell r="B227" t="str">
            <v>Free float</v>
          </cell>
          <cell r="C227" t="str">
            <v>FREE_FLOAT</v>
          </cell>
          <cell r="E227">
            <v>1</v>
          </cell>
        </row>
        <row r="228">
          <cell r="A228" t="str">
            <v>Publishing Items</v>
          </cell>
        </row>
        <row r="229">
          <cell r="B229" t="str">
            <v>Book value per share, BVPS (Pub)</v>
          </cell>
          <cell r="C229" t="str">
            <v>BVPS_PUB</v>
          </cell>
          <cell r="D229" t="str">
            <v>GBP</v>
          </cell>
          <cell r="F229">
            <v>5.9953846153850003</v>
          </cell>
          <cell r="G229">
            <v>6.3660133041679998</v>
          </cell>
          <cell r="H229">
            <v>19.994548032225001</v>
          </cell>
          <cell r="I229">
            <v>35.840599675349999</v>
          </cell>
          <cell r="J229">
            <v>50.381394656646002</v>
          </cell>
          <cell r="K229">
            <v>66.395432364062998</v>
          </cell>
          <cell r="L229">
            <v>82.724194286699003</v>
          </cell>
          <cell r="M229">
            <v>97.460561203691995</v>
          </cell>
          <cell r="N229">
            <v>121.24592062309</v>
          </cell>
          <cell r="O229">
            <v>126.531727359057</v>
          </cell>
          <cell r="R229">
            <v>174.11596003391199</v>
          </cell>
          <cell r="U229">
            <v>209.547846625402</v>
          </cell>
          <cell r="X229">
            <v>211.84367431088901</v>
          </cell>
          <cell r="AA229">
            <v>269.00805796917899</v>
          </cell>
          <cell r="AD229">
            <v>354.75617452804403</v>
          </cell>
          <cell r="AG229">
            <v>413.83198764860799</v>
          </cell>
          <cell r="AH229">
            <v>453.30087650131202</v>
          </cell>
          <cell r="AI229">
            <v>513.62546504028899</v>
          </cell>
          <cell r="AJ229">
            <v>573.56758762576101</v>
          </cell>
          <cell r="AK229">
            <v>635.63227940502497</v>
          </cell>
          <cell r="AL229">
            <v>700.82479823476797</v>
          </cell>
          <cell r="AM229">
            <v>769.86041182417205</v>
          </cell>
        </row>
        <row r="230">
          <cell r="B230" t="str">
            <v>DPS, dividend per share (Pub)</v>
          </cell>
          <cell r="C230" t="str">
            <v>DPS_PUB</v>
          </cell>
          <cell r="D230" t="str">
            <v>GBP</v>
          </cell>
          <cell r="F230">
            <v>1.5646153846149999</v>
          </cell>
          <cell r="G230">
            <v>7.1998410496630001</v>
          </cell>
          <cell r="H230">
            <v>8.0990379588909995</v>
          </cell>
          <cell r="I230">
            <v>9</v>
          </cell>
          <cell r="J230">
            <v>9.6999999999999993</v>
          </cell>
          <cell r="K230">
            <v>10.4</v>
          </cell>
          <cell r="L230">
            <v>11.2</v>
          </cell>
          <cell r="M230">
            <v>12.3</v>
          </cell>
          <cell r="N230">
            <v>13.8</v>
          </cell>
          <cell r="O230">
            <v>15.9</v>
          </cell>
          <cell r="R230">
            <v>18.5</v>
          </cell>
          <cell r="U230">
            <v>21.2</v>
          </cell>
          <cell r="X230">
            <v>26</v>
          </cell>
          <cell r="AA230">
            <v>31.2</v>
          </cell>
          <cell r="AD230">
            <v>34.6</v>
          </cell>
          <cell r="AG230">
            <v>38.5</v>
          </cell>
          <cell r="AH230">
            <v>40</v>
          </cell>
          <cell r="AI230">
            <v>42</v>
          </cell>
          <cell r="AJ230">
            <v>46.2</v>
          </cell>
          <cell r="AK230">
            <v>50.82</v>
          </cell>
          <cell r="AL230">
            <v>55.902000000000001</v>
          </cell>
          <cell r="AM230">
            <v>61.492199999999997</v>
          </cell>
        </row>
        <row r="231">
          <cell r="B231" t="str">
            <v>EBITDA (Pub)</v>
          </cell>
          <cell r="C231" t="str">
            <v>EBITDA_PUB</v>
          </cell>
          <cell r="D231" t="str">
            <v>GBP</v>
          </cell>
          <cell r="F231">
            <v>16.163</v>
          </cell>
          <cell r="G231">
            <v>20.065999999999999</v>
          </cell>
          <cell r="H231">
            <v>23.4</v>
          </cell>
          <cell r="I231">
            <v>27.797999999999998</v>
          </cell>
          <cell r="J231">
            <v>34.654000000000003</v>
          </cell>
          <cell r="K231">
            <v>35.709000000000003</v>
          </cell>
          <cell r="L231">
            <v>37.223999999999997</v>
          </cell>
          <cell r="M231">
            <v>41.792000000000002</v>
          </cell>
          <cell r="N231">
            <v>47.536999999999999</v>
          </cell>
          <cell r="O231">
            <v>57.265999999999998</v>
          </cell>
          <cell r="R231">
            <v>69.962000000000003</v>
          </cell>
          <cell r="U231">
            <v>74.902000000000001</v>
          </cell>
          <cell r="X231">
            <v>100.47199999999999</v>
          </cell>
          <cell r="AA231">
            <v>134.84399999999999</v>
          </cell>
          <cell r="AD231">
            <v>145.685</v>
          </cell>
          <cell r="AG231">
            <v>164.57300000000001</v>
          </cell>
          <cell r="AH231">
            <v>171.68799999999999</v>
          </cell>
          <cell r="AI231">
            <v>174.09227827874099</v>
          </cell>
          <cell r="AJ231">
            <v>183.55384597825201</v>
          </cell>
          <cell r="AK231">
            <v>194.28499589611499</v>
          </cell>
          <cell r="AL231">
            <v>207.84502155791799</v>
          </cell>
          <cell r="AM231">
            <v>223.41885530942599</v>
          </cell>
        </row>
        <row r="232">
          <cell r="B232" t="str">
            <v>EPS (Pub)</v>
          </cell>
          <cell r="C232" t="str">
            <v>EPS_PUB</v>
          </cell>
          <cell r="D232" t="str">
            <v>GBP</v>
          </cell>
          <cell r="F232">
            <v>16.663554240648001</v>
          </cell>
          <cell r="G232">
            <v>20.255308580072001</v>
          </cell>
          <cell r="H232">
            <v>22.586189804850001</v>
          </cell>
          <cell r="I232">
            <v>25.931787</v>
          </cell>
          <cell r="J232">
            <v>29.009442</v>
          </cell>
          <cell r="K232">
            <v>30.475912999999998</v>
          </cell>
          <cell r="L232">
            <v>33.239446999999998</v>
          </cell>
          <cell r="M232">
            <v>38.190931999999997</v>
          </cell>
          <cell r="N232">
            <v>44.076209905090998</v>
          </cell>
          <cell r="O232">
            <v>50.669318499157001</v>
          </cell>
          <cell r="R232">
            <v>58.351117000000002</v>
          </cell>
          <cell r="U232">
            <v>65.426291802649999</v>
          </cell>
          <cell r="X232">
            <v>80.087081338404005</v>
          </cell>
          <cell r="AA232">
            <v>96.419504889164003</v>
          </cell>
          <cell r="AD232">
            <v>107.91001871211699</v>
          </cell>
          <cell r="AG232">
            <v>120.20651226806</v>
          </cell>
          <cell r="AH232">
            <v>124.451495399435</v>
          </cell>
          <cell r="AI232">
            <v>132.05657488615799</v>
          </cell>
          <cell r="AJ232">
            <v>137.663487946288</v>
          </cell>
          <cell r="AK232">
            <v>145.97801534566699</v>
          </cell>
          <cell r="AL232">
            <v>155.48382514365201</v>
          </cell>
          <cell r="AM232">
            <v>165.98887756148901</v>
          </cell>
        </row>
        <row r="233">
          <cell r="B233" t="str">
            <v>EV adjustment (Pub)</v>
          </cell>
          <cell r="C233" t="str">
            <v>EV_ADJ_PUB</v>
          </cell>
          <cell r="D233" t="str">
            <v>GBP</v>
          </cell>
          <cell r="F233">
            <v>22.46</v>
          </cell>
          <cell r="G233">
            <v>21.100999999999999</v>
          </cell>
          <cell r="H233">
            <v>18.744</v>
          </cell>
          <cell r="I233">
            <v>16.501000000000001</v>
          </cell>
          <cell r="J233">
            <v>17.263999999999999</v>
          </cell>
          <cell r="K233">
            <v>23.131</v>
          </cell>
          <cell r="L233">
            <v>27.077999999999999</v>
          </cell>
          <cell r="M233">
            <v>31.686</v>
          </cell>
          <cell r="N233">
            <v>27.859000000000002</v>
          </cell>
          <cell r="O233">
            <v>32.744999999999997</v>
          </cell>
          <cell r="R233">
            <v>9.3010000000000002</v>
          </cell>
          <cell r="S233">
            <v>0</v>
          </cell>
          <cell r="T233">
            <v>0</v>
          </cell>
          <cell r="U233">
            <v>0</v>
          </cell>
          <cell r="X233">
            <v>-12.138951084403001</v>
          </cell>
          <cell r="AA233">
            <v>-0.68849572970200001</v>
          </cell>
          <cell r="AD233">
            <v>0.16786039728800001</v>
          </cell>
          <cell r="AG233">
            <v>19.343689387605998</v>
          </cell>
          <cell r="AH233">
            <v>23.986768384565998</v>
          </cell>
          <cell r="AI233">
            <v>28.741767950221998</v>
          </cell>
          <cell r="AJ233">
            <v>28.356120587225</v>
          </cell>
          <cell r="AK233">
            <v>28.596696565953</v>
          </cell>
          <cell r="AL233">
            <v>27.756521228501999</v>
          </cell>
          <cell r="AM233">
            <v>26.197259468874002</v>
          </cell>
        </row>
        <row r="234">
          <cell r="B234" t="str">
            <v>Net debt (Pub)</v>
          </cell>
          <cell r="C234" t="str">
            <v>NET_DEBT_PUB</v>
          </cell>
          <cell r="D234" t="str">
            <v>GBP</v>
          </cell>
          <cell r="F234">
            <v>-5.6680000000000001</v>
          </cell>
          <cell r="G234">
            <v>-8.9670000000000005</v>
          </cell>
          <cell r="H234">
            <v>0.112</v>
          </cell>
          <cell r="I234">
            <v>11.706</v>
          </cell>
          <cell r="J234">
            <v>55.652000000000001</v>
          </cell>
          <cell r="K234">
            <v>40.561999999999998</v>
          </cell>
          <cell r="L234">
            <v>39.256</v>
          </cell>
          <cell r="M234">
            <v>30.335000000000001</v>
          </cell>
          <cell r="N234">
            <v>23.16</v>
          </cell>
          <cell r="O234">
            <v>34.277000000000001</v>
          </cell>
          <cell r="R234">
            <v>7.0940000000000003</v>
          </cell>
          <cell r="U234">
            <v>14.189</v>
          </cell>
          <cell r="X234">
            <v>63.829000000000001</v>
          </cell>
          <cell r="AA234">
            <v>28.68</v>
          </cell>
          <cell r="AD234">
            <v>-18.137</v>
          </cell>
          <cell r="AG234">
            <v>46.009</v>
          </cell>
          <cell r="AH234">
            <v>42.912999999999997</v>
          </cell>
          <cell r="AI234">
            <v>-3.357529229881</v>
          </cell>
          <cell r="AJ234">
            <v>32.152854675016997</v>
          </cell>
          <cell r="AK234">
            <v>65.145472819502004</v>
          </cell>
          <cell r="AL234">
            <v>94.233062569493001</v>
          </cell>
          <cell r="AM234">
            <v>118.730871615203</v>
          </cell>
        </row>
        <row r="235">
          <cell r="B235" t="str">
            <v>Net income (Pub)</v>
          </cell>
          <cell r="C235" t="str">
            <v>NI_PUB</v>
          </cell>
          <cell r="D235" t="str">
            <v>GBP</v>
          </cell>
          <cell r="F235">
            <v>9.8439999999999994</v>
          </cell>
          <cell r="G235">
            <v>13.166</v>
          </cell>
          <cell r="H235">
            <v>14.682</v>
          </cell>
          <cell r="I235">
            <v>16.87</v>
          </cell>
          <cell r="J235">
            <v>18.974</v>
          </cell>
          <cell r="K235">
            <v>19.975000000000001</v>
          </cell>
          <cell r="L235">
            <v>21.821000000000002</v>
          </cell>
          <cell r="M235">
            <v>25.283999999999999</v>
          </cell>
          <cell r="N235">
            <v>29.375</v>
          </cell>
          <cell r="O235">
            <v>33.985999999999997</v>
          </cell>
          <cell r="R235">
            <v>39.341000000000001</v>
          </cell>
          <cell r="U235">
            <v>44.302999999999997</v>
          </cell>
          <cell r="X235">
            <v>54.465000000000003</v>
          </cell>
          <cell r="AA235">
            <v>65.759</v>
          </cell>
          <cell r="AD235">
            <v>73.956999999999994</v>
          </cell>
          <cell r="AG235">
            <v>82.712999999999994</v>
          </cell>
          <cell r="AH235">
            <v>86.076999999999998</v>
          </cell>
          <cell r="AI235">
            <v>91.337060756019994</v>
          </cell>
          <cell r="AJ235">
            <v>95.215087724903</v>
          </cell>
          <cell r="AK235">
            <v>100.965838832066</v>
          </cell>
          <cell r="AL235">
            <v>107.540541589594</v>
          </cell>
          <cell r="AM235">
            <v>114.80637149439301</v>
          </cell>
        </row>
        <row r="236">
          <cell r="B236" t="str">
            <v>EBIT, operating profit (Pub)</v>
          </cell>
          <cell r="C236" t="str">
            <v>EBIT_PUB</v>
          </cell>
          <cell r="D236" t="str">
            <v>GBP</v>
          </cell>
          <cell r="F236">
            <v>13.958</v>
          </cell>
          <cell r="G236">
            <v>17.952999999999999</v>
          </cell>
          <cell r="H236">
            <v>20.896000000000001</v>
          </cell>
          <cell r="I236">
            <v>24.545000000000002</v>
          </cell>
          <cell r="J236">
            <v>30.324999999999999</v>
          </cell>
          <cell r="K236">
            <v>31.684999999999999</v>
          </cell>
          <cell r="L236">
            <v>33.453000000000003</v>
          </cell>
          <cell r="M236">
            <v>37.542999999999999</v>
          </cell>
          <cell r="N236">
            <v>42.468000000000004</v>
          </cell>
          <cell r="O236">
            <v>51.134</v>
          </cell>
          <cell r="R236">
            <v>57.509</v>
          </cell>
          <cell r="U236">
            <v>62.920999999999999</v>
          </cell>
          <cell r="X236">
            <v>77.090999999999994</v>
          </cell>
          <cell r="AA236">
            <v>97.33</v>
          </cell>
          <cell r="AD236">
            <v>110.346</v>
          </cell>
          <cell r="AG236">
            <v>122.116</v>
          </cell>
          <cell r="AH236">
            <v>122.244</v>
          </cell>
          <cell r="AI236">
            <v>125.220408512706</v>
          </cell>
          <cell r="AJ236">
            <v>130.32798117525601</v>
          </cell>
          <cell r="AK236">
            <v>138.12877457262999</v>
          </cell>
          <cell r="AL236">
            <v>147.84524024837901</v>
          </cell>
          <cell r="AM236">
            <v>159.01535968627601</v>
          </cell>
        </row>
        <row r="237">
          <cell r="B237" t="str">
            <v>Pre-tax profit (Pub)</v>
          </cell>
          <cell r="C237" t="str">
            <v>PTP_PUB</v>
          </cell>
          <cell r="D237" t="str">
            <v>GBP</v>
          </cell>
          <cell r="F237">
            <v>14.087999999999999</v>
          </cell>
          <cell r="G237">
            <v>18.085999999999999</v>
          </cell>
          <cell r="H237">
            <v>21.097999999999999</v>
          </cell>
          <cell r="I237">
            <v>23.242000000000001</v>
          </cell>
          <cell r="J237">
            <v>25.623999999999999</v>
          </cell>
          <cell r="K237">
            <v>27.061</v>
          </cell>
          <cell r="L237">
            <v>29.92</v>
          </cell>
          <cell r="M237">
            <v>34.369999999999997</v>
          </cell>
          <cell r="N237">
            <v>39.683</v>
          </cell>
          <cell r="O237">
            <v>47.435000000000002</v>
          </cell>
          <cell r="R237">
            <v>54.795000000000002</v>
          </cell>
          <cell r="U237">
            <v>60.768000000000001</v>
          </cell>
          <cell r="X237">
            <v>72.197999999999993</v>
          </cell>
          <cell r="AA237">
            <v>89.486000000000004</v>
          </cell>
          <cell r="AD237">
            <v>102.688</v>
          </cell>
          <cell r="AG237">
            <v>114.901</v>
          </cell>
          <cell r="AH237">
            <v>0</v>
          </cell>
          <cell r="AI237">
            <v>0</v>
          </cell>
          <cell r="AJ237">
            <v>126.112698973382</v>
          </cell>
          <cell r="AK237">
            <v>133.729587857041</v>
          </cell>
          <cell r="AL237">
            <v>142.43780342992599</v>
          </cell>
          <cell r="AM237">
            <v>152.061419197871</v>
          </cell>
        </row>
        <row r="238">
          <cell r="B238" t="str">
            <v>Sales, revenue (Pub)</v>
          </cell>
          <cell r="C238" t="str">
            <v>REVS_PUB</v>
          </cell>
          <cell r="D238" t="str">
            <v>GBP</v>
          </cell>
          <cell r="F238">
            <v>123.589</v>
          </cell>
          <cell r="G238">
            <v>143.35</v>
          </cell>
          <cell r="H238">
            <v>158.654</v>
          </cell>
          <cell r="I238">
            <v>192.98099999999999</v>
          </cell>
          <cell r="J238">
            <v>226.93199999999999</v>
          </cell>
          <cell r="K238">
            <v>239.54</v>
          </cell>
          <cell r="L238">
            <v>260.35199999999998</v>
          </cell>
          <cell r="M238">
            <v>284.35000000000002</v>
          </cell>
          <cell r="N238">
            <v>319.66899999999998</v>
          </cell>
          <cell r="O238">
            <v>342.41</v>
          </cell>
          <cell r="R238">
            <v>377.04</v>
          </cell>
          <cell r="U238">
            <v>412.89</v>
          </cell>
          <cell r="X238">
            <v>515.27099999999996</v>
          </cell>
          <cell r="AA238">
            <v>651.03599999999994</v>
          </cell>
          <cell r="AD238">
            <v>710.04300000000001</v>
          </cell>
          <cell r="AG238">
            <v>731.73299999999995</v>
          </cell>
          <cell r="AH238">
            <v>0.17</v>
          </cell>
          <cell r="AI238">
            <v>0.17</v>
          </cell>
          <cell r="AJ238">
            <v>819.01993800267405</v>
          </cell>
          <cell r="AK238">
            <v>864.11118122849405</v>
          </cell>
          <cell r="AL238">
            <v>923.25446190865205</v>
          </cell>
          <cell r="AM238">
            <v>991.01719037656005</v>
          </cell>
        </row>
        <row r="239">
          <cell r="B239" t="str">
            <v>Total shareholders' equity (Pub)</v>
          </cell>
          <cell r="C239" t="str">
            <v>EQ_PUB</v>
          </cell>
          <cell r="D239" t="str">
            <v>GBP</v>
          </cell>
          <cell r="F239">
            <v>3.8969999999999998</v>
          </cell>
          <cell r="G239">
            <v>4.1379999999999999</v>
          </cell>
          <cell r="H239">
            <v>12.997999999999999</v>
          </cell>
          <cell r="I239">
            <v>23.414000000000001</v>
          </cell>
          <cell r="J239">
            <v>32.987000000000002</v>
          </cell>
          <cell r="K239">
            <v>43.664000000000001</v>
          </cell>
          <cell r="L239">
            <v>54.631</v>
          </cell>
          <cell r="M239">
            <v>64.674000000000007</v>
          </cell>
          <cell r="N239">
            <v>81.119</v>
          </cell>
          <cell r="O239">
            <v>85.055999999999997</v>
          </cell>
          <cell r="R239">
            <v>117.39100000000001</v>
          </cell>
          <cell r="U239">
            <v>141.89400000000001</v>
          </cell>
          <cell r="X239">
            <v>144.06899999999999</v>
          </cell>
          <cell r="AA239">
            <v>183.46600000000001</v>
          </cell>
          <cell r="AD239">
            <v>243.13499999999999</v>
          </cell>
          <cell r="AG239">
            <v>285.16800000000001</v>
          </cell>
          <cell r="AH239">
            <v>0.83</v>
          </cell>
          <cell r="AI239">
            <v>0.83</v>
          </cell>
          <cell r="AJ239">
            <v>397.40758981327002</v>
          </cell>
          <cell r="AK239">
            <v>440.33469532644199</v>
          </cell>
          <cell r="AL239">
            <v>485.42516551562699</v>
          </cell>
          <cell r="AM239">
            <v>533.17371599999603</v>
          </cell>
        </row>
        <row r="240">
          <cell r="A240" t="str">
            <v>Income Statement</v>
          </cell>
        </row>
        <row r="241">
          <cell r="B241" t="str">
            <v>Provision for income tax</v>
          </cell>
          <cell r="C241" t="str">
            <v>PROV_INC_TAX</v>
          </cell>
          <cell r="D241" t="str">
            <v>GBP</v>
          </cell>
          <cell r="F241">
            <v>-4.2439999999999998</v>
          </cell>
          <cell r="G241">
            <v>-4.92</v>
          </cell>
          <cell r="H241">
            <v>-6.4160000000000004</v>
          </cell>
          <cell r="I241">
            <v>-6.3719999999999999</v>
          </cell>
          <cell r="J241">
            <v>-6.65</v>
          </cell>
          <cell r="K241">
            <v>-7.0860000000000003</v>
          </cell>
          <cell r="L241">
            <v>-8.0990000000000002</v>
          </cell>
          <cell r="M241">
            <v>-9.0860000000000003</v>
          </cell>
          <cell r="N241">
            <v>-10.308</v>
          </cell>
          <cell r="O241">
            <v>-13.449</v>
          </cell>
          <cell r="R241">
            <v>-15.454000000000001</v>
          </cell>
          <cell r="U241">
            <v>-16.465</v>
          </cell>
          <cell r="X241">
            <v>-17.733000000000001</v>
          </cell>
          <cell r="AA241">
            <v>-23.727</v>
          </cell>
          <cell r="AD241">
            <v>-28.731000000000002</v>
          </cell>
          <cell r="AG241">
            <v>-32.188000000000002</v>
          </cell>
          <cell r="AH241">
            <v>-29.489000000000001</v>
          </cell>
          <cell r="AI241">
            <v>-29.639178655927001</v>
          </cell>
          <cell r="AJ241">
            <v>-30.897611248478999</v>
          </cell>
          <cell r="AK241">
            <v>-32.763749024974999</v>
          </cell>
          <cell r="AL241">
            <v>-34.897261840332</v>
          </cell>
          <cell r="AM241">
            <v>-37.255047703477999</v>
          </cell>
        </row>
        <row r="242">
          <cell r="B242" t="str">
            <v>Minority interest</v>
          </cell>
          <cell r="C242" t="str">
            <v>INC_MINORITY</v>
          </cell>
          <cell r="D242" t="str">
            <v>GBP</v>
          </cell>
          <cell r="F242">
            <v>0</v>
          </cell>
          <cell r="G242">
            <v>0</v>
          </cell>
          <cell r="H242">
            <v>0</v>
          </cell>
          <cell r="I242">
            <v>0</v>
          </cell>
          <cell r="J242">
            <v>0</v>
          </cell>
          <cell r="K242">
            <v>0</v>
          </cell>
          <cell r="L242">
            <v>0</v>
          </cell>
          <cell r="M242">
            <v>0</v>
          </cell>
          <cell r="N242">
            <v>0</v>
          </cell>
          <cell r="O242">
            <v>0</v>
          </cell>
          <cell r="R242">
            <v>-5.6000000000000001E-2</v>
          </cell>
          <cell r="S242">
            <v>0</v>
          </cell>
          <cell r="T242">
            <v>0</v>
          </cell>
          <cell r="U242">
            <v>0</v>
          </cell>
          <cell r="X242">
            <v>0</v>
          </cell>
          <cell r="AA242">
            <v>0</v>
          </cell>
          <cell r="AD242">
            <v>0</v>
          </cell>
          <cell r="AG242">
            <v>0.28000000000000003</v>
          </cell>
          <cell r="AH242">
            <v>0.309</v>
          </cell>
        </row>
        <row r="243">
          <cell r="B243" t="str">
            <v>Net income (pre-preferred dividends)</v>
          </cell>
          <cell r="C243" t="str">
            <v>NI_PRE_PREF</v>
          </cell>
          <cell r="D243" t="str">
            <v>GBP</v>
          </cell>
          <cell r="F243">
            <v>9.8439999999999994</v>
          </cell>
          <cell r="G243">
            <v>13.166</v>
          </cell>
          <cell r="H243">
            <v>14.682</v>
          </cell>
          <cell r="I243">
            <v>16.87</v>
          </cell>
          <cell r="J243">
            <v>18.974</v>
          </cell>
          <cell r="K243">
            <v>19.975000000000001</v>
          </cell>
          <cell r="L243">
            <v>21.821000000000002</v>
          </cell>
          <cell r="M243">
            <v>25.283999999999999</v>
          </cell>
          <cell r="N243">
            <v>29.375</v>
          </cell>
          <cell r="O243">
            <v>33.985999999999997</v>
          </cell>
          <cell r="R243">
            <v>39.341000000000001</v>
          </cell>
          <cell r="U243">
            <v>44.302999999999997</v>
          </cell>
          <cell r="X243">
            <v>54.465000000000003</v>
          </cell>
          <cell r="AA243">
            <v>65.759</v>
          </cell>
          <cell r="AD243">
            <v>73.956999999999994</v>
          </cell>
          <cell r="AG243">
            <v>82.712999999999994</v>
          </cell>
          <cell r="AH243">
            <v>86.076999999999998</v>
          </cell>
          <cell r="AI243">
            <v>91.337060756019994</v>
          </cell>
          <cell r="AJ243">
            <v>95.215087724903</v>
          </cell>
          <cell r="AK243">
            <v>100.965838832066</v>
          </cell>
          <cell r="AL243">
            <v>107.540541589594</v>
          </cell>
          <cell r="AM243">
            <v>114.80637149439301</v>
          </cell>
        </row>
        <row r="244">
          <cell r="B244" t="str">
            <v>Preferred dividends</v>
          </cell>
          <cell r="C244" t="str">
            <v>PREF_DIV</v>
          </cell>
          <cell r="D244" t="str">
            <v>GBP</v>
          </cell>
          <cell r="H244">
            <v>0</v>
          </cell>
          <cell r="I244">
            <v>0</v>
          </cell>
          <cell r="J244">
            <v>0</v>
          </cell>
          <cell r="K244">
            <v>0</v>
          </cell>
          <cell r="L244">
            <v>0</v>
          </cell>
          <cell r="M244">
            <v>0</v>
          </cell>
          <cell r="N244">
            <v>0</v>
          </cell>
          <cell r="O244">
            <v>0</v>
          </cell>
          <cell r="R244">
            <v>0</v>
          </cell>
          <cell r="S244">
            <v>0</v>
          </cell>
          <cell r="T244">
            <v>0</v>
          </cell>
          <cell r="U244">
            <v>0</v>
          </cell>
        </row>
        <row r="245">
          <cell r="B245" t="str">
            <v>Net income (pre-exceptionals)</v>
          </cell>
          <cell r="C245" t="str">
            <v>NET_EARNING</v>
          </cell>
          <cell r="D245" t="str">
            <v>GBP</v>
          </cell>
          <cell r="F245">
            <v>9.8439999999999994</v>
          </cell>
          <cell r="G245">
            <v>13.166</v>
          </cell>
          <cell r="H245">
            <v>14.682</v>
          </cell>
          <cell r="I245">
            <v>16.87</v>
          </cell>
          <cell r="J245">
            <v>18.974</v>
          </cell>
          <cell r="K245">
            <v>19.975000000000001</v>
          </cell>
          <cell r="L245">
            <v>21.821000000000002</v>
          </cell>
          <cell r="M245">
            <v>25.283999999999999</v>
          </cell>
          <cell r="N245">
            <v>29.375</v>
          </cell>
          <cell r="O245">
            <v>33.985999999999997</v>
          </cell>
          <cell r="R245">
            <v>39.341000000000001</v>
          </cell>
          <cell r="U245">
            <v>44.302999999999997</v>
          </cell>
          <cell r="X245">
            <v>54.465000000000003</v>
          </cell>
          <cell r="AA245">
            <v>65.759</v>
          </cell>
          <cell r="AD245">
            <v>73.956999999999994</v>
          </cell>
          <cell r="AG245">
            <v>82.712999999999994</v>
          </cell>
          <cell r="AH245">
            <v>86.076999999999998</v>
          </cell>
          <cell r="AI245">
            <v>91.337060756019994</v>
          </cell>
          <cell r="AJ245">
            <v>95.215087724903</v>
          </cell>
          <cell r="AK245">
            <v>100.965838832066</v>
          </cell>
          <cell r="AL245">
            <v>107.540541589594</v>
          </cell>
          <cell r="AM245">
            <v>114.80637149439301</v>
          </cell>
        </row>
        <row r="246">
          <cell r="B246" t="str">
            <v>Post-tax exceptionals</v>
          </cell>
          <cell r="C246" t="str">
            <v>TAX_EXC</v>
          </cell>
          <cell r="D246" t="str">
            <v>GBP</v>
          </cell>
          <cell r="F246">
            <v>0</v>
          </cell>
          <cell r="G246">
            <v>0</v>
          </cell>
          <cell r="H246">
            <v>-4.1000000000000002E-2</v>
          </cell>
          <cell r="I246">
            <v>-1.3109999999999999</v>
          </cell>
          <cell r="J246">
            <v>-2.9729999999999999</v>
          </cell>
          <cell r="K246">
            <v>-3.6520000000000001</v>
          </cell>
          <cell r="L246">
            <v>-3.875</v>
          </cell>
          <cell r="M246">
            <v>-4.8780000000000001</v>
          </cell>
          <cell r="N246">
            <v>-5.8979999999999997</v>
          </cell>
          <cell r="O246">
            <v>-4.5759999999999996</v>
          </cell>
          <cell r="R246">
            <v>0.21099999999999999</v>
          </cell>
          <cell r="S246">
            <v>0</v>
          </cell>
          <cell r="T246">
            <v>0</v>
          </cell>
          <cell r="U246">
            <v>-3.0680000000000001</v>
          </cell>
          <cell r="X246">
            <v>-52.707999999999998</v>
          </cell>
          <cell r="AA246">
            <v>12.721</v>
          </cell>
          <cell r="AD246">
            <v>-7.6319999999999997</v>
          </cell>
          <cell r="AG246">
            <v>-16.548999999999999</v>
          </cell>
          <cell r="AH246">
            <v>-22.510999999999999</v>
          </cell>
          <cell r="AI246">
            <v>-20.143777133836998</v>
          </cell>
          <cell r="AJ246">
            <v>-22.370463815802999</v>
          </cell>
          <cell r="AK246">
            <v>-23.660364005005999</v>
          </cell>
          <cell r="AL246">
            <v>-24.779650869419001</v>
          </cell>
          <cell r="AM246">
            <v>-25.766144140221002</v>
          </cell>
        </row>
        <row r="247">
          <cell r="B247" t="str">
            <v>Net income (post-exceptionals)</v>
          </cell>
          <cell r="C247" t="str">
            <v>NET_INC</v>
          </cell>
          <cell r="D247" t="str">
            <v>GBP</v>
          </cell>
          <cell r="F247">
            <v>9.8439999999999994</v>
          </cell>
          <cell r="G247">
            <v>13.166</v>
          </cell>
          <cell r="H247">
            <v>14.641</v>
          </cell>
          <cell r="I247">
            <v>15.558999999999999</v>
          </cell>
          <cell r="J247">
            <v>16.001000000000001</v>
          </cell>
          <cell r="K247">
            <v>16.323</v>
          </cell>
          <cell r="L247">
            <v>17.946000000000002</v>
          </cell>
          <cell r="M247">
            <v>20.405999999999999</v>
          </cell>
          <cell r="N247">
            <v>23.477</v>
          </cell>
          <cell r="O247">
            <v>29.41</v>
          </cell>
          <cell r="R247">
            <v>39.552</v>
          </cell>
          <cell r="U247">
            <v>41.234999999999999</v>
          </cell>
          <cell r="X247">
            <v>1.7569999999999999</v>
          </cell>
          <cell r="AA247">
            <v>78.48</v>
          </cell>
          <cell r="AD247">
            <v>66.325000000000003</v>
          </cell>
          <cell r="AG247">
            <v>66.164000000000001</v>
          </cell>
          <cell r="AH247">
            <v>63.566000000000003</v>
          </cell>
          <cell r="AI247">
            <v>71.193283622183998</v>
          </cell>
          <cell r="AJ247">
            <v>72.844623909101003</v>
          </cell>
          <cell r="AK247">
            <v>77.305474827059996</v>
          </cell>
          <cell r="AL247">
            <v>82.760890720174999</v>
          </cell>
          <cell r="AM247">
            <v>89.040227354172004</v>
          </cell>
        </row>
        <row r="248">
          <cell r="B248" t="str">
            <v>EPS (pre-exceptionals, basic)</v>
          </cell>
          <cell r="C248" t="str">
            <v>EPS</v>
          </cell>
          <cell r="D248" t="str">
            <v>GBP</v>
          </cell>
          <cell r="F248">
            <v>16.663554240648001</v>
          </cell>
          <cell r="G248">
            <v>20.255308580072001</v>
          </cell>
          <cell r="H248">
            <v>22.586189804850001</v>
          </cell>
          <cell r="I248">
            <v>25.931786980039</v>
          </cell>
          <cell r="J248">
            <v>29.009441920503001</v>
          </cell>
          <cell r="K248">
            <v>30.475912769225999</v>
          </cell>
          <cell r="L248">
            <v>33.239446608987997</v>
          </cell>
          <cell r="M248">
            <v>38.190931638503997</v>
          </cell>
          <cell r="N248">
            <v>44.076209905090998</v>
          </cell>
          <cell r="O248">
            <v>50.669318499157001</v>
          </cell>
          <cell r="R248">
            <v>58.351117067697999</v>
          </cell>
          <cell r="U248">
            <v>65.426291802649999</v>
          </cell>
          <cell r="X248">
            <v>80.087081338404005</v>
          </cell>
          <cell r="AA248">
            <v>96.419504889164003</v>
          </cell>
          <cell r="AD248">
            <v>107.91001871211699</v>
          </cell>
          <cell r="AG248">
            <v>120.20651226806</v>
          </cell>
          <cell r="AH248">
            <v>124.451495399435</v>
          </cell>
          <cell r="AI248">
            <v>132.05657488615799</v>
          </cell>
          <cell r="AJ248">
            <v>137.663487946288</v>
          </cell>
          <cell r="AK248">
            <v>145.97801534566699</v>
          </cell>
          <cell r="AL248">
            <v>155.48382514365201</v>
          </cell>
          <cell r="AM248">
            <v>165.98887756148901</v>
          </cell>
        </row>
        <row r="249">
          <cell r="B249" t="str">
            <v>EPS (pre-exceptionals, diluted)</v>
          </cell>
          <cell r="C249" t="str">
            <v>EPS_FUL_DIL</v>
          </cell>
          <cell r="D249" t="str">
            <v>GBP</v>
          </cell>
          <cell r="F249">
            <v>16.663554240648001</v>
          </cell>
          <cell r="G249">
            <v>20.189909670165999</v>
          </cell>
          <cell r="H249">
            <v>22.473556375548</v>
          </cell>
          <cell r="I249">
            <v>25.784467589565999</v>
          </cell>
          <cell r="J249">
            <v>28.911736281568999</v>
          </cell>
          <cell r="K249">
            <v>30.397674784081001</v>
          </cell>
          <cell r="L249">
            <v>33.151560102908</v>
          </cell>
          <cell r="M249">
            <v>38.024075688544002</v>
          </cell>
          <cell r="N249">
            <v>43.780315726198999</v>
          </cell>
          <cell r="O249">
            <v>50.276217414210997</v>
          </cell>
          <cell r="R249">
            <v>57.896373864498997</v>
          </cell>
          <cell r="U249">
            <v>65.009595749723005</v>
          </cell>
          <cell r="X249">
            <v>79.721639815215994</v>
          </cell>
          <cell r="AA249">
            <v>96.185171674786005</v>
          </cell>
          <cell r="AD249">
            <v>107.315712576143</v>
          </cell>
          <cell r="AG249">
            <v>119.750793607981</v>
          </cell>
          <cell r="AH249">
            <v>124.06558945597099</v>
          </cell>
          <cell r="AI249">
            <v>131.647086699949</v>
          </cell>
          <cell r="AJ249">
            <v>137.23661354011099</v>
          </cell>
          <cell r="AK249">
            <v>145.52535880219901</v>
          </cell>
          <cell r="AL249">
            <v>155.00169246985101</v>
          </cell>
          <cell r="AM249">
            <v>165.47417025167101</v>
          </cell>
        </row>
        <row r="250">
          <cell r="B250" t="str">
            <v>EPS (post-exceptionals, basic)</v>
          </cell>
          <cell r="C250" t="str">
            <v>EPS_POST_BASIC</v>
          </cell>
          <cell r="D250" t="str">
            <v>GBP</v>
          </cell>
          <cell r="F250">
            <v>16.663554240648001</v>
          </cell>
          <cell r="G250">
            <v>20.255308580072001</v>
          </cell>
          <cell r="H250">
            <v>22.523117077565999</v>
          </cell>
          <cell r="I250">
            <v>23.916578163747999</v>
          </cell>
          <cell r="J250">
            <v>24.464007598291001</v>
          </cell>
          <cell r="K250">
            <v>24.904046264434001</v>
          </cell>
          <cell r="L250">
            <v>27.336744825852001</v>
          </cell>
          <cell r="M250">
            <v>30.822818818830999</v>
          </cell>
          <cell r="N250">
            <v>35.226457189508999</v>
          </cell>
          <cell r="O250">
            <v>43.847015155069997</v>
          </cell>
          <cell r="R250">
            <v>58.664075195384001</v>
          </cell>
          <cell r="U250">
            <v>60.895495620664001</v>
          </cell>
          <cell r="X250">
            <v>2.5835491033059999</v>
          </cell>
          <cell r="AA250">
            <v>115.071742935591</v>
          </cell>
          <cell r="AD250">
            <v>96.774233555731001</v>
          </cell>
          <cell r="AG250">
            <v>96.155908716935997</v>
          </cell>
          <cell r="AH250">
            <v>91.904733628733993</v>
          </cell>
          <cell r="AI250">
            <v>102.932381579015</v>
          </cell>
          <cell r="AJ250">
            <v>105.31991562551001</v>
          </cell>
          <cell r="AK250">
            <v>111.76948481930199</v>
          </cell>
          <cell r="AL250">
            <v>119.65701186978001</v>
          </cell>
          <cell r="AM250">
            <v>128.735776629442</v>
          </cell>
        </row>
        <row r="251">
          <cell r="B251" t="str">
            <v>EPS (post-exceptionals, diluted)</v>
          </cell>
          <cell r="C251" t="str">
            <v>FULLY_DIL_EPS</v>
          </cell>
          <cell r="D251" t="str">
            <v>GBP</v>
          </cell>
          <cell r="F251">
            <v>16.663554240648001</v>
          </cell>
          <cell r="G251">
            <v>20.189909670165999</v>
          </cell>
          <cell r="H251">
            <v>22.410798181065001</v>
          </cell>
          <cell r="I251">
            <v>23.780707245173001</v>
          </cell>
          <cell r="J251">
            <v>24.381611270232</v>
          </cell>
          <cell r="K251">
            <v>24.840112415547001</v>
          </cell>
          <cell r="L251">
            <v>27.264465313540999</v>
          </cell>
          <cell r="M251">
            <v>30.688154109334999</v>
          </cell>
          <cell r="N251">
            <v>34.989973525242</v>
          </cell>
          <cell r="O251">
            <v>43.506842645558002</v>
          </cell>
          <cell r="R251">
            <v>58.206893040051</v>
          </cell>
          <cell r="U251">
            <v>60.507655931648003</v>
          </cell>
          <cell r="X251">
            <v>2.5717602341929999</v>
          </cell>
          <cell r="AA251">
            <v>114.79207824080601</v>
          </cell>
          <cell r="AD251">
            <v>96.241256900802995</v>
          </cell>
          <cell r="AG251">
            <v>95.791369050553001</v>
          </cell>
          <cell r="AH251">
            <v>91.619750448532002</v>
          </cell>
          <cell r="AI251">
            <v>102.613203270239</v>
          </cell>
          <cell r="AJ251">
            <v>104.99333392173401</v>
          </cell>
          <cell r="AK251">
            <v>111.422903941738</v>
          </cell>
          <cell r="AL251">
            <v>119.28597292075401</v>
          </cell>
          <cell r="AM251">
            <v>128.336585754488</v>
          </cell>
        </row>
        <row r="252">
          <cell r="B252" t="str">
            <v>Common dividends paid</v>
          </cell>
          <cell r="C252" t="str">
            <v>COMMON_DIV_PAID</v>
          </cell>
          <cell r="D252" t="str">
            <v>GBP</v>
          </cell>
          <cell r="F252">
            <v>-1.0169999999999999</v>
          </cell>
          <cell r="G252">
            <v>-4.68</v>
          </cell>
          <cell r="H252">
            <v>-5.2649999999999997</v>
          </cell>
          <cell r="I252">
            <v>-5.8710000000000004</v>
          </cell>
          <cell r="J252">
            <v>-6.3470000000000004</v>
          </cell>
          <cell r="K252">
            <v>-6.835</v>
          </cell>
          <cell r="L252">
            <v>-7.3849999999999998</v>
          </cell>
          <cell r="M252">
            <v>-8.173</v>
          </cell>
          <cell r="N252">
            <v>-9.2460000000000004</v>
          </cell>
          <cell r="O252">
            <v>-9.5670000000000002</v>
          </cell>
          <cell r="R252">
            <v>-1.2472914599999999E-2</v>
          </cell>
          <cell r="U252">
            <v>-1.4355446016000001E-2</v>
          </cell>
          <cell r="X252">
            <v>-1.768187798E-2</v>
          </cell>
          <cell r="AA252">
            <v>-2.1278690472000001E-2</v>
          </cell>
          <cell r="AD252">
            <v>-2.3713388530000001E-2</v>
          </cell>
          <cell r="AG252">
            <v>-2.649149734E-2</v>
          </cell>
          <cell r="AH252">
            <v>-2.7666039600000001E-2</v>
          </cell>
          <cell r="AI252">
            <v>-2.9049341579999999E-2</v>
          </cell>
          <cell r="AJ252">
            <v>-3.1954275737999999E-2</v>
          </cell>
          <cell r="AK252">
            <v>-3.5149703312E-2</v>
          </cell>
          <cell r="AL252">
            <v>-3.8664673642999997E-2</v>
          </cell>
          <cell r="AM252">
            <v>-4.2531141006999999E-2</v>
          </cell>
        </row>
        <row r="253">
          <cell r="B253" t="str">
            <v>DPS, dividend per share</v>
          </cell>
          <cell r="C253" t="str">
            <v>DPS</v>
          </cell>
          <cell r="D253" t="str">
            <v>GBP</v>
          </cell>
          <cell r="F253">
            <v>1.5646153846149999</v>
          </cell>
          <cell r="G253">
            <v>7.1998410496630001</v>
          </cell>
          <cell r="H253">
            <v>8.0990379588909995</v>
          </cell>
          <cell r="I253">
            <v>9</v>
          </cell>
          <cell r="J253">
            <v>9.6999999999999993</v>
          </cell>
          <cell r="K253">
            <v>10.4</v>
          </cell>
          <cell r="L253">
            <v>11.2</v>
          </cell>
          <cell r="M253">
            <v>12.3</v>
          </cell>
          <cell r="N253">
            <v>13.8</v>
          </cell>
          <cell r="O253">
            <v>15.9</v>
          </cell>
          <cell r="R253">
            <v>18.5</v>
          </cell>
          <cell r="S253">
            <v>0</v>
          </cell>
          <cell r="T253">
            <v>0</v>
          </cell>
          <cell r="U253">
            <v>21.2</v>
          </cell>
          <cell r="X253">
            <v>26</v>
          </cell>
          <cell r="AA253">
            <v>31.2</v>
          </cell>
          <cell r="AD253">
            <v>34.6</v>
          </cell>
          <cell r="AG253">
            <v>38.5</v>
          </cell>
          <cell r="AH253">
            <v>40</v>
          </cell>
          <cell r="AI253">
            <v>42</v>
          </cell>
          <cell r="AJ253">
            <v>46.2</v>
          </cell>
          <cell r="AK253">
            <v>50.82</v>
          </cell>
          <cell r="AL253">
            <v>55.902000000000001</v>
          </cell>
          <cell r="AM253">
            <v>61.492199999999997</v>
          </cell>
        </row>
        <row r="254">
          <cell r="B254" t="str">
            <v>Weighted average shares outstanding, basic</v>
          </cell>
          <cell r="C254" t="str">
            <v>SH</v>
          </cell>
          <cell r="F254">
            <v>59.075032</v>
          </cell>
          <cell r="G254">
            <v>65.000243999999995</v>
          </cell>
          <cell r="H254">
            <v>65.004323999999997</v>
          </cell>
          <cell r="I254">
            <v>65.055293000000006</v>
          </cell>
          <cell r="J254">
            <v>65.406290999999996</v>
          </cell>
          <cell r="K254">
            <v>65.543565999999998</v>
          </cell>
          <cell r="L254">
            <v>65.647903999999997</v>
          </cell>
          <cell r="M254">
            <v>66.204198000000005</v>
          </cell>
          <cell r="N254">
            <v>66.645930000000007</v>
          </cell>
          <cell r="O254">
            <v>67.074121000000005</v>
          </cell>
          <cell r="R254">
            <v>67.42116</v>
          </cell>
          <cell r="U254">
            <v>67.714367999999993</v>
          </cell>
          <cell r="X254">
            <v>68.007222999999996</v>
          </cell>
          <cell r="AA254">
            <v>68.200930999999997</v>
          </cell>
          <cell r="AD254">
            <v>68.535804999999996</v>
          </cell>
          <cell r="AG254">
            <v>68.809083999999999</v>
          </cell>
          <cell r="AH254">
            <v>69.165098999999998</v>
          </cell>
          <cell r="AI254">
            <v>69.165098999999998</v>
          </cell>
          <cell r="AJ254">
            <v>69.165098999999998</v>
          </cell>
          <cell r="AK254">
            <v>69.165098999999998</v>
          </cell>
          <cell r="AL254">
            <v>69.165098999999998</v>
          </cell>
          <cell r="AM254">
            <v>69.165098999999998</v>
          </cell>
        </row>
        <row r="255">
          <cell r="B255" t="str">
            <v>Diluted average shares outstanding (mn)</v>
          </cell>
          <cell r="C255" t="str">
            <v>DILUTE_SHARES</v>
          </cell>
          <cell r="F255">
            <v>59.075032</v>
          </cell>
          <cell r="G255">
            <v>65.210791999999998</v>
          </cell>
          <cell r="H255">
            <v>65.330113999999995</v>
          </cell>
          <cell r="I255">
            <v>65.426985999999999</v>
          </cell>
          <cell r="J255">
            <v>65.627328000000006</v>
          </cell>
          <cell r="K255">
            <v>65.712262999999993</v>
          </cell>
          <cell r="L255">
            <v>65.821939999999998</v>
          </cell>
          <cell r="M255">
            <v>66.494713000000004</v>
          </cell>
          <cell r="N255">
            <v>67.096363999999994</v>
          </cell>
          <cell r="O255">
            <v>67.598562000000001</v>
          </cell>
          <cell r="R255">
            <v>67.950715000000002</v>
          </cell>
          <cell r="U255">
            <v>68.148401000000007</v>
          </cell>
          <cell r="X255">
            <v>68.318966000000003</v>
          </cell>
          <cell r="AA255">
            <v>68.367086999999998</v>
          </cell>
          <cell r="AD255">
            <v>68.915351000000001</v>
          </cell>
          <cell r="AG255">
            <v>69.070941000000005</v>
          </cell>
          <cell r="AH255">
            <v>69.380236999999994</v>
          </cell>
          <cell r="AI255">
            <v>69.380236999999994</v>
          </cell>
          <cell r="AJ255">
            <v>69.380236999999994</v>
          </cell>
          <cell r="AK255">
            <v>69.380236999999994</v>
          </cell>
          <cell r="AL255">
            <v>69.380236999999994</v>
          </cell>
          <cell r="AM255">
            <v>69.380236999999994</v>
          </cell>
        </row>
        <row r="256">
          <cell r="B256" t="str">
            <v>Period-end shares outstanding</v>
          </cell>
          <cell r="C256" t="str">
            <v>NON_OP_ADD</v>
          </cell>
          <cell r="F256">
            <v>65</v>
          </cell>
          <cell r="G256">
            <v>65.001435000000001</v>
          </cell>
          <cell r="H256">
            <v>65.007721000000004</v>
          </cell>
          <cell r="I256">
            <v>65.328147999999999</v>
          </cell>
          <cell r="J256">
            <v>65.474566999999993</v>
          </cell>
          <cell r="K256">
            <v>65.763559999999998</v>
          </cell>
          <cell r="L256">
            <v>66.039929999999998</v>
          </cell>
          <cell r="M256">
            <v>66.35915</v>
          </cell>
          <cell r="N256">
            <v>66.904518999999993</v>
          </cell>
          <cell r="O256">
            <v>67.221085000000002</v>
          </cell>
          <cell r="R256">
            <v>67.42116</v>
          </cell>
          <cell r="U256">
            <v>67.714367999999993</v>
          </cell>
          <cell r="X256">
            <v>68.007222999999996</v>
          </cell>
          <cell r="AA256">
            <v>68.200930999999997</v>
          </cell>
          <cell r="AD256">
            <v>68.535804999999996</v>
          </cell>
          <cell r="AG256">
            <v>68.809083999999999</v>
          </cell>
          <cell r="AH256">
            <v>69.165098999999998</v>
          </cell>
          <cell r="AI256">
            <v>69.165098999999998</v>
          </cell>
          <cell r="AJ256">
            <v>69.165098999999998</v>
          </cell>
          <cell r="AK256">
            <v>69.165098999999998</v>
          </cell>
          <cell r="AL256">
            <v>69.165098999999998</v>
          </cell>
          <cell r="AM256">
            <v>69.165098999999998</v>
          </cell>
        </row>
        <row r="257">
          <cell r="A257" t="str">
            <v>Additional Income Statement Items</v>
          </cell>
        </row>
        <row r="258">
          <cell r="B258" t="str">
            <v>Organic net income (excl. acquisitions)</v>
          </cell>
          <cell r="C258" t="str">
            <v>ORG_NI</v>
          </cell>
          <cell r="D258" t="str">
            <v>GBP</v>
          </cell>
        </row>
        <row r="259">
          <cell r="B259" t="str">
            <v>Organic EPS (excl. acquisitions)</v>
          </cell>
          <cell r="C259" t="str">
            <v>ORG_EPS</v>
          </cell>
          <cell r="D259" t="str">
            <v>GBP</v>
          </cell>
          <cell r="AH259">
            <v>0</v>
          </cell>
          <cell r="AI259">
            <v>0</v>
          </cell>
        </row>
        <row r="260">
          <cell r="B260" t="str">
            <v>Marginal tax rate</v>
          </cell>
          <cell r="C260" t="str">
            <v>MARGIN_TAX_RATE</v>
          </cell>
          <cell r="F260">
            <v>0.301249290176</v>
          </cell>
          <cell r="G260">
            <v>0.27203361716199997</v>
          </cell>
          <cell r="H260">
            <v>0.30410465447000001</v>
          </cell>
          <cell r="I260">
            <v>0.27415885035699999</v>
          </cell>
          <cell r="J260">
            <v>0.259522322822</v>
          </cell>
          <cell r="K260">
            <v>0.26185285096599997</v>
          </cell>
          <cell r="L260">
            <v>0.27068850267400002</v>
          </cell>
          <cell r="M260">
            <v>0.26435845213800002</v>
          </cell>
          <cell r="N260">
            <v>0.25975858680000002</v>
          </cell>
          <cell r="O260">
            <v>0.28352482344300001</v>
          </cell>
          <cell r="R260">
            <v>0.28203303221100001</v>
          </cell>
          <cell r="S260">
            <v>0</v>
          </cell>
          <cell r="T260">
            <v>0</v>
          </cell>
          <cell r="U260">
            <v>0.27094852553999998</v>
          </cell>
          <cell r="X260">
            <v>0.24561622205600001</v>
          </cell>
          <cell r="AA260">
            <v>0.265147620857</v>
          </cell>
          <cell r="AD260">
            <v>0.27978926456800002</v>
          </cell>
          <cell r="AG260">
            <v>0.280136813431</v>
          </cell>
          <cell r="AH260">
            <v>0.17</v>
          </cell>
          <cell r="AI260">
            <v>0.17</v>
          </cell>
          <cell r="AJ260">
            <v>0.245</v>
          </cell>
          <cell r="AK260">
            <v>0.245</v>
          </cell>
          <cell r="AL260">
            <v>0.245</v>
          </cell>
          <cell r="AM260">
            <v>0.245</v>
          </cell>
        </row>
        <row r="261">
          <cell r="A261" t="str">
            <v>Balance Sheet</v>
          </cell>
        </row>
        <row r="262">
          <cell r="B262" t="str">
            <v>BVPS, book value per share</v>
          </cell>
          <cell r="C262" t="str">
            <v>BVPS</v>
          </cell>
          <cell r="D262" t="str">
            <v>GBP</v>
          </cell>
          <cell r="F262">
            <v>5.9953846153850003</v>
          </cell>
          <cell r="G262">
            <v>6.3660133041679998</v>
          </cell>
          <cell r="H262">
            <v>19.994548032225001</v>
          </cell>
          <cell r="I262">
            <v>35.840599675349999</v>
          </cell>
          <cell r="J262">
            <v>50.381394656646002</v>
          </cell>
          <cell r="K262">
            <v>66.395432364062998</v>
          </cell>
          <cell r="L262">
            <v>82.724194286699003</v>
          </cell>
          <cell r="M262">
            <v>97.460561203691995</v>
          </cell>
          <cell r="N262">
            <v>121.24592062309</v>
          </cell>
          <cell r="O262">
            <v>126.531727359057</v>
          </cell>
          <cell r="R262">
            <v>174.11596003391199</v>
          </cell>
          <cell r="U262">
            <v>209.547846625402</v>
          </cell>
          <cell r="X262">
            <v>211.84367431088901</v>
          </cell>
          <cell r="AA262">
            <v>269.00805796917899</v>
          </cell>
          <cell r="AD262">
            <v>354.75617452804403</v>
          </cell>
          <cell r="AG262">
            <v>413.83198764860799</v>
          </cell>
          <cell r="AH262">
            <v>0</v>
          </cell>
          <cell r="AI262">
            <v>0</v>
          </cell>
          <cell r="AJ262">
            <v>573.56758762576101</v>
          </cell>
          <cell r="AK262">
            <v>635.63227940502497</v>
          </cell>
          <cell r="AL262">
            <v>700.82479823476797</v>
          </cell>
          <cell r="AM262">
            <v>769.86041182417205</v>
          </cell>
        </row>
        <row r="263">
          <cell r="A263" t="str">
            <v>Cash Flow Statement</v>
          </cell>
        </row>
        <row r="264">
          <cell r="B264" t="str">
            <v>Net income (pre-preferred dividends)</v>
          </cell>
          <cell r="C264" t="str">
            <v>CF_NI_PRE_PREF</v>
          </cell>
          <cell r="D264" t="str">
            <v>GBP</v>
          </cell>
          <cell r="F264">
            <v>9.8439999999999994</v>
          </cell>
          <cell r="G264">
            <v>13.166</v>
          </cell>
          <cell r="H264">
            <v>14.682</v>
          </cell>
          <cell r="I264">
            <v>16.87</v>
          </cell>
          <cell r="J264">
            <v>18.974</v>
          </cell>
          <cell r="K264">
            <v>19.975000000000001</v>
          </cell>
          <cell r="L264">
            <v>21.821000000000002</v>
          </cell>
          <cell r="M264">
            <v>25.283999999999999</v>
          </cell>
          <cell r="N264">
            <v>29.375</v>
          </cell>
          <cell r="O264">
            <v>33.985999999999997</v>
          </cell>
          <cell r="R264">
            <v>39.341000000000001</v>
          </cell>
          <cell r="U264">
            <v>44.302999999999997</v>
          </cell>
          <cell r="X264">
            <v>54.465000000000003</v>
          </cell>
          <cell r="AA264">
            <v>65.759</v>
          </cell>
          <cell r="AD264">
            <v>73.956999999999994</v>
          </cell>
          <cell r="AG264">
            <v>82.712999999999994</v>
          </cell>
          <cell r="AJ264">
            <v>95.215087724903</v>
          </cell>
          <cell r="AK264">
            <v>100.965838832066</v>
          </cell>
          <cell r="AL264">
            <v>107.540541589594</v>
          </cell>
          <cell r="AM264">
            <v>114.80637149439301</v>
          </cell>
        </row>
        <row r="265">
          <cell r="A265" t="str">
            <v>Other Items</v>
          </cell>
        </row>
        <row r="266">
          <cell r="B266" t="str">
            <v>Beta</v>
          </cell>
          <cell r="C266" t="str">
            <v>BETA_ANALYST</v>
          </cell>
          <cell r="E266">
            <v>1</v>
          </cell>
        </row>
        <row r="267">
          <cell r="B267" t="str">
            <v>Market equity risk premium</v>
          </cell>
          <cell r="C267" t="str">
            <v>MKT_EQ_RISK_PREM</v>
          </cell>
        </row>
        <row r="268">
          <cell r="B268" t="str">
            <v>Risk-free rate</v>
          </cell>
          <cell r="C268" t="str">
            <v>RISK_FR_RATE</v>
          </cell>
        </row>
      </sheetData>
      <sheetData sheetId="6">
        <row r="1">
          <cell r="A1" t="str">
            <v>02921cda-652a-43b4-b809-58c07d8c7a69</v>
          </cell>
        </row>
        <row r="2">
          <cell r="A2" t="str">
            <v>N:\Aerospace\Company Models\WIP models\[cleanUltra Electronics model WIP.xlsx]ULE.L_Validation_Sheet</v>
          </cell>
        </row>
        <row r="3">
          <cell r="A3" t="str">
            <v>Enabled</v>
          </cell>
        </row>
        <row r="7">
          <cell r="A7" t="str">
            <v>Scalar|||208007413|||ISSR|||CURRENCY_ISO|||False|||</v>
          </cell>
          <cell r="C7" t="str">
            <v>V_KEYWORD_ISSR_208007413_CURRENCY_ISO</v>
          </cell>
        </row>
        <row r="9">
          <cell r="A9" t="str">
            <v>Vector|||208007413|||ISSR|||SALES|||False|||</v>
          </cell>
          <cell r="C9" t="str">
            <v>V_KEYWORD_ISSR_208007413_SALES</v>
          </cell>
        </row>
        <row r="10">
          <cell r="A10" t="str">
            <v>Vector|||208007413|||ISSR|||COST_GD_SD|||False|||</v>
          </cell>
          <cell r="C10" t="str">
            <v>V_KEYWORD_ISSR_208007413_COST_GD_SD</v>
          </cell>
        </row>
        <row r="11">
          <cell r="A11" t="str">
            <v>Vector|||208007413|||ISSR|||SEL_GL_AD|||False|||</v>
          </cell>
          <cell r="C11" t="str">
            <v>V_KEYWORD_ISSR_208007413_SEL_GL_AD</v>
          </cell>
        </row>
        <row r="12">
          <cell r="A12" t="str">
            <v>Vector|||208007413|||ISSR|||OP_COST|||False|||</v>
          </cell>
          <cell r="C12" t="str">
            <v>V_KEYWORD_ISSR_208007413_OP_COST</v>
          </cell>
        </row>
        <row r="13">
          <cell r="A13" t="str">
            <v>Vector|||208007413|||ISSR|||RD_EXP|||False|||</v>
          </cell>
          <cell r="C13" t="str">
            <v>V_KEYWORD_ISSR_208007413_RD_EXP</v>
          </cell>
        </row>
        <row r="14">
          <cell r="A14" t="str">
            <v>Vector|||208007413|||ISSR|||OTH_OP_INC_EXP|||False|||</v>
          </cell>
          <cell r="C14" t="str">
            <v>V_KEYWORD_ISSR_208007413_OTH_OP_INC_EXP</v>
          </cell>
        </row>
        <row r="15">
          <cell r="A15" t="str">
            <v>Vector|||208007413|||ISSR|||TOT_OPS_EXP_DDA|||False|||</v>
          </cell>
          <cell r="C15" t="str">
            <v>V_KEYWORD_ISSR_208007413_TOT_OPS_EXP_DDA</v>
          </cell>
        </row>
        <row r="16">
          <cell r="A16" t="str">
            <v>Vector|||208007413|||ISSR|||TOT_OPS_EXP|||False|||</v>
          </cell>
          <cell r="C16" t="str">
            <v>V_KEYWORD_ISSR_208007413_TOT_OPS_EXP</v>
          </cell>
        </row>
        <row r="17">
          <cell r="A17" t="str">
            <v>Vector|||208007413|||ISSR|||EBITDA_CALC|||False|||</v>
          </cell>
          <cell r="C17" t="str">
            <v>V_KEYWORD_ISSR_208007413_EBITDA_CALC</v>
          </cell>
        </row>
        <row r="18">
          <cell r="A18" t="str">
            <v>Vector|||208007413|||ISSR|||DEPREC|||False|||</v>
          </cell>
          <cell r="C18" t="str">
            <v>V_KEYWORD_ISSR_208007413_DEPREC</v>
          </cell>
        </row>
        <row r="19">
          <cell r="A19" t="str">
            <v>Vector|||208007413|||ISSR|||GOODWILL_AMORT|||False|||</v>
          </cell>
          <cell r="C19" t="str">
            <v>V_KEYWORD_ISSR_208007413_GOODWILL_AMORT</v>
          </cell>
        </row>
        <row r="20">
          <cell r="A20" t="str">
            <v>Vector|||208007413|||ISSR|||EBIT|||False|||</v>
          </cell>
          <cell r="C20" t="str">
            <v>V_KEYWORD_ISSR_208007413_EBIT</v>
          </cell>
        </row>
        <row r="21">
          <cell r="A21" t="str">
            <v>Vector|||208007413|||ISSR|||INT_INC_IND|||False|||</v>
          </cell>
          <cell r="C21" t="str">
            <v>V_KEYWORD_ISSR_208007413_INT_INC_IND</v>
          </cell>
        </row>
        <row r="22">
          <cell r="A22" t="str">
            <v>Vector|||208007413|||ISSR|||INT_EXP_IND|||False|||</v>
          </cell>
          <cell r="C22" t="str">
            <v>V_KEYWORD_ISSR_208007413_INT_EXP_IND</v>
          </cell>
        </row>
        <row r="23">
          <cell r="A23" t="str">
            <v>Vector|||208007413|||ISSR|||NET_INT_EXP|||False|||</v>
          </cell>
          <cell r="C23" t="str">
            <v>V_KEYWORD_ISSR_208007413_NET_INT_EXP</v>
          </cell>
        </row>
        <row r="24">
          <cell r="A24" t="str">
            <v>Vector|||208007413|||ISSR|||ASSOCIATE|||False|||</v>
          </cell>
          <cell r="C24" t="str">
            <v>V_KEYWORD_ISSR_208007413_ASSOCIATE</v>
          </cell>
        </row>
        <row r="25">
          <cell r="A25" t="str">
            <v>Vector|||208007413|||ISSR|||PROFIT_ON_DISP|||False|||</v>
          </cell>
          <cell r="C25" t="str">
            <v>V_KEYWORD_ISSR_208007413_PROFIT_ON_DISP</v>
          </cell>
        </row>
        <row r="26">
          <cell r="A26" t="str">
            <v>Vector|||208007413|||ISSR|||OTH_COST_INC|||False|||</v>
          </cell>
          <cell r="C26" t="str">
            <v>V_KEYWORD_ISSR_208007413_OTH_COST_INC</v>
          </cell>
        </row>
        <row r="27">
          <cell r="A27" t="str">
            <v>Vector|||208007413|||ISSR|||PT_PROF|||False|||</v>
          </cell>
          <cell r="C27" t="str">
            <v>V_KEYWORD_ISSR_208007413_PT_PROF</v>
          </cell>
        </row>
        <row r="29">
          <cell r="A29" t="str">
            <v>Vector|||208007413|||ISSR|||ORG_REV|||False|||</v>
          </cell>
          <cell r="C29" t="str">
            <v>V_KEYWORD_ISSR_208007413_ORG_REV</v>
          </cell>
        </row>
        <row r="30">
          <cell r="A30" t="str">
            <v>Vector|||208007413|||ISSR|||ORG_REV_GRTH|||False|||</v>
          </cell>
          <cell r="C30" t="str">
            <v>V_KEYWORD_ISSR_208007413_ORG_REV_GRTH</v>
          </cell>
        </row>
        <row r="31">
          <cell r="A31" t="str">
            <v>Vector|||208007413|||ISSR|||LEASE_PAY|||False|||</v>
          </cell>
          <cell r="C31" t="str">
            <v>V_KEYWORD_ISSR_208007413_LEASE_PAY</v>
          </cell>
        </row>
        <row r="32">
          <cell r="A32" t="str">
            <v>Vector|||208007413|||ISSR|||LEASE_DEEM_INT|||False|||</v>
          </cell>
          <cell r="C32" t="str">
            <v>V_KEYWORD_ISSR_208007413_LEASE_DEEM_INT</v>
          </cell>
        </row>
        <row r="33">
          <cell r="A33" t="str">
            <v>Vector|||208007413|||ISSR|||LEASE_DEEM_DEPR|||False|||</v>
          </cell>
          <cell r="C33" t="str">
            <v>V_KEYWORD_ISSR_208007413_LEASE_DEEM_DEPR</v>
          </cell>
        </row>
        <row r="34">
          <cell r="A34" t="str">
            <v>Vector|||208007413|||ISSR|||NET_INT_CH|||False|||</v>
          </cell>
          <cell r="C34" t="str">
            <v>V_KEYWORD_ISSR_208007413_NET_INT_CH</v>
          </cell>
        </row>
        <row r="35">
          <cell r="A35" t="str">
            <v>Vector|||208007413|||ISSR|||ASSOCIATE_OP|||False|||</v>
          </cell>
          <cell r="C35" t="str">
            <v>V_KEYWORD_ISSR_208007413_ASSOCIATE_OP</v>
          </cell>
        </row>
        <row r="36">
          <cell r="A36" t="str">
            <v>Vector|||208007413|||ISSR|||GW_AMORT|||False|||</v>
          </cell>
          <cell r="C36" t="str">
            <v>V_KEYWORD_ISSR_208007413_GW_AMORT</v>
          </cell>
        </row>
        <row r="37">
          <cell r="A37" t="str">
            <v>Vector|||208007413|||ISSR|||OTH_INT_AMORT|||False|||</v>
          </cell>
          <cell r="C37" t="str">
            <v>V_KEYWORD_ISSR_208007413_OTH_INT_AMORT</v>
          </cell>
        </row>
        <row r="39">
          <cell r="A39" t="str">
            <v>Vector|||208007413|||ISSR|||CASH_EQ|||False|||</v>
          </cell>
          <cell r="C39" t="str">
            <v>V_KEYWORD_ISSR_208007413_CASH_EQ</v>
          </cell>
        </row>
        <row r="40">
          <cell r="A40" t="str">
            <v>Vector|||208007413|||ISSR|||DEBTORS|||False|||</v>
          </cell>
          <cell r="C40" t="str">
            <v>V_KEYWORD_ISSR_208007413_DEBTORS</v>
          </cell>
        </row>
        <row r="41">
          <cell r="A41" t="str">
            <v>Vector|||208007413|||ISSR|||STOCKS|||False|||</v>
          </cell>
          <cell r="C41" t="str">
            <v>V_KEYWORD_ISSR_208007413_STOCKS</v>
          </cell>
        </row>
        <row r="42">
          <cell r="A42" t="str">
            <v>Vector|||208007413|||ISSR|||OTH_CUR_ASS|||False|||</v>
          </cell>
          <cell r="C42" t="str">
            <v>V_KEYWORD_ISSR_208007413_OTH_CUR_ASS</v>
          </cell>
        </row>
        <row r="43">
          <cell r="A43" t="str">
            <v>Vector|||208007413|||ISSR|||CUR_ASS|||False|||</v>
          </cell>
          <cell r="C43" t="str">
            <v>V_KEYWORD_ISSR_208007413_CUR_ASS</v>
          </cell>
        </row>
        <row r="44">
          <cell r="A44" t="str">
            <v>Vector|||208007413|||ISSR|||GR_FIX_ASS|||False|||</v>
          </cell>
          <cell r="C44" t="str">
            <v>V_KEYWORD_ISSR_208007413_GR_FIX_ASS</v>
          </cell>
        </row>
        <row r="45">
          <cell r="A45" t="str">
            <v>Vector|||208007413|||ISSR|||ACC_DDA|||False|||</v>
          </cell>
          <cell r="C45" t="str">
            <v>V_KEYWORD_ISSR_208007413_ACC_DDA</v>
          </cell>
        </row>
        <row r="46">
          <cell r="A46" t="str">
            <v>Vector|||208007413|||ISSR|||NET_FIX_ASS|||False|||</v>
          </cell>
          <cell r="C46" t="str">
            <v>V_KEYWORD_ISSR_208007413_NET_FIX_ASS</v>
          </cell>
        </row>
        <row r="47">
          <cell r="A47" t="str">
            <v>Vector|||208007413|||ISSR|||GR_INTANG|||False|||</v>
          </cell>
          <cell r="C47" t="str">
            <v>V_KEYWORD_ISSR_208007413_GR_INTANG</v>
          </cell>
        </row>
        <row r="48">
          <cell r="A48" t="str">
            <v>Vector|||208007413|||ISSR|||ACC_AMORT|||False|||</v>
          </cell>
          <cell r="C48" t="str">
            <v>V_KEYWORD_ISSR_208007413_ACC_AMORT</v>
          </cell>
        </row>
        <row r="49">
          <cell r="A49" t="str">
            <v>Vector|||208007413|||ISSR|||NET_INTANG|||False|||</v>
          </cell>
          <cell r="C49" t="str">
            <v>V_KEYWORD_ISSR_208007413_NET_INTANG</v>
          </cell>
        </row>
        <row r="50">
          <cell r="A50" t="str">
            <v>Vector|||208007413|||ISSR|||FIX_ASS_INV|||False|||</v>
          </cell>
          <cell r="C50" t="str">
            <v>V_KEYWORD_ISSR_208007413_FIX_ASS_INV</v>
          </cell>
        </row>
        <row r="51">
          <cell r="A51" t="str">
            <v>Vector|||208007413|||ISSR|||INV_SECUR|||False|||</v>
          </cell>
          <cell r="C51" t="str">
            <v>V_KEYWORD_ISSR_208007413_INV_SECUR</v>
          </cell>
        </row>
        <row r="52">
          <cell r="A52" t="str">
            <v>Vector|||208007413|||ISSR|||OTH_LT_ASS|||False|||</v>
          </cell>
          <cell r="C52" t="str">
            <v>V_KEYWORD_ISSR_208007413_OTH_LT_ASS</v>
          </cell>
        </row>
        <row r="53">
          <cell r="A53" t="str">
            <v>Vector|||208007413|||ISSR|||TOT_ASSET|||False|||</v>
          </cell>
          <cell r="C53" t="str">
            <v>V_KEYWORD_ISSR_208007413_TOT_ASSET</v>
          </cell>
        </row>
        <row r="54">
          <cell r="A54" t="str">
            <v>Vector|||208007413|||ISSR|||ACC_PAY_GQ|||False|||</v>
          </cell>
          <cell r="C54" t="str">
            <v>V_KEYWORD_ISSR_208007413_ACC_PAY_GQ</v>
          </cell>
        </row>
        <row r="55">
          <cell r="A55" t="str">
            <v>Vector|||208007413|||ISSR|||SHORT_T_DEBT|||False|||</v>
          </cell>
          <cell r="C55" t="str">
            <v>V_KEYWORD_ISSR_208007413_SHORT_T_DEBT</v>
          </cell>
        </row>
        <row r="56">
          <cell r="A56" t="str">
            <v>Vector|||208007413|||ISSR|||OTH_CUR_LIABS|||False|||</v>
          </cell>
          <cell r="C56" t="str">
            <v>V_KEYWORD_ISSR_208007413_OTH_CUR_LIABS</v>
          </cell>
        </row>
        <row r="57">
          <cell r="A57" t="str">
            <v>Vector|||208007413|||ISSR|||SHORT_TERM_LIABS|||False|||</v>
          </cell>
          <cell r="C57" t="str">
            <v>V_KEYWORD_ISSR_208007413_SHORT_TERM_LIABS</v>
          </cell>
        </row>
        <row r="58">
          <cell r="A58" t="str">
            <v>Vector|||208007413|||ISSR|||LT_DEBT|||False|||</v>
          </cell>
          <cell r="C58" t="str">
            <v>V_KEYWORD_ISSR_208007413_LT_DEBT</v>
          </cell>
        </row>
        <row r="59">
          <cell r="A59" t="str">
            <v>Vector|||208007413|||ISSR|||OTH_LT_CRED_GQ|||False|||</v>
          </cell>
          <cell r="C59" t="str">
            <v>V_KEYWORD_ISSR_208007413_OTH_LT_CRED_GQ</v>
          </cell>
        </row>
        <row r="60">
          <cell r="A60" t="str">
            <v>Vector|||208007413|||ISSR|||TOT_LT_LIAB|||False|||</v>
          </cell>
          <cell r="C60" t="str">
            <v>V_KEYWORD_ISSR_208007413_TOT_LT_LIAB</v>
          </cell>
        </row>
        <row r="61">
          <cell r="A61" t="str">
            <v>Vector|||208007413|||ISSR|||TOT_LIAB|||False|||</v>
          </cell>
          <cell r="C61" t="str">
            <v>V_KEYWORD_ISSR_208007413_TOT_LIAB</v>
          </cell>
        </row>
        <row r="62">
          <cell r="A62" t="str">
            <v>Vector|||208007413|||ISSR|||PREF_SH|||False|||</v>
          </cell>
          <cell r="C62" t="str">
            <v>V_KEYWORD_ISSR_208007413_PREF_SH</v>
          </cell>
        </row>
        <row r="63">
          <cell r="A63" t="str">
            <v>Vector|||208007413|||ISSR|||ORD_SH_FUND|||False|||</v>
          </cell>
          <cell r="C63" t="str">
            <v>V_KEYWORD_ISSR_208007413_ORD_SH_FUND</v>
          </cell>
        </row>
        <row r="64">
          <cell r="A64" t="str">
            <v>Vector|||208007413|||ISSR|||MINORITIES|||False|||</v>
          </cell>
          <cell r="C64" t="str">
            <v>V_KEYWORD_ISSR_208007413_MINORITIES</v>
          </cell>
        </row>
        <row r="65">
          <cell r="A65" t="str">
            <v>Vector|||208007413|||ISSR|||EQ|||False|||</v>
          </cell>
          <cell r="C65" t="str">
            <v>V_KEYWORD_ISSR_208007413_EQ</v>
          </cell>
        </row>
        <row r="66">
          <cell r="A66" t="str">
            <v>Vector|||208007413|||ISSR|||TOT_LIAB_EQ|||False|||</v>
          </cell>
          <cell r="C66" t="str">
            <v>V_KEYWORD_ISSR_208007413_TOT_LIAB_EQ</v>
          </cell>
        </row>
        <row r="68">
          <cell r="A68" t="str">
            <v>Vector|||208007413|||ISSR|||NET_DEBT|||False|||</v>
          </cell>
          <cell r="C68" t="str">
            <v>V_KEYWORD_ISSR_208007413_NET_DEBT</v>
          </cell>
        </row>
        <row r="69">
          <cell r="A69" t="str">
            <v>Vector|||208007413|||ISSR|||CAP_LEASES|||False|||</v>
          </cell>
          <cell r="C69" t="str">
            <v>V_KEYWORD_ISSR_208007413_CAP_LEASES</v>
          </cell>
        </row>
        <row r="70">
          <cell r="A70" t="str">
            <v>Vector|||208007413|||ISSR|||DEF_INC_TAX|||False|||</v>
          </cell>
          <cell r="C70" t="str">
            <v>V_KEYWORD_ISSR_208007413_DEF_INC_TAX</v>
          </cell>
        </row>
        <row r="71">
          <cell r="A71" t="str">
            <v>Vector|||208007413|||ISSR|||MV_ASSOCIATES|||False|||</v>
          </cell>
          <cell r="C71" t="str">
            <v>V_KEYWORD_ISSR_208007413_MV_ASSOCIATES</v>
          </cell>
        </row>
        <row r="72">
          <cell r="A72" t="str">
            <v>Vector|||208007413|||ISSR|||NET_DEBT_ADJ|||False|||</v>
          </cell>
          <cell r="C72" t="str">
            <v>V_KEYWORD_ISSR_208007413_NET_DEBT_ADJ</v>
          </cell>
        </row>
        <row r="73">
          <cell r="A73" t="str">
            <v>Vector|||208007413|||ISSR|||CO_BOR_MARGIN|||False|||</v>
          </cell>
          <cell r="C73" t="str">
            <v>V_KEYWORD_ISSR_208007413_CO_BOR_MARGIN</v>
          </cell>
        </row>
        <row r="74">
          <cell r="A74" t="str">
            <v>Vector|||208007413|||ISSR|||UNF_PENS|||False|||</v>
          </cell>
          <cell r="C74" t="str">
            <v>V_KEYWORD_ISSR_208007413_UNF_PENS</v>
          </cell>
        </row>
        <row r="75">
          <cell r="A75" t="str">
            <v>Vector|||208007413|||ISSR|||UNF_PENS_OFF|||False|||</v>
          </cell>
          <cell r="C75" t="str">
            <v>V_KEYWORD_ISSR_208007413_UNF_PENS_OFF</v>
          </cell>
        </row>
        <row r="76">
          <cell r="A76" t="str">
            <v>Vector|||208007413|||ISSR|||UNF_PENS_LIAB_OTH|||False|||</v>
          </cell>
          <cell r="C76" t="str">
            <v>V_KEYWORD_ISSR_208007413_UNF_PENS_LIAB_OTH</v>
          </cell>
        </row>
        <row r="77">
          <cell r="A77" t="str">
            <v>Vector|||208007413|||ISSR|||ADJ_UNF_PENS_GOOD|||False|||</v>
          </cell>
          <cell r="C77" t="str">
            <v>V_KEYWORD_ISSR_208007413_ADJ_UNF_PENS_GOOD</v>
          </cell>
        </row>
        <row r="78">
          <cell r="A78" t="str">
            <v>Vector|||208007413|||ISSR|||OTH_GCI_ADJ|||False|||</v>
          </cell>
          <cell r="C78" t="str">
            <v>V_KEYWORD_ISSR_208007413_OTH_GCI_ADJ</v>
          </cell>
        </row>
        <row r="79">
          <cell r="A79" t="str">
            <v>Vector|||208007413|||ISSR|||GCI_INFL|||False|||</v>
          </cell>
          <cell r="C79" t="str">
            <v>V_KEYWORD_ISSR_208007413_GCI_INFL</v>
          </cell>
        </row>
        <row r="80">
          <cell r="A80" t="str">
            <v>Vector|||208007413|||ISSR|||BAL_MINO_INT|||False|||</v>
          </cell>
          <cell r="C80" t="str">
            <v>V_KEYWORD_ISSR_208007413_BAL_MINO_INT</v>
          </cell>
        </row>
        <row r="82">
          <cell r="A82" t="str">
            <v>Vector|||208007413|||ISSR|||CF_INC_MINORITY|||False|||</v>
          </cell>
          <cell r="C82" t="str">
            <v>V_KEYWORD_ISSR_208007413_CF_INC_MINORITY</v>
          </cell>
        </row>
        <row r="83">
          <cell r="A83" t="str">
            <v>Vector|||208007413|||ISSR|||DEPR_AMORT|||False|||</v>
          </cell>
          <cell r="C83" t="str">
            <v>V_KEYWORD_ISSR_208007413_DEPR_AMORT</v>
          </cell>
        </row>
        <row r="84">
          <cell r="A84" t="str">
            <v>Vector|||208007413|||ISSR|||WORK_CAP|||False|||</v>
          </cell>
          <cell r="C84" t="str">
            <v>V_KEYWORD_ISSR_208007413_WORK_CAP</v>
          </cell>
        </row>
        <row r="85">
          <cell r="A85" t="str">
            <v>Vector|||208007413|||ISSR|||OTH_OP_CF|||False|||</v>
          </cell>
          <cell r="C85" t="str">
            <v>V_KEYWORD_ISSR_208007413_OTH_OP_CF</v>
          </cell>
        </row>
        <row r="86">
          <cell r="A86" t="str">
            <v>Vector|||208007413|||ISSR|||CF_OPS|||False|||</v>
          </cell>
          <cell r="C86" t="str">
            <v>V_KEYWORD_ISSR_208007413_CF_OPS</v>
          </cell>
        </row>
        <row r="87">
          <cell r="A87" t="str">
            <v>Vector|||208007413|||ISSR|||CAPEX|||False|||</v>
          </cell>
          <cell r="C87" t="str">
            <v>V_KEYWORD_ISSR_208007413_CAPEX</v>
          </cell>
        </row>
        <row r="88">
          <cell r="A88" t="str">
            <v>Vector|||208007413|||ISSR|||ACQ|||False|||</v>
          </cell>
          <cell r="C88" t="str">
            <v>V_KEYWORD_ISSR_208007413_ACQ</v>
          </cell>
        </row>
        <row r="89">
          <cell r="A89" t="str">
            <v>Vector|||208007413|||ISSR|||DIVEST|||False|||</v>
          </cell>
          <cell r="C89" t="str">
            <v>V_KEYWORD_ISSR_208007413_DIVEST</v>
          </cell>
        </row>
        <row r="90">
          <cell r="A90" t="str">
            <v>Vector|||208007413|||ISSR|||OTH_INV_CF|||False|||</v>
          </cell>
          <cell r="C90" t="str">
            <v>V_KEYWORD_ISSR_208007413_OTH_INV_CF</v>
          </cell>
        </row>
        <row r="91">
          <cell r="A91" t="str">
            <v>Vector|||208007413|||ISSR|||CF_INV|||False|||</v>
          </cell>
          <cell r="C91" t="str">
            <v>V_KEYWORD_ISSR_208007413_CF_INV</v>
          </cell>
        </row>
        <row r="92">
          <cell r="A92" t="str">
            <v>Vector|||208007413|||ISSR|||DIV_PAID|||False|||</v>
          </cell>
          <cell r="C92" t="str">
            <v>V_KEYWORD_ISSR_208007413_DIV_PAID</v>
          </cell>
        </row>
        <row r="93">
          <cell r="A93" t="str">
            <v>Vector|||208007413|||ISSR|||SH_REPUR|||False|||</v>
          </cell>
          <cell r="C93" t="str">
            <v>V_KEYWORD_ISSR_208007413_SH_REPUR</v>
          </cell>
        </row>
        <row r="94">
          <cell r="A94" t="str">
            <v>Vector|||208007413|||ISSR|||CHG_LT_DEBT|||False|||</v>
          </cell>
          <cell r="C94" t="str">
            <v>V_KEYWORD_ISSR_208007413_CHG_LT_DEBT</v>
          </cell>
        </row>
        <row r="95">
          <cell r="A95" t="str">
            <v>Vector|||208007413|||ISSR|||OTH_FIN_CF|||False|||</v>
          </cell>
          <cell r="C95" t="str">
            <v>V_KEYWORD_ISSR_208007413_OTH_FIN_CF</v>
          </cell>
        </row>
        <row r="96">
          <cell r="A96" t="str">
            <v>Vector|||208007413|||ISSR|||CF_FIN|||False|||</v>
          </cell>
          <cell r="C96" t="str">
            <v>V_KEYWORD_ISSR_208007413_CF_FIN</v>
          </cell>
        </row>
        <row r="97">
          <cell r="A97" t="str">
            <v>Vector|||208007413|||ISSR|||OTH_ITEM_NCF|||False|||</v>
          </cell>
          <cell r="C97" t="str">
            <v>V_KEYWORD_ISSR_208007413_OTH_ITEM_NCF</v>
          </cell>
        </row>
        <row r="98">
          <cell r="A98" t="str">
            <v>Vector|||208007413|||ISSR|||TOT_CF|||False|||</v>
          </cell>
          <cell r="C98" t="str">
            <v>V_KEYWORD_ISSR_208007413_TOT_CF</v>
          </cell>
        </row>
        <row r="100">
          <cell r="A100" t="str">
            <v>Vector|||208007413|||ISSR|||ASSOC_JV_ADDBK|||False|||</v>
          </cell>
          <cell r="C100" t="str">
            <v>V_KEYWORD_ISSR_208007413_ASSOC_JV_ADDBK</v>
          </cell>
        </row>
        <row r="101">
          <cell r="A101" t="str">
            <v>Vector|||208007413|||ISSR|||CASH_INT_INC_EXP|||False|||</v>
          </cell>
          <cell r="C101" t="str">
            <v>V_KEYWORD_ISSR_208007413_CASH_INT_INC_EXP</v>
          </cell>
        </row>
        <row r="102">
          <cell r="A102" t="str">
            <v>Vector|||208007413|||ISSR|||CASH_TAX_PD|||False|||</v>
          </cell>
          <cell r="C102" t="str">
            <v>V_KEYWORD_ISSR_208007413_CASH_TAX_PD</v>
          </cell>
        </row>
        <row r="103">
          <cell r="A103" t="str">
            <v>Vector|||208007413|||ISSR|||PL_SALE_ASSETS|||False|||</v>
          </cell>
          <cell r="C103" t="str">
            <v>V_KEYWORD_ISSR_208007413_PL_SALE_ASSETS</v>
          </cell>
        </row>
        <row r="104">
          <cell r="A104" t="str">
            <v>Vector|||208007413|||ISSR|||OTH_NONCASH_ADJ|||False|||</v>
          </cell>
          <cell r="C104" t="str">
            <v>V_KEYWORD_ISSR_208007413_OTH_NONCASH_ADJ</v>
          </cell>
        </row>
        <row r="105">
          <cell r="A105" t="str">
            <v>Vector|||208007413|||ISSR|||OTH_DACF_ADJ|||False|||</v>
          </cell>
          <cell r="C105" t="str">
            <v>V_KEYWORD_ISSR_208007413_OTH_DACF_ADJ</v>
          </cell>
        </row>
        <row r="106">
          <cell r="A106" t="str">
            <v>Vector|||208007413|||ISSR|||CASH_INT_EXP|||False|||</v>
          </cell>
          <cell r="C106" t="str">
            <v>V_KEYWORD_ISSR_208007413_CASH_INT_EXP</v>
          </cell>
        </row>
        <row r="107">
          <cell r="A107" t="str">
            <v>Vector|||208007413|||ISSR|||CASH_TAX_EXP|||False|||</v>
          </cell>
          <cell r="C107" t="str">
            <v>V_KEYWORD_ISSR_208007413_CASH_TAX_EXP</v>
          </cell>
        </row>
        <row r="108">
          <cell r="A108" t="str">
            <v>Vector|||208007413|||ISSR|||DIVDS_ASSOC_JV|||False|||</v>
          </cell>
          <cell r="C108" t="str">
            <v>V_KEYWORD_ISSR_208007413_DIVDS_ASSOC_JV</v>
          </cell>
        </row>
        <row r="109">
          <cell r="A109" t="str">
            <v>Vector|||208007413|||ISSR|||CAPEX_MAINTENANCE|||False|||</v>
          </cell>
          <cell r="C109" t="str">
            <v>V_KEYWORD_ISSR_208007413_CAPEX_MAINTENANCE</v>
          </cell>
        </row>
        <row r="110">
          <cell r="A110" t="str">
            <v>Vector|||208007413|||ISSR|||CAPEX_EXPANSION|||False|||</v>
          </cell>
          <cell r="C110" t="str">
            <v>V_KEYWORD_ISSR_208007413_CAPEX_EXPANSION</v>
          </cell>
        </row>
        <row r="111">
          <cell r="A111" t="str">
            <v>Vector|||208007413|||ISSR|||NONPPE_CAPEX|||False|||</v>
          </cell>
          <cell r="C111" t="str">
            <v>V_KEYWORD_ISSR_208007413_NONPPE_CAPEX</v>
          </cell>
        </row>
        <row r="112">
          <cell r="A112" t="str">
            <v>Vector|||208007413|||ISSR|||DIVDS_PD_MINORITIES|||False|||</v>
          </cell>
          <cell r="C112" t="str">
            <v>V_KEYWORD_ISSR_208007413_DIVDS_PD_MINORITIES</v>
          </cell>
        </row>
        <row r="114">
          <cell r="A114" t="str">
            <v>Vector|||208007413|||ISSR|||EMPLOYEES|||False|||</v>
          </cell>
          <cell r="C114" t="str">
            <v>V_KEYWORD_ISSR_208007413_EMPLOYEES</v>
          </cell>
        </row>
        <row r="116">
          <cell r="A116" t="str">
            <v>Vector|||208007413|||ISSR|||SALES_TOT_AM|||False|||</v>
          </cell>
          <cell r="C116" t="str">
            <v>V_KEYWORD_ISSR_208007413_SALES_TOT_AM</v>
          </cell>
        </row>
        <row r="117">
          <cell r="A117" t="str">
            <v>Vector|||208007413|||ISSR|||SALES_US|||False|||</v>
          </cell>
          <cell r="C117" t="str">
            <v>V_KEYWORD_ISSR_208007413_SALES_US</v>
          </cell>
        </row>
        <row r="118">
          <cell r="A118" t="str">
            <v>Vector|||208007413|||ISSR|||SALES_BRAZIL|||False|||</v>
          </cell>
          <cell r="C118" t="str">
            <v>V_KEYWORD_ISSR_208007413_SALES_BRAZIL</v>
          </cell>
        </row>
        <row r="119">
          <cell r="A119" t="str">
            <v>Vector|||208007413|||ISSR|||SALES_OTH_AM|||False|||</v>
          </cell>
          <cell r="C119" t="str">
            <v>V_KEYWORD_ISSR_208007413_SALES_OTH_AM</v>
          </cell>
        </row>
        <row r="120">
          <cell r="A120" t="str">
            <v>Vector|||208007413|||ISSR|||SALES_TOT_EMEA|||False|||</v>
          </cell>
          <cell r="C120" t="str">
            <v>V_KEYWORD_ISSR_208007413_SALES_TOT_EMEA</v>
          </cell>
        </row>
        <row r="121">
          <cell r="A121" t="str">
            <v>Vector|||208007413|||ISSR|||SALES_UK|||False|||</v>
          </cell>
          <cell r="C121" t="str">
            <v>V_KEYWORD_ISSR_208007413_SALES_UK</v>
          </cell>
        </row>
        <row r="122">
          <cell r="A122" t="str">
            <v>Vector|||208007413|||ISSR|||SALES_EU_EX_UK|||False|||</v>
          </cell>
          <cell r="C122" t="str">
            <v>V_KEYWORD_ISSR_208007413_SALES_EU_EX_UK</v>
          </cell>
        </row>
        <row r="123">
          <cell r="A123" t="str">
            <v>Vector|||208007413|||ISSR|||SALES_FRA|||False|||</v>
          </cell>
          <cell r="C123" t="str">
            <v>V_KEYWORD_ISSR_208007413_SALES_FRA</v>
          </cell>
        </row>
        <row r="124">
          <cell r="A124" t="str">
            <v>Vector|||208007413|||ISSR|||SALES_GER|||False|||</v>
          </cell>
          <cell r="C124" t="str">
            <v>V_KEYWORD_ISSR_208007413_SALES_GER</v>
          </cell>
        </row>
        <row r="125">
          <cell r="A125" t="str">
            <v>Vector|||208007413|||ISSR|||SALES_ITA|||False|||</v>
          </cell>
          <cell r="C125" t="str">
            <v>V_KEYWORD_ISSR_208007413_SALES_ITA</v>
          </cell>
        </row>
        <row r="126">
          <cell r="A126" t="str">
            <v>Vector|||208007413|||ISSR|||SALES_SPA|||False|||</v>
          </cell>
          <cell r="C126" t="str">
            <v>V_KEYWORD_ISSR_208007413_SALES_SPA</v>
          </cell>
        </row>
        <row r="127">
          <cell r="A127" t="str">
            <v>Vector|||208007413|||ISSR|||SALES_OTH_EU_EX_UK|||False|||</v>
          </cell>
          <cell r="C127" t="str">
            <v>V_KEYWORD_ISSR_208007413_SALES_OTH_EU_EX_UK</v>
          </cell>
        </row>
        <row r="128">
          <cell r="A128" t="str">
            <v>Vector|||208007413|||ISSR|||SALES_CEE|||False|||</v>
          </cell>
          <cell r="C128" t="str">
            <v>V_KEYWORD_ISSR_208007413_SALES_CEE</v>
          </cell>
        </row>
        <row r="129">
          <cell r="A129" t="str">
            <v>Vector|||208007413|||ISSR|||SALES_ME|||False|||</v>
          </cell>
          <cell r="C129" t="str">
            <v>V_KEYWORD_ISSR_208007413_SALES_ME</v>
          </cell>
        </row>
        <row r="130">
          <cell r="A130" t="str">
            <v>Vector|||208007413|||ISSR|||SALES_SO_AFRICA|||False|||</v>
          </cell>
          <cell r="C130" t="str">
            <v>V_KEYWORD_ISSR_208007413_SALES_SO_AFRICA</v>
          </cell>
        </row>
        <row r="131">
          <cell r="A131" t="str">
            <v>Vector|||208007413|||ISSR|||SALES_NIGERIA|||False|||</v>
          </cell>
          <cell r="C131" t="str">
            <v>V_KEYWORD_ISSR_208007413_SALES_NIGERIA</v>
          </cell>
        </row>
        <row r="132">
          <cell r="A132" t="str">
            <v>Vector|||208007413|||ISSR|||SALES_OTH_AFRICA|||False|||</v>
          </cell>
          <cell r="C132" t="str">
            <v>V_KEYWORD_ISSR_208007413_SALES_OTH_AFRICA</v>
          </cell>
        </row>
        <row r="133">
          <cell r="A133" t="str">
            <v>Vector|||208007413|||ISSR|||SALES_TOT_AFRICA|||False|||</v>
          </cell>
          <cell r="C133" t="str">
            <v>V_KEYWORD_ISSR_208007413_SALES_TOT_AFRICA</v>
          </cell>
        </row>
        <row r="134">
          <cell r="A134" t="str">
            <v>Vector|||208007413|||ISSR|||SALES_RUSSIA|||False|||</v>
          </cell>
          <cell r="C134" t="str">
            <v>V_KEYWORD_ISSR_208007413_SALES_RUSSIA</v>
          </cell>
        </row>
        <row r="135">
          <cell r="A135" t="str">
            <v>Vector|||208007413|||ISSR|||SALES_OTH_EMEA|||False|||</v>
          </cell>
          <cell r="C135" t="str">
            <v>V_KEYWORD_ISSR_208007413_SALES_OTH_EMEA</v>
          </cell>
        </row>
        <row r="136">
          <cell r="A136" t="str">
            <v>Vector|||208007413|||ISSR|||SALES_TOT_ASIA|||False|||</v>
          </cell>
          <cell r="C136" t="str">
            <v>V_KEYWORD_ISSR_208007413_SALES_TOT_ASIA</v>
          </cell>
        </row>
        <row r="137">
          <cell r="A137" t="str">
            <v>Vector|||208007413|||ISSR|||SALES_JAPAN|||False|||</v>
          </cell>
          <cell r="C137" t="str">
            <v>V_KEYWORD_ISSR_208007413_SALES_JAPAN</v>
          </cell>
        </row>
        <row r="138">
          <cell r="A138" t="str">
            <v>Vector|||208007413|||ISSR|||SALES_CHINA|||False|||</v>
          </cell>
          <cell r="C138" t="str">
            <v>V_KEYWORD_ISSR_208007413_SALES_CHINA</v>
          </cell>
        </row>
        <row r="139">
          <cell r="A139" t="str">
            <v>Vector|||208007413|||ISSR|||SALES_INDIA|||False|||</v>
          </cell>
          <cell r="C139" t="str">
            <v>V_KEYWORD_ISSR_208007413_SALES_INDIA</v>
          </cell>
        </row>
        <row r="140">
          <cell r="A140" t="str">
            <v>Vector|||208007413|||ISSR|||SALES_OTH_AEJ|||False|||</v>
          </cell>
          <cell r="C140" t="str">
            <v>V_KEYWORD_ISSR_208007413_SALES_OTH_AEJ</v>
          </cell>
        </row>
        <row r="141">
          <cell r="A141" t="str">
            <v>Vector|||208007413|||ISSR|||SALES_OTHER|||False|||</v>
          </cell>
          <cell r="C141" t="str">
            <v>V_KEYWORD_ISSR_208007413_SALES_OTHER</v>
          </cell>
        </row>
        <row r="142">
          <cell r="A142" t="str">
            <v>Vector|||208007413|||ISSR|||IND_SALES_TOT_AM|||False|||</v>
          </cell>
          <cell r="C142" t="str">
            <v>V_KEYWORD_ISSR_208007413_IND_SALES_TOT_AM</v>
          </cell>
        </row>
        <row r="143">
          <cell r="A143" t="str">
            <v>Vector|||208007413|||ISSR|||IND_SALES_US|||False|||</v>
          </cell>
          <cell r="C143" t="str">
            <v>V_KEYWORD_ISSR_208007413_IND_SALES_US</v>
          </cell>
        </row>
        <row r="144">
          <cell r="A144" t="str">
            <v>Vector|||208007413|||ISSR|||IND_SALES_BRAZIL|||False|||</v>
          </cell>
          <cell r="C144" t="str">
            <v>V_KEYWORD_ISSR_208007413_IND_SALES_BRAZIL</v>
          </cell>
        </row>
        <row r="145">
          <cell r="A145" t="str">
            <v>Vector|||208007413|||ISSR|||IND_SALES_OTH_AM|||False|||</v>
          </cell>
          <cell r="C145" t="str">
            <v>V_KEYWORD_ISSR_208007413_IND_SALES_OTH_AM</v>
          </cell>
        </row>
        <row r="146">
          <cell r="A146" t="str">
            <v>Vector|||208007413|||ISSR|||IND_SALES_TOT_EMEA|||False|||</v>
          </cell>
          <cell r="C146" t="str">
            <v>V_KEYWORD_ISSR_208007413_IND_SALES_TOT_EMEA</v>
          </cell>
        </row>
        <row r="147">
          <cell r="A147" t="str">
            <v>Vector|||208007413|||ISSR|||IND_SALES_UK|||False|||</v>
          </cell>
          <cell r="C147" t="str">
            <v>V_KEYWORD_ISSR_208007413_IND_SALES_UK</v>
          </cell>
        </row>
        <row r="148">
          <cell r="A148" t="str">
            <v>Vector|||208007413|||ISSR|||IND_SALES_EU_EX_UK|||False|||</v>
          </cell>
          <cell r="C148" t="str">
            <v>V_KEYWORD_ISSR_208007413_IND_SALES_EU_EX_UK</v>
          </cell>
        </row>
        <row r="149">
          <cell r="A149" t="str">
            <v>Vector|||208007413|||ISSR|||IND_SALES_FRA|||False|||</v>
          </cell>
          <cell r="C149" t="str">
            <v>V_KEYWORD_ISSR_208007413_IND_SALES_FRA</v>
          </cell>
        </row>
        <row r="150">
          <cell r="A150" t="str">
            <v>Vector|||208007413|||ISSR|||IND_SALES_GER|||False|||</v>
          </cell>
          <cell r="C150" t="str">
            <v>V_KEYWORD_ISSR_208007413_IND_SALES_GER</v>
          </cell>
        </row>
        <row r="151">
          <cell r="A151" t="str">
            <v>Vector|||208007413|||ISSR|||IND_SALES_ITA|||False|||</v>
          </cell>
          <cell r="C151" t="str">
            <v>V_KEYWORD_ISSR_208007413_IND_SALES_ITA</v>
          </cell>
        </row>
        <row r="152">
          <cell r="A152" t="str">
            <v>Vector|||208007413|||ISSR|||IND_SALES_SPA|||False|||</v>
          </cell>
          <cell r="C152" t="str">
            <v>V_KEYWORD_ISSR_208007413_IND_SALES_SPA</v>
          </cell>
        </row>
        <row r="153">
          <cell r="A153" t="str">
            <v>Vector|||208007413|||ISSR|||IND_SALES_OTH_EU_EX_UK|||False|||</v>
          </cell>
          <cell r="C153" t="str">
            <v>V_KEYWORD_ISSR_208007413_IND_SALES_OTH_EU_EX_UK</v>
          </cell>
        </row>
        <row r="154">
          <cell r="A154" t="str">
            <v>Vector|||208007413|||ISSR|||IND_SALES_CEE|||False|||</v>
          </cell>
          <cell r="C154" t="str">
            <v>V_KEYWORD_ISSR_208007413_IND_SALES_CEE</v>
          </cell>
        </row>
        <row r="155">
          <cell r="A155" t="str">
            <v>Vector|||208007413|||ISSR|||IND_SALES_ME|||False|||</v>
          </cell>
          <cell r="C155" t="str">
            <v>V_KEYWORD_ISSR_208007413_IND_SALES_ME</v>
          </cell>
        </row>
        <row r="156">
          <cell r="A156" t="str">
            <v>Vector|||208007413|||ISSR|||IND_SALES_RUSSIA|||False|||</v>
          </cell>
          <cell r="C156" t="str">
            <v>V_KEYWORD_ISSR_208007413_IND_SALES_RUSSIA</v>
          </cell>
        </row>
        <row r="157">
          <cell r="A157" t="str">
            <v>Vector|||208007413|||ISSR|||IND_SALES_SO_AFRICA|||False|||</v>
          </cell>
          <cell r="C157" t="str">
            <v>V_KEYWORD_ISSR_208007413_IND_SALES_SO_AFRICA</v>
          </cell>
        </row>
        <row r="158">
          <cell r="A158" t="str">
            <v>Vector|||208007413|||ISSR|||IND_SALES_NIGERIA|||False|||</v>
          </cell>
          <cell r="C158" t="str">
            <v>V_KEYWORD_ISSR_208007413_IND_SALES_NIGERIA</v>
          </cell>
        </row>
        <row r="159">
          <cell r="A159" t="str">
            <v>Vector|||208007413|||ISSR|||IND_SALES_OTH_AFRICA|||False|||</v>
          </cell>
          <cell r="C159" t="str">
            <v>V_KEYWORD_ISSR_208007413_IND_SALES_OTH_AFRICA</v>
          </cell>
        </row>
        <row r="160">
          <cell r="A160" t="str">
            <v>Vector|||208007413|||ISSR|||IND_SALES_OTH_EMEA|||False|||</v>
          </cell>
          <cell r="C160" t="str">
            <v>V_KEYWORD_ISSR_208007413_IND_SALES_OTH_EMEA</v>
          </cell>
        </row>
        <row r="161">
          <cell r="A161" t="str">
            <v>Vector|||208007413|||ISSR|||IND_SALES_TOT_AFRICA|||False|||</v>
          </cell>
          <cell r="C161" t="str">
            <v>V_KEYWORD_ISSR_208007413_IND_SALES_TOT_AFRICA</v>
          </cell>
        </row>
        <row r="162">
          <cell r="A162" t="str">
            <v>Vector|||208007413|||ISSR|||IND_SALES_TOT_ASIA|||False|||</v>
          </cell>
          <cell r="C162" t="str">
            <v>V_KEYWORD_ISSR_208007413_IND_SALES_TOT_ASIA</v>
          </cell>
        </row>
        <row r="163">
          <cell r="A163" t="str">
            <v>Vector|||208007413|||ISSR|||IND_SALES_JAPAN|||False|||</v>
          </cell>
          <cell r="C163" t="str">
            <v>V_KEYWORD_ISSR_208007413_IND_SALES_JAPAN</v>
          </cell>
        </row>
        <row r="164">
          <cell r="A164" t="str">
            <v>Vector|||208007413|||ISSR|||IND_SALES_CHINA|||False|||</v>
          </cell>
          <cell r="C164" t="str">
            <v>V_KEYWORD_ISSR_208007413_IND_SALES_CHINA</v>
          </cell>
        </row>
        <row r="165">
          <cell r="A165" t="str">
            <v>Vector|||208007413|||ISSR|||IND_SALES_INDIA|||False|||</v>
          </cell>
          <cell r="C165" t="str">
            <v>V_KEYWORD_ISSR_208007413_IND_SALES_INDIA</v>
          </cell>
        </row>
        <row r="166">
          <cell r="A166" t="str">
            <v>Vector|||208007413|||ISSR|||IND_SALES_OTH_AEJ|||False|||</v>
          </cell>
          <cell r="C166" t="str">
            <v>V_KEYWORD_ISSR_208007413_IND_SALES_OTH_AEJ</v>
          </cell>
        </row>
        <row r="167">
          <cell r="A167" t="str">
            <v>Vector|||208007413|||ISSR|||IND_SALES_OTHER|||False|||</v>
          </cell>
          <cell r="C167" t="str">
            <v>V_KEYWORD_ISSR_208007413_IND_SALES_OTHER</v>
          </cell>
        </row>
        <row r="168">
          <cell r="A168" t="str">
            <v>Vector|||208007413|||ISSR|||SALES_CONS|||False|||</v>
          </cell>
          <cell r="C168" t="str">
            <v>V_KEYWORD_ISSR_208007413_SALES_CONS</v>
          </cell>
        </row>
        <row r="169">
          <cell r="A169" t="str">
            <v>Vector|||208007413|||ISSR|||SALES_IND|||False|||</v>
          </cell>
          <cell r="C169" t="str">
            <v>V_KEYWORD_ISSR_208007413_SALES_IND</v>
          </cell>
        </row>
        <row r="170">
          <cell r="A170" t="str">
            <v>Vector|||208007413|||ISSR|||SALES_GOV|||False|||</v>
          </cell>
          <cell r="C170" t="str">
            <v>V_KEYWORD_ISSR_208007413_SALES_GOV</v>
          </cell>
        </row>
        <row r="171">
          <cell r="A171" t="str">
            <v>Vector|||208007413|||ISSR|||SALES_FINAN|||False|||</v>
          </cell>
          <cell r="C171" t="str">
            <v>V_KEYWORD_ISSR_208007413_SALES_FINAN</v>
          </cell>
        </row>
        <row r="172">
          <cell r="A172" t="str">
            <v>Vector|||208007413|||ISSR|||IND_SALES_CONS|||False|||</v>
          </cell>
          <cell r="C172" t="str">
            <v>V_KEYWORD_ISSR_208007413_IND_SALES_CONS</v>
          </cell>
        </row>
        <row r="173">
          <cell r="A173" t="str">
            <v>Vector|||208007413|||ISSR|||IND_SALES_IND|||False|||</v>
          </cell>
          <cell r="C173" t="str">
            <v>V_KEYWORD_ISSR_208007413_IND_SALES_IND</v>
          </cell>
        </row>
        <row r="174">
          <cell r="A174" t="str">
            <v>Vector|||208007413|||ISSR|||IND_SALES_GOV|||False|||</v>
          </cell>
          <cell r="C174" t="str">
            <v>V_KEYWORD_ISSR_208007413_IND_SALES_GOV</v>
          </cell>
        </row>
        <row r="175">
          <cell r="A175" t="str">
            <v>Vector|||208007413|||ISSR|||IND_SALES_FINAN|||False|||</v>
          </cell>
          <cell r="C175" t="str">
            <v>V_KEYWORD_ISSR_208007413_IND_SALES_FINAN</v>
          </cell>
        </row>
        <row r="177">
          <cell r="A177" t="str">
            <v>Vector|||208007413|||ISSR|||SALES_OTH_COMMODITY|||False|||</v>
          </cell>
          <cell r="C177" t="str">
            <v>V_KEYWORD_ISSR_208007413_SALES_OTH_COMMODITY</v>
          </cell>
        </row>
        <row r="178">
          <cell r="A178" t="str">
            <v>Vector|||208007413|||ISSR|||SALES_OTH_SALES_SOURCES|||False|||</v>
          </cell>
          <cell r="C178" t="str">
            <v>V_KEYWORD_ISSR_208007413_SALES_OTH_SALES_SOURCES</v>
          </cell>
        </row>
        <row r="180">
          <cell r="A180" t="str">
            <v>Vector|||208007413|||ISSR|||EXP_OIL_PETRO_FUEL|||False|||</v>
          </cell>
          <cell r="C180" t="str">
            <v>V_KEYWORD_ISSR_208007413_EXP_OIL_PETRO_FUEL</v>
          </cell>
        </row>
        <row r="181">
          <cell r="A181" t="str">
            <v>Vector|||208007413|||ISSR|||EXP_OIL_DERIV_NGLS_PLASTICS|||False|||</v>
          </cell>
          <cell r="C181" t="str">
            <v>V_KEYWORD_ISSR_208007413_EXP_OIL_DERIV_NGLS_PLASTICS</v>
          </cell>
        </row>
        <row r="182">
          <cell r="A182" t="str">
            <v>Vector|||208007413|||ISSR|||EXP_NAT_GAS|||False|||</v>
          </cell>
          <cell r="C182" t="str">
            <v>V_KEYWORD_ISSR_208007413_EXP_NAT_GAS</v>
          </cell>
        </row>
        <row r="183">
          <cell r="A183" t="str">
            <v>Vector|||208007413|||ISSR|||EXP_GOLD|||False|||</v>
          </cell>
          <cell r="C183" t="str">
            <v>V_KEYWORD_ISSR_208007413_EXP_GOLD</v>
          </cell>
        </row>
        <row r="184">
          <cell r="A184" t="str">
            <v>Vector|||208007413|||ISSR|||EXP_COPPER|||False|||</v>
          </cell>
          <cell r="C184" t="str">
            <v>V_KEYWORD_ISSR_208007413_EXP_COPPER</v>
          </cell>
        </row>
        <row r="185">
          <cell r="A185" t="str">
            <v>Vector|||208007413|||ISSR|||EXP_SILVER|||False|||</v>
          </cell>
          <cell r="C185" t="str">
            <v>V_KEYWORD_ISSR_208007413_EXP_SILVER</v>
          </cell>
        </row>
        <row r="186">
          <cell r="A186" t="str">
            <v>Vector|||208007413|||ISSR|||EXP_PLATINUM|||False|||</v>
          </cell>
          <cell r="C186" t="str">
            <v>V_KEYWORD_ISSR_208007413_EXP_PLATINUM</v>
          </cell>
        </row>
        <row r="187">
          <cell r="A187" t="str">
            <v>Vector|||208007413|||ISSR|||EXP_PALLADIUM|||False|||</v>
          </cell>
          <cell r="C187" t="str">
            <v>V_KEYWORD_ISSR_208007413_EXP_PALLADIUM</v>
          </cell>
        </row>
        <row r="188">
          <cell r="A188" t="str">
            <v>Vector|||208007413|||ISSR|||EXP_ALUMINIUM|||False|||</v>
          </cell>
          <cell r="C188" t="str">
            <v>V_KEYWORD_ISSR_208007413_EXP_ALUMINIUM</v>
          </cell>
        </row>
        <row r="189">
          <cell r="A189" t="str">
            <v>Vector|||208007413|||ISSR|||EXP_NICKEL|||False|||</v>
          </cell>
          <cell r="C189" t="str">
            <v>V_KEYWORD_ISSR_208007413_EXP_NICKEL</v>
          </cell>
        </row>
        <row r="190">
          <cell r="A190" t="str">
            <v>Vector|||208007413|||ISSR|||EXP_ZINC|||False|||</v>
          </cell>
          <cell r="C190" t="str">
            <v>V_KEYWORD_ISSR_208007413_EXP_ZINC</v>
          </cell>
        </row>
        <row r="191">
          <cell r="A191" t="str">
            <v>Vector|||208007413|||ISSR|||EXP_STEEL|||False|||</v>
          </cell>
          <cell r="C191" t="str">
            <v>V_KEYWORD_ISSR_208007413_EXP_STEEL</v>
          </cell>
        </row>
        <row r="192">
          <cell r="A192" t="str">
            <v>Vector|||208007413|||ISSR|||EXP_GLASS|||False|||</v>
          </cell>
          <cell r="C192" t="str">
            <v>V_KEYWORD_ISSR_208007413_EXP_GLASS</v>
          </cell>
        </row>
        <row r="193">
          <cell r="A193" t="str">
            <v>Vector|||208007413|||ISSR|||EXP_RUBBER|||False|||</v>
          </cell>
          <cell r="C193" t="str">
            <v>V_KEYWORD_ISSR_208007413_EXP_RUBBER</v>
          </cell>
        </row>
        <row r="194">
          <cell r="A194" t="str">
            <v>Vector|||208007413|||ISSR|||EXP_WATER|||False|||</v>
          </cell>
          <cell r="C194" t="str">
            <v>V_KEYWORD_ISSR_208007413_EXP_WATER</v>
          </cell>
        </row>
        <row r="195">
          <cell r="A195" t="str">
            <v>Vector|||208007413|||ISSR|||EXP_OTH_COMMODITY|||False|||</v>
          </cell>
          <cell r="C195" t="str">
            <v>V_KEYWORD_ISSR_208007413_EXP_OTH_COMMODITY</v>
          </cell>
        </row>
        <row r="196">
          <cell r="A196" t="str">
            <v>Vector|||208007413|||ISSR|||EXP_OTH_COST|||False|||</v>
          </cell>
          <cell r="C196" t="str">
            <v>V_KEYWORD_ISSR_208007413_EXP_OTH_COST</v>
          </cell>
        </row>
        <row r="198">
          <cell r="A198" t="str">
            <v>Vector|||208007413|||ISSR|||SALES_FX_GPB|||False|||</v>
          </cell>
          <cell r="C198" t="str">
            <v>V_KEYWORD_ISSR_208007413_SALES_FX_GPB</v>
          </cell>
        </row>
        <row r="199">
          <cell r="A199" t="str">
            <v>Vector|||208007413|||ISSR|||SALES_FX_EUR|||False|||</v>
          </cell>
          <cell r="C199" t="str">
            <v>V_KEYWORD_ISSR_208007413_SALES_FX_EUR</v>
          </cell>
        </row>
        <row r="200">
          <cell r="A200" t="str">
            <v>Vector|||208007413|||ISSR|||SALES_FX_RUB|||False|||</v>
          </cell>
          <cell r="C200" t="str">
            <v>V_KEYWORD_ISSR_208007413_SALES_FX_RUB</v>
          </cell>
        </row>
        <row r="201">
          <cell r="A201" t="str">
            <v>Vector|||208007413|||ISSR|||SALES_FX_USD|||False|||</v>
          </cell>
          <cell r="C201" t="str">
            <v>V_KEYWORD_ISSR_208007413_SALES_FX_USD</v>
          </cell>
        </row>
        <row r="202">
          <cell r="A202" t="str">
            <v>Vector|||208007413|||ISSR|||SALES_FX_BRL|||False|||</v>
          </cell>
          <cell r="C202" t="str">
            <v>V_KEYWORD_ISSR_208007413_SALES_FX_BRL</v>
          </cell>
        </row>
        <row r="203">
          <cell r="A203" t="str">
            <v>Vector|||208007413|||ISSR|||SALES_FX_YEN|||False|||</v>
          </cell>
          <cell r="C203" t="str">
            <v>V_KEYWORD_ISSR_208007413_SALES_FX_YEN</v>
          </cell>
        </row>
        <row r="204">
          <cell r="A204" t="str">
            <v>Vector|||208007413|||ISSR|||SALES_FX_CNY|||False|||</v>
          </cell>
          <cell r="C204" t="str">
            <v>V_KEYWORD_ISSR_208007413_SALES_FX_CNY</v>
          </cell>
        </row>
        <row r="205">
          <cell r="A205" t="str">
            <v>Vector|||208007413|||ISSR|||SALES_FX_INR|||False|||</v>
          </cell>
          <cell r="C205" t="str">
            <v>V_KEYWORD_ISSR_208007413_SALES_FX_INR</v>
          </cell>
        </row>
        <row r="206">
          <cell r="A206" t="str">
            <v>Vector|||208007413|||ISSR|||SALES_FX_ZAR|||False|||</v>
          </cell>
          <cell r="C206" t="str">
            <v>V_KEYWORD_ISSR_208007413_SALES_FX_ZAR</v>
          </cell>
        </row>
        <row r="207">
          <cell r="A207" t="str">
            <v>Vector|||208007413|||ISSR|||SALES_FX_NGN|||False|||</v>
          </cell>
          <cell r="C207" t="str">
            <v>V_KEYWORD_ISSR_208007413_SALES_FX_NGN</v>
          </cell>
        </row>
        <row r="208">
          <cell r="A208" t="str">
            <v>Vector|||208007413|||ISSR|||SALES_FX_CHF|||False|||</v>
          </cell>
          <cell r="C208" t="str">
            <v>V_KEYWORD_ISSR_208007413_SALES_FX_CHF</v>
          </cell>
        </row>
        <row r="209">
          <cell r="A209" t="str">
            <v>Vector|||208007413|||ISSR|||SALES_FX_AED|||False|||</v>
          </cell>
          <cell r="C209" t="str">
            <v>V_KEYWORD_ISSR_208007413_SALES_FX_AED</v>
          </cell>
        </row>
        <row r="210">
          <cell r="A210" t="str">
            <v>Vector|||208007413|||ISSR|||SALES_FX_TRY|||False|||</v>
          </cell>
          <cell r="C210" t="str">
            <v>V_KEYWORD_ISSR_208007413_SALES_FX_TRY</v>
          </cell>
        </row>
        <row r="211">
          <cell r="A211" t="str">
            <v>Vector|||208007413|||ISSR|||SALES_FX_OTH|||False|||</v>
          </cell>
          <cell r="C211" t="str">
            <v>V_KEYWORD_ISSR_208007413_SALES_FX_OTH</v>
          </cell>
        </row>
        <row r="217">
          <cell r="A217" t="str">
            <v>Scalar|||200009618|||EQTY|||PUB_CURRENCY_ISO|||False|||</v>
          </cell>
          <cell r="C217" t="str">
            <v>V_KEYWORD_EQTY_200009618_PUB_CURRENCY_ISO</v>
          </cell>
        </row>
        <row r="218">
          <cell r="A218" t="str">
            <v>Scalar|||200009618|||EQTY|||PRICE_CURRENCY_ISO|||False|||</v>
          </cell>
          <cell r="C218" t="str">
            <v>V_KEYWORD_EQTY_200009618_PRICE_CURRENCY_ISO</v>
          </cell>
        </row>
        <row r="219">
          <cell r="A219" t="str">
            <v>Scalar|||200009618|||EQTY|||CURRENCY_ISO|||False|||</v>
          </cell>
          <cell r="C219" t="str">
            <v>V_KEYWORD_EQTY_200009618_CURRENCY_ISO</v>
          </cell>
        </row>
        <row r="221">
          <cell r="A221" t="str">
            <v>Scalar|||200009618|||EQTY|||EURO_LIST|||False|||</v>
          </cell>
          <cell r="C221" t="str">
            <v>V_KEYWORD_EQTY_200009618_EURO_LIST</v>
          </cell>
        </row>
        <row r="222">
          <cell r="A222" t="str">
            <v>Scalar|||200009618|||EQTY|||EURO_CONVICTION|||False|||</v>
          </cell>
          <cell r="C222" t="str">
            <v>V_KEYWORD_EQTY_200009618_EURO_CONVICTION</v>
          </cell>
        </row>
        <row r="223">
          <cell r="A223" t="str">
            <v>Scalar|||200009618|||EQTY|||LEGAL_RATING|||False|||</v>
          </cell>
          <cell r="C223" t="str">
            <v>V_KEYWORD_EQTY_200009618_LEGAL_RATING</v>
          </cell>
        </row>
        <row r="224">
          <cell r="A224" t="str">
            <v>Scalar|||200009618|||EQTY|||TARGET_PRICE|||False|||</v>
          </cell>
          <cell r="C224" t="str">
            <v>V_KEYWORD_EQTY_200009618_TARGET_PRICE</v>
          </cell>
        </row>
        <row r="225">
          <cell r="A225" t="str">
            <v>Scalar|||200009618|||EQTY|||TP_PERIOD|||False|||</v>
          </cell>
          <cell r="C225" t="str">
            <v>V_KEYWORD_EQTY_200009618_TP_PERIOD</v>
          </cell>
        </row>
        <row r="226">
          <cell r="A226" t="str">
            <v>Scalar|||200009618|||EQTY|||NUM_SH|||False|||</v>
          </cell>
          <cell r="C226" t="str">
            <v>V_KEYWORD_EQTY_200009618_NUM_SH</v>
          </cell>
        </row>
        <row r="227">
          <cell r="A227" t="str">
            <v>Scalar|||200009618|||EQTY|||FREE_FLOAT|||False|||</v>
          </cell>
          <cell r="C227" t="str">
            <v>V_KEYWORD_EQTY_200009618_FREE_FLOAT</v>
          </cell>
        </row>
        <row r="229">
          <cell r="A229" t="str">
            <v>Vector|||200009618|||EQTY|||BVPS_PUB|||False|||</v>
          </cell>
          <cell r="C229" t="str">
            <v>V_KEYWORD_EQTY_200009618_BVPS_PUB</v>
          </cell>
        </row>
        <row r="230">
          <cell r="A230" t="str">
            <v>Vector|||200009618|||EQTY|||DPS_PUB|||False|||</v>
          </cell>
          <cell r="C230" t="str">
            <v>V_KEYWORD_EQTY_200009618_DPS_PUB</v>
          </cell>
        </row>
        <row r="231">
          <cell r="A231" t="str">
            <v>Vector|||200009618|||EQTY|||EBITDA_PUB|||False|||</v>
          </cell>
          <cell r="C231" t="str">
            <v>V_KEYWORD_EQTY_200009618_EBITDA_PUB</v>
          </cell>
        </row>
        <row r="232">
          <cell r="A232" t="str">
            <v>Vector|||200009618|||EQTY|||EPS_PUB|||False|||</v>
          </cell>
          <cell r="C232" t="str">
            <v>V_KEYWORD_EQTY_200009618_EPS_PUB</v>
          </cell>
        </row>
        <row r="233">
          <cell r="A233" t="str">
            <v>Vector|||200009618|||EQTY|||EV_ADJ_PUB|||False|||</v>
          </cell>
          <cell r="C233" t="str">
            <v>V_KEYWORD_EQTY_200009618_EV_ADJ_PUB</v>
          </cell>
        </row>
        <row r="234">
          <cell r="A234" t="str">
            <v>Vector|||200009618|||EQTY|||NET_DEBT_PUB|||False|||</v>
          </cell>
          <cell r="C234" t="str">
            <v>V_KEYWORD_EQTY_200009618_NET_DEBT_PUB</v>
          </cell>
        </row>
        <row r="235">
          <cell r="A235" t="str">
            <v>Vector|||200009618|||EQTY|||NI_PUB|||False|||</v>
          </cell>
          <cell r="C235" t="str">
            <v>V_KEYWORD_EQTY_200009618_NI_PUB</v>
          </cell>
        </row>
        <row r="236">
          <cell r="A236" t="str">
            <v>Vector|||200009618|||EQTY|||EBIT_PUB|||False|||</v>
          </cell>
          <cell r="C236" t="str">
            <v>V_KEYWORD_EQTY_200009618_EBIT_PUB</v>
          </cell>
        </row>
        <row r="237">
          <cell r="A237" t="str">
            <v>Vector|||200009618|||EQTY|||PTP_PUB|||False|||</v>
          </cell>
          <cell r="C237" t="str">
            <v>V_KEYWORD_EQTY_200009618_PTP_PUB</v>
          </cell>
        </row>
        <row r="238">
          <cell r="A238" t="str">
            <v>Vector|||200009618|||EQTY|||REVS_PUB|||False|||</v>
          </cell>
          <cell r="C238" t="str">
            <v>V_KEYWORD_EQTY_200009618_REVS_PUB</v>
          </cell>
        </row>
        <row r="239">
          <cell r="A239" t="str">
            <v>Vector|||200009618|||EQTY|||EQ_PUB|||False|||</v>
          </cell>
          <cell r="C239" t="str">
            <v>V_KEYWORD_EQTY_200009618_EQ_PUB</v>
          </cell>
        </row>
        <row r="241">
          <cell r="A241" t="str">
            <v>Vector|||200009618|||EQTY|||PROV_INC_TAX|||False|||</v>
          </cell>
          <cell r="C241" t="str">
            <v>V_KEYWORD_EQTY_200009618_PROV_INC_TAX</v>
          </cell>
        </row>
        <row r="242">
          <cell r="A242" t="str">
            <v>Vector|||200009618|||EQTY|||INC_MINORITY|||False|||</v>
          </cell>
          <cell r="C242" t="str">
            <v>V_KEYWORD_EQTY_200009618_INC_MINORITY</v>
          </cell>
        </row>
        <row r="243">
          <cell r="A243" t="str">
            <v>Vector|||200009618|||EQTY|||NI_PRE_PREF|||False|||</v>
          </cell>
          <cell r="C243" t="str">
            <v>V_KEYWORD_EQTY_200009618_NI_PRE_PREF</v>
          </cell>
        </row>
        <row r="244">
          <cell r="A244" t="str">
            <v>Vector|||200009618|||EQTY|||PREF_DIV|||False|||</v>
          </cell>
          <cell r="C244" t="str">
            <v>V_KEYWORD_EQTY_200009618_PREF_DIV</v>
          </cell>
        </row>
        <row r="245">
          <cell r="A245" t="str">
            <v>Vector|||200009618|||EQTY|||NET_EARNING|||False|||</v>
          </cell>
          <cell r="C245" t="str">
            <v>V_KEYWORD_EQTY_200009618_NET_EARNING</v>
          </cell>
        </row>
        <row r="246">
          <cell r="A246" t="str">
            <v>Vector|||200009618|||EQTY|||TAX_EXC|||False|||</v>
          </cell>
          <cell r="C246" t="str">
            <v>V_KEYWORD_EQTY_200009618_TAX_EXC</v>
          </cell>
        </row>
        <row r="247">
          <cell r="A247" t="str">
            <v>Vector|||200009618|||EQTY|||NET_INC|||False|||</v>
          </cell>
          <cell r="C247" t="str">
            <v>V_KEYWORD_EQTY_200009618_NET_INC</v>
          </cell>
        </row>
        <row r="248">
          <cell r="A248" t="str">
            <v>Vector|||200009618|||EQTY|||EPS|||False|||</v>
          </cell>
          <cell r="C248" t="str">
            <v>V_KEYWORD_EQTY_200009618_EPS</v>
          </cell>
        </row>
        <row r="249">
          <cell r="A249" t="str">
            <v>Vector|||200009618|||EQTY|||EPS_FUL_DIL|||False|||</v>
          </cell>
          <cell r="C249" t="str">
            <v>V_KEYWORD_EQTY_200009618_EPS_FUL_DIL</v>
          </cell>
        </row>
        <row r="250">
          <cell r="A250" t="str">
            <v>Vector|||200009618|||EQTY|||EPS_POST_BASIC|||False|||</v>
          </cell>
          <cell r="C250" t="str">
            <v>V_KEYWORD_EQTY_200009618_EPS_POST_BASIC</v>
          </cell>
        </row>
        <row r="251">
          <cell r="A251" t="str">
            <v>Vector|||200009618|||EQTY|||FULLY_DIL_EPS|||False|||</v>
          </cell>
          <cell r="C251" t="str">
            <v>V_KEYWORD_EQTY_200009618_FULLY_DIL_EPS</v>
          </cell>
        </row>
        <row r="252">
          <cell r="A252" t="str">
            <v>Vector|||200009618|||EQTY|||COMMON_DIV_PAID|||False|||</v>
          </cell>
          <cell r="C252" t="str">
            <v>V_KEYWORD_EQTY_200009618_COMMON_DIV_PAID</v>
          </cell>
        </row>
        <row r="253">
          <cell r="A253" t="str">
            <v>Vector|||200009618|||EQTY|||DPS|||False|||</v>
          </cell>
          <cell r="C253" t="str">
            <v>V_KEYWORD_EQTY_200009618_DPS</v>
          </cell>
        </row>
        <row r="254">
          <cell r="A254" t="str">
            <v>Vector|||200009618|||EQTY|||SH|||False|||</v>
          </cell>
          <cell r="C254" t="str">
            <v>V_KEYWORD_EQTY_200009618_SH</v>
          </cell>
        </row>
        <row r="255">
          <cell r="A255" t="str">
            <v>Vector|||200009618|||EQTY|||DILUTE_SHARES|||False|||</v>
          </cell>
          <cell r="C255" t="str">
            <v>V_KEYWORD_EQTY_200009618_DILUTE_SHARES</v>
          </cell>
        </row>
        <row r="256">
          <cell r="A256" t="str">
            <v>Vector|||200009618|||EQTY|||NON_OP_ADD|||False|||</v>
          </cell>
          <cell r="C256" t="str">
            <v>V_KEYWORD_EQTY_200009618_NON_OP_ADD</v>
          </cell>
        </row>
        <row r="258">
          <cell r="A258" t="str">
            <v>Vector|||200009618|||EQTY|||ORG_NI|||False|||</v>
          </cell>
          <cell r="C258" t="str">
            <v>V_KEYWORD_EQTY_200009618_ORG_NI</v>
          </cell>
        </row>
        <row r="259">
          <cell r="A259" t="str">
            <v>Vector|||200009618|||EQTY|||ORG_EPS|||False|||</v>
          </cell>
          <cell r="C259" t="str">
            <v>V_KEYWORD_EQTY_200009618_ORG_EPS</v>
          </cell>
        </row>
        <row r="260">
          <cell r="A260" t="str">
            <v>Vector|||200009618|||EQTY|||MARGIN_TAX_RATE|||False|||</v>
          </cell>
          <cell r="C260" t="str">
            <v>V_KEYWORD_EQTY_200009618_MARGIN_TAX_RATE</v>
          </cell>
        </row>
        <row r="262">
          <cell r="A262" t="str">
            <v>Vector|||200009618|||EQTY|||BVPS|||False|||</v>
          </cell>
          <cell r="C262" t="str">
            <v>V_KEYWORD_EQTY_200009618_BVPS</v>
          </cell>
        </row>
        <row r="264">
          <cell r="A264" t="str">
            <v>Vector|||200009618|||EQTY|||CF_NI_PRE_PREF|||False|||</v>
          </cell>
          <cell r="C264" t="str">
            <v>V_KEYWORD_EQTY_200009618_CF_NI_PRE_PREF</v>
          </cell>
        </row>
        <row r="266">
          <cell r="A266" t="str">
            <v>Scalar|||200009618|||EQTY|||BETA_ANALYST|||False|||</v>
          </cell>
          <cell r="C266" t="str">
            <v>V_KEYWORD_EQTY_200009618_BETA_ANALYST</v>
          </cell>
        </row>
        <row r="267">
          <cell r="A267" t="str">
            <v>Scalar|||200009618|||EQTY|||MKT_EQ_RISK_PREM|||False|||</v>
          </cell>
          <cell r="C267" t="str">
            <v>V_KEYWORD_EQTY_200009618_MKT_EQ_RISK_PREM</v>
          </cell>
        </row>
        <row r="268">
          <cell r="A268" t="str">
            <v>Scalar|||200009618|||EQTY|||RISK_FR_RATE|||False|||</v>
          </cell>
          <cell r="C268" t="str">
            <v>V_KEYWORD_EQTY_200009618_RISK_FR_RATE</v>
          </cell>
        </row>
      </sheetData>
      <sheetData sheetId="7">
        <row r="1">
          <cell r="A1" t="str">
            <v>Issuer: Ultra Electronics</v>
          </cell>
        </row>
      </sheetData>
      <sheetData sheetId="8">
        <row r="1">
          <cell r="A1" t="str">
            <v>Issuer: Ultra Electronics</v>
          </cell>
          <cell r="F1">
            <v>1996</v>
          </cell>
          <cell r="G1">
            <v>1997</v>
          </cell>
          <cell r="H1">
            <v>1998</v>
          </cell>
          <cell r="I1">
            <v>1999</v>
          </cell>
          <cell r="J1">
            <v>2000</v>
          </cell>
          <cell r="K1">
            <v>2001</v>
          </cell>
          <cell r="L1">
            <v>2002</v>
          </cell>
          <cell r="M1">
            <v>2003</v>
          </cell>
          <cell r="N1">
            <v>2004</v>
          </cell>
          <cell r="O1">
            <v>2005</v>
          </cell>
          <cell r="P1" t="str">
            <v>2006 H1</v>
          </cell>
          <cell r="Q1" t="str">
            <v>2006 H2</v>
          </cell>
          <cell r="R1">
            <v>2006</v>
          </cell>
          <cell r="S1" t="str">
            <v>2007 H1</v>
          </cell>
          <cell r="T1" t="str">
            <v>2007 H2</v>
          </cell>
          <cell r="U1">
            <v>2007</v>
          </cell>
          <cell r="V1" t="str">
            <v>2008 H1</v>
          </cell>
          <cell r="W1" t="str">
            <v>2008 H2</v>
          </cell>
          <cell r="X1">
            <v>2008</v>
          </cell>
          <cell r="Y1" t="str">
            <v>2009 H1</v>
          </cell>
          <cell r="Z1" t="str">
            <v>2009 H2</v>
          </cell>
          <cell r="AA1">
            <v>2009</v>
          </cell>
          <cell r="AB1" t="str">
            <v>2010 H1</v>
          </cell>
          <cell r="AC1" t="str">
            <v>2010 H2</v>
          </cell>
          <cell r="AD1">
            <v>2010</v>
          </cell>
          <cell r="AE1" t="str">
            <v>2011 H1</v>
          </cell>
          <cell r="AF1" t="str">
            <v>2011 H2</v>
          </cell>
          <cell r="AG1">
            <v>2011</v>
          </cell>
          <cell r="AH1">
            <v>2012</v>
          </cell>
          <cell r="AI1">
            <v>2013</v>
          </cell>
          <cell r="AJ1">
            <v>2014</v>
          </cell>
          <cell r="AK1">
            <v>2015</v>
          </cell>
          <cell r="AL1" t="str">
            <v>2016</v>
          </cell>
          <cell r="AM1" t="str">
            <v>2017</v>
          </cell>
          <cell r="AN1" t="str">
            <v>2018</v>
          </cell>
          <cell r="AO1" t="str">
            <v>2019</v>
          </cell>
          <cell r="AP1" t="str">
            <v>2020</v>
          </cell>
        </row>
        <row r="2">
          <cell r="F2" t="str">
            <v>Actual</v>
          </cell>
          <cell r="G2" t="str">
            <v>Actual</v>
          </cell>
          <cell r="H2" t="str">
            <v>Actual</v>
          </cell>
          <cell r="I2" t="str">
            <v>Actual</v>
          </cell>
          <cell r="J2" t="str">
            <v>Actual</v>
          </cell>
          <cell r="K2" t="str">
            <v>Actual</v>
          </cell>
          <cell r="L2" t="str">
            <v>Actual</v>
          </cell>
          <cell r="M2" t="str">
            <v>Actual</v>
          </cell>
          <cell r="N2" t="str">
            <v>Actual</v>
          </cell>
          <cell r="O2" t="str">
            <v>Actual</v>
          </cell>
          <cell r="P2" t="str">
            <v>Actual</v>
          </cell>
          <cell r="Q2" t="str">
            <v>Actual</v>
          </cell>
          <cell r="R2" t="str">
            <v>Actual</v>
          </cell>
          <cell r="S2" t="str">
            <v>Actual</v>
          </cell>
          <cell r="T2" t="str">
            <v>Actual</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Estimate</v>
          </cell>
          <cell r="AJ2" t="str">
            <v>Estimate</v>
          </cell>
          <cell r="AK2" t="str">
            <v>Estimate</v>
          </cell>
          <cell r="AL2" t="str">
            <v>Estimate</v>
          </cell>
          <cell r="AM2" t="str">
            <v>Estimate</v>
          </cell>
          <cell r="AN2" t="str">
            <v>Estimate</v>
          </cell>
          <cell r="AO2" t="str">
            <v>Estimate</v>
          </cell>
          <cell r="AP2" t="str">
            <v>Estimate</v>
          </cell>
        </row>
        <row r="3">
          <cell r="F3">
            <v>35430</v>
          </cell>
          <cell r="G3">
            <v>35795</v>
          </cell>
          <cell r="H3">
            <v>36160</v>
          </cell>
          <cell r="I3">
            <v>36525</v>
          </cell>
          <cell r="J3">
            <v>36891</v>
          </cell>
          <cell r="K3">
            <v>37256</v>
          </cell>
          <cell r="L3">
            <v>37621</v>
          </cell>
          <cell r="M3">
            <v>37986</v>
          </cell>
          <cell r="N3">
            <v>38352</v>
          </cell>
          <cell r="O3">
            <v>38717</v>
          </cell>
          <cell r="P3">
            <v>38898</v>
          </cell>
          <cell r="Q3">
            <v>39082</v>
          </cell>
          <cell r="R3">
            <v>39082</v>
          </cell>
          <cell r="S3">
            <v>39263</v>
          </cell>
          <cell r="T3">
            <v>39447</v>
          </cell>
          <cell r="U3">
            <v>39447</v>
          </cell>
          <cell r="V3">
            <v>39629</v>
          </cell>
          <cell r="W3">
            <v>39813</v>
          </cell>
          <cell r="X3">
            <v>39813</v>
          </cell>
          <cell r="Y3">
            <v>39994</v>
          </cell>
          <cell r="Z3">
            <v>40178</v>
          </cell>
          <cell r="AA3">
            <v>40178</v>
          </cell>
          <cell r="AB3">
            <v>40359</v>
          </cell>
          <cell r="AC3">
            <v>40543</v>
          </cell>
          <cell r="AD3">
            <v>40543</v>
          </cell>
          <cell r="AE3">
            <v>40724</v>
          </cell>
          <cell r="AF3">
            <v>40908</v>
          </cell>
          <cell r="AG3">
            <v>40908</v>
          </cell>
          <cell r="AH3">
            <v>41274</v>
          </cell>
          <cell r="AI3">
            <v>41639</v>
          </cell>
          <cell r="AJ3">
            <v>42004</v>
          </cell>
          <cell r="AK3">
            <v>42369</v>
          </cell>
          <cell r="AL3">
            <v>42735</v>
          </cell>
          <cell r="AM3">
            <v>43100</v>
          </cell>
          <cell r="AN3">
            <v>43465</v>
          </cell>
          <cell r="AO3">
            <v>43830</v>
          </cell>
          <cell r="AP3">
            <v>44196</v>
          </cell>
        </row>
        <row r="4">
          <cell r="A4" t="str">
            <v>Issuer: Ultra Electronics</v>
          </cell>
        </row>
        <row r="5">
          <cell r="A5" t="str">
            <v>Reference Data</v>
          </cell>
        </row>
        <row r="6">
          <cell r="B6" t="str">
            <v>Issuer Name</v>
          </cell>
          <cell r="C6" t="str">
            <v>Issuer Name</v>
          </cell>
          <cell r="E6" t="str">
            <v>Ultra Electronics</v>
          </cell>
        </row>
        <row r="7">
          <cell r="B7" t="str">
            <v>Reporting Currency</v>
          </cell>
          <cell r="C7" t="str">
            <v>CURRENCY_ISO</v>
          </cell>
          <cell r="E7" t="str">
            <v>GBP</v>
          </cell>
        </row>
        <row r="8">
          <cell r="A8" t="str">
            <v>Income Statement</v>
          </cell>
        </row>
        <row r="9">
          <cell r="B9" t="str">
            <v>Sales, net revenue</v>
          </cell>
          <cell r="C9" t="str">
            <v>SALES</v>
          </cell>
          <cell r="D9" t="str">
            <v>GBP</v>
          </cell>
          <cell r="F9">
            <v>123.589</v>
          </cell>
          <cell r="G9">
            <v>143.35</v>
          </cell>
          <cell r="H9">
            <v>158.654</v>
          </cell>
          <cell r="I9">
            <v>192.98099999999999</v>
          </cell>
          <cell r="J9">
            <v>226.93199999999999</v>
          </cell>
          <cell r="K9">
            <v>239.54</v>
          </cell>
          <cell r="L9">
            <v>260.35199999999998</v>
          </cell>
          <cell r="M9">
            <v>284.35000000000002</v>
          </cell>
          <cell r="N9">
            <v>319.66899999999998</v>
          </cell>
          <cell r="O9">
            <v>342.41</v>
          </cell>
          <cell r="R9">
            <v>377.04</v>
          </cell>
          <cell r="U9">
            <v>412.89</v>
          </cell>
          <cell r="X9">
            <v>515.27099999999996</v>
          </cell>
          <cell r="AA9">
            <v>651.03599999999994</v>
          </cell>
          <cell r="AD9">
            <v>710.04300000000001</v>
          </cell>
          <cell r="AG9">
            <v>731.73299999999995</v>
          </cell>
          <cell r="AH9">
            <v>760.82600000000002</v>
          </cell>
          <cell r="AI9">
            <v>752.02227139013451</v>
          </cell>
          <cell r="AJ9">
            <v>819.01993800267405</v>
          </cell>
          <cell r="AK9">
            <v>864.11118122849416</v>
          </cell>
          <cell r="AL9">
            <v>923.25446190865159</v>
          </cell>
          <cell r="AM9">
            <v>991.01719037656039</v>
          </cell>
        </row>
        <row r="10">
          <cell r="B10" t="str">
            <v>Cost of goods sold, COGS</v>
          </cell>
          <cell r="C10" t="str">
            <v>COST_GD_SD</v>
          </cell>
          <cell r="D10" t="str">
            <v>GBP</v>
          </cell>
        </row>
        <row r="11">
          <cell r="B11" t="str">
            <v>SG&amp;A, selling, general and admin. expense</v>
          </cell>
          <cell r="C11" t="str">
            <v>SEL_GL_AD</v>
          </cell>
          <cell r="D11" t="str">
            <v>GBP</v>
          </cell>
        </row>
        <row r="12">
          <cell r="B12" t="str">
            <v>Total operating expense</v>
          </cell>
          <cell r="C12" t="str">
            <v>OP_COST</v>
          </cell>
          <cell r="D12" t="str">
            <v>GBP</v>
          </cell>
          <cell r="F12">
            <v>-97.806999999999988</v>
          </cell>
          <cell r="G12">
            <v>-112.75800000000001</v>
          </cell>
          <cell r="H12">
            <v>-125.032</v>
          </cell>
          <cell r="I12">
            <v>-154.96099999999998</v>
          </cell>
          <cell r="J12">
            <v>-182.72299999999998</v>
          </cell>
          <cell r="K12">
            <v>-193.809</v>
          </cell>
          <cell r="L12">
            <v>-212.44099999999997</v>
          </cell>
          <cell r="M12">
            <v>-229.89099999999999</v>
          </cell>
          <cell r="N12">
            <v>-256.65199999999999</v>
          </cell>
          <cell r="O12">
            <v>-270.02</v>
          </cell>
          <cell r="R12">
            <v>-287.99800000000005</v>
          </cell>
          <cell r="U12">
            <v>-311.94799999999998</v>
          </cell>
          <cell r="X12">
            <v>-382.87599999999998</v>
          </cell>
          <cell r="AA12">
            <v>-482.03200000000004</v>
          </cell>
          <cell r="AD12">
            <v>-525.4129999999999</v>
          </cell>
          <cell r="AG12">
            <v>-526.61099999999999</v>
          </cell>
          <cell r="AH12">
            <v>-540.54100000000005</v>
          </cell>
          <cell r="AI12">
            <v>-534.307835264549</v>
          </cell>
          <cell r="AJ12">
            <v>-587.95763599263194</v>
          </cell>
          <cell r="AK12">
            <v>-619.7021454218409</v>
          </cell>
          <cell r="AL12">
            <v>-661.85470746265787</v>
          </cell>
          <cell r="AM12">
            <v>-710.11292545601964</v>
          </cell>
        </row>
        <row r="13">
          <cell r="B13" t="str">
            <v>R&amp;D expense</v>
          </cell>
          <cell r="C13" t="str">
            <v>RD_EXP</v>
          </cell>
          <cell r="D13" t="str">
            <v>GBP</v>
          </cell>
          <cell r="F13">
            <v>-9.6189999999999998</v>
          </cell>
          <cell r="G13">
            <v>-10.526</v>
          </cell>
          <cell r="H13">
            <v>-10.222</v>
          </cell>
          <cell r="I13">
            <v>-10.222</v>
          </cell>
          <cell r="J13">
            <v>-9.5549999999999997</v>
          </cell>
          <cell r="K13">
            <v>-10.022</v>
          </cell>
          <cell r="L13">
            <v>-10.686999999999999</v>
          </cell>
          <cell r="M13">
            <v>-12.667</v>
          </cell>
          <cell r="N13">
            <v>-15.48</v>
          </cell>
          <cell r="O13">
            <v>-15.124000000000001</v>
          </cell>
          <cell r="R13">
            <v>-19.079999999999998</v>
          </cell>
          <cell r="U13">
            <v>-26.04</v>
          </cell>
          <cell r="X13">
            <v>-31.922999999999998</v>
          </cell>
          <cell r="AA13">
            <v>-34.159999999999997</v>
          </cell>
          <cell r="AD13">
            <v>-38.945</v>
          </cell>
          <cell r="AG13">
            <v>-40.548999999999999</v>
          </cell>
          <cell r="AH13">
            <v>-48.597000000000001</v>
          </cell>
          <cell r="AI13">
            <v>-43.622157846844374</v>
          </cell>
          <cell r="AJ13">
            <v>-47.508456031790381</v>
          </cell>
          <cell r="AK13">
            <v>-50.124039910537967</v>
          </cell>
          <cell r="AL13">
            <v>-53.55473288807562</v>
          </cell>
          <cell r="AM13">
            <v>-57.48540961111442</v>
          </cell>
        </row>
        <row r="14">
          <cell r="B14" t="str">
            <v>Other operating income/(expense) (incl. leases)</v>
          </cell>
          <cell r="C14" t="str">
            <v>OTH_OP_INC_EXP</v>
          </cell>
          <cell r="D14" t="str">
            <v>GBP</v>
          </cell>
        </row>
        <row r="15">
          <cell r="B15" t="str">
            <v>Total operating expense (incl. D&amp;A)</v>
          </cell>
          <cell r="C15" t="str">
            <v>TOT_OPS_EXP_DDA</v>
          </cell>
          <cell r="D15" t="str">
            <v>GBP</v>
          </cell>
          <cell r="F15">
            <v>-109.63099999999999</v>
          </cell>
          <cell r="G15">
            <v>-125.39700000000001</v>
          </cell>
          <cell r="H15">
            <v>-137.75799999999998</v>
          </cell>
          <cell r="I15">
            <v>-168.43599999999998</v>
          </cell>
          <cell r="J15">
            <v>-196.607</v>
          </cell>
          <cell r="K15">
            <v>-207.85499999999999</v>
          </cell>
          <cell r="L15">
            <v>-226.89899999999997</v>
          </cell>
          <cell r="M15">
            <v>-246.80699999999999</v>
          </cell>
          <cell r="N15">
            <v>-277.20100000000002</v>
          </cell>
          <cell r="O15">
            <v>-291.27600000000001</v>
          </cell>
          <cell r="R15">
            <v>-319.53100000000001</v>
          </cell>
          <cell r="U15">
            <v>-349.96900000000005</v>
          </cell>
          <cell r="X15">
            <v>-438.18</v>
          </cell>
          <cell r="AA15">
            <v>-553.7059999999999</v>
          </cell>
          <cell r="AD15">
            <v>-599.697</v>
          </cell>
          <cell r="AG15">
            <v>-609.61699999999996</v>
          </cell>
          <cell r="AH15">
            <v>-638.58199999999999</v>
          </cell>
          <cell r="AI15">
            <v>-626.80186287742902</v>
          </cell>
          <cell r="AJ15">
            <v>-688.69195682741827</v>
          </cell>
          <cell r="AK15">
            <v>-725.98240665586366</v>
          </cell>
          <cell r="AL15">
            <v>-775.40922166027246</v>
          </cell>
          <cell r="AM15">
            <v>-832.00183069028401</v>
          </cell>
        </row>
        <row r="16">
          <cell r="B16" t="str">
            <v>Total operating expense (excl. D&amp;A)</v>
          </cell>
          <cell r="C16" t="str">
            <v>TOT_OPS_EXP</v>
          </cell>
          <cell r="D16" t="str">
            <v>GBP</v>
          </cell>
          <cell r="F16">
            <v>-107.42599999999999</v>
          </cell>
          <cell r="G16">
            <v>-123.28400000000001</v>
          </cell>
          <cell r="H16">
            <v>-135.25399999999999</v>
          </cell>
          <cell r="I16">
            <v>-165.18299999999999</v>
          </cell>
          <cell r="J16">
            <v>-192.27799999999999</v>
          </cell>
          <cell r="K16">
            <v>-203.83099999999999</v>
          </cell>
          <cell r="L16">
            <v>-223.12799999999999</v>
          </cell>
          <cell r="M16">
            <v>-242.55799999999999</v>
          </cell>
          <cell r="N16">
            <v>-272.13200000000001</v>
          </cell>
          <cell r="O16">
            <v>-285.14400000000001</v>
          </cell>
          <cell r="R16">
            <v>-307.07800000000003</v>
          </cell>
          <cell r="U16">
            <v>-337.988</v>
          </cell>
          <cell r="X16">
            <v>-414.79899999999998</v>
          </cell>
          <cell r="AA16">
            <v>-516.19200000000001</v>
          </cell>
          <cell r="AD16">
            <v>-564.35799999999995</v>
          </cell>
          <cell r="AG16">
            <v>-567.16</v>
          </cell>
          <cell r="AH16">
            <v>-589.13800000000003</v>
          </cell>
          <cell r="AI16">
            <v>-577.9299931113934</v>
          </cell>
          <cell r="AJ16">
            <v>-635.46609202442232</v>
          </cell>
          <cell r="AK16">
            <v>-669.82618533237883</v>
          </cell>
          <cell r="AL16">
            <v>-715.40944035073346</v>
          </cell>
          <cell r="AM16">
            <v>-767.59833506713403</v>
          </cell>
        </row>
        <row r="17">
          <cell r="B17" t="str">
            <v>EBITDA</v>
          </cell>
          <cell r="C17" t="str">
            <v>EBITDA_CALC</v>
          </cell>
          <cell r="D17" t="str">
            <v>GBP</v>
          </cell>
          <cell r="F17">
            <v>16.163000000000004</v>
          </cell>
          <cell r="G17">
            <v>20.065999999999988</v>
          </cell>
          <cell r="H17">
            <v>23.400000000000002</v>
          </cell>
          <cell r="I17">
            <v>27.798000000000005</v>
          </cell>
          <cell r="J17">
            <v>34.653999999999996</v>
          </cell>
          <cell r="K17">
            <v>35.708999999999996</v>
          </cell>
          <cell r="L17">
            <v>37.22399999999999</v>
          </cell>
          <cell r="M17">
            <v>41.792000000000037</v>
          </cell>
          <cell r="N17">
            <v>47.536999999999992</v>
          </cell>
          <cell r="O17">
            <v>57.26600000000002</v>
          </cell>
          <cell r="R17">
            <v>69.961999999999989</v>
          </cell>
          <cell r="U17">
            <v>74.902000000000001</v>
          </cell>
          <cell r="X17">
            <v>100.47199999999999</v>
          </cell>
          <cell r="AA17">
            <v>134.84399999999997</v>
          </cell>
          <cell r="AD17">
            <v>145.68500000000003</v>
          </cell>
          <cell r="AG17">
            <v>164.57300000000001</v>
          </cell>
          <cell r="AH17">
            <v>171.68800000000002</v>
          </cell>
          <cell r="AI17">
            <v>174.09227827874113</v>
          </cell>
          <cell r="AJ17">
            <v>183.55384597825167</v>
          </cell>
          <cell r="AK17">
            <v>194.28499589611528</v>
          </cell>
          <cell r="AL17">
            <v>207.8450215579181</v>
          </cell>
          <cell r="AM17">
            <v>223.41885530942633</v>
          </cell>
        </row>
        <row r="18">
          <cell r="B18" t="str">
            <v>Depreciation</v>
          </cell>
          <cell r="C18" t="str">
            <v>DEPREC</v>
          </cell>
          <cell r="D18" t="str">
            <v>GBP</v>
          </cell>
          <cell r="F18">
            <v>-2.2050000000000001</v>
          </cell>
          <cell r="G18">
            <v>-2.113</v>
          </cell>
          <cell r="H18">
            <v>-2.504</v>
          </cell>
          <cell r="I18">
            <v>-3.2530000000000001</v>
          </cell>
          <cell r="J18">
            <v>-4.3289999999999997</v>
          </cell>
          <cell r="K18">
            <v>-4.024</v>
          </cell>
          <cell r="L18">
            <v>-3.7709999999999999</v>
          </cell>
          <cell r="M18">
            <v>-4.2489999999999997</v>
          </cell>
          <cell r="N18">
            <v>-5.069</v>
          </cell>
          <cell r="O18">
            <v>-6.1319999999999997</v>
          </cell>
          <cell r="R18">
            <v>-5.53</v>
          </cell>
          <cell r="U18">
            <v>-5.72</v>
          </cell>
          <cell r="X18">
            <v>-7.0259999999999998</v>
          </cell>
          <cell r="AA18">
            <v>-7.7220000000000004</v>
          </cell>
          <cell r="AD18">
            <v>-8.3849999999999998</v>
          </cell>
          <cell r="AG18">
            <v>-9.14</v>
          </cell>
          <cell r="AH18">
            <v>-10.882</v>
          </cell>
          <cell r="AI18">
            <v>-10.756081360609972</v>
          </cell>
          <cell r="AJ18">
            <v>-11.714340684131587</v>
          </cell>
          <cell r="AK18">
            <v>-12.359275148494495</v>
          </cell>
          <cell r="AL18">
            <v>-13.205194163304022</v>
          </cell>
          <cell r="AM18">
            <v>-14.174396071740095</v>
          </cell>
        </row>
        <row r="19">
          <cell r="B19" t="str">
            <v>Amortization</v>
          </cell>
          <cell r="C19" t="str">
            <v>GOODWILL_AMORT</v>
          </cell>
          <cell r="D19" t="str">
            <v>GBP</v>
          </cell>
          <cell r="R19">
            <v>-6.9229999999999885</v>
          </cell>
          <cell r="U19">
            <v>-6.2610000000000019</v>
          </cell>
          <cell r="X19">
            <v>-16.355</v>
          </cell>
          <cell r="AA19">
            <v>-29.791999999999966</v>
          </cell>
          <cell r="AD19">
            <v>-26.954000000000029</v>
          </cell>
          <cell r="AG19">
            <v>-33.317000000000007</v>
          </cell>
          <cell r="AH19">
            <v>-38.562000000000019</v>
          </cell>
          <cell r="AI19">
            <v>-38.115788405425647</v>
          </cell>
          <cell r="AJ19">
            <v>-41.511524118864415</v>
          </cell>
          <cell r="AK19">
            <v>-43.796946174990332</v>
          </cell>
          <cell r="AL19">
            <v>-46.794587146235038</v>
          </cell>
          <cell r="AM19">
            <v>-50.229099551409803</v>
          </cell>
        </row>
        <row r="20">
          <cell r="B20" t="str">
            <v>EBIT, operating profit</v>
          </cell>
          <cell r="C20" t="str">
            <v>EBIT</v>
          </cell>
          <cell r="D20" t="str">
            <v>GBP</v>
          </cell>
          <cell r="F20">
            <v>13.958000000000004</v>
          </cell>
          <cell r="G20">
            <v>17.952999999999989</v>
          </cell>
          <cell r="H20">
            <v>20.896000000000001</v>
          </cell>
          <cell r="I20">
            <v>24.545000000000005</v>
          </cell>
          <cell r="J20">
            <v>30.324999999999996</v>
          </cell>
          <cell r="K20">
            <v>31.684999999999995</v>
          </cell>
          <cell r="L20">
            <v>33.452999999999989</v>
          </cell>
          <cell r="M20">
            <v>37.543000000000035</v>
          </cell>
          <cell r="N20">
            <v>42.467999999999989</v>
          </cell>
          <cell r="O20">
            <v>51.134000000000022</v>
          </cell>
          <cell r="R20">
            <v>57.509</v>
          </cell>
          <cell r="U20">
            <v>62.920999999999999</v>
          </cell>
          <cell r="X20">
            <v>77.090999999999994</v>
          </cell>
          <cell r="AA20">
            <v>97.33</v>
          </cell>
          <cell r="AD20">
            <v>110.346</v>
          </cell>
          <cell r="AG20">
            <v>122.116</v>
          </cell>
          <cell r="AH20">
            <v>122.244</v>
          </cell>
          <cell r="AI20">
            <v>125.22040851270552</v>
          </cell>
          <cell r="AJ20">
            <v>130.32798117525567</v>
          </cell>
          <cell r="AK20">
            <v>138.12877457263045</v>
          </cell>
          <cell r="AL20">
            <v>147.84524024837904</v>
          </cell>
          <cell r="AM20">
            <v>159.01535968627644</v>
          </cell>
        </row>
        <row r="21">
          <cell r="B21" t="str">
            <v>Interest income</v>
          </cell>
          <cell r="C21" t="str">
            <v>INT_INC_IND</v>
          </cell>
          <cell r="D21" t="str">
            <v>GBP</v>
          </cell>
        </row>
        <row r="22">
          <cell r="B22" t="str">
            <v>Interest expense</v>
          </cell>
          <cell r="C22" t="str">
            <v>INT_EXP_IND</v>
          </cell>
          <cell r="D22" t="str">
            <v>GBP</v>
          </cell>
        </row>
        <row r="23">
          <cell r="B23" t="str">
            <v>Net interest income/(expense)</v>
          </cell>
          <cell r="C23" t="str">
            <v>NET_INT_EXP</v>
          </cell>
          <cell r="D23" t="str">
            <v>GBP</v>
          </cell>
          <cell r="F23">
            <v>0.13</v>
          </cell>
          <cell r="G23">
            <v>0.13300000000000001</v>
          </cell>
          <cell r="H23">
            <v>0.20200000000000001</v>
          </cell>
          <cell r="I23">
            <v>-1.3029999999999999</v>
          </cell>
          <cell r="J23">
            <v>-4.7009999999999996</v>
          </cell>
          <cell r="K23">
            <v>-4.6240000000000006</v>
          </cell>
          <cell r="L23">
            <v>-3.5330000000000004</v>
          </cell>
          <cell r="M23">
            <v>-3.1729999999999996</v>
          </cell>
          <cell r="N23">
            <v>-2.7850000000000001</v>
          </cell>
          <cell r="O23">
            <v>-3.6989999999999998</v>
          </cell>
          <cell r="R23">
            <v>-2.7139999999999995</v>
          </cell>
          <cell r="U23">
            <v>-2.1529999999999996</v>
          </cell>
          <cell r="X23">
            <v>-4.8929999999999998</v>
          </cell>
          <cell r="AA23">
            <v>-7.8439999999999976</v>
          </cell>
          <cell r="AD23">
            <v>-7.6579999999999995</v>
          </cell>
          <cell r="AG23">
            <v>-7.214999999999999</v>
          </cell>
          <cell r="AH23">
            <v>-6.6780000000000008</v>
          </cell>
          <cell r="AI23">
            <v>-4.2441691007584019</v>
          </cell>
          <cell r="AJ23">
            <v>-4.2152822018736771</v>
          </cell>
          <cell r="AK23">
            <v>-4.3991867155893125</v>
          </cell>
          <cell r="AL23">
            <v>-5.4074368184533759</v>
          </cell>
          <cell r="AM23">
            <v>-6.9539404884053093</v>
          </cell>
        </row>
        <row r="24">
          <cell r="B24" t="str">
            <v>Income/(loss) from unconsolidated subs &amp; associates</v>
          </cell>
          <cell r="C24" t="str">
            <v>ASSOCIATE</v>
          </cell>
          <cell r="D24" t="str">
            <v>GBP</v>
          </cell>
        </row>
        <row r="25">
          <cell r="B25" t="str">
            <v>Profit/(loss) on disposals of assets, pre-tax</v>
          </cell>
          <cell r="C25" t="str">
            <v>PROFIT_ON_DISP</v>
          </cell>
          <cell r="D25" t="str">
            <v>GBP</v>
          </cell>
        </row>
        <row r="26">
          <cell r="B26" t="str">
            <v>Other non-ops income/(expense)</v>
          </cell>
          <cell r="C26" t="str">
            <v>OTH_COST_INC</v>
          </cell>
          <cell r="D26" t="str">
            <v>GBP</v>
          </cell>
        </row>
        <row r="27">
          <cell r="B27" t="str">
            <v>Pre-tax profit</v>
          </cell>
          <cell r="C27" t="str">
            <v>PT_PROF</v>
          </cell>
          <cell r="D27" t="str">
            <v>GBP</v>
          </cell>
          <cell r="F27">
            <v>14.088000000000005</v>
          </cell>
          <cell r="G27">
            <v>18.085999999999988</v>
          </cell>
          <cell r="H27">
            <v>21.098000000000003</v>
          </cell>
          <cell r="I27">
            <v>23.242000000000004</v>
          </cell>
          <cell r="J27">
            <v>25.623999999999995</v>
          </cell>
          <cell r="K27">
            <v>27.060999999999993</v>
          </cell>
          <cell r="L27">
            <v>29.919999999999987</v>
          </cell>
          <cell r="M27">
            <v>34.370000000000033</v>
          </cell>
          <cell r="N27">
            <v>39.682999999999993</v>
          </cell>
          <cell r="O27">
            <v>47.435000000000024</v>
          </cell>
          <cell r="R27">
            <v>54.795000000000002</v>
          </cell>
          <cell r="U27">
            <v>60.768000000000001</v>
          </cell>
          <cell r="X27">
            <v>72.197999999999993</v>
          </cell>
          <cell r="AA27">
            <v>89.486000000000004</v>
          </cell>
          <cell r="AD27">
            <v>102.688</v>
          </cell>
          <cell r="AG27">
            <v>114.901</v>
          </cell>
          <cell r="AH27">
            <v>115.566</v>
          </cell>
          <cell r="AI27">
            <v>120.97623941194712</v>
          </cell>
          <cell r="AJ27">
            <v>126.112698973382</v>
          </cell>
          <cell r="AK27">
            <v>133.72958785704114</v>
          </cell>
          <cell r="AL27">
            <v>142.43780342992568</v>
          </cell>
          <cell r="AM27">
            <v>152.06141919787112</v>
          </cell>
        </row>
        <row r="28">
          <cell r="A28" t="str">
            <v>Additional Income Statement Items</v>
          </cell>
        </row>
        <row r="29">
          <cell r="B29" t="str">
            <v>Organic revenues (excl. acquisitions)</v>
          </cell>
          <cell r="C29" t="str">
            <v>ORG_REV</v>
          </cell>
          <cell r="D29" t="str">
            <v>GBP</v>
          </cell>
        </row>
        <row r="30">
          <cell r="B30" t="str">
            <v>Organic sales growth (excl. acquisitions)</v>
          </cell>
          <cell r="C30" t="str">
            <v>ORG_REV_GRTH</v>
          </cell>
          <cell r="J30">
            <v>7.0000000000000007E-2</v>
          </cell>
          <cell r="K30">
            <v>3.2000000000000001E-2</v>
          </cell>
          <cell r="L30">
            <v>5.8000000000000003E-2</v>
          </cell>
          <cell r="M30">
            <v>1.7000000000000001E-2</v>
          </cell>
          <cell r="N30">
            <v>0.09</v>
          </cell>
          <cell r="O30">
            <v>0.06</v>
          </cell>
          <cell r="R30">
            <v>0.08</v>
          </cell>
          <cell r="U30">
            <v>7.0000000000000007E-2</v>
          </cell>
          <cell r="X30">
            <v>0.16</v>
          </cell>
          <cell r="AA30">
            <v>6.3E-2</v>
          </cell>
          <cell r="AD30">
            <v>5.7000000000000002E-2</v>
          </cell>
          <cell r="AG30">
            <v>2.1999999999999999E-2</v>
          </cell>
          <cell r="AH30">
            <v>-4.2000000000000003E-2</v>
          </cell>
          <cell r="AI30">
            <v>-1.6486037401007115E-2</v>
          </cell>
          <cell r="AJ30">
            <v>5.0687143288168521E-2</v>
          </cell>
          <cell r="AK30">
            <v>1.9453029971103663E-2</v>
          </cell>
          <cell r="AL30">
            <v>4.7294959638869614E-2</v>
          </cell>
          <cell r="AM30">
            <v>4.3288774352754876E-2</v>
          </cell>
        </row>
        <row r="31">
          <cell r="B31" t="str">
            <v>Lease payments</v>
          </cell>
          <cell r="C31" t="str">
            <v>LEASE_PAY</v>
          </cell>
          <cell r="D31" t="str">
            <v>GBP</v>
          </cell>
          <cell r="F31">
            <v>0</v>
          </cell>
          <cell r="G31">
            <v>0</v>
          </cell>
          <cell r="H31">
            <v>0</v>
          </cell>
          <cell r="I31">
            <v>0</v>
          </cell>
          <cell r="J31">
            <v>0</v>
          </cell>
          <cell r="K31">
            <v>0</v>
          </cell>
          <cell r="L31">
            <v>0</v>
          </cell>
          <cell r="M31">
            <v>0</v>
          </cell>
          <cell r="N31">
            <v>0</v>
          </cell>
          <cell r="O31">
            <v>0</v>
          </cell>
          <cell r="R31">
            <v>0</v>
          </cell>
          <cell r="U31">
            <v>0</v>
          </cell>
          <cell r="X31">
            <v>0</v>
          </cell>
          <cell r="AA31">
            <v>0</v>
          </cell>
          <cell r="AD31">
            <v>0</v>
          </cell>
          <cell r="AG31">
            <v>0</v>
          </cell>
          <cell r="AH31">
            <v>0</v>
          </cell>
          <cell r="AI31">
            <v>0</v>
          </cell>
          <cell r="AJ31">
            <v>0</v>
          </cell>
          <cell r="AK31">
            <v>0</v>
          </cell>
          <cell r="AL31">
            <v>0</v>
          </cell>
          <cell r="AM31">
            <v>0</v>
          </cell>
        </row>
        <row r="32">
          <cell r="B32" t="str">
            <v>Lease payments (deemed interest portion)</v>
          </cell>
          <cell r="C32" t="str">
            <v>LEASE_DEEM_INT</v>
          </cell>
          <cell r="D32" t="str">
            <v>GBP</v>
          </cell>
        </row>
        <row r="33">
          <cell r="B33" t="str">
            <v>Lease payments (deemed depreciation portion)</v>
          </cell>
          <cell r="C33" t="str">
            <v>LEASE_DEEM_DEPR</v>
          </cell>
          <cell r="D33" t="str">
            <v>GBP</v>
          </cell>
        </row>
        <row r="34">
          <cell r="B34" t="str">
            <v>Gross interest charge</v>
          </cell>
          <cell r="C34" t="str">
            <v>NET_INT_CH</v>
          </cell>
          <cell r="D34" t="str">
            <v>GBP</v>
          </cell>
        </row>
        <row r="35">
          <cell r="B35" t="str">
            <v>Income from associates (operating)</v>
          </cell>
          <cell r="C35" t="str">
            <v>ASSOCIATE_OP</v>
          </cell>
          <cell r="D35" t="str">
            <v>GBP</v>
          </cell>
        </row>
        <row r="36">
          <cell r="B36" t="str">
            <v>Goodwill amortization</v>
          </cell>
          <cell r="C36" t="str">
            <v>GW_AMORT</v>
          </cell>
          <cell r="D36" t="str">
            <v>GBP</v>
          </cell>
        </row>
        <row r="37">
          <cell r="B37" t="str">
            <v>Other intangible amortization</v>
          </cell>
          <cell r="C37" t="str">
            <v>OTH_INT_AMORT</v>
          </cell>
          <cell r="D37" t="str">
            <v>GBP</v>
          </cell>
        </row>
        <row r="38">
          <cell r="A38" t="str">
            <v>Balance Sheet</v>
          </cell>
        </row>
        <row r="39">
          <cell r="B39" t="str">
            <v>Cash &amp; cash equivalents</v>
          </cell>
          <cell r="C39" t="str">
            <v>CASH_EQ</v>
          </cell>
          <cell r="D39" t="str">
            <v>GBP</v>
          </cell>
          <cell r="F39">
            <v>5.7220000000000004</v>
          </cell>
          <cell r="G39">
            <v>9.0009999999999994</v>
          </cell>
          <cell r="H39">
            <v>14.606999999999999</v>
          </cell>
          <cell r="I39">
            <v>12.976000000000001</v>
          </cell>
          <cell r="J39">
            <v>12.823</v>
          </cell>
          <cell r="K39">
            <v>15.992000000000001</v>
          </cell>
          <cell r="L39">
            <v>8.1319999999999997</v>
          </cell>
          <cell r="M39">
            <v>19.047000000000001</v>
          </cell>
          <cell r="N39">
            <v>24.975000000000001</v>
          </cell>
          <cell r="O39">
            <v>40.192999999999998</v>
          </cell>
          <cell r="R39">
            <v>25.628</v>
          </cell>
          <cell r="U39">
            <v>27.419</v>
          </cell>
          <cell r="X39">
            <v>43.384999999999998</v>
          </cell>
          <cell r="AA39">
            <v>41.808999999999997</v>
          </cell>
          <cell r="AD39">
            <v>68.129000000000005</v>
          </cell>
          <cell r="AG39">
            <v>41.051000000000002</v>
          </cell>
          <cell r="AH39">
            <v>30.84</v>
          </cell>
          <cell r="AI39">
            <v>77.110529229880584</v>
          </cell>
          <cell r="AJ39">
            <v>41.600145324983131</v>
          </cell>
          <cell r="AK39">
            <v>8.6075271804984794</v>
          </cell>
          <cell r="AL39">
            <v>9.51993743050663</v>
          </cell>
          <cell r="AM39">
            <v>5.0221283847971421</v>
          </cell>
        </row>
        <row r="40">
          <cell r="B40" t="str">
            <v>Accounts receivable</v>
          </cell>
          <cell r="C40" t="str">
            <v>DEBTORS</v>
          </cell>
          <cell r="D40" t="str">
            <v>GBP</v>
          </cell>
          <cell r="F40">
            <v>32.427999999999997</v>
          </cell>
          <cell r="G40">
            <v>25.877000000000002</v>
          </cell>
          <cell r="H40">
            <v>24.385000000000002</v>
          </cell>
          <cell r="I40">
            <v>38.274000000000001</v>
          </cell>
          <cell r="J40">
            <v>51.34</v>
          </cell>
          <cell r="K40">
            <v>53.903999999999996</v>
          </cell>
          <cell r="L40">
            <v>56.542999999999999</v>
          </cell>
          <cell r="M40">
            <v>62.537000000000006</v>
          </cell>
          <cell r="N40">
            <v>65.131</v>
          </cell>
          <cell r="O40">
            <v>74.412000000000006</v>
          </cell>
          <cell r="R40">
            <v>83.599000000000004</v>
          </cell>
          <cell r="U40">
            <v>84.225999999999999</v>
          </cell>
          <cell r="X40">
            <v>125.661</v>
          </cell>
          <cell r="AA40">
            <v>122.44199999999999</v>
          </cell>
          <cell r="AD40">
            <v>158.00299999999999</v>
          </cell>
          <cell r="AG40">
            <v>197.071</v>
          </cell>
          <cell r="AH40">
            <v>201.03899999999999</v>
          </cell>
          <cell r="AI40">
            <v>202.7978978973598</v>
          </cell>
          <cell r="AJ40">
            <v>220.86516328291179</v>
          </cell>
          <cell r="AK40">
            <v>233.02492195983393</v>
          </cell>
          <cell r="AL40">
            <v>248.97409454819086</v>
          </cell>
          <cell r="AM40">
            <v>267.24767421715302</v>
          </cell>
        </row>
        <row r="41">
          <cell r="B41" t="str">
            <v>Inventory</v>
          </cell>
          <cell r="C41" t="str">
            <v>STOCKS</v>
          </cell>
          <cell r="D41" t="str">
            <v>GBP</v>
          </cell>
          <cell r="F41">
            <v>14.452999999999999</v>
          </cell>
          <cell r="G41">
            <v>17.529</v>
          </cell>
          <cell r="H41">
            <v>23.276</v>
          </cell>
          <cell r="I41">
            <v>20.885000000000002</v>
          </cell>
          <cell r="J41">
            <v>19.234999999999999</v>
          </cell>
          <cell r="K41">
            <v>22.03</v>
          </cell>
          <cell r="L41">
            <v>23.834</v>
          </cell>
          <cell r="M41">
            <v>17.364000000000001</v>
          </cell>
          <cell r="N41">
            <v>21.137</v>
          </cell>
          <cell r="O41">
            <v>25.937000000000001</v>
          </cell>
          <cell r="R41">
            <v>29.198</v>
          </cell>
          <cell r="U41">
            <v>42.417000000000002</v>
          </cell>
          <cell r="X41">
            <v>52.826000000000001</v>
          </cell>
          <cell r="AA41">
            <v>50.612000000000002</v>
          </cell>
          <cell r="AD41">
            <v>49.366</v>
          </cell>
          <cell r="AG41">
            <v>47.671999999999997</v>
          </cell>
          <cell r="AH41">
            <v>52.185000000000002</v>
          </cell>
          <cell r="AI41">
            <v>51.581152895003811</v>
          </cell>
          <cell r="AJ41">
            <v>56.176517974766305</v>
          </cell>
          <cell r="AK41">
            <v>59.269323067835444</v>
          </cell>
          <cell r="AL41">
            <v>63.325956387798243</v>
          </cell>
          <cell r="AM41">
            <v>67.973797004572404</v>
          </cell>
        </row>
        <row r="42">
          <cell r="B42" t="str">
            <v>Other current assets</v>
          </cell>
          <cell r="C42" t="str">
            <v>OTH_CUR_ASS</v>
          </cell>
          <cell r="D42" t="str">
            <v>GBP</v>
          </cell>
          <cell r="R42">
            <v>0</v>
          </cell>
          <cell r="U42">
            <v>0</v>
          </cell>
          <cell r="X42">
            <v>0.82799999999999585</v>
          </cell>
          <cell r="AA42">
            <v>0.99400000000000688</v>
          </cell>
          <cell r="AD42">
            <v>2.9329999999999785</v>
          </cell>
          <cell r="AG42">
            <v>2.7460000000000377</v>
          </cell>
          <cell r="AH42">
            <v>2.4539999999999793</v>
          </cell>
          <cell r="AI42">
            <v>2.4540000000000077</v>
          </cell>
          <cell r="AJ42">
            <v>2.4539999999999864</v>
          </cell>
          <cell r="AK42">
            <v>2.4540000000000077</v>
          </cell>
          <cell r="AL42">
            <v>2.4540000000000362</v>
          </cell>
          <cell r="AM42">
            <v>2.4540000000000219</v>
          </cell>
        </row>
        <row r="43">
          <cell r="B43" t="str">
            <v>Total current assets</v>
          </cell>
          <cell r="C43" t="str">
            <v>CUR_ASS</v>
          </cell>
          <cell r="D43" t="str">
            <v>GBP</v>
          </cell>
          <cell r="F43">
            <v>52.602999999999994</v>
          </cell>
          <cell r="G43">
            <v>52.406999999999996</v>
          </cell>
          <cell r="H43">
            <v>62.268000000000001</v>
          </cell>
          <cell r="I43">
            <v>72.135000000000005</v>
          </cell>
          <cell r="J43">
            <v>83.39800000000001</v>
          </cell>
          <cell r="K43">
            <v>91.926000000000002</v>
          </cell>
          <cell r="L43">
            <v>88.509</v>
          </cell>
          <cell r="M43">
            <v>98.948000000000008</v>
          </cell>
          <cell r="N43">
            <v>111.24299999999999</v>
          </cell>
          <cell r="O43">
            <v>140.542</v>
          </cell>
          <cell r="R43">
            <v>138.42500000000001</v>
          </cell>
          <cell r="U43">
            <v>154.06200000000001</v>
          </cell>
          <cell r="X43">
            <v>222.7</v>
          </cell>
          <cell r="AA43">
            <v>215.857</v>
          </cell>
          <cell r="AD43">
            <v>278.43099999999998</v>
          </cell>
          <cell r="AG43">
            <v>288.54000000000002</v>
          </cell>
          <cell r="AH43">
            <v>286.51799999999997</v>
          </cell>
          <cell r="AI43">
            <v>333.94358002224419</v>
          </cell>
          <cell r="AJ43">
            <v>321.09582658266123</v>
          </cell>
          <cell r="AK43">
            <v>303.35577220816788</v>
          </cell>
          <cell r="AL43">
            <v>324.27398836649576</v>
          </cell>
          <cell r="AM43">
            <v>342.6975996065226</v>
          </cell>
        </row>
        <row r="44">
          <cell r="B44" t="str">
            <v>Gross fixed assets, PP&amp;E</v>
          </cell>
          <cell r="C44" t="str">
            <v>GR_FIX_ASS</v>
          </cell>
          <cell r="D44" t="str">
            <v>GBP</v>
          </cell>
          <cell r="F44">
            <v>9.8170000000000002</v>
          </cell>
          <cell r="G44">
            <v>10.726000000000001</v>
          </cell>
          <cell r="H44">
            <v>27.446999999999999</v>
          </cell>
          <cell r="I44">
            <v>32.526000000000003</v>
          </cell>
          <cell r="J44">
            <v>38.35</v>
          </cell>
          <cell r="K44">
            <v>40.503</v>
          </cell>
          <cell r="L44">
            <v>45.131999999999998</v>
          </cell>
          <cell r="M44">
            <v>51.515000000000001</v>
          </cell>
          <cell r="N44">
            <v>56.747</v>
          </cell>
          <cell r="O44">
            <v>63.902999999999999</v>
          </cell>
          <cell r="R44">
            <v>62.671999999999997</v>
          </cell>
          <cell r="U44">
            <v>72.248000000000005</v>
          </cell>
          <cell r="X44">
            <v>92.875</v>
          </cell>
          <cell r="AA44">
            <v>98.725999999999999</v>
          </cell>
          <cell r="AD44">
            <v>116.486</v>
          </cell>
          <cell r="AG44">
            <v>126.23399999999999</v>
          </cell>
          <cell r="AH44">
            <v>136.90100000000001</v>
          </cell>
          <cell r="AI44">
            <v>164.30927724414138</v>
          </cell>
          <cell r="AJ44">
            <v>230.16734501540344</v>
          </cell>
          <cell r="AK44">
            <v>297.25046814545601</v>
          </cell>
          <cell r="AL44">
            <v>365.94041751826313</v>
          </cell>
          <cell r="AM44">
            <v>436.47136943828639</v>
          </cell>
        </row>
        <row r="45">
          <cell r="B45" t="str">
            <v>Accumulated depreciation</v>
          </cell>
          <cell r="C45" t="str">
            <v>ACC_DDA</v>
          </cell>
          <cell r="D45" t="str">
            <v>GBP</v>
          </cell>
          <cell r="F45">
            <v>0</v>
          </cell>
          <cell r="G45">
            <v>0</v>
          </cell>
          <cell r="H45">
            <v>-14.103999999999999</v>
          </cell>
          <cell r="I45">
            <v>-17.652000000000001</v>
          </cell>
          <cell r="J45">
            <v>-22.205000000000002</v>
          </cell>
          <cell r="K45">
            <v>-25.076999999999998</v>
          </cell>
          <cell r="L45">
            <v>-29.951999999999998</v>
          </cell>
          <cell r="M45">
            <v>-32.344999999999999</v>
          </cell>
          <cell r="N45">
            <v>-36.533999999999999</v>
          </cell>
          <cell r="O45">
            <v>-41.058999999999997</v>
          </cell>
          <cell r="R45">
            <v>-41.857999999999997</v>
          </cell>
          <cell r="U45">
            <v>-48.013000000000005</v>
          </cell>
          <cell r="X45">
            <v>-57.959000000000003</v>
          </cell>
          <cell r="AA45">
            <v>-62.082000000000001</v>
          </cell>
          <cell r="AD45">
            <v>-71.132000000000005</v>
          </cell>
          <cell r="AG45">
            <v>-77.646999999999991</v>
          </cell>
          <cell r="AH45">
            <v>-79.14500000000001</v>
          </cell>
          <cell r="AI45">
            <v>-89.901081360609979</v>
          </cell>
          <cell r="AJ45">
            <v>-101.61542204474156</v>
          </cell>
          <cell r="AK45">
            <v>-113.9746971932361</v>
          </cell>
          <cell r="AL45">
            <v>-127.17989135654014</v>
          </cell>
          <cell r="AM45">
            <v>-141.35428742828026</v>
          </cell>
        </row>
        <row r="46">
          <cell r="B46" t="str">
            <v>Net PP&amp;E</v>
          </cell>
          <cell r="C46" t="str">
            <v>NET_FIX_ASS</v>
          </cell>
          <cell r="D46" t="str">
            <v>GBP</v>
          </cell>
          <cell r="F46">
            <v>9.8170000000000002</v>
          </cell>
          <cell r="G46">
            <v>10.726000000000001</v>
          </cell>
          <cell r="H46">
            <v>13.343</v>
          </cell>
          <cell r="I46">
            <v>14.874000000000001</v>
          </cell>
          <cell r="J46">
            <v>16.145</v>
          </cell>
          <cell r="K46">
            <v>15.426</v>
          </cell>
          <cell r="L46">
            <v>15.18</v>
          </cell>
          <cell r="M46">
            <v>19.170000000000002</v>
          </cell>
          <cell r="N46">
            <v>20.213000000000001</v>
          </cell>
          <cell r="O46">
            <v>22.844000000000001</v>
          </cell>
          <cell r="R46">
            <v>20.814</v>
          </cell>
          <cell r="U46">
            <v>24.234999999999999</v>
          </cell>
          <cell r="X46">
            <v>34.915999999999997</v>
          </cell>
          <cell r="AA46">
            <v>36.643999999999998</v>
          </cell>
          <cell r="AD46">
            <v>45.353999999999999</v>
          </cell>
          <cell r="AG46">
            <v>48.587000000000003</v>
          </cell>
          <cell r="AH46">
            <v>57.756</v>
          </cell>
          <cell r="AI46">
            <v>74.408195883531405</v>
          </cell>
          <cell r="AJ46">
            <v>128.55192297066188</v>
          </cell>
          <cell r="AK46">
            <v>183.27577095221991</v>
          </cell>
          <cell r="AL46">
            <v>238.76052616172299</v>
          </cell>
          <cell r="AM46">
            <v>295.11708201000613</v>
          </cell>
        </row>
        <row r="47">
          <cell r="B47" t="str">
            <v>Gross intangibles</v>
          </cell>
          <cell r="C47" t="str">
            <v>GR_INTANG</v>
          </cell>
          <cell r="D47" t="str">
            <v>GBP</v>
          </cell>
          <cell r="H47">
            <v>19.690000000000001</v>
          </cell>
          <cell r="I47">
            <v>29.023999999999997</v>
          </cell>
          <cell r="J47">
            <v>72.053000000000011</v>
          </cell>
          <cell r="K47">
            <v>73.105999999999995</v>
          </cell>
          <cell r="L47">
            <v>93.44</v>
          </cell>
          <cell r="M47">
            <v>107.73399999999999</v>
          </cell>
          <cell r="N47">
            <v>130.11100000000002</v>
          </cell>
          <cell r="O47">
            <v>158.81899999999999</v>
          </cell>
          <cell r="R47">
            <v>163.92599999999999</v>
          </cell>
          <cell r="U47">
            <v>198.863</v>
          </cell>
          <cell r="X47">
            <v>367.74299999999999</v>
          </cell>
          <cell r="AA47">
            <v>368.29200000000003</v>
          </cell>
          <cell r="AD47">
            <v>398.30899999999997</v>
          </cell>
          <cell r="AG47">
            <v>540.51600000000008</v>
          </cell>
          <cell r="AH47">
            <v>583.17499999999995</v>
          </cell>
          <cell r="AI47">
            <v>596.73496686990848</v>
          </cell>
          <cell r="AJ47">
            <v>658.06956416230651</v>
          </cell>
          <cell r="AK47">
            <v>719.67620160903903</v>
          </cell>
          <cell r="AL47">
            <v>781.63965661175484</v>
          </cell>
          <cell r="AM47">
            <v>844.01193119432151</v>
          </cell>
        </row>
        <row r="48">
          <cell r="B48" t="str">
            <v>Accumulated amortization</v>
          </cell>
          <cell r="C48" t="str">
            <v>ACC_AMORT</v>
          </cell>
          <cell r="D48" t="str">
            <v>GBP</v>
          </cell>
          <cell r="H48">
            <v>-4.1000000000000369E-2</v>
          </cell>
          <cell r="I48">
            <v>-1.3589999999999982</v>
          </cell>
          <cell r="J48">
            <v>-4.355000000000004</v>
          </cell>
          <cell r="K48">
            <v>-8.0439999999999827</v>
          </cell>
          <cell r="L48">
            <v>-11.963999999999999</v>
          </cell>
          <cell r="M48">
            <v>-16.886999999999986</v>
          </cell>
          <cell r="N48">
            <v>-22.830000000000013</v>
          </cell>
          <cell r="O48">
            <v>-8.3249999999999886</v>
          </cell>
          <cell r="R48">
            <v>-14.167999999999978</v>
          </cell>
          <cell r="U48">
            <v>-19.609000000000009</v>
          </cell>
          <cell r="X48">
            <v>-42.06</v>
          </cell>
          <cell r="AA48">
            <v>-66.444000000000074</v>
          </cell>
          <cell r="AD48">
            <v>-91.248999999999967</v>
          </cell>
          <cell r="AG48">
            <v>-122.05800000000011</v>
          </cell>
          <cell r="AH48">
            <v>-152.19099999999992</v>
          </cell>
          <cell r="AI48">
            <v>-187.02520504600403</v>
          </cell>
          <cell r="AJ48">
            <v>-224.96278953324594</v>
          </cell>
          <cell r="AK48">
            <v>-264.9890323914745</v>
          </cell>
          <cell r="AL48">
            <v>-307.7548339631673</v>
          </cell>
          <cell r="AM48">
            <v>-353.65945318392295</v>
          </cell>
        </row>
        <row r="49">
          <cell r="B49" t="str">
            <v>Net intangible assets</v>
          </cell>
          <cell r="C49" t="str">
            <v>NET_INTANG</v>
          </cell>
          <cell r="D49" t="str">
            <v>GBP</v>
          </cell>
          <cell r="F49">
            <v>0</v>
          </cell>
          <cell r="G49">
            <v>0</v>
          </cell>
          <cell r="H49">
            <v>19.649000000000001</v>
          </cell>
          <cell r="I49">
            <v>27.664999999999999</v>
          </cell>
          <cell r="J49">
            <v>67.698000000000008</v>
          </cell>
          <cell r="K49">
            <v>65.062000000000012</v>
          </cell>
          <cell r="L49">
            <v>81.475999999999999</v>
          </cell>
          <cell r="M49">
            <v>90.847000000000008</v>
          </cell>
          <cell r="N49">
            <v>107.28100000000001</v>
          </cell>
          <cell r="O49">
            <v>150.494</v>
          </cell>
          <cell r="R49">
            <v>149.75800000000001</v>
          </cell>
          <cell r="U49">
            <v>179.25399999999999</v>
          </cell>
          <cell r="X49">
            <v>325.68299999999999</v>
          </cell>
          <cell r="AA49">
            <v>301.84799999999996</v>
          </cell>
          <cell r="AD49">
            <v>307.06</v>
          </cell>
          <cell r="AG49">
            <v>418.45799999999997</v>
          </cell>
          <cell r="AH49">
            <v>430.98400000000004</v>
          </cell>
          <cell r="AI49">
            <v>409.70976182390444</v>
          </cell>
          <cell r="AJ49">
            <v>433.10677462906057</v>
          </cell>
          <cell r="AK49">
            <v>454.68716921756453</v>
          </cell>
          <cell r="AL49">
            <v>473.88482264858754</v>
          </cell>
          <cell r="AM49">
            <v>490.35247801039856</v>
          </cell>
        </row>
        <row r="50">
          <cell r="B50" t="str">
            <v>Equity method investments</v>
          </cell>
          <cell r="C50" t="str">
            <v>FIX_ASS_INV</v>
          </cell>
          <cell r="D50" t="str">
            <v>GBP</v>
          </cell>
          <cell r="F50">
            <v>0.45500000000000002</v>
          </cell>
          <cell r="G50">
            <v>0.30299999999999999</v>
          </cell>
          <cell r="H50">
            <v>0.51600000000000001</v>
          </cell>
          <cell r="I50">
            <v>0.34200000000000003</v>
          </cell>
          <cell r="J50">
            <v>0.36399999999999999</v>
          </cell>
          <cell r="K50">
            <v>0.83599999999999997</v>
          </cell>
          <cell r="L50">
            <v>0</v>
          </cell>
          <cell r="M50">
            <v>0</v>
          </cell>
          <cell r="N50">
            <v>0</v>
          </cell>
          <cell r="O50">
            <v>0</v>
          </cell>
          <cell r="R50">
            <v>0</v>
          </cell>
          <cell r="U50">
            <v>0</v>
          </cell>
          <cell r="X50">
            <v>2.12</v>
          </cell>
          <cell r="AA50">
            <v>1.107</v>
          </cell>
          <cell r="AD50">
            <v>3.6680000000000001</v>
          </cell>
          <cell r="AG50">
            <v>6.61</v>
          </cell>
          <cell r="AH50">
            <v>8.9890000000000008</v>
          </cell>
          <cell r="AI50">
            <v>8.9890000000000008</v>
          </cell>
          <cell r="AJ50">
            <v>8.9890000000000008</v>
          </cell>
          <cell r="AK50">
            <v>8.9890000000000008</v>
          </cell>
          <cell r="AL50">
            <v>8.9890000000000008</v>
          </cell>
          <cell r="AM50">
            <v>8.9890000000000008</v>
          </cell>
        </row>
        <row r="51">
          <cell r="B51" t="str">
            <v>Investments in securities</v>
          </cell>
          <cell r="C51" t="str">
            <v>INV_SECUR</v>
          </cell>
          <cell r="D51" t="str">
            <v>GBP</v>
          </cell>
          <cell r="R51">
            <v>0</v>
          </cell>
          <cell r="U51">
            <v>0</v>
          </cell>
          <cell r="X51">
            <v>0</v>
          </cell>
          <cell r="AA51">
            <v>4.9080000000000004</v>
          </cell>
          <cell r="AD51">
            <v>3.75</v>
          </cell>
          <cell r="AG51">
            <v>1.948</v>
          </cell>
          <cell r="AH51">
            <v>3.1520000000000001</v>
          </cell>
          <cell r="AI51">
            <v>3.1520000000000001</v>
          </cell>
          <cell r="AJ51">
            <v>3.1520000000000001</v>
          </cell>
          <cell r="AK51">
            <v>3.1520000000000001</v>
          </cell>
          <cell r="AL51">
            <v>3.1520000000000001</v>
          </cell>
          <cell r="AM51">
            <v>3.1520000000000001</v>
          </cell>
        </row>
        <row r="52">
          <cell r="B52" t="str">
            <v>Other long-term assets</v>
          </cell>
          <cell r="C52" t="str">
            <v>OTH_LT_ASS</v>
          </cell>
          <cell r="D52" t="str">
            <v>GBP</v>
          </cell>
          <cell r="F52">
            <v>0</v>
          </cell>
          <cell r="G52">
            <v>0</v>
          </cell>
          <cell r="H52">
            <v>0</v>
          </cell>
          <cell r="I52">
            <v>0</v>
          </cell>
          <cell r="J52">
            <v>0</v>
          </cell>
          <cell r="K52">
            <v>1.2430000000000001</v>
          </cell>
          <cell r="L52">
            <v>1.036</v>
          </cell>
          <cell r="M52">
            <v>1.224</v>
          </cell>
          <cell r="N52">
            <v>0.76800000000000002</v>
          </cell>
          <cell r="O52">
            <v>17.300999999999998</v>
          </cell>
          <cell r="R52">
            <v>11.223000000000013</v>
          </cell>
          <cell r="U52">
            <v>10.633999999999986</v>
          </cell>
          <cell r="X52">
            <v>28.649999999999981</v>
          </cell>
          <cell r="AA52">
            <v>18.159000000000091</v>
          </cell>
          <cell r="AD52">
            <v>15.502999999999993</v>
          </cell>
          <cell r="AG52">
            <v>11.911000000000108</v>
          </cell>
          <cell r="AH52">
            <v>5.27099999999992</v>
          </cell>
          <cell r="AI52">
            <v>1.1379999999999955</v>
          </cell>
          <cell r="AJ52">
            <v>1.1380000000002797</v>
          </cell>
          <cell r="AK52">
            <v>1.138000000000166</v>
          </cell>
          <cell r="AL52">
            <v>1.138000000000166</v>
          </cell>
          <cell r="AM52">
            <v>1.1380000000002797</v>
          </cell>
        </row>
        <row r="53">
          <cell r="B53" t="str">
            <v>Total assets</v>
          </cell>
          <cell r="C53" t="str">
            <v>TOT_ASSET</v>
          </cell>
          <cell r="D53" t="str">
            <v>GBP</v>
          </cell>
          <cell r="F53">
            <v>62.874999999999993</v>
          </cell>
          <cell r="G53">
            <v>63.435999999999993</v>
          </cell>
          <cell r="H53">
            <v>95.77600000000001</v>
          </cell>
          <cell r="I53">
            <v>115.01600000000001</v>
          </cell>
          <cell r="J53">
            <v>167.60500000000002</v>
          </cell>
          <cell r="K53">
            <v>174.49300000000002</v>
          </cell>
          <cell r="L53">
            <v>186.20099999999999</v>
          </cell>
          <cell r="M53">
            <v>210.18900000000002</v>
          </cell>
          <cell r="N53">
            <v>239.505</v>
          </cell>
          <cell r="O53">
            <v>331.18099999999998</v>
          </cell>
          <cell r="R53">
            <v>320.22000000000003</v>
          </cell>
          <cell r="U53">
            <v>368.185</v>
          </cell>
          <cell r="X53">
            <v>614.06899999999996</v>
          </cell>
          <cell r="AA53">
            <v>578.52300000000002</v>
          </cell>
          <cell r="AD53">
            <v>653.76599999999996</v>
          </cell>
          <cell r="AG53">
            <v>776.05400000000009</v>
          </cell>
          <cell r="AH53">
            <v>792.67</v>
          </cell>
          <cell r="AI53">
            <v>831.34053772968002</v>
          </cell>
          <cell r="AJ53">
            <v>896.03352418238387</v>
          </cell>
          <cell r="AK53">
            <v>954.59771237795246</v>
          </cell>
          <cell r="AL53">
            <v>1050.1983371768065</v>
          </cell>
          <cell r="AM53">
            <v>1141.4461596269275</v>
          </cell>
        </row>
        <row r="54">
          <cell r="B54" t="str">
            <v>Accounts payable</v>
          </cell>
          <cell r="C54" t="str">
            <v>ACC_PAY_GQ</v>
          </cell>
          <cell r="D54" t="str">
            <v>GBP</v>
          </cell>
          <cell r="F54">
            <v>46.393999999999998</v>
          </cell>
          <cell r="G54">
            <v>46.188000000000002</v>
          </cell>
          <cell r="H54">
            <v>54.863</v>
          </cell>
          <cell r="I54">
            <v>54.442000000000007</v>
          </cell>
          <cell r="J54">
            <v>53.166000000000004</v>
          </cell>
          <cell r="K54">
            <v>62.511999999999993</v>
          </cell>
          <cell r="L54">
            <v>70.081000000000003</v>
          </cell>
          <cell r="M54">
            <v>77.538000000000011</v>
          </cell>
          <cell r="N54">
            <v>85.082999999999984</v>
          </cell>
          <cell r="O54">
            <v>104.009</v>
          </cell>
          <cell r="R54">
            <v>110.235</v>
          </cell>
          <cell r="U54">
            <v>116.247</v>
          </cell>
          <cell r="X54">
            <v>210.09299999999999</v>
          </cell>
          <cell r="AA54">
            <v>169.553</v>
          </cell>
          <cell r="AD54">
            <v>206.09299999999999</v>
          </cell>
          <cell r="AG54">
            <v>235.709</v>
          </cell>
          <cell r="AH54">
            <v>242.858</v>
          </cell>
          <cell r="AI54">
            <v>260.79197634535365</v>
          </cell>
          <cell r="AJ54">
            <v>284.025934369114</v>
          </cell>
          <cell r="AK54">
            <v>299.66301705150988</v>
          </cell>
          <cell r="AL54">
            <v>320.17317166117903</v>
          </cell>
          <cell r="AM54">
            <v>343.67244362693123</v>
          </cell>
        </row>
        <row r="55">
          <cell r="B55" t="str">
            <v>Short-term debt</v>
          </cell>
          <cell r="C55" t="str">
            <v>SHORT_T_DEBT</v>
          </cell>
          <cell r="D55" t="str">
            <v>GBP</v>
          </cell>
          <cell r="F55">
            <v>5.4000000000000006E-2</v>
          </cell>
          <cell r="G55">
            <v>3.4000000000000002E-2</v>
          </cell>
          <cell r="H55">
            <v>14.719000000000001</v>
          </cell>
          <cell r="I55">
            <v>24.681999999999999</v>
          </cell>
          <cell r="J55">
            <v>27.152999999999999</v>
          </cell>
          <cell r="K55">
            <v>23.686</v>
          </cell>
          <cell r="L55">
            <v>1.262</v>
          </cell>
          <cell r="M55">
            <v>1.2E-2</v>
          </cell>
          <cell r="N55">
            <v>48.134999999999998</v>
          </cell>
          <cell r="O55">
            <v>0.10300000000000001</v>
          </cell>
          <cell r="R55">
            <v>0</v>
          </cell>
          <cell r="U55">
            <v>0</v>
          </cell>
          <cell r="X55">
            <v>0</v>
          </cell>
          <cell r="AA55">
            <v>70.489000000000004</v>
          </cell>
          <cell r="AD55">
            <v>49.991999999999997</v>
          </cell>
          <cell r="AG55">
            <v>78.912000000000006</v>
          </cell>
          <cell r="AH55">
            <v>27.544</v>
          </cell>
          <cell r="AI55">
            <v>27.544</v>
          </cell>
          <cell r="AJ55">
            <v>27.544</v>
          </cell>
          <cell r="AK55">
            <v>27.544</v>
          </cell>
          <cell r="AL55">
            <v>27.544</v>
          </cell>
          <cell r="AM55">
            <v>27.544</v>
          </cell>
        </row>
        <row r="56">
          <cell r="B56" t="str">
            <v>Other current liabilities</v>
          </cell>
          <cell r="C56" t="str">
            <v>OTH_CUR_LIABS</v>
          </cell>
          <cell r="D56" t="str">
            <v>GBP</v>
          </cell>
          <cell r="F56">
            <v>6.1639999999999997</v>
          </cell>
          <cell r="G56">
            <v>7.2439999999999998</v>
          </cell>
          <cell r="H56">
            <v>8.4039999999999999</v>
          </cell>
          <cell r="I56">
            <v>7.3650000000000002</v>
          </cell>
          <cell r="J56">
            <v>10.149000000000001</v>
          </cell>
          <cell r="K56">
            <v>8.636000000000001</v>
          </cell>
          <cell r="L56">
            <v>9.2789999999999999</v>
          </cell>
          <cell r="M56">
            <v>9.9779999999999998</v>
          </cell>
          <cell r="N56">
            <v>13.738</v>
          </cell>
          <cell r="O56">
            <v>15.117000000000001</v>
          </cell>
          <cell r="R56">
            <v>17.868000000000009</v>
          </cell>
          <cell r="U56">
            <v>19.791999999999987</v>
          </cell>
          <cell r="X56">
            <v>22.384000000000015</v>
          </cell>
          <cell r="AA56">
            <v>33.78</v>
          </cell>
          <cell r="AD56">
            <v>39.473000000000006</v>
          </cell>
          <cell r="AG56">
            <v>34.503999999999991</v>
          </cell>
          <cell r="AH56">
            <v>36.429000000000016</v>
          </cell>
          <cell r="AI56">
            <v>36.428999999999959</v>
          </cell>
          <cell r="AJ56">
            <v>36.428999999999959</v>
          </cell>
          <cell r="AK56">
            <v>36.428999999999959</v>
          </cell>
          <cell r="AL56">
            <v>36.428999999999959</v>
          </cell>
          <cell r="AM56">
            <v>36.428999999999959</v>
          </cell>
        </row>
        <row r="57">
          <cell r="B57" t="str">
            <v>Total current liabilities</v>
          </cell>
          <cell r="C57" t="str">
            <v>SHORT_TERM_LIABS</v>
          </cell>
          <cell r="D57" t="str">
            <v>GBP</v>
          </cell>
          <cell r="F57">
            <v>52.612000000000002</v>
          </cell>
          <cell r="G57">
            <v>53.466000000000001</v>
          </cell>
          <cell r="H57">
            <v>77.98599999999999</v>
          </cell>
          <cell r="I57">
            <v>86.489000000000004</v>
          </cell>
          <cell r="J57">
            <v>90.468000000000004</v>
          </cell>
          <cell r="K57">
            <v>94.833999999999989</v>
          </cell>
          <cell r="L57">
            <v>80.622</v>
          </cell>
          <cell r="M57">
            <v>87.528000000000006</v>
          </cell>
          <cell r="N57">
            <v>146.95599999999999</v>
          </cell>
          <cell r="O57">
            <v>119.229</v>
          </cell>
          <cell r="R57">
            <v>128.10300000000001</v>
          </cell>
          <cell r="U57">
            <v>136.03899999999999</v>
          </cell>
          <cell r="X57">
            <v>232.477</v>
          </cell>
          <cell r="AA57">
            <v>273.822</v>
          </cell>
          <cell r="AD57">
            <v>295.55799999999999</v>
          </cell>
          <cell r="AG57">
            <v>349.125</v>
          </cell>
          <cell r="AH57">
            <v>306.83100000000002</v>
          </cell>
          <cell r="AI57">
            <v>324.7649763453536</v>
          </cell>
          <cell r="AJ57">
            <v>347.99893436911395</v>
          </cell>
          <cell r="AK57">
            <v>363.63601705150984</v>
          </cell>
          <cell r="AL57">
            <v>384.14617166117898</v>
          </cell>
          <cell r="AM57">
            <v>407.64544362693118</v>
          </cell>
        </row>
        <row r="58">
          <cell r="B58" t="str">
            <v>Long-term  debt</v>
          </cell>
          <cell r="C58" t="str">
            <v>LT_DEBT</v>
          </cell>
          <cell r="D58" t="str">
            <v>GBP</v>
          </cell>
          <cell r="F58">
            <v>0</v>
          </cell>
          <cell r="G58">
            <v>0</v>
          </cell>
          <cell r="H58">
            <v>0</v>
          </cell>
          <cell r="I58">
            <v>0</v>
          </cell>
          <cell r="J58">
            <v>41.322000000000003</v>
          </cell>
          <cell r="K58">
            <v>32.868000000000002</v>
          </cell>
          <cell r="L58">
            <v>46.125999999999998</v>
          </cell>
          <cell r="M58">
            <v>49.37</v>
          </cell>
          <cell r="N58">
            <v>0</v>
          </cell>
          <cell r="O58">
            <v>74.367000000000004</v>
          </cell>
          <cell r="R58">
            <v>32.722000000000001</v>
          </cell>
          <cell r="U58">
            <v>41.607999999999997</v>
          </cell>
          <cell r="X58">
            <v>107.214</v>
          </cell>
          <cell r="AA58">
            <v>0</v>
          </cell>
          <cell r="AD58">
            <v>0</v>
          </cell>
          <cell r="AG58">
            <v>8.1479999999999997</v>
          </cell>
          <cell r="AH58">
            <v>46.209000000000003</v>
          </cell>
          <cell r="AI58">
            <v>46.209000000000003</v>
          </cell>
          <cell r="AJ58">
            <v>46.209000000000003</v>
          </cell>
          <cell r="AK58">
            <v>46.209000000000003</v>
          </cell>
          <cell r="AL58">
            <v>76.209000000000003</v>
          </cell>
          <cell r="AM58">
            <v>96.209000000000003</v>
          </cell>
        </row>
        <row r="59">
          <cell r="B59" t="str">
            <v>Other long-term liabilities</v>
          </cell>
          <cell r="C59" t="str">
            <v>OTH_LT_CRED_GQ</v>
          </cell>
          <cell r="D59" t="str">
            <v>GBP</v>
          </cell>
          <cell r="F59">
            <v>6.3319999999999999</v>
          </cell>
          <cell r="G59">
            <v>5.8149999999999995</v>
          </cell>
          <cell r="H59">
            <v>4.6440000000000001</v>
          </cell>
          <cell r="I59">
            <v>4.9940000000000007</v>
          </cell>
          <cell r="J59">
            <v>2.98</v>
          </cell>
          <cell r="K59">
            <v>3.242</v>
          </cell>
          <cell r="L59">
            <v>4.8220000000000001</v>
          </cell>
          <cell r="M59">
            <v>8.6219999999999999</v>
          </cell>
          <cell r="N59">
            <v>12.419999999999998</v>
          </cell>
          <cell r="O59">
            <v>52.714000000000006</v>
          </cell>
          <cell r="R59">
            <v>42.003999999999998</v>
          </cell>
          <cell r="U59">
            <v>48.643999999999998</v>
          </cell>
          <cell r="X59">
            <v>130.309</v>
          </cell>
          <cell r="AA59">
            <v>121.235</v>
          </cell>
          <cell r="AD59">
            <v>115.07299999999999</v>
          </cell>
          <cell r="AG59">
            <v>133.613</v>
          </cell>
          <cell r="AH59">
            <v>125.405</v>
          </cell>
          <cell r="AI59">
            <v>104.41799999999998</v>
          </cell>
          <cell r="AJ59">
            <v>104.41800000000001</v>
          </cell>
          <cell r="AK59">
            <v>104.41800000000001</v>
          </cell>
          <cell r="AL59">
            <v>104.41800000000001</v>
          </cell>
          <cell r="AM59">
            <v>104.41800000000001</v>
          </cell>
        </row>
        <row r="60">
          <cell r="B60" t="str">
            <v>Total long-term liabilities</v>
          </cell>
          <cell r="C60" t="str">
            <v>TOT_LT_LIAB</v>
          </cell>
          <cell r="D60" t="str">
            <v>GBP</v>
          </cell>
          <cell r="F60">
            <v>6.3319999999999999</v>
          </cell>
          <cell r="G60">
            <v>5.8149999999999995</v>
          </cell>
          <cell r="H60">
            <v>4.6440000000000001</v>
          </cell>
          <cell r="I60">
            <v>4.9940000000000007</v>
          </cell>
          <cell r="J60">
            <v>44.302</v>
          </cell>
          <cell r="K60">
            <v>36.11</v>
          </cell>
          <cell r="L60">
            <v>50.948</v>
          </cell>
          <cell r="M60">
            <v>57.991999999999997</v>
          </cell>
          <cell r="N60">
            <v>12.419999999999998</v>
          </cell>
          <cell r="O60">
            <v>127.08100000000002</v>
          </cell>
          <cell r="R60">
            <v>74.725999999999999</v>
          </cell>
          <cell r="U60">
            <v>90.251999999999995</v>
          </cell>
          <cell r="X60">
            <v>237.523</v>
          </cell>
          <cell r="AA60">
            <v>121.235</v>
          </cell>
          <cell r="AD60">
            <v>115.07299999999999</v>
          </cell>
          <cell r="AG60">
            <v>141.761</v>
          </cell>
          <cell r="AH60">
            <v>171.614</v>
          </cell>
          <cell r="AI60">
            <v>150.62699999999998</v>
          </cell>
          <cell r="AJ60">
            <v>150.62700000000001</v>
          </cell>
          <cell r="AK60">
            <v>150.62700000000001</v>
          </cell>
          <cell r="AL60">
            <v>180.62700000000001</v>
          </cell>
          <cell r="AM60">
            <v>200.62700000000001</v>
          </cell>
        </row>
        <row r="61">
          <cell r="B61" t="str">
            <v>Total liabilities</v>
          </cell>
          <cell r="C61" t="str">
            <v>TOT_LIAB</v>
          </cell>
          <cell r="D61" t="str">
            <v>GBP</v>
          </cell>
          <cell r="F61">
            <v>58.944000000000003</v>
          </cell>
          <cell r="G61">
            <v>59.280999999999999</v>
          </cell>
          <cell r="H61">
            <v>82.63</v>
          </cell>
          <cell r="I61">
            <v>91.483000000000004</v>
          </cell>
          <cell r="J61">
            <v>134.77000000000001</v>
          </cell>
          <cell r="K61">
            <v>130.94399999999999</v>
          </cell>
          <cell r="L61">
            <v>131.57</v>
          </cell>
          <cell r="M61">
            <v>145.52000000000001</v>
          </cell>
          <cell r="N61">
            <v>159.37599999999998</v>
          </cell>
          <cell r="O61">
            <v>246.31</v>
          </cell>
          <cell r="R61">
            <v>202.82900000000001</v>
          </cell>
          <cell r="U61">
            <v>226.291</v>
          </cell>
          <cell r="X61">
            <v>470</v>
          </cell>
          <cell r="AA61">
            <v>395.05700000000002</v>
          </cell>
          <cell r="AD61">
            <v>410.63099999999997</v>
          </cell>
          <cell r="AG61">
            <v>490.88599999999997</v>
          </cell>
          <cell r="AH61">
            <v>478.44500000000005</v>
          </cell>
          <cell r="AI61">
            <v>475.39197634535356</v>
          </cell>
          <cell r="AJ61">
            <v>498.62593436911396</v>
          </cell>
          <cell r="AK61">
            <v>514.26301705150991</v>
          </cell>
          <cell r="AL61">
            <v>564.77317166117905</v>
          </cell>
          <cell r="AM61">
            <v>608.27244362693114</v>
          </cell>
        </row>
        <row r="62">
          <cell r="B62" t="str">
            <v>Preferred shares</v>
          </cell>
          <cell r="C62" t="str">
            <v>PREF_SH</v>
          </cell>
          <cell r="D62" t="str">
            <v>GBP</v>
          </cell>
        </row>
        <row r="63">
          <cell r="B63" t="str">
            <v>Total common equity</v>
          </cell>
          <cell r="C63" t="str">
            <v>ORD_SH_FUND</v>
          </cell>
          <cell r="D63" t="str">
            <v>GBP</v>
          </cell>
          <cell r="F63">
            <v>3.8969999999999985</v>
          </cell>
          <cell r="G63">
            <v>4.1380000000000017</v>
          </cell>
          <cell r="H63">
            <v>12.998000000000001</v>
          </cell>
          <cell r="I63">
            <v>23.414000000000001</v>
          </cell>
          <cell r="J63">
            <v>32.987000000000002</v>
          </cell>
          <cell r="K63">
            <v>43.664000000000001</v>
          </cell>
          <cell r="L63">
            <v>54.631</v>
          </cell>
          <cell r="M63">
            <v>64.674000000000007</v>
          </cell>
          <cell r="N63">
            <v>81.119</v>
          </cell>
          <cell r="O63">
            <v>85.055999999999997</v>
          </cell>
          <cell r="R63">
            <v>117.39099999999999</v>
          </cell>
          <cell r="U63">
            <v>141.89400000000001</v>
          </cell>
          <cell r="X63">
            <v>144.06900000000002</v>
          </cell>
          <cell r="AA63">
            <v>183.46600000000001</v>
          </cell>
          <cell r="AD63">
            <v>243.13499999999999</v>
          </cell>
          <cell r="AG63">
            <v>284.75400000000002</v>
          </cell>
          <cell r="AH63">
            <v>313.52600000000001</v>
          </cell>
          <cell r="AI63">
            <v>355.2495613843264</v>
          </cell>
          <cell r="AJ63">
            <v>396.70858981326967</v>
          </cell>
          <cell r="AK63">
            <v>439.63569532644243</v>
          </cell>
          <cell r="AL63">
            <v>484.72616551562726</v>
          </cell>
          <cell r="AM63">
            <v>532.47471599999596</v>
          </cell>
        </row>
        <row r="64">
          <cell r="B64" t="str">
            <v>Minority interest</v>
          </cell>
          <cell r="C64" t="str">
            <v>MINORITIES</v>
          </cell>
          <cell r="D64" t="str">
            <v>GBP</v>
          </cell>
          <cell r="F64">
            <v>0</v>
          </cell>
          <cell r="G64">
            <v>0</v>
          </cell>
          <cell r="H64">
            <v>0</v>
          </cell>
          <cell r="I64">
            <v>0</v>
          </cell>
          <cell r="J64">
            <v>0</v>
          </cell>
          <cell r="K64">
            <v>0</v>
          </cell>
          <cell r="L64">
            <v>0</v>
          </cell>
          <cell r="M64">
            <v>0</v>
          </cell>
          <cell r="N64">
            <v>0</v>
          </cell>
          <cell r="O64">
            <v>0</v>
          </cell>
          <cell r="R64">
            <v>0</v>
          </cell>
          <cell r="U64">
            <v>0</v>
          </cell>
          <cell r="X64">
            <v>0</v>
          </cell>
          <cell r="AA64">
            <v>0</v>
          </cell>
          <cell r="AD64">
            <v>0</v>
          </cell>
          <cell r="AG64">
            <v>0.41399999999999998</v>
          </cell>
          <cell r="AH64">
            <v>0.69899999999999995</v>
          </cell>
          <cell r="AI64">
            <v>0.69899999999999995</v>
          </cell>
          <cell r="AJ64">
            <v>0.69899999999999995</v>
          </cell>
          <cell r="AK64">
            <v>0.69899999999999995</v>
          </cell>
          <cell r="AL64">
            <v>0.69899999999999995</v>
          </cell>
          <cell r="AM64">
            <v>0.69899999999999995</v>
          </cell>
        </row>
        <row r="65">
          <cell r="B65" t="str">
            <v>Total shareholders' equity</v>
          </cell>
          <cell r="C65" t="str">
            <v>EQ</v>
          </cell>
          <cell r="D65" t="str">
            <v>GBP</v>
          </cell>
          <cell r="F65">
            <v>3.8969999999999985</v>
          </cell>
          <cell r="G65">
            <v>4.1380000000000017</v>
          </cell>
          <cell r="H65">
            <v>12.998000000000001</v>
          </cell>
          <cell r="I65">
            <v>23.414000000000001</v>
          </cell>
          <cell r="J65">
            <v>32.987000000000002</v>
          </cell>
          <cell r="K65">
            <v>43.664000000000001</v>
          </cell>
          <cell r="L65">
            <v>54.631</v>
          </cell>
          <cell r="M65">
            <v>64.674000000000007</v>
          </cell>
          <cell r="N65">
            <v>81.119</v>
          </cell>
          <cell r="O65">
            <v>85.055999999999997</v>
          </cell>
          <cell r="R65">
            <v>117.39099999999999</v>
          </cell>
          <cell r="U65">
            <v>141.89400000000001</v>
          </cell>
          <cell r="X65">
            <v>144.06900000000002</v>
          </cell>
          <cell r="AA65">
            <v>183.46600000000001</v>
          </cell>
          <cell r="AD65">
            <v>243.13499999999999</v>
          </cell>
          <cell r="AG65">
            <v>285.16800000000001</v>
          </cell>
          <cell r="AH65">
            <v>314.22500000000002</v>
          </cell>
          <cell r="AI65">
            <v>355.94856138432641</v>
          </cell>
          <cell r="AJ65">
            <v>397.40758981326968</v>
          </cell>
          <cell r="AK65">
            <v>440.33469532644244</v>
          </cell>
          <cell r="AL65">
            <v>485.42516551562727</v>
          </cell>
          <cell r="AM65">
            <v>533.17371599999592</v>
          </cell>
        </row>
        <row r="66">
          <cell r="B66" t="str">
            <v>Total liabilities and equity</v>
          </cell>
          <cell r="C66" t="str">
            <v>TOT_LIAB_EQ</v>
          </cell>
          <cell r="D66" t="str">
            <v>GBP</v>
          </cell>
          <cell r="F66">
            <v>62.841000000000001</v>
          </cell>
          <cell r="G66">
            <v>63.418999999999997</v>
          </cell>
          <cell r="H66">
            <v>95.628</v>
          </cell>
          <cell r="I66">
            <v>114.89700000000001</v>
          </cell>
          <cell r="J66">
            <v>167.75700000000001</v>
          </cell>
          <cell r="K66">
            <v>174.608</v>
          </cell>
          <cell r="L66">
            <v>186.20099999999999</v>
          </cell>
          <cell r="M66">
            <v>210.19400000000002</v>
          </cell>
          <cell r="N66">
            <v>240.49499999999998</v>
          </cell>
          <cell r="O66">
            <v>331.36599999999999</v>
          </cell>
          <cell r="R66">
            <v>320.22000000000003</v>
          </cell>
          <cell r="U66">
            <v>368.185</v>
          </cell>
          <cell r="X66">
            <v>614.06899999999996</v>
          </cell>
          <cell r="AA66">
            <v>578.52300000000002</v>
          </cell>
          <cell r="AD66">
            <v>653.76599999999996</v>
          </cell>
          <cell r="AG66">
            <v>776.05399999999997</v>
          </cell>
          <cell r="AH66">
            <v>792.67000000000007</v>
          </cell>
          <cell r="AI66">
            <v>831.34053772967991</v>
          </cell>
          <cell r="AJ66">
            <v>896.03352418238364</v>
          </cell>
          <cell r="AK66">
            <v>954.59771237795235</v>
          </cell>
          <cell r="AL66">
            <v>1050.1983371768063</v>
          </cell>
          <cell r="AM66">
            <v>1141.4461596269271</v>
          </cell>
        </row>
        <row r="67">
          <cell r="A67" t="str">
            <v>Additional Balance Sheet Items</v>
          </cell>
        </row>
        <row r="68">
          <cell r="B68" t="str">
            <v>Net debt</v>
          </cell>
          <cell r="C68" t="str">
            <v>NET_DEBT</v>
          </cell>
          <cell r="D68" t="str">
            <v>GBP</v>
          </cell>
          <cell r="F68">
            <v>-5.6680000000000001</v>
          </cell>
          <cell r="G68">
            <v>-8.9669999999999987</v>
          </cell>
          <cell r="H68">
            <v>0.11200000000000113</v>
          </cell>
          <cell r="I68">
            <v>11.705999999999998</v>
          </cell>
          <cell r="J68">
            <v>55.652000000000001</v>
          </cell>
          <cell r="K68">
            <v>40.562000000000005</v>
          </cell>
          <cell r="L68">
            <v>39.256</v>
          </cell>
          <cell r="M68">
            <v>30.334999999999997</v>
          </cell>
          <cell r="N68">
            <v>23.159999999999997</v>
          </cell>
          <cell r="O68">
            <v>34.277000000000008</v>
          </cell>
          <cell r="R68">
            <v>7.0940000000000012</v>
          </cell>
          <cell r="U68">
            <v>14.188999999999997</v>
          </cell>
          <cell r="X68">
            <v>63.829000000000001</v>
          </cell>
          <cell r="AA68">
            <v>28.680000000000007</v>
          </cell>
          <cell r="AD68">
            <v>-18.137000000000008</v>
          </cell>
          <cell r="AG68">
            <v>46.009</v>
          </cell>
          <cell r="AH68">
            <v>42.913000000000004</v>
          </cell>
          <cell r="AI68">
            <v>-3.3575292298805834</v>
          </cell>
          <cell r="AJ68">
            <v>32.152854675016869</v>
          </cell>
          <cell r="AK68">
            <v>65.145472819501521</v>
          </cell>
          <cell r="AL68">
            <v>94.23306256949337</v>
          </cell>
          <cell r="AM68">
            <v>118.73087161520286</v>
          </cell>
        </row>
        <row r="69">
          <cell r="B69" t="str">
            <v>Capitalized leases</v>
          </cell>
          <cell r="C69" t="str">
            <v>CAP_LEASES</v>
          </cell>
          <cell r="D69" t="str">
            <v>GBP</v>
          </cell>
          <cell r="F69">
            <v>0</v>
          </cell>
          <cell r="G69">
            <v>0</v>
          </cell>
          <cell r="H69">
            <v>0</v>
          </cell>
          <cell r="I69">
            <v>0</v>
          </cell>
          <cell r="J69">
            <v>0</v>
          </cell>
          <cell r="K69">
            <v>0</v>
          </cell>
          <cell r="L69">
            <v>0</v>
          </cell>
          <cell r="M69">
            <v>0</v>
          </cell>
          <cell r="N69">
            <v>0</v>
          </cell>
          <cell r="O69">
            <v>0</v>
          </cell>
          <cell r="R69">
            <v>0</v>
          </cell>
          <cell r="U69">
            <v>0</v>
          </cell>
          <cell r="X69">
            <v>0</v>
          </cell>
          <cell r="AA69">
            <v>0</v>
          </cell>
          <cell r="AD69">
            <v>0</v>
          </cell>
          <cell r="AG69">
            <v>0</v>
          </cell>
          <cell r="AH69">
            <v>0</v>
          </cell>
          <cell r="AI69">
            <v>0</v>
          </cell>
          <cell r="AJ69">
            <v>0</v>
          </cell>
          <cell r="AK69">
            <v>0</v>
          </cell>
          <cell r="AL69">
            <v>0</v>
          </cell>
          <cell r="AM69">
            <v>0</v>
          </cell>
        </row>
        <row r="70">
          <cell r="B70" t="str">
            <v>Deferred income taxes</v>
          </cell>
          <cell r="C70" t="str">
            <v>DEF_INC_TAX</v>
          </cell>
          <cell r="D70" t="str">
            <v>GBP</v>
          </cell>
        </row>
        <row r="71">
          <cell r="B71" t="str">
            <v>Associates (mkt value) used in EV calculation</v>
          </cell>
          <cell r="C71" t="str">
            <v>MV_ASSOCIATES</v>
          </cell>
          <cell r="D71" t="str">
            <v>GBP</v>
          </cell>
        </row>
        <row r="72">
          <cell r="B72" t="str">
            <v>Net debt adjustment</v>
          </cell>
          <cell r="C72" t="str">
            <v>NET_DEBT_ADJ</v>
          </cell>
          <cell r="D72" t="str">
            <v>GBP</v>
          </cell>
        </row>
        <row r="73">
          <cell r="B73" t="str">
            <v>Company borrowing margin</v>
          </cell>
          <cell r="C73" t="str">
            <v>CO_BOR_MARGIN</v>
          </cell>
        </row>
        <row r="74">
          <cell r="B74" t="str">
            <v>Unfunded pensions &amp; other provisions</v>
          </cell>
          <cell r="C74" t="str">
            <v>UNF_PENS</v>
          </cell>
          <cell r="D74" t="str">
            <v>GBP</v>
          </cell>
          <cell r="F74">
            <v>0</v>
          </cell>
          <cell r="G74">
            <v>0</v>
          </cell>
          <cell r="H74">
            <v>0</v>
          </cell>
          <cell r="I74">
            <v>0</v>
          </cell>
          <cell r="J74">
            <v>0</v>
          </cell>
          <cell r="K74">
            <v>0</v>
          </cell>
          <cell r="L74">
            <v>0</v>
          </cell>
          <cell r="M74">
            <v>-0.40450000000000003</v>
          </cell>
          <cell r="N74">
            <v>-0.38550000000000001</v>
          </cell>
          <cell r="O74">
            <v>-16.288</v>
          </cell>
        </row>
        <row r="75">
          <cell r="B75" t="str">
            <v>Unfunded pension liabilities (off balance sheet)</v>
          </cell>
          <cell r="C75" t="str">
            <v>UNF_PENS_OFF</v>
          </cell>
          <cell r="D75" t="str">
            <v>GBP</v>
          </cell>
        </row>
        <row r="76">
          <cell r="B76" t="str">
            <v>Unfunded pension liabilities &amp; other, used in EV</v>
          </cell>
          <cell r="C76" t="str">
            <v>UNF_PENS_LIAB_OTH</v>
          </cell>
          <cell r="D76" t="str">
            <v>GBP</v>
          </cell>
          <cell r="F76">
            <v>0</v>
          </cell>
          <cell r="G76">
            <v>0</v>
          </cell>
          <cell r="H76">
            <v>0</v>
          </cell>
          <cell r="I76">
            <v>0</v>
          </cell>
          <cell r="J76">
            <v>0</v>
          </cell>
          <cell r="K76">
            <v>0</v>
          </cell>
          <cell r="L76">
            <v>0</v>
          </cell>
          <cell r="M76">
            <v>0.40450000000000003</v>
          </cell>
          <cell r="N76">
            <v>0.38550000000000001</v>
          </cell>
          <cell r="O76">
            <v>16.288</v>
          </cell>
          <cell r="R76">
            <v>25.231513149009949</v>
          </cell>
          <cell r="U76">
            <v>29.446389053449188</v>
          </cell>
          <cell r="X76">
            <v>44.32834517576665</v>
          </cell>
          <cell r="AA76">
            <v>56.948854826453314</v>
          </cell>
          <cell r="AD76">
            <v>56.510615144904946</v>
          </cell>
          <cell r="AG76">
            <v>59.655782134185067</v>
          </cell>
          <cell r="AH76">
            <v>61.892376581347449</v>
          </cell>
          <cell r="AI76">
            <v>62.737480000000005</v>
          </cell>
          <cell r="AJ76">
            <v>62.737480000000005</v>
          </cell>
          <cell r="AK76">
            <v>62.737480000000005</v>
          </cell>
          <cell r="AL76">
            <v>62.737480000000005</v>
          </cell>
          <cell r="AM76">
            <v>62.737480000000005</v>
          </cell>
        </row>
        <row r="77">
          <cell r="B77" t="str">
            <v>Adjustment for unfunded pensions &amp; goodwill</v>
          </cell>
          <cell r="C77" t="str">
            <v>ADJ_UNF_PENS_GOOD</v>
          </cell>
          <cell r="D77" t="str">
            <v>GBP</v>
          </cell>
        </row>
        <row r="78">
          <cell r="B78" t="str">
            <v>Other GCI adjustments</v>
          </cell>
          <cell r="C78" t="str">
            <v>OTH_GCI_ADJ</v>
          </cell>
          <cell r="D78" t="str">
            <v>GBP</v>
          </cell>
          <cell r="R78">
            <v>-9.9640000000000004</v>
          </cell>
          <cell r="U78">
            <v>-14.122999999999999</v>
          </cell>
          <cell r="X78">
            <v>-14.723000000000001</v>
          </cell>
          <cell r="AA78">
            <v>-15.077</v>
          </cell>
          <cell r="AD78">
            <v>-15.877000000000004</v>
          </cell>
          <cell r="AG78">
            <v>-16.777000000000008</v>
          </cell>
          <cell r="AH78">
            <v>-17.37700000000001</v>
          </cell>
          <cell r="AI78">
            <v>-18.165474394352909</v>
          </cell>
          <cell r="AJ78">
            <v>-19.024193975072073</v>
          </cell>
          <cell r="AK78">
            <v>-19.930190467720156</v>
          </cell>
          <cell r="AL78">
            <v>-20.898197041968785</v>
          </cell>
          <cell r="AM78">
            <v>-21.937250948618448</v>
          </cell>
        </row>
        <row r="79">
          <cell r="B79" t="str">
            <v>GCI inflator</v>
          </cell>
          <cell r="C79" t="str">
            <v>GCI_INFL</v>
          </cell>
        </row>
        <row r="80">
          <cell r="B80" t="str">
            <v>Minority interest</v>
          </cell>
          <cell r="C80" t="str">
            <v>BAL_MINO_INT</v>
          </cell>
          <cell r="D80" t="str">
            <v>GBP</v>
          </cell>
          <cell r="R80">
            <v>0</v>
          </cell>
          <cell r="U80">
            <v>0</v>
          </cell>
          <cell r="X80">
            <v>0</v>
          </cell>
          <cell r="AA80">
            <v>0</v>
          </cell>
          <cell r="AD80">
            <v>0</v>
          </cell>
          <cell r="AG80">
            <v>0</v>
          </cell>
          <cell r="AH80">
            <v>0</v>
          </cell>
          <cell r="AI80">
            <v>0</v>
          </cell>
          <cell r="AJ80">
            <v>0</v>
          </cell>
          <cell r="AK80">
            <v>0</v>
          </cell>
          <cell r="AL80">
            <v>0</v>
          </cell>
          <cell r="AM80">
            <v>0</v>
          </cell>
        </row>
        <row r="81">
          <cell r="A81" t="str">
            <v>Cash Flow Statement</v>
          </cell>
        </row>
        <row r="82">
          <cell r="B82" t="str">
            <v>Minority interest add-back</v>
          </cell>
          <cell r="C82" t="str">
            <v>CF_INC_MINORITY</v>
          </cell>
          <cell r="D82" t="str">
            <v>GBP</v>
          </cell>
        </row>
        <row r="83">
          <cell r="B83" t="str">
            <v>Depreciation &amp; amortization add-back</v>
          </cell>
          <cell r="C83" t="str">
            <v>DEPR_AMORT</v>
          </cell>
          <cell r="D83" t="str">
            <v>GBP</v>
          </cell>
          <cell r="F83">
            <v>2.2570000000000001</v>
          </cell>
          <cell r="G83">
            <v>2.113</v>
          </cell>
          <cell r="H83">
            <v>2.5449999999999999</v>
          </cell>
          <cell r="I83">
            <v>4.5709999999999997</v>
          </cell>
          <cell r="J83">
            <v>7.3249999999999993</v>
          </cell>
          <cell r="K83">
            <v>7.7130000000000001</v>
          </cell>
          <cell r="L83">
            <v>8.2949999999999999</v>
          </cell>
          <cell r="M83">
            <v>9.9459999999999997</v>
          </cell>
          <cell r="N83">
            <v>11.911999999999999</v>
          </cell>
          <cell r="O83">
            <v>11.582000000000001</v>
          </cell>
          <cell r="R83">
            <v>12.065999999999999</v>
          </cell>
          <cell r="U83">
            <v>11.186999999999999</v>
          </cell>
          <cell r="X83">
            <v>22.514000000000003</v>
          </cell>
          <cell r="AA83">
            <v>36.295999999999999</v>
          </cell>
          <cell r="AD83">
            <v>31.472999999999999</v>
          </cell>
          <cell r="AG83">
            <v>38.570999999999998</v>
          </cell>
          <cell r="AH83">
            <v>46.123999999999995</v>
          </cell>
          <cell r="AI83">
            <v>45.590286406614069</v>
          </cell>
          <cell r="AJ83">
            <v>49.651925171373392</v>
          </cell>
          <cell r="AK83">
            <v>52.385518006723039</v>
          </cell>
          <cell r="AL83">
            <v>55.970995734996755</v>
          </cell>
          <cell r="AM83">
            <v>60.079015292495882</v>
          </cell>
        </row>
        <row r="84">
          <cell r="B84" t="str">
            <v>(Increase)/decrease in working capital</v>
          </cell>
          <cell r="C84" t="str">
            <v>WORK_CAP</v>
          </cell>
          <cell r="D84" t="str">
            <v>GBP</v>
          </cell>
          <cell r="F84">
            <v>1.048</v>
          </cell>
          <cell r="G84">
            <v>-1.1680000000000001</v>
          </cell>
          <cell r="H84">
            <v>1.218</v>
          </cell>
          <cell r="I84">
            <v>-15.945999999999998</v>
          </cell>
          <cell r="J84">
            <v>-13.388</v>
          </cell>
          <cell r="K84">
            <v>3.1969999999999992</v>
          </cell>
          <cell r="L84">
            <v>3.5439999999999996</v>
          </cell>
          <cell r="M84">
            <v>11.533000000000001</v>
          </cell>
          <cell r="N84">
            <v>1.9080000000000004</v>
          </cell>
          <cell r="O84">
            <v>4.1180000000000003</v>
          </cell>
          <cell r="R84">
            <v>-2.2840000000000007</v>
          </cell>
          <cell r="U84">
            <v>-5.6459999999999999</v>
          </cell>
          <cell r="X84">
            <v>4.6729999999999983</v>
          </cell>
          <cell r="AA84">
            <v>11.864000000000001</v>
          </cell>
          <cell r="AD84">
            <v>0.98999999999999844</v>
          </cell>
          <cell r="AG84">
            <v>15.789000000000001</v>
          </cell>
          <cell r="AH84">
            <v>-10.735000000000001</v>
          </cell>
          <cell r="AI84">
            <v>-7.5074447009995993E-2</v>
          </cell>
          <cell r="AJ84">
            <v>0.57132755844586569</v>
          </cell>
          <cell r="AK84">
            <v>0.38451891240460867</v>
          </cell>
          <cell r="AL84">
            <v>0.50434870134941434</v>
          </cell>
          <cell r="AM84">
            <v>0.57785168001588261</v>
          </cell>
        </row>
        <row r="85">
          <cell r="B85" t="str">
            <v>Other operating cash flow items</v>
          </cell>
          <cell r="C85" t="str">
            <v>OTH_OP_CF</v>
          </cell>
          <cell r="D85" t="str">
            <v>GBP</v>
          </cell>
          <cell r="F85">
            <v>4.050000000000006</v>
          </cell>
          <cell r="G85">
            <v>2.3549999999999991</v>
          </cell>
          <cell r="H85">
            <v>0.78899999999999615</v>
          </cell>
          <cell r="I85">
            <v>-1.9369999999999976</v>
          </cell>
          <cell r="J85">
            <v>-2.0789999999999917</v>
          </cell>
          <cell r="K85">
            <v>-4.8910000000000009</v>
          </cell>
          <cell r="L85">
            <v>-1.5729999999999977</v>
          </cell>
          <cell r="M85">
            <v>-3.3480000000000292</v>
          </cell>
          <cell r="N85">
            <v>-0.83299999999999041</v>
          </cell>
          <cell r="O85">
            <v>-0.92000000000001414</v>
          </cell>
          <cell r="R85">
            <v>0.42699999999999783</v>
          </cell>
          <cell r="U85">
            <v>-0.28599999999999692</v>
          </cell>
          <cell r="X85">
            <v>-12.55</v>
          </cell>
          <cell r="AA85">
            <v>-11.863000000000003</v>
          </cell>
          <cell r="AD85">
            <v>-7.1389999999999851</v>
          </cell>
          <cell r="AG85">
            <v>-21.659999999999997</v>
          </cell>
          <cell r="AH85">
            <v>48.347999999999999</v>
          </cell>
          <cell r="AI85">
            <v>69.029426479326418</v>
          </cell>
          <cell r="AJ85">
            <v>-24.534320958660096</v>
          </cell>
          <cell r="AK85">
            <v>-25.824221147863284</v>
          </cell>
          <cell r="AL85">
            <v>-26.943508012276048</v>
          </cell>
          <cell r="AM85">
            <v>-27.93000128307763</v>
          </cell>
        </row>
        <row r="86">
          <cell r="B86" t="str">
            <v>Cash flow from operating activities</v>
          </cell>
          <cell r="C86" t="str">
            <v>CF_OPS</v>
          </cell>
          <cell r="D86" t="str">
            <v>GBP</v>
          </cell>
          <cell r="F86">
            <v>17.199000000000009</v>
          </cell>
          <cell r="G86">
            <v>16.465999999999987</v>
          </cell>
          <cell r="H86">
            <v>19.233999999999998</v>
          </cell>
          <cell r="I86">
            <v>3.5580000000000105</v>
          </cell>
          <cell r="J86">
            <v>10.832000000000004</v>
          </cell>
          <cell r="K86">
            <v>25.993999999999993</v>
          </cell>
          <cell r="L86">
            <v>32.086999999999989</v>
          </cell>
          <cell r="M86">
            <v>43.415000000000006</v>
          </cell>
          <cell r="N86">
            <v>42.362000000000002</v>
          </cell>
          <cell r="O86">
            <v>48.766000000000012</v>
          </cell>
          <cell r="R86">
            <v>49.55</v>
          </cell>
          <cell r="U86">
            <v>49.558</v>
          </cell>
          <cell r="X86">
            <v>69.102000000000004</v>
          </cell>
          <cell r="AA86">
            <v>102.056</v>
          </cell>
          <cell r="AD86">
            <v>99.281000000000006</v>
          </cell>
          <cell r="AG86">
            <v>115.413</v>
          </cell>
          <cell r="AH86">
            <v>83.736999999999995</v>
          </cell>
          <cell r="AI86">
            <v>114.54463843893049</v>
          </cell>
          <cell r="AJ86">
            <v>120.90401949606257</v>
          </cell>
          <cell r="AK86">
            <v>127.91165460333042</v>
          </cell>
          <cell r="AL86">
            <v>137.07237801366401</v>
          </cell>
          <cell r="AM86">
            <v>147.53323718382683</v>
          </cell>
        </row>
        <row r="87">
          <cell r="B87" t="str">
            <v>Capital expenditures, Capex</v>
          </cell>
          <cell r="C87" t="str">
            <v>CAPEX</v>
          </cell>
          <cell r="D87" t="str">
            <v>GBP</v>
          </cell>
          <cell r="F87">
            <v>0</v>
          </cell>
          <cell r="G87">
            <v>-2.75</v>
          </cell>
          <cell r="H87">
            <v>-3.2040000000000002</v>
          </cell>
          <cell r="I87">
            <v>-3.95</v>
          </cell>
          <cell r="J87">
            <v>-2.7080000000000002</v>
          </cell>
          <cell r="K87">
            <v>-3.24</v>
          </cell>
          <cell r="L87">
            <v>-3.2430000000000003</v>
          </cell>
          <cell r="M87">
            <v>-6.806</v>
          </cell>
          <cell r="N87">
            <v>-5.2430000000000003</v>
          </cell>
          <cell r="O87">
            <v>-10.2203</v>
          </cell>
          <cell r="R87">
            <v>-9.4009999999999998</v>
          </cell>
          <cell r="U87">
            <v>-14.058</v>
          </cell>
          <cell r="X87">
            <v>-14.908000000000001</v>
          </cell>
          <cell r="AA87">
            <v>-9.3320000000000007</v>
          </cell>
          <cell r="AD87">
            <v>-14.927</v>
          </cell>
          <cell r="AG87">
            <v>-15.154</v>
          </cell>
          <cell r="AH87">
            <v>-25.061999999999998</v>
          </cell>
          <cell r="AI87">
            <v>-24.968244114049888</v>
          </cell>
          <cell r="AJ87">
            <v>-27.19266506366003</v>
          </cell>
          <cell r="AK87">
            <v>-28.689760576785076</v>
          </cell>
          <cell r="AL87">
            <v>-30.653404375522857</v>
          </cell>
          <cell r="AM87">
            <v>-32.903226502590016</v>
          </cell>
        </row>
        <row r="88">
          <cell r="B88" t="str">
            <v>Acquisitions</v>
          </cell>
          <cell r="C88" t="str">
            <v>ACQ</v>
          </cell>
          <cell r="D88" t="str">
            <v>GBP</v>
          </cell>
          <cell r="F88">
            <v>-6.1369999999999996</v>
          </cell>
          <cell r="G88">
            <v>-8.8870000000000005</v>
          </cell>
          <cell r="H88">
            <v>-17.748999999999999</v>
          </cell>
          <cell r="I88">
            <v>-5.548</v>
          </cell>
          <cell r="J88">
            <v>-44.722999999999999</v>
          </cell>
          <cell r="K88">
            <v>0</v>
          </cell>
          <cell r="L88">
            <v>-21.946000000000002</v>
          </cell>
          <cell r="M88">
            <v>-18.257999999999999</v>
          </cell>
          <cell r="N88">
            <v>-23.288</v>
          </cell>
          <cell r="O88">
            <v>-36.81</v>
          </cell>
          <cell r="R88">
            <v>-7.7990000000000004</v>
          </cell>
          <cell r="U88">
            <v>-31.015999999999998</v>
          </cell>
          <cell r="X88">
            <v>-78.837999999999994</v>
          </cell>
          <cell r="AA88">
            <v>-30.757999999999999</v>
          </cell>
          <cell r="AD88">
            <v>-13.074</v>
          </cell>
          <cell r="AG88">
            <v>-142.14700000000002</v>
          </cell>
          <cell r="AH88">
            <v>-36.948</v>
          </cell>
          <cell r="AI88">
            <v>-16</v>
          </cell>
          <cell r="AJ88">
            <v>-100</v>
          </cell>
          <cell r="AK88">
            <v>-100</v>
          </cell>
          <cell r="AL88">
            <v>-100</v>
          </cell>
          <cell r="AM88">
            <v>-100</v>
          </cell>
        </row>
        <row r="89">
          <cell r="B89" t="str">
            <v>Divestitures</v>
          </cell>
          <cell r="C89" t="str">
            <v>DIVEST</v>
          </cell>
          <cell r="D89" t="str">
            <v>GBP</v>
          </cell>
          <cell r="F89">
            <v>1.847</v>
          </cell>
          <cell r="G89">
            <v>0</v>
          </cell>
          <cell r="H89">
            <v>0</v>
          </cell>
          <cell r="I89">
            <v>0</v>
          </cell>
          <cell r="J89">
            <v>0.24099999999999999</v>
          </cell>
          <cell r="K89">
            <v>0</v>
          </cell>
          <cell r="L89">
            <v>4.1000000000000002E-2</v>
          </cell>
          <cell r="M89">
            <v>0.01</v>
          </cell>
          <cell r="N89">
            <v>3.0000000000000001E-3</v>
          </cell>
          <cell r="O89">
            <v>0.1</v>
          </cell>
          <cell r="R89">
            <v>0</v>
          </cell>
          <cell r="U89">
            <v>0</v>
          </cell>
          <cell r="X89">
            <v>0</v>
          </cell>
          <cell r="AA89">
            <v>0</v>
          </cell>
          <cell r="AD89">
            <v>0</v>
          </cell>
          <cell r="AG89">
            <v>0</v>
          </cell>
          <cell r="AH89">
            <v>0</v>
          </cell>
          <cell r="AI89">
            <v>0</v>
          </cell>
          <cell r="AJ89">
            <v>0</v>
          </cell>
          <cell r="AK89">
            <v>0</v>
          </cell>
          <cell r="AL89">
            <v>0</v>
          </cell>
          <cell r="AM89">
            <v>0</v>
          </cell>
        </row>
        <row r="90">
          <cell r="B90" t="str">
            <v>Other investing cash flow items</v>
          </cell>
          <cell r="C90" t="str">
            <v>OTH_INV_CF</v>
          </cell>
          <cell r="D90" t="str">
            <v>GBP</v>
          </cell>
          <cell r="R90">
            <v>1.2160000000000002</v>
          </cell>
          <cell r="U90">
            <v>0.79099999999999682</v>
          </cell>
          <cell r="X90">
            <v>1.2289999999999992</v>
          </cell>
          <cell r="AA90">
            <v>0.58199999999999719</v>
          </cell>
          <cell r="AD90">
            <v>0.63499999999999979</v>
          </cell>
          <cell r="AG90">
            <v>0.29600000000002069</v>
          </cell>
          <cell r="AH90">
            <v>0.95299999999999585</v>
          </cell>
          <cell r="AI90">
            <v>0.70599999999999596</v>
          </cell>
          <cell r="AJ90">
            <v>0.70600000000000307</v>
          </cell>
          <cell r="AK90">
            <v>0.70600000000000307</v>
          </cell>
          <cell r="AL90">
            <v>0.70599999999998886</v>
          </cell>
          <cell r="AM90">
            <v>0.70600000000000307</v>
          </cell>
        </row>
        <row r="91">
          <cell r="B91" t="str">
            <v>Cash flow from investing</v>
          </cell>
          <cell r="C91" t="str">
            <v>CF_INV</v>
          </cell>
          <cell r="D91" t="str">
            <v>GBP</v>
          </cell>
          <cell r="F91">
            <v>-4.2899999999999991</v>
          </cell>
          <cell r="G91">
            <v>-11.637</v>
          </cell>
          <cell r="H91">
            <v>-20.952999999999999</v>
          </cell>
          <cell r="I91">
            <v>-9.4980000000000011</v>
          </cell>
          <cell r="J91">
            <v>-47.19</v>
          </cell>
          <cell r="K91">
            <v>-3.24</v>
          </cell>
          <cell r="L91">
            <v>-25.148</v>
          </cell>
          <cell r="M91">
            <v>-25.053999999999998</v>
          </cell>
          <cell r="N91">
            <v>-28.527999999999999</v>
          </cell>
          <cell r="O91">
            <v>-46.930300000000003</v>
          </cell>
          <cell r="R91">
            <v>-15.984</v>
          </cell>
          <cell r="U91">
            <v>-44.283000000000001</v>
          </cell>
          <cell r="X91">
            <v>-92.516999999999996</v>
          </cell>
          <cell r="AA91">
            <v>-39.508000000000003</v>
          </cell>
          <cell r="AD91">
            <v>-27.366</v>
          </cell>
          <cell r="AG91">
            <v>-157.005</v>
          </cell>
          <cell r="AH91">
            <v>-61.057000000000002</v>
          </cell>
          <cell r="AI91">
            <v>-40.262244114049892</v>
          </cell>
          <cell r="AJ91">
            <v>-126.48666506366003</v>
          </cell>
          <cell r="AK91">
            <v>-127.98376057678507</v>
          </cell>
          <cell r="AL91">
            <v>-129.94740437552286</v>
          </cell>
          <cell r="AM91">
            <v>-132.19722650259001</v>
          </cell>
        </row>
        <row r="92">
          <cell r="B92" t="str">
            <v>Dividends paid</v>
          </cell>
          <cell r="C92" t="str">
            <v>DIV_PAID</v>
          </cell>
          <cell r="D92" t="str">
            <v>GBP</v>
          </cell>
          <cell r="F92">
            <v>-2.6790000000000003</v>
          </cell>
          <cell r="G92">
            <v>-1.56</v>
          </cell>
          <cell r="H92">
            <v>-4.875</v>
          </cell>
          <cell r="I92">
            <v>-5.4610000000000003</v>
          </cell>
          <cell r="J92">
            <v>-6.0110000000000001</v>
          </cell>
          <cell r="K92">
            <v>-6.4850000000000003</v>
          </cell>
          <cell r="L92">
            <v>-7.0449999999999999</v>
          </cell>
          <cell r="M92">
            <v>-7.6760000000000002</v>
          </cell>
          <cell r="N92">
            <v>-8.5310000000000006</v>
          </cell>
          <cell r="O92">
            <v>-9.5670000000000002</v>
          </cell>
          <cell r="R92">
            <v>-11.102</v>
          </cell>
          <cell r="U92">
            <v>-12.978</v>
          </cell>
          <cell r="X92">
            <v>-15.225</v>
          </cell>
          <cell r="AA92">
            <v>-18.748999999999999</v>
          </cell>
          <cell r="AD92">
            <v>-22.006</v>
          </cell>
          <cell r="AG92">
            <v>-24.469000000000001</v>
          </cell>
          <cell r="AH92">
            <v>-26.876999999999999</v>
          </cell>
          <cell r="AI92">
            <v>-28.011865095000001</v>
          </cell>
          <cell r="AJ92">
            <v>-29.927738337299999</v>
          </cell>
          <cell r="AK92">
            <v>-32.920512171030005</v>
          </cell>
          <cell r="AL92">
            <v>-36.212563388132999</v>
          </cell>
          <cell r="AM92">
            <v>-39.833819726946309</v>
          </cell>
        </row>
        <row r="93">
          <cell r="B93" t="str">
            <v>Common stock issuance/(repurchase)</v>
          </cell>
          <cell r="C93" t="str">
            <v>SH_REPUR</v>
          </cell>
          <cell r="D93" t="str">
            <v>GBP</v>
          </cell>
          <cell r="F93">
            <v>-1.7549999999999999</v>
          </cell>
          <cell r="G93">
            <v>-0.04</v>
          </cell>
          <cell r="H93">
            <v>1.4E-2</v>
          </cell>
          <cell r="I93">
            <v>0.63800000000000001</v>
          </cell>
          <cell r="J93">
            <v>0.41699999999999998</v>
          </cell>
          <cell r="K93">
            <v>0.72599999999999998</v>
          </cell>
          <cell r="L93">
            <v>0.98799999999999999</v>
          </cell>
          <cell r="M93">
            <v>1.22</v>
          </cell>
          <cell r="N93">
            <v>2.2370000000000001</v>
          </cell>
          <cell r="O93">
            <v>1.389</v>
          </cell>
          <cell r="R93">
            <v>1.0049999999999999</v>
          </cell>
          <cell r="U93">
            <v>1.897</v>
          </cell>
          <cell r="X93">
            <v>0.70499999999999996</v>
          </cell>
          <cell r="AA93">
            <v>1.899</v>
          </cell>
          <cell r="AD93">
            <v>1.2680000000000002</v>
          </cell>
          <cell r="AG93">
            <v>2.319</v>
          </cell>
          <cell r="AH93">
            <v>4.9109999999999996</v>
          </cell>
          <cell r="AI93">
            <v>0</v>
          </cell>
          <cell r="AJ93">
            <v>0</v>
          </cell>
          <cell r="AK93">
            <v>0</v>
          </cell>
          <cell r="AL93">
            <v>0</v>
          </cell>
          <cell r="AM93">
            <v>0</v>
          </cell>
        </row>
        <row r="94">
          <cell r="B94" t="str">
            <v>Increase/(decrease) in total debt</v>
          </cell>
          <cell r="C94" t="str">
            <v>CHG_LT_DEBT</v>
          </cell>
          <cell r="D94" t="str">
            <v>GBP</v>
          </cell>
          <cell r="F94">
            <v>-5.4000000000000006E-2</v>
          </cell>
          <cell r="G94">
            <v>2.0000000000000004E-2</v>
          </cell>
          <cell r="H94">
            <v>-14.685</v>
          </cell>
          <cell r="I94">
            <v>-9.9629999999999974</v>
          </cell>
          <cell r="J94">
            <v>38.850999999999999</v>
          </cell>
          <cell r="K94">
            <v>-4.9870000000000019</v>
          </cell>
          <cell r="L94">
            <v>35.681999999999995</v>
          </cell>
          <cell r="M94">
            <v>4.4939999999999998</v>
          </cell>
          <cell r="N94">
            <v>-97.492999999999995</v>
          </cell>
          <cell r="O94">
            <v>122.399</v>
          </cell>
          <cell r="R94">
            <v>-36.314999999999998</v>
          </cell>
          <cell r="U94">
            <v>6.5510000000000002</v>
          </cell>
          <cell r="X94">
            <v>48.040999999999997</v>
          </cell>
          <cell r="AA94">
            <v>-29.050999999999998</v>
          </cell>
          <cell r="AD94">
            <v>-23.456000000000003</v>
          </cell>
          <cell r="AG94">
            <v>36.626000000000005</v>
          </cell>
          <cell r="AH94">
            <v>-9.5689999999999991</v>
          </cell>
          <cell r="AI94">
            <v>0</v>
          </cell>
          <cell r="AJ94">
            <v>0</v>
          </cell>
          <cell r="AK94">
            <v>0</v>
          </cell>
          <cell r="AL94">
            <v>30</v>
          </cell>
          <cell r="AM94">
            <v>20</v>
          </cell>
        </row>
        <row r="95">
          <cell r="B95" t="str">
            <v>Other financing cash flow items</v>
          </cell>
          <cell r="C95" t="str">
            <v>OTH_FIN_CF</v>
          </cell>
          <cell r="D95" t="str">
            <v>GBP</v>
          </cell>
          <cell r="F95">
            <v>-4.0000000000000001E-3</v>
          </cell>
          <cell r="G95">
            <v>-4.0000000000000001E-3</v>
          </cell>
          <cell r="H95">
            <v>-5.0000000000000001E-3</v>
          </cell>
          <cell r="I95">
            <v>-2.1999999999999999E-2</v>
          </cell>
          <cell r="J95">
            <v>-2.3E-2</v>
          </cell>
          <cell r="K95">
            <v>-2.1000000000000001E-2</v>
          </cell>
          <cell r="L95">
            <v>-1.4999999999999999E-2</v>
          </cell>
          <cell r="M95">
            <v>-6.0000000000000001E-3</v>
          </cell>
          <cell r="N95">
            <v>-3.0000000000000001E-3</v>
          </cell>
          <cell r="O95">
            <v>7.1999999999999995E-2</v>
          </cell>
          <cell r="R95">
            <v>-3.3000000000008356E-2</v>
          </cell>
          <cell r="U95">
            <v>-1.6000000000001791E-2</v>
          </cell>
          <cell r="X95">
            <v>3.3000000000008356E-2</v>
          </cell>
          <cell r="AA95">
            <v>-16.028000000000009</v>
          </cell>
          <cell r="AD95">
            <v>-2.9600000000000009</v>
          </cell>
          <cell r="AG95">
            <v>1.9089999999999918</v>
          </cell>
          <cell r="AH95">
            <v>0.5249999999999968</v>
          </cell>
          <cell r="AI95">
            <v>0</v>
          </cell>
          <cell r="AJ95">
            <v>0</v>
          </cell>
          <cell r="AK95">
            <v>0</v>
          </cell>
          <cell r="AL95">
            <v>0</v>
          </cell>
          <cell r="AM95">
            <v>0</v>
          </cell>
        </row>
        <row r="96">
          <cell r="B96" t="str">
            <v>Cash flow from financing</v>
          </cell>
          <cell r="C96" t="str">
            <v>CF_FIN</v>
          </cell>
          <cell r="D96" t="str">
            <v>GBP</v>
          </cell>
          <cell r="F96">
            <v>-4.492</v>
          </cell>
          <cell r="G96">
            <v>-1.5840000000000001</v>
          </cell>
          <cell r="H96">
            <v>-19.550999999999998</v>
          </cell>
          <cell r="I96">
            <v>-14.807999999999998</v>
          </cell>
          <cell r="J96">
            <v>33.233999999999995</v>
          </cell>
          <cell r="K96">
            <v>-10.767000000000003</v>
          </cell>
          <cell r="L96">
            <v>29.609999999999992</v>
          </cell>
          <cell r="M96">
            <v>-1.9680000000000006</v>
          </cell>
          <cell r="N96">
            <v>-103.78999999999999</v>
          </cell>
          <cell r="O96">
            <v>114.29300000000001</v>
          </cell>
          <cell r="R96">
            <v>-46.445</v>
          </cell>
          <cell r="U96">
            <v>-4.5460000000000003</v>
          </cell>
          <cell r="X96">
            <v>33.554000000000002</v>
          </cell>
          <cell r="AA96">
            <v>-61.929000000000002</v>
          </cell>
          <cell r="AD96">
            <v>-47.154000000000003</v>
          </cell>
          <cell r="AG96">
            <v>16.385000000000002</v>
          </cell>
          <cell r="AH96">
            <v>-31.01</v>
          </cell>
          <cell r="AI96">
            <v>-28.011865095000001</v>
          </cell>
          <cell r="AJ96">
            <v>-29.927738337299999</v>
          </cell>
          <cell r="AK96">
            <v>-32.920512171030005</v>
          </cell>
          <cell r="AL96">
            <v>-6.2125633881329989</v>
          </cell>
          <cell r="AM96">
            <v>-19.833819726946309</v>
          </cell>
        </row>
        <row r="97">
          <cell r="B97" t="str">
            <v>Other items net cash flow</v>
          </cell>
          <cell r="C97" t="str">
            <v>OTH_ITEM_NCF</v>
          </cell>
          <cell r="D97" t="str">
            <v>GBP</v>
          </cell>
          <cell r="G97">
            <v>3.4000000000013575E-2</v>
          </cell>
          <cell r="H97">
            <v>26.875999999999998</v>
          </cell>
          <cell r="I97">
            <v>19.11699999999999</v>
          </cell>
          <cell r="J97">
            <v>2.9709999999999965</v>
          </cell>
          <cell r="K97">
            <v>-8.8179999999999907</v>
          </cell>
          <cell r="L97">
            <v>-44.408999999999978</v>
          </cell>
          <cell r="M97">
            <v>-5.4780000000000078</v>
          </cell>
          <cell r="N97">
            <v>95.883999999999986</v>
          </cell>
          <cell r="O97">
            <v>-100.91070000000002</v>
          </cell>
          <cell r="R97">
            <v>-1.6859999999999928</v>
          </cell>
          <cell r="U97">
            <v>1.0620000000000056</v>
          </cell>
          <cell r="X97">
            <v>5.826999999999984</v>
          </cell>
          <cell r="AA97">
            <v>-2.1949999999999932</v>
          </cell>
          <cell r="AD97">
            <v>1.5590000000000046</v>
          </cell>
          <cell r="AG97">
            <v>-1.8709999999999916</v>
          </cell>
          <cell r="AH97">
            <v>-1.8809999999999896</v>
          </cell>
          <cell r="AI97">
            <v>0</v>
          </cell>
          <cell r="AJ97">
            <v>0</v>
          </cell>
          <cell r="AK97">
            <v>0</v>
          </cell>
          <cell r="AL97">
            <v>7.1054273576010019E-15</v>
          </cell>
          <cell r="AM97">
            <v>0</v>
          </cell>
        </row>
        <row r="98">
          <cell r="B98" t="str">
            <v>Total cash flow</v>
          </cell>
          <cell r="C98" t="str">
            <v>TOT_CF</v>
          </cell>
          <cell r="D98" t="str">
            <v>GBP</v>
          </cell>
          <cell r="F98">
            <v>8.4170000000000087</v>
          </cell>
          <cell r="G98">
            <v>3.278999999999999</v>
          </cell>
          <cell r="H98">
            <v>5.6059999999999999</v>
          </cell>
          <cell r="I98">
            <v>-1.6309999999999985</v>
          </cell>
          <cell r="J98">
            <v>-0.15300000000000047</v>
          </cell>
          <cell r="K98">
            <v>3.1690000000000005</v>
          </cell>
          <cell r="L98">
            <v>-7.8600000000000012</v>
          </cell>
          <cell r="M98">
            <v>10.915000000000001</v>
          </cell>
          <cell r="N98">
            <v>5.9280000000000008</v>
          </cell>
          <cell r="O98">
            <v>15.217999999999996</v>
          </cell>
          <cell r="R98">
            <v>-14.564999999999998</v>
          </cell>
          <cell r="U98">
            <v>1.7910000000000004</v>
          </cell>
          <cell r="X98">
            <v>15.965999999999998</v>
          </cell>
          <cell r="AA98">
            <v>-1.5760000000000005</v>
          </cell>
          <cell r="AD98">
            <v>26.320000000000007</v>
          </cell>
          <cell r="AG98">
            <v>-27.078000000000003</v>
          </cell>
          <cell r="AH98">
            <v>-10.211000000000002</v>
          </cell>
          <cell r="AI98">
            <v>46.27052922988058</v>
          </cell>
          <cell r="AJ98">
            <v>-35.510383904897452</v>
          </cell>
          <cell r="AK98">
            <v>-32.992618144484652</v>
          </cell>
          <cell r="AL98">
            <v>0.91241025000815057</v>
          </cell>
          <cell r="AM98">
            <v>-4.4978090457094879</v>
          </cell>
        </row>
        <row r="99">
          <cell r="A99" t="str">
            <v>Additional Cash Flow Items</v>
          </cell>
        </row>
        <row r="100">
          <cell r="B100" t="str">
            <v>Associate and JV add-back</v>
          </cell>
          <cell r="C100" t="str">
            <v>ASSOC_JV_ADDBK</v>
          </cell>
          <cell r="D100" t="str">
            <v>GBP</v>
          </cell>
        </row>
        <row r="101">
          <cell r="B101" t="str">
            <v>Cash interest income/(expense)</v>
          </cell>
          <cell r="C101" t="str">
            <v>CASH_INT_INC_EXP</v>
          </cell>
          <cell r="D101" t="str">
            <v>GBP</v>
          </cell>
        </row>
        <row r="102">
          <cell r="B102" t="str">
            <v>Cash taxes paid</v>
          </cell>
          <cell r="C102" t="str">
            <v>CASH_TAX_PD</v>
          </cell>
          <cell r="D102" t="str">
            <v>GBP</v>
          </cell>
        </row>
        <row r="103">
          <cell r="B103" t="str">
            <v>Profit/(loss) on sale of assets</v>
          </cell>
          <cell r="C103" t="str">
            <v>PL_SALE_ASSETS</v>
          </cell>
          <cell r="D103" t="str">
            <v>GBP</v>
          </cell>
        </row>
        <row r="104">
          <cell r="B104" t="str">
            <v>Other non-cash adjustments</v>
          </cell>
          <cell r="C104" t="str">
            <v>OTH_NONCASH_ADJ</v>
          </cell>
          <cell r="D104" t="str">
            <v>GBP</v>
          </cell>
        </row>
        <row r="105">
          <cell r="B105" t="str">
            <v>Other DACF adjustments</v>
          </cell>
          <cell r="C105" t="str">
            <v>OTH_DACF_ADJ</v>
          </cell>
          <cell r="D105" t="str">
            <v>GBP</v>
          </cell>
        </row>
        <row r="106">
          <cell r="B106" t="str">
            <v>Cash interest expense</v>
          </cell>
          <cell r="C106" t="str">
            <v>CASH_INT_EXP</v>
          </cell>
          <cell r="D106" t="str">
            <v>GBP</v>
          </cell>
        </row>
        <row r="107">
          <cell r="B107" t="str">
            <v>Cash tax expense</v>
          </cell>
          <cell r="C107" t="str">
            <v>CASH_TAX_EXP</v>
          </cell>
          <cell r="D107" t="str">
            <v>GBP</v>
          </cell>
        </row>
        <row r="108">
          <cell r="B108" t="str">
            <v>Dividends received from associates/JVs</v>
          </cell>
          <cell r="C108" t="str">
            <v>DIVDS_ASSOC_JV</v>
          </cell>
          <cell r="D108" t="str">
            <v>GBP</v>
          </cell>
        </row>
        <row r="109">
          <cell r="B109" t="str">
            <v>Capex maintenance</v>
          </cell>
          <cell r="C109" t="str">
            <v>CAPEX_MAINTENANCE</v>
          </cell>
          <cell r="D109" t="str">
            <v>GBP</v>
          </cell>
        </row>
        <row r="110">
          <cell r="B110" t="str">
            <v>Capex expansion</v>
          </cell>
          <cell r="C110" t="str">
            <v>CAPEX_EXPANSION</v>
          </cell>
          <cell r="D110" t="str">
            <v>GBP</v>
          </cell>
        </row>
        <row r="111">
          <cell r="B111" t="str">
            <v>Non-PP&amp;E capex</v>
          </cell>
          <cell r="C111" t="str">
            <v>NONPPE_CAPEX</v>
          </cell>
          <cell r="D111" t="str">
            <v>GBP</v>
          </cell>
          <cell r="R111">
            <v>-3.7620000000000005</v>
          </cell>
          <cell r="U111">
            <v>-4.1589999999999989</v>
          </cell>
          <cell r="X111">
            <v>-0.60000000000000142</v>
          </cell>
          <cell r="AA111">
            <v>-0.3539999999999992</v>
          </cell>
          <cell r="AD111">
            <v>-0.80000000000000426</v>
          </cell>
          <cell r="AG111">
            <v>-0.90000000000000568</v>
          </cell>
          <cell r="AH111">
            <v>-0.60000000000000142</v>
          </cell>
          <cell r="AI111">
            <v>-0.78847439435290101</v>
          </cell>
          <cell r="AJ111">
            <v>-0.85871958071916299</v>
          </cell>
          <cell r="AK111">
            <v>-0.90599649264808313</v>
          </cell>
          <cell r="AL111">
            <v>-0.9680065742486299</v>
          </cell>
          <cell r="AM111">
            <v>-1.0390539066496625</v>
          </cell>
        </row>
        <row r="112">
          <cell r="B112" t="str">
            <v>Dividends paid to minorities</v>
          </cell>
          <cell r="C112" t="str">
            <v>DIVDS_PD_MINORITIES</v>
          </cell>
          <cell r="D112" t="str">
            <v>GBP</v>
          </cell>
        </row>
        <row r="113">
          <cell r="A113" t="str">
            <v>Other Items</v>
          </cell>
        </row>
        <row r="114">
          <cell r="B114" t="str">
            <v>Number of employees</v>
          </cell>
          <cell r="C114" t="str">
            <v>EMPLOYEES</v>
          </cell>
          <cell r="U114">
            <v>3.0539999999999998</v>
          </cell>
          <cell r="X114">
            <v>3.5819999999999999</v>
          </cell>
          <cell r="AA114">
            <v>3.9609999999999999</v>
          </cell>
          <cell r="AD114">
            <v>4.0060000000000002</v>
          </cell>
          <cell r="AG114">
            <v>4.2060000000000004</v>
          </cell>
          <cell r="AH114">
            <v>4.43</v>
          </cell>
          <cell r="AI114">
            <v>4.43</v>
          </cell>
        </row>
        <row r="115">
          <cell r="A115" t="str">
            <v>Geographical Breakdown</v>
          </cell>
        </row>
        <row r="116">
          <cell r="B116" t="str">
            <v>Sales - Total % Americas</v>
          </cell>
          <cell r="C116" t="str">
            <v>SALES_TOT_AM</v>
          </cell>
          <cell r="AH116">
            <v>0.3</v>
          </cell>
          <cell r="AI116">
            <v>0.3</v>
          </cell>
        </row>
        <row r="117">
          <cell r="B117" t="str">
            <v>Sales - % United States</v>
          </cell>
          <cell r="C117" t="str">
            <v>SALES_US</v>
          </cell>
          <cell r="AH117">
            <v>0.3</v>
          </cell>
          <cell r="AI117">
            <v>0.3</v>
          </cell>
        </row>
        <row r="118">
          <cell r="B118" t="str">
            <v>Sales - % Brazil</v>
          </cell>
          <cell r="C118" t="str">
            <v>SALES_BRAZIL</v>
          </cell>
          <cell r="AH118">
            <v>0</v>
          </cell>
          <cell r="AI118">
            <v>0</v>
          </cell>
        </row>
        <row r="119">
          <cell r="B119" t="str">
            <v>Sales - % Other Americas</v>
          </cell>
          <cell r="C119" t="str">
            <v>SALES_OTH_AM</v>
          </cell>
          <cell r="AH119">
            <v>0</v>
          </cell>
          <cell r="AI119">
            <v>0</v>
          </cell>
        </row>
        <row r="120">
          <cell r="B120" t="str">
            <v>Sales - Total % EMEA</v>
          </cell>
          <cell r="C120" t="str">
            <v>SALES_TOT_EMEA</v>
          </cell>
          <cell r="AH120">
            <v>0</v>
          </cell>
          <cell r="AI120">
            <v>0</v>
          </cell>
        </row>
        <row r="121">
          <cell r="B121" t="str">
            <v>Sales - % UK</v>
          </cell>
          <cell r="C121" t="str">
            <v>SALES_UK</v>
          </cell>
          <cell r="AH121">
            <v>0</v>
          </cell>
          <cell r="AI121">
            <v>0</v>
          </cell>
        </row>
        <row r="122">
          <cell r="B122" t="str">
            <v>Sales - % Western Europe-Ex UK</v>
          </cell>
          <cell r="C122" t="str">
            <v>SALES_EU_EX_UK</v>
          </cell>
          <cell r="AH122">
            <v>0.46</v>
          </cell>
          <cell r="AI122">
            <v>0.46</v>
          </cell>
        </row>
        <row r="123">
          <cell r="B123" t="str">
            <v>Sales - % France</v>
          </cell>
          <cell r="C123" t="str">
            <v>SALES_FRA</v>
          </cell>
          <cell r="AH123">
            <v>0.23</v>
          </cell>
          <cell r="AI123">
            <v>0.23</v>
          </cell>
        </row>
        <row r="124">
          <cell r="B124" t="str">
            <v>Sales - % Germany</v>
          </cell>
          <cell r="C124" t="str">
            <v>SALES_GER</v>
          </cell>
          <cell r="AH124">
            <v>0</v>
          </cell>
          <cell r="AI124">
            <v>0</v>
          </cell>
        </row>
        <row r="125">
          <cell r="B125" t="str">
            <v>Sales - % Italy</v>
          </cell>
          <cell r="C125" t="str">
            <v>SALES_ITA</v>
          </cell>
          <cell r="AH125">
            <v>0</v>
          </cell>
          <cell r="AI125">
            <v>0</v>
          </cell>
        </row>
        <row r="126">
          <cell r="B126" t="str">
            <v>Sales - % Spain</v>
          </cell>
          <cell r="C126" t="str">
            <v>SALES_SPA</v>
          </cell>
          <cell r="AH126">
            <v>0</v>
          </cell>
          <cell r="AI126">
            <v>0</v>
          </cell>
        </row>
        <row r="127">
          <cell r="B127" t="str">
            <v>Sales - % Other Western Europe-Ex UK</v>
          </cell>
          <cell r="C127" t="str">
            <v>SALES_OTH_EU_EX_UK</v>
          </cell>
          <cell r="AH127">
            <v>0.23</v>
          </cell>
          <cell r="AI127">
            <v>0.23</v>
          </cell>
        </row>
        <row r="128">
          <cell r="B128" t="str">
            <v>Sales - % Central &amp; Eastern Europe</v>
          </cell>
          <cell r="C128" t="str">
            <v>SALES_CEE</v>
          </cell>
          <cell r="AH128">
            <v>0</v>
          </cell>
          <cell r="AI128">
            <v>0</v>
          </cell>
        </row>
        <row r="129">
          <cell r="B129" t="str">
            <v>Sales - % Middle East</v>
          </cell>
          <cell r="C129" t="str">
            <v>SALES_ME</v>
          </cell>
          <cell r="AH129">
            <v>0</v>
          </cell>
          <cell r="AI129">
            <v>0</v>
          </cell>
        </row>
        <row r="130">
          <cell r="B130" t="str">
            <v>Sales - % South Africa</v>
          </cell>
          <cell r="C130" t="str">
            <v>SALES_SO_AFRICA</v>
          </cell>
          <cell r="AH130">
            <v>0</v>
          </cell>
          <cell r="AI130">
            <v>0</v>
          </cell>
        </row>
        <row r="131">
          <cell r="B131" t="str">
            <v>Sales - % Nigeria</v>
          </cell>
          <cell r="C131" t="str">
            <v>SALES_NIGERIA</v>
          </cell>
          <cell r="AH131">
            <v>0</v>
          </cell>
          <cell r="AI131">
            <v>0</v>
          </cell>
        </row>
        <row r="132">
          <cell r="B132" t="str">
            <v>Sales - % Other Africa</v>
          </cell>
          <cell r="C132" t="str">
            <v>SALES_OTH_AFRICA</v>
          </cell>
          <cell r="AH132">
            <v>0</v>
          </cell>
          <cell r="AI132">
            <v>0</v>
          </cell>
        </row>
        <row r="133">
          <cell r="B133" t="str">
            <v>Sales - % Total Africa</v>
          </cell>
          <cell r="C133" t="str">
            <v>SALES_TOT_AFRICA</v>
          </cell>
          <cell r="AH133">
            <v>0</v>
          </cell>
          <cell r="AI133">
            <v>0</v>
          </cell>
        </row>
        <row r="134">
          <cell r="B134" t="str">
            <v>Sales - % Russia</v>
          </cell>
          <cell r="C134" t="str">
            <v>SALES_RUSSIA</v>
          </cell>
          <cell r="AH134">
            <v>0</v>
          </cell>
          <cell r="AI134">
            <v>0</v>
          </cell>
        </row>
        <row r="135">
          <cell r="B135" t="str">
            <v>Sales - % Other EMEA</v>
          </cell>
          <cell r="C135" t="str">
            <v>SALES_OTH_EMEA</v>
          </cell>
          <cell r="AH135">
            <v>0</v>
          </cell>
          <cell r="AI135">
            <v>0</v>
          </cell>
        </row>
        <row r="136">
          <cell r="B136" t="str">
            <v>Sales - Total % Asia (incl Australia &amp; New Zealand)</v>
          </cell>
          <cell r="C136" t="str">
            <v>SALES_TOT_ASIA</v>
          </cell>
          <cell r="AH136">
            <v>0.16</v>
          </cell>
          <cell r="AI136">
            <v>0.16</v>
          </cell>
        </row>
        <row r="137">
          <cell r="B137" t="str">
            <v>Sales - % Japan</v>
          </cell>
          <cell r="C137" t="str">
            <v>SALES_JAPAN</v>
          </cell>
          <cell r="AH137">
            <v>0</v>
          </cell>
          <cell r="AI137">
            <v>0</v>
          </cell>
        </row>
        <row r="138">
          <cell r="B138" t="str">
            <v>Sales - % China</v>
          </cell>
          <cell r="C138" t="str">
            <v>SALES_CHINA</v>
          </cell>
          <cell r="AH138">
            <v>0</v>
          </cell>
          <cell r="AI138">
            <v>0</v>
          </cell>
        </row>
        <row r="139">
          <cell r="B139" t="str">
            <v>Sales - % India</v>
          </cell>
          <cell r="C139" t="str">
            <v>SALES_INDIA</v>
          </cell>
          <cell r="AH139">
            <v>0</v>
          </cell>
          <cell r="AI139">
            <v>0</v>
          </cell>
        </row>
        <row r="140">
          <cell r="B140" t="str">
            <v>Sales - % Other Asia</v>
          </cell>
          <cell r="C140" t="str">
            <v>SALES_OTH_AEJ</v>
          </cell>
          <cell r="AH140">
            <v>0.16</v>
          </cell>
          <cell r="AI140">
            <v>0.16</v>
          </cell>
        </row>
        <row r="141">
          <cell r="B141" t="str">
            <v>Sales - % Others</v>
          </cell>
          <cell r="C141" t="str">
            <v>SALES_OTHER</v>
          </cell>
          <cell r="AH141">
            <v>0.08</v>
          </cell>
          <cell r="AI141">
            <v>0.08</v>
          </cell>
        </row>
        <row r="142">
          <cell r="B142" t="str">
            <v>Indirect Sales - Total % Americas</v>
          </cell>
          <cell r="C142" t="str">
            <v>IND_SALES_TOT_AM</v>
          </cell>
          <cell r="AH142">
            <v>0.3</v>
          </cell>
          <cell r="AI142">
            <v>0.3</v>
          </cell>
        </row>
        <row r="143">
          <cell r="B143" t="str">
            <v>Indirect Sales - % United States</v>
          </cell>
          <cell r="C143" t="str">
            <v>IND_SALES_US</v>
          </cell>
          <cell r="AH143">
            <v>0.3</v>
          </cell>
          <cell r="AI143">
            <v>0.3</v>
          </cell>
        </row>
        <row r="144">
          <cell r="B144" t="str">
            <v>Indirect Sales - % Brazil</v>
          </cell>
          <cell r="C144" t="str">
            <v>IND_SALES_BRAZIL</v>
          </cell>
          <cell r="AH144">
            <v>0</v>
          </cell>
          <cell r="AI144">
            <v>0</v>
          </cell>
        </row>
        <row r="145">
          <cell r="B145" t="str">
            <v>Indirect Sales - % Other Americas</v>
          </cell>
          <cell r="C145" t="str">
            <v>IND_SALES_OTH_AM</v>
          </cell>
          <cell r="AH145">
            <v>0</v>
          </cell>
          <cell r="AI145">
            <v>0</v>
          </cell>
        </row>
        <row r="146">
          <cell r="B146" t="str">
            <v>Indirect Sales - Total % EMEA</v>
          </cell>
          <cell r="C146" t="str">
            <v>IND_SALES_TOT_EMEA</v>
          </cell>
          <cell r="AH146">
            <v>0</v>
          </cell>
          <cell r="AI146">
            <v>0</v>
          </cell>
        </row>
        <row r="147">
          <cell r="B147" t="str">
            <v>Indirect Sales - % UK</v>
          </cell>
          <cell r="C147" t="str">
            <v>IND_SALES_UK</v>
          </cell>
          <cell r="AH147">
            <v>0</v>
          </cell>
          <cell r="AI147">
            <v>0</v>
          </cell>
        </row>
        <row r="148">
          <cell r="B148" t="str">
            <v>Indirect Sales - % Western Europe-Ex UK</v>
          </cell>
          <cell r="C148" t="str">
            <v>IND_SALES_EU_EX_UK</v>
          </cell>
          <cell r="AH148">
            <v>0.46</v>
          </cell>
          <cell r="AI148">
            <v>0.46</v>
          </cell>
        </row>
        <row r="149">
          <cell r="B149" t="str">
            <v>Indirect Sales - % France</v>
          </cell>
          <cell r="C149" t="str">
            <v>IND_SALES_FRA</v>
          </cell>
          <cell r="AH149">
            <v>0.23</v>
          </cell>
          <cell r="AI149">
            <v>0.23</v>
          </cell>
        </row>
        <row r="150">
          <cell r="B150" t="str">
            <v>Indirect Sales - % Germany</v>
          </cell>
          <cell r="C150" t="str">
            <v>IND_SALES_GER</v>
          </cell>
          <cell r="AH150">
            <v>0</v>
          </cell>
          <cell r="AI150">
            <v>0</v>
          </cell>
        </row>
        <row r="151">
          <cell r="B151" t="str">
            <v>Indirect Sales - % Italy</v>
          </cell>
          <cell r="C151" t="str">
            <v>IND_SALES_ITA</v>
          </cell>
          <cell r="AH151">
            <v>0</v>
          </cell>
          <cell r="AI151">
            <v>0</v>
          </cell>
        </row>
        <row r="152">
          <cell r="B152" t="str">
            <v>Indirect Sales - % Spain</v>
          </cell>
          <cell r="C152" t="str">
            <v>IND_SALES_SPA</v>
          </cell>
          <cell r="AH152">
            <v>0</v>
          </cell>
          <cell r="AI152">
            <v>0</v>
          </cell>
        </row>
        <row r="153">
          <cell r="B153" t="str">
            <v>Indirect Sales - % Other Western Europe-Ex UK</v>
          </cell>
          <cell r="C153" t="str">
            <v>IND_SALES_OTH_EU_EX_UK</v>
          </cell>
          <cell r="AH153">
            <v>0.23</v>
          </cell>
          <cell r="AI153">
            <v>0.23</v>
          </cell>
        </row>
        <row r="154">
          <cell r="B154" t="str">
            <v>Indirect Sales - % Central &amp; Eastern Europe</v>
          </cell>
          <cell r="C154" t="str">
            <v>IND_SALES_CEE</v>
          </cell>
          <cell r="AH154">
            <v>0</v>
          </cell>
          <cell r="AI154">
            <v>0</v>
          </cell>
        </row>
        <row r="155">
          <cell r="B155" t="str">
            <v>Indirect Sales - % Middle East</v>
          </cell>
          <cell r="C155" t="str">
            <v>IND_SALES_ME</v>
          </cell>
          <cell r="AH155">
            <v>0</v>
          </cell>
          <cell r="AI155">
            <v>0</v>
          </cell>
        </row>
        <row r="156">
          <cell r="B156" t="str">
            <v>Indirect Sales - % Russia</v>
          </cell>
          <cell r="C156" t="str">
            <v>IND_SALES_RUSSIA</v>
          </cell>
          <cell r="AH156">
            <v>0</v>
          </cell>
          <cell r="AI156">
            <v>0</v>
          </cell>
        </row>
        <row r="157">
          <cell r="B157" t="str">
            <v>Indirect sales - % South Africa</v>
          </cell>
          <cell r="C157" t="str">
            <v>IND_SALES_SO_AFRICA</v>
          </cell>
          <cell r="AH157">
            <v>0</v>
          </cell>
          <cell r="AI157">
            <v>0</v>
          </cell>
        </row>
        <row r="158">
          <cell r="B158" t="str">
            <v>Indirect sales - % Nigeria</v>
          </cell>
          <cell r="C158" t="str">
            <v>IND_SALES_NIGERIA</v>
          </cell>
          <cell r="AH158">
            <v>0</v>
          </cell>
          <cell r="AI158">
            <v>0</v>
          </cell>
        </row>
        <row r="159">
          <cell r="B159" t="str">
            <v>Indirect sales - % Other Africa</v>
          </cell>
          <cell r="C159" t="str">
            <v>IND_SALES_OTH_AFRICA</v>
          </cell>
          <cell r="AH159">
            <v>0</v>
          </cell>
          <cell r="AI159">
            <v>0</v>
          </cell>
        </row>
        <row r="160">
          <cell r="B160" t="str">
            <v>Indirect Sales - % Other EMEA</v>
          </cell>
          <cell r="C160" t="str">
            <v>IND_SALES_OTH_EMEA</v>
          </cell>
          <cell r="AH160">
            <v>0</v>
          </cell>
          <cell r="AI160">
            <v>0</v>
          </cell>
        </row>
        <row r="161">
          <cell r="B161" t="str">
            <v>Indirect sales - % Total Africa</v>
          </cell>
          <cell r="C161" t="str">
            <v>IND_SALES_TOT_AFRICA</v>
          </cell>
          <cell r="AH161">
            <v>0</v>
          </cell>
          <cell r="AI161">
            <v>0</v>
          </cell>
        </row>
        <row r="162">
          <cell r="B162" t="str">
            <v>Indirect Sales - Total % Asia (incl Australia &amp; New Zealand)</v>
          </cell>
          <cell r="C162" t="str">
            <v>IND_SALES_TOT_ASIA</v>
          </cell>
          <cell r="AH162">
            <v>0.16</v>
          </cell>
          <cell r="AI162">
            <v>0.16</v>
          </cell>
        </row>
        <row r="163">
          <cell r="B163" t="str">
            <v>Indirect Sales - % Japan</v>
          </cell>
          <cell r="C163" t="str">
            <v>IND_SALES_JAPAN</v>
          </cell>
          <cell r="AH163">
            <v>0</v>
          </cell>
          <cell r="AI163">
            <v>0</v>
          </cell>
        </row>
        <row r="164">
          <cell r="B164" t="str">
            <v>Indirect Sales - % China</v>
          </cell>
          <cell r="C164" t="str">
            <v>IND_SALES_CHINA</v>
          </cell>
          <cell r="AH164">
            <v>0</v>
          </cell>
          <cell r="AI164">
            <v>0</v>
          </cell>
        </row>
        <row r="165">
          <cell r="B165" t="str">
            <v>Indirect Sales - % India</v>
          </cell>
          <cell r="C165" t="str">
            <v>IND_SALES_INDIA</v>
          </cell>
          <cell r="AH165">
            <v>0</v>
          </cell>
          <cell r="AI165">
            <v>0</v>
          </cell>
        </row>
        <row r="166">
          <cell r="B166" t="str">
            <v>Indirect Sales - % Other Asia</v>
          </cell>
          <cell r="C166" t="str">
            <v>IND_SALES_OTH_AEJ</v>
          </cell>
          <cell r="AH166">
            <v>0.16</v>
          </cell>
          <cell r="AI166">
            <v>0.16</v>
          </cell>
        </row>
        <row r="167">
          <cell r="B167" t="str">
            <v>Indirect Sales - % Others</v>
          </cell>
          <cell r="C167" t="str">
            <v>IND_SALES_OTHER</v>
          </cell>
          <cell r="AH167">
            <v>0.08</v>
          </cell>
          <cell r="AI167">
            <v>0.08</v>
          </cell>
        </row>
        <row r="168">
          <cell r="B168" t="str">
            <v>Sales -% Consumer (C)</v>
          </cell>
          <cell r="C168" t="str">
            <v>SALES_CONS</v>
          </cell>
          <cell r="AH168">
            <v>0</v>
          </cell>
          <cell r="AI168">
            <v>0</v>
          </cell>
        </row>
        <row r="169">
          <cell r="B169" t="str">
            <v>Sales -% Industry (I)</v>
          </cell>
          <cell r="C169" t="str">
            <v>SALES_IND</v>
          </cell>
          <cell r="AH169">
            <v>0.69</v>
          </cell>
          <cell r="AI169">
            <v>0.69</v>
          </cell>
        </row>
        <row r="170">
          <cell r="B170" t="str">
            <v>Sales -% Government (G)</v>
          </cell>
          <cell r="C170" t="str">
            <v>SALES_GOV</v>
          </cell>
          <cell r="AH170">
            <v>0.31</v>
          </cell>
          <cell r="AI170">
            <v>0.31</v>
          </cell>
        </row>
        <row r="171">
          <cell r="B171" t="str">
            <v>Sales - % Industry Sub-Segment: Financial Services</v>
          </cell>
          <cell r="C171" t="str">
            <v>SALES_FINAN</v>
          </cell>
          <cell r="AH171">
            <v>0</v>
          </cell>
          <cell r="AI171">
            <v>0</v>
          </cell>
        </row>
        <row r="172">
          <cell r="B172" t="str">
            <v>Indirect Sales -% Consumer (C)</v>
          </cell>
          <cell r="C172" t="str">
            <v>IND_SALES_CONS</v>
          </cell>
          <cell r="AH172">
            <v>0</v>
          </cell>
          <cell r="AI172">
            <v>0</v>
          </cell>
        </row>
        <row r="173">
          <cell r="B173" t="str">
            <v>Indirect Sales -% Industry (I)</v>
          </cell>
          <cell r="C173" t="str">
            <v>IND_SALES_IND</v>
          </cell>
          <cell r="AH173">
            <v>0.69</v>
          </cell>
          <cell r="AI173">
            <v>0.69</v>
          </cell>
        </row>
        <row r="174">
          <cell r="B174" t="str">
            <v>Indirect Sales -% Government (G)</v>
          </cell>
          <cell r="C174" t="str">
            <v>IND_SALES_GOV</v>
          </cell>
          <cell r="AH174">
            <v>0.31</v>
          </cell>
          <cell r="AI174">
            <v>0.31</v>
          </cell>
        </row>
        <row r="175">
          <cell r="B175" t="str">
            <v>Indirect Sales -% Industry Sub-Segment: Financial Services</v>
          </cell>
          <cell r="C175" t="str">
            <v>IND_SALES_FINAN</v>
          </cell>
          <cell r="AH175">
            <v>0</v>
          </cell>
          <cell r="AI175">
            <v>0</v>
          </cell>
        </row>
        <row r="176">
          <cell r="A176" t="str">
            <v>Commodities Exposure - Sales</v>
          </cell>
        </row>
        <row r="177">
          <cell r="B177" t="str">
            <v>Sales - % Other commodity</v>
          </cell>
          <cell r="C177" t="str">
            <v>SALES_OTH_COMMODITY</v>
          </cell>
        </row>
        <row r="178">
          <cell r="B178" t="str">
            <v>Sales - % Other (Non-Commodity) sales sources</v>
          </cell>
          <cell r="C178" t="str">
            <v>SALES_OTH_SALES_SOURCES</v>
          </cell>
        </row>
        <row r="179">
          <cell r="A179" t="str">
            <v>Commodities Exposure - Expense</v>
          </cell>
        </row>
        <row r="180">
          <cell r="B180" t="str">
            <v>Expense - % Oil/Petrol/Fuel</v>
          </cell>
          <cell r="C180" t="str">
            <v>EXP_OIL_PETRO_FUEL</v>
          </cell>
        </row>
        <row r="181">
          <cell r="B181" t="str">
            <v>Expense - % Oil derivatives/NGLs/plastics</v>
          </cell>
          <cell r="C181" t="str">
            <v>EXP_OIL_DERIV_NGLS_PLASTICS</v>
          </cell>
        </row>
        <row r="182">
          <cell r="B182" t="str">
            <v>Expense - % Nat Gas</v>
          </cell>
          <cell r="C182" t="str">
            <v>EXP_NAT_GAS</v>
          </cell>
        </row>
        <row r="183">
          <cell r="B183" t="str">
            <v>Expense - % Gold</v>
          </cell>
          <cell r="C183" t="str">
            <v>EXP_GOLD</v>
          </cell>
        </row>
        <row r="184">
          <cell r="B184" t="str">
            <v>Expense - % Copper</v>
          </cell>
          <cell r="C184" t="str">
            <v>EXP_COPPER</v>
          </cell>
        </row>
        <row r="185">
          <cell r="B185" t="str">
            <v>Expense - % Silver</v>
          </cell>
          <cell r="C185" t="str">
            <v>EXP_SILVER</v>
          </cell>
        </row>
        <row r="186">
          <cell r="B186" t="str">
            <v>Expense - % Platinum</v>
          </cell>
          <cell r="C186" t="str">
            <v>EXP_PLATINUM</v>
          </cell>
        </row>
        <row r="187">
          <cell r="B187" t="str">
            <v>Expense - % Palladium</v>
          </cell>
          <cell r="C187" t="str">
            <v>EXP_PALLADIUM</v>
          </cell>
        </row>
        <row r="188">
          <cell r="B188" t="str">
            <v>Expense - % Aluminium</v>
          </cell>
          <cell r="C188" t="str">
            <v>EXP_ALUMINIUM</v>
          </cell>
        </row>
        <row r="189">
          <cell r="B189" t="str">
            <v>Expense - % Nickel</v>
          </cell>
          <cell r="C189" t="str">
            <v>EXP_NICKEL</v>
          </cell>
        </row>
        <row r="190">
          <cell r="B190" t="str">
            <v>Expense - % Zinc</v>
          </cell>
          <cell r="C190" t="str">
            <v>EXP_ZINC</v>
          </cell>
        </row>
        <row r="191">
          <cell r="B191" t="str">
            <v>Expense - % Steel</v>
          </cell>
          <cell r="C191" t="str">
            <v>EXP_STEEL</v>
          </cell>
        </row>
        <row r="192">
          <cell r="B192" t="str">
            <v>Expense - % Glass</v>
          </cell>
          <cell r="C192" t="str">
            <v>EXP_GLASS</v>
          </cell>
        </row>
        <row r="193">
          <cell r="B193" t="str">
            <v>Expense - % Rubber</v>
          </cell>
          <cell r="C193" t="str">
            <v>EXP_RUBBER</v>
          </cell>
        </row>
        <row r="194">
          <cell r="B194" t="str">
            <v>Expense - % Water</v>
          </cell>
          <cell r="C194" t="str">
            <v>EXP_WATER</v>
          </cell>
        </row>
        <row r="195">
          <cell r="B195" t="str">
            <v>Expense - % Other commodity</v>
          </cell>
          <cell r="C195" t="str">
            <v>EXP_OTH_COMMODITY</v>
          </cell>
        </row>
        <row r="196">
          <cell r="B196" t="str">
            <v>Expense - % Other (Non-Commodity) cost</v>
          </cell>
          <cell r="C196" t="str">
            <v>EXP_OTH_COST</v>
          </cell>
        </row>
        <row r="197">
          <cell r="A197" t="str">
            <v>FX Exposure - Sales</v>
          </cell>
        </row>
        <row r="198">
          <cell r="B198" t="str">
            <v>Sales - % FX: British Pounds/Pence</v>
          </cell>
          <cell r="C198" t="str">
            <v>SALES_FX_GPB</v>
          </cell>
          <cell r="AH198">
            <v>0</v>
          </cell>
          <cell r="AI198">
            <v>0</v>
          </cell>
        </row>
        <row r="199">
          <cell r="B199" t="str">
            <v>Sales - % FX: Euro</v>
          </cell>
          <cell r="C199" t="str">
            <v>SALES_FX_EUR</v>
          </cell>
          <cell r="AH199">
            <v>0.46</v>
          </cell>
          <cell r="AI199">
            <v>0.46</v>
          </cell>
        </row>
        <row r="200">
          <cell r="B200" t="str">
            <v>Sales - % FX: New Russian Ruble</v>
          </cell>
          <cell r="C200" t="str">
            <v>SALES_FX_RUB</v>
          </cell>
          <cell r="AH200">
            <v>0</v>
          </cell>
          <cell r="AI200">
            <v>0</v>
          </cell>
        </row>
        <row r="201">
          <cell r="B201" t="str">
            <v>Sales - % FX: U.S. Dollar</v>
          </cell>
          <cell r="C201" t="str">
            <v>SALES_FX_USD</v>
          </cell>
          <cell r="AH201">
            <v>0.54</v>
          </cell>
          <cell r="AI201">
            <v>0.54</v>
          </cell>
        </row>
        <row r="202">
          <cell r="B202" t="str">
            <v>Sales - % FX: Brazilian Real</v>
          </cell>
          <cell r="C202" t="str">
            <v>SALES_FX_BRL</v>
          </cell>
          <cell r="AH202">
            <v>0</v>
          </cell>
          <cell r="AI202">
            <v>0</v>
          </cell>
        </row>
        <row r="203">
          <cell r="B203" t="str">
            <v>Sales - % FX: Japanese Yen</v>
          </cell>
          <cell r="C203" t="str">
            <v>SALES_FX_YEN</v>
          </cell>
          <cell r="AH203">
            <v>0</v>
          </cell>
          <cell r="AI203">
            <v>0</v>
          </cell>
        </row>
        <row r="204">
          <cell r="B204" t="str">
            <v>Sales - % FX: Chinese Renminbi</v>
          </cell>
          <cell r="C204" t="str">
            <v>SALES_FX_CNY</v>
          </cell>
          <cell r="AH204">
            <v>0</v>
          </cell>
          <cell r="AI204">
            <v>0</v>
          </cell>
        </row>
        <row r="205">
          <cell r="B205" t="str">
            <v>Sales - % FX: Indian Rupee</v>
          </cell>
          <cell r="C205" t="str">
            <v>SALES_FX_INR</v>
          </cell>
          <cell r="AH205">
            <v>0</v>
          </cell>
          <cell r="AI205">
            <v>0</v>
          </cell>
        </row>
        <row r="206">
          <cell r="B206" t="str">
            <v>Sales - % FX: South African Rand</v>
          </cell>
          <cell r="C206" t="str">
            <v>SALES_FX_ZAR</v>
          </cell>
          <cell r="AH206">
            <v>0</v>
          </cell>
          <cell r="AI206">
            <v>0</v>
          </cell>
        </row>
        <row r="207">
          <cell r="B207" t="str">
            <v>Sales - % FX: Nigerian Naira</v>
          </cell>
          <cell r="C207" t="str">
            <v>SALES_FX_NGN</v>
          </cell>
          <cell r="AH207">
            <v>0</v>
          </cell>
          <cell r="AI207">
            <v>0</v>
          </cell>
        </row>
        <row r="208">
          <cell r="B208" t="str">
            <v>Sales - % FX: Swiss Franc</v>
          </cell>
          <cell r="C208" t="str">
            <v>SALES_FX_CHF</v>
          </cell>
          <cell r="AH208">
            <v>0</v>
          </cell>
          <cell r="AI208">
            <v>0</v>
          </cell>
        </row>
        <row r="209">
          <cell r="B209" t="str">
            <v>Sales - % FX: UAE Dirham</v>
          </cell>
          <cell r="C209" t="str">
            <v>SALES_FX_AED</v>
          </cell>
          <cell r="AH209">
            <v>0</v>
          </cell>
          <cell r="AI209">
            <v>0</v>
          </cell>
        </row>
        <row r="210">
          <cell r="B210" t="str">
            <v>Sales - % FX: New Turkish Lira</v>
          </cell>
          <cell r="C210" t="str">
            <v>SALES_FX_TRY</v>
          </cell>
          <cell r="AH210">
            <v>0</v>
          </cell>
          <cell r="AI210">
            <v>0</v>
          </cell>
        </row>
        <row r="211">
          <cell r="B211" t="str">
            <v>Sales - % FX: Other Currency</v>
          </cell>
          <cell r="C211" t="str">
            <v>SALES_FX_OTH</v>
          </cell>
          <cell r="AH211">
            <v>0</v>
          </cell>
          <cell r="AI211">
            <v>0</v>
          </cell>
        </row>
        <row r="212">
          <cell r="A212" t="str">
            <v>Security: Ultra Electronics</v>
          </cell>
        </row>
        <row r="213">
          <cell r="A213" t="str">
            <v>Reference Data</v>
          </cell>
        </row>
        <row r="214">
          <cell r="B214" t="str">
            <v>Ticker</v>
          </cell>
          <cell r="C214" t="str">
            <v>Ticker</v>
          </cell>
          <cell r="E214" t="str">
            <v>ULE.L</v>
          </cell>
        </row>
        <row r="215">
          <cell r="B215" t="str">
            <v>Security Name</v>
          </cell>
          <cell r="C215" t="str">
            <v>Security Name</v>
          </cell>
          <cell r="E215" t="str">
            <v>Ultra Electronics</v>
          </cell>
        </row>
        <row r="216">
          <cell r="B216" t="str">
            <v>Interim Type</v>
          </cell>
          <cell r="C216" t="str">
            <v>Interim Type</v>
          </cell>
          <cell r="E216" t="str">
            <v>H</v>
          </cell>
        </row>
        <row r="217">
          <cell r="B217" t="str">
            <v>Publishing Currency</v>
          </cell>
          <cell r="C217" t="str">
            <v>PUB_CURRENCY_ISO</v>
          </cell>
          <cell r="E217" t="str">
            <v>GBP</v>
          </cell>
        </row>
        <row r="218">
          <cell r="B218" t="str">
            <v>Pricing Currency</v>
          </cell>
          <cell r="C218" t="str">
            <v>PRICE_CURRENCY_ISO</v>
          </cell>
          <cell r="E218" t="str">
            <v>GBP</v>
          </cell>
        </row>
        <row r="219">
          <cell r="B219" t="str">
            <v>Reporting Currency</v>
          </cell>
          <cell r="C219" t="str">
            <v>CURRENCY_ISO</v>
          </cell>
          <cell r="E219" t="str">
            <v>GBP</v>
          </cell>
        </row>
        <row r="220">
          <cell r="A220" t="str">
            <v>General Information</v>
          </cell>
        </row>
        <row r="221">
          <cell r="B221" t="str">
            <v>Pan Europe Investment List</v>
          </cell>
          <cell r="C221" t="str">
            <v>EURO_LIST</v>
          </cell>
        </row>
        <row r="222">
          <cell r="B222" t="str">
            <v>Pan Europe Conviction List</v>
          </cell>
          <cell r="C222" t="str">
            <v>EURO_CONVICTION</v>
          </cell>
        </row>
        <row r="223">
          <cell r="B223" t="str">
            <v>Legal rating</v>
          </cell>
          <cell r="C223" t="str">
            <v>LEGAL_RATING</v>
          </cell>
        </row>
        <row r="224">
          <cell r="B224" t="str">
            <v>Target price</v>
          </cell>
          <cell r="C224" t="str">
            <v>TARGET_PRICE</v>
          </cell>
          <cell r="D224" t="str">
            <v>GBP</v>
          </cell>
          <cell r="E224">
            <v>1930</v>
          </cell>
        </row>
        <row r="225">
          <cell r="B225" t="str">
            <v>Target price period</v>
          </cell>
          <cell r="C225" t="str">
            <v>TP_PERIOD</v>
          </cell>
          <cell r="E225" t="str">
            <v>12 months</v>
          </cell>
        </row>
        <row r="226">
          <cell r="B226" t="str">
            <v>Current shares outstanding (mn)</v>
          </cell>
          <cell r="C226" t="str">
            <v>NUM_SH</v>
          </cell>
          <cell r="E226">
            <v>68.809083999999999</v>
          </cell>
        </row>
        <row r="227">
          <cell r="B227" t="str">
            <v>Free float</v>
          </cell>
          <cell r="C227" t="str">
            <v>FREE_FLOAT</v>
          </cell>
          <cell r="E227">
            <v>1</v>
          </cell>
        </row>
        <row r="228">
          <cell r="A228" t="str">
            <v>Publishing Items</v>
          </cell>
        </row>
        <row r="229">
          <cell r="B229" t="str">
            <v>Book value per share, BVPS (Pub)</v>
          </cell>
          <cell r="C229" t="str">
            <v>BVPS_PUB</v>
          </cell>
          <cell r="D229" t="str">
            <v>GBP</v>
          </cell>
          <cell r="F229">
            <v>5.9953846153846131</v>
          </cell>
          <cell r="G229">
            <v>6.3660133041678266</v>
          </cell>
          <cell r="H229">
            <v>19.994548032225282</v>
          </cell>
          <cell r="I229">
            <v>35.84059967534975</v>
          </cell>
          <cell r="J229">
            <v>50.381394656645853</v>
          </cell>
          <cell r="K229">
            <v>66.395432364063026</v>
          </cell>
          <cell r="L229">
            <v>82.724194286698975</v>
          </cell>
          <cell r="M229">
            <v>97.460561203692336</v>
          </cell>
          <cell r="N229">
            <v>121.24592062308976</v>
          </cell>
          <cell r="O229">
            <v>126.53172735905704</v>
          </cell>
          <cell r="R229">
            <v>174.11596003391219</v>
          </cell>
          <cell r="U229">
            <v>209.54784662540155</v>
          </cell>
          <cell r="X229">
            <v>211.84367431088904</v>
          </cell>
          <cell r="AA229">
            <v>269.00805796917939</v>
          </cell>
          <cell r="AD229">
            <v>354.75617452804414</v>
          </cell>
          <cell r="AG229">
            <v>413.83198764860759</v>
          </cell>
          <cell r="AH229">
            <v>453.30087650131173</v>
          </cell>
          <cell r="AI229">
            <v>513.62546504028921</v>
          </cell>
          <cell r="AJ229">
            <v>573.56758762576146</v>
          </cell>
          <cell r="AK229">
            <v>635.63227940502543</v>
          </cell>
          <cell r="AL229">
            <v>700.82479823476763</v>
          </cell>
          <cell r="AM229">
            <v>769.86041182417159</v>
          </cell>
        </row>
        <row r="230">
          <cell r="B230" t="str">
            <v>DPS, dividend per share (Pub)</v>
          </cell>
          <cell r="C230" t="str">
            <v>DPS_PUB</v>
          </cell>
          <cell r="D230" t="str">
            <v>GBP</v>
          </cell>
          <cell r="F230">
            <v>1.5646153846153845</v>
          </cell>
          <cell r="G230">
            <v>7.1998410496629806</v>
          </cell>
          <cell r="H230">
            <v>8.099037958891067</v>
          </cell>
          <cell r="I230">
            <v>9</v>
          </cell>
          <cell r="J230">
            <v>9.6999999999999993</v>
          </cell>
          <cell r="K230">
            <v>10.4</v>
          </cell>
          <cell r="L230">
            <v>11.2</v>
          </cell>
          <cell r="M230">
            <v>12.299999999999999</v>
          </cell>
          <cell r="N230">
            <v>13.799999999999999</v>
          </cell>
          <cell r="O230">
            <v>15.9</v>
          </cell>
          <cell r="R230">
            <v>18.5</v>
          </cell>
          <cell r="U230">
            <v>21.2</v>
          </cell>
          <cell r="X230">
            <v>26</v>
          </cell>
          <cell r="AA230">
            <v>31.200000000000003</v>
          </cell>
          <cell r="AD230">
            <v>34.6</v>
          </cell>
          <cell r="AG230">
            <v>38.5</v>
          </cell>
          <cell r="AH230">
            <v>40</v>
          </cell>
          <cell r="AI230">
            <v>42</v>
          </cell>
          <cell r="AJ230">
            <v>46.2</v>
          </cell>
          <cell r="AK230">
            <v>50.820000000000007</v>
          </cell>
          <cell r="AL230">
            <v>55.902000000000015</v>
          </cell>
          <cell r="AM230">
            <v>61.492200000000018</v>
          </cell>
        </row>
        <row r="231">
          <cell r="B231" t="str">
            <v>EBITDA (Pub)</v>
          </cell>
          <cell r="C231" t="str">
            <v>EBITDA_PUB</v>
          </cell>
          <cell r="D231" t="str">
            <v>GBP</v>
          </cell>
          <cell r="F231">
            <v>16.163000000000004</v>
          </cell>
          <cell r="G231">
            <v>20.065999999999988</v>
          </cell>
          <cell r="H231">
            <v>23.400000000000002</v>
          </cell>
          <cell r="I231">
            <v>27.798000000000005</v>
          </cell>
          <cell r="J231">
            <v>34.653999999999996</v>
          </cell>
          <cell r="K231">
            <v>35.708999999999996</v>
          </cell>
          <cell r="L231">
            <v>37.22399999999999</v>
          </cell>
          <cell r="M231">
            <v>41.792000000000037</v>
          </cell>
          <cell r="N231">
            <v>47.536999999999992</v>
          </cell>
          <cell r="O231">
            <v>57.26600000000002</v>
          </cell>
          <cell r="R231">
            <v>69.961999999999989</v>
          </cell>
          <cell r="U231">
            <v>74.902000000000001</v>
          </cell>
          <cell r="X231">
            <v>100.47199999999999</v>
          </cell>
          <cell r="AA231">
            <v>134.84399999999997</v>
          </cell>
          <cell r="AD231">
            <v>145.68500000000003</v>
          </cell>
          <cell r="AG231">
            <v>164.57300000000001</v>
          </cell>
          <cell r="AH231">
            <v>171.68800000000002</v>
          </cell>
          <cell r="AI231">
            <v>174.09227827874113</v>
          </cell>
          <cell r="AJ231">
            <v>183.55384597825167</v>
          </cell>
          <cell r="AK231">
            <v>194.28499589611528</v>
          </cell>
          <cell r="AL231">
            <v>207.8450215579181</v>
          </cell>
          <cell r="AM231">
            <v>223.41885530942633</v>
          </cell>
        </row>
        <row r="232">
          <cell r="B232" t="str">
            <v>EPS (Pub)</v>
          </cell>
          <cell r="C232" t="str">
            <v>EPS_PUB</v>
          </cell>
          <cell r="D232" t="str">
            <v>GBP</v>
          </cell>
          <cell r="F232">
            <v>16.663554240647731</v>
          </cell>
          <cell r="G232">
            <v>20.255308580072391</v>
          </cell>
          <cell r="H232">
            <v>22.586189804850527</v>
          </cell>
          <cell r="I232">
            <v>25.931786980038662</v>
          </cell>
          <cell r="J232">
            <v>29.00944192050272</v>
          </cell>
          <cell r="K232">
            <v>30.475912769225882</v>
          </cell>
          <cell r="L232">
            <v>33.239446608988445</v>
          </cell>
          <cell r="M232">
            <v>38.190931638504303</v>
          </cell>
          <cell r="N232">
            <v>44.076209905090963</v>
          </cell>
          <cell r="O232">
            <v>50.669318499157114</v>
          </cell>
          <cell r="R232">
            <v>58.351117067698034</v>
          </cell>
          <cell r="U232">
            <v>65.426291802649615</v>
          </cell>
          <cell r="X232">
            <v>80.087081338404317</v>
          </cell>
          <cell r="AA232">
            <v>96.419504889163477</v>
          </cell>
          <cell r="AD232">
            <v>107.91001871211698</v>
          </cell>
          <cell r="AG232">
            <v>120.20651226806042</v>
          </cell>
          <cell r="AH232">
            <v>124.45149539943549</v>
          </cell>
          <cell r="AI232">
            <v>132.05657488615765</v>
          </cell>
          <cell r="AJ232">
            <v>137.66348794628837</v>
          </cell>
          <cell r="AK232">
            <v>145.97801534566739</v>
          </cell>
          <cell r="AL232">
            <v>155.48382514365213</v>
          </cell>
          <cell r="AM232">
            <v>165.98887756148903</v>
          </cell>
        </row>
        <row r="233">
          <cell r="B233" t="str">
            <v>EV adjustment (Pub)</v>
          </cell>
          <cell r="C233" t="str">
            <v>EV_ADJ_PUB</v>
          </cell>
          <cell r="D233" t="str">
            <v>GBP</v>
          </cell>
          <cell r="F233">
            <v>22.46</v>
          </cell>
          <cell r="G233">
            <v>21.100999999999999</v>
          </cell>
          <cell r="H233">
            <v>18.744</v>
          </cell>
          <cell r="I233">
            <v>16.501000000000001</v>
          </cell>
          <cell r="J233">
            <v>17.263999999999999</v>
          </cell>
          <cell r="K233">
            <v>23.131</v>
          </cell>
          <cell r="L233">
            <v>27.077999999999999</v>
          </cell>
          <cell r="M233">
            <v>31.686</v>
          </cell>
          <cell r="N233">
            <v>27.859000000000002</v>
          </cell>
          <cell r="O233">
            <v>32.744999999999997</v>
          </cell>
          <cell r="R233">
            <v>9.3009999999999984</v>
          </cell>
          <cell r="U233">
            <v>0</v>
          </cell>
          <cell r="X233">
            <v>-12.138951084402613</v>
          </cell>
          <cell r="AA233">
            <v>-0.68849572970210193</v>
          </cell>
          <cell r="AD233">
            <v>0.16786039728812696</v>
          </cell>
          <cell r="AG233">
            <v>19.34368938760618</v>
          </cell>
          <cell r="AH233">
            <v>23.986768384565579</v>
          </cell>
          <cell r="AI233">
            <v>28.741767950222478</v>
          </cell>
          <cell r="AJ233">
            <v>28.356120587224705</v>
          </cell>
          <cell r="AK233">
            <v>28.596696565952556</v>
          </cell>
          <cell r="AL233">
            <v>27.756521228501487</v>
          </cell>
          <cell r="AM233">
            <v>26.197259468874421</v>
          </cell>
        </row>
        <row r="234">
          <cell r="B234" t="str">
            <v>Net debt (Pub)</v>
          </cell>
          <cell r="C234" t="str">
            <v>NET_DEBT_PUB</v>
          </cell>
          <cell r="D234" t="str">
            <v>GBP</v>
          </cell>
          <cell r="F234">
            <v>-5.6680000000000001</v>
          </cell>
          <cell r="G234">
            <v>-8.9669999999999987</v>
          </cell>
          <cell r="H234">
            <v>0.11200000000000113</v>
          </cell>
          <cell r="I234">
            <v>11.705999999999998</v>
          </cell>
          <cell r="J234">
            <v>55.652000000000001</v>
          </cell>
          <cell r="K234">
            <v>40.562000000000005</v>
          </cell>
          <cell r="L234">
            <v>39.256</v>
          </cell>
          <cell r="M234">
            <v>30.334999999999997</v>
          </cell>
          <cell r="N234">
            <v>23.159999999999997</v>
          </cell>
          <cell r="O234">
            <v>34.277000000000008</v>
          </cell>
          <cell r="R234">
            <v>7.0940000000000012</v>
          </cell>
          <cell r="U234">
            <v>14.188999999999997</v>
          </cell>
          <cell r="X234">
            <v>63.829000000000001</v>
          </cell>
          <cell r="AA234">
            <v>28.680000000000007</v>
          </cell>
          <cell r="AD234">
            <v>-18.137000000000008</v>
          </cell>
          <cell r="AG234">
            <v>46.009</v>
          </cell>
          <cell r="AH234">
            <v>42.913000000000004</v>
          </cell>
          <cell r="AI234">
            <v>-3.3575292298805834</v>
          </cell>
          <cell r="AJ234">
            <v>32.152854675016869</v>
          </cell>
          <cell r="AK234">
            <v>65.145472819501521</v>
          </cell>
          <cell r="AL234">
            <v>94.23306256949337</v>
          </cell>
          <cell r="AM234">
            <v>118.73087161520286</v>
          </cell>
        </row>
        <row r="235">
          <cell r="B235" t="str">
            <v>Net income (Pub)</v>
          </cell>
          <cell r="C235" t="str">
            <v>NI_PUB</v>
          </cell>
          <cell r="D235" t="str">
            <v>GBP</v>
          </cell>
          <cell r="F235">
            <v>9.844000000000003</v>
          </cell>
          <cell r="G235">
            <v>13.165999999999988</v>
          </cell>
          <cell r="H235">
            <v>14.682000000000002</v>
          </cell>
          <cell r="I235">
            <v>16.870000000000005</v>
          </cell>
          <cell r="J235">
            <v>18.973999999999997</v>
          </cell>
          <cell r="K235">
            <v>19.974999999999994</v>
          </cell>
          <cell r="L235">
            <v>21.820999999999987</v>
          </cell>
          <cell r="M235">
            <v>25.284000000000034</v>
          </cell>
          <cell r="N235">
            <v>29.374999999999993</v>
          </cell>
          <cell r="O235">
            <v>33.986000000000026</v>
          </cell>
          <cell r="R235">
            <v>39.341000000000001</v>
          </cell>
          <cell r="U235">
            <v>44.302999999999997</v>
          </cell>
          <cell r="X235">
            <v>54.465000000000003</v>
          </cell>
          <cell r="AA235">
            <v>65.759</v>
          </cell>
          <cell r="AD235">
            <v>73.956999999999994</v>
          </cell>
          <cell r="AG235">
            <v>82.712999999999994</v>
          </cell>
          <cell r="AH235">
            <v>86.076999999999998</v>
          </cell>
          <cell r="AI235">
            <v>91.33706075602008</v>
          </cell>
          <cell r="AJ235">
            <v>95.215087724903412</v>
          </cell>
          <cell r="AK235">
            <v>100.96583883206605</v>
          </cell>
          <cell r="AL235">
            <v>107.54054158959389</v>
          </cell>
          <cell r="AM235">
            <v>114.80637149439269</v>
          </cell>
        </row>
        <row r="236">
          <cell r="B236" t="str">
            <v>EBIT, operating profit (Pub)</v>
          </cell>
          <cell r="C236" t="str">
            <v>EBIT_PUB</v>
          </cell>
          <cell r="D236" t="str">
            <v>GBP</v>
          </cell>
          <cell r="F236">
            <v>13.958000000000002</v>
          </cell>
          <cell r="G236">
            <v>17.952999999999989</v>
          </cell>
          <cell r="H236">
            <v>20.896000000000001</v>
          </cell>
          <cell r="I236">
            <v>24.545000000000005</v>
          </cell>
          <cell r="J236">
            <v>30.324999999999996</v>
          </cell>
          <cell r="K236">
            <v>31.684999999999995</v>
          </cell>
          <cell r="L236">
            <v>33.452999999999989</v>
          </cell>
          <cell r="M236">
            <v>37.543000000000035</v>
          </cell>
          <cell r="N236">
            <v>42.467999999999989</v>
          </cell>
          <cell r="O236">
            <v>51.134000000000022</v>
          </cell>
          <cell r="R236">
            <v>57.509</v>
          </cell>
          <cell r="U236">
            <v>62.920999999999999</v>
          </cell>
          <cell r="X236">
            <v>77.090999999999994</v>
          </cell>
          <cell r="AA236">
            <v>97.33</v>
          </cell>
          <cell r="AD236">
            <v>110.346</v>
          </cell>
          <cell r="AG236">
            <v>122.116</v>
          </cell>
          <cell r="AH236">
            <v>122.244</v>
          </cell>
          <cell r="AI236">
            <v>125.22040851270552</v>
          </cell>
          <cell r="AJ236">
            <v>130.32798117525567</v>
          </cell>
          <cell r="AK236">
            <v>138.12877457263045</v>
          </cell>
          <cell r="AL236">
            <v>147.84524024837904</v>
          </cell>
          <cell r="AM236">
            <v>159.01535968627644</v>
          </cell>
        </row>
        <row r="237">
          <cell r="B237" t="str">
            <v>Pre-tax profit (Pub)</v>
          </cell>
          <cell r="C237" t="str">
            <v>PTP_PUB</v>
          </cell>
          <cell r="D237" t="str">
            <v>GBP</v>
          </cell>
          <cell r="F237">
            <v>14.088000000000003</v>
          </cell>
          <cell r="G237">
            <v>18.085999999999988</v>
          </cell>
          <cell r="H237">
            <v>21.098000000000003</v>
          </cell>
          <cell r="I237">
            <v>23.242000000000004</v>
          </cell>
          <cell r="J237">
            <v>25.623999999999995</v>
          </cell>
          <cell r="K237">
            <v>27.060999999999993</v>
          </cell>
          <cell r="L237">
            <v>29.919999999999987</v>
          </cell>
          <cell r="M237">
            <v>34.370000000000033</v>
          </cell>
          <cell r="N237">
            <v>39.682999999999993</v>
          </cell>
          <cell r="O237">
            <v>47.435000000000024</v>
          </cell>
          <cell r="R237">
            <v>54.795000000000002</v>
          </cell>
          <cell r="U237">
            <v>60.767999999999994</v>
          </cell>
          <cell r="X237">
            <v>72.197999999999993</v>
          </cell>
          <cell r="AA237">
            <v>89.48599999999999</v>
          </cell>
          <cell r="AD237">
            <v>102.688</v>
          </cell>
          <cell r="AG237">
            <v>114.90100000000001</v>
          </cell>
          <cell r="AH237">
            <v>0</v>
          </cell>
          <cell r="AI237">
            <v>0</v>
          </cell>
          <cell r="AJ237">
            <v>126.112698973382</v>
          </cell>
          <cell r="AK237">
            <v>133.72958785704114</v>
          </cell>
          <cell r="AL237">
            <v>142.43780342992568</v>
          </cell>
          <cell r="AM237">
            <v>152.06141919787112</v>
          </cell>
        </row>
        <row r="238">
          <cell r="B238" t="str">
            <v>Sales, revenue (Pub)</v>
          </cell>
          <cell r="C238" t="str">
            <v>REVS_PUB</v>
          </cell>
          <cell r="D238" t="str">
            <v>GBP</v>
          </cell>
          <cell r="F238">
            <v>123.589</v>
          </cell>
          <cell r="G238">
            <v>143.35</v>
          </cell>
          <cell r="H238">
            <v>158.654</v>
          </cell>
          <cell r="I238">
            <v>192.98099999999999</v>
          </cell>
          <cell r="J238">
            <v>226.93199999999999</v>
          </cell>
          <cell r="K238">
            <v>239.54</v>
          </cell>
          <cell r="L238">
            <v>260.35199999999998</v>
          </cell>
          <cell r="M238">
            <v>284.35000000000002</v>
          </cell>
          <cell r="N238">
            <v>319.66899999999998</v>
          </cell>
          <cell r="O238">
            <v>342.41</v>
          </cell>
          <cell r="R238">
            <v>377.04</v>
          </cell>
          <cell r="U238">
            <v>412.89</v>
          </cell>
          <cell r="X238">
            <v>515.27099999999996</v>
          </cell>
          <cell r="AA238">
            <v>651.03599999999994</v>
          </cell>
          <cell r="AD238">
            <v>710.04300000000001</v>
          </cell>
          <cell r="AG238">
            <v>731.73299999999995</v>
          </cell>
          <cell r="AH238">
            <v>0.17000000000000004</v>
          </cell>
          <cell r="AI238">
            <v>0.17000000000000004</v>
          </cell>
          <cell r="AJ238">
            <v>819.01993800267405</v>
          </cell>
          <cell r="AK238">
            <v>864.11118122849416</v>
          </cell>
          <cell r="AL238">
            <v>923.25446190865159</v>
          </cell>
          <cell r="AM238">
            <v>991.01719037656039</v>
          </cell>
        </row>
        <row r="239">
          <cell r="B239" t="str">
            <v>Total shareholders' equity (Pub)</v>
          </cell>
          <cell r="C239" t="str">
            <v>EQ_PUB</v>
          </cell>
          <cell r="D239" t="str">
            <v>GBP</v>
          </cell>
          <cell r="F239">
            <v>3.8969999999999985</v>
          </cell>
          <cell r="G239">
            <v>4.1380000000000017</v>
          </cell>
          <cell r="H239">
            <v>12.998000000000001</v>
          </cell>
          <cell r="I239">
            <v>23.414000000000001</v>
          </cell>
          <cell r="J239">
            <v>32.987000000000002</v>
          </cell>
          <cell r="K239">
            <v>43.664000000000001</v>
          </cell>
          <cell r="L239">
            <v>54.631</v>
          </cell>
          <cell r="M239">
            <v>64.674000000000007</v>
          </cell>
          <cell r="N239">
            <v>81.119</v>
          </cell>
          <cell r="O239">
            <v>85.055999999999997</v>
          </cell>
          <cell r="R239">
            <v>117.39099999999999</v>
          </cell>
          <cell r="U239">
            <v>141.89400000000001</v>
          </cell>
          <cell r="X239">
            <v>144.06900000000002</v>
          </cell>
          <cell r="AA239">
            <v>183.46600000000001</v>
          </cell>
          <cell r="AD239">
            <v>243.13499999999999</v>
          </cell>
          <cell r="AG239">
            <v>285.16800000000001</v>
          </cell>
          <cell r="AH239">
            <v>0.83</v>
          </cell>
          <cell r="AI239">
            <v>0.83</v>
          </cell>
          <cell r="AJ239">
            <v>397.40758981326968</v>
          </cell>
          <cell r="AK239">
            <v>440.33469532644244</v>
          </cell>
          <cell r="AL239">
            <v>485.42516551562727</v>
          </cell>
          <cell r="AM239">
            <v>533.17371599999592</v>
          </cell>
        </row>
        <row r="240">
          <cell r="A240" t="str">
            <v>Income Statement</v>
          </cell>
          <cell r="AH240">
            <v>0</v>
          </cell>
          <cell r="AI240">
            <v>0</v>
          </cell>
        </row>
        <row r="241">
          <cell r="B241" t="str">
            <v>Provision for income tax</v>
          </cell>
          <cell r="C241" t="str">
            <v>PROV_INC_TAX</v>
          </cell>
          <cell r="D241" t="str">
            <v>GBP</v>
          </cell>
          <cell r="F241">
            <v>-4.2439999999999998</v>
          </cell>
          <cell r="G241">
            <v>-4.92</v>
          </cell>
          <cell r="H241">
            <v>-6.4160000000000004</v>
          </cell>
          <cell r="I241">
            <v>-6.3719999999999999</v>
          </cell>
          <cell r="J241">
            <v>-6.65</v>
          </cell>
          <cell r="K241">
            <v>-7.0860000000000003</v>
          </cell>
          <cell r="L241">
            <v>-8.0990000000000002</v>
          </cell>
          <cell r="M241">
            <v>-9.0860000000000003</v>
          </cell>
          <cell r="N241">
            <v>-10.308</v>
          </cell>
          <cell r="O241">
            <v>-13.449</v>
          </cell>
          <cell r="R241">
            <v>-15.454000000000001</v>
          </cell>
          <cell r="U241">
            <v>-16.464999999999996</v>
          </cell>
          <cell r="X241">
            <v>-17.73299999999999</v>
          </cell>
          <cell r="AA241">
            <v>-23.72699999999999</v>
          </cell>
          <cell r="AD241">
            <v>-28.731000000000009</v>
          </cell>
          <cell r="AG241">
            <v>-32.188000000000017</v>
          </cell>
          <cell r="AH241">
            <v>-29.489000000000004</v>
          </cell>
          <cell r="AI241">
            <v>-29.639178655927044</v>
          </cell>
          <cell r="AJ241">
            <v>-30.89761124847859</v>
          </cell>
          <cell r="AK241">
            <v>-32.763749024975077</v>
          </cell>
          <cell r="AL241">
            <v>-34.897261840331794</v>
          </cell>
          <cell r="AM241">
            <v>-37.255047703478425</v>
          </cell>
        </row>
        <row r="242">
          <cell r="B242" t="str">
            <v>Minority interest</v>
          </cell>
          <cell r="C242" t="str">
            <v>INC_MINORITY</v>
          </cell>
          <cell r="D242" t="str">
            <v>GBP</v>
          </cell>
          <cell r="F242">
            <v>0</v>
          </cell>
          <cell r="G242">
            <v>0</v>
          </cell>
          <cell r="H242">
            <v>0</v>
          </cell>
          <cell r="I242">
            <v>0</v>
          </cell>
          <cell r="J242">
            <v>0</v>
          </cell>
          <cell r="K242">
            <v>0</v>
          </cell>
          <cell r="L242">
            <v>0</v>
          </cell>
          <cell r="M242">
            <v>0</v>
          </cell>
          <cell r="N242">
            <v>0</v>
          </cell>
          <cell r="O242">
            <v>0</v>
          </cell>
          <cell r="R242">
            <v>-5.599999999999028E-2</v>
          </cell>
          <cell r="U242">
            <v>0</v>
          </cell>
          <cell r="X242">
            <v>-5.5511151231257827E-15</v>
          </cell>
          <cell r="AA242">
            <v>0</v>
          </cell>
          <cell r="AD242">
            <v>0</v>
          </cell>
          <cell r="AG242">
            <v>0.28000000000000003</v>
          </cell>
          <cell r="AH242">
            <v>0.309</v>
          </cell>
          <cell r="AI242">
            <v>0</v>
          </cell>
          <cell r="AJ242">
            <v>0</v>
          </cell>
          <cell r="AK242">
            <v>0</v>
          </cell>
          <cell r="AL242">
            <v>0</v>
          </cell>
          <cell r="AM242">
            <v>0</v>
          </cell>
        </row>
        <row r="243">
          <cell r="B243" t="str">
            <v>Net income (pre-preferred dividends)</v>
          </cell>
          <cell r="C243" t="str">
            <v>NI_PRE_PREF</v>
          </cell>
          <cell r="D243" t="str">
            <v>GBP</v>
          </cell>
          <cell r="F243">
            <v>9.8440000000000047</v>
          </cell>
          <cell r="G243">
            <v>13.165999999999988</v>
          </cell>
          <cell r="H243">
            <v>14.682000000000002</v>
          </cell>
          <cell r="I243">
            <v>16.870000000000005</v>
          </cell>
          <cell r="J243">
            <v>18.973999999999997</v>
          </cell>
          <cell r="K243">
            <v>19.974999999999994</v>
          </cell>
          <cell r="L243">
            <v>21.820999999999987</v>
          </cell>
          <cell r="M243">
            <v>25.284000000000034</v>
          </cell>
          <cell r="N243">
            <v>29.374999999999993</v>
          </cell>
          <cell r="O243">
            <v>33.986000000000026</v>
          </cell>
          <cell r="R243">
            <v>39.341000000000001</v>
          </cell>
          <cell r="U243">
            <v>44.302999999999997</v>
          </cell>
          <cell r="X243">
            <v>54.465000000000003</v>
          </cell>
          <cell r="AA243">
            <v>65.759</v>
          </cell>
          <cell r="AD243">
            <v>73.956999999999994</v>
          </cell>
          <cell r="AG243">
            <v>82.712999999999994</v>
          </cell>
          <cell r="AH243">
            <v>86.076999999999998</v>
          </cell>
          <cell r="AI243">
            <v>91.33706075602008</v>
          </cell>
          <cell r="AJ243">
            <v>95.215087724903412</v>
          </cell>
          <cell r="AK243">
            <v>100.96583883206605</v>
          </cell>
          <cell r="AL243">
            <v>107.54054158959389</v>
          </cell>
          <cell r="AM243">
            <v>114.80637149439269</v>
          </cell>
        </row>
        <row r="244">
          <cell r="B244" t="str">
            <v>Preferred dividends</v>
          </cell>
          <cell r="C244" t="str">
            <v>PREF_DIV</v>
          </cell>
          <cell r="D244" t="str">
            <v>GBP</v>
          </cell>
        </row>
        <row r="245">
          <cell r="B245" t="str">
            <v>Net income (pre-exceptionals)</v>
          </cell>
          <cell r="C245" t="str">
            <v>NET_EARNING</v>
          </cell>
          <cell r="D245" t="str">
            <v>GBP</v>
          </cell>
          <cell r="F245">
            <v>9.8440000000000047</v>
          </cell>
          <cell r="G245">
            <v>13.165999999999988</v>
          </cell>
          <cell r="H245">
            <v>14.682000000000002</v>
          </cell>
          <cell r="I245">
            <v>16.870000000000005</v>
          </cell>
          <cell r="J245">
            <v>18.973999999999997</v>
          </cell>
          <cell r="K245">
            <v>19.974999999999994</v>
          </cell>
          <cell r="L245">
            <v>21.820999999999987</v>
          </cell>
          <cell r="M245">
            <v>25.284000000000034</v>
          </cell>
          <cell r="N245">
            <v>29.374999999999993</v>
          </cell>
          <cell r="O245">
            <v>33.986000000000026</v>
          </cell>
          <cell r="R245">
            <v>39.341000000000001</v>
          </cell>
          <cell r="U245">
            <v>44.302999999999997</v>
          </cell>
          <cell r="X245">
            <v>54.465000000000003</v>
          </cell>
          <cell r="AA245">
            <v>65.759</v>
          </cell>
          <cell r="AD245">
            <v>73.956999999999994</v>
          </cell>
          <cell r="AG245">
            <v>82.712999999999994</v>
          </cell>
          <cell r="AH245">
            <v>86.076999999999998</v>
          </cell>
          <cell r="AI245">
            <v>91.33706075602008</v>
          </cell>
          <cell r="AJ245">
            <v>95.215087724903412</v>
          </cell>
          <cell r="AK245">
            <v>100.96583883206605</v>
          </cell>
          <cell r="AL245">
            <v>107.54054158959389</v>
          </cell>
          <cell r="AM245">
            <v>114.80637149439269</v>
          </cell>
        </row>
        <row r="246">
          <cell r="B246" t="str">
            <v>Post-tax exceptionals</v>
          </cell>
          <cell r="C246" t="str">
            <v>TAX_EXC</v>
          </cell>
          <cell r="D246" t="str">
            <v>GBP</v>
          </cell>
          <cell r="F246">
            <v>0</v>
          </cell>
          <cell r="G246">
            <v>0</v>
          </cell>
          <cell r="H246">
            <v>-4.1000000000000369E-2</v>
          </cell>
          <cell r="I246">
            <v>-1.3109999999999999</v>
          </cell>
          <cell r="J246">
            <v>-2.972999999999999</v>
          </cell>
          <cell r="K246">
            <v>-3.652000000000001</v>
          </cell>
          <cell r="L246">
            <v>-3.875</v>
          </cell>
          <cell r="M246">
            <v>-4.8780000000000001</v>
          </cell>
          <cell r="N246">
            <v>-5.8980000000000103</v>
          </cell>
          <cell r="O246">
            <v>-4.5760000000000005</v>
          </cell>
          <cell r="R246">
            <v>0.21100000000000563</v>
          </cell>
          <cell r="U246">
            <v>-3.0679999999999978</v>
          </cell>
          <cell r="X246">
            <v>-52.708000000000013</v>
          </cell>
          <cell r="AA246">
            <v>12.721000000000018</v>
          </cell>
          <cell r="AD246">
            <v>-7.632000000000005</v>
          </cell>
          <cell r="AG246">
            <v>-16.548999999999992</v>
          </cell>
          <cell r="AH246">
            <v>-22.510999999999981</v>
          </cell>
          <cell r="AI246">
            <v>-20.143777133836522</v>
          </cell>
          <cell r="AJ246">
            <v>-22.370463815802935</v>
          </cell>
          <cell r="AK246">
            <v>-23.660364005006144</v>
          </cell>
          <cell r="AL246">
            <v>-24.779650869418873</v>
          </cell>
          <cell r="AM246">
            <v>-25.766144140220462</v>
          </cell>
        </row>
        <row r="247">
          <cell r="B247" t="str">
            <v>Net income (post-exceptionals)</v>
          </cell>
          <cell r="C247" t="str">
            <v>NET_INC</v>
          </cell>
          <cell r="D247" t="str">
            <v>GBP</v>
          </cell>
          <cell r="F247">
            <v>9.8440000000000047</v>
          </cell>
          <cell r="G247">
            <v>13.165999999999988</v>
          </cell>
          <cell r="H247">
            <v>14.641000000000002</v>
          </cell>
          <cell r="I247">
            <v>15.559000000000005</v>
          </cell>
          <cell r="J247">
            <v>16.000999999999998</v>
          </cell>
          <cell r="K247">
            <v>16.322999999999993</v>
          </cell>
          <cell r="L247">
            <v>17.945999999999987</v>
          </cell>
          <cell r="M247">
            <v>20.406000000000034</v>
          </cell>
          <cell r="N247">
            <v>23.476999999999983</v>
          </cell>
          <cell r="O247">
            <v>29.410000000000025</v>
          </cell>
          <cell r="R247">
            <v>39.552000000000007</v>
          </cell>
          <cell r="U247">
            <v>41.234999999999999</v>
          </cell>
          <cell r="X247">
            <v>1.7569999999999943</v>
          </cell>
          <cell r="AA247">
            <v>78.480000000000018</v>
          </cell>
          <cell r="AD247">
            <v>66.324999999999989</v>
          </cell>
          <cell r="AG247">
            <v>66.164000000000001</v>
          </cell>
          <cell r="AH247">
            <v>63.566000000000017</v>
          </cell>
          <cell r="AI247">
            <v>71.193283622183557</v>
          </cell>
          <cell r="AJ247">
            <v>72.844623909100477</v>
          </cell>
          <cell r="AK247">
            <v>77.305474827059911</v>
          </cell>
          <cell r="AL247">
            <v>82.760890720175013</v>
          </cell>
          <cell r="AM247">
            <v>89.040227354172231</v>
          </cell>
        </row>
        <row r="248">
          <cell r="B248" t="str">
            <v>EPS (pre-exceptionals, basic)</v>
          </cell>
          <cell r="C248" t="str">
            <v>EPS</v>
          </cell>
          <cell r="D248" t="str">
            <v>GBP</v>
          </cell>
          <cell r="F248">
            <v>16.663554240647731</v>
          </cell>
          <cell r="G248">
            <v>20.255308580072391</v>
          </cell>
          <cell r="H248">
            <v>22.586189804850527</v>
          </cell>
          <cell r="I248">
            <v>25.931786980038662</v>
          </cell>
          <cell r="J248">
            <v>29.00944192050272</v>
          </cell>
          <cell r="K248">
            <v>30.475912769225882</v>
          </cell>
          <cell r="L248">
            <v>33.239446608988445</v>
          </cell>
          <cell r="M248">
            <v>38.190931638504303</v>
          </cell>
          <cell r="N248">
            <v>44.076209905090963</v>
          </cell>
          <cell r="O248">
            <v>50.669318499157114</v>
          </cell>
          <cell r="R248">
            <v>58.351117067698034</v>
          </cell>
          <cell r="U248">
            <v>65.426291802649615</v>
          </cell>
          <cell r="X248">
            <v>80.087081338404317</v>
          </cell>
          <cell r="AA248">
            <v>96.419504889163477</v>
          </cell>
          <cell r="AD248">
            <v>107.91001871211698</v>
          </cell>
          <cell r="AG248">
            <v>120.20651226806042</v>
          </cell>
          <cell r="AH248">
            <v>124.45149539943549</v>
          </cell>
          <cell r="AI248">
            <v>132.05657488615765</v>
          </cell>
          <cell r="AJ248">
            <v>137.66348794628837</v>
          </cell>
          <cell r="AK248">
            <v>145.97801534566739</v>
          </cell>
          <cell r="AL248">
            <v>155.48382514365213</v>
          </cell>
          <cell r="AM248">
            <v>165.98887756148903</v>
          </cell>
        </row>
        <row r="249">
          <cell r="B249" t="str">
            <v>EPS (pre-exceptionals, diluted)</v>
          </cell>
          <cell r="C249" t="str">
            <v>EPS_FUL_DIL</v>
          </cell>
          <cell r="D249" t="str">
            <v>GBP</v>
          </cell>
          <cell r="F249">
            <v>16.663554240647731</v>
          </cell>
          <cell r="G249">
            <v>20.189909670166234</v>
          </cell>
          <cell r="H249">
            <v>22.473556375548348</v>
          </cell>
          <cell r="I249">
            <v>25.784467589566184</v>
          </cell>
          <cell r="J249">
            <v>28.911736281568551</v>
          </cell>
          <cell r="K249">
            <v>30.397674784081012</v>
          </cell>
          <cell r="L249">
            <v>33.151560102907915</v>
          </cell>
          <cell r="M249">
            <v>38.024075688543888</v>
          </cell>
          <cell r="N249">
            <v>43.780315726199404</v>
          </cell>
          <cell r="O249">
            <v>50.276217414210713</v>
          </cell>
          <cell r="R249">
            <v>57.896373864498706</v>
          </cell>
          <cell r="U249">
            <v>65.00959574972272</v>
          </cell>
          <cell r="X249">
            <v>79.721639815216179</v>
          </cell>
          <cell r="AA249">
            <v>96.185171674785565</v>
          </cell>
          <cell r="AD249">
            <v>107.31571257614286</v>
          </cell>
          <cell r="AG249">
            <v>119.75079360798051</v>
          </cell>
          <cell r="AH249">
            <v>124.06558945597146</v>
          </cell>
          <cell r="AI249">
            <v>131.64708669994897</v>
          </cell>
          <cell r="AJ249">
            <v>137.23661354011145</v>
          </cell>
          <cell r="AK249">
            <v>145.52535880219907</v>
          </cell>
          <cell r="AL249">
            <v>155.00169246985115</v>
          </cell>
          <cell r="AM249">
            <v>165.47417025167081</v>
          </cell>
        </row>
        <row r="250">
          <cell r="B250" t="str">
            <v>EPS (post-exceptionals, basic)</v>
          </cell>
          <cell r="C250" t="str">
            <v>EPS_POST_BASIC</v>
          </cell>
          <cell r="D250" t="str">
            <v>GBP</v>
          </cell>
          <cell r="F250">
            <v>16.663554240647731</v>
          </cell>
          <cell r="G250">
            <v>20.255308580072391</v>
          </cell>
          <cell r="H250">
            <v>22.523117077565491</v>
          </cell>
          <cell r="I250">
            <v>23.916578163747573</v>
          </cell>
          <cell r="J250">
            <v>24.464007598290504</v>
          </cell>
          <cell r="K250">
            <v>24.904046264434246</v>
          </cell>
          <cell r="L250">
            <v>27.336744825851543</v>
          </cell>
          <cell r="M250">
            <v>30.822818818830843</v>
          </cell>
          <cell r="N250">
            <v>35.226457189508764</v>
          </cell>
          <cell r="O250">
            <v>43.847015155070054</v>
          </cell>
          <cell r="R250">
            <v>58.664075195383766</v>
          </cell>
          <cell r="U250">
            <v>60.895495620663539</v>
          </cell>
          <cell r="X250">
            <v>2.5835491033062685</v>
          </cell>
          <cell r="AA250">
            <v>115.07174293559133</v>
          </cell>
          <cell r="AD250">
            <v>96.774233555730461</v>
          </cell>
          <cell r="AG250">
            <v>96.155908716936281</v>
          </cell>
          <cell r="AH250">
            <v>91.904733628733794</v>
          </cell>
          <cell r="AI250">
            <v>102.9323815790151</v>
          </cell>
          <cell r="AJ250">
            <v>105.31991562551002</v>
          </cell>
          <cell r="AK250">
            <v>111.76948481930158</v>
          </cell>
          <cell r="AL250">
            <v>119.65701186977991</v>
          </cell>
          <cell r="AM250">
            <v>128.73577662944174</v>
          </cell>
        </row>
        <row r="251">
          <cell r="B251" t="str">
            <v>EPS (post-exceptionals, diluted)</v>
          </cell>
          <cell r="C251" t="str">
            <v>FULLY_DIL_EPS</v>
          </cell>
          <cell r="D251" t="str">
            <v>GBP</v>
          </cell>
          <cell r="F251">
            <v>16.663554240647731</v>
          </cell>
          <cell r="G251">
            <v>20.189909670166234</v>
          </cell>
          <cell r="H251">
            <v>22.410798181065477</v>
          </cell>
          <cell r="I251">
            <v>23.780707245172511</v>
          </cell>
          <cell r="J251">
            <v>24.381611270231808</v>
          </cell>
          <cell r="K251">
            <v>24.84011241554715</v>
          </cell>
          <cell r="L251">
            <v>27.264465313541329</v>
          </cell>
          <cell r="M251">
            <v>30.688154109335024</v>
          </cell>
          <cell r="N251">
            <v>34.989973525241972</v>
          </cell>
          <cell r="O251">
            <v>43.506842645558088</v>
          </cell>
          <cell r="R251">
            <v>58.206893040051163</v>
          </cell>
          <cell r="U251">
            <v>60.507655931648351</v>
          </cell>
          <cell r="X251">
            <v>2.5717602341932313</v>
          </cell>
          <cell r="AA251">
            <v>114.79207824080618</v>
          </cell>
          <cell r="AD251">
            <v>96.241256900802824</v>
          </cell>
          <cell r="AG251">
            <v>95.791369050553399</v>
          </cell>
          <cell r="AH251">
            <v>91.619750448531931</v>
          </cell>
          <cell r="AI251">
            <v>102.613203270239</v>
          </cell>
          <cell r="AJ251">
            <v>104.99333392173406</v>
          </cell>
          <cell r="AK251">
            <v>111.42290394173764</v>
          </cell>
          <cell r="AL251">
            <v>119.28597292075412</v>
          </cell>
          <cell r="AM251">
            <v>128.33658575448831</v>
          </cell>
        </row>
        <row r="252">
          <cell r="B252" t="str">
            <v>Common dividends paid</v>
          </cell>
          <cell r="C252" t="str">
            <v>COMMON_DIV_PAID</v>
          </cell>
          <cell r="D252" t="str">
            <v>GBP</v>
          </cell>
          <cell r="F252">
            <v>-1.0169999999999999</v>
          </cell>
          <cell r="G252">
            <v>-4.68</v>
          </cell>
          <cell r="H252">
            <v>-5.2649999999999997</v>
          </cell>
          <cell r="I252">
            <v>-5.8710000000000004</v>
          </cell>
          <cell r="J252">
            <v>-6.3470000000000004</v>
          </cell>
          <cell r="K252">
            <v>-6.835</v>
          </cell>
          <cell r="L252">
            <v>-7.3849999999999998</v>
          </cell>
          <cell r="M252">
            <v>-8.173</v>
          </cell>
          <cell r="N252">
            <v>-9.2460000000000004</v>
          </cell>
          <cell r="O252">
            <v>-9.5670000000000002</v>
          </cell>
          <cell r="R252">
            <v>-1.2472914599999999E-2</v>
          </cell>
          <cell r="U252">
            <v>-1.4355446016000001E-2</v>
          </cell>
          <cell r="X252">
            <v>-1.768187798E-2</v>
          </cell>
          <cell r="AA252">
            <v>-2.1278690472000004E-2</v>
          </cell>
          <cell r="AD252">
            <v>-2.3713388529999997E-2</v>
          </cell>
          <cell r="AG252">
            <v>-2.649149734E-2</v>
          </cell>
          <cell r="AH252">
            <v>-2.7666039599999998E-2</v>
          </cell>
          <cell r="AI252">
            <v>-2.9049341579999999E-2</v>
          </cell>
          <cell r="AJ252">
            <v>-3.1954275737999999E-2</v>
          </cell>
          <cell r="AK252">
            <v>-3.5149703311800007E-2</v>
          </cell>
          <cell r="AL252">
            <v>-3.8664673642980013E-2</v>
          </cell>
          <cell r="AM252">
            <v>-4.2531141007278013E-2</v>
          </cell>
        </row>
        <row r="253">
          <cell r="B253" t="str">
            <v>DPS, dividend per share</v>
          </cell>
          <cell r="C253" t="str">
            <v>DPS</v>
          </cell>
          <cell r="D253" t="str">
            <v>GBP</v>
          </cell>
          <cell r="F253">
            <v>1.5646153846153845</v>
          </cell>
          <cell r="G253">
            <v>7.1998410496629806</v>
          </cell>
          <cell r="H253">
            <v>8.099037958891067</v>
          </cell>
          <cell r="I253">
            <v>9</v>
          </cell>
          <cell r="J253">
            <v>9.6999999999999993</v>
          </cell>
          <cell r="K253">
            <v>10.4</v>
          </cell>
          <cell r="L253">
            <v>11.2</v>
          </cell>
          <cell r="M253">
            <v>12.299999999999999</v>
          </cell>
          <cell r="N253">
            <v>13.799999999999999</v>
          </cell>
          <cell r="O253">
            <v>15.9</v>
          </cell>
          <cell r="R253">
            <v>18.5</v>
          </cell>
          <cell r="U253">
            <v>21.2</v>
          </cell>
          <cell r="X253">
            <v>26</v>
          </cell>
          <cell r="AA253">
            <v>31.200000000000003</v>
          </cell>
          <cell r="AD253">
            <v>34.6</v>
          </cell>
          <cell r="AG253">
            <v>38.5</v>
          </cell>
          <cell r="AH253">
            <v>40</v>
          </cell>
          <cell r="AI253">
            <v>42</v>
          </cell>
          <cell r="AJ253">
            <v>46.2</v>
          </cell>
          <cell r="AK253">
            <v>50.820000000000007</v>
          </cell>
          <cell r="AL253">
            <v>55.902000000000015</v>
          </cell>
          <cell r="AM253">
            <v>61.492200000000018</v>
          </cell>
        </row>
        <row r="254">
          <cell r="B254" t="str">
            <v>Weighted average shares outstanding, basic</v>
          </cell>
          <cell r="C254" t="str">
            <v>SH</v>
          </cell>
          <cell r="F254">
            <v>59.075032</v>
          </cell>
          <cell r="G254">
            <v>65.000243999999995</v>
          </cell>
          <cell r="H254">
            <v>65.004323999999997</v>
          </cell>
          <cell r="I254">
            <v>65.055293000000006</v>
          </cell>
          <cell r="J254">
            <v>65.406290999999996</v>
          </cell>
          <cell r="K254">
            <v>65.543565999999998</v>
          </cell>
          <cell r="L254">
            <v>65.647903999999997</v>
          </cell>
          <cell r="M254">
            <v>66.204198000000005</v>
          </cell>
          <cell r="N254">
            <v>66.645930000000007</v>
          </cell>
          <cell r="O254">
            <v>67.074121000000005</v>
          </cell>
          <cell r="R254">
            <v>67.42116</v>
          </cell>
          <cell r="U254">
            <v>67.714368000000007</v>
          </cell>
          <cell r="X254">
            <v>68.007222999999996</v>
          </cell>
          <cell r="AA254">
            <v>68.200930999999997</v>
          </cell>
          <cell r="AD254">
            <v>68.535804999999996</v>
          </cell>
          <cell r="AG254">
            <v>68.809083999999999</v>
          </cell>
          <cell r="AH254">
            <v>69.165098999999998</v>
          </cell>
          <cell r="AI254">
            <v>69.165098999999998</v>
          </cell>
          <cell r="AJ254">
            <v>69.165098999999998</v>
          </cell>
          <cell r="AK254">
            <v>69.165098999999998</v>
          </cell>
          <cell r="AL254">
            <v>69.165098999999998</v>
          </cell>
          <cell r="AM254">
            <v>69.165098999999998</v>
          </cell>
        </row>
        <row r="255">
          <cell r="B255" t="str">
            <v>Diluted average shares outstanding (mn)</v>
          </cell>
          <cell r="C255" t="str">
            <v>DILUTE_SHARES</v>
          </cell>
          <cell r="F255">
            <v>59.075032</v>
          </cell>
          <cell r="G255">
            <v>65.210791999999998</v>
          </cell>
          <cell r="H255">
            <v>65.330113999999995</v>
          </cell>
          <cell r="I255">
            <v>65.426985999999999</v>
          </cell>
          <cell r="J255">
            <v>65.627328000000006</v>
          </cell>
          <cell r="K255">
            <v>65.712262999999993</v>
          </cell>
          <cell r="L255">
            <v>65.821939999999998</v>
          </cell>
          <cell r="M255">
            <v>66.494713000000004</v>
          </cell>
          <cell r="N255">
            <v>67.096363999999994</v>
          </cell>
          <cell r="O255">
            <v>67.598562000000001</v>
          </cell>
          <cell r="R255">
            <v>67.950715000000002</v>
          </cell>
          <cell r="U255">
            <v>68.148400999999993</v>
          </cell>
          <cell r="X255">
            <v>68.318966000000003</v>
          </cell>
          <cell r="AA255">
            <v>68.367086999999998</v>
          </cell>
          <cell r="AD255">
            <v>68.915351000000001</v>
          </cell>
          <cell r="AG255">
            <v>69.070941000000005</v>
          </cell>
          <cell r="AH255">
            <v>69.380236999999994</v>
          </cell>
          <cell r="AI255">
            <v>69.380236999999994</v>
          </cell>
          <cell r="AJ255">
            <v>69.380236999999994</v>
          </cell>
          <cell r="AK255">
            <v>69.380236999999994</v>
          </cell>
          <cell r="AL255">
            <v>69.380236999999994</v>
          </cell>
          <cell r="AM255">
            <v>69.380236999999994</v>
          </cell>
        </row>
        <row r="256">
          <cell r="B256" t="str">
            <v>Period-end shares outstanding</v>
          </cell>
          <cell r="C256" t="str">
            <v>NON_OP_ADD</v>
          </cell>
          <cell r="F256">
            <v>65</v>
          </cell>
          <cell r="G256">
            <v>65.001435000000001</v>
          </cell>
          <cell r="H256">
            <v>65.007721000000004</v>
          </cell>
          <cell r="I256">
            <v>65.328147999999999</v>
          </cell>
          <cell r="J256">
            <v>65.474566999999993</v>
          </cell>
          <cell r="K256">
            <v>65.763559999999998</v>
          </cell>
          <cell r="L256">
            <v>66.039929999999998</v>
          </cell>
          <cell r="M256">
            <v>66.35915</v>
          </cell>
          <cell r="N256">
            <v>66.904518999999993</v>
          </cell>
          <cell r="O256">
            <v>67.221085000000002</v>
          </cell>
          <cell r="R256">
            <v>67.42116</v>
          </cell>
          <cell r="U256">
            <v>67.714368000000007</v>
          </cell>
          <cell r="X256">
            <v>68.007222999999996</v>
          </cell>
          <cell r="AA256">
            <v>68.200930999999997</v>
          </cell>
          <cell r="AD256">
            <v>68.535804999999996</v>
          </cell>
          <cell r="AG256">
            <v>68.809083999999999</v>
          </cell>
          <cell r="AH256">
            <v>69.165098999999998</v>
          </cell>
          <cell r="AI256">
            <v>69.165098999999998</v>
          </cell>
          <cell r="AJ256">
            <v>69.165098999999998</v>
          </cell>
          <cell r="AK256">
            <v>69.165098999999998</v>
          </cell>
          <cell r="AL256">
            <v>69.165098999999998</v>
          </cell>
          <cell r="AM256">
            <v>69.165098999999998</v>
          </cell>
        </row>
        <row r="257">
          <cell r="A257" t="str">
            <v>Additional Income Statement Items</v>
          </cell>
        </row>
        <row r="258">
          <cell r="B258" t="str">
            <v>Organic net income (excl. acquisitions)</v>
          </cell>
          <cell r="C258" t="str">
            <v>ORG_NI</v>
          </cell>
          <cell r="D258" t="str">
            <v>GBP</v>
          </cell>
        </row>
        <row r="259">
          <cell r="B259" t="str">
            <v>Organic EPS (excl. acquisitions)</v>
          </cell>
          <cell r="C259" t="str">
            <v>ORG_EPS</v>
          </cell>
          <cell r="D259" t="str">
            <v>GBP</v>
          </cell>
          <cell r="AH259">
            <v>0</v>
          </cell>
          <cell r="AI259">
            <v>0</v>
          </cell>
        </row>
        <row r="260">
          <cell r="B260" t="str">
            <v>Marginal tax rate</v>
          </cell>
          <cell r="C260" t="str">
            <v>MARGIN_TAX_RATE</v>
          </cell>
          <cell r="F260">
            <v>0.30124929017603624</v>
          </cell>
          <cell r="G260">
            <v>0.27203361716244628</v>
          </cell>
          <cell r="H260">
            <v>0.30410465446961793</v>
          </cell>
          <cell r="I260">
            <v>0.27415885035711207</v>
          </cell>
          <cell r="J260">
            <v>0.2595223228223541</v>
          </cell>
          <cell r="K260">
            <v>0.26185285096633537</v>
          </cell>
          <cell r="L260">
            <v>0.2706885026737969</v>
          </cell>
          <cell r="M260">
            <v>0.26435845213849263</v>
          </cell>
          <cell r="N260">
            <v>0.25975858680039315</v>
          </cell>
          <cell r="O260">
            <v>0.28352482344260554</v>
          </cell>
          <cell r="R260">
            <v>0.28203303221096809</v>
          </cell>
          <cell r="U260">
            <v>0.27094852553975768</v>
          </cell>
          <cell r="X260">
            <v>0.24561622205601252</v>
          </cell>
          <cell r="AA260">
            <v>0.2651476208568937</v>
          </cell>
          <cell r="AD260">
            <v>0.27978926456840147</v>
          </cell>
          <cell r="AG260">
            <v>0.28013681343069263</v>
          </cell>
          <cell r="AH260">
            <v>0.17000000000000004</v>
          </cell>
          <cell r="AI260">
            <v>0.17000000000000004</v>
          </cell>
          <cell r="AJ260">
            <v>0.245</v>
          </cell>
          <cell r="AK260">
            <v>0.245</v>
          </cell>
          <cell r="AL260">
            <v>0.245</v>
          </cell>
          <cell r="AM260">
            <v>0.245</v>
          </cell>
        </row>
        <row r="261">
          <cell r="A261" t="str">
            <v>Balance Sheet</v>
          </cell>
          <cell r="AH261">
            <v>0.83</v>
          </cell>
          <cell r="AI261">
            <v>0.83</v>
          </cell>
        </row>
        <row r="262">
          <cell r="B262" t="str">
            <v>BVPS, book value per share</v>
          </cell>
          <cell r="C262" t="str">
            <v>BVPS</v>
          </cell>
          <cell r="D262" t="str">
            <v>GBP</v>
          </cell>
          <cell r="F262">
            <v>5.9953846153846131</v>
          </cell>
          <cell r="G262">
            <v>6.3660133041678266</v>
          </cell>
          <cell r="H262">
            <v>19.994548032225282</v>
          </cell>
          <cell r="I262">
            <v>35.84059967534975</v>
          </cell>
          <cell r="J262">
            <v>50.381394656645853</v>
          </cell>
          <cell r="K262">
            <v>66.395432364063026</v>
          </cell>
          <cell r="L262">
            <v>82.724194286698975</v>
          </cell>
          <cell r="M262">
            <v>97.460561203692336</v>
          </cell>
          <cell r="N262">
            <v>121.24592062308976</v>
          </cell>
          <cell r="O262">
            <v>126.53172735905704</v>
          </cell>
          <cell r="R262">
            <v>174.11596003391219</v>
          </cell>
          <cell r="U262">
            <v>209.54784662540155</v>
          </cell>
          <cell r="X262">
            <v>211.84367431088904</v>
          </cell>
          <cell r="AA262">
            <v>269.00805796917939</v>
          </cell>
          <cell r="AD262">
            <v>354.75617452804414</v>
          </cell>
          <cell r="AG262">
            <v>413.83198764860759</v>
          </cell>
          <cell r="AH262">
            <v>0</v>
          </cell>
          <cell r="AI262">
            <v>0</v>
          </cell>
          <cell r="AJ262">
            <v>573.56758762576146</v>
          </cell>
          <cell r="AK262">
            <v>635.63227940502543</v>
          </cell>
          <cell r="AL262">
            <v>700.82479823476763</v>
          </cell>
          <cell r="AM262">
            <v>769.86041182417159</v>
          </cell>
        </row>
        <row r="263">
          <cell r="A263" t="str">
            <v>Cash Flow Statement</v>
          </cell>
        </row>
        <row r="264">
          <cell r="B264" t="str">
            <v>Net income (pre-preferred dividends)</v>
          </cell>
          <cell r="C264" t="str">
            <v>CF_NI_PRE_PREF</v>
          </cell>
          <cell r="D264" t="str">
            <v>GBP</v>
          </cell>
          <cell r="F264">
            <v>9.844000000000003</v>
          </cell>
          <cell r="G264">
            <v>13.165999999999988</v>
          </cell>
          <cell r="H264">
            <v>14.682000000000002</v>
          </cell>
          <cell r="I264">
            <v>16.870000000000005</v>
          </cell>
          <cell r="J264">
            <v>18.973999999999997</v>
          </cell>
          <cell r="K264">
            <v>19.974999999999994</v>
          </cell>
          <cell r="L264">
            <v>21.820999999999987</v>
          </cell>
          <cell r="M264">
            <v>25.284000000000034</v>
          </cell>
          <cell r="N264">
            <v>29.374999999999993</v>
          </cell>
          <cell r="O264">
            <v>33.986000000000026</v>
          </cell>
          <cell r="R264">
            <v>39.341000000000001</v>
          </cell>
          <cell r="U264">
            <v>44.302999999999997</v>
          </cell>
          <cell r="X264">
            <v>54.465000000000003</v>
          </cell>
          <cell r="AA264">
            <v>65.759</v>
          </cell>
          <cell r="AD264">
            <v>73.956999999999994</v>
          </cell>
          <cell r="AG264">
            <v>82.712999999999994</v>
          </cell>
          <cell r="AJ264">
            <v>95.215087724903412</v>
          </cell>
          <cell r="AK264">
            <v>100.96583883206605</v>
          </cell>
          <cell r="AL264">
            <v>107.54054158959389</v>
          </cell>
          <cell r="AM264">
            <v>114.80637149439269</v>
          </cell>
        </row>
        <row r="265">
          <cell r="A265" t="str">
            <v>Other Items</v>
          </cell>
        </row>
        <row r="266">
          <cell r="B266" t="str">
            <v>Beta</v>
          </cell>
          <cell r="C266" t="str">
            <v>BETA_ANALYST</v>
          </cell>
          <cell r="E266">
            <v>1</v>
          </cell>
        </row>
        <row r="267">
          <cell r="B267" t="str">
            <v>Market equity risk premium</v>
          </cell>
          <cell r="C267" t="str">
            <v>MKT_EQ_RISK_PREM</v>
          </cell>
        </row>
        <row r="268">
          <cell r="B268" t="str">
            <v>Risk-free rate</v>
          </cell>
          <cell r="C268" t="str">
            <v>RISK_FR_RATE</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8">
          <cell r="B8">
            <v>2001</v>
          </cell>
        </row>
      </sheetData>
      <sheetData sheetId="37"/>
      <sheetData sheetId="38"/>
      <sheetData sheetId="39"/>
      <sheetData sheetId="40"/>
      <sheetData sheetId="41"/>
      <sheetData sheetId="4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JStoxx600Monthly"/>
      <sheetName val="DJStoxx200"/>
      <sheetName val="EuroStoxx600Chart"/>
      <sheetName val="EuroRetail05"/>
      <sheetName val="DJStoxx600"/>
      <sheetName val="OrexaFP"/>
      <sheetName val="Orexo"/>
      <sheetName val="S&amp;P500cht"/>
      <sheetName val="S&amp;P500"/>
      <sheetName val="AventineFP"/>
      <sheetName val="Aventine"/>
      <sheetName val="VerasunFP"/>
      <sheetName val="Verasun"/>
      <sheetName val="ICA"/>
      <sheetName val="ICAfp"/>
      <sheetName val="AxfoVsICA"/>
      <sheetName val="Axfood"/>
      <sheetName val="AxfoByuBacks"/>
      <sheetName val="Axfo97"/>
      <sheetName val="AxfoFP"/>
      <sheetName val="AlfaLaval"/>
      <sheetName val="AlfaLavalFP"/>
      <sheetName val="ALKA"/>
      <sheetName val="ALKAfp"/>
      <sheetName val="ALKA08"/>
      <sheetName val="ALKvsStall"/>
      <sheetName val="BenettonFp10yr"/>
      <sheetName val="BenettonFp3yr"/>
      <sheetName val="Benetton"/>
      <sheetName val="OriFP"/>
      <sheetName val="Oriflame"/>
      <sheetName val="B&amp;Ofp3yr"/>
      <sheetName val="B&amp;Ofp10yr"/>
      <sheetName val="B&amp;O"/>
      <sheetName val="CARL95-Now"/>
      <sheetName val="CARLfp"/>
      <sheetName val="CarlRightsIssue"/>
      <sheetName val="Carlsberg"/>
      <sheetName val="Hartmann"/>
      <sheetName val="Hartmann00"/>
      <sheetName val="BiovitrumFP"/>
      <sheetName val="Biovitrum"/>
      <sheetName val="Vocus"/>
      <sheetName val="VocusFP"/>
      <sheetName val="Cision"/>
      <sheetName val="CisionFP"/>
      <sheetName val="Cision'00"/>
      <sheetName val="CLAS'00"/>
      <sheetName val="ClasOhlsonCht"/>
      <sheetName val="ClasOhlson"/>
      <sheetName val="BURBfp"/>
      <sheetName val="BURB02"/>
      <sheetName val="BURB"/>
      <sheetName val="DANI95"/>
      <sheetName val="DANIfp"/>
      <sheetName val="DANIrelNzym"/>
      <sheetName val="DANI"/>
      <sheetName val="ATfp"/>
      <sheetName val="AT"/>
      <sheetName val="Husq"/>
      <sheetName val="HusqFP"/>
      <sheetName val="EluxIndoor"/>
      <sheetName val="EluxIndFP"/>
      <sheetName val="EluxInd'00"/>
      <sheetName val="T&amp;L"/>
      <sheetName val="T&amp;Lfp"/>
      <sheetName val="RNB"/>
      <sheetName val="RNBfp"/>
      <sheetName val="Rez"/>
      <sheetName val="RexFP"/>
      <sheetName val="Heineken"/>
      <sheetName val="HMfp"/>
      <sheetName val="HM"/>
      <sheetName val="HM98"/>
      <sheetName val="HM87"/>
      <sheetName val="HMvsITX"/>
      <sheetName val="IFS"/>
      <sheetName val="IFSfp"/>
      <sheetName val="ICCfp"/>
      <sheetName val="ICCO"/>
      <sheetName val="Esprit"/>
      <sheetName val="EspritFP"/>
      <sheetName val="ITXrelHM"/>
      <sheetName val="ITX"/>
      <sheetName val="ITX FP"/>
      <sheetName val="H&amp;MvsITX"/>
      <sheetName val="ITXvsHM"/>
      <sheetName val="Ambev96"/>
      <sheetName val="Ambev"/>
      <sheetName val="InbevVsAmbev"/>
      <sheetName val="Inbev'00"/>
      <sheetName val="InbevFP"/>
      <sheetName val="Inbev"/>
      <sheetName val="EURperUSD"/>
      <sheetName val="SEKperUSD"/>
      <sheetName val="SEKperEUR"/>
      <sheetName val="DKKperUSD"/>
      <sheetName val="DKKperJPY"/>
      <sheetName val="EURvsCHF,BRL,JPY"/>
      <sheetName val="CNY"/>
      <sheetName val="Forex"/>
      <sheetName val="KappAhlFP"/>
      <sheetName val="KappAhl"/>
      <sheetName val="LdexFP"/>
      <sheetName val="LdexVsKpAhl"/>
      <sheetName val="Lindex"/>
      <sheetName val="NzymFP"/>
      <sheetName val="NzymFP00"/>
      <sheetName val="Novozymes"/>
      <sheetName val="Orkla '95"/>
      <sheetName val="Orkla '03"/>
      <sheetName val="Orkla"/>
      <sheetName val="RhonK"/>
      <sheetName val="RhonKfp"/>
      <sheetName val="SABMfp"/>
      <sheetName val="SABMiller"/>
      <sheetName val="SAS"/>
      <sheetName val="SASfp"/>
      <sheetName val="S&amp;N"/>
      <sheetName val="S&amp;N96"/>
      <sheetName val="S&amp;Nfp"/>
      <sheetName val="Sjaelsoe"/>
      <sheetName val="SjaelsoeFP"/>
      <sheetName val="Stall"/>
      <sheetName val="StallFP"/>
      <sheetName val="NWG"/>
      <sheetName val="NWGfp"/>
      <sheetName val="Swedol"/>
      <sheetName val="SwedolFP"/>
      <sheetName val="Stockmann04"/>
      <sheetName val="StockmannFP"/>
      <sheetName val="Stockmann"/>
      <sheetName val="SCAfp"/>
      <sheetName val="SCA95"/>
      <sheetName val="SCA"/>
      <sheetName val="UPMK95"/>
      <sheetName val="UPM-K"/>
      <sheetName val="SCAvsStEn"/>
      <sheetName val="CPH"/>
      <sheetName val="CPHfp"/>
      <sheetName val="MCOVEr00"/>
      <sheetName val="MCOVEr03"/>
      <sheetName val="MCOVER"/>
      <sheetName val="GAP"/>
      <sheetName val="GAPfp"/>
      <sheetName val="ASSA"/>
      <sheetName val="ASSAfp"/>
      <sheetName val="AssaVsSandvik"/>
      <sheetName val="SECUfp"/>
      <sheetName val="SECU"/>
      <sheetName val="SWMAfp"/>
      <sheetName val="SWMA95"/>
      <sheetName val="swmaByuBacks"/>
      <sheetName val="SWMA"/>
      <sheetName val="Amer"/>
      <sheetName val="Amerfp1"/>
      <sheetName val="Amerfp2"/>
      <sheetName val="WHR"/>
      <sheetName val="WHRfp"/>
      <sheetName val="WHR94"/>
      <sheetName val="WHRfp (2)"/>
      <sheetName val="Indesit"/>
      <sheetName val="IndesitFP"/>
      <sheetName val="ELUX"/>
      <sheetName val="EluxFP"/>
      <sheetName val="UST"/>
      <sheetName val="UST88"/>
      <sheetName val="USTfp"/>
      <sheetName val="Capio"/>
      <sheetName val="CapioFP"/>
      <sheetName val="Sandvik"/>
      <sheetName val="ITX_FP"/>
      <sheetName val="Orkla_'95"/>
      <sheetName val="Orkla_'03"/>
      <sheetName val="WHRfp_(2)"/>
      <sheetName val="ITX_FP1"/>
      <sheetName val="Orkla_'951"/>
      <sheetName val="Orkla_'031"/>
      <sheetName val="WHRfp_(2)1"/>
    </sheetNames>
    <sheetDataSet>
      <sheetData sheetId="0" refreshError="1"/>
      <sheetData sheetId="1" refreshError="1"/>
      <sheetData sheetId="2" refreshError="1"/>
      <sheetData sheetId="3" refreshError="1"/>
      <sheetData sheetId="4" refreshError="1">
        <row r="1">
          <cell r="A1" t="str">
            <v>Price Indices - EURO Currency</v>
          </cell>
          <cell r="G1" t="str">
            <v>http://www.stoxx.com/download/data/hbrbcpe.txt</v>
          </cell>
        </row>
        <row r="2">
          <cell r="A2" t="str">
            <v xml:space="preserve">Date    </v>
          </cell>
          <cell r="B2" t="str">
            <v>Blue-Chip</v>
          </cell>
          <cell r="C2" t="str">
            <v>Blue-Chip</v>
          </cell>
          <cell r="D2" t="str">
            <v xml:space="preserve">Broad    </v>
          </cell>
          <cell r="E2" t="str">
            <v xml:space="preserve"> Broad   </v>
          </cell>
          <cell r="F2" t="str">
            <v xml:space="preserve">Ex UK    </v>
          </cell>
          <cell r="G2" t="str">
            <v>Ex Euro Zone</v>
          </cell>
          <cell r="H2" t="str">
            <v>Blue-Chip</v>
          </cell>
          <cell r="I2" t="str">
            <v xml:space="preserve"> Broad</v>
          </cell>
        </row>
        <row r="3">
          <cell r="A3" t="str">
            <v xml:space="preserve">        </v>
          </cell>
          <cell r="B3" t="str">
            <v xml:space="preserve">  Europe </v>
          </cell>
          <cell r="C3" t="str">
            <v>Euro-Zone</v>
          </cell>
          <cell r="D3" t="str">
            <v xml:space="preserve">Europe   </v>
          </cell>
          <cell r="E3" t="str">
            <v>Euro-Zone</v>
          </cell>
          <cell r="F3" t="str">
            <v xml:space="preserve">         </v>
          </cell>
          <cell r="G3" t="str">
            <v xml:space="preserve">            </v>
          </cell>
          <cell r="H3" t="str">
            <v xml:space="preserve"> Nordic  </v>
          </cell>
          <cell r="I3" t="str">
            <v xml:space="preserve"> Nordic</v>
          </cell>
        </row>
        <row r="4">
          <cell r="A4" t="str">
            <v xml:space="preserve">        </v>
          </cell>
          <cell r="B4" t="str">
            <v xml:space="preserve">  SX5P   </v>
          </cell>
          <cell r="C4" t="str">
            <v xml:space="preserve">  SX5E   </v>
          </cell>
          <cell r="D4" t="str">
            <v xml:space="preserve">SXXP     </v>
          </cell>
          <cell r="E4" t="str">
            <v xml:space="preserve">SXXE     </v>
          </cell>
          <cell r="F4" t="str">
            <v xml:space="preserve"> SXXF    </v>
          </cell>
          <cell r="G4" t="str">
            <v xml:space="preserve">    SXXA    </v>
          </cell>
          <cell r="H4" t="str">
            <v xml:space="preserve">    DK5F </v>
          </cell>
          <cell r="I4" t="str">
            <v xml:space="preserve"> DKXF</v>
          </cell>
        </row>
        <row r="5">
          <cell r="A5">
            <v>31777</v>
          </cell>
          <cell r="B5">
            <v>775</v>
          </cell>
          <cell r="C5">
            <v>900.82</v>
          </cell>
          <cell r="D5">
            <v>82.76</v>
          </cell>
          <cell r="E5">
            <v>98.58</v>
          </cell>
          <cell r="F5">
            <v>98.06</v>
          </cell>
          <cell r="G5">
            <v>69.06</v>
          </cell>
          <cell r="H5">
            <v>645.26</v>
          </cell>
          <cell r="I5">
            <v>65.56</v>
          </cell>
        </row>
        <row r="6">
          <cell r="A6">
            <v>31778</v>
          </cell>
          <cell r="B6">
            <v>775</v>
          </cell>
          <cell r="C6">
            <v>900.82</v>
          </cell>
          <cell r="D6">
            <v>82.76</v>
          </cell>
          <cell r="E6">
            <v>98.58</v>
          </cell>
          <cell r="F6">
            <v>98.06</v>
          </cell>
          <cell r="G6">
            <v>69.06</v>
          </cell>
          <cell r="H6">
            <v>645.26</v>
          </cell>
          <cell r="I6">
            <v>65.56</v>
          </cell>
        </row>
        <row r="7">
          <cell r="A7">
            <v>31779</v>
          </cell>
          <cell r="B7">
            <v>770.89</v>
          </cell>
          <cell r="C7">
            <v>891.78</v>
          </cell>
          <cell r="D7">
            <v>82.57</v>
          </cell>
          <cell r="E7">
            <v>97.8</v>
          </cell>
          <cell r="F7">
            <v>97.43</v>
          </cell>
          <cell r="G7">
            <v>69.37</v>
          </cell>
          <cell r="H7">
            <v>647.62</v>
          </cell>
          <cell r="I7">
            <v>65.81</v>
          </cell>
        </row>
        <row r="8">
          <cell r="A8">
            <v>31782</v>
          </cell>
          <cell r="B8">
            <v>771.89</v>
          </cell>
          <cell r="C8">
            <v>898.33</v>
          </cell>
          <cell r="D8">
            <v>82.82</v>
          </cell>
          <cell r="E8">
            <v>98.6</v>
          </cell>
          <cell r="F8">
            <v>98.19</v>
          </cell>
          <cell r="G8">
            <v>69.16</v>
          </cell>
          <cell r="H8">
            <v>649.94000000000005</v>
          </cell>
          <cell r="I8">
            <v>65.819999999999993</v>
          </cell>
        </row>
        <row r="9">
          <cell r="A9">
            <v>31783</v>
          </cell>
          <cell r="B9">
            <v>775.92</v>
          </cell>
          <cell r="C9">
            <v>902.32</v>
          </cell>
          <cell r="D9">
            <v>83.28</v>
          </cell>
          <cell r="E9">
            <v>99.19</v>
          </cell>
          <cell r="F9">
            <v>98.83</v>
          </cell>
          <cell r="G9">
            <v>69.5</v>
          </cell>
          <cell r="H9">
            <v>652.49</v>
          </cell>
          <cell r="I9">
            <v>66.06</v>
          </cell>
        </row>
        <row r="10">
          <cell r="A10">
            <v>31784</v>
          </cell>
          <cell r="B10">
            <v>781.21</v>
          </cell>
          <cell r="C10">
            <v>899.15</v>
          </cell>
          <cell r="D10">
            <v>83.78</v>
          </cell>
          <cell r="E10">
            <v>98.96</v>
          </cell>
          <cell r="F10">
            <v>98.62</v>
          </cell>
          <cell r="G10">
            <v>70.59</v>
          </cell>
          <cell r="H10">
            <v>651.97</v>
          </cell>
          <cell r="I10">
            <v>66.2</v>
          </cell>
        </row>
        <row r="11">
          <cell r="A11">
            <v>31785</v>
          </cell>
          <cell r="B11">
            <v>777.62</v>
          </cell>
          <cell r="C11">
            <v>887.37</v>
          </cell>
          <cell r="D11">
            <v>83.52</v>
          </cell>
          <cell r="E11">
            <v>97.87</v>
          </cell>
          <cell r="F11">
            <v>97.68</v>
          </cell>
          <cell r="G11">
            <v>71.010000000000005</v>
          </cell>
          <cell r="H11">
            <v>645.57000000000005</v>
          </cell>
          <cell r="I11">
            <v>65.62</v>
          </cell>
        </row>
        <row r="12">
          <cell r="A12">
            <v>31786</v>
          </cell>
          <cell r="B12">
            <v>769.8</v>
          </cell>
          <cell r="C12">
            <v>868.31</v>
          </cell>
          <cell r="D12">
            <v>83.03</v>
          </cell>
          <cell r="E12">
            <v>96.31</v>
          </cell>
          <cell r="F12">
            <v>96.22</v>
          </cell>
          <cell r="G12">
            <v>71.400000000000006</v>
          </cell>
          <cell r="H12">
            <v>638.03</v>
          </cell>
          <cell r="I12">
            <v>65.14</v>
          </cell>
        </row>
        <row r="13">
          <cell r="A13">
            <v>31789</v>
          </cell>
          <cell r="B13">
            <v>775.07</v>
          </cell>
          <cell r="C13">
            <v>879.41</v>
          </cell>
          <cell r="D13">
            <v>83.64</v>
          </cell>
          <cell r="E13">
            <v>97.54</v>
          </cell>
          <cell r="F13">
            <v>97.18</v>
          </cell>
          <cell r="G13">
            <v>71.5</v>
          </cell>
          <cell r="H13">
            <v>634.14</v>
          </cell>
          <cell r="I13">
            <v>65.03</v>
          </cell>
        </row>
        <row r="14">
          <cell r="A14">
            <v>31790</v>
          </cell>
          <cell r="B14">
            <v>770</v>
          </cell>
          <cell r="C14">
            <v>872.74</v>
          </cell>
          <cell r="D14">
            <v>83</v>
          </cell>
          <cell r="E14">
            <v>96.78</v>
          </cell>
          <cell r="F14">
            <v>96.38</v>
          </cell>
          <cell r="G14">
            <v>70.97</v>
          </cell>
          <cell r="H14">
            <v>622.44000000000005</v>
          </cell>
          <cell r="I14">
            <v>63.87</v>
          </cell>
        </row>
        <row r="15">
          <cell r="A15">
            <v>31791</v>
          </cell>
          <cell r="B15">
            <v>772.04</v>
          </cell>
          <cell r="C15">
            <v>876.39</v>
          </cell>
          <cell r="D15">
            <v>82.99</v>
          </cell>
          <cell r="E15">
            <v>97.14</v>
          </cell>
          <cell r="F15">
            <v>96.59</v>
          </cell>
          <cell r="G15">
            <v>70.66</v>
          </cell>
          <cell r="H15">
            <v>603.63</v>
          </cell>
          <cell r="I15">
            <v>62.46</v>
          </cell>
        </row>
        <row r="16">
          <cell r="A16">
            <v>31792</v>
          </cell>
          <cell r="B16">
            <v>779.12</v>
          </cell>
          <cell r="C16">
            <v>884.37</v>
          </cell>
          <cell r="D16">
            <v>83.77</v>
          </cell>
          <cell r="E16">
            <v>98.1</v>
          </cell>
          <cell r="F16">
            <v>97.6</v>
          </cell>
          <cell r="G16">
            <v>71.28</v>
          </cell>
          <cell r="H16">
            <v>620.01</v>
          </cell>
          <cell r="I16">
            <v>63.89</v>
          </cell>
        </row>
        <row r="17">
          <cell r="A17">
            <v>31793</v>
          </cell>
          <cell r="B17">
            <v>781.66</v>
          </cell>
          <cell r="C17">
            <v>883.78</v>
          </cell>
          <cell r="D17">
            <v>84.15</v>
          </cell>
          <cell r="E17">
            <v>98.11</v>
          </cell>
          <cell r="F17">
            <v>97.66</v>
          </cell>
          <cell r="G17">
            <v>71.95</v>
          </cell>
          <cell r="H17">
            <v>623.77</v>
          </cell>
          <cell r="I17">
            <v>64.650000000000006</v>
          </cell>
        </row>
        <row r="18">
          <cell r="A18">
            <v>31796</v>
          </cell>
          <cell r="B18">
            <v>773.43</v>
          </cell>
          <cell r="C18">
            <v>876.15</v>
          </cell>
          <cell r="D18">
            <v>83.39</v>
          </cell>
          <cell r="E18">
            <v>97.33</v>
          </cell>
          <cell r="F18">
            <v>96.92</v>
          </cell>
          <cell r="G18">
            <v>71.22</v>
          </cell>
          <cell r="H18">
            <v>630.57000000000005</v>
          </cell>
          <cell r="I18">
            <v>65.25</v>
          </cell>
        </row>
        <row r="19">
          <cell r="A19">
            <v>31797</v>
          </cell>
          <cell r="B19">
            <v>773.49</v>
          </cell>
          <cell r="C19">
            <v>875.1</v>
          </cell>
          <cell r="D19">
            <v>83.5</v>
          </cell>
          <cell r="E19">
            <v>97.14</v>
          </cell>
          <cell r="F19">
            <v>96.83</v>
          </cell>
          <cell r="G19">
            <v>71.58</v>
          </cell>
          <cell r="H19">
            <v>637.63</v>
          </cell>
          <cell r="I19">
            <v>65.77</v>
          </cell>
        </row>
        <row r="20">
          <cell r="A20">
            <v>31798</v>
          </cell>
          <cell r="B20">
            <v>771.09</v>
          </cell>
          <cell r="C20">
            <v>872.47</v>
          </cell>
          <cell r="D20">
            <v>83.35</v>
          </cell>
          <cell r="E20">
            <v>97.02</v>
          </cell>
          <cell r="F20">
            <v>96.74</v>
          </cell>
          <cell r="G20">
            <v>71.400000000000006</v>
          </cell>
          <cell r="H20">
            <v>639.38</v>
          </cell>
          <cell r="I20">
            <v>66.06</v>
          </cell>
        </row>
        <row r="21">
          <cell r="A21">
            <v>31799</v>
          </cell>
          <cell r="B21">
            <v>773.4</v>
          </cell>
          <cell r="C21">
            <v>876.69</v>
          </cell>
          <cell r="D21">
            <v>83.48</v>
          </cell>
          <cell r="E21">
            <v>97.44</v>
          </cell>
          <cell r="F21">
            <v>96.95</v>
          </cell>
          <cell r="G21">
            <v>71.3</v>
          </cell>
          <cell r="H21">
            <v>627.45000000000005</v>
          </cell>
          <cell r="I21">
            <v>65.02</v>
          </cell>
        </row>
        <row r="22">
          <cell r="A22">
            <v>31800</v>
          </cell>
          <cell r="B22">
            <v>778.26</v>
          </cell>
          <cell r="C22">
            <v>883.62</v>
          </cell>
          <cell r="D22">
            <v>84.12</v>
          </cell>
          <cell r="E22">
            <v>98.28</v>
          </cell>
          <cell r="F22">
            <v>97.67</v>
          </cell>
          <cell r="G22">
            <v>71.760000000000005</v>
          </cell>
          <cell r="H22">
            <v>628.49</v>
          </cell>
          <cell r="I22">
            <v>64.95</v>
          </cell>
        </row>
        <row r="23">
          <cell r="A23">
            <v>31803</v>
          </cell>
          <cell r="B23">
            <v>769.38</v>
          </cell>
          <cell r="C23">
            <v>870.96</v>
          </cell>
          <cell r="D23">
            <v>83.38</v>
          </cell>
          <cell r="E23">
            <v>97.02</v>
          </cell>
          <cell r="F23">
            <v>96.55</v>
          </cell>
          <cell r="G23">
            <v>71.45</v>
          </cell>
          <cell r="H23">
            <v>624.55999999999995</v>
          </cell>
          <cell r="I23">
            <v>64.7</v>
          </cell>
        </row>
        <row r="24">
          <cell r="A24">
            <v>31804</v>
          </cell>
          <cell r="B24">
            <v>772.16</v>
          </cell>
          <cell r="C24">
            <v>868.19</v>
          </cell>
          <cell r="D24">
            <v>83.64</v>
          </cell>
          <cell r="E24">
            <v>96.77</v>
          </cell>
          <cell r="F24">
            <v>96.25</v>
          </cell>
          <cell r="G24">
            <v>72.12</v>
          </cell>
          <cell r="H24">
            <v>614.25</v>
          </cell>
          <cell r="I24">
            <v>63.67</v>
          </cell>
        </row>
        <row r="25">
          <cell r="A25">
            <v>31805</v>
          </cell>
          <cell r="B25">
            <v>751.63</v>
          </cell>
          <cell r="C25">
            <v>838.6</v>
          </cell>
          <cell r="D25">
            <v>81.87</v>
          </cell>
          <cell r="E25">
            <v>93.93</v>
          </cell>
          <cell r="F25">
            <v>93.51</v>
          </cell>
          <cell r="G25">
            <v>71.239999999999995</v>
          </cell>
          <cell r="H25">
            <v>604.13</v>
          </cell>
          <cell r="I25">
            <v>62.86</v>
          </cell>
        </row>
        <row r="26">
          <cell r="A26">
            <v>31806</v>
          </cell>
          <cell r="B26">
            <v>757.13</v>
          </cell>
          <cell r="C26">
            <v>847.38</v>
          </cell>
          <cell r="D26">
            <v>82.31</v>
          </cell>
          <cell r="E26">
            <v>94.83</v>
          </cell>
          <cell r="F26">
            <v>94.46</v>
          </cell>
          <cell r="G26">
            <v>71.31</v>
          </cell>
          <cell r="H26">
            <v>613.07000000000005</v>
          </cell>
          <cell r="I26">
            <v>63.66</v>
          </cell>
        </row>
        <row r="27">
          <cell r="A27">
            <v>31807</v>
          </cell>
          <cell r="B27">
            <v>766.56</v>
          </cell>
          <cell r="C27">
            <v>859.08</v>
          </cell>
          <cell r="D27">
            <v>83.2</v>
          </cell>
          <cell r="E27">
            <v>96.03</v>
          </cell>
          <cell r="F27">
            <v>95.56</v>
          </cell>
          <cell r="G27">
            <v>71.94</v>
          </cell>
          <cell r="H27">
            <v>626.04999999999995</v>
          </cell>
          <cell r="I27">
            <v>64.72</v>
          </cell>
        </row>
        <row r="28">
          <cell r="A28">
            <v>31810</v>
          </cell>
          <cell r="B28">
            <v>763.91</v>
          </cell>
          <cell r="C28">
            <v>849.03</v>
          </cell>
          <cell r="D28">
            <v>83.03</v>
          </cell>
          <cell r="E28">
            <v>95.14</v>
          </cell>
          <cell r="F28">
            <v>94.8</v>
          </cell>
          <cell r="G28">
            <v>72.36</v>
          </cell>
          <cell r="H28">
            <v>631.84</v>
          </cell>
          <cell r="I28">
            <v>65.2</v>
          </cell>
        </row>
        <row r="29">
          <cell r="A29">
            <v>31811</v>
          </cell>
          <cell r="B29">
            <v>756.58</v>
          </cell>
          <cell r="C29">
            <v>839.6</v>
          </cell>
          <cell r="D29">
            <v>82.31</v>
          </cell>
          <cell r="E29">
            <v>94.05</v>
          </cell>
          <cell r="F29">
            <v>93.84</v>
          </cell>
          <cell r="G29">
            <v>71.94</v>
          </cell>
          <cell r="H29">
            <v>645.09</v>
          </cell>
          <cell r="I29">
            <v>66.3</v>
          </cell>
        </row>
        <row r="30">
          <cell r="A30">
            <v>31812</v>
          </cell>
          <cell r="B30">
            <v>762.34</v>
          </cell>
          <cell r="C30">
            <v>838.53</v>
          </cell>
          <cell r="D30">
            <v>82.72</v>
          </cell>
          <cell r="E30">
            <v>93.88</v>
          </cell>
          <cell r="F30">
            <v>93.64</v>
          </cell>
          <cell r="G30">
            <v>72.819999999999993</v>
          </cell>
          <cell r="H30">
            <v>643.82000000000005</v>
          </cell>
          <cell r="I30">
            <v>66.3</v>
          </cell>
        </row>
        <row r="31">
          <cell r="A31">
            <v>31813</v>
          </cell>
          <cell r="B31">
            <v>763.6</v>
          </cell>
          <cell r="C31">
            <v>833.03</v>
          </cell>
          <cell r="D31">
            <v>82.89</v>
          </cell>
          <cell r="E31">
            <v>93.21</v>
          </cell>
          <cell r="F31">
            <v>92.99</v>
          </cell>
          <cell r="G31">
            <v>73.67</v>
          </cell>
          <cell r="H31">
            <v>650.12</v>
          </cell>
          <cell r="I31">
            <v>66.83</v>
          </cell>
        </row>
        <row r="32">
          <cell r="A32">
            <v>31814</v>
          </cell>
          <cell r="B32">
            <v>775.28</v>
          </cell>
          <cell r="C32">
            <v>842.23</v>
          </cell>
          <cell r="D32">
            <v>83.87</v>
          </cell>
          <cell r="E32">
            <v>93.98</v>
          </cell>
          <cell r="F32">
            <v>93.68</v>
          </cell>
          <cell r="G32">
            <v>74.8</v>
          </cell>
          <cell r="H32">
            <v>645</v>
          </cell>
          <cell r="I32">
            <v>66.36</v>
          </cell>
        </row>
        <row r="33">
          <cell r="A33">
            <v>31817</v>
          </cell>
          <cell r="B33">
            <v>776.67</v>
          </cell>
          <cell r="C33">
            <v>844.73</v>
          </cell>
          <cell r="D33">
            <v>84.03</v>
          </cell>
          <cell r="E33">
            <v>94.38</v>
          </cell>
          <cell r="F33">
            <v>94.05</v>
          </cell>
          <cell r="G33">
            <v>74.77</v>
          </cell>
          <cell r="H33">
            <v>634.36</v>
          </cell>
          <cell r="I33">
            <v>65.3</v>
          </cell>
        </row>
        <row r="34">
          <cell r="A34">
            <v>31818</v>
          </cell>
          <cell r="B34">
            <v>764.71</v>
          </cell>
          <cell r="C34">
            <v>837.91</v>
          </cell>
          <cell r="D34">
            <v>82.91</v>
          </cell>
          <cell r="E34">
            <v>93.67</v>
          </cell>
          <cell r="F34">
            <v>93.27</v>
          </cell>
          <cell r="G34">
            <v>73.33</v>
          </cell>
          <cell r="H34">
            <v>631.16999999999996</v>
          </cell>
          <cell r="I34">
            <v>64.959999999999994</v>
          </cell>
        </row>
        <row r="35">
          <cell r="A35">
            <v>31819</v>
          </cell>
          <cell r="B35">
            <v>769.49</v>
          </cell>
          <cell r="C35">
            <v>837.56</v>
          </cell>
          <cell r="D35">
            <v>83.31</v>
          </cell>
          <cell r="E35">
            <v>93.45</v>
          </cell>
          <cell r="F35">
            <v>93.08</v>
          </cell>
          <cell r="G35">
            <v>74.22</v>
          </cell>
          <cell r="H35">
            <v>635.09</v>
          </cell>
          <cell r="I35">
            <v>65.39</v>
          </cell>
        </row>
        <row r="36">
          <cell r="A36">
            <v>31820</v>
          </cell>
          <cell r="B36">
            <v>767.61</v>
          </cell>
          <cell r="C36">
            <v>840.53</v>
          </cell>
          <cell r="D36">
            <v>83.22</v>
          </cell>
          <cell r="E36">
            <v>93.73</v>
          </cell>
          <cell r="F36">
            <v>93.39</v>
          </cell>
          <cell r="G36">
            <v>73.84</v>
          </cell>
          <cell r="H36">
            <v>638.59</v>
          </cell>
          <cell r="I36">
            <v>65.61</v>
          </cell>
        </row>
        <row r="37">
          <cell r="A37">
            <v>31821</v>
          </cell>
          <cell r="B37">
            <v>771.29</v>
          </cell>
          <cell r="C37">
            <v>841.54</v>
          </cell>
          <cell r="D37">
            <v>83.75</v>
          </cell>
          <cell r="E37">
            <v>93.93</v>
          </cell>
          <cell r="F37">
            <v>93.6</v>
          </cell>
          <cell r="G37">
            <v>74.63</v>
          </cell>
          <cell r="H37">
            <v>636.04</v>
          </cell>
          <cell r="I37">
            <v>65.31</v>
          </cell>
        </row>
        <row r="38">
          <cell r="A38">
            <v>31824</v>
          </cell>
          <cell r="B38">
            <v>774.88</v>
          </cell>
          <cell r="C38">
            <v>844.11</v>
          </cell>
          <cell r="D38">
            <v>84.22</v>
          </cell>
          <cell r="E38">
            <v>94.36</v>
          </cell>
          <cell r="F38">
            <v>93.89</v>
          </cell>
          <cell r="G38">
            <v>75.13</v>
          </cell>
          <cell r="H38">
            <v>634.48</v>
          </cell>
          <cell r="I38">
            <v>65.09</v>
          </cell>
        </row>
        <row r="39">
          <cell r="A39">
            <v>31825</v>
          </cell>
          <cell r="B39">
            <v>772.65</v>
          </cell>
          <cell r="C39">
            <v>833.81</v>
          </cell>
          <cell r="D39">
            <v>84.24</v>
          </cell>
          <cell r="E39">
            <v>93.36</v>
          </cell>
          <cell r="F39">
            <v>93.09</v>
          </cell>
          <cell r="G39">
            <v>75.98</v>
          </cell>
          <cell r="H39">
            <v>641.77</v>
          </cell>
          <cell r="I39">
            <v>65.69</v>
          </cell>
        </row>
        <row r="40">
          <cell r="A40">
            <v>31826</v>
          </cell>
          <cell r="B40">
            <v>777.76</v>
          </cell>
          <cell r="C40">
            <v>834.15</v>
          </cell>
          <cell r="D40">
            <v>84.73</v>
          </cell>
          <cell r="E40">
            <v>93.2</v>
          </cell>
          <cell r="F40">
            <v>92.95</v>
          </cell>
          <cell r="G40">
            <v>77</v>
          </cell>
          <cell r="H40">
            <v>644.41</v>
          </cell>
          <cell r="I40">
            <v>66.03</v>
          </cell>
        </row>
        <row r="41">
          <cell r="A41">
            <v>31827</v>
          </cell>
          <cell r="B41">
            <v>780.57</v>
          </cell>
          <cell r="C41">
            <v>844.07</v>
          </cell>
          <cell r="D41">
            <v>84.75</v>
          </cell>
          <cell r="E41">
            <v>94.09</v>
          </cell>
          <cell r="F41">
            <v>93.83</v>
          </cell>
          <cell r="G41">
            <v>76.31</v>
          </cell>
          <cell r="H41">
            <v>652.89</v>
          </cell>
          <cell r="I41">
            <v>66.69</v>
          </cell>
        </row>
        <row r="42">
          <cell r="A42">
            <v>31828</v>
          </cell>
          <cell r="B42">
            <v>784.8</v>
          </cell>
          <cell r="C42">
            <v>845.11</v>
          </cell>
          <cell r="D42">
            <v>85.26</v>
          </cell>
          <cell r="E42">
            <v>94.39</v>
          </cell>
          <cell r="F42">
            <v>93.95</v>
          </cell>
          <cell r="G42">
            <v>76.98</v>
          </cell>
          <cell r="H42">
            <v>656.82</v>
          </cell>
          <cell r="I42">
            <v>67.06</v>
          </cell>
        </row>
        <row r="43">
          <cell r="A43">
            <v>31831</v>
          </cell>
          <cell r="B43">
            <v>776.54</v>
          </cell>
          <cell r="C43">
            <v>839.36</v>
          </cell>
          <cell r="D43">
            <v>84.74</v>
          </cell>
          <cell r="E43">
            <v>93.92</v>
          </cell>
          <cell r="F43">
            <v>93.24</v>
          </cell>
          <cell r="G43">
            <v>76.430000000000007</v>
          </cell>
          <cell r="H43">
            <v>661.52</v>
          </cell>
          <cell r="I43">
            <v>67.59</v>
          </cell>
        </row>
        <row r="44">
          <cell r="A44">
            <v>31832</v>
          </cell>
          <cell r="B44">
            <v>780.12</v>
          </cell>
          <cell r="C44">
            <v>837.9</v>
          </cell>
          <cell r="D44">
            <v>84.96</v>
          </cell>
          <cell r="E44">
            <v>93.94</v>
          </cell>
          <cell r="F44">
            <v>93.28</v>
          </cell>
          <cell r="G44">
            <v>76.81</v>
          </cell>
          <cell r="H44">
            <v>655.78</v>
          </cell>
          <cell r="I44">
            <v>67.03</v>
          </cell>
        </row>
        <row r="45">
          <cell r="A45">
            <v>31833</v>
          </cell>
          <cell r="B45">
            <v>782.72</v>
          </cell>
          <cell r="C45">
            <v>833.39</v>
          </cell>
          <cell r="D45">
            <v>84.99</v>
          </cell>
          <cell r="E45">
            <v>93.34</v>
          </cell>
          <cell r="F45">
            <v>92.94</v>
          </cell>
          <cell r="G45">
            <v>77.36</v>
          </cell>
          <cell r="H45">
            <v>653.1</v>
          </cell>
          <cell r="I45">
            <v>66.73</v>
          </cell>
        </row>
        <row r="46">
          <cell r="A46">
            <v>31834</v>
          </cell>
          <cell r="B46">
            <v>786.75</v>
          </cell>
          <cell r="C46">
            <v>838.23</v>
          </cell>
          <cell r="D46">
            <v>85.39</v>
          </cell>
          <cell r="E46">
            <v>93.75</v>
          </cell>
          <cell r="F46">
            <v>93.36</v>
          </cell>
          <cell r="G46">
            <v>77.75</v>
          </cell>
          <cell r="H46">
            <v>661.47</v>
          </cell>
          <cell r="I46">
            <v>67.48</v>
          </cell>
        </row>
        <row r="47">
          <cell r="A47">
            <v>31835</v>
          </cell>
          <cell r="B47">
            <v>788.11</v>
          </cell>
          <cell r="C47">
            <v>840.97</v>
          </cell>
          <cell r="D47">
            <v>85.73</v>
          </cell>
          <cell r="E47">
            <v>94.08</v>
          </cell>
          <cell r="F47">
            <v>93.69</v>
          </cell>
          <cell r="G47">
            <v>78.09</v>
          </cell>
          <cell r="H47">
            <v>667.08</v>
          </cell>
          <cell r="I47">
            <v>68.040000000000006</v>
          </cell>
        </row>
        <row r="48">
          <cell r="A48">
            <v>31838</v>
          </cell>
          <cell r="B48">
            <v>791.4</v>
          </cell>
          <cell r="C48">
            <v>842.7</v>
          </cell>
          <cell r="D48">
            <v>86.22</v>
          </cell>
          <cell r="E48">
            <v>94.3</v>
          </cell>
          <cell r="F48">
            <v>93.76</v>
          </cell>
          <cell r="G48">
            <v>78.790000000000006</v>
          </cell>
          <cell r="H48">
            <v>670.83</v>
          </cell>
          <cell r="I48">
            <v>68.41</v>
          </cell>
        </row>
        <row r="49">
          <cell r="A49">
            <v>31839</v>
          </cell>
          <cell r="B49">
            <v>791.73</v>
          </cell>
          <cell r="C49">
            <v>836.22</v>
          </cell>
          <cell r="D49">
            <v>86.1</v>
          </cell>
          <cell r="E49">
            <v>93.65</v>
          </cell>
          <cell r="F49">
            <v>93.2</v>
          </cell>
          <cell r="G49">
            <v>79.11</v>
          </cell>
          <cell r="H49">
            <v>672.92</v>
          </cell>
          <cell r="I49">
            <v>68.599999999999994</v>
          </cell>
        </row>
        <row r="50">
          <cell r="A50">
            <v>31840</v>
          </cell>
          <cell r="B50">
            <v>802.08</v>
          </cell>
          <cell r="C50">
            <v>848.78</v>
          </cell>
          <cell r="D50">
            <v>86.98</v>
          </cell>
          <cell r="E50">
            <v>94.83</v>
          </cell>
          <cell r="F50">
            <v>94.33</v>
          </cell>
          <cell r="G50">
            <v>79.73</v>
          </cell>
          <cell r="H50">
            <v>679.9</v>
          </cell>
          <cell r="I50">
            <v>69.010000000000005</v>
          </cell>
        </row>
        <row r="51">
          <cell r="A51">
            <v>31841</v>
          </cell>
          <cell r="B51">
            <v>808.65</v>
          </cell>
          <cell r="C51">
            <v>855.04</v>
          </cell>
          <cell r="D51">
            <v>87.63</v>
          </cell>
          <cell r="E51">
            <v>95.36</v>
          </cell>
          <cell r="F51">
            <v>94.98</v>
          </cell>
          <cell r="G51">
            <v>80.48</v>
          </cell>
          <cell r="H51">
            <v>684.44</v>
          </cell>
          <cell r="I51">
            <v>69.209999999999994</v>
          </cell>
        </row>
        <row r="52">
          <cell r="A52">
            <v>31842</v>
          </cell>
          <cell r="B52">
            <v>807.23</v>
          </cell>
          <cell r="C52">
            <v>854.82</v>
          </cell>
          <cell r="D52">
            <v>87.65</v>
          </cell>
          <cell r="E52">
            <v>95.24</v>
          </cell>
          <cell r="F52">
            <v>94.85</v>
          </cell>
          <cell r="G52">
            <v>80.62</v>
          </cell>
          <cell r="H52">
            <v>682.95</v>
          </cell>
          <cell r="I52">
            <v>69.16</v>
          </cell>
        </row>
        <row r="53">
          <cell r="A53">
            <v>31845</v>
          </cell>
          <cell r="B53">
            <v>806.26</v>
          </cell>
          <cell r="C53">
            <v>856.93</v>
          </cell>
          <cell r="D53">
            <v>87.76</v>
          </cell>
          <cell r="E53">
            <v>95.51</v>
          </cell>
          <cell r="F53">
            <v>95.16</v>
          </cell>
          <cell r="G53">
            <v>80.59</v>
          </cell>
          <cell r="H53">
            <v>690.08</v>
          </cell>
          <cell r="I53">
            <v>69.959999999999994</v>
          </cell>
        </row>
        <row r="54">
          <cell r="A54">
            <v>31846</v>
          </cell>
          <cell r="B54">
            <v>803.6</v>
          </cell>
          <cell r="C54">
            <v>850.99</v>
          </cell>
          <cell r="D54">
            <v>87.49</v>
          </cell>
          <cell r="E54">
            <v>94.82</v>
          </cell>
          <cell r="F54">
            <v>94.55</v>
          </cell>
          <cell r="G54">
            <v>80.67</v>
          </cell>
          <cell r="H54">
            <v>689.43</v>
          </cell>
          <cell r="I54">
            <v>69.819999999999993</v>
          </cell>
        </row>
        <row r="55">
          <cell r="A55">
            <v>31847</v>
          </cell>
          <cell r="B55">
            <v>801.2</v>
          </cell>
          <cell r="C55">
            <v>844.78</v>
          </cell>
          <cell r="D55">
            <v>87.37</v>
          </cell>
          <cell r="E55">
            <v>94.21</v>
          </cell>
          <cell r="F55">
            <v>94</v>
          </cell>
          <cell r="G55">
            <v>80.95</v>
          </cell>
          <cell r="H55">
            <v>686.65</v>
          </cell>
          <cell r="I55">
            <v>69.64</v>
          </cell>
        </row>
        <row r="56">
          <cell r="A56">
            <v>31848</v>
          </cell>
          <cell r="B56">
            <v>805.2</v>
          </cell>
          <cell r="C56">
            <v>851.62</v>
          </cell>
          <cell r="D56">
            <v>87.83</v>
          </cell>
          <cell r="E56">
            <v>94.83</v>
          </cell>
          <cell r="F56">
            <v>94.55</v>
          </cell>
          <cell r="G56">
            <v>81.28</v>
          </cell>
          <cell r="H56">
            <v>688.07</v>
          </cell>
          <cell r="I56">
            <v>69.81</v>
          </cell>
        </row>
        <row r="57">
          <cell r="A57">
            <v>31849</v>
          </cell>
          <cell r="B57">
            <v>803.25</v>
          </cell>
          <cell r="C57">
            <v>855</v>
          </cell>
          <cell r="D57">
            <v>87.73</v>
          </cell>
          <cell r="E57">
            <v>95.06</v>
          </cell>
          <cell r="F57">
            <v>94.72</v>
          </cell>
          <cell r="G57">
            <v>80.900000000000006</v>
          </cell>
          <cell r="H57">
            <v>694.35</v>
          </cell>
          <cell r="I57">
            <v>70.290000000000006</v>
          </cell>
        </row>
        <row r="58">
          <cell r="A58">
            <v>31852</v>
          </cell>
          <cell r="B58">
            <v>800.09</v>
          </cell>
          <cell r="C58">
            <v>855.21</v>
          </cell>
          <cell r="D58">
            <v>87.47</v>
          </cell>
          <cell r="E58">
            <v>95.29</v>
          </cell>
          <cell r="F58">
            <v>94.89</v>
          </cell>
          <cell r="G58">
            <v>80.25</v>
          </cell>
          <cell r="H58">
            <v>692.96</v>
          </cell>
          <cell r="I58">
            <v>70.02</v>
          </cell>
        </row>
        <row r="59">
          <cell r="A59">
            <v>31853</v>
          </cell>
          <cell r="B59">
            <v>801.99</v>
          </cell>
          <cell r="C59">
            <v>848.47</v>
          </cell>
          <cell r="D59">
            <v>87.66</v>
          </cell>
          <cell r="E59">
            <v>94.54</v>
          </cell>
          <cell r="F59">
            <v>94.11</v>
          </cell>
          <cell r="G59">
            <v>81.209999999999994</v>
          </cell>
          <cell r="H59">
            <v>691.41</v>
          </cell>
          <cell r="I59">
            <v>69.8</v>
          </cell>
        </row>
        <row r="60">
          <cell r="A60">
            <v>31854</v>
          </cell>
          <cell r="B60">
            <v>808.55</v>
          </cell>
          <cell r="C60">
            <v>854.69</v>
          </cell>
          <cell r="D60">
            <v>88.34</v>
          </cell>
          <cell r="E60">
            <v>95.22</v>
          </cell>
          <cell r="F60">
            <v>94.85</v>
          </cell>
          <cell r="G60">
            <v>81.89</v>
          </cell>
          <cell r="H60">
            <v>702.27</v>
          </cell>
          <cell r="I60">
            <v>70.739999999999995</v>
          </cell>
        </row>
        <row r="61">
          <cell r="A61">
            <v>31855</v>
          </cell>
          <cell r="B61">
            <v>795.98</v>
          </cell>
          <cell r="C61">
            <v>842.48</v>
          </cell>
          <cell r="D61">
            <v>87.27</v>
          </cell>
          <cell r="E61">
            <v>94.02</v>
          </cell>
          <cell r="F61">
            <v>93.71</v>
          </cell>
          <cell r="G61">
            <v>80.92</v>
          </cell>
          <cell r="H61">
            <v>702.96</v>
          </cell>
          <cell r="I61">
            <v>70.739999999999995</v>
          </cell>
        </row>
        <row r="62">
          <cell r="A62">
            <v>31856</v>
          </cell>
          <cell r="B62">
            <v>801.4</v>
          </cell>
          <cell r="C62">
            <v>848.13</v>
          </cell>
          <cell r="D62">
            <v>87.83</v>
          </cell>
          <cell r="E62">
            <v>94.6</v>
          </cell>
          <cell r="F62">
            <v>94.04</v>
          </cell>
          <cell r="G62">
            <v>81.47</v>
          </cell>
          <cell r="H62">
            <v>701.77</v>
          </cell>
          <cell r="I62">
            <v>70.72</v>
          </cell>
        </row>
        <row r="63">
          <cell r="A63">
            <v>31859</v>
          </cell>
          <cell r="B63">
            <v>812.62</v>
          </cell>
          <cell r="C63">
            <v>860.44</v>
          </cell>
          <cell r="D63">
            <v>88.7</v>
          </cell>
          <cell r="E63">
            <v>95.61</v>
          </cell>
          <cell r="F63">
            <v>94.92</v>
          </cell>
          <cell r="G63">
            <v>82.21</v>
          </cell>
          <cell r="H63">
            <v>701.76</v>
          </cell>
          <cell r="I63">
            <v>70.709999999999994</v>
          </cell>
        </row>
        <row r="64">
          <cell r="A64">
            <v>31860</v>
          </cell>
          <cell r="B64">
            <v>820.67</v>
          </cell>
          <cell r="C64">
            <v>866.76</v>
          </cell>
          <cell r="D64">
            <v>89.49</v>
          </cell>
          <cell r="E64">
            <v>96.28</v>
          </cell>
          <cell r="F64">
            <v>95.7</v>
          </cell>
          <cell r="G64">
            <v>83.09</v>
          </cell>
          <cell r="H64">
            <v>709.98</v>
          </cell>
          <cell r="I64">
            <v>71.47</v>
          </cell>
        </row>
        <row r="65">
          <cell r="A65">
            <v>31861</v>
          </cell>
          <cell r="B65">
            <v>820.05</v>
          </cell>
          <cell r="C65">
            <v>868.3</v>
          </cell>
          <cell r="D65">
            <v>89.45</v>
          </cell>
          <cell r="E65">
            <v>96.53</v>
          </cell>
          <cell r="F65">
            <v>96.06</v>
          </cell>
          <cell r="G65">
            <v>82.81</v>
          </cell>
          <cell r="H65">
            <v>713.47</v>
          </cell>
          <cell r="I65">
            <v>71.760000000000005</v>
          </cell>
        </row>
        <row r="66">
          <cell r="A66">
            <v>31862</v>
          </cell>
          <cell r="B66">
            <v>823.77</v>
          </cell>
          <cell r="C66">
            <v>874.75</v>
          </cell>
          <cell r="D66">
            <v>89.74</v>
          </cell>
          <cell r="E66">
            <v>97.16</v>
          </cell>
          <cell r="F66">
            <v>96.6</v>
          </cell>
          <cell r="G66">
            <v>82.82</v>
          </cell>
          <cell r="H66">
            <v>718.59</v>
          </cell>
          <cell r="I66">
            <v>72.209999999999994</v>
          </cell>
        </row>
        <row r="67">
          <cell r="A67">
            <v>31863</v>
          </cell>
          <cell r="B67">
            <v>829.86</v>
          </cell>
          <cell r="C67">
            <v>882.89</v>
          </cell>
          <cell r="D67">
            <v>90.39</v>
          </cell>
          <cell r="E67">
            <v>98.13</v>
          </cell>
          <cell r="F67">
            <v>97.6</v>
          </cell>
          <cell r="G67">
            <v>83.2</v>
          </cell>
          <cell r="H67">
            <v>720.31</v>
          </cell>
          <cell r="I67">
            <v>72.3</v>
          </cell>
        </row>
        <row r="68">
          <cell r="A68">
            <v>31866</v>
          </cell>
          <cell r="B68">
            <v>817.03</v>
          </cell>
          <cell r="C68">
            <v>877.3</v>
          </cell>
          <cell r="D68">
            <v>89.01</v>
          </cell>
          <cell r="E68">
            <v>97.66</v>
          </cell>
          <cell r="F68">
            <v>97.04</v>
          </cell>
          <cell r="G68">
            <v>81.09</v>
          </cell>
          <cell r="H68">
            <v>708.72</v>
          </cell>
          <cell r="I68">
            <v>71.36</v>
          </cell>
        </row>
        <row r="69">
          <cell r="A69">
            <v>31867</v>
          </cell>
          <cell r="B69">
            <v>812.24</v>
          </cell>
          <cell r="C69">
            <v>869.44</v>
          </cell>
          <cell r="D69">
            <v>88.4</v>
          </cell>
          <cell r="E69">
            <v>96.88</v>
          </cell>
          <cell r="F69">
            <v>96.31</v>
          </cell>
          <cell r="G69">
            <v>80.62</v>
          </cell>
          <cell r="H69">
            <v>698.48</v>
          </cell>
          <cell r="I69">
            <v>70.569999999999993</v>
          </cell>
        </row>
        <row r="70">
          <cell r="A70">
            <v>31868</v>
          </cell>
          <cell r="B70">
            <v>816.48</v>
          </cell>
          <cell r="C70">
            <v>883.95</v>
          </cell>
          <cell r="D70">
            <v>88.66</v>
          </cell>
          <cell r="E70">
            <v>98.21</v>
          </cell>
          <cell r="F70">
            <v>97.36</v>
          </cell>
          <cell r="G70">
            <v>80.010000000000005</v>
          </cell>
          <cell r="H70">
            <v>695.02</v>
          </cell>
          <cell r="I70">
            <v>70.45</v>
          </cell>
        </row>
        <row r="71">
          <cell r="A71">
            <v>31869</v>
          </cell>
          <cell r="B71">
            <v>822.64</v>
          </cell>
          <cell r="C71">
            <v>888.39</v>
          </cell>
          <cell r="D71">
            <v>89.1</v>
          </cell>
          <cell r="E71">
            <v>98.59</v>
          </cell>
          <cell r="F71">
            <v>97.77</v>
          </cell>
          <cell r="G71">
            <v>80.48</v>
          </cell>
          <cell r="H71">
            <v>691.25</v>
          </cell>
          <cell r="I71">
            <v>70.16</v>
          </cell>
        </row>
        <row r="72">
          <cell r="A72">
            <v>31870</v>
          </cell>
          <cell r="B72">
            <v>821.49</v>
          </cell>
          <cell r="C72">
            <v>888.97</v>
          </cell>
          <cell r="D72">
            <v>89.06</v>
          </cell>
          <cell r="E72">
            <v>98.8</v>
          </cell>
          <cell r="F72">
            <v>98.1</v>
          </cell>
          <cell r="G72">
            <v>80.25</v>
          </cell>
          <cell r="H72">
            <v>697.22</v>
          </cell>
          <cell r="I72">
            <v>70.739999999999995</v>
          </cell>
        </row>
        <row r="73">
          <cell r="A73">
            <v>31873</v>
          </cell>
          <cell r="B73">
            <v>835.74</v>
          </cell>
          <cell r="C73">
            <v>900.79</v>
          </cell>
          <cell r="D73">
            <v>90.31</v>
          </cell>
          <cell r="E73">
            <v>99.83</v>
          </cell>
          <cell r="F73">
            <v>99.05</v>
          </cell>
          <cell r="G73">
            <v>81.66</v>
          </cell>
          <cell r="H73">
            <v>711.92</v>
          </cell>
          <cell r="I73">
            <v>71.98</v>
          </cell>
        </row>
        <row r="74">
          <cell r="A74">
            <v>31874</v>
          </cell>
          <cell r="B74">
            <v>833.65</v>
          </cell>
          <cell r="C74">
            <v>896.33</v>
          </cell>
          <cell r="D74">
            <v>89.88</v>
          </cell>
          <cell r="E74">
            <v>99.2</v>
          </cell>
          <cell r="F74">
            <v>98.5</v>
          </cell>
          <cell r="G74">
            <v>81.41</v>
          </cell>
          <cell r="H74">
            <v>711.52</v>
          </cell>
          <cell r="I74">
            <v>71.930000000000007</v>
          </cell>
        </row>
        <row r="75">
          <cell r="A75">
            <v>31875</v>
          </cell>
          <cell r="B75">
            <v>832.64</v>
          </cell>
          <cell r="C75">
            <v>895.42</v>
          </cell>
          <cell r="D75">
            <v>89.67</v>
          </cell>
          <cell r="E75">
            <v>98.91</v>
          </cell>
          <cell r="F75">
            <v>98.2</v>
          </cell>
          <cell r="G75">
            <v>81.27</v>
          </cell>
          <cell r="H75">
            <v>710.41</v>
          </cell>
          <cell r="I75">
            <v>71.77</v>
          </cell>
        </row>
        <row r="76">
          <cell r="A76">
            <v>31876</v>
          </cell>
          <cell r="B76">
            <v>827.98</v>
          </cell>
          <cell r="C76">
            <v>895.62</v>
          </cell>
          <cell r="D76">
            <v>89.4</v>
          </cell>
          <cell r="E76">
            <v>98.94</v>
          </cell>
          <cell r="F76">
            <v>98.24</v>
          </cell>
          <cell r="G76">
            <v>80.739999999999995</v>
          </cell>
          <cell r="H76">
            <v>710.98</v>
          </cell>
          <cell r="I76">
            <v>71.81</v>
          </cell>
        </row>
        <row r="77">
          <cell r="A77">
            <v>31877</v>
          </cell>
          <cell r="B77">
            <v>815</v>
          </cell>
          <cell r="C77">
            <v>884.61</v>
          </cell>
          <cell r="D77">
            <v>88.31</v>
          </cell>
          <cell r="E77">
            <v>98.1</v>
          </cell>
          <cell r="F77">
            <v>97.35</v>
          </cell>
          <cell r="G77">
            <v>79.459999999999994</v>
          </cell>
          <cell r="H77">
            <v>699.99</v>
          </cell>
          <cell r="I77">
            <v>70.94</v>
          </cell>
        </row>
        <row r="78">
          <cell r="A78">
            <v>31880</v>
          </cell>
          <cell r="B78">
            <v>803.03</v>
          </cell>
          <cell r="C78">
            <v>875.19</v>
          </cell>
          <cell r="D78">
            <v>87.49</v>
          </cell>
          <cell r="E78">
            <v>97.38</v>
          </cell>
          <cell r="F78">
            <v>96.62</v>
          </cell>
          <cell r="G78">
            <v>78.569999999999993</v>
          </cell>
          <cell r="H78">
            <v>697.49</v>
          </cell>
          <cell r="I78">
            <v>70.78</v>
          </cell>
        </row>
        <row r="79">
          <cell r="A79">
            <v>31881</v>
          </cell>
          <cell r="B79">
            <v>803.92</v>
          </cell>
          <cell r="C79">
            <v>881</v>
          </cell>
          <cell r="D79">
            <v>87.53</v>
          </cell>
          <cell r="E79">
            <v>97.91</v>
          </cell>
          <cell r="F79">
            <v>97.01</v>
          </cell>
          <cell r="G79">
            <v>78.2</v>
          </cell>
          <cell r="H79">
            <v>691.89</v>
          </cell>
          <cell r="I79">
            <v>70.28</v>
          </cell>
        </row>
        <row r="80">
          <cell r="A80">
            <v>31882</v>
          </cell>
          <cell r="B80">
            <v>811.41</v>
          </cell>
          <cell r="C80">
            <v>888.71</v>
          </cell>
          <cell r="D80">
            <v>88.2</v>
          </cell>
          <cell r="E80">
            <v>98.57</v>
          </cell>
          <cell r="F80">
            <v>97.68</v>
          </cell>
          <cell r="G80">
            <v>78.88</v>
          </cell>
          <cell r="H80">
            <v>700.41</v>
          </cell>
          <cell r="I80">
            <v>70.900000000000006</v>
          </cell>
        </row>
        <row r="81">
          <cell r="A81">
            <v>31883</v>
          </cell>
          <cell r="B81">
            <v>820.83</v>
          </cell>
          <cell r="C81">
            <v>895.48</v>
          </cell>
          <cell r="D81">
            <v>89.22</v>
          </cell>
          <cell r="E81">
            <v>99.33</v>
          </cell>
          <cell r="F81">
            <v>98.37</v>
          </cell>
          <cell r="G81">
            <v>80.11</v>
          </cell>
          <cell r="H81">
            <v>708.42</v>
          </cell>
          <cell r="I81">
            <v>71.64</v>
          </cell>
        </row>
        <row r="82">
          <cell r="A82">
            <v>31884</v>
          </cell>
          <cell r="B82">
            <v>820.71</v>
          </cell>
          <cell r="C82">
            <v>896.06</v>
          </cell>
          <cell r="D82">
            <v>89.24</v>
          </cell>
          <cell r="E82">
            <v>99.36</v>
          </cell>
          <cell r="F82">
            <v>98.4</v>
          </cell>
          <cell r="G82">
            <v>80.11</v>
          </cell>
          <cell r="H82">
            <v>708.45</v>
          </cell>
          <cell r="I82">
            <v>71.69</v>
          </cell>
        </row>
        <row r="83">
          <cell r="A83">
            <v>31887</v>
          </cell>
          <cell r="B83">
            <v>820.3</v>
          </cell>
          <cell r="C83">
            <v>893.33</v>
          </cell>
          <cell r="D83">
            <v>89.15</v>
          </cell>
          <cell r="E83">
            <v>99.18</v>
          </cell>
          <cell r="F83">
            <v>98.24</v>
          </cell>
          <cell r="G83">
            <v>80.11</v>
          </cell>
          <cell r="H83">
            <v>707.8</v>
          </cell>
          <cell r="I83">
            <v>71.64</v>
          </cell>
        </row>
        <row r="84">
          <cell r="A84">
            <v>31888</v>
          </cell>
          <cell r="B84">
            <v>817.57</v>
          </cell>
          <cell r="C84">
            <v>889.55</v>
          </cell>
          <cell r="D84">
            <v>88.82</v>
          </cell>
          <cell r="E84">
            <v>98.84</v>
          </cell>
          <cell r="F84">
            <v>97.9</v>
          </cell>
          <cell r="G84">
            <v>79.78</v>
          </cell>
          <cell r="H84">
            <v>706.29</v>
          </cell>
          <cell r="I84">
            <v>71.5</v>
          </cell>
        </row>
        <row r="85">
          <cell r="A85">
            <v>31889</v>
          </cell>
          <cell r="B85">
            <v>827.37</v>
          </cell>
          <cell r="C85">
            <v>900.5</v>
          </cell>
          <cell r="D85">
            <v>89.67</v>
          </cell>
          <cell r="E85">
            <v>99.83</v>
          </cell>
          <cell r="F85">
            <v>98.84</v>
          </cell>
          <cell r="G85">
            <v>80.5</v>
          </cell>
          <cell r="H85">
            <v>713.71</v>
          </cell>
          <cell r="I85">
            <v>72.180000000000007</v>
          </cell>
        </row>
        <row r="86">
          <cell r="A86">
            <v>31890</v>
          </cell>
          <cell r="B86">
            <v>827.65</v>
          </cell>
          <cell r="C86">
            <v>896.53</v>
          </cell>
          <cell r="D86">
            <v>89.82</v>
          </cell>
          <cell r="E86">
            <v>99.64</v>
          </cell>
          <cell r="F86">
            <v>98.72</v>
          </cell>
          <cell r="G86">
            <v>80.930000000000007</v>
          </cell>
          <cell r="H86">
            <v>718.86</v>
          </cell>
          <cell r="I86">
            <v>72.569999999999993</v>
          </cell>
        </row>
        <row r="87">
          <cell r="A87">
            <v>31891</v>
          </cell>
          <cell r="B87">
            <v>829.92</v>
          </cell>
          <cell r="C87">
            <v>890.62</v>
          </cell>
          <cell r="D87">
            <v>90.12</v>
          </cell>
          <cell r="E87">
            <v>99.09</v>
          </cell>
          <cell r="F87">
            <v>98.25</v>
          </cell>
          <cell r="G87">
            <v>81.92</v>
          </cell>
          <cell r="H87">
            <v>725.69</v>
          </cell>
          <cell r="I87">
            <v>73.180000000000007</v>
          </cell>
        </row>
        <row r="88">
          <cell r="A88">
            <v>31894</v>
          </cell>
          <cell r="B88">
            <v>817.51</v>
          </cell>
          <cell r="C88">
            <v>871.69</v>
          </cell>
          <cell r="D88">
            <v>89.01</v>
          </cell>
          <cell r="E88">
            <v>97.12</v>
          </cell>
          <cell r="F88">
            <v>96.54</v>
          </cell>
          <cell r="G88">
            <v>81.52</v>
          </cell>
          <cell r="H88">
            <v>717.13</v>
          </cell>
          <cell r="I88">
            <v>72.58</v>
          </cell>
        </row>
        <row r="89">
          <cell r="A89">
            <v>31895</v>
          </cell>
          <cell r="B89">
            <v>828.34</v>
          </cell>
          <cell r="C89">
            <v>879.07</v>
          </cell>
          <cell r="D89">
            <v>89.84</v>
          </cell>
          <cell r="E89">
            <v>97.65</v>
          </cell>
          <cell r="F89">
            <v>96.88</v>
          </cell>
          <cell r="G89">
            <v>82.6</v>
          </cell>
          <cell r="H89">
            <v>717.13</v>
          </cell>
          <cell r="I89">
            <v>72.540000000000006</v>
          </cell>
        </row>
        <row r="90">
          <cell r="A90">
            <v>31896</v>
          </cell>
          <cell r="B90">
            <v>835.3</v>
          </cell>
          <cell r="C90">
            <v>884.37</v>
          </cell>
          <cell r="D90">
            <v>90.42</v>
          </cell>
          <cell r="E90">
            <v>98.09</v>
          </cell>
          <cell r="F90">
            <v>97.28</v>
          </cell>
          <cell r="G90">
            <v>83.29</v>
          </cell>
          <cell r="H90">
            <v>721.19</v>
          </cell>
          <cell r="I90">
            <v>73.010000000000005</v>
          </cell>
        </row>
        <row r="91">
          <cell r="A91">
            <v>31897</v>
          </cell>
          <cell r="B91">
            <v>838.2</v>
          </cell>
          <cell r="C91">
            <v>881.46</v>
          </cell>
          <cell r="D91">
            <v>90.73</v>
          </cell>
          <cell r="E91">
            <v>97.84</v>
          </cell>
          <cell r="F91">
            <v>97.13</v>
          </cell>
          <cell r="G91">
            <v>84.06</v>
          </cell>
          <cell r="H91">
            <v>721.14</v>
          </cell>
          <cell r="I91">
            <v>73.209999999999994</v>
          </cell>
        </row>
        <row r="92">
          <cell r="A92">
            <v>31898</v>
          </cell>
          <cell r="B92">
            <v>842.31</v>
          </cell>
          <cell r="C92">
            <v>883.32</v>
          </cell>
          <cell r="D92">
            <v>91.14</v>
          </cell>
          <cell r="E92">
            <v>98.07</v>
          </cell>
          <cell r="F92">
            <v>97.38</v>
          </cell>
          <cell r="G92">
            <v>84.6</v>
          </cell>
          <cell r="H92">
            <v>724.25</v>
          </cell>
          <cell r="I92">
            <v>73.510000000000005</v>
          </cell>
        </row>
        <row r="93">
          <cell r="A93">
            <v>31901</v>
          </cell>
          <cell r="B93">
            <v>841.56</v>
          </cell>
          <cell r="C93">
            <v>880.31</v>
          </cell>
          <cell r="D93">
            <v>91.03</v>
          </cell>
          <cell r="E93">
            <v>97.81</v>
          </cell>
          <cell r="F93">
            <v>97.18</v>
          </cell>
          <cell r="G93">
            <v>84.63</v>
          </cell>
          <cell r="H93">
            <v>723.09</v>
          </cell>
          <cell r="I93">
            <v>73.27</v>
          </cell>
        </row>
        <row r="94">
          <cell r="A94">
            <v>31902</v>
          </cell>
          <cell r="B94">
            <v>840.05</v>
          </cell>
          <cell r="C94">
            <v>875.43</v>
          </cell>
          <cell r="D94">
            <v>90.72</v>
          </cell>
          <cell r="E94">
            <v>97.16</v>
          </cell>
          <cell r="F94">
            <v>96.58</v>
          </cell>
          <cell r="G94">
            <v>84.6</v>
          </cell>
          <cell r="H94">
            <v>722.74</v>
          </cell>
          <cell r="I94">
            <v>73.03</v>
          </cell>
        </row>
        <row r="95">
          <cell r="A95">
            <v>31903</v>
          </cell>
          <cell r="B95">
            <v>849.62</v>
          </cell>
          <cell r="C95">
            <v>880.91</v>
          </cell>
          <cell r="D95">
            <v>91.32</v>
          </cell>
          <cell r="E95">
            <v>97.46</v>
          </cell>
          <cell r="F95">
            <v>96.94</v>
          </cell>
          <cell r="G95">
            <v>85.44</v>
          </cell>
          <cell r="H95">
            <v>728.07</v>
          </cell>
          <cell r="I95">
            <v>73.45</v>
          </cell>
        </row>
        <row r="96">
          <cell r="A96">
            <v>31904</v>
          </cell>
          <cell r="B96">
            <v>851.95</v>
          </cell>
          <cell r="C96">
            <v>882.84</v>
          </cell>
          <cell r="D96">
            <v>91.37</v>
          </cell>
          <cell r="E96">
            <v>97.63</v>
          </cell>
          <cell r="F96">
            <v>97.16</v>
          </cell>
          <cell r="G96">
            <v>85.39</v>
          </cell>
          <cell r="H96">
            <v>728.11</v>
          </cell>
          <cell r="I96">
            <v>73.64</v>
          </cell>
        </row>
        <row r="97">
          <cell r="A97">
            <v>31905</v>
          </cell>
          <cell r="B97">
            <v>863.04</v>
          </cell>
          <cell r="C97">
            <v>882.7</v>
          </cell>
          <cell r="D97">
            <v>92.35</v>
          </cell>
          <cell r="E97">
            <v>97.56</v>
          </cell>
          <cell r="F97">
            <v>97.11</v>
          </cell>
          <cell r="G97">
            <v>87.22</v>
          </cell>
          <cell r="H97">
            <v>729.94</v>
          </cell>
          <cell r="I97">
            <v>73.84</v>
          </cell>
        </row>
        <row r="98">
          <cell r="A98">
            <v>31908</v>
          </cell>
          <cell r="B98">
            <v>871.07</v>
          </cell>
          <cell r="C98">
            <v>887.34</v>
          </cell>
          <cell r="D98">
            <v>93.12</v>
          </cell>
          <cell r="E98">
            <v>98.07</v>
          </cell>
          <cell r="F98">
            <v>97.64</v>
          </cell>
          <cell r="G98">
            <v>88.21</v>
          </cell>
          <cell r="H98">
            <v>728.38</v>
          </cell>
          <cell r="I98">
            <v>73.8</v>
          </cell>
        </row>
        <row r="99">
          <cell r="A99">
            <v>31909</v>
          </cell>
          <cell r="B99">
            <v>863.7</v>
          </cell>
          <cell r="C99">
            <v>879.78</v>
          </cell>
          <cell r="D99">
            <v>92.28</v>
          </cell>
          <cell r="E99">
            <v>97.16</v>
          </cell>
          <cell r="F99">
            <v>96.71</v>
          </cell>
          <cell r="G99">
            <v>87.42</v>
          </cell>
          <cell r="H99">
            <v>715.84</v>
          </cell>
          <cell r="I99">
            <v>72.59</v>
          </cell>
        </row>
        <row r="100">
          <cell r="A100">
            <v>31910</v>
          </cell>
          <cell r="B100">
            <v>870.57</v>
          </cell>
          <cell r="C100">
            <v>882.77</v>
          </cell>
          <cell r="D100">
            <v>92.97</v>
          </cell>
          <cell r="E100">
            <v>97.53</v>
          </cell>
          <cell r="F100">
            <v>97.02</v>
          </cell>
          <cell r="G100">
            <v>88.37</v>
          </cell>
          <cell r="H100">
            <v>711.84</v>
          </cell>
          <cell r="I100">
            <v>72.25</v>
          </cell>
        </row>
        <row r="101">
          <cell r="A101">
            <v>31911</v>
          </cell>
          <cell r="B101">
            <v>876.78</v>
          </cell>
          <cell r="C101">
            <v>883.11</v>
          </cell>
          <cell r="D101">
            <v>93.28</v>
          </cell>
          <cell r="E101">
            <v>97.43</v>
          </cell>
          <cell r="F101">
            <v>96.91</v>
          </cell>
          <cell r="G101">
            <v>89.02</v>
          </cell>
          <cell r="H101">
            <v>710.59</v>
          </cell>
          <cell r="I101">
            <v>72.17</v>
          </cell>
        </row>
        <row r="102">
          <cell r="A102">
            <v>31912</v>
          </cell>
          <cell r="B102">
            <v>864.62</v>
          </cell>
          <cell r="C102">
            <v>866.11</v>
          </cell>
          <cell r="D102">
            <v>91.97</v>
          </cell>
          <cell r="E102">
            <v>95.4</v>
          </cell>
          <cell r="F102">
            <v>94.97</v>
          </cell>
          <cell r="G102">
            <v>88.31</v>
          </cell>
          <cell r="H102">
            <v>704.01</v>
          </cell>
          <cell r="I102">
            <v>71.53</v>
          </cell>
        </row>
        <row r="103">
          <cell r="A103">
            <v>31915</v>
          </cell>
          <cell r="B103">
            <v>868.99</v>
          </cell>
          <cell r="C103">
            <v>868.85</v>
          </cell>
          <cell r="D103">
            <v>92.35</v>
          </cell>
          <cell r="E103">
            <v>95.52</v>
          </cell>
          <cell r="F103">
            <v>94.93</v>
          </cell>
          <cell r="G103">
            <v>88.9</v>
          </cell>
          <cell r="H103">
            <v>693.44</v>
          </cell>
          <cell r="I103">
            <v>70.709999999999994</v>
          </cell>
        </row>
        <row r="104">
          <cell r="A104">
            <v>31916</v>
          </cell>
          <cell r="B104">
            <v>873.36</v>
          </cell>
          <cell r="C104">
            <v>865.65</v>
          </cell>
          <cell r="D104">
            <v>92.53</v>
          </cell>
          <cell r="E104">
            <v>95.2</v>
          </cell>
          <cell r="F104">
            <v>94.6</v>
          </cell>
          <cell r="G104">
            <v>89.49</v>
          </cell>
          <cell r="H104">
            <v>698.09</v>
          </cell>
          <cell r="I104">
            <v>70.98</v>
          </cell>
        </row>
        <row r="105">
          <cell r="A105">
            <v>31917</v>
          </cell>
          <cell r="B105">
            <v>858.93</v>
          </cell>
          <cell r="C105">
            <v>856.08</v>
          </cell>
          <cell r="D105">
            <v>91.32</v>
          </cell>
          <cell r="E105">
            <v>94.22</v>
          </cell>
          <cell r="F105">
            <v>93.61</v>
          </cell>
          <cell r="G105">
            <v>88.1</v>
          </cell>
          <cell r="H105">
            <v>689.07</v>
          </cell>
          <cell r="I105">
            <v>70.25</v>
          </cell>
        </row>
        <row r="106">
          <cell r="A106">
            <v>31918</v>
          </cell>
          <cell r="B106">
            <v>853.49</v>
          </cell>
          <cell r="C106">
            <v>854.02</v>
          </cell>
          <cell r="D106">
            <v>90.87</v>
          </cell>
          <cell r="E106">
            <v>93.95</v>
          </cell>
          <cell r="F106">
            <v>93.48</v>
          </cell>
          <cell r="G106">
            <v>87.52</v>
          </cell>
          <cell r="H106">
            <v>697.59</v>
          </cell>
          <cell r="I106">
            <v>70.900000000000006</v>
          </cell>
        </row>
        <row r="107">
          <cell r="A107">
            <v>31919</v>
          </cell>
          <cell r="B107">
            <v>857.02</v>
          </cell>
          <cell r="C107">
            <v>857.63</v>
          </cell>
          <cell r="D107">
            <v>91.04</v>
          </cell>
          <cell r="E107">
            <v>94.23</v>
          </cell>
          <cell r="F107">
            <v>93.65</v>
          </cell>
          <cell r="G107">
            <v>87.59</v>
          </cell>
          <cell r="H107">
            <v>701</v>
          </cell>
          <cell r="I107">
            <v>71.11</v>
          </cell>
        </row>
        <row r="108">
          <cell r="A108">
            <v>31922</v>
          </cell>
          <cell r="B108">
            <v>856.65</v>
          </cell>
          <cell r="C108">
            <v>856.95</v>
          </cell>
          <cell r="D108">
            <v>91.04</v>
          </cell>
          <cell r="E108">
            <v>94.2</v>
          </cell>
          <cell r="F108">
            <v>93.65</v>
          </cell>
          <cell r="G108">
            <v>87.61</v>
          </cell>
          <cell r="H108">
            <v>704.04</v>
          </cell>
          <cell r="I108">
            <v>71.33</v>
          </cell>
        </row>
        <row r="109">
          <cell r="A109">
            <v>31923</v>
          </cell>
          <cell r="B109">
            <v>857.79</v>
          </cell>
          <cell r="C109">
            <v>864.83</v>
          </cell>
          <cell r="D109">
            <v>91.11</v>
          </cell>
          <cell r="E109">
            <v>95.07</v>
          </cell>
          <cell r="F109">
            <v>94.47</v>
          </cell>
          <cell r="G109">
            <v>87.03</v>
          </cell>
          <cell r="H109">
            <v>707.2</v>
          </cell>
          <cell r="I109">
            <v>71.680000000000007</v>
          </cell>
        </row>
        <row r="110">
          <cell r="A110">
            <v>31924</v>
          </cell>
          <cell r="B110">
            <v>855.42</v>
          </cell>
          <cell r="C110">
            <v>869.49</v>
          </cell>
          <cell r="D110">
            <v>90.89</v>
          </cell>
          <cell r="E110">
            <v>95.68</v>
          </cell>
          <cell r="F110">
            <v>95.02</v>
          </cell>
          <cell r="G110">
            <v>86.13</v>
          </cell>
          <cell r="H110">
            <v>709.46</v>
          </cell>
          <cell r="I110">
            <v>71.8</v>
          </cell>
        </row>
        <row r="111">
          <cell r="A111">
            <v>31925</v>
          </cell>
          <cell r="B111">
            <v>859.96</v>
          </cell>
          <cell r="C111">
            <v>869.29</v>
          </cell>
          <cell r="D111">
            <v>91.32</v>
          </cell>
          <cell r="E111">
            <v>95.67</v>
          </cell>
          <cell r="F111">
            <v>95</v>
          </cell>
          <cell r="G111">
            <v>86.92</v>
          </cell>
          <cell r="H111">
            <v>710.14</v>
          </cell>
          <cell r="I111">
            <v>71.88</v>
          </cell>
        </row>
        <row r="112">
          <cell r="A112">
            <v>31926</v>
          </cell>
          <cell r="B112">
            <v>869.99</v>
          </cell>
          <cell r="C112">
            <v>866.41</v>
          </cell>
          <cell r="D112">
            <v>92.05</v>
          </cell>
          <cell r="E112">
            <v>95.31</v>
          </cell>
          <cell r="F112">
            <v>94.65</v>
          </cell>
          <cell r="G112">
            <v>88.54</v>
          </cell>
          <cell r="H112">
            <v>708.26</v>
          </cell>
          <cell r="I112">
            <v>71.75</v>
          </cell>
        </row>
        <row r="113">
          <cell r="A113">
            <v>31929</v>
          </cell>
          <cell r="B113">
            <v>881.05</v>
          </cell>
          <cell r="C113">
            <v>872.52</v>
          </cell>
          <cell r="D113">
            <v>92.9</v>
          </cell>
          <cell r="E113">
            <v>95.8</v>
          </cell>
          <cell r="F113">
            <v>95.06</v>
          </cell>
          <cell r="G113">
            <v>89.68</v>
          </cell>
          <cell r="H113">
            <v>709.94</v>
          </cell>
          <cell r="I113">
            <v>71.930000000000007</v>
          </cell>
        </row>
        <row r="114">
          <cell r="A114">
            <v>31930</v>
          </cell>
          <cell r="B114">
            <v>873.23</v>
          </cell>
          <cell r="C114">
            <v>863.11</v>
          </cell>
          <cell r="D114">
            <v>92.1</v>
          </cell>
          <cell r="E114">
            <v>94.74</v>
          </cell>
          <cell r="F114">
            <v>94.02</v>
          </cell>
          <cell r="G114">
            <v>89.09</v>
          </cell>
          <cell r="H114">
            <v>705.35</v>
          </cell>
          <cell r="I114">
            <v>71.56</v>
          </cell>
        </row>
        <row r="115">
          <cell r="A115">
            <v>31931</v>
          </cell>
          <cell r="B115">
            <v>877.47</v>
          </cell>
          <cell r="C115">
            <v>864.57</v>
          </cell>
          <cell r="D115">
            <v>92.25</v>
          </cell>
          <cell r="E115">
            <v>94.59</v>
          </cell>
          <cell r="F115">
            <v>93.87</v>
          </cell>
          <cell r="G115">
            <v>89.48</v>
          </cell>
          <cell r="H115">
            <v>701.54</v>
          </cell>
          <cell r="I115">
            <v>71.290000000000006</v>
          </cell>
        </row>
        <row r="116">
          <cell r="A116">
            <v>31932</v>
          </cell>
          <cell r="B116">
            <v>875.91</v>
          </cell>
          <cell r="C116">
            <v>869.42</v>
          </cell>
          <cell r="D116">
            <v>92.02</v>
          </cell>
          <cell r="E116">
            <v>94.94</v>
          </cell>
          <cell r="F116">
            <v>94.31</v>
          </cell>
          <cell r="G116">
            <v>88.79</v>
          </cell>
          <cell r="H116">
            <v>710.48</v>
          </cell>
          <cell r="I116">
            <v>72.19</v>
          </cell>
        </row>
        <row r="117">
          <cell r="A117">
            <v>31933</v>
          </cell>
          <cell r="B117">
            <v>877.33</v>
          </cell>
          <cell r="C117">
            <v>864.75</v>
          </cell>
          <cell r="D117">
            <v>92.02</v>
          </cell>
          <cell r="E117">
            <v>94.41</v>
          </cell>
          <cell r="F117">
            <v>93.85</v>
          </cell>
          <cell r="G117">
            <v>89.22</v>
          </cell>
          <cell r="H117">
            <v>705.51</v>
          </cell>
          <cell r="I117">
            <v>71.760000000000005</v>
          </cell>
        </row>
        <row r="118">
          <cell r="A118">
            <v>31936</v>
          </cell>
          <cell r="B118">
            <v>878.08</v>
          </cell>
          <cell r="C118">
            <v>866.08</v>
          </cell>
          <cell r="D118">
            <v>92.01</v>
          </cell>
          <cell r="E118">
            <v>94.49</v>
          </cell>
          <cell r="F118">
            <v>93.88</v>
          </cell>
          <cell r="G118">
            <v>89.14</v>
          </cell>
          <cell r="H118">
            <v>705.85</v>
          </cell>
          <cell r="I118">
            <v>71.83</v>
          </cell>
        </row>
        <row r="119">
          <cell r="A119">
            <v>31937</v>
          </cell>
          <cell r="B119">
            <v>886.52</v>
          </cell>
          <cell r="C119">
            <v>863.17</v>
          </cell>
          <cell r="D119">
            <v>92.79</v>
          </cell>
          <cell r="E119">
            <v>94.3</v>
          </cell>
          <cell r="F119">
            <v>93.65</v>
          </cell>
          <cell r="G119">
            <v>90.71</v>
          </cell>
          <cell r="H119">
            <v>708.73</v>
          </cell>
          <cell r="I119">
            <v>72.08</v>
          </cell>
        </row>
        <row r="120">
          <cell r="A120">
            <v>31938</v>
          </cell>
          <cell r="B120">
            <v>879.74</v>
          </cell>
          <cell r="C120">
            <v>860.8</v>
          </cell>
          <cell r="D120">
            <v>92.15</v>
          </cell>
          <cell r="E120">
            <v>93.81</v>
          </cell>
          <cell r="F120">
            <v>93.12</v>
          </cell>
          <cell r="G120">
            <v>89.96</v>
          </cell>
          <cell r="H120">
            <v>708.06</v>
          </cell>
          <cell r="I120">
            <v>71.989999999999995</v>
          </cell>
        </row>
        <row r="121">
          <cell r="A121">
            <v>31939</v>
          </cell>
          <cell r="B121">
            <v>885.7</v>
          </cell>
          <cell r="C121">
            <v>868.26</v>
          </cell>
          <cell r="D121">
            <v>92.94</v>
          </cell>
          <cell r="E121">
            <v>94.67</v>
          </cell>
          <cell r="F121">
            <v>93.99</v>
          </cell>
          <cell r="G121">
            <v>90.68</v>
          </cell>
          <cell r="H121">
            <v>712.82</v>
          </cell>
          <cell r="I121">
            <v>72.430000000000007</v>
          </cell>
        </row>
        <row r="122">
          <cell r="A122">
            <v>31940</v>
          </cell>
          <cell r="B122">
            <v>892.38</v>
          </cell>
          <cell r="C122">
            <v>869.28</v>
          </cell>
          <cell r="D122">
            <v>93.7</v>
          </cell>
          <cell r="E122">
            <v>94.79</v>
          </cell>
          <cell r="F122">
            <v>94.12</v>
          </cell>
          <cell r="G122">
            <v>91.96</v>
          </cell>
          <cell r="H122">
            <v>719.57</v>
          </cell>
          <cell r="I122">
            <v>73.05</v>
          </cell>
        </row>
        <row r="123">
          <cell r="A123">
            <v>31943</v>
          </cell>
          <cell r="B123">
            <v>899.33</v>
          </cell>
          <cell r="C123">
            <v>879.82</v>
          </cell>
          <cell r="D123">
            <v>94.53</v>
          </cell>
          <cell r="E123">
            <v>95.89</v>
          </cell>
          <cell r="F123">
            <v>95.18</v>
          </cell>
          <cell r="G123">
            <v>92.56</v>
          </cell>
          <cell r="H123">
            <v>726.64</v>
          </cell>
          <cell r="I123">
            <v>73.650000000000006</v>
          </cell>
        </row>
        <row r="124">
          <cell r="A124">
            <v>31944</v>
          </cell>
          <cell r="B124">
            <v>902.37</v>
          </cell>
          <cell r="C124">
            <v>885.41</v>
          </cell>
          <cell r="D124">
            <v>95.05</v>
          </cell>
          <cell r="E124">
            <v>96.69</v>
          </cell>
          <cell r="F124">
            <v>95.97</v>
          </cell>
          <cell r="G124">
            <v>92.85</v>
          </cell>
          <cell r="H124">
            <v>726.76</v>
          </cell>
          <cell r="I124">
            <v>73.680000000000007</v>
          </cell>
        </row>
        <row r="125">
          <cell r="A125">
            <v>31945</v>
          </cell>
          <cell r="B125">
            <v>905.03</v>
          </cell>
          <cell r="C125">
            <v>885.93</v>
          </cell>
          <cell r="D125">
            <v>95.29</v>
          </cell>
          <cell r="E125">
            <v>96.55</v>
          </cell>
          <cell r="F125">
            <v>96</v>
          </cell>
          <cell r="G125">
            <v>93.39</v>
          </cell>
          <cell r="H125">
            <v>729.71</v>
          </cell>
          <cell r="I125">
            <v>73.91</v>
          </cell>
        </row>
        <row r="126">
          <cell r="A126">
            <v>31946</v>
          </cell>
          <cell r="B126">
            <v>897.52</v>
          </cell>
          <cell r="C126">
            <v>885.19</v>
          </cell>
          <cell r="D126">
            <v>94.7</v>
          </cell>
          <cell r="E126">
            <v>96.35</v>
          </cell>
          <cell r="F126">
            <v>95.86</v>
          </cell>
          <cell r="G126">
            <v>92.49</v>
          </cell>
          <cell r="H126">
            <v>729.62</v>
          </cell>
          <cell r="I126">
            <v>73.94</v>
          </cell>
        </row>
        <row r="127">
          <cell r="A127">
            <v>31947</v>
          </cell>
          <cell r="B127">
            <v>897.31</v>
          </cell>
          <cell r="C127">
            <v>897.16</v>
          </cell>
          <cell r="D127">
            <v>94.43</v>
          </cell>
          <cell r="E127">
            <v>97.18</v>
          </cell>
          <cell r="F127">
            <v>96.66</v>
          </cell>
          <cell r="G127">
            <v>91.31</v>
          </cell>
          <cell r="H127">
            <v>728.94</v>
          </cell>
          <cell r="I127">
            <v>73.900000000000006</v>
          </cell>
        </row>
        <row r="128">
          <cell r="A128">
            <v>31950</v>
          </cell>
          <cell r="B128">
            <v>899</v>
          </cell>
          <cell r="C128">
            <v>908.73</v>
          </cell>
          <cell r="D128">
            <v>94.36</v>
          </cell>
          <cell r="E128">
            <v>98.19</v>
          </cell>
          <cell r="F128">
            <v>97.79</v>
          </cell>
          <cell r="G128">
            <v>90.35</v>
          </cell>
          <cell r="H128">
            <v>724</v>
          </cell>
          <cell r="I128">
            <v>73.489999999999995</v>
          </cell>
        </row>
        <row r="129">
          <cell r="A129">
            <v>31951</v>
          </cell>
          <cell r="B129">
            <v>907.32</v>
          </cell>
          <cell r="C129">
            <v>915.58</v>
          </cell>
          <cell r="D129">
            <v>94.98</v>
          </cell>
          <cell r="E129">
            <v>98.88</v>
          </cell>
          <cell r="F129">
            <v>98.38</v>
          </cell>
          <cell r="G129">
            <v>90.9</v>
          </cell>
          <cell r="H129">
            <v>725.31</v>
          </cell>
          <cell r="I129">
            <v>73.540000000000006</v>
          </cell>
        </row>
        <row r="130">
          <cell r="A130">
            <v>31952</v>
          </cell>
          <cell r="B130">
            <v>904.5</v>
          </cell>
          <cell r="C130">
            <v>901.6</v>
          </cell>
          <cell r="D130">
            <v>94.88</v>
          </cell>
          <cell r="E130">
            <v>97.59</v>
          </cell>
          <cell r="F130">
            <v>97.12</v>
          </cell>
          <cell r="G130">
            <v>91.79</v>
          </cell>
          <cell r="H130">
            <v>722.52</v>
          </cell>
          <cell r="I130">
            <v>73.28</v>
          </cell>
        </row>
        <row r="131">
          <cell r="A131">
            <v>31953</v>
          </cell>
          <cell r="B131">
            <v>905.61</v>
          </cell>
          <cell r="C131">
            <v>903.66</v>
          </cell>
          <cell r="D131">
            <v>94.93</v>
          </cell>
          <cell r="E131">
            <v>97.9</v>
          </cell>
          <cell r="F131">
            <v>97.42</v>
          </cell>
          <cell r="G131">
            <v>91.61</v>
          </cell>
          <cell r="H131">
            <v>718.32</v>
          </cell>
          <cell r="I131">
            <v>72.91</v>
          </cell>
        </row>
        <row r="132">
          <cell r="A132">
            <v>31954</v>
          </cell>
          <cell r="B132">
            <v>911.11</v>
          </cell>
          <cell r="C132">
            <v>909.42</v>
          </cell>
          <cell r="D132">
            <v>95.51</v>
          </cell>
          <cell r="E132">
            <v>98.54</v>
          </cell>
          <cell r="F132">
            <v>98.03</v>
          </cell>
          <cell r="G132">
            <v>92.14</v>
          </cell>
          <cell r="H132">
            <v>720.12</v>
          </cell>
          <cell r="I132">
            <v>73.010000000000005</v>
          </cell>
        </row>
        <row r="133">
          <cell r="A133">
            <v>31957</v>
          </cell>
          <cell r="B133">
            <v>908.71</v>
          </cell>
          <cell r="C133">
            <v>909.76</v>
          </cell>
          <cell r="D133">
            <v>95.33</v>
          </cell>
          <cell r="E133">
            <v>98.59</v>
          </cell>
          <cell r="F133">
            <v>98.01</v>
          </cell>
          <cell r="G133">
            <v>91.78</v>
          </cell>
          <cell r="H133">
            <v>717.25</v>
          </cell>
          <cell r="I133">
            <v>72.739999999999995</v>
          </cell>
        </row>
        <row r="134">
          <cell r="A134">
            <v>31958</v>
          </cell>
          <cell r="B134">
            <v>906.57</v>
          </cell>
          <cell r="C134">
            <v>905.3</v>
          </cell>
          <cell r="D134">
            <v>95.19</v>
          </cell>
          <cell r="E134">
            <v>98.11</v>
          </cell>
          <cell r="F134">
            <v>97.63</v>
          </cell>
          <cell r="G134">
            <v>91.92</v>
          </cell>
          <cell r="H134">
            <v>714.9</v>
          </cell>
          <cell r="I134">
            <v>72.489999999999995</v>
          </cell>
        </row>
        <row r="135">
          <cell r="A135">
            <v>31959</v>
          </cell>
          <cell r="B135">
            <v>898.16</v>
          </cell>
          <cell r="C135">
            <v>894.32</v>
          </cell>
          <cell r="D135">
            <v>94.65</v>
          </cell>
          <cell r="E135">
            <v>97.3</v>
          </cell>
          <cell r="F135">
            <v>96.81</v>
          </cell>
          <cell r="G135">
            <v>91.61</v>
          </cell>
          <cell r="H135">
            <v>709.79</v>
          </cell>
          <cell r="I135">
            <v>72.11</v>
          </cell>
        </row>
        <row r="136">
          <cell r="A136">
            <v>31960</v>
          </cell>
          <cell r="B136">
            <v>908.65</v>
          </cell>
          <cell r="C136">
            <v>904.15</v>
          </cell>
          <cell r="D136">
            <v>95.7</v>
          </cell>
          <cell r="E136">
            <v>98.24</v>
          </cell>
          <cell r="F136">
            <v>97.66</v>
          </cell>
          <cell r="G136">
            <v>92.73</v>
          </cell>
          <cell r="H136">
            <v>714.14</v>
          </cell>
          <cell r="I136">
            <v>72.47</v>
          </cell>
        </row>
        <row r="137">
          <cell r="A137">
            <v>31961</v>
          </cell>
          <cell r="B137">
            <v>922.57</v>
          </cell>
          <cell r="C137">
            <v>917.81</v>
          </cell>
          <cell r="D137">
            <v>97.03</v>
          </cell>
          <cell r="E137">
            <v>99.69</v>
          </cell>
          <cell r="F137">
            <v>99.03</v>
          </cell>
          <cell r="G137">
            <v>93.96</v>
          </cell>
          <cell r="H137">
            <v>721.24</v>
          </cell>
          <cell r="I137">
            <v>73.09</v>
          </cell>
        </row>
        <row r="138">
          <cell r="A138">
            <v>31964</v>
          </cell>
          <cell r="B138">
            <v>928.07</v>
          </cell>
          <cell r="C138">
            <v>918.19</v>
          </cell>
          <cell r="D138">
            <v>97.51</v>
          </cell>
          <cell r="E138">
            <v>99.55</v>
          </cell>
          <cell r="F138">
            <v>98.86</v>
          </cell>
          <cell r="G138">
            <v>94.94</v>
          </cell>
          <cell r="H138">
            <v>722.4</v>
          </cell>
          <cell r="I138">
            <v>73.13</v>
          </cell>
        </row>
        <row r="139">
          <cell r="A139">
            <v>31965</v>
          </cell>
          <cell r="B139">
            <v>930.73</v>
          </cell>
          <cell r="C139">
            <v>917.15</v>
          </cell>
          <cell r="D139">
            <v>97.68</v>
          </cell>
          <cell r="E139">
            <v>99.27</v>
          </cell>
          <cell r="F139">
            <v>98.52</v>
          </cell>
          <cell r="G139">
            <v>95.48</v>
          </cell>
          <cell r="H139">
            <v>722.49</v>
          </cell>
          <cell r="I139">
            <v>73.27</v>
          </cell>
        </row>
        <row r="140">
          <cell r="A140">
            <v>31966</v>
          </cell>
          <cell r="B140">
            <v>931.95</v>
          </cell>
          <cell r="C140">
            <v>923.2</v>
          </cell>
          <cell r="D140">
            <v>97.94</v>
          </cell>
          <cell r="E140">
            <v>99.92</v>
          </cell>
          <cell r="F140">
            <v>99.2</v>
          </cell>
          <cell r="G140">
            <v>95.42</v>
          </cell>
          <cell r="H140">
            <v>732.08</v>
          </cell>
          <cell r="I140">
            <v>73.97</v>
          </cell>
        </row>
        <row r="141">
          <cell r="A141">
            <v>31967</v>
          </cell>
          <cell r="B141">
            <v>933.27</v>
          </cell>
          <cell r="C141">
            <v>920.76</v>
          </cell>
          <cell r="D141">
            <v>98.04</v>
          </cell>
          <cell r="E141">
            <v>99.57</v>
          </cell>
          <cell r="F141">
            <v>98.96</v>
          </cell>
          <cell r="G141">
            <v>95.88</v>
          </cell>
          <cell r="H141">
            <v>733.64</v>
          </cell>
          <cell r="I141">
            <v>74.16</v>
          </cell>
        </row>
        <row r="142">
          <cell r="A142">
            <v>31968</v>
          </cell>
          <cell r="B142">
            <v>935.2</v>
          </cell>
          <cell r="C142">
            <v>921.82</v>
          </cell>
          <cell r="D142">
            <v>98.32</v>
          </cell>
          <cell r="E142">
            <v>99.73</v>
          </cell>
          <cell r="F142">
            <v>99.1</v>
          </cell>
          <cell r="G142">
            <v>96.27</v>
          </cell>
          <cell r="H142">
            <v>733.48</v>
          </cell>
          <cell r="I142">
            <v>74.2</v>
          </cell>
        </row>
        <row r="143">
          <cell r="A143">
            <v>31971</v>
          </cell>
          <cell r="B143">
            <v>935.49</v>
          </cell>
          <cell r="C143">
            <v>921.73</v>
          </cell>
          <cell r="D143">
            <v>98.46</v>
          </cell>
          <cell r="E143">
            <v>99.72</v>
          </cell>
          <cell r="F143">
            <v>99.1</v>
          </cell>
          <cell r="G143">
            <v>96.52</v>
          </cell>
          <cell r="H143">
            <v>735.17</v>
          </cell>
          <cell r="I143">
            <v>74.34</v>
          </cell>
        </row>
        <row r="144">
          <cell r="A144">
            <v>31972</v>
          </cell>
          <cell r="B144">
            <v>942.6</v>
          </cell>
          <cell r="C144">
            <v>925.93</v>
          </cell>
          <cell r="D144">
            <v>99.01</v>
          </cell>
          <cell r="E144">
            <v>100.21</v>
          </cell>
          <cell r="F144">
            <v>99.56</v>
          </cell>
          <cell r="G144">
            <v>97.12</v>
          </cell>
          <cell r="H144">
            <v>739.64</v>
          </cell>
          <cell r="I144">
            <v>74.75</v>
          </cell>
        </row>
        <row r="145">
          <cell r="A145">
            <v>31973</v>
          </cell>
          <cell r="B145">
            <v>950.81</v>
          </cell>
          <cell r="C145">
            <v>928.92</v>
          </cell>
          <cell r="D145">
            <v>99.61</v>
          </cell>
          <cell r="E145">
            <v>100.48</v>
          </cell>
          <cell r="F145">
            <v>99.89</v>
          </cell>
          <cell r="G145">
            <v>97.98</v>
          </cell>
          <cell r="H145">
            <v>741.7</v>
          </cell>
          <cell r="I145">
            <v>74.92</v>
          </cell>
        </row>
        <row r="146">
          <cell r="A146">
            <v>31974</v>
          </cell>
          <cell r="B146">
            <v>958.93</v>
          </cell>
          <cell r="C146">
            <v>932.15</v>
          </cell>
          <cell r="D146">
            <v>100.34</v>
          </cell>
          <cell r="E146">
            <v>100.8</v>
          </cell>
          <cell r="F146">
            <v>100.24</v>
          </cell>
          <cell r="G146">
            <v>99.06</v>
          </cell>
          <cell r="H146">
            <v>743.78</v>
          </cell>
          <cell r="I146">
            <v>75.08</v>
          </cell>
        </row>
        <row r="147">
          <cell r="A147">
            <v>31975</v>
          </cell>
          <cell r="B147">
            <v>961.38</v>
          </cell>
          <cell r="C147">
            <v>941.03</v>
          </cell>
          <cell r="D147">
            <v>100.58</v>
          </cell>
          <cell r="E147">
            <v>101.62</v>
          </cell>
          <cell r="F147">
            <v>101.21</v>
          </cell>
          <cell r="G147">
            <v>98.81</v>
          </cell>
          <cell r="H147">
            <v>749.47</v>
          </cell>
          <cell r="I147">
            <v>75.58</v>
          </cell>
        </row>
        <row r="148">
          <cell r="A148">
            <v>31978</v>
          </cell>
          <cell r="B148">
            <v>957.95</v>
          </cell>
          <cell r="C148">
            <v>945.38</v>
          </cell>
          <cell r="D148">
            <v>100.24</v>
          </cell>
          <cell r="E148">
            <v>102.04</v>
          </cell>
          <cell r="F148">
            <v>101.71</v>
          </cell>
          <cell r="G148">
            <v>97.84</v>
          </cell>
          <cell r="H148">
            <v>749.18</v>
          </cell>
          <cell r="I148">
            <v>75.569999999999993</v>
          </cell>
        </row>
        <row r="149">
          <cell r="A149">
            <v>31979</v>
          </cell>
          <cell r="B149">
            <v>953.98</v>
          </cell>
          <cell r="C149">
            <v>941.54</v>
          </cell>
          <cell r="D149">
            <v>99.74</v>
          </cell>
          <cell r="E149">
            <v>101.62</v>
          </cell>
          <cell r="F149">
            <v>101.36</v>
          </cell>
          <cell r="G149">
            <v>97.28</v>
          </cell>
          <cell r="H149">
            <v>747.9</v>
          </cell>
          <cell r="I149">
            <v>75.48</v>
          </cell>
        </row>
        <row r="150">
          <cell r="A150">
            <v>31980</v>
          </cell>
          <cell r="B150">
            <v>941.55</v>
          </cell>
          <cell r="C150">
            <v>937.13</v>
          </cell>
          <cell r="D150">
            <v>98.67</v>
          </cell>
          <cell r="E150">
            <v>101.33</v>
          </cell>
          <cell r="F150">
            <v>101.12</v>
          </cell>
          <cell r="G150">
            <v>95.58</v>
          </cell>
          <cell r="H150">
            <v>744.46</v>
          </cell>
          <cell r="I150">
            <v>75.12</v>
          </cell>
        </row>
        <row r="151">
          <cell r="A151">
            <v>31981</v>
          </cell>
          <cell r="B151">
            <v>937.41</v>
          </cell>
          <cell r="C151">
            <v>932.12</v>
          </cell>
          <cell r="D151">
            <v>98.31</v>
          </cell>
          <cell r="E151">
            <v>100.8</v>
          </cell>
          <cell r="F151">
            <v>100.63</v>
          </cell>
          <cell r="G151">
            <v>95.36</v>
          </cell>
          <cell r="H151">
            <v>747.36</v>
          </cell>
          <cell r="I151">
            <v>75.37</v>
          </cell>
        </row>
        <row r="152">
          <cell r="A152">
            <v>31982</v>
          </cell>
          <cell r="B152">
            <v>937.8</v>
          </cell>
          <cell r="C152">
            <v>933.19</v>
          </cell>
          <cell r="D152">
            <v>98.54</v>
          </cell>
          <cell r="E152">
            <v>101</v>
          </cell>
          <cell r="F152">
            <v>100.75</v>
          </cell>
          <cell r="G152">
            <v>95.62</v>
          </cell>
          <cell r="H152">
            <v>750.08</v>
          </cell>
          <cell r="I152">
            <v>75.59</v>
          </cell>
        </row>
        <row r="153">
          <cell r="A153">
            <v>31985</v>
          </cell>
          <cell r="B153">
            <v>932.63</v>
          </cell>
          <cell r="C153">
            <v>936.9</v>
          </cell>
          <cell r="D153">
            <v>98.23</v>
          </cell>
          <cell r="E153">
            <v>101.37</v>
          </cell>
          <cell r="F153">
            <v>101.02</v>
          </cell>
          <cell r="G153">
            <v>94.75</v>
          </cell>
          <cell r="H153">
            <v>750.98</v>
          </cell>
          <cell r="I153">
            <v>75.62</v>
          </cell>
        </row>
        <row r="154">
          <cell r="A154">
            <v>31986</v>
          </cell>
          <cell r="B154">
            <v>943.51</v>
          </cell>
          <cell r="C154">
            <v>941.84</v>
          </cell>
          <cell r="D154">
            <v>99.26</v>
          </cell>
          <cell r="E154">
            <v>101.96</v>
          </cell>
          <cell r="F154">
            <v>101.74</v>
          </cell>
          <cell r="G154">
            <v>96.13</v>
          </cell>
          <cell r="H154">
            <v>759.34</v>
          </cell>
          <cell r="I154">
            <v>76.31</v>
          </cell>
        </row>
        <row r="155">
          <cell r="A155">
            <v>31987</v>
          </cell>
          <cell r="B155">
            <v>951.33</v>
          </cell>
          <cell r="C155">
            <v>949.38</v>
          </cell>
          <cell r="D155">
            <v>100.2</v>
          </cell>
          <cell r="E155">
            <v>102.8</v>
          </cell>
          <cell r="F155">
            <v>102.54</v>
          </cell>
          <cell r="G155">
            <v>97.15</v>
          </cell>
          <cell r="H155">
            <v>764.44</v>
          </cell>
          <cell r="I155">
            <v>76.89</v>
          </cell>
        </row>
        <row r="156">
          <cell r="A156">
            <v>31988</v>
          </cell>
          <cell r="B156">
            <v>951.77</v>
          </cell>
          <cell r="C156">
            <v>957.8</v>
          </cell>
          <cell r="D156">
            <v>100.44</v>
          </cell>
          <cell r="E156">
            <v>103.76</v>
          </cell>
          <cell r="F156">
            <v>103.47</v>
          </cell>
          <cell r="G156">
            <v>96.79</v>
          </cell>
          <cell r="H156">
            <v>766.19</v>
          </cell>
          <cell r="I156">
            <v>77.239999999999995</v>
          </cell>
        </row>
        <row r="157">
          <cell r="A157">
            <v>31989</v>
          </cell>
          <cell r="B157">
            <v>947.69</v>
          </cell>
          <cell r="C157">
            <v>955.83</v>
          </cell>
          <cell r="D157">
            <v>99.93</v>
          </cell>
          <cell r="E157">
            <v>103.44</v>
          </cell>
          <cell r="F157">
            <v>103.21</v>
          </cell>
          <cell r="G157">
            <v>96.14</v>
          </cell>
          <cell r="H157">
            <v>763.22</v>
          </cell>
          <cell r="I157">
            <v>77.040000000000006</v>
          </cell>
        </row>
        <row r="158">
          <cell r="A158">
            <v>31992</v>
          </cell>
          <cell r="B158">
            <v>946.3</v>
          </cell>
          <cell r="C158">
            <v>959.68</v>
          </cell>
          <cell r="D158">
            <v>99.43</v>
          </cell>
          <cell r="E158">
            <v>103.67</v>
          </cell>
          <cell r="F158">
            <v>103.37</v>
          </cell>
          <cell r="G158">
            <v>95.04</v>
          </cell>
          <cell r="H158">
            <v>758.23</v>
          </cell>
          <cell r="I158">
            <v>76.650000000000006</v>
          </cell>
        </row>
        <row r="159">
          <cell r="A159">
            <v>31993</v>
          </cell>
          <cell r="B159">
            <v>943.74</v>
          </cell>
          <cell r="C159">
            <v>957.2</v>
          </cell>
          <cell r="D159">
            <v>98.96</v>
          </cell>
          <cell r="E159">
            <v>103.33</v>
          </cell>
          <cell r="F159">
            <v>103</v>
          </cell>
          <cell r="G159">
            <v>94.47</v>
          </cell>
          <cell r="H159">
            <v>766.14</v>
          </cell>
          <cell r="I159">
            <v>77.27</v>
          </cell>
        </row>
        <row r="160">
          <cell r="A160">
            <v>31994</v>
          </cell>
          <cell r="B160">
            <v>943.24</v>
          </cell>
          <cell r="C160">
            <v>955.55</v>
          </cell>
          <cell r="D160">
            <v>98.96</v>
          </cell>
          <cell r="E160">
            <v>103.06</v>
          </cell>
          <cell r="F160">
            <v>102.86</v>
          </cell>
          <cell r="G160">
            <v>94.68</v>
          </cell>
          <cell r="H160">
            <v>774.55</v>
          </cell>
          <cell r="I160">
            <v>77.89</v>
          </cell>
        </row>
        <row r="161">
          <cell r="A161">
            <v>31995</v>
          </cell>
          <cell r="B161">
            <v>937.18</v>
          </cell>
          <cell r="C161">
            <v>961.22</v>
          </cell>
          <cell r="D161">
            <v>98.29</v>
          </cell>
          <cell r="E161">
            <v>103.5</v>
          </cell>
          <cell r="F161">
            <v>103.45</v>
          </cell>
          <cell r="G161">
            <v>93.11</v>
          </cell>
          <cell r="H161">
            <v>777.94</v>
          </cell>
          <cell r="I161">
            <v>78.25</v>
          </cell>
        </row>
        <row r="162">
          <cell r="A162">
            <v>31996</v>
          </cell>
          <cell r="B162">
            <v>933.31</v>
          </cell>
          <cell r="C162">
            <v>963.12</v>
          </cell>
          <cell r="D162">
            <v>97.58</v>
          </cell>
          <cell r="E162">
            <v>103.55</v>
          </cell>
          <cell r="F162">
            <v>103.54</v>
          </cell>
          <cell r="G162">
            <v>91.79</v>
          </cell>
          <cell r="H162">
            <v>776.01</v>
          </cell>
          <cell r="I162">
            <v>78.180000000000007</v>
          </cell>
        </row>
        <row r="163">
          <cell r="A163">
            <v>31999</v>
          </cell>
          <cell r="B163">
            <v>936.24</v>
          </cell>
          <cell r="C163">
            <v>962.46</v>
          </cell>
          <cell r="D163">
            <v>97.65</v>
          </cell>
          <cell r="E163">
            <v>103.07</v>
          </cell>
          <cell r="F163">
            <v>103.13</v>
          </cell>
          <cell r="G163">
            <v>92.3</v>
          </cell>
          <cell r="H163">
            <v>765.12</v>
          </cell>
          <cell r="I163">
            <v>77.38</v>
          </cell>
        </row>
        <row r="164">
          <cell r="A164">
            <v>32000</v>
          </cell>
          <cell r="B164">
            <v>935.44</v>
          </cell>
          <cell r="C164">
            <v>952.68</v>
          </cell>
          <cell r="D164">
            <v>97.89</v>
          </cell>
          <cell r="E164">
            <v>102.08</v>
          </cell>
          <cell r="F164">
            <v>102.37</v>
          </cell>
          <cell r="G164">
            <v>93.54</v>
          </cell>
          <cell r="H164">
            <v>770.37</v>
          </cell>
          <cell r="I164">
            <v>77.67</v>
          </cell>
        </row>
        <row r="165">
          <cell r="A165">
            <v>32001</v>
          </cell>
          <cell r="B165">
            <v>946.84</v>
          </cell>
          <cell r="C165">
            <v>961.8</v>
          </cell>
          <cell r="D165">
            <v>98.97</v>
          </cell>
          <cell r="E165">
            <v>103.16</v>
          </cell>
          <cell r="F165">
            <v>103.35</v>
          </cell>
          <cell r="G165">
            <v>94.61</v>
          </cell>
          <cell r="H165">
            <v>778.93</v>
          </cell>
          <cell r="I165">
            <v>78.38</v>
          </cell>
        </row>
        <row r="166">
          <cell r="A166">
            <v>32002</v>
          </cell>
          <cell r="B166">
            <v>945.45</v>
          </cell>
          <cell r="C166">
            <v>959.8</v>
          </cell>
          <cell r="D166">
            <v>98.9</v>
          </cell>
          <cell r="E166">
            <v>103.08</v>
          </cell>
          <cell r="F166">
            <v>103.19</v>
          </cell>
          <cell r="G166">
            <v>94.55</v>
          </cell>
          <cell r="H166">
            <v>779.29</v>
          </cell>
          <cell r="I166">
            <v>78.38</v>
          </cell>
        </row>
        <row r="167">
          <cell r="A167">
            <v>32003</v>
          </cell>
          <cell r="B167">
            <v>945.61</v>
          </cell>
          <cell r="C167">
            <v>961.79</v>
          </cell>
          <cell r="D167">
            <v>99.12</v>
          </cell>
          <cell r="E167">
            <v>103.42</v>
          </cell>
          <cell r="F167">
            <v>103.64</v>
          </cell>
          <cell r="G167">
            <v>94.68</v>
          </cell>
          <cell r="H167">
            <v>782.03</v>
          </cell>
          <cell r="I167">
            <v>78.540000000000006</v>
          </cell>
        </row>
        <row r="168">
          <cell r="A168">
            <v>32006</v>
          </cell>
          <cell r="B168">
            <v>937.27</v>
          </cell>
          <cell r="C168">
            <v>959.11</v>
          </cell>
          <cell r="D168">
            <v>98.42</v>
          </cell>
          <cell r="E168">
            <v>103.24</v>
          </cell>
          <cell r="F168">
            <v>103.44</v>
          </cell>
          <cell r="G168">
            <v>93.55</v>
          </cell>
          <cell r="H168">
            <v>782.44</v>
          </cell>
          <cell r="I168">
            <v>78.739999999999995</v>
          </cell>
        </row>
        <row r="169">
          <cell r="A169">
            <v>32007</v>
          </cell>
          <cell r="B169">
            <v>924.17</v>
          </cell>
          <cell r="C169">
            <v>949.25</v>
          </cell>
          <cell r="D169">
            <v>97.31</v>
          </cell>
          <cell r="E169">
            <v>102.47</v>
          </cell>
          <cell r="F169">
            <v>102.76</v>
          </cell>
          <cell r="G169">
            <v>92.17</v>
          </cell>
          <cell r="H169">
            <v>787.4</v>
          </cell>
          <cell r="I169">
            <v>78.989999999999995</v>
          </cell>
        </row>
        <row r="170">
          <cell r="A170">
            <v>32008</v>
          </cell>
          <cell r="B170">
            <v>915.03</v>
          </cell>
          <cell r="C170">
            <v>940.09</v>
          </cell>
          <cell r="D170">
            <v>96.42</v>
          </cell>
          <cell r="E170">
            <v>101.55</v>
          </cell>
          <cell r="F170">
            <v>101.85</v>
          </cell>
          <cell r="G170">
            <v>91.32</v>
          </cell>
          <cell r="H170">
            <v>787.3</v>
          </cell>
          <cell r="I170">
            <v>79.12</v>
          </cell>
        </row>
        <row r="171">
          <cell r="A171">
            <v>32009</v>
          </cell>
          <cell r="B171">
            <v>917.26</v>
          </cell>
          <cell r="C171">
            <v>949.22</v>
          </cell>
          <cell r="D171">
            <v>96.75</v>
          </cell>
          <cell r="E171">
            <v>102.58</v>
          </cell>
          <cell r="F171">
            <v>102.9</v>
          </cell>
          <cell r="G171">
            <v>91.08</v>
          </cell>
          <cell r="H171">
            <v>793.37</v>
          </cell>
          <cell r="I171">
            <v>79.709999999999994</v>
          </cell>
        </row>
        <row r="172">
          <cell r="A172">
            <v>32010</v>
          </cell>
          <cell r="B172">
            <v>921.27</v>
          </cell>
          <cell r="C172">
            <v>950.03</v>
          </cell>
          <cell r="D172">
            <v>97.39</v>
          </cell>
          <cell r="E172">
            <v>102.82</v>
          </cell>
          <cell r="F172">
            <v>103.25</v>
          </cell>
          <cell r="G172">
            <v>92.04</v>
          </cell>
          <cell r="H172">
            <v>798.18</v>
          </cell>
          <cell r="I172">
            <v>80.150000000000006</v>
          </cell>
        </row>
        <row r="173">
          <cell r="A173">
            <v>32013</v>
          </cell>
          <cell r="B173">
            <v>917.53</v>
          </cell>
          <cell r="C173">
            <v>941.89</v>
          </cell>
          <cell r="D173">
            <v>97.21</v>
          </cell>
          <cell r="E173">
            <v>102.1</v>
          </cell>
          <cell r="F173">
            <v>102.63</v>
          </cell>
          <cell r="G173">
            <v>92.29</v>
          </cell>
          <cell r="H173">
            <v>799.14</v>
          </cell>
          <cell r="I173">
            <v>80.16</v>
          </cell>
        </row>
        <row r="174">
          <cell r="A174">
            <v>32014</v>
          </cell>
          <cell r="B174">
            <v>920.05</v>
          </cell>
          <cell r="C174">
            <v>941.91</v>
          </cell>
          <cell r="D174">
            <v>97.42</v>
          </cell>
          <cell r="E174">
            <v>102.02</v>
          </cell>
          <cell r="F174">
            <v>102.42</v>
          </cell>
          <cell r="G174">
            <v>92.74</v>
          </cell>
          <cell r="H174">
            <v>790</v>
          </cell>
          <cell r="I174">
            <v>79.56</v>
          </cell>
        </row>
        <row r="175">
          <cell r="A175">
            <v>32015</v>
          </cell>
          <cell r="B175">
            <v>919.61</v>
          </cell>
          <cell r="C175">
            <v>942.2</v>
          </cell>
          <cell r="D175">
            <v>97.46</v>
          </cell>
          <cell r="E175">
            <v>102.31</v>
          </cell>
          <cell r="F175">
            <v>102.66</v>
          </cell>
          <cell r="G175">
            <v>92.58</v>
          </cell>
          <cell r="H175">
            <v>790.97</v>
          </cell>
          <cell r="I175">
            <v>79.47</v>
          </cell>
        </row>
        <row r="176">
          <cell r="A176">
            <v>32016</v>
          </cell>
          <cell r="B176">
            <v>919.19</v>
          </cell>
          <cell r="C176">
            <v>943.3</v>
          </cell>
          <cell r="D176">
            <v>97.6</v>
          </cell>
          <cell r="E176">
            <v>102.69</v>
          </cell>
          <cell r="F176">
            <v>102.91</v>
          </cell>
          <cell r="G176">
            <v>92.52</v>
          </cell>
          <cell r="H176">
            <v>786.13</v>
          </cell>
          <cell r="I176">
            <v>79.13</v>
          </cell>
        </row>
        <row r="177">
          <cell r="A177">
            <v>32017</v>
          </cell>
          <cell r="B177">
            <v>921.13</v>
          </cell>
          <cell r="C177">
            <v>947.55</v>
          </cell>
          <cell r="D177">
            <v>97.84</v>
          </cell>
          <cell r="E177">
            <v>103.05</v>
          </cell>
          <cell r="F177">
            <v>103.12</v>
          </cell>
          <cell r="G177">
            <v>92.67</v>
          </cell>
          <cell r="H177">
            <v>782.19</v>
          </cell>
          <cell r="I177">
            <v>78.81</v>
          </cell>
        </row>
        <row r="178">
          <cell r="A178">
            <v>32020</v>
          </cell>
          <cell r="B178">
            <v>921.71</v>
          </cell>
          <cell r="C178">
            <v>951.06</v>
          </cell>
          <cell r="D178">
            <v>97.98</v>
          </cell>
          <cell r="E178">
            <v>103.39</v>
          </cell>
          <cell r="F178">
            <v>103.37</v>
          </cell>
          <cell r="G178">
            <v>92.63</v>
          </cell>
          <cell r="H178">
            <v>778.91</v>
          </cell>
          <cell r="I178">
            <v>78.52</v>
          </cell>
        </row>
        <row r="179">
          <cell r="A179">
            <v>32021</v>
          </cell>
          <cell r="B179">
            <v>930.16</v>
          </cell>
          <cell r="C179">
            <v>953.63</v>
          </cell>
          <cell r="D179">
            <v>98.84</v>
          </cell>
          <cell r="E179">
            <v>103.77</v>
          </cell>
          <cell r="F179">
            <v>103.79</v>
          </cell>
          <cell r="G179">
            <v>93.88</v>
          </cell>
          <cell r="H179">
            <v>782.5</v>
          </cell>
          <cell r="I179">
            <v>78.78</v>
          </cell>
        </row>
        <row r="180">
          <cell r="A180">
            <v>32022</v>
          </cell>
          <cell r="B180">
            <v>923.13</v>
          </cell>
          <cell r="C180">
            <v>947.24</v>
          </cell>
          <cell r="D180">
            <v>98.27</v>
          </cell>
          <cell r="E180">
            <v>103.22</v>
          </cell>
          <cell r="F180">
            <v>103.37</v>
          </cell>
          <cell r="G180">
            <v>93.3</v>
          </cell>
          <cell r="H180">
            <v>779.42</v>
          </cell>
          <cell r="I180">
            <v>78.53</v>
          </cell>
        </row>
        <row r="181">
          <cell r="A181">
            <v>32023</v>
          </cell>
          <cell r="B181">
            <v>921.56</v>
          </cell>
          <cell r="C181">
            <v>939.54</v>
          </cell>
          <cell r="D181">
            <v>98.33</v>
          </cell>
          <cell r="E181">
            <v>102.52</v>
          </cell>
          <cell r="F181">
            <v>102.83</v>
          </cell>
          <cell r="G181">
            <v>93.98</v>
          </cell>
          <cell r="H181">
            <v>789.36</v>
          </cell>
          <cell r="I181">
            <v>79.25</v>
          </cell>
        </row>
        <row r="182">
          <cell r="A182">
            <v>32024</v>
          </cell>
          <cell r="B182">
            <v>917.69</v>
          </cell>
          <cell r="C182">
            <v>930.39</v>
          </cell>
          <cell r="D182">
            <v>98.24</v>
          </cell>
          <cell r="E182">
            <v>101.89</v>
          </cell>
          <cell r="F182">
            <v>102.44</v>
          </cell>
          <cell r="G182">
            <v>94.33</v>
          </cell>
          <cell r="H182">
            <v>796.89</v>
          </cell>
          <cell r="I182">
            <v>79.959999999999994</v>
          </cell>
        </row>
        <row r="183">
          <cell r="A183">
            <v>32027</v>
          </cell>
          <cell r="B183">
            <v>913.41</v>
          </cell>
          <cell r="C183">
            <v>919.53</v>
          </cell>
          <cell r="D183">
            <v>97.93</v>
          </cell>
          <cell r="E183">
            <v>100.84</v>
          </cell>
          <cell r="F183">
            <v>101.39</v>
          </cell>
          <cell r="G183">
            <v>94.64</v>
          </cell>
          <cell r="H183">
            <v>795.82</v>
          </cell>
          <cell r="I183">
            <v>79.95</v>
          </cell>
        </row>
        <row r="184">
          <cell r="A184">
            <v>32028</v>
          </cell>
          <cell r="B184">
            <v>908.33</v>
          </cell>
          <cell r="C184">
            <v>919.47</v>
          </cell>
          <cell r="D184">
            <v>97.56</v>
          </cell>
          <cell r="E184">
            <v>100.69</v>
          </cell>
          <cell r="F184">
            <v>101.19</v>
          </cell>
          <cell r="G184">
            <v>94.1</v>
          </cell>
          <cell r="H184">
            <v>801.47</v>
          </cell>
          <cell r="I184">
            <v>80.48</v>
          </cell>
        </row>
        <row r="185">
          <cell r="A185">
            <v>32029</v>
          </cell>
          <cell r="B185">
            <v>902.65</v>
          </cell>
          <cell r="C185">
            <v>919.76</v>
          </cell>
          <cell r="D185">
            <v>97.03</v>
          </cell>
          <cell r="E185">
            <v>100.74</v>
          </cell>
          <cell r="F185">
            <v>101.15</v>
          </cell>
          <cell r="G185">
            <v>93.09</v>
          </cell>
          <cell r="H185">
            <v>784.83</v>
          </cell>
          <cell r="I185">
            <v>78.63</v>
          </cell>
        </row>
        <row r="186">
          <cell r="A186">
            <v>32030</v>
          </cell>
          <cell r="B186">
            <v>909.48</v>
          </cell>
          <cell r="C186">
            <v>928.08</v>
          </cell>
          <cell r="D186">
            <v>97.53</v>
          </cell>
          <cell r="E186">
            <v>101.35</v>
          </cell>
          <cell r="F186">
            <v>101.83</v>
          </cell>
          <cell r="G186">
            <v>93.49</v>
          </cell>
          <cell r="H186">
            <v>798.77</v>
          </cell>
          <cell r="I186">
            <v>79.94</v>
          </cell>
        </row>
        <row r="187">
          <cell r="A187">
            <v>32031</v>
          </cell>
          <cell r="B187">
            <v>913.45</v>
          </cell>
          <cell r="C187">
            <v>933.42</v>
          </cell>
          <cell r="D187">
            <v>97.96</v>
          </cell>
          <cell r="E187">
            <v>101.83</v>
          </cell>
          <cell r="F187">
            <v>102.25</v>
          </cell>
          <cell r="G187">
            <v>93.89</v>
          </cell>
          <cell r="H187">
            <v>797.78</v>
          </cell>
          <cell r="I187">
            <v>79.78</v>
          </cell>
        </row>
        <row r="188">
          <cell r="A188">
            <v>32034</v>
          </cell>
          <cell r="B188">
            <v>919.44</v>
          </cell>
          <cell r="C188">
            <v>940.81</v>
          </cell>
          <cell r="D188">
            <v>98.32</v>
          </cell>
          <cell r="E188">
            <v>102.31</v>
          </cell>
          <cell r="F188">
            <v>102.6</v>
          </cell>
          <cell r="G188">
            <v>94.13</v>
          </cell>
          <cell r="H188">
            <v>798.32</v>
          </cell>
          <cell r="I188">
            <v>79.760000000000005</v>
          </cell>
        </row>
        <row r="189">
          <cell r="A189">
            <v>32035</v>
          </cell>
          <cell r="B189">
            <v>916.75</v>
          </cell>
          <cell r="C189">
            <v>936.45</v>
          </cell>
          <cell r="D189">
            <v>98.15</v>
          </cell>
          <cell r="E189">
            <v>101.97</v>
          </cell>
          <cell r="F189">
            <v>102.48</v>
          </cell>
          <cell r="G189">
            <v>94.11</v>
          </cell>
          <cell r="H189">
            <v>789.76</v>
          </cell>
          <cell r="I189">
            <v>79.14</v>
          </cell>
        </row>
        <row r="190">
          <cell r="A190">
            <v>32036</v>
          </cell>
          <cell r="B190">
            <v>918.56</v>
          </cell>
          <cell r="C190">
            <v>930.91</v>
          </cell>
          <cell r="D190">
            <v>98.22</v>
          </cell>
          <cell r="E190">
            <v>101.54</v>
          </cell>
          <cell r="F190">
            <v>102.03</v>
          </cell>
          <cell r="G190">
            <v>94.59</v>
          </cell>
          <cell r="H190">
            <v>784.85</v>
          </cell>
          <cell r="I190">
            <v>78.849999999999994</v>
          </cell>
        </row>
        <row r="191">
          <cell r="A191">
            <v>32037</v>
          </cell>
          <cell r="B191">
            <v>925.35</v>
          </cell>
          <cell r="C191">
            <v>934.09</v>
          </cell>
          <cell r="D191">
            <v>98.94</v>
          </cell>
          <cell r="E191">
            <v>102.05</v>
          </cell>
          <cell r="F191">
            <v>102.4</v>
          </cell>
          <cell r="G191">
            <v>95.48</v>
          </cell>
          <cell r="H191">
            <v>781.56</v>
          </cell>
          <cell r="I191">
            <v>78.81</v>
          </cell>
        </row>
        <row r="192">
          <cell r="A192">
            <v>32038</v>
          </cell>
          <cell r="B192">
            <v>927.3</v>
          </cell>
          <cell r="C192">
            <v>928.5</v>
          </cell>
          <cell r="D192">
            <v>99.21</v>
          </cell>
          <cell r="E192">
            <v>101.66</v>
          </cell>
          <cell r="F192">
            <v>102.07</v>
          </cell>
          <cell r="G192">
            <v>96.27</v>
          </cell>
          <cell r="H192">
            <v>779.27</v>
          </cell>
          <cell r="I192">
            <v>78.88</v>
          </cell>
        </row>
        <row r="193">
          <cell r="A193">
            <v>32041</v>
          </cell>
          <cell r="B193">
            <v>925.77</v>
          </cell>
          <cell r="C193">
            <v>927.1</v>
          </cell>
          <cell r="D193">
            <v>99.16</v>
          </cell>
          <cell r="E193">
            <v>101.41</v>
          </cell>
          <cell r="F193">
            <v>101.95</v>
          </cell>
          <cell r="G193">
            <v>96.39</v>
          </cell>
          <cell r="H193">
            <v>786.65</v>
          </cell>
          <cell r="I193">
            <v>79.55</v>
          </cell>
        </row>
        <row r="194">
          <cell r="A194">
            <v>32042</v>
          </cell>
          <cell r="B194">
            <v>922.64</v>
          </cell>
          <cell r="C194">
            <v>922.49</v>
          </cell>
          <cell r="D194">
            <v>98.96</v>
          </cell>
          <cell r="E194">
            <v>101.02</v>
          </cell>
          <cell r="F194">
            <v>101.63</v>
          </cell>
          <cell r="G194">
            <v>96.35</v>
          </cell>
          <cell r="H194">
            <v>790.38</v>
          </cell>
          <cell r="I194">
            <v>79.83</v>
          </cell>
        </row>
        <row r="195">
          <cell r="A195">
            <v>32043</v>
          </cell>
          <cell r="B195">
            <v>935.65</v>
          </cell>
          <cell r="C195">
            <v>937.85</v>
          </cell>
          <cell r="D195">
            <v>100.15</v>
          </cell>
          <cell r="E195">
            <v>102.53</v>
          </cell>
          <cell r="F195">
            <v>103.01</v>
          </cell>
          <cell r="G195">
            <v>97.27</v>
          </cell>
          <cell r="H195">
            <v>792.57</v>
          </cell>
          <cell r="I195">
            <v>79.97</v>
          </cell>
        </row>
        <row r="196">
          <cell r="A196">
            <v>32044</v>
          </cell>
          <cell r="B196">
            <v>923.8</v>
          </cell>
          <cell r="C196">
            <v>931.48</v>
          </cell>
          <cell r="D196">
            <v>99.07</v>
          </cell>
          <cell r="E196">
            <v>101.92</v>
          </cell>
          <cell r="F196">
            <v>102.41</v>
          </cell>
          <cell r="G196">
            <v>95.81</v>
          </cell>
          <cell r="H196">
            <v>788.56</v>
          </cell>
          <cell r="I196">
            <v>79.48</v>
          </cell>
        </row>
        <row r="197">
          <cell r="A197">
            <v>32045</v>
          </cell>
          <cell r="B197">
            <v>925.93</v>
          </cell>
          <cell r="C197">
            <v>928.34</v>
          </cell>
          <cell r="D197">
            <v>99.42</v>
          </cell>
          <cell r="E197">
            <v>101.61</v>
          </cell>
          <cell r="F197">
            <v>102.05</v>
          </cell>
          <cell r="G197">
            <v>96.7</v>
          </cell>
          <cell r="H197">
            <v>784.06</v>
          </cell>
          <cell r="I197">
            <v>79.069999999999993</v>
          </cell>
        </row>
        <row r="198">
          <cell r="A198">
            <v>32048</v>
          </cell>
          <cell r="B198">
            <v>936.3</v>
          </cell>
          <cell r="C198">
            <v>934</v>
          </cell>
          <cell r="D198">
            <v>100.42</v>
          </cell>
          <cell r="E198">
            <v>102.23</v>
          </cell>
          <cell r="F198">
            <v>102.65</v>
          </cell>
          <cell r="G198">
            <v>98</v>
          </cell>
          <cell r="H198">
            <v>778.11</v>
          </cell>
          <cell r="I198">
            <v>78.63</v>
          </cell>
        </row>
        <row r="199">
          <cell r="A199">
            <v>32049</v>
          </cell>
          <cell r="B199">
            <v>935.8</v>
          </cell>
          <cell r="C199">
            <v>936.2</v>
          </cell>
          <cell r="D199">
            <v>100.35</v>
          </cell>
          <cell r="E199">
            <v>102.31</v>
          </cell>
          <cell r="F199">
            <v>102.79</v>
          </cell>
          <cell r="G199">
            <v>97.82</v>
          </cell>
          <cell r="H199">
            <v>783.96</v>
          </cell>
          <cell r="I199">
            <v>79.09</v>
          </cell>
        </row>
        <row r="200">
          <cell r="A200">
            <v>32050</v>
          </cell>
          <cell r="B200">
            <v>934.44</v>
          </cell>
          <cell r="C200">
            <v>930.71</v>
          </cell>
          <cell r="D200">
            <v>100.16</v>
          </cell>
          <cell r="E200">
            <v>101.8</v>
          </cell>
          <cell r="F200">
            <v>102.38</v>
          </cell>
          <cell r="G200">
            <v>97.88</v>
          </cell>
          <cell r="H200">
            <v>789.87</v>
          </cell>
          <cell r="I200">
            <v>79.64</v>
          </cell>
        </row>
        <row r="201">
          <cell r="A201">
            <v>32051</v>
          </cell>
          <cell r="B201">
            <v>936.46</v>
          </cell>
          <cell r="C201">
            <v>938.2</v>
          </cell>
          <cell r="D201">
            <v>100.6</v>
          </cell>
          <cell r="E201">
            <v>102.42</v>
          </cell>
          <cell r="F201">
            <v>103.05</v>
          </cell>
          <cell r="G201">
            <v>98.17</v>
          </cell>
          <cell r="H201">
            <v>803.4</v>
          </cell>
          <cell r="I201">
            <v>80.95</v>
          </cell>
        </row>
        <row r="202">
          <cell r="A202">
            <v>32052</v>
          </cell>
          <cell r="B202">
            <v>942.65</v>
          </cell>
          <cell r="C202">
            <v>944.2</v>
          </cell>
          <cell r="D202">
            <v>101.24</v>
          </cell>
          <cell r="E202">
            <v>103.14</v>
          </cell>
          <cell r="F202">
            <v>103.79</v>
          </cell>
          <cell r="G202">
            <v>98.74</v>
          </cell>
          <cell r="H202">
            <v>807.3</v>
          </cell>
          <cell r="I202">
            <v>81.27</v>
          </cell>
        </row>
        <row r="203">
          <cell r="A203">
            <v>32055</v>
          </cell>
          <cell r="B203">
            <v>947.57</v>
          </cell>
          <cell r="C203">
            <v>949.42</v>
          </cell>
          <cell r="D203">
            <v>101.7</v>
          </cell>
          <cell r="E203">
            <v>103.77</v>
          </cell>
          <cell r="F203">
            <v>104.49</v>
          </cell>
          <cell r="G203">
            <v>99.06</v>
          </cell>
          <cell r="H203">
            <v>813.89</v>
          </cell>
          <cell r="I203">
            <v>81.89</v>
          </cell>
        </row>
        <row r="204">
          <cell r="A204">
            <v>32056</v>
          </cell>
          <cell r="B204">
            <v>941.91</v>
          </cell>
          <cell r="C204">
            <v>945.26</v>
          </cell>
          <cell r="D204">
            <v>101.18</v>
          </cell>
          <cell r="E204">
            <v>103.43</v>
          </cell>
          <cell r="F204">
            <v>104.13</v>
          </cell>
          <cell r="G204">
            <v>98.4</v>
          </cell>
          <cell r="H204">
            <v>814.46</v>
          </cell>
          <cell r="I204">
            <v>82.09</v>
          </cell>
        </row>
        <row r="205">
          <cell r="A205">
            <v>32057</v>
          </cell>
          <cell r="B205">
            <v>934.32</v>
          </cell>
          <cell r="C205">
            <v>935.79</v>
          </cell>
          <cell r="D205">
            <v>100.58</v>
          </cell>
          <cell r="E205">
            <v>102.52</v>
          </cell>
          <cell r="F205">
            <v>103.33</v>
          </cell>
          <cell r="G205">
            <v>98.05</v>
          </cell>
          <cell r="H205">
            <v>817</v>
          </cell>
          <cell r="I205">
            <v>82.36</v>
          </cell>
        </row>
        <row r="206">
          <cell r="A206">
            <v>32058</v>
          </cell>
          <cell r="B206">
            <v>938.24</v>
          </cell>
          <cell r="C206">
            <v>940.33</v>
          </cell>
          <cell r="D206">
            <v>101.12</v>
          </cell>
          <cell r="E206">
            <v>102.95</v>
          </cell>
          <cell r="F206">
            <v>103.75</v>
          </cell>
          <cell r="G206">
            <v>98.69</v>
          </cell>
          <cell r="H206">
            <v>821.44</v>
          </cell>
          <cell r="I206">
            <v>82.96</v>
          </cell>
        </row>
        <row r="207">
          <cell r="A207">
            <v>32059</v>
          </cell>
          <cell r="B207">
            <v>929.55</v>
          </cell>
          <cell r="C207">
            <v>926.63</v>
          </cell>
          <cell r="D207">
            <v>100.45</v>
          </cell>
          <cell r="E207">
            <v>101.67</v>
          </cell>
          <cell r="F207">
            <v>102.56</v>
          </cell>
          <cell r="G207">
            <v>98.51</v>
          </cell>
          <cell r="H207">
            <v>817.34</v>
          </cell>
          <cell r="I207">
            <v>82.67</v>
          </cell>
        </row>
        <row r="208">
          <cell r="A208">
            <v>32062</v>
          </cell>
          <cell r="B208">
            <v>915.62</v>
          </cell>
          <cell r="C208">
            <v>919.64</v>
          </cell>
          <cell r="D208">
            <v>99.3</v>
          </cell>
          <cell r="E208">
            <v>100.63</v>
          </cell>
          <cell r="F208">
            <v>101.49</v>
          </cell>
          <cell r="G208">
            <v>97.29</v>
          </cell>
          <cell r="H208">
            <v>807.71</v>
          </cell>
          <cell r="I208">
            <v>81.900000000000006</v>
          </cell>
        </row>
        <row r="209">
          <cell r="A209">
            <v>32063</v>
          </cell>
          <cell r="B209">
            <v>919.57</v>
          </cell>
          <cell r="C209">
            <v>921.87</v>
          </cell>
          <cell r="D209">
            <v>99.75</v>
          </cell>
          <cell r="E209">
            <v>100.92</v>
          </cell>
          <cell r="F209">
            <v>101.87</v>
          </cell>
          <cell r="G209">
            <v>97.86</v>
          </cell>
          <cell r="H209">
            <v>805.39</v>
          </cell>
          <cell r="I209">
            <v>81.59</v>
          </cell>
        </row>
        <row r="210">
          <cell r="A210">
            <v>32064</v>
          </cell>
          <cell r="B210">
            <v>911.31</v>
          </cell>
          <cell r="C210">
            <v>916.83</v>
          </cell>
          <cell r="D210">
            <v>99.1</v>
          </cell>
          <cell r="E210">
            <v>100.37</v>
          </cell>
          <cell r="F210">
            <v>101.5</v>
          </cell>
          <cell r="G210">
            <v>97.14</v>
          </cell>
          <cell r="H210">
            <v>811.1</v>
          </cell>
          <cell r="I210">
            <v>82.18</v>
          </cell>
        </row>
        <row r="211">
          <cell r="A211">
            <v>32065</v>
          </cell>
          <cell r="B211">
            <v>897.84</v>
          </cell>
          <cell r="C211">
            <v>901.83</v>
          </cell>
          <cell r="D211">
            <v>97.79</v>
          </cell>
          <cell r="E211">
            <v>98.67</v>
          </cell>
          <cell r="F211">
            <v>99.81</v>
          </cell>
          <cell r="G211">
            <v>96.15</v>
          </cell>
          <cell r="H211">
            <v>797.83</v>
          </cell>
          <cell r="I211">
            <v>80.959999999999994</v>
          </cell>
        </row>
        <row r="212">
          <cell r="A212">
            <v>32066</v>
          </cell>
          <cell r="B212">
            <v>890.93</v>
          </cell>
          <cell r="C212">
            <v>894.23</v>
          </cell>
          <cell r="D212">
            <v>97.04</v>
          </cell>
          <cell r="E212">
            <v>98</v>
          </cell>
          <cell r="F212">
            <v>99.03</v>
          </cell>
          <cell r="G212">
            <v>95.34</v>
          </cell>
          <cell r="H212">
            <v>788.8</v>
          </cell>
          <cell r="I212">
            <v>80.03</v>
          </cell>
        </row>
        <row r="213">
          <cell r="A213">
            <v>32069</v>
          </cell>
          <cell r="B213">
            <v>810.63</v>
          </cell>
          <cell r="C213">
            <v>823.32</v>
          </cell>
          <cell r="D213">
            <v>88.79</v>
          </cell>
          <cell r="E213">
            <v>90.7</v>
          </cell>
          <cell r="F213">
            <v>91.17</v>
          </cell>
          <cell r="G213">
            <v>86.4</v>
          </cell>
          <cell r="H213">
            <v>738.4</v>
          </cell>
          <cell r="I213">
            <v>75.28</v>
          </cell>
        </row>
        <row r="214">
          <cell r="A214">
            <v>32070</v>
          </cell>
          <cell r="B214">
            <v>736.76</v>
          </cell>
          <cell r="C214">
            <v>783.33</v>
          </cell>
          <cell r="D214">
            <v>81.650000000000006</v>
          </cell>
          <cell r="E214">
            <v>87</v>
          </cell>
          <cell r="F214">
            <v>87.28</v>
          </cell>
          <cell r="G214">
            <v>76.5</v>
          </cell>
          <cell r="H214">
            <v>685.31</v>
          </cell>
          <cell r="I214">
            <v>68.680000000000007</v>
          </cell>
        </row>
        <row r="215">
          <cell r="A215">
            <v>32071</v>
          </cell>
          <cell r="B215">
            <v>791.58</v>
          </cell>
          <cell r="C215">
            <v>831.37</v>
          </cell>
          <cell r="D215">
            <v>86.46</v>
          </cell>
          <cell r="E215">
            <v>91.18</v>
          </cell>
          <cell r="F215">
            <v>91.51</v>
          </cell>
          <cell r="G215">
            <v>81.790000000000006</v>
          </cell>
          <cell r="H215">
            <v>713.1</v>
          </cell>
          <cell r="I215">
            <v>71.930000000000007</v>
          </cell>
        </row>
        <row r="216">
          <cell r="A216">
            <v>32072</v>
          </cell>
          <cell r="B216">
            <v>756.19</v>
          </cell>
          <cell r="C216">
            <v>799.94</v>
          </cell>
          <cell r="D216">
            <v>82.75</v>
          </cell>
          <cell r="E216">
            <v>88.37</v>
          </cell>
          <cell r="F216">
            <v>88.38</v>
          </cell>
          <cell r="G216">
            <v>77.37</v>
          </cell>
          <cell r="H216">
            <v>698.36</v>
          </cell>
          <cell r="I216">
            <v>70.430000000000007</v>
          </cell>
        </row>
        <row r="217">
          <cell r="A217">
            <v>32073</v>
          </cell>
          <cell r="B217">
            <v>746.33</v>
          </cell>
          <cell r="C217">
            <v>788.59</v>
          </cell>
          <cell r="D217">
            <v>81.069999999999993</v>
          </cell>
          <cell r="E217">
            <v>86.91</v>
          </cell>
          <cell r="F217">
            <v>86.9</v>
          </cell>
          <cell r="G217">
            <v>75.540000000000006</v>
          </cell>
          <cell r="H217">
            <v>695.77</v>
          </cell>
          <cell r="I217">
            <v>69.95</v>
          </cell>
        </row>
        <row r="218">
          <cell r="A218">
            <v>32076</v>
          </cell>
          <cell r="B218">
            <v>701.3</v>
          </cell>
          <cell r="C218">
            <v>734.34</v>
          </cell>
          <cell r="D218">
            <v>75.63</v>
          </cell>
          <cell r="E218">
            <v>81.459999999999994</v>
          </cell>
          <cell r="F218">
            <v>81.14</v>
          </cell>
          <cell r="G218">
            <v>70.150000000000006</v>
          </cell>
          <cell r="H218">
            <v>656.39</v>
          </cell>
          <cell r="I218">
            <v>66.63</v>
          </cell>
        </row>
        <row r="219">
          <cell r="A219">
            <v>32077</v>
          </cell>
          <cell r="B219">
            <v>710.1</v>
          </cell>
          <cell r="C219">
            <v>741.49</v>
          </cell>
          <cell r="D219">
            <v>76.290000000000006</v>
          </cell>
          <cell r="E219">
            <v>81.66</v>
          </cell>
          <cell r="F219">
            <v>81.59</v>
          </cell>
          <cell r="G219">
            <v>71.180000000000007</v>
          </cell>
          <cell r="H219">
            <v>654.99</v>
          </cell>
          <cell r="I219">
            <v>66.33</v>
          </cell>
        </row>
        <row r="220">
          <cell r="A220">
            <v>32078</v>
          </cell>
          <cell r="B220">
            <v>683.57</v>
          </cell>
          <cell r="C220">
            <v>701.32</v>
          </cell>
          <cell r="D220">
            <v>73.16</v>
          </cell>
          <cell r="E220">
            <v>77.44</v>
          </cell>
          <cell r="F220">
            <v>77.41</v>
          </cell>
          <cell r="G220">
            <v>68.98</v>
          </cell>
          <cell r="H220">
            <v>623.03</v>
          </cell>
          <cell r="I220">
            <v>63.33</v>
          </cell>
        </row>
        <row r="221">
          <cell r="A221">
            <v>32079</v>
          </cell>
          <cell r="B221">
            <v>684.67</v>
          </cell>
          <cell r="C221">
            <v>691.31</v>
          </cell>
          <cell r="D221">
            <v>72.7</v>
          </cell>
          <cell r="E221">
            <v>75.709999999999994</v>
          </cell>
          <cell r="F221">
            <v>75.72</v>
          </cell>
          <cell r="G221">
            <v>69.56</v>
          </cell>
          <cell r="H221">
            <v>592.13</v>
          </cell>
          <cell r="I221">
            <v>60.25</v>
          </cell>
        </row>
        <row r="222">
          <cell r="A222">
            <v>32080</v>
          </cell>
          <cell r="B222">
            <v>719.78</v>
          </cell>
          <cell r="C222">
            <v>730.75</v>
          </cell>
          <cell r="D222">
            <v>76.319999999999993</v>
          </cell>
          <cell r="E222">
            <v>79.709999999999994</v>
          </cell>
          <cell r="F222">
            <v>79.739999999999995</v>
          </cell>
          <cell r="G222">
            <v>72.83</v>
          </cell>
          <cell r="H222">
            <v>627.08000000000004</v>
          </cell>
          <cell r="I222">
            <v>63.34</v>
          </cell>
        </row>
        <row r="223">
          <cell r="A223">
            <v>32083</v>
          </cell>
          <cell r="B223">
            <v>709.57</v>
          </cell>
          <cell r="C223">
            <v>725.43</v>
          </cell>
          <cell r="D223">
            <v>75.69</v>
          </cell>
          <cell r="E223">
            <v>79.38</v>
          </cell>
          <cell r="F223">
            <v>79.540000000000006</v>
          </cell>
          <cell r="G223">
            <v>71.97</v>
          </cell>
          <cell r="H223">
            <v>624.29999999999995</v>
          </cell>
          <cell r="I223">
            <v>63.22</v>
          </cell>
        </row>
        <row r="224">
          <cell r="A224">
            <v>32084</v>
          </cell>
          <cell r="B224">
            <v>688.03</v>
          </cell>
          <cell r="C224">
            <v>712.87</v>
          </cell>
          <cell r="D224">
            <v>73.650000000000006</v>
          </cell>
          <cell r="E224">
            <v>78.209999999999994</v>
          </cell>
          <cell r="F224">
            <v>78.19</v>
          </cell>
          <cell r="G224">
            <v>69.23</v>
          </cell>
          <cell r="H224">
            <v>612.78</v>
          </cell>
          <cell r="I224">
            <v>62.13</v>
          </cell>
        </row>
        <row r="225">
          <cell r="A225">
            <v>32085</v>
          </cell>
          <cell r="B225">
            <v>669.39</v>
          </cell>
          <cell r="C225">
            <v>689.49</v>
          </cell>
          <cell r="D225">
            <v>71.41</v>
          </cell>
          <cell r="E225">
            <v>75.91</v>
          </cell>
          <cell r="F225">
            <v>75.790000000000006</v>
          </cell>
          <cell r="G225">
            <v>67.069999999999993</v>
          </cell>
          <cell r="H225">
            <v>588.63</v>
          </cell>
          <cell r="I225">
            <v>59.91</v>
          </cell>
        </row>
        <row r="226">
          <cell r="A226">
            <v>32086</v>
          </cell>
          <cell r="B226">
            <v>670.9</v>
          </cell>
          <cell r="C226">
            <v>682.12</v>
          </cell>
          <cell r="D226">
            <v>71.5</v>
          </cell>
          <cell r="E226">
            <v>75.150000000000006</v>
          </cell>
          <cell r="F226">
            <v>74.97</v>
          </cell>
          <cell r="G226">
            <v>67.84</v>
          </cell>
          <cell r="H226">
            <v>582.57000000000005</v>
          </cell>
          <cell r="I226">
            <v>59.17</v>
          </cell>
        </row>
        <row r="227">
          <cell r="A227">
            <v>32087</v>
          </cell>
          <cell r="B227">
            <v>670.19</v>
          </cell>
          <cell r="C227">
            <v>683.04</v>
          </cell>
          <cell r="D227">
            <v>71.38</v>
          </cell>
          <cell r="E227">
            <v>75.17</v>
          </cell>
          <cell r="F227">
            <v>75.08</v>
          </cell>
          <cell r="G227">
            <v>67.62</v>
          </cell>
          <cell r="H227">
            <v>591.84</v>
          </cell>
          <cell r="I227">
            <v>60.13</v>
          </cell>
        </row>
        <row r="228">
          <cell r="A228">
            <v>32090</v>
          </cell>
          <cell r="B228">
            <v>643.72</v>
          </cell>
          <cell r="C228">
            <v>654.09</v>
          </cell>
          <cell r="D228">
            <v>68.959999999999994</v>
          </cell>
          <cell r="E228">
            <v>72.680000000000007</v>
          </cell>
          <cell r="F228">
            <v>72.569999999999993</v>
          </cell>
          <cell r="G228">
            <v>65.28</v>
          </cell>
          <cell r="H228">
            <v>568.74</v>
          </cell>
          <cell r="I228">
            <v>58.06</v>
          </cell>
        </row>
        <row r="229">
          <cell r="A229">
            <v>32091</v>
          </cell>
          <cell r="B229">
            <v>626.09</v>
          </cell>
          <cell r="C229">
            <v>615.9</v>
          </cell>
          <cell r="D229">
            <v>66.69</v>
          </cell>
          <cell r="E229">
            <v>68.55</v>
          </cell>
          <cell r="F229">
            <v>68.39</v>
          </cell>
          <cell r="G229">
            <v>64.55</v>
          </cell>
          <cell r="H229">
            <v>538.59</v>
          </cell>
          <cell r="I229">
            <v>55.33</v>
          </cell>
        </row>
        <row r="230">
          <cell r="A230">
            <v>32092</v>
          </cell>
          <cell r="B230">
            <v>645.11</v>
          </cell>
          <cell r="C230">
            <v>632.36</v>
          </cell>
          <cell r="D230">
            <v>68.760000000000005</v>
          </cell>
          <cell r="E230">
            <v>70.03</v>
          </cell>
          <cell r="F230">
            <v>70.09</v>
          </cell>
          <cell r="G230">
            <v>67.08</v>
          </cell>
          <cell r="H230">
            <v>536.87</v>
          </cell>
          <cell r="I230">
            <v>55.25</v>
          </cell>
        </row>
        <row r="231">
          <cell r="A231">
            <v>32093</v>
          </cell>
          <cell r="B231">
            <v>678.3</v>
          </cell>
          <cell r="C231">
            <v>676.32</v>
          </cell>
          <cell r="D231">
            <v>71.98</v>
          </cell>
          <cell r="E231">
            <v>74.010000000000005</v>
          </cell>
          <cell r="F231">
            <v>73.83</v>
          </cell>
          <cell r="G231">
            <v>69.650000000000006</v>
          </cell>
          <cell r="H231">
            <v>563.83000000000004</v>
          </cell>
          <cell r="I231">
            <v>57.39</v>
          </cell>
        </row>
        <row r="232">
          <cell r="A232">
            <v>32094</v>
          </cell>
          <cell r="B232">
            <v>671.29</v>
          </cell>
          <cell r="C232">
            <v>674.57</v>
          </cell>
          <cell r="D232">
            <v>71.73</v>
          </cell>
          <cell r="E232">
            <v>73.819999999999993</v>
          </cell>
          <cell r="F232">
            <v>74.05</v>
          </cell>
          <cell r="G232">
            <v>69.36</v>
          </cell>
          <cell r="H232">
            <v>589.91</v>
          </cell>
          <cell r="I232">
            <v>59.72</v>
          </cell>
        </row>
        <row r="233">
          <cell r="A233">
            <v>32097</v>
          </cell>
          <cell r="B233">
            <v>681.47</v>
          </cell>
          <cell r="C233">
            <v>694.95</v>
          </cell>
          <cell r="D233">
            <v>72.94</v>
          </cell>
          <cell r="E233">
            <v>75.989999999999995</v>
          </cell>
          <cell r="F233">
            <v>76.2</v>
          </cell>
          <cell r="G233">
            <v>69.77</v>
          </cell>
          <cell r="H233">
            <v>601.67999999999995</v>
          </cell>
          <cell r="I233">
            <v>60.9</v>
          </cell>
        </row>
        <row r="234">
          <cell r="A234">
            <v>32098</v>
          </cell>
          <cell r="B234">
            <v>666.88</v>
          </cell>
          <cell r="C234">
            <v>678.12</v>
          </cell>
          <cell r="D234">
            <v>71.62</v>
          </cell>
          <cell r="E234">
            <v>74.540000000000006</v>
          </cell>
          <cell r="F234">
            <v>74.64</v>
          </cell>
          <cell r="G234">
            <v>68.569999999999993</v>
          </cell>
          <cell r="H234">
            <v>591.21</v>
          </cell>
          <cell r="I234">
            <v>60.04</v>
          </cell>
        </row>
        <row r="235">
          <cell r="A235">
            <v>32099</v>
          </cell>
          <cell r="B235">
            <v>667.01</v>
          </cell>
          <cell r="C235">
            <v>676.37</v>
          </cell>
          <cell r="D235">
            <v>71.599999999999994</v>
          </cell>
          <cell r="E235">
            <v>74.319999999999993</v>
          </cell>
          <cell r="F235">
            <v>74.41</v>
          </cell>
          <cell r="G235">
            <v>68.709999999999994</v>
          </cell>
          <cell r="H235">
            <v>585.79</v>
          </cell>
          <cell r="I235">
            <v>59.58</v>
          </cell>
        </row>
        <row r="236">
          <cell r="A236">
            <v>32100</v>
          </cell>
          <cell r="B236">
            <v>657.61</v>
          </cell>
          <cell r="C236">
            <v>669.38</v>
          </cell>
          <cell r="D236">
            <v>70.61</v>
          </cell>
          <cell r="E236">
            <v>73.58</v>
          </cell>
          <cell r="F236">
            <v>73.569999999999993</v>
          </cell>
          <cell r="G236">
            <v>67.53</v>
          </cell>
          <cell r="H236">
            <v>570.84</v>
          </cell>
          <cell r="I236">
            <v>58.21</v>
          </cell>
        </row>
        <row r="237">
          <cell r="A237">
            <v>32101</v>
          </cell>
          <cell r="B237">
            <v>650.27</v>
          </cell>
          <cell r="C237">
            <v>653.27</v>
          </cell>
          <cell r="D237">
            <v>69.75</v>
          </cell>
          <cell r="E237">
            <v>71.87</v>
          </cell>
          <cell r="F237">
            <v>72.010000000000005</v>
          </cell>
          <cell r="G237">
            <v>67.38</v>
          </cell>
          <cell r="H237">
            <v>565.39</v>
          </cell>
          <cell r="I237">
            <v>57.51</v>
          </cell>
        </row>
        <row r="238">
          <cell r="A238">
            <v>32104</v>
          </cell>
          <cell r="B238">
            <v>654.41</v>
          </cell>
          <cell r="C238">
            <v>658.18</v>
          </cell>
          <cell r="D238">
            <v>70.23</v>
          </cell>
          <cell r="E238">
            <v>72.400000000000006</v>
          </cell>
          <cell r="F238">
            <v>72.42</v>
          </cell>
          <cell r="G238">
            <v>67.8</v>
          </cell>
          <cell r="H238">
            <v>582.86</v>
          </cell>
          <cell r="I238">
            <v>58.82</v>
          </cell>
        </row>
        <row r="239">
          <cell r="A239">
            <v>32105</v>
          </cell>
          <cell r="B239">
            <v>673.08</v>
          </cell>
          <cell r="C239">
            <v>676.14</v>
          </cell>
          <cell r="D239">
            <v>71.849999999999994</v>
          </cell>
          <cell r="E239">
            <v>74.23</v>
          </cell>
          <cell r="F239">
            <v>74.19</v>
          </cell>
          <cell r="G239">
            <v>69.239999999999995</v>
          </cell>
          <cell r="H239">
            <v>585.54999999999995</v>
          </cell>
          <cell r="I239">
            <v>59.24</v>
          </cell>
        </row>
        <row r="240">
          <cell r="A240">
            <v>32106</v>
          </cell>
          <cell r="B240">
            <v>665.87</v>
          </cell>
          <cell r="C240">
            <v>675.26</v>
          </cell>
          <cell r="D240">
            <v>71.41</v>
          </cell>
          <cell r="E240">
            <v>74.2</v>
          </cell>
          <cell r="F240">
            <v>74.150000000000006</v>
          </cell>
          <cell r="G240">
            <v>68.47</v>
          </cell>
          <cell r="H240">
            <v>589.69000000000005</v>
          </cell>
          <cell r="I240">
            <v>59.63</v>
          </cell>
        </row>
        <row r="241">
          <cell r="A241">
            <v>32107</v>
          </cell>
          <cell r="B241">
            <v>664.54</v>
          </cell>
          <cell r="C241">
            <v>671.13</v>
          </cell>
          <cell r="D241">
            <v>71.48</v>
          </cell>
          <cell r="E241">
            <v>74</v>
          </cell>
          <cell r="F241">
            <v>74.06</v>
          </cell>
          <cell r="G241">
            <v>68.760000000000005</v>
          </cell>
          <cell r="H241">
            <v>582.57000000000005</v>
          </cell>
          <cell r="I241">
            <v>59.08</v>
          </cell>
        </row>
        <row r="242">
          <cell r="A242">
            <v>32108</v>
          </cell>
          <cell r="B242">
            <v>663.35</v>
          </cell>
          <cell r="C242">
            <v>675.21</v>
          </cell>
          <cell r="D242">
            <v>71.510000000000005</v>
          </cell>
          <cell r="E242">
            <v>74.39</v>
          </cell>
          <cell r="F242">
            <v>74.34</v>
          </cell>
          <cell r="G242">
            <v>68.5</v>
          </cell>
          <cell r="H242">
            <v>579.58000000000004</v>
          </cell>
          <cell r="I242">
            <v>58.96</v>
          </cell>
        </row>
        <row r="243">
          <cell r="A243">
            <v>32111</v>
          </cell>
          <cell r="B243">
            <v>640.51</v>
          </cell>
          <cell r="C243">
            <v>658.03</v>
          </cell>
          <cell r="D243">
            <v>69.22</v>
          </cell>
          <cell r="E243">
            <v>72.790000000000006</v>
          </cell>
          <cell r="F243">
            <v>72.650000000000006</v>
          </cell>
          <cell r="G243">
            <v>65.64</v>
          </cell>
          <cell r="H243">
            <v>557.12</v>
          </cell>
          <cell r="I243">
            <v>56.97</v>
          </cell>
        </row>
        <row r="244">
          <cell r="A244">
            <v>32112</v>
          </cell>
          <cell r="B244">
            <v>638.76</v>
          </cell>
          <cell r="C244">
            <v>654.9</v>
          </cell>
          <cell r="D244">
            <v>68.959999999999994</v>
          </cell>
          <cell r="E244">
            <v>72.28</v>
          </cell>
          <cell r="F244">
            <v>72.19</v>
          </cell>
          <cell r="G244">
            <v>65.59</v>
          </cell>
          <cell r="H244">
            <v>554.21</v>
          </cell>
          <cell r="I244">
            <v>56.59</v>
          </cell>
        </row>
        <row r="245">
          <cell r="A245">
            <v>32113</v>
          </cell>
          <cell r="B245">
            <v>639.85</v>
          </cell>
          <cell r="C245">
            <v>655.07000000000005</v>
          </cell>
          <cell r="D245">
            <v>69.209999999999994</v>
          </cell>
          <cell r="E245">
            <v>72.319999999999993</v>
          </cell>
          <cell r="F245">
            <v>72.180000000000007</v>
          </cell>
          <cell r="G245">
            <v>66.02</v>
          </cell>
          <cell r="H245">
            <v>548.74</v>
          </cell>
          <cell r="I245">
            <v>56.17</v>
          </cell>
        </row>
        <row r="246">
          <cell r="A246">
            <v>32114</v>
          </cell>
          <cell r="B246">
            <v>636.72</v>
          </cell>
          <cell r="C246">
            <v>650.91999999999996</v>
          </cell>
          <cell r="D246">
            <v>68.86</v>
          </cell>
          <cell r="E246">
            <v>71.84</v>
          </cell>
          <cell r="F246">
            <v>71.72</v>
          </cell>
          <cell r="G246">
            <v>65.78</v>
          </cell>
          <cell r="H246">
            <v>556.91</v>
          </cell>
          <cell r="I246">
            <v>56.69</v>
          </cell>
        </row>
        <row r="247">
          <cell r="A247">
            <v>32115</v>
          </cell>
          <cell r="B247">
            <v>628.76</v>
          </cell>
          <cell r="C247">
            <v>635.83000000000004</v>
          </cell>
          <cell r="D247">
            <v>67.930000000000007</v>
          </cell>
          <cell r="E247">
            <v>70.19</v>
          </cell>
          <cell r="F247">
            <v>70.010000000000005</v>
          </cell>
          <cell r="G247">
            <v>65.45</v>
          </cell>
          <cell r="H247">
            <v>551.66999999999996</v>
          </cell>
          <cell r="I247">
            <v>56.15</v>
          </cell>
        </row>
        <row r="248">
          <cell r="A248">
            <v>32118</v>
          </cell>
          <cell r="B248">
            <v>629.55999999999995</v>
          </cell>
          <cell r="C248">
            <v>634.13</v>
          </cell>
          <cell r="D248">
            <v>67.98</v>
          </cell>
          <cell r="E248">
            <v>69.75</v>
          </cell>
          <cell r="F248">
            <v>69.650000000000006</v>
          </cell>
          <cell r="G248">
            <v>65.91</v>
          </cell>
          <cell r="H248">
            <v>558.21</v>
          </cell>
          <cell r="I248">
            <v>56.56</v>
          </cell>
        </row>
        <row r="249">
          <cell r="A249">
            <v>32119</v>
          </cell>
          <cell r="B249">
            <v>635.58000000000004</v>
          </cell>
          <cell r="C249">
            <v>638.17999999999995</v>
          </cell>
          <cell r="D249">
            <v>68.69</v>
          </cell>
          <cell r="E249">
            <v>70.09</v>
          </cell>
          <cell r="F249">
            <v>70.05</v>
          </cell>
          <cell r="G249">
            <v>66.930000000000007</v>
          </cell>
          <cell r="H249">
            <v>564.16</v>
          </cell>
          <cell r="I249">
            <v>57.14</v>
          </cell>
        </row>
        <row r="250">
          <cell r="A250">
            <v>32120</v>
          </cell>
          <cell r="B250">
            <v>640.5</v>
          </cell>
          <cell r="C250">
            <v>640.49</v>
          </cell>
          <cell r="D250">
            <v>69.14</v>
          </cell>
          <cell r="E250">
            <v>70.3</v>
          </cell>
          <cell r="F250">
            <v>70.27</v>
          </cell>
          <cell r="G250">
            <v>67.58</v>
          </cell>
          <cell r="H250">
            <v>563.36</v>
          </cell>
          <cell r="I250">
            <v>57.15</v>
          </cell>
        </row>
        <row r="251">
          <cell r="A251">
            <v>32121</v>
          </cell>
          <cell r="B251">
            <v>637.79</v>
          </cell>
          <cell r="C251">
            <v>641.11</v>
          </cell>
          <cell r="D251">
            <v>68.930000000000007</v>
          </cell>
          <cell r="E251">
            <v>70.45</v>
          </cell>
          <cell r="F251">
            <v>70.53</v>
          </cell>
          <cell r="G251">
            <v>67.06</v>
          </cell>
          <cell r="H251">
            <v>567.11</v>
          </cell>
          <cell r="I251">
            <v>57.41</v>
          </cell>
        </row>
        <row r="252">
          <cell r="A252">
            <v>32122</v>
          </cell>
          <cell r="B252">
            <v>639.54</v>
          </cell>
          <cell r="C252">
            <v>636.25</v>
          </cell>
          <cell r="D252">
            <v>69.23</v>
          </cell>
          <cell r="E252">
            <v>69.900000000000006</v>
          </cell>
          <cell r="F252">
            <v>69.849999999999994</v>
          </cell>
          <cell r="G252">
            <v>68.06</v>
          </cell>
          <cell r="H252">
            <v>554.24</v>
          </cell>
          <cell r="I252">
            <v>56.21</v>
          </cell>
        </row>
        <row r="253">
          <cell r="A253">
            <v>32125</v>
          </cell>
          <cell r="B253">
            <v>641.03</v>
          </cell>
          <cell r="C253">
            <v>639.66999999999996</v>
          </cell>
          <cell r="D253">
            <v>69.48</v>
          </cell>
          <cell r="E253">
            <v>70.39</v>
          </cell>
          <cell r="F253">
            <v>70.31</v>
          </cell>
          <cell r="G253">
            <v>68.11</v>
          </cell>
          <cell r="H253">
            <v>557.19000000000005</v>
          </cell>
          <cell r="I253">
            <v>56.46</v>
          </cell>
        </row>
        <row r="254">
          <cell r="A254">
            <v>32126</v>
          </cell>
          <cell r="B254">
            <v>646.98</v>
          </cell>
          <cell r="C254">
            <v>648.78</v>
          </cell>
          <cell r="D254">
            <v>70.290000000000006</v>
          </cell>
          <cell r="E254">
            <v>71.319999999999993</v>
          </cell>
          <cell r="F254">
            <v>71.22</v>
          </cell>
          <cell r="G254">
            <v>68.819999999999993</v>
          </cell>
          <cell r="H254">
            <v>563.01</v>
          </cell>
          <cell r="I254">
            <v>57</v>
          </cell>
        </row>
        <row r="255">
          <cell r="A255">
            <v>32127</v>
          </cell>
          <cell r="B255">
            <v>655.30999999999995</v>
          </cell>
          <cell r="C255">
            <v>661.4</v>
          </cell>
          <cell r="D255">
            <v>71.430000000000007</v>
          </cell>
          <cell r="E255">
            <v>72.89</v>
          </cell>
          <cell r="F255">
            <v>72.64</v>
          </cell>
          <cell r="G255">
            <v>69.58</v>
          </cell>
          <cell r="H255">
            <v>566.59</v>
          </cell>
          <cell r="I255">
            <v>57.24</v>
          </cell>
        </row>
        <row r="256">
          <cell r="A256">
            <v>32128</v>
          </cell>
          <cell r="B256">
            <v>657.94</v>
          </cell>
          <cell r="C256">
            <v>663.47</v>
          </cell>
          <cell r="D256">
            <v>71.95</v>
          </cell>
          <cell r="E256">
            <v>73.150000000000006</v>
          </cell>
          <cell r="F256">
            <v>72.97</v>
          </cell>
          <cell r="G256">
            <v>70.319999999999993</v>
          </cell>
          <cell r="H256">
            <v>580.79999999999995</v>
          </cell>
          <cell r="I256">
            <v>58.44</v>
          </cell>
        </row>
        <row r="257">
          <cell r="A257">
            <v>32129</v>
          </cell>
          <cell r="B257">
            <v>658.1</v>
          </cell>
          <cell r="C257">
            <v>658.56</v>
          </cell>
          <cell r="D257">
            <v>71.94</v>
          </cell>
          <cell r="E257">
            <v>72.56</v>
          </cell>
          <cell r="F257">
            <v>72.38</v>
          </cell>
          <cell r="G257">
            <v>70.790000000000006</v>
          </cell>
          <cell r="H257">
            <v>579.25</v>
          </cell>
          <cell r="I257">
            <v>58.38</v>
          </cell>
        </row>
        <row r="258">
          <cell r="A258">
            <v>32132</v>
          </cell>
          <cell r="B258">
            <v>668.95</v>
          </cell>
          <cell r="C258">
            <v>665.5</v>
          </cell>
          <cell r="D258">
            <v>72.92</v>
          </cell>
          <cell r="E258">
            <v>73.17</v>
          </cell>
          <cell r="F258">
            <v>73.08</v>
          </cell>
          <cell r="G258">
            <v>72.069999999999993</v>
          </cell>
          <cell r="H258">
            <v>583.07000000000005</v>
          </cell>
          <cell r="I258">
            <v>58.74</v>
          </cell>
        </row>
        <row r="259">
          <cell r="A259">
            <v>32133</v>
          </cell>
          <cell r="B259">
            <v>669.92</v>
          </cell>
          <cell r="C259">
            <v>667.53</v>
          </cell>
          <cell r="D259">
            <v>72.989999999999995</v>
          </cell>
          <cell r="E259">
            <v>73.37</v>
          </cell>
          <cell r="F259">
            <v>73.290000000000006</v>
          </cell>
          <cell r="G259">
            <v>72.03</v>
          </cell>
          <cell r="H259">
            <v>581.16999999999996</v>
          </cell>
          <cell r="I259">
            <v>58.57</v>
          </cell>
        </row>
        <row r="260">
          <cell r="A260">
            <v>32134</v>
          </cell>
          <cell r="B260">
            <v>678.3</v>
          </cell>
          <cell r="C260">
            <v>672.74</v>
          </cell>
          <cell r="D260">
            <v>73.73</v>
          </cell>
          <cell r="E260">
            <v>73.89</v>
          </cell>
          <cell r="F260">
            <v>73.77</v>
          </cell>
          <cell r="G260">
            <v>72.95</v>
          </cell>
          <cell r="H260">
            <v>581.47</v>
          </cell>
          <cell r="I260">
            <v>58.51</v>
          </cell>
        </row>
        <row r="261">
          <cell r="A261">
            <v>32135</v>
          </cell>
          <cell r="B261">
            <v>679.3</v>
          </cell>
          <cell r="C261">
            <v>671.57</v>
          </cell>
          <cell r="D261">
            <v>73.849999999999994</v>
          </cell>
          <cell r="E261">
            <v>73.650000000000006</v>
          </cell>
          <cell r="F261">
            <v>73.53</v>
          </cell>
          <cell r="G261">
            <v>73.37</v>
          </cell>
          <cell r="H261">
            <v>576.5</v>
          </cell>
          <cell r="I261">
            <v>58.05</v>
          </cell>
        </row>
        <row r="262">
          <cell r="A262">
            <v>32136</v>
          </cell>
          <cell r="B262">
            <v>679.3</v>
          </cell>
          <cell r="C262">
            <v>671.57</v>
          </cell>
          <cell r="D262">
            <v>73.84</v>
          </cell>
          <cell r="E262">
            <v>73.61</v>
          </cell>
          <cell r="F262">
            <v>73.5</v>
          </cell>
          <cell r="G262">
            <v>73.37</v>
          </cell>
          <cell r="H262">
            <v>576.5</v>
          </cell>
          <cell r="I262">
            <v>58.05</v>
          </cell>
        </row>
        <row r="263">
          <cell r="A263">
            <v>32139</v>
          </cell>
          <cell r="B263">
            <v>680.28</v>
          </cell>
          <cell r="C263">
            <v>663.68</v>
          </cell>
          <cell r="D263">
            <v>74.069999999999993</v>
          </cell>
          <cell r="E263">
            <v>73.02</v>
          </cell>
          <cell r="F263">
            <v>72.98</v>
          </cell>
          <cell r="G263">
            <v>74.28</v>
          </cell>
          <cell r="H263">
            <v>579.52</v>
          </cell>
          <cell r="I263">
            <v>58.45</v>
          </cell>
        </row>
        <row r="264">
          <cell r="A264">
            <v>32140</v>
          </cell>
          <cell r="B264">
            <v>658.14</v>
          </cell>
          <cell r="C264">
            <v>651.88</v>
          </cell>
          <cell r="D264">
            <v>71.739999999999995</v>
          </cell>
          <cell r="E264">
            <v>71.66</v>
          </cell>
          <cell r="F264">
            <v>71.64</v>
          </cell>
          <cell r="G264">
            <v>71.17</v>
          </cell>
          <cell r="H264">
            <v>567.13</v>
          </cell>
          <cell r="I264">
            <v>57.34</v>
          </cell>
        </row>
        <row r="265">
          <cell r="A265">
            <v>32141</v>
          </cell>
          <cell r="B265">
            <v>664.83</v>
          </cell>
          <cell r="C265">
            <v>656.14</v>
          </cell>
          <cell r="D265">
            <v>72.56</v>
          </cell>
          <cell r="E265">
            <v>72.08</v>
          </cell>
          <cell r="F265">
            <v>72.02</v>
          </cell>
          <cell r="G265">
            <v>72.31</v>
          </cell>
          <cell r="H265">
            <v>571.66</v>
          </cell>
          <cell r="I265">
            <v>57.72</v>
          </cell>
        </row>
        <row r="266">
          <cell r="A266">
            <v>32142</v>
          </cell>
          <cell r="B266">
            <v>651.26</v>
          </cell>
          <cell r="C266">
            <v>648.13</v>
          </cell>
          <cell r="D266">
            <v>71.099999999999994</v>
          </cell>
          <cell r="E266">
            <v>71.22</v>
          </cell>
          <cell r="F266">
            <v>71.23</v>
          </cell>
          <cell r="G266">
            <v>70.36</v>
          </cell>
          <cell r="H266">
            <v>565.36</v>
          </cell>
          <cell r="I266">
            <v>57.11</v>
          </cell>
        </row>
        <row r="267">
          <cell r="A267">
            <v>32143</v>
          </cell>
          <cell r="B267">
            <v>651.26</v>
          </cell>
          <cell r="C267">
            <v>648.32000000000005</v>
          </cell>
          <cell r="D267">
            <v>71.099999999999994</v>
          </cell>
          <cell r="E267">
            <v>71.23</v>
          </cell>
          <cell r="F267">
            <v>71.23</v>
          </cell>
          <cell r="G267">
            <v>70.36</v>
          </cell>
          <cell r="H267">
            <v>565.36</v>
          </cell>
          <cell r="I267">
            <v>57.11</v>
          </cell>
        </row>
        <row r="268">
          <cell r="A268">
            <v>32146</v>
          </cell>
          <cell r="B268">
            <v>649.07000000000005</v>
          </cell>
          <cell r="C268">
            <v>633.29999999999995</v>
          </cell>
          <cell r="D268">
            <v>70.86</v>
          </cell>
          <cell r="E268">
            <v>69.650000000000006</v>
          </cell>
          <cell r="F268">
            <v>69.67</v>
          </cell>
          <cell r="G268">
            <v>71.23</v>
          </cell>
          <cell r="H268">
            <v>562.55999999999995</v>
          </cell>
          <cell r="I268">
            <v>56.86</v>
          </cell>
        </row>
        <row r="269">
          <cell r="A269">
            <v>32147</v>
          </cell>
          <cell r="B269">
            <v>670.22</v>
          </cell>
          <cell r="C269">
            <v>658.48</v>
          </cell>
          <cell r="D269">
            <v>72.94</v>
          </cell>
          <cell r="E269">
            <v>72.05</v>
          </cell>
          <cell r="F269">
            <v>72.13</v>
          </cell>
          <cell r="G269">
            <v>73.03</v>
          </cell>
          <cell r="H269">
            <v>587.14</v>
          </cell>
          <cell r="I269">
            <v>58.88</v>
          </cell>
        </row>
        <row r="270">
          <cell r="A270">
            <v>32148</v>
          </cell>
          <cell r="B270">
            <v>676.42</v>
          </cell>
          <cell r="C270">
            <v>665.43</v>
          </cell>
          <cell r="D270">
            <v>73.400000000000006</v>
          </cell>
          <cell r="E270">
            <v>72.77</v>
          </cell>
          <cell r="F270">
            <v>72.92</v>
          </cell>
          <cell r="G270">
            <v>73.260000000000005</v>
          </cell>
          <cell r="H270">
            <v>591.15</v>
          </cell>
          <cell r="I270">
            <v>59.36</v>
          </cell>
        </row>
        <row r="271">
          <cell r="A271">
            <v>32149</v>
          </cell>
          <cell r="B271">
            <v>677.95</v>
          </cell>
          <cell r="C271">
            <v>669.13</v>
          </cell>
          <cell r="D271">
            <v>73.62</v>
          </cell>
          <cell r="E271">
            <v>73.2</v>
          </cell>
          <cell r="F271">
            <v>73.28</v>
          </cell>
          <cell r="G271">
            <v>73.31</v>
          </cell>
          <cell r="H271">
            <v>600.69000000000005</v>
          </cell>
          <cell r="I271">
            <v>60.37</v>
          </cell>
        </row>
        <row r="272">
          <cell r="A272">
            <v>32150</v>
          </cell>
          <cell r="B272">
            <v>679.6</v>
          </cell>
          <cell r="C272">
            <v>674.72</v>
          </cell>
          <cell r="D272">
            <v>73.709999999999994</v>
          </cell>
          <cell r="E272">
            <v>73.66</v>
          </cell>
          <cell r="F272">
            <v>73.75</v>
          </cell>
          <cell r="G272">
            <v>73.099999999999994</v>
          </cell>
          <cell r="H272">
            <v>597.41</v>
          </cell>
          <cell r="I272">
            <v>60.23</v>
          </cell>
        </row>
        <row r="273">
          <cell r="A273">
            <v>32153</v>
          </cell>
          <cell r="B273">
            <v>661.54</v>
          </cell>
          <cell r="C273">
            <v>650.12</v>
          </cell>
          <cell r="D273">
            <v>72.069999999999993</v>
          </cell>
          <cell r="E273">
            <v>71.36</v>
          </cell>
          <cell r="F273">
            <v>71.34</v>
          </cell>
          <cell r="G273">
            <v>72.02</v>
          </cell>
          <cell r="H273">
            <v>583.07000000000005</v>
          </cell>
          <cell r="I273">
            <v>58.96</v>
          </cell>
        </row>
        <row r="274">
          <cell r="A274">
            <v>32154</v>
          </cell>
          <cell r="B274">
            <v>656.34</v>
          </cell>
          <cell r="C274">
            <v>649.16</v>
          </cell>
          <cell r="D274">
            <v>71.72</v>
          </cell>
          <cell r="E274">
            <v>71.33</v>
          </cell>
          <cell r="F274">
            <v>71.39</v>
          </cell>
          <cell r="G274">
            <v>71.41</v>
          </cell>
          <cell r="H274">
            <v>586.58000000000004</v>
          </cell>
          <cell r="I274">
            <v>59.08</v>
          </cell>
        </row>
        <row r="275">
          <cell r="A275">
            <v>32155</v>
          </cell>
          <cell r="B275">
            <v>651.89</v>
          </cell>
          <cell r="C275">
            <v>639.19000000000005</v>
          </cell>
          <cell r="D275">
            <v>71.069999999999993</v>
          </cell>
          <cell r="E275">
            <v>70.260000000000005</v>
          </cell>
          <cell r="F275">
            <v>70.27</v>
          </cell>
          <cell r="G275">
            <v>71.11</v>
          </cell>
          <cell r="H275">
            <v>580.73</v>
          </cell>
          <cell r="I275">
            <v>58.63</v>
          </cell>
        </row>
        <row r="276">
          <cell r="A276">
            <v>32156</v>
          </cell>
          <cell r="B276">
            <v>654.70000000000005</v>
          </cell>
          <cell r="C276">
            <v>642.67999999999995</v>
          </cell>
          <cell r="D276">
            <v>71.319999999999993</v>
          </cell>
          <cell r="E276">
            <v>70.48</v>
          </cell>
          <cell r="F276">
            <v>70.489999999999995</v>
          </cell>
          <cell r="G276">
            <v>71.39</v>
          </cell>
          <cell r="H276">
            <v>580.36</v>
          </cell>
          <cell r="I276">
            <v>58.64</v>
          </cell>
        </row>
        <row r="277">
          <cell r="A277">
            <v>32157</v>
          </cell>
          <cell r="B277">
            <v>664.7</v>
          </cell>
          <cell r="C277">
            <v>645.79</v>
          </cell>
          <cell r="D277">
            <v>72.25</v>
          </cell>
          <cell r="E277">
            <v>70.7</v>
          </cell>
          <cell r="F277">
            <v>70.7</v>
          </cell>
          <cell r="G277">
            <v>72.900000000000006</v>
          </cell>
          <cell r="H277">
            <v>585.36</v>
          </cell>
          <cell r="I277">
            <v>59.07</v>
          </cell>
        </row>
        <row r="278">
          <cell r="A278">
            <v>32160</v>
          </cell>
          <cell r="B278">
            <v>674.27</v>
          </cell>
          <cell r="C278">
            <v>661.85</v>
          </cell>
          <cell r="D278">
            <v>73.209999999999994</v>
          </cell>
          <cell r="E278">
            <v>72.38</v>
          </cell>
          <cell r="F278">
            <v>72.44</v>
          </cell>
          <cell r="G278">
            <v>73.25</v>
          </cell>
          <cell r="H278">
            <v>596.75</v>
          </cell>
          <cell r="I278">
            <v>60.16</v>
          </cell>
        </row>
        <row r="279">
          <cell r="A279">
            <v>32161</v>
          </cell>
          <cell r="B279">
            <v>662.58</v>
          </cell>
          <cell r="C279">
            <v>648.62</v>
          </cell>
          <cell r="D279">
            <v>72.31</v>
          </cell>
          <cell r="E279">
            <v>71.3</v>
          </cell>
          <cell r="F279">
            <v>71.459999999999994</v>
          </cell>
          <cell r="G279">
            <v>72.52</v>
          </cell>
          <cell r="H279">
            <v>597.05999999999995</v>
          </cell>
          <cell r="I279">
            <v>60.19</v>
          </cell>
        </row>
        <row r="280">
          <cell r="A280">
            <v>32162</v>
          </cell>
          <cell r="B280">
            <v>654.36</v>
          </cell>
          <cell r="C280">
            <v>638.35</v>
          </cell>
          <cell r="D280">
            <v>71.52</v>
          </cell>
          <cell r="E280">
            <v>70.239999999999995</v>
          </cell>
          <cell r="F280">
            <v>70.489999999999995</v>
          </cell>
          <cell r="G280">
            <v>71.94</v>
          </cell>
          <cell r="H280">
            <v>597.48</v>
          </cell>
          <cell r="I280">
            <v>60.25</v>
          </cell>
        </row>
        <row r="281">
          <cell r="A281">
            <v>32163</v>
          </cell>
          <cell r="B281">
            <v>651.36</v>
          </cell>
          <cell r="C281">
            <v>633.54</v>
          </cell>
          <cell r="D281">
            <v>71.2</v>
          </cell>
          <cell r="E281">
            <v>69.540000000000006</v>
          </cell>
          <cell r="F281">
            <v>69.87</v>
          </cell>
          <cell r="G281">
            <v>71.95</v>
          </cell>
          <cell r="H281">
            <v>599.79999999999995</v>
          </cell>
          <cell r="I281">
            <v>60.46</v>
          </cell>
        </row>
        <row r="282">
          <cell r="A282">
            <v>32164</v>
          </cell>
          <cell r="B282">
            <v>656.89</v>
          </cell>
          <cell r="C282">
            <v>635.91</v>
          </cell>
          <cell r="D282">
            <v>71.7</v>
          </cell>
          <cell r="E282">
            <v>69.73</v>
          </cell>
          <cell r="F282">
            <v>70.150000000000006</v>
          </cell>
          <cell r="G282">
            <v>72.7</v>
          </cell>
          <cell r="H282">
            <v>610.95000000000005</v>
          </cell>
          <cell r="I282">
            <v>61.36</v>
          </cell>
        </row>
        <row r="283">
          <cell r="A283">
            <v>32167</v>
          </cell>
          <cell r="B283">
            <v>655.24</v>
          </cell>
          <cell r="C283">
            <v>636.19000000000005</v>
          </cell>
          <cell r="D283">
            <v>71.61</v>
          </cell>
          <cell r="E283">
            <v>69.77</v>
          </cell>
          <cell r="F283">
            <v>70.290000000000006</v>
          </cell>
          <cell r="G283">
            <v>72.510000000000005</v>
          </cell>
          <cell r="H283">
            <v>618.48</v>
          </cell>
          <cell r="I283">
            <v>62.16</v>
          </cell>
        </row>
        <row r="284">
          <cell r="A284">
            <v>32168</v>
          </cell>
          <cell r="B284">
            <v>656.28</v>
          </cell>
          <cell r="C284">
            <v>640.17999999999995</v>
          </cell>
          <cell r="D284">
            <v>71.72</v>
          </cell>
          <cell r="E284">
            <v>70.069999999999993</v>
          </cell>
          <cell r="F284">
            <v>70.52</v>
          </cell>
          <cell r="G284">
            <v>72.459999999999994</v>
          </cell>
          <cell r="H284">
            <v>623.71</v>
          </cell>
          <cell r="I284">
            <v>62.54</v>
          </cell>
        </row>
        <row r="285">
          <cell r="A285">
            <v>32169</v>
          </cell>
          <cell r="B285">
            <v>655.56</v>
          </cell>
          <cell r="C285">
            <v>637.47</v>
          </cell>
          <cell r="D285">
            <v>71.599999999999994</v>
          </cell>
          <cell r="E285">
            <v>69.739999999999995</v>
          </cell>
          <cell r="F285">
            <v>70.17</v>
          </cell>
          <cell r="G285">
            <v>72.510000000000005</v>
          </cell>
          <cell r="H285">
            <v>617.94000000000005</v>
          </cell>
          <cell r="I285">
            <v>62.07</v>
          </cell>
        </row>
        <row r="286">
          <cell r="A286">
            <v>32170</v>
          </cell>
          <cell r="B286">
            <v>657.59</v>
          </cell>
          <cell r="C286">
            <v>633.5</v>
          </cell>
          <cell r="D286">
            <v>71.739999999999995</v>
          </cell>
          <cell r="E286">
            <v>69.19</v>
          </cell>
          <cell r="F286">
            <v>69.72</v>
          </cell>
          <cell r="G286">
            <v>73.22</v>
          </cell>
          <cell r="H286">
            <v>621.65</v>
          </cell>
          <cell r="I286">
            <v>62.44</v>
          </cell>
        </row>
        <row r="287">
          <cell r="A287">
            <v>32171</v>
          </cell>
          <cell r="B287">
            <v>660.28</v>
          </cell>
          <cell r="C287">
            <v>635.95000000000005</v>
          </cell>
          <cell r="D287">
            <v>72</v>
          </cell>
          <cell r="E287">
            <v>69.400000000000006</v>
          </cell>
          <cell r="F287">
            <v>70.010000000000005</v>
          </cell>
          <cell r="G287">
            <v>73.540000000000006</v>
          </cell>
          <cell r="H287">
            <v>633.04999999999995</v>
          </cell>
          <cell r="I287">
            <v>63.44</v>
          </cell>
        </row>
        <row r="288">
          <cell r="A288">
            <v>32174</v>
          </cell>
          <cell r="B288">
            <v>659.42</v>
          </cell>
          <cell r="C288">
            <v>639.49</v>
          </cell>
          <cell r="D288">
            <v>71.790000000000006</v>
          </cell>
          <cell r="E288">
            <v>69.62</v>
          </cell>
          <cell r="F288">
            <v>70.27</v>
          </cell>
          <cell r="G288">
            <v>72.959999999999994</v>
          </cell>
          <cell r="H288">
            <v>631.44000000000005</v>
          </cell>
          <cell r="I288">
            <v>63.32</v>
          </cell>
        </row>
        <row r="289">
          <cell r="A289">
            <v>32175</v>
          </cell>
          <cell r="B289">
            <v>657.2</v>
          </cell>
          <cell r="C289">
            <v>638.99</v>
          </cell>
          <cell r="D289">
            <v>71.63</v>
          </cell>
          <cell r="E289">
            <v>69.489999999999995</v>
          </cell>
          <cell r="F289">
            <v>70.11</v>
          </cell>
          <cell r="G289">
            <v>72.78</v>
          </cell>
          <cell r="H289">
            <v>625.87</v>
          </cell>
          <cell r="I289">
            <v>62.89</v>
          </cell>
        </row>
        <row r="290">
          <cell r="A290">
            <v>32176</v>
          </cell>
          <cell r="B290">
            <v>658.57</v>
          </cell>
          <cell r="C290">
            <v>644.82000000000005</v>
          </cell>
          <cell r="D290">
            <v>71.84</v>
          </cell>
          <cell r="E290">
            <v>69.959999999999994</v>
          </cell>
          <cell r="F290">
            <v>70.58</v>
          </cell>
          <cell r="G290">
            <v>72.78</v>
          </cell>
          <cell r="H290">
            <v>634.58000000000004</v>
          </cell>
          <cell r="I290">
            <v>63.51</v>
          </cell>
        </row>
        <row r="291">
          <cell r="A291">
            <v>32177</v>
          </cell>
          <cell r="B291">
            <v>662.93</v>
          </cell>
          <cell r="C291">
            <v>653.51</v>
          </cell>
          <cell r="D291">
            <v>72.2</v>
          </cell>
          <cell r="E291">
            <v>70.62</v>
          </cell>
          <cell r="F291">
            <v>71.22</v>
          </cell>
          <cell r="G291">
            <v>72.87</v>
          </cell>
          <cell r="H291">
            <v>641.37</v>
          </cell>
          <cell r="I291">
            <v>64.03</v>
          </cell>
        </row>
        <row r="292">
          <cell r="A292">
            <v>32178</v>
          </cell>
          <cell r="B292">
            <v>660.05</v>
          </cell>
          <cell r="C292">
            <v>655.59</v>
          </cell>
          <cell r="D292">
            <v>71.95</v>
          </cell>
          <cell r="E292">
            <v>70.92</v>
          </cell>
          <cell r="F292">
            <v>71.569999999999993</v>
          </cell>
          <cell r="G292">
            <v>72.16</v>
          </cell>
          <cell r="H292">
            <v>648.12</v>
          </cell>
          <cell r="I292">
            <v>64.52</v>
          </cell>
        </row>
        <row r="293">
          <cell r="A293">
            <v>32181</v>
          </cell>
          <cell r="B293">
            <v>655.25</v>
          </cell>
          <cell r="C293">
            <v>660.39</v>
          </cell>
          <cell r="D293">
            <v>71.319999999999993</v>
          </cell>
          <cell r="E293">
            <v>71.25</v>
          </cell>
          <cell r="F293">
            <v>71.900000000000006</v>
          </cell>
          <cell r="G293">
            <v>70.73</v>
          </cell>
          <cell r="H293">
            <v>649.37</v>
          </cell>
          <cell r="I293">
            <v>64.69</v>
          </cell>
        </row>
        <row r="294">
          <cell r="A294">
            <v>32182</v>
          </cell>
          <cell r="B294">
            <v>650.01</v>
          </cell>
          <cell r="C294">
            <v>652.07000000000005</v>
          </cell>
          <cell r="D294">
            <v>70.8</v>
          </cell>
          <cell r="E294">
            <v>70.42</v>
          </cell>
          <cell r="F294">
            <v>71.010000000000005</v>
          </cell>
          <cell r="G294">
            <v>70.48</v>
          </cell>
          <cell r="H294">
            <v>640.72</v>
          </cell>
          <cell r="I294">
            <v>63.84</v>
          </cell>
        </row>
        <row r="295">
          <cell r="A295">
            <v>32183</v>
          </cell>
          <cell r="B295">
            <v>658.68</v>
          </cell>
          <cell r="C295">
            <v>658.26</v>
          </cell>
          <cell r="D295">
            <v>71.48</v>
          </cell>
          <cell r="E295">
            <v>70.97</v>
          </cell>
          <cell r="F295">
            <v>71.489999999999995</v>
          </cell>
          <cell r="G295">
            <v>71.27</v>
          </cell>
          <cell r="H295">
            <v>644.63</v>
          </cell>
          <cell r="I295">
            <v>64.09</v>
          </cell>
        </row>
        <row r="296">
          <cell r="A296">
            <v>32184</v>
          </cell>
          <cell r="B296">
            <v>668.68</v>
          </cell>
          <cell r="C296">
            <v>673</v>
          </cell>
          <cell r="D296">
            <v>72.400000000000006</v>
          </cell>
          <cell r="E296">
            <v>72.37</v>
          </cell>
          <cell r="F296">
            <v>72.84</v>
          </cell>
          <cell r="G296">
            <v>71.78</v>
          </cell>
          <cell r="H296">
            <v>652.54999999999995</v>
          </cell>
          <cell r="I296">
            <v>64.84</v>
          </cell>
        </row>
        <row r="297">
          <cell r="A297">
            <v>32185</v>
          </cell>
          <cell r="B297">
            <v>672.36</v>
          </cell>
          <cell r="C297">
            <v>678.61</v>
          </cell>
          <cell r="D297">
            <v>72.8</v>
          </cell>
          <cell r="E297">
            <v>72.900000000000006</v>
          </cell>
          <cell r="F297">
            <v>73.28</v>
          </cell>
          <cell r="G297">
            <v>72.06</v>
          </cell>
          <cell r="H297">
            <v>653.38</v>
          </cell>
          <cell r="I297">
            <v>64.930000000000007</v>
          </cell>
        </row>
        <row r="298">
          <cell r="A298">
            <v>32188</v>
          </cell>
          <cell r="B298">
            <v>676.67</v>
          </cell>
          <cell r="C298">
            <v>686.68</v>
          </cell>
          <cell r="D298">
            <v>73.37</v>
          </cell>
          <cell r="E298">
            <v>73.849999999999994</v>
          </cell>
          <cell r="F298">
            <v>74.23</v>
          </cell>
          <cell r="G298">
            <v>72.319999999999993</v>
          </cell>
          <cell r="H298">
            <v>657.93</v>
          </cell>
          <cell r="I298">
            <v>65.41</v>
          </cell>
        </row>
        <row r="299">
          <cell r="A299">
            <v>32189</v>
          </cell>
          <cell r="B299">
            <v>676.17</v>
          </cell>
          <cell r="C299">
            <v>688.36</v>
          </cell>
          <cell r="D299">
            <v>73.41</v>
          </cell>
          <cell r="E299">
            <v>74.02</v>
          </cell>
          <cell r="F299">
            <v>74.42</v>
          </cell>
          <cell r="G299">
            <v>72.239999999999995</v>
          </cell>
          <cell r="H299">
            <v>658.04</v>
          </cell>
          <cell r="I299">
            <v>65.53</v>
          </cell>
        </row>
        <row r="300">
          <cell r="A300">
            <v>32190</v>
          </cell>
          <cell r="B300">
            <v>682.55</v>
          </cell>
          <cell r="C300">
            <v>696.79</v>
          </cell>
          <cell r="D300">
            <v>74.13</v>
          </cell>
          <cell r="E300">
            <v>74.94</v>
          </cell>
          <cell r="F300">
            <v>75.23</v>
          </cell>
          <cell r="G300">
            <v>72.8</v>
          </cell>
          <cell r="H300">
            <v>656.51</v>
          </cell>
          <cell r="I300">
            <v>65.489999999999995</v>
          </cell>
        </row>
        <row r="301">
          <cell r="A301">
            <v>32191</v>
          </cell>
          <cell r="B301">
            <v>679.64</v>
          </cell>
          <cell r="C301">
            <v>697.01</v>
          </cell>
          <cell r="D301">
            <v>73.959999999999994</v>
          </cell>
          <cell r="E301">
            <v>75.16</v>
          </cell>
          <cell r="F301">
            <v>75.39</v>
          </cell>
          <cell r="G301">
            <v>72.290000000000006</v>
          </cell>
          <cell r="H301">
            <v>651.41</v>
          </cell>
          <cell r="I301">
            <v>65.180000000000007</v>
          </cell>
        </row>
        <row r="302">
          <cell r="A302">
            <v>32192</v>
          </cell>
          <cell r="B302">
            <v>675.97</v>
          </cell>
          <cell r="C302">
            <v>695.96</v>
          </cell>
          <cell r="D302">
            <v>73.87</v>
          </cell>
          <cell r="E302">
            <v>75.2</v>
          </cell>
          <cell r="F302">
            <v>75.39</v>
          </cell>
          <cell r="G302">
            <v>72.099999999999994</v>
          </cell>
          <cell r="H302">
            <v>648.66999999999996</v>
          </cell>
          <cell r="I302">
            <v>64.91</v>
          </cell>
        </row>
        <row r="303">
          <cell r="A303">
            <v>32195</v>
          </cell>
          <cell r="B303">
            <v>681.76</v>
          </cell>
          <cell r="C303">
            <v>702.05</v>
          </cell>
          <cell r="D303">
            <v>74.47</v>
          </cell>
          <cell r="E303">
            <v>75.8</v>
          </cell>
          <cell r="F303">
            <v>75.92</v>
          </cell>
          <cell r="G303">
            <v>72.69</v>
          </cell>
          <cell r="H303">
            <v>652.6</v>
          </cell>
          <cell r="I303">
            <v>65.209999999999994</v>
          </cell>
        </row>
        <row r="304">
          <cell r="A304">
            <v>32196</v>
          </cell>
          <cell r="B304">
            <v>684.1</v>
          </cell>
          <cell r="C304">
            <v>704.53</v>
          </cell>
          <cell r="D304">
            <v>74.819999999999993</v>
          </cell>
          <cell r="E304">
            <v>76.150000000000006</v>
          </cell>
          <cell r="F304">
            <v>76.25</v>
          </cell>
          <cell r="G304">
            <v>73.05</v>
          </cell>
          <cell r="H304">
            <v>653.03</v>
          </cell>
          <cell r="I304">
            <v>65.3</v>
          </cell>
        </row>
        <row r="305">
          <cell r="A305">
            <v>32197</v>
          </cell>
          <cell r="B305">
            <v>685.45</v>
          </cell>
          <cell r="C305">
            <v>707.13</v>
          </cell>
          <cell r="D305">
            <v>75.11</v>
          </cell>
          <cell r="E305">
            <v>76.52</v>
          </cell>
          <cell r="F305">
            <v>76.569999999999993</v>
          </cell>
          <cell r="G305">
            <v>73.25</v>
          </cell>
          <cell r="H305">
            <v>644.25</v>
          </cell>
          <cell r="I305">
            <v>64.64</v>
          </cell>
        </row>
        <row r="306">
          <cell r="A306">
            <v>32198</v>
          </cell>
          <cell r="B306">
            <v>693.1</v>
          </cell>
          <cell r="C306">
            <v>712.17</v>
          </cell>
          <cell r="D306">
            <v>75.819999999999993</v>
          </cell>
          <cell r="E306">
            <v>76.989999999999995</v>
          </cell>
          <cell r="F306">
            <v>77.069999999999993</v>
          </cell>
          <cell r="G306">
            <v>74.16</v>
          </cell>
          <cell r="H306">
            <v>647.39</v>
          </cell>
          <cell r="I306">
            <v>64.88</v>
          </cell>
        </row>
        <row r="307">
          <cell r="A307">
            <v>32199</v>
          </cell>
          <cell r="B307">
            <v>684.81</v>
          </cell>
          <cell r="C307">
            <v>705.06</v>
          </cell>
          <cell r="D307">
            <v>75.19</v>
          </cell>
          <cell r="E307">
            <v>76.430000000000007</v>
          </cell>
          <cell r="F307">
            <v>76.53</v>
          </cell>
          <cell r="G307">
            <v>73.48</v>
          </cell>
          <cell r="H307">
            <v>647.07000000000005</v>
          </cell>
          <cell r="I307">
            <v>64.78</v>
          </cell>
        </row>
        <row r="308">
          <cell r="A308">
            <v>32202</v>
          </cell>
          <cell r="B308">
            <v>687.18</v>
          </cell>
          <cell r="C308">
            <v>708.88</v>
          </cell>
          <cell r="D308">
            <v>75.45</v>
          </cell>
          <cell r="E308">
            <v>76.97</v>
          </cell>
          <cell r="F308">
            <v>76.930000000000007</v>
          </cell>
          <cell r="G308">
            <v>73.5</v>
          </cell>
          <cell r="H308">
            <v>649.38</v>
          </cell>
          <cell r="I308">
            <v>64.91</v>
          </cell>
        </row>
        <row r="309">
          <cell r="A309">
            <v>32203</v>
          </cell>
          <cell r="B309">
            <v>690.97</v>
          </cell>
          <cell r="C309">
            <v>715.83</v>
          </cell>
          <cell r="D309">
            <v>76.08</v>
          </cell>
          <cell r="E309">
            <v>77.66</v>
          </cell>
          <cell r="F309">
            <v>77.67</v>
          </cell>
          <cell r="G309">
            <v>74.069999999999993</v>
          </cell>
          <cell r="H309">
            <v>653.88</v>
          </cell>
          <cell r="I309">
            <v>65.25</v>
          </cell>
        </row>
        <row r="310">
          <cell r="A310">
            <v>32204</v>
          </cell>
          <cell r="B310">
            <v>699.25</v>
          </cell>
          <cell r="C310">
            <v>717.62</v>
          </cell>
          <cell r="D310">
            <v>76.97</v>
          </cell>
          <cell r="E310">
            <v>77.84</v>
          </cell>
          <cell r="F310">
            <v>78</v>
          </cell>
          <cell r="G310">
            <v>75.55</v>
          </cell>
          <cell r="H310">
            <v>662.4</v>
          </cell>
          <cell r="I310">
            <v>66.209999999999994</v>
          </cell>
        </row>
        <row r="311">
          <cell r="A311">
            <v>32205</v>
          </cell>
          <cell r="B311">
            <v>699.1</v>
          </cell>
          <cell r="C311">
            <v>716.51</v>
          </cell>
          <cell r="D311">
            <v>76.930000000000007</v>
          </cell>
          <cell r="E311">
            <v>77.67</v>
          </cell>
          <cell r="F311">
            <v>77.900000000000006</v>
          </cell>
          <cell r="G311">
            <v>75.64</v>
          </cell>
          <cell r="H311">
            <v>665.26</v>
          </cell>
          <cell r="I311">
            <v>66.569999999999993</v>
          </cell>
        </row>
        <row r="312">
          <cell r="A312">
            <v>32206</v>
          </cell>
          <cell r="B312">
            <v>698.49</v>
          </cell>
          <cell r="C312">
            <v>711.09</v>
          </cell>
          <cell r="D312">
            <v>77.19</v>
          </cell>
          <cell r="E312">
            <v>77.28</v>
          </cell>
          <cell r="F312">
            <v>77.56</v>
          </cell>
          <cell r="G312">
            <v>76.430000000000007</v>
          </cell>
          <cell r="H312">
            <v>667.21</v>
          </cell>
          <cell r="I312">
            <v>66.7</v>
          </cell>
        </row>
        <row r="313">
          <cell r="A313">
            <v>32209</v>
          </cell>
          <cell r="B313">
            <v>689.55</v>
          </cell>
          <cell r="C313">
            <v>700.57</v>
          </cell>
          <cell r="D313">
            <v>76.37</v>
          </cell>
          <cell r="E313">
            <v>76.14</v>
          </cell>
          <cell r="F313">
            <v>76.52</v>
          </cell>
          <cell r="G313">
            <v>75.900000000000006</v>
          </cell>
          <cell r="H313">
            <v>660.23</v>
          </cell>
          <cell r="I313">
            <v>65.989999999999995</v>
          </cell>
        </row>
        <row r="314">
          <cell r="A314">
            <v>32210</v>
          </cell>
          <cell r="B314">
            <v>699.67</v>
          </cell>
          <cell r="C314">
            <v>709.99</v>
          </cell>
          <cell r="D314">
            <v>77.38</v>
          </cell>
          <cell r="E314">
            <v>77.180000000000007</v>
          </cell>
          <cell r="F314">
            <v>77.42</v>
          </cell>
          <cell r="G314">
            <v>76.88</v>
          </cell>
          <cell r="H314">
            <v>660.41</v>
          </cell>
          <cell r="I314">
            <v>66.06</v>
          </cell>
        </row>
        <row r="315">
          <cell r="A315">
            <v>32211</v>
          </cell>
          <cell r="B315">
            <v>702.93</v>
          </cell>
          <cell r="C315">
            <v>713.48</v>
          </cell>
          <cell r="D315">
            <v>77.760000000000005</v>
          </cell>
          <cell r="E315">
            <v>77.59</v>
          </cell>
          <cell r="F315">
            <v>77.86</v>
          </cell>
          <cell r="G315">
            <v>77.23</v>
          </cell>
          <cell r="H315">
            <v>665.51</v>
          </cell>
          <cell r="I315">
            <v>66.430000000000007</v>
          </cell>
        </row>
        <row r="316">
          <cell r="A316">
            <v>32212</v>
          </cell>
          <cell r="B316">
            <v>712.21</v>
          </cell>
          <cell r="C316">
            <v>719.48</v>
          </cell>
          <cell r="D316">
            <v>78.75</v>
          </cell>
          <cell r="E316">
            <v>78.239999999999995</v>
          </cell>
          <cell r="F316">
            <v>78.599999999999994</v>
          </cell>
          <cell r="G316">
            <v>78.48</v>
          </cell>
          <cell r="H316">
            <v>682.87</v>
          </cell>
          <cell r="I316">
            <v>67.98</v>
          </cell>
        </row>
        <row r="317">
          <cell r="A317">
            <v>32213</v>
          </cell>
          <cell r="B317">
            <v>705.44</v>
          </cell>
          <cell r="C317">
            <v>713.28</v>
          </cell>
          <cell r="D317">
            <v>77.930000000000007</v>
          </cell>
          <cell r="E317">
            <v>77.56</v>
          </cell>
          <cell r="F317">
            <v>77.87</v>
          </cell>
          <cell r="G317">
            <v>77.56</v>
          </cell>
          <cell r="H317">
            <v>680.32</v>
          </cell>
          <cell r="I317">
            <v>67.819999999999993</v>
          </cell>
        </row>
        <row r="318">
          <cell r="A318">
            <v>32216</v>
          </cell>
          <cell r="B318">
            <v>706.69</v>
          </cell>
          <cell r="C318">
            <v>714.18</v>
          </cell>
          <cell r="D318">
            <v>78.040000000000006</v>
          </cell>
          <cell r="E318">
            <v>77.63</v>
          </cell>
          <cell r="F318">
            <v>77.930000000000007</v>
          </cell>
          <cell r="G318">
            <v>77.7</v>
          </cell>
          <cell r="H318">
            <v>677.39</v>
          </cell>
          <cell r="I318">
            <v>67.62</v>
          </cell>
        </row>
        <row r="319">
          <cell r="A319">
            <v>32217</v>
          </cell>
          <cell r="B319">
            <v>711.33</v>
          </cell>
          <cell r="C319">
            <v>714.82</v>
          </cell>
          <cell r="D319">
            <v>78.55</v>
          </cell>
          <cell r="E319">
            <v>77.8</v>
          </cell>
          <cell r="F319">
            <v>78.11</v>
          </cell>
          <cell r="G319">
            <v>78.489999999999995</v>
          </cell>
          <cell r="H319">
            <v>679.51</v>
          </cell>
          <cell r="I319">
            <v>67.63</v>
          </cell>
        </row>
        <row r="320">
          <cell r="A320">
            <v>32218</v>
          </cell>
          <cell r="B320">
            <v>710.12</v>
          </cell>
          <cell r="C320">
            <v>721.6</v>
          </cell>
          <cell r="D320">
            <v>78.540000000000006</v>
          </cell>
          <cell r="E320">
            <v>78.56</v>
          </cell>
          <cell r="F320">
            <v>78.73</v>
          </cell>
          <cell r="G320">
            <v>77.83</v>
          </cell>
          <cell r="H320">
            <v>677.1</v>
          </cell>
          <cell r="I320">
            <v>67.48</v>
          </cell>
        </row>
        <row r="321">
          <cell r="A321">
            <v>32219</v>
          </cell>
          <cell r="B321">
            <v>694.65</v>
          </cell>
          <cell r="C321">
            <v>706.85</v>
          </cell>
          <cell r="D321">
            <v>76.89</v>
          </cell>
          <cell r="E321">
            <v>77</v>
          </cell>
          <cell r="F321">
            <v>77.11</v>
          </cell>
          <cell r="G321">
            <v>76.12</v>
          </cell>
          <cell r="H321">
            <v>659.38</v>
          </cell>
          <cell r="I321">
            <v>65.77</v>
          </cell>
        </row>
        <row r="322">
          <cell r="A322">
            <v>32220</v>
          </cell>
          <cell r="B322">
            <v>730.81</v>
          </cell>
          <cell r="C322">
            <v>743.45</v>
          </cell>
          <cell r="D322">
            <v>80.739999999999995</v>
          </cell>
          <cell r="E322">
            <v>80.959999999999994</v>
          </cell>
          <cell r="F322">
            <v>81.010000000000005</v>
          </cell>
          <cell r="G322">
            <v>79.83</v>
          </cell>
          <cell r="H322">
            <v>689.36</v>
          </cell>
          <cell r="I322">
            <v>68.709999999999994</v>
          </cell>
        </row>
        <row r="323">
          <cell r="A323">
            <v>32223</v>
          </cell>
          <cell r="B323">
            <v>724.9</v>
          </cell>
          <cell r="C323">
            <v>740.41</v>
          </cell>
          <cell r="D323">
            <v>80.09</v>
          </cell>
          <cell r="E323">
            <v>80.53</v>
          </cell>
          <cell r="F323">
            <v>80.48</v>
          </cell>
          <cell r="G323">
            <v>79</v>
          </cell>
          <cell r="H323">
            <v>686.96</v>
          </cell>
          <cell r="I323">
            <v>68.5</v>
          </cell>
        </row>
        <row r="324">
          <cell r="A324">
            <v>32224</v>
          </cell>
          <cell r="B324">
            <v>718.18</v>
          </cell>
          <cell r="C324">
            <v>729.93</v>
          </cell>
          <cell r="D324">
            <v>79.42</v>
          </cell>
          <cell r="E324">
            <v>79.38</v>
          </cell>
          <cell r="F324">
            <v>79.37</v>
          </cell>
          <cell r="G324">
            <v>78.75</v>
          </cell>
          <cell r="H324">
            <v>678.66</v>
          </cell>
          <cell r="I324">
            <v>67.77</v>
          </cell>
        </row>
        <row r="325">
          <cell r="A325">
            <v>32225</v>
          </cell>
          <cell r="B325">
            <v>717.83</v>
          </cell>
          <cell r="C325">
            <v>731.4</v>
          </cell>
          <cell r="D325">
            <v>79.44</v>
          </cell>
          <cell r="E325">
            <v>79.61</v>
          </cell>
          <cell r="F325">
            <v>79.61</v>
          </cell>
          <cell r="G325">
            <v>78.599999999999994</v>
          </cell>
          <cell r="H325">
            <v>682.03</v>
          </cell>
          <cell r="I325">
            <v>68.06</v>
          </cell>
        </row>
        <row r="326">
          <cell r="A326">
            <v>32226</v>
          </cell>
          <cell r="B326">
            <v>707.85</v>
          </cell>
          <cell r="C326">
            <v>729.04</v>
          </cell>
          <cell r="D326">
            <v>78.53</v>
          </cell>
          <cell r="E326">
            <v>79.56</v>
          </cell>
          <cell r="F326">
            <v>79.599999999999994</v>
          </cell>
          <cell r="G326">
            <v>76.97</v>
          </cell>
          <cell r="H326">
            <v>683.67</v>
          </cell>
          <cell r="I326">
            <v>68.27</v>
          </cell>
        </row>
        <row r="327">
          <cell r="A327">
            <v>32227</v>
          </cell>
          <cell r="B327">
            <v>698.59</v>
          </cell>
          <cell r="C327">
            <v>719.87</v>
          </cell>
          <cell r="D327">
            <v>77.75</v>
          </cell>
          <cell r="E327">
            <v>78.790000000000006</v>
          </cell>
          <cell r="F327">
            <v>78.7</v>
          </cell>
          <cell r="G327">
            <v>76.180000000000007</v>
          </cell>
          <cell r="H327">
            <v>673.78</v>
          </cell>
          <cell r="I327">
            <v>67.540000000000006</v>
          </cell>
        </row>
        <row r="328">
          <cell r="A328">
            <v>32230</v>
          </cell>
          <cell r="B328">
            <v>683.47</v>
          </cell>
          <cell r="C328">
            <v>700.5</v>
          </cell>
          <cell r="D328">
            <v>76.06</v>
          </cell>
          <cell r="E328">
            <v>76.62</v>
          </cell>
          <cell r="F328">
            <v>76.430000000000007</v>
          </cell>
          <cell r="G328">
            <v>74.91</v>
          </cell>
          <cell r="H328">
            <v>660.13</v>
          </cell>
          <cell r="I328">
            <v>66.319999999999993</v>
          </cell>
        </row>
        <row r="329">
          <cell r="A329">
            <v>32231</v>
          </cell>
          <cell r="B329">
            <v>689.91</v>
          </cell>
          <cell r="C329">
            <v>706.16</v>
          </cell>
          <cell r="D329">
            <v>76.7</v>
          </cell>
          <cell r="E329">
            <v>77.08</v>
          </cell>
          <cell r="F329">
            <v>76.97</v>
          </cell>
          <cell r="G329">
            <v>75.709999999999994</v>
          </cell>
          <cell r="H329">
            <v>661.13</v>
          </cell>
          <cell r="I329">
            <v>66.290000000000006</v>
          </cell>
        </row>
        <row r="330">
          <cell r="A330">
            <v>32232</v>
          </cell>
          <cell r="B330">
            <v>687.4</v>
          </cell>
          <cell r="C330">
            <v>706.39</v>
          </cell>
          <cell r="D330">
            <v>76.55</v>
          </cell>
          <cell r="E330">
            <v>77.09</v>
          </cell>
          <cell r="F330">
            <v>77</v>
          </cell>
          <cell r="G330">
            <v>75.42</v>
          </cell>
          <cell r="H330">
            <v>665.81</v>
          </cell>
          <cell r="I330">
            <v>66.78</v>
          </cell>
        </row>
        <row r="331">
          <cell r="A331">
            <v>32233</v>
          </cell>
          <cell r="B331">
            <v>682.68</v>
          </cell>
          <cell r="C331">
            <v>701.56</v>
          </cell>
          <cell r="D331">
            <v>76.069999999999993</v>
          </cell>
          <cell r="E331">
            <v>76.77</v>
          </cell>
          <cell r="F331">
            <v>76.62</v>
          </cell>
          <cell r="G331">
            <v>74.81</v>
          </cell>
          <cell r="H331">
            <v>662.23</v>
          </cell>
          <cell r="I331">
            <v>66.63</v>
          </cell>
        </row>
        <row r="332">
          <cell r="A332">
            <v>32234</v>
          </cell>
          <cell r="B332">
            <v>682.8</v>
          </cell>
          <cell r="C332">
            <v>701.37</v>
          </cell>
          <cell r="D332">
            <v>76.06</v>
          </cell>
          <cell r="E332">
            <v>76.73</v>
          </cell>
          <cell r="F332">
            <v>76.59</v>
          </cell>
          <cell r="G332">
            <v>74.819999999999993</v>
          </cell>
          <cell r="H332">
            <v>662.07</v>
          </cell>
          <cell r="I332">
            <v>66.599999999999994</v>
          </cell>
        </row>
        <row r="333">
          <cell r="A333">
            <v>32237</v>
          </cell>
          <cell r="B333">
            <v>682.58</v>
          </cell>
          <cell r="C333">
            <v>699.45</v>
          </cell>
          <cell r="D333">
            <v>76.03</v>
          </cell>
          <cell r="E333">
            <v>76.67</v>
          </cell>
          <cell r="F333">
            <v>76.55</v>
          </cell>
          <cell r="G333">
            <v>74.819999999999993</v>
          </cell>
          <cell r="H333">
            <v>662.03</v>
          </cell>
          <cell r="I333">
            <v>66.63</v>
          </cell>
        </row>
        <row r="334">
          <cell r="A334">
            <v>32238</v>
          </cell>
          <cell r="B334">
            <v>680.03</v>
          </cell>
          <cell r="C334">
            <v>696.84</v>
          </cell>
          <cell r="D334">
            <v>75.72</v>
          </cell>
          <cell r="E334">
            <v>76.37</v>
          </cell>
          <cell r="F334">
            <v>76.3</v>
          </cell>
          <cell r="G334">
            <v>74.510000000000005</v>
          </cell>
          <cell r="H334">
            <v>663.48</v>
          </cell>
          <cell r="I334">
            <v>66.69</v>
          </cell>
        </row>
        <row r="335">
          <cell r="A335">
            <v>32239</v>
          </cell>
          <cell r="B335">
            <v>690.85</v>
          </cell>
          <cell r="C335">
            <v>707.35</v>
          </cell>
          <cell r="D335">
            <v>76.83</v>
          </cell>
          <cell r="E335">
            <v>77.44</v>
          </cell>
          <cell r="F335">
            <v>77.41</v>
          </cell>
          <cell r="G335">
            <v>75.64</v>
          </cell>
          <cell r="H335">
            <v>677.37</v>
          </cell>
          <cell r="I335">
            <v>67.959999999999994</v>
          </cell>
        </row>
        <row r="336">
          <cell r="A336">
            <v>32240</v>
          </cell>
          <cell r="B336">
            <v>696.76</v>
          </cell>
          <cell r="C336">
            <v>712.88</v>
          </cell>
          <cell r="D336">
            <v>77.44</v>
          </cell>
          <cell r="E336">
            <v>78</v>
          </cell>
          <cell r="F336">
            <v>77.989999999999995</v>
          </cell>
          <cell r="G336">
            <v>76.290000000000006</v>
          </cell>
          <cell r="H336">
            <v>688.14</v>
          </cell>
          <cell r="I336">
            <v>68.88</v>
          </cell>
        </row>
        <row r="337">
          <cell r="A337">
            <v>32241</v>
          </cell>
          <cell r="B337">
            <v>700.47</v>
          </cell>
          <cell r="C337">
            <v>712.36</v>
          </cell>
          <cell r="D337">
            <v>77.72</v>
          </cell>
          <cell r="E337">
            <v>77.819999999999993</v>
          </cell>
          <cell r="F337">
            <v>77.81</v>
          </cell>
          <cell r="G337">
            <v>76.95</v>
          </cell>
          <cell r="H337">
            <v>689.38</v>
          </cell>
          <cell r="I337">
            <v>69.010000000000005</v>
          </cell>
        </row>
        <row r="338">
          <cell r="A338">
            <v>32244</v>
          </cell>
          <cell r="B338">
            <v>712.86</v>
          </cell>
          <cell r="C338">
            <v>723.06</v>
          </cell>
          <cell r="D338">
            <v>78.89</v>
          </cell>
          <cell r="E338">
            <v>79</v>
          </cell>
          <cell r="F338">
            <v>78.95</v>
          </cell>
          <cell r="G338">
            <v>78.11</v>
          </cell>
          <cell r="H338">
            <v>704.1</v>
          </cell>
          <cell r="I338">
            <v>70.27</v>
          </cell>
        </row>
        <row r="339">
          <cell r="A339">
            <v>32245</v>
          </cell>
          <cell r="B339">
            <v>713.32</v>
          </cell>
          <cell r="C339">
            <v>728.31</v>
          </cell>
          <cell r="D339">
            <v>79.05</v>
          </cell>
          <cell r="E339">
            <v>79.540000000000006</v>
          </cell>
          <cell r="F339">
            <v>79.41</v>
          </cell>
          <cell r="G339">
            <v>77.94</v>
          </cell>
          <cell r="H339">
            <v>707.51</v>
          </cell>
          <cell r="I339">
            <v>70.599999999999994</v>
          </cell>
        </row>
        <row r="340">
          <cell r="A340">
            <v>32246</v>
          </cell>
          <cell r="B340">
            <v>714.11</v>
          </cell>
          <cell r="C340">
            <v>731.26</v>
          </cell>
          <cell r="D340">
            <v>79.31</v>
          </cell>
          <cell r="E340">
            <v>79.86</v>
          </cell>
          <cell r="F340">
            <v>79.77</v>
          </cell>
          <cell r="G340">
            <v>78.14</v>
          </cell>
          <cell r="H340">
            <v>712.17</v>
          </cell>
          <cell r="I340">
            <v>70.989999999999995</v>
          </cell>
        </row>
        <row r="341">
          <cell r="A341">
            <v>32247</v>
          </cell>
          <cell r="B341">
            <v>705.69</v>
          </cell>
          <cell r="C341">
            <v>725.77</v>
          </cell>
          <cell r="D341">
            <v>78.72</v>
          </cell>
          <cell r="E341">
            <v>79.42</v>
          </cell>
          <cell r="F341">
            <v>79.39</v>
          </cell>
          <cell r="G341">
            <v>77.430000000000007</v>
          </cell>
          <cell r="H341">
            <v>707.09</v>
          </cell>
          <cell r="I341">
            <v>70.430000000000007</v>
          </cell>
        </row>
        <row r="342">
          <cell r="A342">
            <v>32248</v>
          </cell>
          <cell r="B342">
            <v>698</v>
          </cell>
          <cell r="C342">
            <v>712.42</v>
          </cell>
          <cell r="D342">
            <v>77.69</v>
          </cell>
          <cell r="E342">
            <v>77.849999999999994</v>
          </cell>
          <cell r="F342">
            <v>77.760000000000005</v>
          </cell>
          <cell r="G342">
            <v>76.88</v>
          </cell>
          <cell r="H342">
            <v>679.13</v>
          </cell>
          <cell r="I342">
            <v>67.819999999999993</v>
          </cell>
        </row>
        <row r="343">
          <cell r="A343">
            <v>32251</v>
          </cell>
          <cell r="B343">
            <v>698.72</v>
          </cell>
          <cell r="C343">
            <v>711.6</v>
          </cell>
          <cell r="D343">
            <v>77.67</v>
          </cell>
          <cell r="E343">
            <v>77.61</v>
          </cell>
          <cell r="F343">
            <v>77.45</v>
          </cell>
          <cell r="G343">
            <v>77.05</v>
          </cell>
          <cell r="H343">
            <v>671.42</v>
          </cell>
          <cell r="I343">
            <v>67.040000000000006</v>
          </cell>
        </row>
        <row r="344">
          <cell r="A344">
            <v>32252</v>
          </cell>
          <cell r="B344">
            <v>704.94</v>
          </cell>
          <cell r="C344">
            <v>716.63</v>
          </cell>
          <cell r="D344">
            <v>78.290000000000006</v>
          </cell>
          <cell r="E344">
            <v>78.06</v>
          </cell>
          <cell r="F344">
            <v>77.83</v>
          </cell>
          <cell r="G344">
            <v>77.81</v>
          </cell>
          <cell r="H344">
            <v>673.91</v>
          </cell>
          <cell r="I344">
            <v>67.180000000000007</v>
          </cell>
        </row>
        <row r="345">
          <cell r="A345">
            <v>32253</v>
          </cell>
          <cell r="B345">
            <v>699.47</v>
          </cell>
          <cell r="C345">
            <v>711.86</v>
          </cell>
          <cell r="D345">
            <v>77.819999999999993</v>
          </cell>
          <cell r="E345">
            <v>77.66</v>
          </cell>
          <cell r="F345">
            <v>77.459999999999994</v>
          </cell>
          <cell r="G345">
            <v>77.28</v>
          </cell>
          <cell r="H345">
            <v>675.16</v>
          </cell>
          <cell r="I345">
            <v>67.39</v>
          </cell>
        </row>
        <row r="346">
          <cell r="A346">
            <v>32254</v>
          </cell>
          <cell r="B346">
            <v>698.8</v>
          </cell>
          <cell r="C346">
            <v>708.23</v>
          </cell>
          <cell r="D346">
            <v>77.7</v>
          </cell>
          <cell r="E346">
            <v>77.25</v>
          </cell>
          <cell r="F346">
            <v>77.069999999999993</v>
          </cell>
          <cell r="G346">
            <v>77.41</v>
          </cell>
          <cell r="H346">
            <v>675.48</v>
          </cell>
          <cell r="I346">
            <v>67.37</v>
          </cell>
        </row>
        <row r="347">
          <cell r="A347">
            <v>32255</v>
          </cell>
          <cell r="B347">
            <v>697.63</v>
          </cell>
          <cell r="C347">
            <v>711.58</v>
          </cell>
          <cell r="D347">
            <v>77.64</v>
          </cell>
          <cell r="E347">
            <v>77.66</v>
          </cell>
          <cell r="F347">
            <v>77.37</v>
          </cell>
          <cell r="G347">
            <v>76.95</v>
          </cell>
          <cell r="H347">
            <v>678.02</v>
          </cell>
          <cell r="I347">
            <v>67.67</v>
          </cell>
        </row>
        <row r="348">
          <cell r="A348">
            <v>32258</v>
          </cell>
          <cell r="B348">
            <v>699.06</v>
          </cell>
          <cell r="C348">
            <v>714.45</v>
          </cell>
          <cell r="D348">
            <v>77.97</v>
          </cell>
          <cell r="E348">
            <v>78.040000000000006</v>
          </cell>
          <cell r="F348">
            <v>77.790000000000006</v>
          </cell>
          <cell r="G348">
            <v>77.23</v>
          </cell>
          <cell r="H348">
            <v>690.5</v>
          </cell>
          <cell r="I348">
            <v>68.63</v>
          </cell>
        </row>
        <row r="349">
          <cell r="A349">
            <v>32259</v>
          </cell>
          <cell r="B349">
            <v>703.75</v>
          </cell>
          <cell r="C349">
            <v>716.27</v>
          </cell>
          <cell r="D349">
            <v>78.59</v>
          </cell>
          <cell r="E349">
            <v>78.3</v>
          </cell>
          <cell r="F349">
            <v>78.11</v>
          </cell>
          <cell r="G349">
            <v>78.16</v>
          </cell>
          <cell r="H349">
            <v>698.6</v>
          </cell>
          <cell r="I349">
            <v>69.349999999999994</v>
          </cell>
        </row>
        <row r="350">
          <cell r="A350">
            <v>32260</v>
          </cell>
          <cell r="B350">
            <v>703.11</v>
          </cell>
          <cell r="C350">
            <v>714.72</v>
          </cell>
          <cell r="D350">
            <v>78.72</v>
          </cell>
          <cell r="E350">
            <v>78.239999999999995</v>
          </cell>
          <cell r="F350">
            <v>78.180000000000007</v>
          </cell>
          <cell r="G350">
            <v>78.44</v>
          </cell>
          <cell r="H350">
            <v>705.46</v>
          </cell>
          <cell r="I350">
            <v>70.010000000000005</v>
          </cell>
        </row>
        <row r="351">
          <cell r="A351">
            <v>32261</v>
          </cell>
          <cell r="B351">
            <v>702.97</v>
          </cell>
          <cell r="C351">
            <v>717.48</v>
          </cell>
          <cell r="D351">
            <v>78.81</v>
          </cell>
          <cell r="E351">
            <v>78.53</v>
          </cell>
          <cell r="F351">
            <v>78.41</v>
          </cell>
          <cell r="G351">
            <v>78.36</v>
          </cell>
          <cell r="H351">
            <v>702.46</v>
          </cell>
          <cell r="I351">
            <v>69.78</v>
          </cell>
        </row>
        <row r="352">
          <cell r="A352">
            <v>32262</v>
          </cell>
          <cell r="B352">
            <v>700.02</v>
          </cell>
          <cell r="C352">
            <v>710.55</v>
          </cell>
          <cell r="D352">
            <v>78.489999999999995</v>
          </cell>
          <cell r="E352">
            <v>77.930000000000007</v>
          </cell>
          <cell r="F352">
            <v>77.790000000000006</v>
          </cell>
          <cell r="G352">
            <v>78.28</v>
          </cell>
          <cell r="H352">
            <v>696.53</v>
          </cell>
          <cell r="I352">
            <v>69.349999999999994</v>
          </cell>
        </row>
        <row r="353">
          <cell r="A353">
            <v>32265</v>
          </cell>
          <cell r="B353">
            <v>699.53</v>
          </cell>
          <cell r="C353">
            <v>709.88</v>
          </cell>
          <cell r="D353">
            <v>78.5</v>
          </cell>
          <cell r="E353">
            <v>77.959999999999994</v>
          </cell>
          <cell r="F353">
            <v>77.819999999999993</v>
          </cell>
          <cell r="G353">
            <v>78.27</v>
          </cell>
          <cell r="H353">
            <v>699.76</v>
          </cell>
          <cell r="I353">
            <v>69.67</v>
          </cell>
        </row>
        <row r="354">
          <cell r="A354">
            <v>32266</v>
          </cell>
          <cell r="B354">
            <v>698.03</v>
          </cell>
          <cell r="C354">
            <v>705.58</v>
          </cell>
          <cell r="D354">
            <v>78.22</v>
          </cell>
          <cell r="E354">
            <v>77.52</v>
          </cell>
          <cell r="F354">
            <v>77.430000000000007</v>
          </cell>
          <cell r="G354">
            <v>78.14</v>
          </cell>
          <cell r="H354">
            <v>703.48</v>
          </cell>
          <cell r="I354">
            <v>69.87</v>
          </cell>
        </row>
        <row r="355">
          <cell r="A355">
            <v>32267</v>
          </cell>
          <cell r="B355">
            <v>698.21</v>
          </cell>
          <cell r="C355">
            <v>710.63</v>
          </cell>
          <cell r="D355">
            <v>78.3</v>
          </cell>
          <cell r="E355">
            <v>78.06</v>
          </cell>
          <cell r="F355">
            <v>77.91</v>
          </cell>
          <cell r="G355">
            <v>77.819999999999993</v>
          </cell>
          <cell r="H355">
            <v>701.32</v>
          </cell>
          <cell r="I355">
            <v>69.86</v>
          </cell>
        </row>
        <row r="356">
          <cell r="A356">
            <v>32268</v>
          </cell>
          <cell r="B356">
            <v>694.14</v>
          </cell>
          <cell r="C356">
            <v>708.49</v>
          </cell>
          <cell r="D356">
            <v>78.02</v>
          </cell>
          <cell r="E356">
            <v>77.930000000000007</v>
          </cell>
          <cell r="F356">
            <v>77.66</v>
          </cell>
          <cell r="G356">
            <v>77.41</v>
          </cell>
          <cell r="H356">
            <v>692.54</v>
          </cell>
          <cell r="I356">
            <v>69.08</v>
          </cell>
        </row>
        <row r="357">
          <cell r="A357">
            <v>32269</v>
          </cell>
          <cell r="B357">
            <v>696.34</v>
          </cell>
          <cell r="C357">
            <v>707.04</v>
          </cell>
          <cell r="D357">
            <v>78.23</v>
          </cell>
          <cell r="E357">
            <v>77.81</v>
          </cell>
          <cell r="F357">
            <v>77.53</v>
          </cell>
          <cell r="G357">
            <v>77.91</v>
          </cell>
          <cell r="H357">
            <v>693.25</v>
          </cell>
          <cell r="I357">
            <v>69.069999999999993</v>
          </cell>
        </row>
        <row r="358">
          <cell r="A358">
            <v>32272</v>
          </cell>
          <cell r="B358">
            <v>688.54</v>
          </cell>
          <cell r="C358">
            <v>694.64</v>
          </cell>
          <cell r="D358">
            <v>77.510000000000005</v>
          </cell>
          <cell r="E358">
            <v>76.7</v>
          </cell>
          <cell r="F358">
            <v>76.459999999999994</v>
          </cell>
          <cell r="G358">
            <v>77.52</v>
          </cell>
          <cell r="H358">
            <v>688.17</v>
          </cell>
          <cell r="I358">
            <v>68.55</v>
          </cell>
        </row>
        <row r="359">
          <cell r="A359">
            <v>32273</v>
          </cell>
          <cell r="B359">
            <v>687.11</v>
          </cell>
          <cell r="C359">
            <v>691.69</v>
          </cell>
          <cell r="D359">
            <v>77.3</v>
          </cell>
          <cell r="E359">
            <v>76.36</v>
          </cell>
          <cell r="F359">
            <v>76.16</v>
          </cell>
          <cell r="G359">
            <v>77.42</v>
          </cell>
          <cell r="H359">
            <v>687.88</v>
          </cell>
          <cell r="I359">
            <v>68.55</v>
          </cell>
        </row>
        <row r="360">
          <cell r="A360">
            <v>32274</v>
          </cell>
          <cell r="B360">
            <v>676</v>
          </cell>
          <cell r="C360">
            <v>682.6</v>
          </cell>
          <cell r="D360">
            <v>76.08</v>
          </cell>
          <cell r="E360">
            <v>75.41</v>
          </cell>
          <cell r="F360">
            <v>75.239999999999995</v>
          </cell>
          <cell r="G360">
            <v>76</v>
          </cell>
          <cell r="H360">
            <v>682.9</v>
          </cell>
          <cell r="I360">
            <v>68.290000000000006</v>
          </cell>
        </row>
        <row r="361">
          <cell r="A361">
            <v>32275</v>
          </cell>
          <cell r="B361">
            <v>677.63</v>
          </cell>
          <cell r="C361">
            <v>680.1</v>
          </cell>
          <cell r="D361">
            <v>76.17</v>
          </cell>
          <cell r="E361">
            <v>75.02</v>
          </cell>
          <cell r="F361">
            <v>74.930000000000007</v>
          </cell>
          <cell r="G361">
            <v>76.48</v>
          </cell>
          <cell r="H361">
            <v>684</v>
          </cell>
          <cell r="I361">
            <v>68.400000000000006</v>
          </cell>
        </row>
        <row r="362">
          <cell r="A362">
            <v>32276</v>
          </cell>
          <cell r="B362">
            <v>678.34</v>
          </cell>
          <cell r="C362">
            <v>678.99</v>
          </cell>
          <cell r="D362">
            <v>76.209999999999994</v>
          </cell>
          <cell r="E362">
            <v>74.84</v>
          </cell>
          <cell r="F362">
            <v>74.67</v>
          </cell>
          <cell r="G362">
            <v>76.7</v>
          </cell>
          <cell r="H362">
            <v>682.29</v>
          </cell>
          <cell r="I362">
            <v>68.12</v>
          </cell>
        </row>
        <row r="363">
          <cell r="A363">
            <v>32279</v>
          </cell>
          <cell r="B363">
            <v>687.92</v>
          </cell>
          <cell r="C363">
            <v>693.32</v>
          </cell>
          <cell r="D363">
            <v>77.23</v>
          </cell>
          <cell r="E363">
            <v>76.19</v>
          </cell>
          <cell r="F363">
            <v>76.08</v>
          </cell>
          <cell r="G363">
            <v>77.44</v>
          </cell>
          <cell r="H363">
            <v>693.98</v>
          </cell>
          <cell r="I363">
            <v>69.260000000000005</v>
          </cell>
        </row>
        <row r="364">
          <cell r="A364">
            <v>32280</v>
          </cell>
          <cell r="B364">
            <v>694.17</v>
          </cell>
          <cell r="C364">
            <v>699.73</v>
          </cell>
          <cell r="D364">
            <v>77.849999999999994</v>
          </cell>
          <cell r="E364">
            <v>76.92</v>
          </cell>
          <cell r="F364">
            <v>76.83</v>
          </cell>
          <cell r="G364">
            <v>77.95</v>
          </cell>
          <cell r="H364">
            <v>700.47</v>
          </cell>
          <cell r="I364">
            <v>69.790000000000006</v>
          </cell>
        </row>
        <row r="365">
          <cell r="A365">
            <v>32281</v>
          </cell>
          <cell r="B365">
            <v>690.59</v>
          </cell>
          <cell r="C365">
            <v>697.68</v>
          </cell>
          <cell r="D365">
            <v>77.650000000000006</v>
          </cell>
          <cell r="E365">
            <v>76.849999999999994</v>
          </cell>
          <cell r="F365">
            <v>76.77</v>
          </cell>
          <cell r="G365">
            <v>77.650000000000006</v>
          </cell>
          <cell r="H365">
            <v>707.99</v>
          </cell>
          <cell r="I365">
            <v>70.61</v>
          </cell>
        </row>
        <row r="366">
          <cell r="A366">
            <v>32282</v>
          </cell>
          <cell r="B366">
            <v>682.23</v>
          </cell>
          <cell r="C366">
            <v>686.38</v>
          </cell>
          <cell r="D366">
            <v>76.83</v>
          </cell>
          <cell r="E366">
            <v>75.83</v>
          </cell>
          <cell r="F366">
            <v>75.87</v>
          </cell>
          <cell r="G366">
            <v>77.02</v>
          </cell>
          <cell r="H366">
            <v>706.48</v>
          </cell>
          <cell r="I366">
            <v>70.599999999999994</v>
          </cell>
        </row>
        <row r="367">
          <cell r="A367">
            <v>32283</v>
          </cell>
          <cell r="B367">
            <v>685.43</v>
          </cell>
          <cell r="C367">
            <v>691</v>
          </cell>
          <cell r="D367">
            <v>77.31</v>
          </cell>
          <cell r="E367">
            <v>76.39</v>
          </cell>
          <cell r="F367">
            <v>76.41</v>
          </cell>
          <cell r="G367">
            <v>77.430000000000007</v>
          </cell>
          <cell r="H367">
            <v>712.33</v>
          </cell>
          <cell r="I367">
            <v>71.069999999999993</v>
          </cell>
        </row>
        <row r="368">
          <cell r="A368">
            <v>32286</v>
          </cell>
          <cell r="B368">
            <v>682.29</v>
          </cell>
          <cell r="C368">
            <v>688.63</v>
          </cell>
          <cell r="D368">
            <v>77</v>
          </cell>
          <cell r="E368">
            <v>76.09</v>
          </cell>
          <cell r="F368">
            <v>76.150000000000006</v>
          </cell>
          <cell r="G368">
            <v>77.11</v>
          </cell>
          <cell r="H368">
            <v>714.6</v>
          </cell>
          <cell r="I368">
            <v>71.209999999999994</v>
          </cell>
        </row>
        <row r="369">
          <cell r="A369">
            <v>32287</v>
          </cell>
          <cell r="B369">
            <v>685.98</v>
          </cell>
          <cell r="C369">
            <v>689.83</v>
          </cell>
          <cell r="D369">
            <v>77.459999999999994</v>
          </cell>
          <cell r="E369">
            <v>76.22</v>
          </cell>
          <cell r="F369">
            <v>76.2</v>
          </cell>
          <cell r="G369">
            <v>77.83</v>
          </cell>
          <cell r="H369">
            <v>712.8</v>
          </cell>
          <cell r="I369">
            <v>71.260000000000005</v>
          </cell>
        </row>
        <row r="370">
          <cell r="A370">
            <v>32288</v>
          </cell>
          <cell r="B370">
            <v>690.29</v>
          </cell>
          <cell r="C370">
            <v>698.42</v>
          </cell>
          <cell r="D370">
            <v>78.09</v>
          </cell>
          <cell r="E370">
            <v>77.180000000000007</v>
          </cell>
          <cell r="F370">
            <v>77.11</v>
          </cell>
          <cell r="G370">
            <v>78.180000000000007</v>
          </cell>
          <cell r="H370">
            <v>722.28</v>
          </cell>
          <cell r="I370">
            <v>72.180000000000007</v>
          </cell>
        </row>
        <row r="371">
          <cell r="A371">
            <v>32289</v>
          </cell>
          <cell r="B371">
            <v>689.45</v>
          </cell>
          <cell r="C371">
            <v>697.56</v>
          </cell>
          <cell r="D371">
            <v>78.03</v>
          </cell>
          <cell r="E371">
            <v>77.11</v>
          </cell>
          <cell r="F371">
            <v>77.069999999999993</v>
          </cell>
          <cell r="G371">
            <v>78.14</v>
          </cell>
          <cell r="H371">
            <v>723.84</v>
          </cell>
          <cell r="I371">
            <v>72.39</v>
          </cell>
        </row>
        <row r="372">
          <cell r="A372">
            <v>32290</v>
          </cell>
          <cell r="B372">
            <v>686.78</v>
          </cell>
          <cell r="C372">
            <v>696.04</v>
          </cell>
          <cell r="D372">
            <v>77.98</v>
          </cell>
          <cell r="E372">
            <v>77.03</v>
          </cell>
          <cell r="F372">
            <v>76.989999999999995</v>
          </cell>
          <cell r="G372">
            <v>78.11</v>
          </cell>
          <cell r="H372">
            <v>725.89</v>
          </cell>
          <cell r="I372">
            <v>72.58</v>
          </cell>
        </row>
        <row r="373">
          <cell r="A373">
            <v>32293</v>
          </cell>
          <cell r="B373">
            <v>690.85</v>
          </cell>
          <cell r="C373">
            <v>702.31</v>
          </cell>
          <cell r="D373">
            <v>78.25</v>
          </cell>
          <cell r="E373">
            <v>77.510000000000005</v>
          </cell>
          <cell r="F373">
            <v>77.47</v>
          </cell>
          <cell r="G373">
            <v>78.19</v>
          </cell>
          <cell r="H373">
            <v>726.3</v>
          </cell>
          <cell r="I373">
            <v>72.650000000000006</v>
          </cell>
        </row>
        <row r="374">
          <cell r="A374">
            <v>32294</v>
          </cell>
          <cell r="B374">
            <v>695.15</v>
          </cell>
          <cell r="C374">
            <v>711.12</v>
          </cell>
          <cell r="D374">
            <v>78.849999999999994</v>
          </cell>
          <cell r="E374">
            <v>78.540000000000006</v>
          </cell>
          <cell r="F374">
            <v>78.569999999999993</v>
          </cell>
          <cell r="G374">
            <v>78.42</v>
          </cell>
          <cell r="H374">
            <v>740.33</v>
          </cell>
          <cell r="I374">
            <v>73.849999999999994</v>
          </cell>
        </row>
        <row r="375">
          <cell r="A375">
            <v>32295</v>
          </cell>
          <cell r="B375">
            <v>702.3</v>
          </cell>
          <cell r="C375">
            <v>724.44</v>
          </cell>
          <cell r="D375">
            <v>79.39</v>
          </cell>
          <cell r="E375">
            <v>79.650000000000006</v>
          </cell>
          <cell r="F375">
            <v>79.599999999999994</v>
          </cell>
          <cell r="G375">
            <v>78.47</v>
          </cell>
          <cell r="H375">
            <v>741.6</v>
          </cell>
          <cell r="I375">
            <v>73.92</v>
          </cell>
        </row>
        <row r="376">
          <cell r="A376">
            <v>32296</v>
          </cell>
          <cell r="B376">
            <v>717.78</v>
          </cell>
          <cell r="C376">
            <v>742.44</v>
          </cell>
          <cell r="D376">
            <v>80.92</v>
          </cell>
          <cell r="E376">
            <v>81.63</v>
          </cell>
          <cell r="F376">
            <v>81.55</v>
          </cell>
          <cell r="G376">
            <v>79.599999999999994</v>
          </cell>
          <cell r="H376">
            <v>752.11</v>
          </cell>
          <cell r="I376">
            <v>75.010000000000005</v>
          </cell>
        </row>
        <row r="377">
          <cell r="A377">
            <v>32297</v>
          </cell>
          <cell r="B377">
            <v>708.04</v>
          </cell>
          <cell r="C377">
            <v>732.45</v>
          </cell>
          <cell r="D377">
            <v>79.61</v>
          </cell>
          <cell r="E377">
            <v>80.34</v>
          </cell>
          <cell r="F377">
            <v>80.25</v>
          </cell>
          <cell r="G377">
            <v>78.3</v>
          </cell>
          <cell r="H377">
            <v>736.03</v>
          </cell>
          <cell r="I377">
            <v>73.430000000000007</v>
          </cell>
        </row>
        <row r="378">
          <cell r="A378">
            <v>32300</v>
          </cell>
          <cell r="B378">
            <v>714.36</v>
          </cell>
          <cell r="C378">
            <v>736.99</v>
          </cell>
          <cell r="D378">
            <v>80.05</v>
          </cell>
          <cell r="E378">
            <v>80.84</v>
          </cell>
          <cell r="F378">
            <v>80.77</v>
          </cell>
          <cell r="G378">
            <v>78.67</v>
          </cell>
          <cell r="H378">
            <v>737.14</v>
          </cell>
          <cell r="I378">
            <v>73.489999999999995</v>
          </cell>
        </row>
        <row r="379">
          <cell r="A379">
            <v>32301</v>
          </cell>
          <cell r="B379">
            <v>710.29</v>
          </cell>
          <cell r="C379">
            <v>733.47</v>
          </cell>
          <cell r="D379">
            <v>79.819999999999993</v>
          </cell>
          <cell r="E379">
            <v>80.59</v>
          </cell>
          <cell r="F379">
            <v>80.510000000000005</v>
          </cell>
          <cell r="G379">
            <v>78.459999999999994</v>
          </cell>
          <cell r="H379">
            <v>739.62</v>
          </cell>
          <cell r="I379">
            <v>73.760000000000005</v>
          </cell>
        </row>
        <row r="380">
          <cell r="A380">
            <v>32302</v>
          </cell>
          <cell r="B380">
            <v>713.03</v>
          </cell>
          <cell r="C380">
            <v>736.43</v>
          </cell>
          <cell r="D380">
            <v>80.23</v>
          </cell>
          <cell r="E380">
            <v>80.78</v>
          </cell>
          <cell r="F380">
            <v>80.7</v>
          </cell>
          <cell r="G380">
            <v>79.05</v>
          </cell>
          <cell r="H380">
            <v>742.12</v>
          </cell>
          <cell r="I380">
            <v>74.03</v>
          </cell>
        </row>
        <row r="381">
          <cell r="A381">
            <v>32303</v>
          </cell>
          <cell r="B381">
            <v>721.79</v>
          </cell>
          <cell r="C381">
            <v>749.58</v>
          </cell>
          <cell r="D381">
            <v>81.06</v>
          </cell>
          <cell r="E381">
            <v>81.97</v>
          </cell>
          <cell r="F381">
            <v>81.790000000000006</v>
          </cell>
          <cell r="G381">
            <v>79.58</v>
          </cell>
          <cell r="H381">
            <v>746.54</v>
          </cell>
          <cell r="I381">
            <v>74.47</v>
          </cell>
        </row>
        <row r="382">
          <cell r="A382">
            <v>32304</v>
          </cell>
          <cell r="B382">
            <v>723.02</v>
          </cell>
          <cell r="C382">
            <v>749.26</v>
          </cell>
          <cell r="D382">
            <v>81.27</v>
          </cell>
          <cell r="E382">
            <v>82</v>
          </cell>
          <cell r="F382">
            <v>81.790000000000006</v>
          </cell>
          <cell r="G382">
            <v>79.930000000000007</v>
          </cell>
          <cell r="H382">
            <v>745.05</v>
          </cell>
          <cell r="I382">
            <v>74.39</v>
          </cell>
        </row>
        <row r="383">
          <cell r="A383">
            <v>32307</v>
          </cell>
          <cell r="B383">
            <v>721.39</v>
          </cell>
          <cell r="C383">
            <v>746.51</v>
          </cell>
          <cell r="D383">
            <v>81.099999999999994</v>
          </cell>
          <cell r="E383">
            <v>81.81</v>
          </cell>
          <cell r="F383">
            <v>81.650000000000006</v>
          </cell>
          <cell r="G383">
            <v>79.78</v>
          </cell>
          <cell r="H383">
            <v>743.39</v>
          </cell>
          <cell r="I383">
            <v>74.28</v>
          </cell>
        </row>
        <row r="384">
          <cell r="A384">
            <v>32308</v>
          </cell>
          <cell r="B384">
            <v>727.1</v>
          </cell>
          <cell r="C384">
            <v>750.26</v>
          </cell>
          <cell r="D384">
            <v>81.739999999999995</v>
          </cell>
          <cell r="E384">
            <v>82.22</v>
          </cell>
          <cell r="F384">
            <v>82.09</v>
          </cell>
          <cell r="G384">
            <v>80.62</v>
          </cell>
          <cell r="H384">
            <v>750.46</v>
          </cell>
          <cell r="I384">
            <v>75.010000000000005</v>
          </cell>
        </row>
        <row r="385">
          <cell r="A385">
            <v>32309</v>
          </cell>
          <cell r="B385">
            <v>729.44</v>
          </cell>
          <cell r="C385">
            <v>752.49</v>
          </cell>
          <cell r="D385">
            <v>82.07</v>
          </cell>
          <cell r="E385">
            <v>82.52</v>
          </cell>
          <cell r="F385">
            <v>82.43</v>
          </cell>
          <cell r="G385">
            <v>80.959999999999994</v>
          </cell>
          <cell r="H385">
            <v>756.64</v>
          </cell>
          <cell r="I385">
            <v>75.56</v>
          </cell>
        </row>
        <row r="386">
          <cell r="A386">
            <v>32310</v>
          </cell>
          <cell r="B386">
            <v>724.31</v>
          </cell>
          <cell r="C386">
            <v>745.17</v>
          </cell>
          <cell r="D386">
            <v>81.489999999999995</v>
          </cell>
          <cell r="E386">
            <v>81.790000000000006</v>
          </cell>
          <cell r="F386">
            <v>81.77</v>
          </cell>
          <cell r="G386">
            <v>80.52</v>
          </cell>
          <cell r="H386">
            <v>752.97</v>
          </cell>
          <cell r="I386">
            <v>75.17</v>
          </cell>
        </row>
        <row r="387">
          <cell r="A387">
            <v>32311</v>
          </cell>
          <cell r="B387">
            <v>723.46</v>
          </cell>
          <cell r="C387">
            <v>747.38</v>
          </cell>
          <cell r="D387">
            <v>81.459999999999994</v>
          </cell>
          <cell r="E387">
            <v>81.99</v>
          </cell>
          <cell r="F387">
            <v>82.01</v>
          </cell>
          <cell r="G387">
            <v>80.3</v>
          </cell>
          <cell r="H387">
            <v>749.01</v>
          </cell>
          <cell r="I387">
            <v>74.88</v>
          </cell>
        </row>
        <row r="388">
          <cell r="A388">
            <v>32314</v>
          </cell>
          <cell r="B388">
            <v>721.91</v>
          </cell>
          <cell r="C388">
            <v>745.56</v>
          </cell>
          <cell r="D388">
            <v>81.319999999999993</v>
          </cell>
          <cell r="E388">
            <v>81.819999999999993</v>
          </cell>
          <cell r="F388">
            <v>81.84</v>
          </cell>
          <cell r="G388">
            <v>80.19</v>
          </cell>
          <cell r="H388">
            <v>746.5</v>
          </cell>
          <cell r="I388">
            <v>74.739999999999995</v>
          </cell>
        </row>
        <row r="389">
          <cell r="A389">
            <v>32315</v>
          </cell>
          <cell r="B389">
            <v>727.19</v>
          </cell>
          <cell r="C389">
            <v>748.29</v>
          </cell>
          <cell r="D389">
            <v>81.650000000000006</v>
          </cell>
          <cell r="E389">
            <v>81.95</v>
          </cell>
          <cell r="F389">
            <v>81.95</v>
          </cell>
          <cell r="G389">
            <v>80.69</v>
          </cell>
          <cell r="H389">
            <v>743.28</v>
          </cell>
          <cell r="I389">
            <v>74.5</v>
          </cell>
        </row>
        <row r="390">
          <cell r="A390">
            <v>32316</v>
          </cell>
          <cell r="B390">
            <v>735.29</v>
          </cell>
          <cell r="C390">
            <v>754.23</v>
          </cell>
          <cell r="D390">
            <v>82.47</v>
          </cell>
          <cell r="E390">
            <v>82.54</v>
          </cell>
          <cell r="F390">
            <v>82.59</v>
          </cell>
          <cell r="G390">
            <v>81.7</v>
          </cell>
          <cell r="H390">
            <v>751.07</v>
          </cell>
          <cell r="I390">
            <v>75.069999999999993</v>
          </cell>
        </row>
        <row r="391">
          <cell r="A391">
            <v>32317</v>
          </cell>
          <cell r="B391">
            <v>736.48</v>
          </cell>
          <cell r="C391">
            <v>759.34</v>
          </cell>
          <cell r="D391">
            <v>82.91</v>
          </cell>
          <cell r="E391">
            <v>83.3</v>
          </cell>
          <cell r="F391">
            <v>83.39</v>
          </cell>
          <cell r="G391">
            <v>81.849999999999994</v>
          </cell>
          <cell r="H391">
            <v>761.32</v>
          </cell>
          <cell r="I391">
            <v>75.91</v>
          </cell>
        </row>
        <row r="392">
          <cell r="A392">
            <v>32318</v>
          </cell>
          <cell r="B392">
            <v>735.13</v>
          </cell>
          <cell r="C392">
            <v>763.67</v>
          </cell>
          <cell r="D392">
            <v>82.6</v>
          </cell>
          <cell r="E392">
            <v>83.54</v>
          </cell>
          <cell r="F392">
            <v>83.46</v>
          </cell>
          <cell r="G392">
            <v>81.069999999999993</v>
          </cell>
          <cell r="H392">
            <v>759.5</v>
          </cell>
          <cell r="I392">
            <v>75.7</v>
          </cell>
        </row>
        <row r="393">
          <cell r="A393">
            <v>32321</v>
          </cell>
          <cell r="B393">
            <v>727.07</v>
          </cell>
          <cell r="C393">
            <v>762.99</v>
          </cell>
          <cell r="D393">
            <v>81.81</v>
          </cell>
          <cell r="E393">
            <v>83.51</v>
          </cell>
          <cell r="F393">
            <v>83.49</v>
          </cell>
          <cell r="G393">
            <v>79.650000000000006</v>
          </cell>
          <cell r="H393">
            <v>760.53</v>
          </cell>
          <cell r="I393">
            <v>75.81</v>
          </cell>
        </row>
        <row r="394">
          <cell r="A394">
            <v>32322</v>
          </cell>
          <cell r="B394">
            <v>728.19</v>
          </cell>
          <cell r="C394">
            <v>756.75</v>
          </cell>
          <cell r="D394">
            <v>81.87</v>
          </cell>
          <cell r="E394">
            <v>82.92</v>
          </cell>
          <cell r="F394">
            <v>82.83</v>
          </cell>
          <cell r="G394">
            <v>80.25</v>
          </cell>
          <cell r="H394">
            <v>751.44</v>
          </cell>
          <cell r="I394">
            <v>74.94</v>
          </cell>
        </row>
        <row r="395">
          <cell r="A395">
            <v>32323</v>
          </cell>
          <cell r="B395">
            <v>731.79</v>
          </cell>
          <cell r="C395">
            <v>760.82</v>
          </cell>
          <cell r="D395">
            <v>82.13</v>
          </cell>
          <cell r="E395">
            <v>83.23</v>
          </cell>
          <cell r="F395">
            <v>83.17</v>
          </cell>
          <cell r="G395">
            <v>80.48</v>
          </cell>
          <cell r="H395">
            <v>755.2</v>
          </cell>
          <cell r="I395">
            <v>75.260000000000005</v>
          </cell>
        </row>
        <row r="396">
          <cell r="A396">
            <v>32324</v>
          </cell>
          <cell r="B396">
            <v>729.8</v>
          </cell>
          <cell r="C396">
            <v>760.54</v>
          </cell>
          <cell r="D396">
            <v>81.95</v>
          </cell>
          <cell r="E396">
            <v>83.23</v>
          </cell>
          <cell r="F396">
            <v>83.1</v>
          </cell>
          <cell r="G396">
            <v>80.14</v>
          </cell>
          <cell r="H396">
            <v>753.48</v>
          </cell>
          <cell r="I396">
            <v>75.17</v>
          </cell>
        </row>
        <row r="397">
          <cell r="A397">
            <v>32325</v>
          </cell>
          <cell r="B397">
            <v>733.7</v>
          </cell>
          <cell r="C397">
            <v>769.63</v>
          </cell>
          <cell r="D397">
            <v>82.32</v>
          </cell>
          <cell r="E397">
            <v>84.01</v>
          </cell>
          <cell r="F397">
            <v>83.87</v>
          </cell>
          <cell r="G397">
            <v>80.150000000000006</v>
          </cell>
          <cell r="H397">
            <v>762.02</v>
          </cell>
          <cell r="I397">
            <v>75.819999999999993</v>
          </cell>
        </row>
        <row r="398">
          <cell r="A398">
            <v>32328</v>
          </cell>
          <cell r="B398">
            <v>731.08</v>
          </cell>
          <cell r="C398">
            <v>771.49</v>
          </cell>
          <cell r="D398">
            <v>81.96</v>
          </cell>
          <cell r="E398">
            <v>84.18</v>
          </cell>
          <cell r="F398">
            <v>84.03</v>
          </cell>
          <cell r="G398">
            <v>79.36</v>
          </cell>
          <cell r="H398">
            <v>763.03</v>
          </cell>
          <cell r="I398">
            <v>75.84</v>
          </cell>
        </row>
        <row r="399">
          <cell r="A399">
            <v>32329</v>
          </cell>
          <cell r="B399">
            <v>738.22</v>
          </cell>
          <cell r="C399">
            <v>775.35</v>
          </cell>
          <cell r="D399">
            <v>82.64</v>
          </cell>
          <cell r="E399">
            <v>84.41</v>
          </cell>
          <cell r="F399">
            <v>84.27</v>
          </cell>
          <cell r="G399">
            <v>80.41</v>
          </cell>
          <cell r="H399">
            <v>764.15</v>
          </cell>
          <cell r="I399">
            <v>76.02</v>
          </cell>
        </row>
        <row r="400">
          <cell r="A400">
            <v>32330</v>
          </cell>
          <cell r="B400">
            <v>749.96</v>
          </cell>
          <cell r="C400">
            <v>787.97</v>
          </cell>
          <cell r="D400">
            <v>83.79</v>
          </cell>
          <cell r="E400">
            <v>85.59</v>
          </cell>
          <cell r="F400">
            <v>85.46</v>
          </cell>
          <cell r="G400">
            <v>81.510000000000005</v>
          </cell>
          <cell r="H400">
            <v>774.43</v>
          </cell>
          <cell r="I400">
            <v>76.88</v>
          </cell>
        </row>
        <row r="401">
          <cell r="A401">
            <v>32331</v>
          </cell>
          <cell r="B401">
            <v>743.09</v>
          </cell>
          <cell r="C401">
            <v>783.36</v>
          </cell>
          <cell r="D401">
            <v>83.18</v>
          </cell>
          <cell r="E401">
            <v>85.17</v>
          </cell>
          <cell r="F401">
            <v>85.05</v>
          </cell>
          <cell r="G401">
            <v>80.760000000000005</v>
          </cell>
          <cell r="H401">
            <v>773.47</v>
          </cell>
          <cell r="I401">
            <v>76.77</v>
          </cell>
        </row>
        <row r="402">
          <cell r="A402">
            <v>32332</v>
          </cell>
          <cell r="B402">
            <v>747</v>
          </cell>
          <cell r="C402">
            <v>783.07</v>
          </cell>
          <cell r="D402">
            <v>83.61</v>
          </cell>
          <cell r="E402">
            <v>85.22</v>
          </cell>
          <cell r="F402">
            <v>85.11</v>
          </cell>
          <cell r="G402">
            <v>81.510000000000005</v>
          </cell>
          <cell r="H402">
            <v>775.98</v>
          </cell>
          <cell r="I402">
            <v>76.819999999999993</v>
          </cell>
        </row>
        <row r="403">
          <cell r="A403">
            <v>32335</v>
          </cell>
          <cell r="B403">
            <v>746.52</v>
          </cell>
          <cell r="C403">
            <v>780.72</v>
          </cell>
          <cell r="D403">
            <v>83.54</v>
          </cell>
          <cell r="E403">
            <v>84.96</v>
          </cell>
          <cell r="F403">
            <v>84.89</v>
          </cell>
          <cell r="G403">
            <v>81.599999999999994</v>
          </cell>
          <cell r="H403">
            <v>769.89</v>
          </cell>
          <cell r="I403">
            <v>76.38</v>
          </cell>
        </row>
        <row r="404">
          <cell r="A404">
            <v>32336</v>
          </cell>
          <cell r="B404">
            <v>738.32</v>
          </cell>
          <cell r="C404">
            <v>771.99</v>
          </cell>
          <cell r="D404">
            <v>82.77</v>
          </cell>
          <cell r="E404">
            <v>84.23</v>
          </cell>
          <cell r="F404">
            <v>84.25</v>
          </cell>
          <cell r="G404">
            <v>80.8</v>
          </cell>
          <cell r="H404">
            <v>770.14</v>
          </cell>
          <cell r="I404">
            <v>76.349999999999994</v>
          </cell>
        </row>
        <row r="405">
          <cell r="A405">
            <v>32337</v>
          </cell>
          <cell r="B405">
            <v>739.03</v>
          </cell>
          <cell r="C405">
            <v>766.99</v>
          </cell>
          <cell r="D405">
            <v>82.72</v>
          </cell>
          <cell r="E405">
            <v>83.65</v>
          </cell>
          <cell r="F405">
            <v>83.64</v>
          </cell>
          <cell r="G405">
            <v>81.2</v>
          </cell>
          <cell r="H405">
            <v>764.01</v>
          </cell>
          <cell r="I405">
            <v>75.790000000000006</v>
          </cell>
        </row>
        <row r="406">
          <cell r="A406">
            <v>32338</v>
          </cell>
          <cell r="B406">
            <v>739.35</v>
          </cell>
          <cell r="C406">
            <v>770.82</v>
          </cell>
          <cell r="D406">
            <v>82.92</v>
          </cell>
          <cell r="E406">
            <v>84.13</v>
          </cell>
          <cell r="F406">
            <v>84.1</v>
          </cell>
          <cell r="G406">
            <v>81.16</v>
          </cell>
          <cell r="H406">
            <v>767.44</v>
          </cell>
          <cell r="I406">
            <v>76.150000000000006</v>
          </cell>
        </row>
        <row r="407">
          <cell r="A407">
            <v>32339</v>
          </cell>
          <cell r="B407">
            <v>740.89</v>
          </cell>
          <cell r="C407">
            <v>774.77</v>
          </cell>
          <cell r="D407">
            <v>83.09</v>
          </cell>
          <cell r="E407">
            <v>84.54</v>
          </cell>
          <cell r="F407">
            <v>84.5</v>
          </cell>
          <cell r="G407">
            <v>81.13</v>
          </cell>
          <cell r="H407">
            <v>770.97</v>
          </cell>
          <cell r="I407">
            <v>76.45</v>
          </cell>
        </row>
        <row r="408">
          <cell r="A408">
            <v>32342</v>
          </cell>
          <cell r="B408">
            <v>738.7</v>
          </cell>
          <cell r="C408">
            <v>772.11</v>
          </cell>
          <cell r="D408">
            <v>82.93</v>
          </cell>
          <cell r="E408">
            <v>84.24</v>
          </cell>
          <cell r="F408">
            <v>84.24</v>
          </cell>
          <cell r="G408">
            <v>81.08</v>
          </cell>
          <cell r="H408">
            <v>771.51</v>
          </cell>
          <cell r="I408">
            <v>76.52</v>
          </cell>
        </row>
        <row r="409">
          <cell r="A409">
            <v>32343</v>
          </cell>
          <cell r="B409">
            <v>737.23</v>
          </cell>
          <cell r="C409">
            <v>767.36</v>
          </cell>
          <cell r="D409">
            <v>82.67</v>
          </cell>
          <cell r="E409">
            <v>83.6</v>
          </cell>
          <cell r="F409">
            <v>83.62</v>
          </cell>
          <cell r="G409">
            <v>81.14</v>
          </cell>
          <cell r="H409">
            <v>766.5</v>
          </cell>
          <cell r="I409">
            <v>76.13</v>
          </cell>
        </row>
        <row r="410">
          <cell r="A410">
            <v>32344</v>
          </cell>
          <cell r="B410">
            <v>744.35</v>
          </cell>
          <cell r="C410">
            <v>771.81</v>
          </cell>
          <cell r="D410">
            <v>83.37</v>
          </cell>
          <cell r="E410">
            <v>83.94</v>
          </cell>
          <cell r="F410">
            <v>83.97</v>
          </cell>
          <cell r="G410">
            <v>82.15</v>
          </cell>
          <cell r="H410">
            <v>769.75</v>
          </cell>
          <cell r="I410">
            <v>76.41</v>
          </cell>
        </row>
        <row r="411">
          <cell r="A411">
            <v>32345</v>
          </cell>
          <cell r="B411">
            <v>744.77</v>
          </cell>
          <cell r="C411">
            <v>772.11</v>
          </cell>
          <cell r="D411">
            <v>83.42</v>
          </cell>
          <cell r="E411">
            <v>83.87</v>
          </cell>
          <cell r="F411">
            <v>83.94</v>
          </cell>
          <cell r="G411">
            <v>82.31</v>
          </cell>
          <cell r="H411">
            <v>776.2</v>
          </cell>
          <cell r="I411">
            <v>76.97</v>
          </cell>
        </row>
        <row r="412">
          <cell r="A412">
            <v>32346</v>
          </cell>
          <cell r="B412">
            <v>737.08</v>
          </cell>
          <cell r="C412">
            <v>765.79</v>
          </cell>
          <cell r="D412">
            <v>82.8</v>
          </cell>
          <cell r="E412">
            <v>83.39</v>
          </cell>
          <cell r="F412">
            <v>83.45</v>
          </cell>
          <cell r="G412">
            <v>81.58</v>
          </cell>
          <cell r="H412">
            <v>772.61</v>
          </cell>
          <cell r="I412">
            <v>76.72</v>
          </cell>
        </row>
        <row r="413">
          <cell r="A413">
            <v>32349</v>
          </cell>
          <cell r="B413">
            <v>736.9</v>
          </cell>
          <cell r="C413">
            <v>765.03</v>
          </cell>
          <cell r="D413">
            <v>82.7</v>
          </cell>
          <cell r="E413">
            <v>83.25</v>
          </cell>
          <cell r="F413">
            <v>83.29</v>
          </cell>
          <cell r="G413">
            <v>81.5</v>
          </cell>
          <cell r="H413">
            <v>772.6</v>
          </cell>
          <cell r="I413">
            <v>76.63</v>
          </cell>
        </row>
        <row r="414">
          <cell r="A414">
            <v>32350</v>
          </cell>
          <cell r="B414">
            <v>738.96</v>
          </cell>
          <cell r="C414">
            <v>772.58</v>
          </cell>
          <cell r="D414">
            <v>82.94</v>
          </cell>
          <cell r="E414">
            <v>84</v>
          </cell>
          <cell r="F414">
            <v>83.89</v>
          </cell>
          <cell r="G414">
            <v>81.31</v>
          </cell>
          <cell r="H414">
            <v>773.38</v>
          </cell>
          <cell r="I414">
            <v>76.75</v>
          </cell>
        </row>
        <row r="415">
          <cell r="A415">
            <v>32351</v>
          </cell>
          <cell r="B415">
            <v>742.13</v>
          </cell>
          <cell r="C415">
            <v>775.46</v>
          </cell>
          <cell r="D415">
            <v>83.35</v>
          </cell>
          <cell r="E415">
            <v>84.34</v>
          </cell>
          <cell r="F415">
            <v>84.25</v>
          </cell>
          <cell r="G415">
            <v>81.77</v>
          </cell>
          <cell r="H415">
            <v>779.29</v>
          </cell>
          <cell r="I415">
            <v>77.290000000000006</v>
          </cell>
        </row>
        <row r="416">
          <cell r="A416">
            <v>32352</v>
          </cell>
          <cell r="B416">
            <v>740.13</v>
          </cell>
          <cell r="C416">
            <v>771.12</v>
          </cell>
          <cell r="D416">
            <v>83.32</v>
          </cell>
          <cell r="E416">
            <v>83.95</v>
          </cell>
          <cell r="F416">
            <v>83.88</v>
          </cell>
          <cell r="G416">
            <v>82.06</v>
          </cell>
          <cell r="H416">
            <v>780.59</v>
          </cell>
          <cell r="I416">
            <v>77.42</v>
          </cell>
        </row>
        <row r="417">
          <cell r="A417">
            <v>32353</v>
          </cell>
          <cell r="B417">
            <v>746.71</v>
          </cell>
          <cell r="C417">
            <v>780.03</v>
          </cell>
          <cell r="D417">
            <v>83.82</v>
          </cell>
          <cell r="E417">
            <v>84.76</v>
          </cell>
          <cell r="F417">
            <v>84.58</v>
          </cell>
          <cell r="G417">
            <v>82.28</v>
          </cell>
          <cell r="H417">
            <v>785.32</v>
          </cell>
          <cell r="I417">
            <v>77.67</v>
          </cell>
        </row>
        <row r="418">
          <cell r="A418">
            <v>32356</v>
          </cell>
          <cell r="B418">
            <v>752</v>
          </cell>
          <cell r="C418">
            <v>786.65</v>
          </cell>
          <cell r="D418">
            <v>84.42</v>
          </cell>
          <cell r="E418">
            <v>85.4</v>
          </cell>
          <cell r="F418">
            <v>85.16</v>
          </cell>
          <cell r="G418">
            <v>82.85</v>
          </cell>
          <cell r="H418">
            <v>797.14</v>
          </cell>
          <cell r="I418">
            <v>78.56</v>
          </cell>
        </row>
        <row r="419">
          <cell r="A419">
            <v>32357</v>
          </cell>
          <cell r="B419">
            <v>750.41</v>
          </cell>
          <cell r="C419">
            <v>786.91</v>
          </cell>
          <cell r="D419">
            <v>84.26</v>
          </cell>
          <cell r="E419">
            <v>85.46</v>
          </cell>
          <cell r="F419">
            <v>85.25</v>
          </cell>
          <cell r="G419">
            <v>82.49</v>
          </cell>
          <cell r="H419">
            <v>795.08</v>
          </cell>
          <cell r="I419">
            <v>78.540000000000006</v>
          </cell>
        </row>
        <row r="420">
          <cell r="A420">
            <v>32358</v>
          </cell>
          <cell r="B420">
            <v>750.95</v>
          </cell>
          <cell r="C420">
            <v>785.35</v>
          </cell>
          <cell r="D420">
            <v>84.45</v>
          </cell>
          <cell r="E420">
            <v>85.38</v>
          </cell>
          <cell r="F420">
            <v>85.21</v>
          </cell>
          <cell r="G420">
            <v>82.92</v>
          </cell>
          <cell r="H420">
            <v>794.55</v>
          </cell>
          <cell r="I420">
            <v>78.45</v>
          </cell>
        </row>
        <row r="421">
          <cell r="A421">
            <v>32359</v>
          </cell>
          <cell r="B421">
            <v>751.61</v>
          </cell>
          <cell r="C421">
            <v>784.49</v>
          </cell>
          <cell r="D421">
            <v>84.67</v>
          </cell>
          <cell r="E421">
            <v>85.29</v>
          </cell>
          <cell r="F421">
            <v>85.21</v>
          </cell>
          <cell r="G421">
            <v>83.39</v>
          </cell>
          <cell r="H421">
            <v>795.22</v>
          </cell>
          <cell r="I421">
            <v>78.55</v>
          </cell>
        </row>
        <row r="422">
          <cell r="A422">
            <v>32360</v>
          </cell>
          <cell r="B422">
            <v>756.01</v>
          </cell>
          <cell r="C422">
            <v>790.72</v>
          </cell>
          <cell r="D422">
            <v>85.09</v>
          </cell>
          <cell r="E422">
            <v>85.83</v>
          </cell>
          <cell r="F422">
            <v>85.78</v>
          </cell>
          <cell r="G422">
            <v>83.7</v>
          </cell>
          <cell r="H422">
            <v>795.74</v>
          </cell>
          <cell r="I422">
            <v>78.650000000000006</v>
          </cell>
        </row>
        <row r="423">
          <cell r="A423">
            <v>32363</v>
          </cell>
          <cell r="B423">
            <v>754.03</v>
          </cell>
          <cell r="C423">
            <v>786.05</v>
          </cell>
          <cell r="D423">
            <v>84.79</v>
          </cell>
          <cell r="E423">
            <v>85.32</v>
          </cell>
          <cell r="F423">
            <v>85.22</v>
          </cell>
          <cell r="G423">
            <v>83.58</v>
          </cell>
          <cell r="H423">
            <v>780.53</v>
          </cell>
          <cell r="I423">
            <v>77.400000000000006</v>
          </cell>
        </row>
        <row r="424">
          <cell r="A424">
            <v>32364</v>
          </cell>
          <cell r="B424">
            <v>754.51</v>
          </cell>
          <cell r="C424">
            <v>788.65</v>
          </cell>
          <cell r="D424">
            <v>84.78</v>
          </cell>
          <cell r="E424">
            <v>85.57</v>
          </cell>
          <cell r="F424">
            <v>85.43</v>
          </cell>
          <cell r="G424">
            <v>83.36</v>
          </cell>
          <cell r="H424">
            <v>777.57</v>
          </cell>
          <cell r="I424">
            <v>77.16</v>
          </cell>
        </row>
        <row r="425">
          <cell r="A425">
            <v>32365</v>
          </cell>
          <cell r="B425">
            <v>742.01</v>
          </cell>
          <cell r="C425">
            <v>774.91</v>
          </cell>
          <cell r="D425">
            <v>83.38</v>
          </cell>
          <cell r="E425">
            <v>84.12</v>
          </cell>
          <cell r="F425">
            <v>84</v>
          </cell>
          <cell r="G425">
            <v>82.01</v>
          </cell>
          <cell r="H425">
            <v>759.14</v>
          </cell>
          <cell r="I425">
            <v>75.540000000000006</v>
          </cell>
        </row>
        <row r="426">
          <cell r="A426">
            <v>32366</v>
          </cell>
          <cell r="B426">
            <v>736.51</v>
          </cell>
          <cell r="C426">
            <v>766.11</v>
          </cell>
          <cell r="D426">
            <v>82.8</v>
          </cell>
          <cell r="E426">
            <v>83.3</v>
          </cell>
          <cell r="F426">
            <v>83.12</v>
          </cell>
          <cell r="G426">
            <v>81.64</v>
          </cell>
          <cell r="H426">
            <v>753.47</v>
          </cell>
          <cell r="I426">
            <v>74.91</v>
          </cell>
        </row>
        <row r="427">
          <cell r="A427">
            <v>32367</v>
          </cell>
          <cell r="B427">
            <v>742.49</v>
          </cell>
          <cell r="C427">
            <v>773.27</v>
          </cell>
          <cell r="D427">
            <v>83.46</v>
          </cell>
          <cell r="E427">
            <v>83.95</v>
          </cell>
          <cell r="F427">
            <v>83.8</v>
          </cell>
          <cell r="G427">
            <v>82.32</v>
          </cell>
          <cell r="H427">
            <v>764.68</v>
          </cell>
          <cell r="I427">
            <v>75.81</v>
          </cell>
        </row>
        <row r="428">
          <cell r="A428">
            <v>32370</v>
          </cell>
          <cell r="B428">
            <v>734.44</v>
          </cell>
          <cell r="C428">
            <v>770.05</v>
          </cell>
          <cell r="D428">
            <v>82.71</v>
          </cell>
          <cell r="E428">
            <v>83.68</v>
          </cell>
          <cell r="F428">
            <v>83.46</v>
          </cell>
          <cell r="G428">
            <v>81.16</v>
          </cell>
          <cell r="H428">
            <v>756.53</v>
          </cell>
          <cell r="I428">
            <v>75.12</v>
          </cell>
        </row>
        <row r="429">
          <cell r="A429">
            <v>32371</v>
          </cell>
          <cell r="B429">
            <v>734.22</v>
          </cell>
          <cell r="C429">
            <v>766.83</v>
          </cell>
          <cell r="D429">
            <v>82.88</v>
          </cell>
          <cell r="E429">
            <v>83.5</v>
          </cell>
          <cell r="F429">
            <v>83.25</v>
          </cell>
          <cell r="G429">
            <v>81.62</v>
          </cell>
          <cell r="H429">
            <v>757.05</v>
          </cell>
          <cell r="I429">
            <v>75.180000000000007</v>
          </cell>
        </row>
        <row r="430">
          <cell r="A430">
            <v>32372</v>
          </cell>
          <cell r="B430">
            <v>741.36</v>
          </cell>
          <cell r="C430">
            <v>775.41</v>
          </cell>
          <cell r="D430">
            <v>83.47</v>
          </cell>
          <cell r="E430">
            <v>84.29</v>
          </cell>
          <cell r="F430">
            <v>84.05</v>
          </cell>
          <cell r="G430">
            <v>82.04</v>
          </cell>
          <cell r="H430">
            <v>761.69</v>
          </cell>
          <cell r="I430">
            <v>75.64</v>
          </cell>
        </row>
        <row r="431">
          <cell r="A431">
            <v>32373</v>
          </cell>
          <cell r="B431">
            <v>743.1</v>
          </cell>
          <cell r="C431">
            <v>777.71</v>
          </cell>
          <cell r="D431">
            <v>83.72</v>
          </cell>
          <cell r="E431">
            <v>84.59</v>
          </cell>
          <cell r="F431">
            <v>84.33</v>
          </cell>
          <cell r="G431">
            <v>82.25</v>
          </cell>
          <cell r="H431">
            <v>768.05</v>
          </cell>
          <cell r="I431">
            <v>76.27</v>
          </cell>
        </row>
        <row r="432">
          <cell r="A432">
            <v>32374</v>
          </cell>
          <cell r="B432">
            <v>742.57</v>
          </cell>
          <cell r="C432">
            <v>774.53</v>
          </cell>
          <cell r="D432">
            <v>83.76</v>
          </cell>
          <cell r="E432">
            <v>84.41</v>
          </cell>
          <cell r="F432">
            <v>84.19</v>
          </cell>
          <cell r="G432">
            <v>82.46</v>
          </cell>
          <cell r="H432">
            <v>768.49</v>
          </cell>
          <cell r="I432">
            <v>76.290000000000006</v>
          </cell>
        </row>
        <row r="433">
          <cell r="A433">
            <v>32377</v>
          </cell>
          <cell r="B433">
            <v>740.09</v>
          </cell>
          <cell r="C433">
            <v>773.6</v>
          </cell>
          <cell r="D433">
            <v>83.4</v>
          </cell>
          <cell r="E433">
            <v>84.23</v>
          </cell>
          <cell r="F433">
            <v>84.08</v>
          </cell>
          <cell r="G433">
            <v>81.96</v>
          </cell>
          <cell r="H433">
            <v>770.7</v>
          </cell>
          <cell r="I433">
            <v>76.37</v>
          </cell>
        </row>
        <row r="434">
          <cell r="A434">
            <v>32378</v>
          </cell>
          <cell r="B434">
            <v>733.17</v>
          </cell>
          <cell r="C434">
            <v>767.15</v>
          </cell>
          <cell r="D434">
            <v>82.59</v>
          </cell>
          <cell r="E434">
            <v>83.61</v>
          </cell>
          <cell r="F434">
            <v>83.4</v>
          </cell>
          <cell r="G434">
            <v>80.989999999999995</v>
          </cell>
          <cell r="H434">
            <v>760.98</v>
          </cell>
          <cell r="I434">
            <v>75.61</v>
          </cell>
        </row>
        <row r="435">
          <cell r="A435">
            <v>32379</v>
          </cell>
          <cell r="B435">
            <v>733.28</v>
          </cell>
          <cell r="C435">
            <v>769.97</v>
          </cell>
          <cell r="D435">
            <v>82.59</v>
          </cell>
          <cell r="E435">
            <v>83.86</v>
          </cell>
          <cell r="F435">
            <v>83.62</v>
          </cell>
          <cell r="G435">
            <v>80.78</v>
          </cell>
          <cell r="H435">
            <v>762.37</v>
          </cell>
          <cell r="I435">
            <v>75.64</v>
          </cell>
        </row>
        <row r="436">
          <cell r="A436">
            <v>32380</v>
          </cell>
          <cell r="B436">
            <v>720.66</v>
          </cell>
          <cell r="C436">
            <v>762.04</v>
          </cell>
          <cell r="D436">
            <v>81.22</v>
          </cell>
          <cell r="E436">
            <v>83.17</v>
          </cell>
          <cell r="F436">
            <v>82.92</v>
          </cell>
          <cell r="G436">
            <v>78.83</v>
          </cell>
          <cell r="H436">
            <v>750.19</v>
          </cell>
          <cell r="I436">
            <v>74.62</v>
          </cell>
        </row>
        <row r="437">
          <cell r="A437">
            <v>32381</v>
          </cell>
          <cell r="B437">
            <v>716.54</v>
          </cell>
          <cell r="C437">
            <v>760.86</v>
          </cell>
          <cell r="D437">
            <v>80.7</v>
          </cell>
          <cell r="E437">
            <v>83.02</v>
          </cell>
          <cell r="F437">
            <v>82.78</v>
          </cell>
          <cell r="G437">
            <v>78.010000000000005</v>
          </cell>
          <cell r="H437">
            <v>743.36</v>
          </cell>
          <cell r="I437">
            <v>74.05</v>
          </cell>
        </row>
        <row r="438">
          <cell r="A438">
            <v>32384</v>
          </cell>
          <cell r="B438">
            <v>715.07</v>
          </cell>
          <cell r="C438">
            <v>757.41</v>
          </cell>
          <cell r="D438">
            <v>80.45</v>
          </cell>
          <cell r="E438">
            <v>82.6</v>
          </cell>
          <cell r="F438">
            <v>82.31</v>
          </cell>
          <cell r="G438">
            <v>77.89</v>
          </cell>
          <cell r="H438">
            <v>740.83</v>
          </cell>
          <cell r="I438">
            <v>73.650000000000006</v>
          </cell>
        </row>
        <row r="439">
          <cell r="A439">
            <v>32385</v>
          </cell>
          <cell r="B439">
            <v>715.93</v>
          </cell>
          <cell r="C439">
            <v>759.76</v>
          </cell>
          <cell r="D439">
            <v>80.34</v>
          </cell>
          <cell r="E439">
            <v>82.81</v>
          </cell>
          <cell r="F439">
            <v>82.52</v>
          </cell>
          <cell r="G439">
            <v>77.510000000000005</v>
          </cell>
          <cell r="H439">
            <v>744.15</v>
          </cell>
          <cell r="I439">
            <v>73.84</v>
          </cell>
        </row>
        <row r="440">
          <cell r="A440">
            <v>32386</v>
          </cell>
          <cell r="B440">
            <v>716.95</v>
          </cell>
          <cell r="C440">
            <v>761.63</v>
          </cell>
          <cell r="D440">
            <v>80.41</v>
          </cell>
          <cell r="E440">
            <v>82.97</v>
          </cell>
          <cell r="F440">
            <v>82.67</v>
          </cell>
          <cell r="G440">
            <v>77.510000000000005</v>
          </cell>
          <cell r="H440">
            <v>750.03</v>
          </cell>
          <cell r="I440">
            <v>74.5</v>
          </cell>
        </row>
        <row r="441">
          <cell r="A441">
            <v>32387</v>
          </cell>
          <cell r="B441">
            <v>710.96</v>
          </cell>
          <cell r="C441">
            <v>757.92</v>
          </cell>
          <cell r="D441">
            <v>79.62</v>
          </cell>
          <cell r="E441">
            <v>82.54</v>
          </cell>
          <cell r="F441">
            <v>82.26</v>
          </cell>
          <cell r="G441">
            <v>76.42</v>
          </cell>
          <cell r="H441">
            <v>747.69</v>
          </cell>
          <cell r="I441">
            <v>74.19</v>
          </cell>
        </row>
        <row r="442">
          <cell r="A442">
            <v>32388</v>
          </cell>
          <cell r="B442">
            <v>710.94</v>
          </cell>
          <cell r="C442">
            <v>755.5</v>
          </cell>
          <cell r="D442">
            <v>79.53</v>
          </cell>
          <cell r="E442">
            <v>82.2</v>
          </cell>
          <cell r="F442">
            <v>81.94</v>
          </cell>
          <cell r="G442">
            <v>76.540000000000006</v>
          </cell>
          <cell r="H442">
            <v>741.39</v>
          </cell>
          <cell r="I442">
            <v>73.760000000000005</v>
          </cell>
        </row>
        <row r="443">
          <cell r="A443">
            <v>32391</v>
          </cell>
          <cell r="B443">
            <v>718.94</v>
          </cell>
          <cell r="C443">
            <v>762.97</v>
          </cell>
          <cell r="D443">
            <v>80.34</v>
          </cell>
          <cell r="E443">
            <v>82.86</v>
          </cell>
          <cell r="F443">
            <v>82.62</v>
          </cell>
          <cell r="G443">
            <v>77.47</v>
          </cell>
          <cell r="H443">
            <v>747.54</v>
          </cell>
          <cell r="I443">
            <v>74.239999999999995</v>
          </cell>
        </row>
        <row r="444">
          <cell r="A444">
            <v>32392</v>
          </cell>
          <cell r="B444">
            <v>720.49</v>
          </cell>
          <cell r="C444">
            <v>764.79</v>
          </cell>
          <cell r="D444">
            <v>80.58</v>
          </cell>
          <cell r="E444">
            <v>82.99</v>
          </cell>
          <cell r="F444">
            <v>82.69</v>
          </cell>
          <cell r="G444">
            <v>77.81</v>
          </cell>
          <cell r="H444">
            <v>751.03</v>
          </cell>
          <cell r="I444">
            <v>74.38</v>
          </cell>
        </row>
        <row r="445">
          <cell r="A445">
            <v>32393</v>
          </cell>
          <cell r="B445">
            <v>719.58</v>
          </cell>
          <cell r="C445">
            <v>767.95</v>
          </cell>
          <cell r="D445">
            <v>80.540000000000006</v>
          </cell>
          <cell r="E445">
            <v>83.25</v>
          </cell>
          <cell r="F445">
            <v>82.91</v>
          </cell>
          <cell r="G445">
            <v>77.5</v>
          </cell>
          <cell r="H445">
            <v>750.74</v>
          </cell>
          <cell r="I445">
            <v>74.34</v>
          </cell>
        </row>
        <row r="446">
          <cell r="A446">
            <v>32394</v>
          </cell>
          <cell r="B446">
            <v>721.63</v>
          </cell>
          <cell r="C446">
            <v>773.44</v>
          </cell>
          <cell r="D446">
            <v>80.64</v>
          </cell>
          <cell r="E446">
            <v>83.77</v>
          </cell>
          <cell r="F446">
            <v>83.41</v>
          </cell>
          <cell r="G446">
            <v>77.23</v>
          </cell>
          <cell r="H446">
            <v>758.74</v>
          </cell>
          <cell r="I446">
            <v>75.2</v>
          </cell>
        </row>
        <row r="447">
          <cell r="A447">
            <v>32395</v>
          </cell>
          <cell r="B447">
            <v>716.75</v>
          </cell>
          <cell r="C447">
            <v>768.47</v>
          </cell>
          <cell r="D447">
            <v>79.989999999999995</v>
          </cell>
          <cell r="E447">
            <v>83.22</v>
          </cell>
          <cell r="F447">
            <v>82.81</v>
          </cell>
          <cell r="G447">
            <v>76.5</v>
          </cell>
          <cell r="H447">
            <v>755.04</v>
          </cell>
          <cell r="I447">
            <v>74.78</v>
          </cell>
        </row>
        <row r="448">
          <cell r="A448">
            <v>32398</v>
          </cell>
          <cell r="B448">
            <v>722.38</v>
          </cell>
          <cell r="C448">
            <v>776.16</v>
          </cell>
          <cell r="D448">
            <v>80.45</v>
          </cell>
          <cell r="E448">
            <v>83.87</v>
          </cell>
          <cell r="F448">
            <v>83.45</v>
          </cell>
          <cell r="G448">
            <v>76.790000000000006</v>
          </cell>
          <cell r="H448">
            <v>761.65</v>
          </cell>
          <cell r="I448">
            <v>75.28</v>
          </cell>
        </row>
        <row r="449">
          <cell r="A449">
            <v>32399</v>
          </cell>
          <cell r="B449">
            <v>726.93</v>
          </cell>
          <cell r="C449">
            <v>779.82</v>
          </cell>
          <cell r="D449">
            <v>80.86</v>
          </cell>
          <cell r="E449">
            <v>84.09</v>
          </cell>
          <cell r="F449">
            <v>83.67</v>
          </cell>
          <cell r="G449">
            <v>77.37</v>
          </cell>
          <cell r="H449">
            <v>762.03</v>
          </cell>
          <cell r="I449">
            <v>75.459999999999994</v>
          </cell>
        </row>
        <row r="450">
          <cell r="A450">
            <v>32400</v>
          </cell>
          <cell r="B450">
            <v>734.37</v>
          </cell>
          <cell r="C450">
            <v>789.7</v>
          </cell>
          <cell r="D450">
            <v>81.569999999999993</v>
          </cell>
          <cell r="E450">
            <v>85.03</v>
          </cell>
          <cell r="F450">
            <v>84.54</v>
          </cell>
          <cell r="G450">
            <v>77.87</v>
          </cell>
          <cell r="H450">
            <v>766.28</v>
          </cell>
          <cell r="I450">
            <v>75.88</v>
          </cell>
        </row>
        <row r="451">
          <cell r="A451">
            <v>32401</v>
          </cell>
          <cell r="B451">
            <v>737.47</v>
          </cell>
          <cell r="C451">
            <v>794.24</v>
          </cell>
          <cell r="D451">
            <v>81.93</v>
          </cell>
          <cell r="E451">
            <v>85.49</v>
          </cell>
          <cell r="F451">
            <v>84.98</v>
          </cell>
          <cell r="G451">
            <v>78.14</v>
          </cell>
          <cell r="H451">
            <v>768.06</v>
          </cell>
          <cell r="I451">
            <v>76.010000000000005</v>
          </cell>
        </row>
        <row r="452">
          <cell r="A452">
            <v>32402</v>
          </cell>
          <cell r="B452">
            <v>735.72</v>
          </cell>
          <cell r="C452">
            <v>793.88</v>
          </cell>
          <cell r="D452">
            <v>81.87</v>
          </cell>
          <cell r="E452">
            <v>85.56</v>
          </cell>
          <cell r="F452">
            <v>85.02</v>
          </cell>
          <cell r="G452">
            <v>77.97</v>
          </cell>
          <cell r="H452">
            <v>764.35</v>
          </cell>
          <cell r="I452">
            <v>75.819999999999993</v>
          </cell>
        </row>
        <row r="453">
          <cell r="A453">
            <v>32405</v>
          </cell>
          <cell r="B453">
            <v>735.71</v>
          </cell>
          <cell r="C453">
            <v>798.4</v>
          </cell>
          <cell r="D453">
            <v>82.02</v>
          </cell>
          <cell r="E453">
            <v>86.14</v>
          </cell>
          <cell r="F453">
            <v>85.64</v>
          </cell>
          <cell r="G453">
            <v>77.75</v>
          </cell>
          <cell r="H453">
            <v>774.23</v>
          </cell>
          <cell r="I453">
            <v>76.67</v>
          </cell>
        </row>
        <row r="454">
          <cell r="A454">
            <v>32406</v>
          </cell>
          <cell r="B454">
            <v>738.03</v>
          </cell>
          <cell r="C454">
            <v>797.96</v>
          </cell>
          <cell r="D454">
            <v>82.33</v>
          </cell>
          <cell r="E454">
            <v>86.09</v>
          </cell>
          <cell r="F454">
            <v>85.62</v>
          </cell>
          <cell r="G454">
            <v>78.37</v>
          </cell>
          <cell r="H454">
            <v>778.37</v>
          </cell>
          <cell r="I454">
            <v>77.02</v>
          </cell>
        </row>
        <row r="455">
          <cell r="A455">
            <v>32407</v>
          </cell>
          <cell r="B455">
            <v>743.71</v>
          </cell>
          <cell r="C455">
            <v>803.58</v>
          </cell>
          <cell r="D455">
            <v>83.11</v>
          </cell>
          <cell r="E455">
            <v>86.77</v>
          </cell>
          <cell r="F455">
            <v>86.35</v>
          </cell>
          <cell r="G455">
            <v>79.23</v>
          </cell>
          <cell r="H455">
            <v>788.7</v>
          </cell>
          <cell r="I455">
            <v>77.989999999999995</v>
          </cell>
        </row>
        <row r="456">
          <cell r="A456">
            <v>32408</v>
          </cell>
          <cell r="B456">
            <v>743.47</v>
          </cell>
          <cell r="C456">
            <v>805.49</v>
          </cell>
          <cell r="D456">
            <v>83.03</v>
          </cell>
          <cell r="E456">
            <v>86.87</v>
          </cell>
          <cell r="F456">
            <v>86.56</v>
          </cell>
          <cell r="G456">
            <v>78.989999999999995</v>
          </cell>
          <cell r="H456">
            <v>801.45</v>
          </cell>
          <cell r="I456">
            <v>79.08</v>
          </cell>
        </row>
        <row r="457">
          <cell r="A457">
            <v>32409</v>
          </cell>
          <cell r="B457">
            <v>742.73</v>
          </cell>
          <cell r="C457">
            <v>802.23</v>
          </cell>
          <cell r="D457">
            <v>83.03</v>
          </cell>
          <cell r="E457">
            <v>86.65</v>
          </cell>
          <cell r="F457">
            <v>86.39</v>
          </cell>
          <cell r="G457">
            <v>79.180000000000007</v>
          </cell>
          <cell r="H457">
            <v>800.65</v>
          </cell>
          <cell r="I457">
            <v>79.12</v>
          </cell>
        </row>
        <row r="458">
          <cell r="A458">
            <v>32412</v>
          </cell>
          <cell r="B458">
            <v>745.42</v>
          </cell>
          <cell r="C458">
            <v>805.86</v>
          </cell>
          <cell r="D458">
            <v>83.26</v>
          </cell>
          <cell r="E458">
            <v>86.97</v>
          </cell>
          <cell r="F458">
            <v>86.75</v>
          </cell>
          <cell r="G458">
            <v>79.33</v>
          </cell>
          <cell r="H458">
            <v>802.54</v>
          </cell>
          <cell r="I458">
            <v>79.290000000000006</v>
          </cell>
        </row>
        <row r="459">
          <cell r="A459">
            <v>32413</v>
          </cell>
          <cell r="B459">
            <v>748.2</v>
          </cell>
          <cell r="C459">
            <v>802.73</v>
          </cell>
          <cell r="D459">
            <v>83.54</v>
          </cell>
          <cell r="E459">
            <v>86.67</v>
          </cell>
          <cell r="F459">
            <v>86.44</v>
          </cell>
          <cell r="G459">
            <v>80.099999999999994</v>
          </cell>
          <cell r="H459">
            <v>800.32</v>
          </cell>
          <cell r="I459">
            <v>79.150000000000006</v>
          </cell>
        </row>
        <row r="460">
          <cell r="A460">
            <v>32414</v>
          </cell>
          <cell r="B460">
            <v>748.87</v>
          </cell>
          <cell r="C460">
            <v>801.46</v>
          </cell>
          <cell r="D460">
            <v>83.73</v>
          </cell>
          <cell r="E460">
            <v>86.71</v>
          </cell>
          <cell r="F460">
            <v>86.4</v>
          </cell>
          <cell r="G460">
            <v>80.44</v>
          </cell>
          <cell r="H460">
            <v>793.26</v>
          </cell>
          <cell r="I460">
            <v>78.67</v>
          </cell>
        </row>
        <row r="461">
          <cell r="A461">
            <v>32415</v>
          </cell>
          <cell r="B461">
            <v>755.01</v>
          </cell>
          <cell r="C461">
            <v>807.99</v>
          </cell>
          <cell r="D461">
            <v>84.42</v>
          </cell>
          <cell r="E461">
            <v>87.48</v>
          </cell>
          <cell r="F461">
            <v>87.08</v>
          </cell>
          <cell r="G461">
            <v>81.06</v>
          </cell>
          <cell r="H461">
            <v>797.87</v>
          </cell>
          <cell r="I461">
            <v>78.97</v>
          </cell>
        </row>
        <row r="462">
          <cell r="A462">
            <v>32416</v>
          </cell>
          <cell r="B462">
            <v>754.73</v>
          </cell>
          <cell r="C462">
            <v>809.03</v>
          </cell>
          <cell r="D462">
            <v>84.47</v>
          </cell>
          <cell r="E462">
            <v>87.64</v>
          </cell>
          <cell r="F462">
            <v>87.24</v>
          </cell>
          <cell r="G462">
            <v>80.989999999999995</v>
          </cell>
          <cell r="H462">
            <v>799.43</v>
          </cell>
          <cell r="I462">
            <v>79.14</v>
          </cell>
        </row>
        <row r="463">
          <cell r="A463">
            <v>32419</v>
          </cell>
          <cell r="B463">
            <v>750.43</v>
          </cell>
          <cell r="C463">
            <v>809.23</v>
          </cell>
          <cell r="D463">
            <v>84.03</v>
          </cell>
          <cell r="E463">
            <v>87.7</v>
          </cell>
          <cell r="F463">
            <v>87.28</v>
          </cell>
          <cell r="G463">
            <v>80.14</v>
          </cell>
          <cell r="H463">
            <v>801.37</v>
          </cell>
          <cell r="I463">
            <v>79.33</v>
          </cell>
        </row>
        <row r="464">
          <cell r="A464">
            <v>32420</v>
          </cell>
          <cell r="B464">
            <v>752.27</v>
          </cell>
          <cell r="C464">
            <v>812.2</v>
          </cell>
          <cell r="D464">
            <v>84.12</v>
          </cell>
          <cell r="E464">
            <v>87.91</v>
          </cell>
          <cell r="F464">
            <v>87.43</v>
          </cell>
          <cell r="G464">
            <v>80.12</v>
          </cell>
          <cell r="H464">
            <v>802.12</v>
          </cell>
          <cell r="I464">
            <v>79.459999999999994</v>
          </cell>
        </row>
        <row r="465">
          <cell r="A465">
            <v>32421</v>
          </cell>
          <cell r="B465">
            <v>756.65</v>
          </cell>
          <cell r="C465">
            <v>814.6</v>
          </cell>
          <cell r="D465">
            <v>84.71</v>
          </cell>
          <cell r="E465">
            <v>88.19</v>
          </cell>
          <cell r="F465">
            <v>87.72</v>
          </cell>
          <cell r="G465">
            <v>80.97</v>
          </cell>
          <cell r="H465">
            <v>805.02</v>
          </cell>
          <cell r="I465">
            <v>79.790000000000006</v>
          </cell>
        </row>
        <row r="466">
          <cell r="A466">
            <v>32422</v>
          </cell>
          <cell r="B466">
            <v>760.21</v>
          </cell>
          <cell r="C466">
            <v>816.7</v>
          </cell>
          <cell r="D466">
            <v>85.14</v>
          </cell>
          <cell r="E466">
            <v>88.52</v>
          </cell>
          <cell r="F466">
            <v>88.05</v>
          </cell>
          <cell r="G466">
            <v>81.489999999999995</v>
          </cell>
          <cell r="H466">
            <v>808.66</v>
          </cell>
          <cell r="I466">
            <v>80</v>
          </cell>
        </row>
        <row r="467">
          <cell r="A467">
            <v>32423</v>
          </cell>
          <cell r="B467">
            <v>762.42</v>
          </cell>
          <cell r="C467">
            <v>818.72</v>
          </cell>
          <cell r="D467">
            <v>85.44</v>
          </cell>
          <cell r="E467">
            <v>88.7</v>
          </cell>
          <cell r="F467">
            <v>88.27</v>
          </cell>
          <cell r="G467">
            <v>81.89</v>
          </cell>
          <cell r="H467">
            <v>809.43</v>
          </cell>
          <cell r="I467">
            <v>80.08</v>
          </cell>
        </row>
        <row r="468">
          <cell r="A468">
            <v>32426</v>
          </cell>
          <cell r="B468">
            <v>766.75</v>
          </cell>
          <cell r="C468">
            <v>823.99</v>
          </cell>
          <cell r="D468">
            <v>85.91</v>
          </cell>
          <cell r="E468">
            <v>89.18</v>
          </cell>
          <cell r="F468">
            <v>88.76</v>
          </cell>
          <cell r="G468">
            <v>82.35</v>
          </cell>
          <cell r="H468">
            <v>816.8</v>
          </cell>
          <cell r="I468">
            <v>80.7</v>
          </cell>
        </row>
        <row r="469">
          <cell r="A469">
            <v>32427</v>
          </cell>
          <cell r="B469">
            <v>761.83</v>
          </cell>
          <cell r="C469">
            <v>817.84</v>
          </cell>
          <cell r="D469">
            <v>85.57</v>
          </cell>
          <cell r="E469">
            <v>88.73</v>
          </cell>
          <cell r="F469">
            <v>88.35</v>
          </cell>
          <cell r="G469">
            <v>82.11</v>
          </cell>
          <cell r="H469">
            <v>815.58</v>
          </cell>
          <cell r="I469">
            <v>80.59</v>
          </cell>
        </row>
        <row r="470">
          <cell r="A470">
            <v>32428</v>
          </cell>
          <cell r="B470">
            <v>754.97</v>
          </cell>
          <cell r="C470">
            <v>812.66</v>
          </cell>
          <cell r="D470">
            <v>84.96</v>
          </cell>
          <cell r="E470">
            <v>88.32</v>
          </cell>
          <cell r="F470">
            <v>88.01</v>
          </cell>
          <cell r="G470">
            <v>81.319999999999993</v>
          </cell>
          <cell r="H470">
            <v>813.27</v>
          </cell>
          <cell r="I470">
            <v>80.41</v>
          </cell>
        </row>
        <row r="471">
          <cell r="A471">
            <v>32429</v>
          </cell>
          <cell r="B471">
            <v>761.13</v>
          </cell>
          <cell r="C471">
            <v>819.84</v>
          </cell>
          <cell r="D471">
            <v>85.5</v>
          </cell>
          <cell r="E471">
            <v>88.95</v>
          </cell>
          <cell r="F471">
            <v>88.44</v>
          </cell>
          <cell r="G471">
            <v>81.78</v>
          </cell>
          <cell r="H471">
            <v>805.62</v>
          </cell>
          <cell r="I471">
            <v>79.78</v>
          </cell>
        </row>
        <row r="472">
          <cell r="A472">
            <v>32430</v>
          </cell>
          <cell r="B472">
            <v>765.57</v>
          </cell>
          <cell r="C472">
            <v>823.39</v>
          </cell>
          <cell r="D472">
            <v>86</v>
          </cell>
          <cell r="E472">
            <v>89.35</v>
          </cell>
          <cell r="F472">
            <v>88.88</v>
          </cell>
          <cell r="G472">
            <v>82.36</v>
          </cell>
          <cell r="H472">
            <v>814.16</v>
          </cell>
          <cell r="I472">
            <v>80.45</v>
          </cell>
        </row>
        <row r="473">
          <cell r="A473">
            <v>32433</v>
          </cell>
          <cell r="B473">
            <v>769.28</v>
          </cell>
          <cell r="C473">
            <v>825.53</v>
          </cell>
          <cell r="D473">
            <v>86.39</v>
          </cell>
          <cell r="E473">
            <v>89.6</v>
          </cell>
          <cell r="F473">
            <v>89.04</v>
          </cell>
          <cell r="G473">
            <v>82.88</v>
          </cell>
          <cell r="H473">
            <v>815.11</v>
          </cell>
          <cell r="I473">
            <v>80.62</v>
          </cell>
        </row>
        <row r="474">
          <cell r="A474">
            <v>32434</v>
          </cell>
          <cell r="B474">
            <v>772.08</v>
          </cell>
          <cell r="C474">
            <v>833.38</v>
          </cell>
          <cell r="D474">
            <v>86.57</v>
          </cell>
          <cell r="E474">
            <v>90.31</v>
          </cell>
          <cell r="F474">
            <v>89.63</v>
          </cell>
          <cell r="G474">
            <v>82.58</v>
          </cell>
          <cell r="H474">
            <v>812.83</v>
          </cell>
          <cell r="I474">
            <v>80.48</v>
          </cell>
        </row>
        <row r="475">
          <cell r="A475">
            <v>32435</v>
          </cell>
          <cell r="B475">
            <v>775.61</v>
          </cell>
          <cell r="C475">
            <v>837.6</v>
          </cell>
          <cell r="D475">
            <v>86.93</v>
          </cell>
          <cell r="E475">
            <v>90.66</v>
          </cell>
          <cell r="F475">
            <v>89.98</v>
          </cell>
          <cell r="G475">
            <v>82.95</v>
          </cell>
          <cell r="H475">
            <v>812.31</v>
          </cell>
          <cell r="I475">
            <v>80.48</v>
          </cell>
        </row>
        <row r="476">
          <cell r="A476">
            <v>32436</v>
          </cell>
          <cell r="B476">
            <v>774.29</v>
          </cell>
          <cell r="C476">
            <v>832.5</v>
          </cell>
          <cell r="D476">
            <v>86.87</v>
          </cell>
          <cell r="E476">
            <v>90.33</v>
          </cell>
          <cell r="F476">
            <v>89.7</v>
          </cell>
          <cell r="G476">
            <v>83.14</v>
          </cell>
          <cell r="H476">
            <v>815.19</v>
          </cell>
          <cell r="I476">
            <v>80.64</v>
          </cell>
        </row>
        <row r="477">
          <cell r="A477">
            <v>32437</v>
          </cell>
          <cell r="B477">
            <v>771.36</v>
          </cell>
          <cell r="C477">
            <v>832.21</v>
          </cell>
          <cell r="D477">
            <v>86.63</v>
          </cell>
          <cell r="E477">
            <v>90.44</v>
          </cell>
          <cell r="F477">
            <v>89.91</v>
          </cell>
          <cell r="G477">
            <v>82.59</v>
          </cell>
          <cell r="H477">
            <v>819.13</v>
          </cell>
          <cell r="I477">
            <v>81.010000000000005</v>
          </cell>
        </row>
        <row r="478">
          <cell r="A478">
            <v>32440</v>
          </cell>
          <cell r="B478">
            <v>768.28</v>
          </cell>
          <cell r="C478">
            <v>831.32</v>
          </cell>
          <cell r="D478">
            <v>86.35</v>
          </cell>
          <cell r="E478">
            <v>90.55</v>
          </cell>
          <cell r="F478">
            <v>90.02</v>
          </cell>
          <cell r="G478">
            <v>81.96</v>
          </cell>
          <cell r="H478">
            <v>823.45</v>
          </cell>
          <cell r="I478">
            <v>81.36</v>
          </cell>
        </row>
        <row r="479">
          <cell r="A479">
            <v>32441</v>
          </cell>
          <cell r="B479">
            <v>769.89</v>
          </cell>
          <cell r="C479">
            <v>832.41</v>
          </cell>
          <cell r="D479">
            <v>86.4</v>
          </cell>
          <cell r="E479">
            <v>90.64</v>
          </cell>
          <cell r="F479">
            <v>90.09</v>
          </cell>
          <cell r="G479">
            <v>81.98</v>
          </cell>
          <cell r="H479">
            <v>823.17</v>
          </cell>
          <cell r="I479">
            <v>81.45</v>
          </cell>
        </row>
        <row r="480">
          <cell r="A480">
            <v>32442</v>
          </cell>
          <cell r="B480">
            <v>779.73</v>
          </cell>
          <cell r="C480">
            <v>846.5</v>
          </cell>
          <cell r="D480">
            <v>87.43</v>
          </cell>
          <cell r="E480">
            <v>92.04</v>
          </cell>
          <cell r="F480">
            <v>91.46</v>
          </cell>
          <cell r="G480">
            <v>82.69</v>
          </cell>
          <cell r="H480">
            <v>832.96</v>
          </cell>
          <cell r="I480">
            <v>82.56</v>
          </cell>
        </row>
        <row r="481">
          <cell r="A481">
            <v>32443</v>
          </cell>
          <cell r="B481">
            <v>772.7</v>
          </cell>
          <cell r="C481">
            <v>836.33</v>
          </cell>
          <cell r="D481">
            <v>86.67</v>
          </cell>
          <cell r="E481">
            <v>90.92</v>
          </cell>
          <cell r="F481">
            <v>90.41</v>
          </cell>
          <cell r="G481">
            <v>82.25</v>
          </cell>
          <cell r="H481">
            <v>826.79</v>
          </cell>
          <cell r="I481">
            <v>81.900000000000006</v>
          </cell>
        </row>
        <row r="482">
          <cell r="A482">
            <v>32444</v>
          </cell>
          <cell r="B482">
            <v>776.63</v>
          </cell>
          <cell r="C482">
            <v>841.45</v>
          </cell>
          <cell r="D482">
            <v>87.08</v>
          </cell>
          <cell r="E482">
            <v>91.32</v>
          </cell>
          <cell r="F482">
            <v>90.81</v>
          </cell>
          <cell r="G482">
            <v>82.66</v>
          </cell>
          <cell r="H482">
            <v>831.43</v>
          </cell>
          <cell r="I482">
            <v>82.26</v>
          </cell>
        </row>
        <row r="483">
          <cell r="A483">
            <v>32447</v>
          </cell>
          <cell r="B483">
            <v>774.19</v>
          </cell>
          <cell r="C483">
            <v>837.84</v>
          </cell>
          <cell r="D483">
            <v>86.97</v>
          </cell>
          <cell r="E483">
            <v>91.1</v>
          </cell>
          <cell r="F483">
            <v>90.61</v>
          </cell>
          <cell r="G483">
            <v>82.65</v>
          </cell>
          <cell r="H483">
            <v>838.19</v>
          </cell>
          <cell r="I483">
            <v>82.86</v>
          </cell>
        </row>
        <row r="484">
          <cell r="A484">
            <v>32448</v>
          </cell>
          <cell r="B484">
            <v>779.6</v>
          </cell>
          <cell r="C484">
            <v>842.83</v>
          </cell>
          <cell r="D484">
            <v>87.42</v>
          </cell>
          <cell r="E484">
            <v>91.49</v>
          </cell>
          <cell r="F484">
            <v>91.06</v>
          </cell>
          <cell r="G484">
            <v>83.14</v>
          </cell>
          <cell r="H484">
            <v>843.68</v>
          </cell>
          <cell r="I484">
            <v>83.26</v>
          </cell>
        </row>
        <row r="485">
          <cell r="A485">
            <v>32449</v>
          </cell>
          <cell r="B485">
            <v>775.18</v>
          </cell>
          <cell r="C485">
            <v>838.65</v>
          </cell>
          <cell r="D485">
            <v>87.05</v>
          </cell>
          <cell r="E485">
            <v>91.2</v>
          </cell>
          <cell r="F485">
            <v>90.84</v>
          </cell>
          <cell r="G485">
            <v>82.71</v>
          </cell>
          <cell r="H485">
            <v>845.81</v>
          </cell>
          <cell r="I485">
            <v>83.47</v>
          </cell>
        </row>
        <row r="486">
          <cell r="A486">
            <v>32450</v>
          </cell>
          <cell r="B486">
            <v>773.24</v>
          </cell>
          <cell r="C486">
            <v>837.14</v>
          </cell>
          <cell r="D486">
            <v>86.78</v>
          </cell>
          <cell r="E486">
            <v>91.01</v>
          </cell>
          <cell r="F486">
            <v>90.62</v>
          </cell>
          <cell r="G486">
            <v>82.37</v>
          </cell>
          <cell r="H486">
            <v>841.79</v>
          </cell>
          <cell r="I486">
            <v>83.13</v>
          </cell>
        </row>
        <row r="487">
          <cell r="A487">
            <v>32451</v>
          </cell>
          <cell r="B487">
            <v>774.37</v>
          </cell>
          <cell r="C487">
            <v>838.31</v>
          </cell>
          <cell r="D487">
            <v>87</v>
          </cell>
          <cell r="E487">
            <v>91.22</v>
          </cell>
          <cell r="F487">
            <v>90.87</v>
          </cell>
          <cell r="G487">
            <v>82.59</v>
          </cell>
          <cell r="H487">
            <v>856.2</v>
          </cell>
          <cell r="I487">
            <v>84.23</v>
          </cell>
        </row>
        <row r="488">
          <cell r="A488">
            <v>32454</v>
          </cell>
          <cell r="B488">
            <v>767.47</v>
          </cell>
          <cell r="C488">
            <v>830.56</v>
          </cell>
          <cell r="D488">
            <v>86.29</v>
          </cell>
          <cell r="E488">
            <v>90.56</v>
          </cell>
          <cell r="F488">
            <v>90.2</v>
          </cell>
          <cell r="G488">
            <v>81.84</v>
          </cell>
          <cell r="H488">
            <v>846.58</v>
          </cell>
          <cell r="I488">
            <v>83.48</v>
          </cell>
        </row>
        <row r="489">
          <cell r="A489">
            <v>32455</v>
          </cell>
          <cell r="B489">
            <v>774.34</v>
          </cell>
          <cell r="C489">
            <v>836.86</v>
          </cell>
          <cell r="D489">
            <v>86.98</v>
          </cell>
          <cell r="E489">
            <v>91.14</v>
          </cell>
          <cell r="F489">
            <v>90.73</v>
          </cell>
          <cell r="G489">
            <v>82.64</v>
          </cell>
          <cell r="H489">
            <v>851.39</v>
          </cell>
          <cell r="I489">
            <v>84.05</v>
          </cell>
        </row>
        <row r="490">
          <cell r="A490">
            <v>32456</v>
          </cell>
          <cell r="B490">
            <v>768.61</v>
          </cell>
          <cell r="C490">
            <v>833.03</v>
          </cell>
          <cell r="D490">
            <v>86.45</v>
          </cell>
          <cell r="E490">
            <v>90.87</v>
          </cell>
          <cell r="F490">
            <v>90.48</v>
          </cell>
          <cell r="G490">
            <v>81.88</v>
          </cell>
          <cell r="H490">
            <v>848.52</v>
          </cell>
          <cell r="I490">
            <v>83.83</v>
          </cell>
        </row>
        <row r="491">
          <cell r="A491">
            <v>32457</v>
          </cell>
          <cell r="B491">
            <v>767.3</v>
          </cell>
          <cell r="C491">
            <v>830.49</v>
          </cell>
          <cell r="D491">
            <v>86.29</v>
          </cell>
          <cell r="E491">
            <v>90.6</v>
          </cell>
          <cell r="F491">
            <v>90.14</v>
          </cell>
          <cell r="G491">
            <v>81.81</v>
          </cell>
          <cell r="H491">
            <v>844.11</v>
          </cell>
          <cell r="I491">
            <v>83.5</v>
          </cell>
        </row>
        <row r="492">
          <cell r="A492">
            <v>32458</v>
          </cell>
          <cell r="B492">
            <v>761.11</v>
          </cell>
          <cell r="C492">
            <v>826.42</v>
          </cell>
          <cell r="D492">
            <v>85.47</v>
          </cell>
          <cell r="E492">
            <v>90.1</v>
          </cell>
          <cell r="F492">
            <v>89.59</v>
          </cell>
          <cell r="G492">
            <v>80.709999999999994</v>
          </cell>
          <cell r="H492">
            <v>831.79</v>
          </cell>
          <cell r="I492">
            <v>82.59</v>
          </cell>
        </row>
        <row r="493">
          <cell r="A493">
            <v>32461</v>
          </cell>
          <cell r="B493">
            <v>757.55</v>
          </cell>
          <cell r="C493">
            <v>821.69</v>
          </cell>
          <cell r="D493">
            <v>84.93</v>
          </cell>
          <cell r="E493">
            <v>89.35</v>
          </cell>
          <cell r="F493">
            <v>88.83</v>
          </cell>
          <cell r="G493">
            <v>80.38</v>
          </cell>
          <cell r="H493">
            <v>822.56</v>
          </cell>
          <cell r="I493">
            <v>81.599999999999994</v>
          </cell>
        </row>
        <row r="494">
          <cell r="A494">
            <v>32462</v>
          </cell>
          <cell r="B494">
            <v>757.09</v>
          </cell>
          <cell r="C494">
            <v>819.76</v>
          </cell>
          <cell r="D494">
            <v>85.04</v>
          </cell>
          <cell r="E494">
            <v>89.27</v>
          </cell>
          <cell r="F494">
            <v>88.79</v>
          </cell>
          <cell r="G494">
            <v>80.650000000000006</v>
          </cell>
          <cell r="H494">
            <v>823.86</v>
          </cell>
          <cell r="I494">
            <v>81.680000000000007</v>
          </cell>
        </row>
        <row r="495">
          <cell r="A495">
            <v>32463</v>
          </cell>
          <cell r="B495">
            <v>758.02</v>
          </cell>
          <cell r="C495">
            <v>822.09</v>
          </cell>
          <cell r="D495">
            <v>85.22</v>
          </cell>
          <cell r="E495">
            <v>89.55</v>
          </cell>
          <cell r="F495">
            <v>89.08</v>
          </cell>
          <cell r="G495">
            <v>80.73</v>
          </cell>
          <cell r="H495">
            <v>828.64</v>
          </cell>
          <cell r="I495">
            <v>82.05</v>
          </cell>
        </row>
        <row r="496">
          <cell r="A496">
            <v>32464</v>
          </cell>
          <cell r="B496">
            <v>760.9</v>
          </cell>
          <cell r="C496">
            <v>819.3</v>
          </cell>
          <cell r="D496">
            <v>85.39</v>
          </cell>
          <cell r="E496">
            <v>89.23</v>
          </cell>
          <cell r="F496">
            <v>88.74</v>
          </cell>
          <cell r="G496">
            <v>81.319999999999993</v>
          </cell>
          <cell r="H496">
            <v>822.83</v>
          </cell>
          <cell r="I496">
            <v>81.66</v>
          </cell>
        </row>
        <row r="497">
          <cell r="A497">
            <v>32465</v>
          </cell>
          <cell r="B497">
            <v>761.04</v>
          </cell>
          <cell r="C497">
            <v>825.01</v>
          </cell>
          <cell r="D497">
            <v>85.37</v>
          </cell>
          <cell r="E497">
            <v>89.66</v>
          </cell>
          <cell r="F497">
            <v>88.65</v>
          </cell>
          <cell r="G497">
            <v>80.92</v>
          </cell>
          <cell r="H497">
            <v>829.44</v>
          </cell>
          <cell r="I497">
            <v>82.18</v>
          </cell>
        </row>
        <row r="498">
          <cell r="A498">
            <v>32468</v>
          </cell>
          <cell r="B498">
            <v>756.31</v>
          </cell>
          <cell r="C498">
            <v>822.15</v>
          </cell>
          <cell r="D498">
            <v>84.82</v>
          </cell>
          <cell r="E498">
            <v>89.26</v>
          </cell>
          <cell r="F498">
            <v>88.14</v>
          </cell>
          <cell r="G498">
            <v>80.25</v>
          </cell>
          <cell r="H498">
            <v>831.75</v>
          </cell>
          <cell r="I498">
            <v>82.36</v>
          </cell>
        </row>
        <row r="499">
          <cell r="A499">
            <v>32469</v>
          </cell>
          <cell r="B499">
            <v>757.82</v>
          </cell>
          <cell r="C499">
            <v>822.15</v>
          </cell>
          <cell r="D499">
            <v>85</v>
          </cell>
          <cell r="E499">
            <v>89.18</v>
          </cell>
          <cell r="F499">
            <v>88.13</v>
          </cell>
          <cell r="G499">
            <v>80.650000000000006</v>
          </cell>
          <cell r="H499">
            <v>835.32</v>
          </cell>
          <cell r="I499">
            <v>82.71</v>
          </cell>
        </row>
        <row r="500">
          <cell r="A500">
            <v>32470</v>
          </cell>
          <cell r="B500">
            <v>764.23</v>
          </cell>
          <cell r="C500">
            <v>828.6</v>
          </cell>
          <cell r="D500">
            <v>85.7</v>
          </cell>
          <cell r="E500">
            <v>89.79</v>
          </cell>
          <cell r="F500">
            <v>88.82</v>
          </cell>
          <cell r="G500">
            <v>81.41</v>
          </cell>
          <cell r="H500">
            <v>847.6</v>
          </cell>
          <cell r="I500">
            <v>83.87</v>
          </cell>
        </row>
        <row r="501">
          <cell r="A501">
            <v>32471</v>
          </cell>
          <cell r="B501">
            <v>766.03</v>
          </cell>
          <cell r="C501">
            <v>829.94</v>
          </cell>
          <cell r="D501">
            <v>85.71</v>
          </cell>
          <cell r="E501">
            <v>89.92</v>
          </cell>
          <cell r="F501">
            <v>89.04</v>
          </cell>
          <cell r="G501">
            <v>81.319999999999993</v>
          </cell>
          <cell r="H501">
            <v>843.99</v>
          </cell>
          <cell r="I501">
            <v>83.61</v>
          </cell>
        </row>
        <row r="502">
          <cell r="A502">
            <v>32472</v>
          </cell>
          <cell r="B502">
            <v>760.11</v>
          </cell>
          <cell r="C502">
            <v>827.28</v>
          </cell>
          <cell r="D502">
            <v>84.94</v>
          </cell>
          <cell r="E502">
            <v>89.67</v>
          </cell>
          <cell r="F502">
            <v>88.82</v>
          </cell>
          <cell r="G502">
            <v>80.12</v>
          </cell>
          <cell r="H502">
            <v>836.02</v>
          </cell>
          <cell r="I502">
            <v>83.02</v>
          </cell>
        </row>
        <row r="503">
          <cell r="A503">
            <v>32475</v>
          </cell>
          <cell r="B503">
            <v>758.05</v>
          </cell>
          <cell r="C503">
            <v>822.2</v>
          </cell>
          <cell r="D503">
            <v>84.58</v>
          </cell>
          <cell r="E503">
            <v>89.14</v>
          </cell>
          <cell r="F503">
            <v>88.34</v>
          </cell>
          <cell r="G503">
            <v>79.900000000000006</v>
          </cell>
          <cell r="H503">
            <v>837</v>
          </cell>
          <cell r="I503">
            <v>83.09</v>
          </cell>
        </row>
        <row r="504">
          <cell r="A504">
            <v>32476</v>
          </cell>
          <cell r="B504">
            <v>760.27</v>
          </cell>
          <cell r="C504">
            <v>823.08</v>
          </cell>
          <cell r="D504">
            <v>84.83</v>
          </cell>
          <cell r="E504">
            <v>89.17</v>
          </cell>
          <cell r="F504">
            <v>88.41</v>
          </cell>
          <cell r="G504">
            <v>80.349999999999994</v>
          </cell>
          <cell r="H504">
            <v>843.67</v>
          </cell>
          <cell r="I504">
            <v>83.51</v>
          </cell>
        </row>
        <row r="505">
          <cell r="A505">
            <v>32477</v>
          </cell>
          <cell r="B505">
            <v>764.98</v>
          </cell>
          <cell r="C505">
            <v>828.32</v>
          </cell>
          <cell r="D505">
            <v>85.33</v>
          </cell>
          <cell r="E505">
            <v>89.56</v>
          </cell>
          <cell r="F505">
            <v>88.81</v>
          </cell>
          <cell r="G505">
            <v>80.94</v>
          </cell>
          <cell r="H505">
            <v>855.03</v>
          </cell>
          <cell r="I505">
            <v>84.59</v>
          </cell>
        </row>
        <row r="506">
          <cell r="A506">
            <v>32478</v>
          </cell>
          <cell r="B506">
            <v>762.41</v>
          </cell>
          <cell r="C506">
            <v>828.11</v>
          </cell>
          <cell r="D506">
            <v>85.03</v>
          </cell>
          <cell r="E506">
            <v>89.53</v>
          </cell>
          <cell r="F506">
            <v>88.81</v>
          </cell>
          <cell r="G506">
            <v>80.39</v>
          </cell>
          <cell r="H506">
            <v>862.43</v>
          </cell>
          <cell r="I506">
            <v>85.32</v>
          </cell>
        </row>
        <row r="507">
          <cell r="A507">
            <v>32479</v>
          </cell>
          <cell r="B507">
            <v>758.86</v>
          </cell>
          <cell r="C507">
            <v>825.56</v>
          </cell>
          <cell r="D507">
            <v>84.65</v>
          </cell>
          <cell r="E507">
            <v>89.31</v>
          </cell>
          <cell r="F507">
            <v>88.61</v>
          </cell>
          <cell r="G507">
            <v>79.87</v>
          </cell>
          <cell r="H507">
            <v>866.41</v>
          </cell>
          <cell r="I507">
            <v>85.79</v>
          </cell>
        </row>
        <row r="508">
          <cell r="A508">
            <v>32482</v>
          </cell>
          <cell r="B508">
            <v>758.27</v>
          </cell>
          <cell r="C508">
            <v>823.66</v>
          </cell>
          <cell r="D508">
            <v>84.56</v>
          </cell>
          <cell r="E508">
            <v>89.08</v>
          </cell>
          <cell r="F508">
            <v>88.45</v>
          </cell>
          <cell r="G508">
            <v>79.91</v>
          </cell>
          <cell r="H508">
            <v>873.6</v>
          </cell>
          <cell r="I508">
            <v>86.39</v>
          </cell>
        </row>
        <row r="509">
          <cell r="A509">
            <v>32483</v>
          </cell>
          <cell r="B509">
            <v>761.9</v>
          </cell>
          <cell r="C509">
            <v>827.01</v>
          </cell>
          <cell r="D509">
            <v>84.94</v>
          </cell>
          <cell r="E509">
            <v>89.35</v>
          </cell>
          <cell r="F509">
            <v>88.81</v>
          </cell>
          <cell r="G509">
            <v>80.39</v>
          </cell>
          <cell r="H509">
            <v>889.19</v>
          </cell>
          <cell r="I509">
            <v>87.78</v>
          </cell>
        </row>
        <row r="510">
          <cell r="A510">
            <v>32484</v>
          </cell>
          <cell r="B510">
            <v>767.12</v>
          </cell>
          <cell r="C510">
            <v>834.37</v>
          </cell>
          <cell r="D510">
            <v>85.35</v>
          </cell>
          <cell r="E510">
            <v>90</v>
          </cell>
          <cell r="F510">
            <v>89.38</v>
          </cell>
          <cell r="G510">
            <v>80.569999999999993</v>
          </cell>
          <cell r="H510">
            <v>894.84</v>
          </cell>
          <cell r="I510">
            <v>88.2</v>
          </cell>
        </row>
        <row r="511">
          <cell r="A511">
            <v>32485</v>
          </cell>
          <cell r="B511">
            <v>764.77</v>
          </cell>
          <cell r="C511">
            <v>833.25</v>
          </cell>
          <cell r="D511">
            <v>84.95</v>
          </cell>
          <cell r="E511">
            <v>89.89</v>
          </cell>
          <cell r="F511">
            <v>89.26</v>
          </cell>
          <cell r="G511">
            <v>79.930000000000007</v>
          </cell>
          <cell r="H511">
            <v>891.17</v>
          </cell>
          <cell r="I511">
            <v>87.81</v>
          </cell>
        </row>
        <row r="512">
          <cell r="A512">
            <v>32486</v>
          </cell>
          <cell r="B512">
            <v>769.72</v>
          </cell>
          <cell r="C512">
            <v>843.45</v>
          </cell>
          <cell r="D512">
            <v>85.28</v>
          </cell>
          <cell r="E512">
            <v>90.86</v>
          </cell>
          <cell r="F512">
            <v>90.19</v>
          </cell>
          <cell r="G512">
            <v>79.7</v>
          </cell>
          <cell r="H512">
            <v>899.92</v>
          </cell>
          <cell r="I512">
            <v>88.69</v>
          </cell>
        </row>
        <row r="513">
          <cell r="A513">
            <v>32489</v>
          </cell>
          <cell r="B513">
            <v>762.67</v>
          </cell>
          <cell r="C513">
            <v>836.02</v>
          </cell>
          <cell r="D513">
            <v>84.52</v>
          </cell>
          <cell r="E513">
            <v>90.03</v>
          </cell>
          <cell r="F513">
            <v>89.39</v>
          </cell>
          <cell r="G513">
            <v>79.010000000000005</v>
          </cell>
          <cell r="H513">
            <v>889.8</v>
          </cell>
          <cell r="I513">
            <v>87.75</v>
          </cell>
        </row>
        <row r="514">
          <cell r="A514">
            <v>32490</v>
          </cell>
          <cell r="B514">
            <v>763.09</v>
          </cell>
          <cell r="C514">
            <v>835.75</v>
          </cell>
          <cell r="D514">
            <v>84.54</v>
          </cell>
          <cell r="E514">
            <v>89.99</v>
          </cell>
          <cell r="F514">
            <v>89.34</v>
          </cell>
          <cell r="G514">
            <v>79.08</v>
          </cell>
          <cell r="H514">
            <v>893.61</v>
          </cell>
          <cell r="I514">
            <v>87.85</v>
          </cell>
        </row>
        <row r="515">
          <cell r="A515">
            <v>32491</v>
          </cell>
          <cell r="B515">
            <v>761.56</v>
          </cell>
          <cell r="C515">
            <v>832.87</v>
          </cell>
          <cell r="D515">
            <v>84.28</v>
          </cell>
          <cell r="E515">
            <v>89.69</v>
          </cell>
          <cell r="F515">
            <v>89.04</v>
          </cell>
          <cell r="G515">
            <v>78.87</v>
          </cell>
          <cell r="H515">
            <v>894.17</v>
          </cell>
          <cell r="I515">
            <v>87.89</v>
          </cell>
        </row>
        <row r="516">
          <cell r="A516">
            <v>32492</v>
          </cell>
          <cell r="B516">
            <v>762.5</v>
          </cell>
          <cell r="C516">
            <v>832.27</v>
          </cell>
          <cell r="D516">
            <v>84.43</v>
          </cell>
          <cell r="E516">
            <v>89.52</v>
          </cell>
          <cell r="F516">
            <v>88.83</v>
          </cell>
          <cell r="G516">
            <v>79.290000000000006</v>
          </cell>
          <cell r="H516">
            <v>893.18</v>
          </cell>
          <cell r="I516">
            <v>87.83</v>
          </cell>
        </row>
        <row r="517">
          <cell r="A517">
            <v>32493</v>
          </cell>
          <cell r="B517">
            <v>767.52</v>
          </cell>
          <cell r="C517">
            <v>839.18</v>
          </cell>
          <cell r="D517">
            <v>85.03</v>
          </cell>
          <cell r="E517">
            <v>90.17</v>
          </cell>
          <cell r="F517">
            <v>89.44</v>
          </cell>
          <cell r="G517">
            <v>79.84</v>
          </cell>
          <cell r="H517">
            <v>901.47</v>
          </cell>
          <cell r="I517">
            <v>88.57</v>
          </cell>
        </row>
        <row r="518">
          <cell r="A518">
            <v>32496</v>
          </cell>
          <cell r="B518">
            <v>771.09</v>
          </cell>
          <cell r="C518">
            <v>846.69</v>
          </cell>
          <cell r="D518">
            <v>85.33</v>
          </cell>
          <cell r="E518">
            <v>90.69</v>
          </cell>
          <cell r="F518">
            <v>89.81</v>
          </cell>
          <cell r="G518">
            <v>79.94</v>
          </cell>
          <cell r="H518">
            <v>898.78</v>
          </cell>
          <cell r="I518">
            <v>88.34</v>
          </cell>
        </row>
        <row r="519">
          <cell r="A519">
            <v>32497</v>
          </cell>
          <cell r="B519">
            <v>776.6</v>
          </cell>
          <cell r="C519">
            <v>854.39</v>
          </cell>
          <cell r="D519">
            <v>85.93</v>
          </cell>
          <cell r="E519">
            <v>91.54</v>
          </cell>
          <cell r="F519">
            <v>90.66</v>
          </cell>
          <cell r="G519">
            <v>80.319999999999993</v>
          </cell>
          <cell r="H519">
            <v>907.25</v>
          </cell>
          <cell r="I519">
            <v>89.14</v>
          </cell>
        </row>
        <row r="520">
          <cell r="A520">
            <v>32498</v>
          </cell>
          <cell r="B520">
            <v>774.34</v>
          </cell>
          <cell r="C520">
            <v>853.69</v>
          </cell>
          <cell r="D520">
            <v>85.89</v>
          </cell>
          <cell r="E520">
            <v>91.59</v>
          </cell>
          <cell r="F520">
            <v>90.79</v>
          </cell>
          <cell r="G520">
            <v>80.2</v>
          </cell>
          <cell r="H520">
            <v>919.52</v>
          </cell>
          <cell r="I520">
            <v>90.64</v>
          </cell>
        </row>
        <row r="521">
          <cell r="A521">
            <v>32499</v>
          </cell>
          <cell r="B521">
            <v>761.63</v>
          </cell>
          <cell r="C521">
            <v>843.38</v>
          </cell>
          <cell r="D521">
            <v>84.49</v>
          </cell>
          <cell r="E521">
            <v>90.45</v>
          </cell>
          <cell r="F521">
            <v>89.57</v>
          </cell>
          <cell r="G521">
            <v>78.58</v>
          </cell>
          <cell r="H521">
            <v>902.58</v>
          </cell>
          <cell r="I521">
            <v>89.04</v>
          </cell>
        </row>
        <row r="522">
          <cell r="A522">
            <v>32500</v>
          </cell>
          <cell r="B522">
            <v>775.45</v>
          </cell>
          <cell r="C522">
            <v>856.46</v>
          </cell>
          <cell r="D522">
            <v>86.07</v>
          </cell>
          <cell r="E522">
            <v>91.98</v>
          </cell>
          <cell r="F522">
            <v>91.11</v>
          </cell>
          <cell r="G522">
            <v>80.19</v>
          </cell>
          <cell r="H522">
            <v>917.19</v>
          </cell>
          <cell r="I522">
            <v>90.46</v>
          </cell>
        </row>
        <row r="523">
          <cell r="A523">
            <v>32503</v>
          </cell>
          <cell r="B523">
            <v>775.37</v>
          </cell>
          <cell r="C523">
            <v>856.06</v>
          </cell>
          <cell r="D523">
            <v>86.06</v>
          </cell>
          <cell r="E523">
            <v>91.96</v>
          </cell>
          <cell r="F523">
            <v>91.1</v>
          </cell>
          <cell r="G523">
            <v>80.2</v>
          </cell>
          <cell r="H523">
            <v>915.33</v>
          </cell>
          <cell r="I523">
            <v>90.28</v>
          </cell>
        </row>
        <row r="524">
          <cell r="A524">
            <v>32504</v>
          </cell>
          <cell r="B524">
            <v>778.58</v>
          </cell>
          <cell r="C524">
            <v>861.08</v>
          </cell>
          <cell r="D524">
            <v>86.26</v>
          </cell>
          <cell r="E524">
            <v>92.37</v>
          </cell>
          <cell r="F524">
            <v>91.45</v>
          </cell>
          <cell r="G524">
            <v>80.22</v>
          </cell>
          <cell r="H524">
            <v>918.89</v>
          </cell>
          <cell r="I524">
            <v>90.55</v>
          </cell>
        </row>
        <row r="525">
          <cell r="A525">
            <v>32505</v>
          </cell>
          <cell r="B525">
            <v>779.77</v>
          </cell>
          <cell r="C525">
            <v>859.15</v>
          </cell>
          <cell r="D525">
            <v>86.53</v>
          </cell>
          <cell r="E525">
            <v>92.22</v>
          </cell>
          <cell r="F525">
            <v>91.4</v>
          </cell>
          <cell r="G525">
            <v>80.86</v>
          </cell>
          <cell r="H525">
            <v>926.33</v>
          </cell>
          <cell r="I525">
            <v>91.2</v>
          </cell>
        </row>
        <row r="526">
          <cell r="A526">
            <v>32506</v>
          </cell>
          <cell r="B526">
            <v>783.33</v>
          </cell>
          <cell r="C526">
            <v>861.22</v>
          </cell>
          <cell r="D526">
            <v>87.04</v>
          </cell>
          <cell r="E526">
            <v>92.47</v>
          </cell>
          <cell r="F526">
            <v>91.71</v>
          </cell>
          <cell r="G526">
            <v>81.569999999999993</v>
          </cell>
          <cell r="H526">
            <v>929.51</v>
          </cell>
          <cell r="I526">
            <v>91.81</v>
          </cell>
        </row>
        <row r="527">
          <cell r="A527">
            <v>32507</v>
          </cell>
          <cell r="B527">
            <v>781.29</v>
          </cell>
          <cell r="C527">
            <v>861.36</v>
          </cell>
          <cell r="D527">
            <v>86.85</v>
          </cell>
          <cell r="E527">
            <v>92.51</v>
          </cell>
          <cell r="F527">
            <v>91.68</v>
          </cell>
          <cell r="G527">
            <v>81.180000000000007</v>
          </cell>
          <cell r="H527">
            <v>922.41</v>
          </cell>
          <cell r="I527">
            <v>91.32</v>
          </cell>
        </row>
        <row r="528">
          <cell r="A528">
            <v>32510</v>
          </cell>
          <cell r="B528">
            <v>783.33</v>
          </cell>
          <cell r="C528">
            <v>866.04</v>
          </cell>
          <cell r="D528">
            <v>87.04</v>
          </cell>
          <cell r="E528">
            <v>92.92</v>
          </cell>
          <cell r="F528">
            <v>92.01</v>
          </cell>
          <cell r="G528">
            <v>81.180000000000007</v>
          </cell>
          <cell r="H528">
            <v>909.56</v>
          </cell>
          <cell r="I528">
            <v>90.62</v>
          </cell>
        </row>
        <row r="529">
          <cell r="A529">
            <v>32511</v>
          </cell>
          <cell r="B529">
            <v>787.65</v>
          </cell>
          <cell r="C529">
            <v>872.11</v>
          </cell>
          <cell r="D529">
            <v>87.38</v>
          </cell>
          <cell r="E529">
            <v>93.55</v>
          </cell>
          <cell r="F529">
            <v>92.75</v>
          </cell>
          <cell r="G529">
            <v>81.260000000000005</v>
          </cell>
          <cell r="H529">
            <v>925.76</v>
          </cell>
          <cell r="I529">
            <v>92.11</v>
          </cell>
        </row>
        <row r="530">
          <cell r="A530">
            <v>32512</v>
          </cell>
          <cell r="B530">
            <v>792.62</v>
          </cell>
          <cell r="C530">
            <v>876.29</v>
          </cell>
          <cell r="D530">
            <v>87.93</v>
          </cell>
          <cell r="E530">
            <v>93.9</v>
          </cell>
          <cell r="F530">
            <v>93.11</v>
          </cell>
          <cell r="G530">
            <v>81.98</v>
          </cell>
          <cell r="H530">
            <v>933.74</v>
          </cell>
          <cell r="I530">
            <v>92.66</v>
          </cell>
        </row>
        <row r="531">
          <cell r="A531">
            <v>32513</v>
          </cell>
          <cell r="B531">
            <v>797.61</v>
          </cell>
          <cell r="C531">
            <v>883.29</v>
          </cell>
          <cell r="D531">
            <v>88.38</v>
          </cell>
          <cell r="E531">
            <v>94.52</v>
          </cell>
          <cell r="F531">
            <v>93.8</v>
          </cell>
          <cell r="G531">
            <v>82.29</v>
          </cell>
          <cell r="H531">
            <v>955.63</v>
          </cell>
          <cell r="I531">
            <v>94.48</v>
          </cell>
        </row>
        <row r="532">
          <cell r="A532">
            <v>32514</v>
          </cell>
          <cell r="B532">
            <v>800.79</v>
          </cell>
          <cell r="C532">
            <v>884.13</v>
          </cell>
          <cell r="D532">
            <v>88.72</v>
          </cell>
          <cell r="E532">
            <v>94.71</v>
          </cell>
          <cell r="F532">
            <v>93.96</v>
          </cell>
          <cell r="G532">
            <v>82.75</v>
          </cell>
          <cell r="H532">
            <v>956.54</v>
          </cell>
          <cell r="I532">
            <v>94.59</v>
          </cell>
        </row>
        <row r="533">
          <cell r="A533">
            <v>32517</v>
          </cell>
          <cell r="B533">
            <v>806.98</v>
          </cell>
          <cell r="C533">
            <v>886.05</v>
          </cell>
          <cell r="D533">
            <v>89.36</v>
          </cell>
          <cell r="E533">
            <v>95.1</v>
          </cell>
          <cell r="F533">
            <v>94.39</v>
          </cell>
          <cell r="G533">
            <v>83.62</v>
          </cell>
          <cell r="H533">
            <v>969.21</v>
          </cell>
          <cell r="I533">
            <v>95.61</v>
          </cell>
        </row>
        <row r="534">
          <cell r="A534">
            <v>32518</v>
          </cell>
          <cell r="B534">
            <v>806.2</v>
          </cell>
          <cell r="C534">
            <v>881.16</v>
          </cell>
          <cell r="D534">
            <v>89.35</v>
          </cell>
          <cell r="E534">
            <v>94.67</v>
          </cell>
          <cell r="F534">
            <v>94.05</v>
          </cell>
          <cell r="G534">
            <v>83.99</v>
          </cell>
          <cell r="H534">
            <v>977.38</v>
          </cell>
          <cell r="I534">
            <v>96.27</v>
          </cell>
        </row>
        <row r="535">
          <cell r="A535">
            <v>32519</v>
          </cell>
          <cell r="B535">
            <v>807.51</v>
          </cell>
          <cell r="C535">
            <v>881.55</v>
          </cell>
          <cell r="D535">
            <v>89.65</v>
          </cell>
          <cell r="E535">
            <v>94.9</v>
          </cell>
          <cell r="F535">
            <v>94.22</v>
          </cell>
          <cell r="G535">
            <v>84.36</v>
          </cell>
          <cell r="H535">
            <v>971.26</v>
          </cell>
          <cell r="I535">
            <v>95.75</v>
          </cell>
        </row>
        <row r="536">
          <cell r="A536">
            <v>32520</v>
          </cell>
          <cell r="B536">
            <v>810.86</v>
          </cell>
          <cell r="C536">
            <v>884.53</v>
          </cell>
          <cell r="D536">
            <v>90.19</v>
          </cell>
          <cell r="E536">
            <v>95.34</v>
          </cell>
          <cell r="F536">
            <v>94.6</v>
          </cell>
          <cell r="G536">
            <v>84.98</v>
          </cell>
          <cell r="H536">
            <v>972.26</v>
          </cell>
          <cell r="I536">
            <v>95.77</v>
          </cell>
        </row>
        <row r="537">
          <cell r="A537">
            <v>32521</v>
          </cell>
          <cell r="B537">
            <v>811.42</v>
          </cell>
          <cell r="C537">
            <v>885.25</v>
          </cell>
          <cell r="D537">
            <v>90.56</v>
          </cell>
          <cell r="E537">
            <v>95.53</v>
          </cell>
          <cell r="F537">
            <v>94.79</v>
          </cell>
          <cell r="G537">
            <v>85.51</v>
          </cell>
          <cell r="H537">
            <v>973.4</v>
          </cell>
          <cell r="I537">
            <v>95.64</v>
          </cell>
        </row>
        <row r="538">
          <cell r="A538">
            <v>32524</v>
          </cell>
          <cell r="B538">
            <v>813.47</v>
          </cell>
          <cell r="C538">
            <v>885.24</v>
          </cell>
          <cell r="D538">
            <v>90.87</v>
          </cell>
          <cell r="E538">
            <v>95.67</v>
          </cell>
          <cell r="F538">
            <v>94.89</v>
          </cell>
          <cell r="G538">
            <v>85.99</v>
          </cell>
          <cell r="H538">
            <v>971.65</v>
          </cell>
          <cell r="I538">
            <v>95.6</v>
          </cell>
        </row>
        <row r="539">
          <cell r="A539">
            <v>32525</v>
          </cell>
          <cell r="B539">
            <v>811.13</v>
          </cell>
          <cell r="C539">
            <v>881.7</v>
          </cell>
          <cell r="D539">
            <v>90.65</v>
          </cell>
          <cell r="E539">
            <v>95.29</v>
          </cell>
          <cell r="F539">
            <v>94.54</v>
          </cell>
          <cell r="G539">
            <v>85.9</v>
          </cell>
          <cell r="H539">
            <v>977.87</v>
          </cell>
          <cell r="I539">
            <v>96.35</v>
          </cell>
        </row>
        <row r="540">
          <cell r="A540">
            <v>32526</v>
          </cell>
          <cell r="B540">
            <v>817.6</v>
          </cell>
          <cell r="C540">
            <v>880.4</v>
          </cell>
          <cell r="D540">
            <v>91.29</v>
          </cell>
          <cell r="E540">
            <v>95.3</v>
          </cell>
          <cell r="F540">
            <v>94.61</v>
          </cell>
          <cell r="G540">
            <v>87.11</v>
          </cell>
          <cell r="H540">
            <v>982.77</v>
          </cell>
          <cell r="I540">
            <v>96.98</v>
          </cell>
        </row>
        <row r="541">
          <cell r="A541">
            <v>32527</v>
          </cell>
          <cell r="B541">
            <v>823.44</v>
          </cell>
          <cell r="C541">
            <v>888.68</v>
          </cell>
          <cell r="D541">
            <v>91.93</v>
          </cell>
          <cell r="E541">
            <v>96.02</v>
          </cell>
          <cell r="F541">
            <v>95.29</v>
          </cell>
          <cell r="G541">
            <v>87.68</v>
          </cell>
          <cell r="H541">
            <v>997.34</v>
          </cell>
          <cell r="I541">
            <v>98.23</v>
          </cell>
        </row>
        <row r="542">
          <cell r="A542">
            <v>32528</v>
          </cell>
          <cell r="B542">
            <v>821.16</v>
          </cell>
          <cell r="C542">
            <v>885.46</v>
          </cell>
          <cell r="D542">
            <v>91.77</v>
          </cell>
          <cell r="E542">
            <v>95.77</v>
          </cell>
          <cell r="F542">
            <v>95.02</v>
          </cell>
          <cell r="G542">
            <v>87.6</v>
          </cell>
          <cell r="H542">
            <v>990.63</v>
          </cell>
          <cell r="I542">
            <v>97.66</v>
          </cell>
        </row>
        <row r="543">
          <cell r="A543">
            <v>32531</v>
          </cell>
          <cell r="B543">
            <v>819.64</v>
          </cell>
          <cell r="C543">
            <v>880.02</v>
          </cell>
          <cell r="D543">
            <v>91.66</v>
          </cell>
          <cell r="E543">
            <v>95.2</v>
          </cell>
          <cell r="F543">
            <v>94.55</v>
          </cell>
          <cell r="G543">
            <v>87.91</v>
          </cell>
          <cell r="H543">
            <v>986.86</v>
          </cell>
          <cell r="I543">
            <v>97.31</v>
          </cell>
        </row>
        <row r="544">
          <cell r="A544">
            <v>32532</v>
          </cell>
          <cell r="B544">
            <v>824.6</v>
          </cell>
          <cell r="C544">
            <v>885.82</v>
          </cell>
          <cell r="D544">
            <v>92.4</v>
          </cell>
          <cell r="E544">
            <v>96.04</v>
          </cell>
          <cell r="F544">
            <v>95.3</v>
          </cell>
          <cell r="G544">
            <v>88.56</v>
          </cell>
          <cell r="H544">
            <v>990.24</v>
          </cell>
          <cell r="I544">
            <v>97.65</v>
          </cell>
        </row>
        <row r="545">
          <cell r="A545">
            <v>32533</v>
          </cell>
          <cell r="B545">
            <v>830.27</v>
          </cell>
          <cell r="C545">
            <v>892.57</v>
          </cell>
          <cell r="D545">
            <v>92.75</v>
          </cell>
          <cell r="E545">
            <v>96.62</v>
          </cell>
          <cell r="F545">
            <v>95.87</v>
          </cell>
          <cell r="G545">
            <v>88.7</v>
          </cell>
          <cell r="H545">
            <v>998.6</v>
          </cell>
          <cell r="I545">
            <v>98.2</v>
          </cell>
        </row>
        <row r="546">
          <cell r="A546">
            <v>32534</v>
          </cell>
          <cell r="B546">
            <v>831.76</v>
          </cell>
          <cell r="C546">
            <v>887.82</v>
          </cell>
          <cell r="D546">
            <v>93.1</v>
          </cell>
          <cell r="E546">
            <v>96.34</v>
          </cell>
          <cell r="F546">
            <v>95.63</v>
          </cell>
          <cell r="G546">
            <v>89.62</v>
          </cell>
          <cell r="H546">
            <v>1004.35</v>
          </cell>
          <cell r="I546">
            <v>98.6</v>
          </cell>
        </row>
        <row r="547">
          <cell r="A547">
            <v>32535</v>
          </cell>
          <cell r="B547">
            <v>842.34</v>
          </cell>
          <cell r="C547">
            <v>891.09</v>
          </cell>
          <cell r="D547">
            <v>94.16</v>
          </cell>
          <cell r="E547">
            <v>96.64</v>
          </cell>
          <cell r="F547">
            <v>95.84</v>
          </cell>
          <cell r="G547">
            <v>91.37</v>
          </cell>
          <cell r="H547">
            <v>1000.71</v>
          </cell>
          <cell r="I547">
            <v>98.34</v>
          </cell>
        </row>
        <row r="548">
          <cell r="A548">
            <v>32538</v>
          </cell>
          <cell r="B548">
            <v>848.93</v>
          </cell>
          <cell r="C548">
            <v>887.65</v>
          </cell>
          <cell r="D548">
            <v>94.78</v>
          </cell>
          <cell r="E548">
            <v>96.3</v>
          </cell>
          <cell r="F548">
            <v>95.63</v>
          </cell>
          <cell r="G548">
            <v>92.87</v>
          </cell>
          <cell r="H548">
            <v>1010.42</v>
          </cell>
          <cell r="I548">
            <v>99.11</v>
          </cell>
        </row>
        <row r="549">
          <cell r="A549">
            <v>32539</v>
          </cell>
          <cell r="B549">
            <v>847.86</v>
          </cell>
          <cell r="C549">
            <v>880.79</v>
          </cell>
          <cell r="D549">
            <v>94.71</v>
          </cell>
          <cell r="E549">
            <v>95.76</v>
          </cell>
          <cell r="F549">
            <v>95.11</v>
          </cell>
          <cell r="G549">
            <v>93.22</v>
          </cell>
          <cell r="H549">
            <v>1011.46</v>
          </cell>
          <cell r="I549">
            <v>99.33</v>
          </cell>
        </row>
        <row r="550">
          <cell r="A550">
            <v>32540</v>
          </cell>
          <cell r="B550">
            <v>842.93</v>
          </cell>
          <cell r="C550">
            <v>875.47</v>
          </cell>
          <cell r="D550">
            <v>94.12</v>
          </cell>
          <cell r="E550">
            <v>95.11</v>
          </cell>
          <cell r="F550">
            <v>94.56</v>
          </cell>
          <cell r="G550">
            <v>92.7</v>
          </cell>
          <cell r="H550">
            <v>1011.14</v>
          </cell>
          <cell r="I550">
            <v>99.28</v>
          </cell>
        </row>
        <row r="551">
          <cell r="A551">
            <v>32541</v>
          </cell>
          <cell r="B551">
            <v>843.4</v>
          </cell>
          <cell r="C551">
            <v>878.08</v>
          </cell>
          <cell r="D551">
            <v>94.27</v>
          </cell>
          <cell r="E551">
            <v>95.38</v>
          </cell>
          <cell r="F551">
            <v>94.75</v>
          </cell>
          <cell r="G551">
            <v>92.74</v>
          </cell>
          <cell r="H551">
            <v>1012.04</v>
          </cell>
          <cell r="I551">
            <v>99.35</v>
          </cell>
        </row>
        <row r="552">
          <cell r="A552">
            <v>32542</v>
          </cell>
          <cell r="B552">
            <v>850.98</v>
          </cell>
          <cell r="C552">
            <v>884.09</v>
          </cell>
          <cell r="D552">
            <v>95.3</v>
          </cell>
          <cell r="E552">
            <v>95.98</v>
          </cell>
          <cell r="F552">
            <v>95.32</v>
          </cell>
          <cell r="G552">
            <v>94.15</v>
          </cell>
          <cell r="H552">
            <v>1016.18</v>
          </cell>
          <cell r="I552">
            <v>99.68</v>
          </cell>
        </row>
        <row r="553">
          <cell r="A553">
            <v>32545</v>
          </cell>
          <cell r="B553">
            <v>844.28</v>
          </cell>
          <cell r="C553">
            <v>885.49</v>
          </cell>
          <cell r="D553">
            <v>94.77</v>
          </cell>
          <cell r="E553">
            <v>96.23</v>
          </cell>
          <cell r="F553">
            <v>95.55</v>
          </cell>
          <cell r="G553">
            <v>92.92</v>
          </cell>
          <cell r="H553">
            <v>1011.5</v>
          </cell>
          <cell r="I553">
            <v>99.37</v>
          </cell>
        </row>
        <row r="554">
          <cell r="A554">
            <v>32546</v>
          </cell>
          <cell r="B554">
            <v>847.71</v>
          </cell>
          <cell r="C554">
            <v>883.82</v>
          </cell>
          <cell r="D554">
            <v>95.12</v>
          </cell>
          <cell r="E554">
            <v>95.92</v>
          </cell>
          <cell r="F554">
            <v>95.19</v>
          </cell>
          <cell r="G554">
            <v>93.87</v>
          </cell>
          <cell r="H554">
            <v>1001.41</v>
          </cell>
          <cell r="I554">
            <v>98.71</v>
          </cell>
        </row>
        <row r="555">
          <cell r="A555">
            <v>32547</v>
          </cell>
          <cell r="B555">
            <v>857.33</v>
          </cell>
          <cell r="C555">
            <v>891.81</v>
          </cell>
          <cell r="D555">
            <v>96.15</v>
          </cell>
          <cell r="E555">
            <v>96.63</v>
          </cell>
          <cell r="F555">
            <v>95.93</v>
          </cell>
          <cell r="G555">
            <v>95.18</v>
          </cell>
          <cell r="H555">
            <v>1011.09</v>
          </cell>
          <cell r="I555">
            <v>99.64</v>
          </cell>
        </row>
        <row r="556">
          <cell r="A556">
            <v>32548</v>
          </cell>
          <cell r="B556">
            <v>852.92</v>
          </cell>
          <cell r="C556">
            <v>889.28</v>
          </cell>
          <cell r="D556">
            <v>95.77</v>
          </cell>
          <cell r="E556">
            <v>96.52</v>
          </cell>
          <cell r="F556">
            <v>95.85</v>
          </cell>
          <cell r="G556">
            <v>94.56</v>
          </cell>
          <cell r="H556">
            <v>1015.55</v>
          </cell>
          <cell r="I556">
            <v>99.98</v>
          </cell>
        </row>
        <row r="557">
          <cell r="A557">
            <v>32549</v>
          </cell>
          <cell r="B557">
            <v>847.83</v>
          </cell>
          <cell r="C557">
            <v>888.1</v>
          </cell>
          <cell r="D557">
            <v>95.25</v>
          </cell>
          <cell r="E557">
            <v>96.43</v>
          </cell>
          <cell r="F557">
            <v>95.78</v>
          </cell>
          <cell r="G557">
            <v>93.65</v>
          </cell>
          <cell r="H557">
            <v>1017.7</v>
          </cell>
          <cell r="I557">
            <v>100.22</v>
          </cell>
        </row>
        <row r="558">
          <cell r="A558">
            <v>32552</v>
          </cell>
          <cell r="B558">
            <v>839.08</v>
          </cell>
          <cell r="C558">
            <v>876.81</v>
          </cell>
          <cell r="D558">
            <v>94.26</v>
          </cell>
          <cell r="E558">
            <v>95.33</v>
          </cell>
          <cell r="F558">
            <v>94.77</v>
          </cell>
          <cell r="G558">
            <v>92.77</v>
          </cell>
          <cell r="H558">
            <v>1013.07</v>
          </cell>
          <cell r="I558">
            <v>99.77</v>
          </cell>
        </row>
        <row r="559">
          <cell r="A559">
            <v>32553</v>
          </cell>
          <cell r="B559">
            <v>843.25</v>
          </cell>
          <cell r="C559">
            <v>878.7</v>
          </cell>
          <cell r="D559">
            <v>94.6</v>
          </cell>
          <cell r="E559">
            <v>95.38</v>
          </cell>
          <cell r="F559">
            <v>94.82</v>
          </cell>
          <cell r="G559">
            <v>93.37</v>
          </cell>
          <cell r="H559">
            <v>1012.23</v>
          </cell>
          <cell r="I559">
            <v>99.62</v>
          </cell>
        </row>
        <row r="560">
          <cell r="A560">
            <v>32554</v>
          </cell>
          <cell r="B560">
            <v>838.92</v>
          </cell>
          <cell r="C560">
            <v>870.83</v>
          </cell>
          <cell r="D560">
            <v>94.09</v>
          </cell>
          <cell r="E560">
            <v>94.45</v>
          </cell>
          <cell r="F560">
            <v>94</v>
          </cell>
          <cell r="G560">
            <v>93.25</v>
          </cell>
          <cell r="H560">
            <v>1007.17</v>
          </cell>
          <cell r="I560">
            <v>99.3</v>
          </cell>
        </row>
        <row r="561">
          <cell r="A561">
            <v>32555</v>
          </cell>
          <cell r="B561">
            <v>837.46</v>
          </cell>
          <cell r="C561">
            <v>872.89</v>
          </cell>
          <cell r="D561">
            <v>93.98</v>
          </cell>
          <cell r="E561">
            <v>94.7</v>
          </cell>
          <cell r="F561">
            <v>94.28</v>
          </cell>
          <cell r="G561">
            <v>92.8</v>
          </cell>
          <cell r="H561">
            <v>1010.8</v>
          </cell>
          <cell r="I561">
            <v>99.5</v>
          </cell>
        </row>
        <row r="562">
          <cell r="A562">
            <v>32556</v>
          </cell>
          <cell r="B562">
            <v>835.99</v>
          </cell>
          <cell r="C562">
            <v>869.54</v>
          </cell>
          <cell r="D562">
            <v>93.99</v>
          </cell>
          <cell r="E562">
            <v>94.45</v>
          </cell>
          <cell r="F562">
            <v>94.05</v>
          </cell>
          <cell r="G562">
            <v>93.05</v>
          </cell>
          <cell r="H562">
            <v>1012.22</v>
          </cell>
          <cell r="I562">
            <v>99.51</v>
          </cell>
        </row>
        <row r="563">
          <cell r="A563">
            <v>32559</v>
          </cell>
          <cell r="B563">
            <v>842.58</v>
          </cell>
          <cell r="C563">
            <v>876.73</v>
          </cell>
          <cell r="D563">
            <v>94.68</v>
          </cell>
          <cell r="E563">
            <v>95.01</v>
          </cell>
          <cell r="F563">
            <v>94.6</v>
          </cell>
          <cell r="G563">
            <v>93.87</v>
          </cell>
          <cell r="H563">
            <v>1017.76</v>
          </cell>
          <cell r="I563">
            <v>100.07</v>
          </cell>
        </row>
        <row r="564">
          <cell r="A564">
            <v>32560</v>
          </cell>
          <cell r="B564">
            <v>838.27</v>
          </cell>
          <cell r="C564">
            <v>874.7</v>
          </cell>
          <cell r="D564">
            <v>94.32</v>
          </cell>
          <cell r="E564">
            <v>94.94</v>
          </cell>
          <cell r="F564">
            <v>94.52</v>
          </cell>
          <cell r="G564">
            <v>93.23</v>
          </cell>
          <cell r="H564">
            <v>1020.71</v>
          </cell>
          <cell r="I564">
            <v>100.2</v>
          </cell>
        </row>
        <row r="565">
          <cell r="A565">
            <v>32561</v>
          </cell>
          <cell r="B565">
            <v>827.57</v>
          </cell>
          <cell r="C565">
            <v>867.41</v>
          </cell>
          <cell r="D565">
            <v>93.31</v>
          </cell>
          <cell r="E565">
            <v>94.31</v>
          </cell>
          <cell r="F565">
            <v>94.02</v>
          </cell>
          <cell r="G565">
            <v>91.89</v>
          </cell>
          <cell r="H565">
            <v>1029.21</v>
          </cell>
          <cell r="I565">
            <v>100.83</v>
          </cell>
        </row>
        <row r="566">
          <cell r="A566">
            <v>32562</v>
          </cell>
          <cell r="B566">
            <v>817.99</v>
          </cell>
          <cell r="C566">
            <v>856.7</v>
          </cell>
          <cell r="D566">
            <v>92.36</v>
          </cell>
          <cell r="E566">
            <v>93.2</v>
          </cell>
          <cell r="F566">
            <v>92.91</v>
          </cell>
          <cell r="G566">
            <v>91.1</v>
          </cell>
          <cell r="H566">
            <v>1014.98</v>
          </cell>
          <cell r="I566">
            <v>99.6</v>
          </cell>
        </row>
        <row r="567">
          <cell r="A567">
            <v>32563</v>
          </cell>
          <cell r="B567">
            <v>824.07</v>
          </cell>
          <cell r="C567">
            <v>864.05</v>
          </cell>
          <cell r="D567">
            <v>93.12</v>
          </cell>
          <cell r="E567">
            <v>94</v>
          </cell>
          <cell r="F567">
            <v>93.68</v>
          </cell>
          <cell r="G567">
            <v>91.82</v>
          </cell>
          <cell r="H567">
            <v>1021.82</v>
          </cell>
          <cell r="I567">
            <v>100.23</v>
          </cell>
        </row>
        <row r="568">
          <cell r="A568">
            <v>32566</v>
          </cell>
          <cell r="B568">
            <v>802.5</v>
          </cell>
          <cell r="C568">
            <v>845.09</v>
          </cell>
          <cell r="D568">
            <v>90.83</v>
          </cell>
          <cell r="E568">
            <v>92.01</v>
          </cell>
          <cell r="F568">
            <v>91.57</v>
          </cell>
          <cell r="G568">
            <v>89.26</v>
          </cell>
          <cell r="H568">
            <v>993.22</v>
          </cell>
          <cell r="I568">
            <v>97.51</v>
          </cell>
        </row>
        <row r="569">
          <cell r="A569">
            <v>32567</v>
          </cell>
          <cell r="B569">
            <v>808.13</v>
          </cell>
          <cell r="C569">
            <v>852.86</v>
          </cell>
          <cell r="D569">
            <v>91.49</v>
          </cell>
          <cell r="E569">
            <v>92.79</v>
          </cell>
          <cell r="F569">
            <v>92.35</v>
          </cell>
          <cell r="G569">
            <v>89.8</v>
          </cell>
          <cell r="H569">
            <v>999.32</v>
          </cell>
          <cell r="I569">
            <v>97.92</v>
          </cell>
        </row>
        <row r="570">
          <cell r="A570">
            <v>32568</v>
          </cell>
          <cell r="B570">
            <v>814.95</v>
          </cell>
          <cell r="C570">
            <v>859.83</v>
          </cell>
          <cell r="D570">
            <v>92.12</v>
          </cell>
          <cell r="E570">
            <v>93.34</v>
          </cell>
          <cell r="F570">
            <v>92.91</v>
          </cell>
          <cell r="G570">
            <v>90.5</v>
          </cell>
          <cell r="H570">
            <v>1007.32</v>
          </cell>
          <cell r="I570">
            <v>98.69</v>
          </cell>
        </row>
        <row r="571">
          <cell r="A571">
            <v>32569</v>
          </cell>
          <cell r="B571">
            <v>819.74</v>
          </cell>
          <cell r="C571">
            <v>860.68</v>
          </cell>
          <cell r="D571">
            <v>92.7</v>
          </cell>
          <cell r="E571">
            <v>93.56</v>
          </cell>
          <cell r="F571">
            <v>93.13</v>
          </cell>
          <cell r="G571">
            <v>91.4</v>
          </cell>
          <cell r="H571">
            <v>1008.98</v>
          </cell>
          <cell r="I571">
            <v>99</v>
          </cell>
        </row>
        <row r="572">
          <cell r="A572">
            <v>32570</v>
          </cell>
          <cell r="B572">
            <v>827.77</v>
          </cell>
          <cell r="C572">
            <v>871.1</v>
          </cell>
          <cell r="D572">
            <v>93.57</v>
          </cell>
          <cell r="E572">
            <v>94.61</v>
          </cell>
          <cell r="F572">
            <v>94.15</v>
          </cell>
          <cell r="G572">
            <v>92.1</v>
          </cell>
          <cell r="H572">
            <v>1014.08</v>
          </cell>
          <cell r="I572">
            <v>99.52</v>
          </cell>
        </row>
        <row r="573">
          <cell r="A573">
            <v>32573</v>
          </cell>
          <cell r="B573">
            <v>837.76</v>
          </cell>
          <cell r="C573">
            <v>879.28</v>
          </cell>
          <cell r="D573">
            <v>94.43</v>
          </cell>
          <cell r="E573">
            <v>95.29</v>
          </cell>
          <cell r="F573">
            <v>94.89</v>
          </cell>
          <cell r="G573">
            <v>93.12</v>
          </cell>
          <cell r="H573">
            <v>1024.03</v>
          </cell>
          <cell r="I573">
            <v>100.68</v>
          </cell>
        </row>
        <row r="574">
          <cell r="A574">
            <v>32574</v>
          </cell>
          <cell r="B574">
            <v>841.38</v>
          </cell>
          <cell r="C574">
            <v>878.31</v>
          </cell>
          <cell r="D574">
            <v>94.66</v>
          </cell>
          <cell r="E574">
            <v>95.14</v>
          </cell>
          <cell r="F574">
            <v>94.87</v>
          </cell>
          <cell r="G574">
            <v>93.7</v>
          </cell>
          <cell r="H574">
            <v>1035.29</v>
          </cell>
          <cell r="I574">
            <v>101.7</v>
          </cell>
        </row>
        <row r="575">
          <cell r="A575">
            <v>32575</v>
          </cell>
          <cell r="B575">
            <v>837.95</v>
          </cell>
          <cell r="C575">
            <v>872.83</v>
          </cell>
          <cell r="D575">
            <v>94.43</v>
          </cell>
          <cell r="E575">
            <v>94.71</v>
          </cell>
          <cell r="F575">
            <v>94.43</v>
          </cell>
          <cell r="G575">
            <v>93.67</v>
          </cell>
          <cell r="H575">
            <v>1034.3</v>
          </cell>
          <cell r="I575">
            <v>101.56</v>
          </cell>
        </row>
        <row r="576">
          <cell r="A576">
            <v>32576</v>
          </cell>
          <cell r="B576">
            <v>838.11</v>
          </cell>
          <cell r="C576">
            <v>873.66</v>
          </cell>
          <cell r="D576">
            <v>94.4</v>
          </cell>
          <cell r="E576">
            <v>94.85</v>
          </cell>
          <cell r="F576">
            <v>94.56</v>
          </cell>
          <cell r="G576">
            <v>93.48</v>
          </cell>
          <cell r="H576">
            <v>1032.71</v>
          </cell>
          <cell r="I576">
            <v>101.39</v>
          </cell>
        </row>
        <row r="577">
          <cell r="A577">
            <v>32577</v>
          </cell>
          <cell r="B577">
            <v>837.21</v>
          </cell>
          <cell r="C577">
            <v>870.96</v>
          </cell>
          <cell r="D577">
            <v>94.46</v>
          </cell>
          <cell r="E577">
            <v>94.67</v>
          </cell>
          <cell r="F577">
            <v>94.38</v>
          </cell>
          <cell r="G577">
            <v>93.75</v>
          </cell>
          <cell r="H577">
            <v>1028.4000000000001</v>
          </cell>
          <cell r="I577">
            <v>101.08</v>
          </cell>
        </row>
        <row r="578">
          <cell r="A578">
            <v>32580</v>
          </cell>
          <cell r="B578">
            <v>842.91</v>
          </cell>
          <cell r="C578">
            <v>872.52</v>
          </cell>
          <cell r="D578">
            <v>94.94</v>
          </cell>
          <cell r="E578">
            <v>94.85</v>
          </cell>
          <cell r="F578">
            <v>94.52</v>
          </cell>
          <cell r="G578">
            <v>94.51</v>
          </cell>
          <cell r="H578">
            <v>1028.98</v>
          </cell>
          <cell r="I578">
            <v>101.06</v>
          </cell>
        </row>
        <row r="579">
          <cell r="A579">
            <v>32581</v>
          </cell>
          <cell r="B579">
            <v>849.49</v>
          </cell>
          <cell r="C579">
            <v>876.31</v>
          </cell>
          <cell r="D579">
            <v>95.56</v>
          </cell>
          <cell r="E579">
            <v>95.18</v>
          </cell>
          <cell r="F579">
            <v>94.84</v>
          </cell>
          <cell r="G579">
            <v>95.4</v>
          </cell>
          <cell r="H579">
            <v>1037.5999999999999</v>
          </cell>
          <cell r="I579">
            <v>101.57</v>
          </cell>
        </row>
        <row r="580">
          <cell r="A580">
            <v>32582</v>
          </cell>
          <cell r="B580">
            <v>853.06</v>
          </cell>
          <cell r="C580">
            <v>881.84</v>
          </cell>
          <cell r="D580">
            <v>95.91</v>
          </cell>
          <cell r="E580">
            <v>95.72</v>
          </cell>
          <cell r="F580">
            <v>95.28</v>
          </cell>
          <cell r="G580">
            <v>95.56</v>
          </cell>
          <cell r="H580">
            <v>1039.72</v>
          </cell>
          <cell r="I580">
            <v>101.74</v>
          </cell>
        </row>
        <row r="581">
          <cell r="A581">
            <v>32583</v>
          </cell>
          <cell r="B581">
            <v>850.67</v>
          </cell>
          <cell r="C581">
            <v>882.9</v>
          </cell>
          <cell r="D581">
            <v>95.63</v>
          </cell>
          <cell r="E581">
            <v>95.79</v>
          </cell>
          <cell r="F581">
            <v>95.31</v>
          </cell>
          <cell r="G581">
            <v>94.97</v>
          </cell>
          <cell r="H581">
            <v>1038.19</v>
          </cell>
          <cell r="I581">
            <v>101.65</v>
          </cell>
        </row>
        <row r="582">
          <cell r="A582">
            <v>32584</v>
          </cell>
          <cell r="B582">
            <v>843.29</v>
          </cell>
          <cell r="C582">
            <v>879.88</v>
          </cell>
          <cell r="D582">
            <v>94.9</v>
          </cell>
          <cell r="E582">
            <v>95.57</v>
          </cell>
          <cell r="F582">
            <v>95.2</v>
          </cell>
          <cell r="G582">
            <v>93.77</v>
          </cell>
          <cell r="H582">
            <v>1045.1300000000001</v>
          </cell>
          <cell r="I582">
            <v>102.27</v>
          </cell>
        </row>
        <row r="583">
          <cell r="A583">
            <v>32587</v>
          </cell>
          <cell r="B583">
            <v>818.37</v>
          </cell>
          <cell r="C583">
            <v>853.38</v>
          </cell>
          <cell r="D583">
            <v>92.08</v>
          </cell>
          <cell r="E583">
            <v>92.81</v>
          </cell>
          <cell r="F583">
            <v>92.46</v>
          </cell>
          <cell r="G583">
            <v>90.91</v>
          </cell>
          <cell r="H583">
            <v>1013.33</v>
          </cell>
          <cell r="I583">
            <v>99.18</v>
          </cell>
        </row>
        <row r="584">
          <cell r="A584">
            <v>32588</v>
          </cell>
          <cell r="B584">
            <v>841.18</v>
          </cell>
          <cell r="C584">
            <v>874.93</v>
          </cell>
          <cell r="D584">
            <v>94.54</v>
          </cell>
          <cell r="E584">
            <v>95.06</v>
          </cell>
          <cell r="F584">
            <v>94.57</v>
          </cell>
          <cell r="G584">
            <v>93.55</v>
          </cell>
          <cell r="H584">
            <v>1029.1199999999999</v>
          </cell>
          <cell r="I584">
            <v>100.96</v>
          </cell>
        </row>
        <row r="585">
          <cell r="A585">
            <v>32589</v>
          </cell>
          <cell r="B585">
            <v>836.37</v>
          </cell>
          <cell r="C585">
            <v>874.77</v>
          </cell>
          <cell r="D585">
            <v>94.2</v>
          </cell>
          <cell r="E585">
            <v>95.19</v>
          </cell>
          <cell r="F585">
            <v>94.71</v>
          </cell>
          <cell r="G585">
            <v>92.77</v>
          </cell>
          <cell r="H585">
            <v>1034.93</v>
          </cell>
          <cell r="I585">
            <v>101.38</v>
          </cell>
        </row>
        <row r="586">
          <cell r="A586">
            <v>32590</v>
          </cell>
          <cell r="B586">
            <v>838.8</v>
          </cell>
          <cell r="C586">
            <v>875.44</v>
          </cell>
          <cell r="D586">
            <v>94.44</v>
          </cell>
          <cell r="E586">
            <v>95.37</v>
          </cell>
          <cell r="F586">
            <v>94.87</v>
          </cell>
          <cell r="G586">
            <v>93.07</v>
          </cell>
          <cell r="H586">
            <v>1036.18</v>
          </cell>
          <cell r="I586">
            <v>101.49</v>
          </cell>
        </row>
        <row r="587">
          <cell r="A587">
            <v>32591</v>
          </cell>
          <cell r="B587">
            <v>839.02</v>
          </cell>
          <cell r="C587">
            <v>875.9</v>
          </cell>
          <cell r="D587">
            <v>94.49</v>
          </cell>
          <cell r="E587">
            <v>95.43</v>
          </cell>
          <cell r="F587">
            <v>94.96</v>
          </cell>
          <cell r="G587">
            <v>93.1</v>
          </cell>
          <cell r="H587">
            <v>1038.04</v>
          </cell>
          <cell r="I587">
            <v>101.65</v>
          </cell>
        </row>
        <row r="588">
          <cell r="A588">
            <v>32594</v>
          </cell>
          <cell r="B588">
            <v>837.8</v>
          </cell>
          <cell r="C588">
            <v>873.69</v>
          </cell>
          <cell r="D588">
            <v>94.37</v>
          </cell>
          <cell r="E588">
            <v>95.21</v>
          </cell>
          <cell r="F588">
            <v>94.75</v>
          </cell>
          <cell r="G588">
            <v>93.09</v>
          </cell>
          <cell r="H588">
            <v>1039.4000000000001</v>
          </cell>
          <cell r="I588">
            <v>101.78</v>
          </cell>
        </row>
        <row r="589">
          <cell r="A589">
            <v>32595</v>
          </cell>
          <cell r="B589">
            <v>838.38</v>
          </cell>
          <cell r="C589">
            <v>875.62</v>
          </cell>
          <cell r="D589">
            <v>94.43</v>
          </cell>
          <cell r="E589">
            <v>95.43</v>
          </cell>
          <cell r="F589">
            <v>94.96</v>
          </cell>
          <cell r="G589">
            <v>93</v>
          </cell>
          <cell r="H589">
            <v>1044.76</v>
          </cell>
          <cell r="I589">
            <v>102.09</v>
          </cell>
        </row>
        <row r="590">
          <cell r="A590">
            <v>32596</v>
          </cell>
          <cell r="B590">
            <v>841.83</v>
          </cell>
          <cell r="C590">
            <v>880.18</v>
          </cell>
          <cell r="D590">
            <v>94.89</v>
          </cell>
          <cell r="E590">
            <v>95.96</v>
          </cell>
          <cell r="F590">
            <v>95.56</v>
          </cell>
          <cell r="G590">
            <v>93.38</v>
          </cell>
          <cell r="H590">
            <v>1056.79</v>
          </cell>
          <cell r="I590">
            <v>103.12</v>
          </cell>
        </row>
        <row r="591">
          <cell r="A591">
            <v>32597</v>
          </cell>
          <cell r="B591">
            <v>836.83</v>
          </cell>
          <cell r="C591">
            <v>882</v>
          </cell>
          <cell r="D591">
            <v>94.4</v>
          </cell>
          <cell r="E591">
            <v>96.12</v>
          </cell>
          <cell r="F591">
            <v>95.67</v>
          </cell>
          <cell r="G591">
            <v>92.3</v>
          </cell>
          <cell r="H591">
            <v>1060.5999999999999</v>
          </cell>
          <cell r="I591">
            <v>103.4</v>
          </cell>
        </row>
        <row r="592">
          <cell r="A592">
            <v>32598</v>
          </cell>
          <cell r="B592">
            <v>844.24</v>
          </cell>
          <cell r="C592">
            <v>883.82</v>
          </cell>
          <cell r="D592">
            <v>95.08</v>
          </cell>
          <cell r="E592">
            <v>96.35</v>
          </cell>
          <cell r="F592">
            <v>95.87</v>
          </cell>
          <cell r="G592">
            <v>93.4</v>
          </cell>
          <cell r="H592">
            <v>1061.81</v>
          </cell>
          <cell r="I592">
            <v>103.46</v>
          </cell>
        </row>
        <row r="593">
          <cell r="A593">
            <v>32601</v>
          </cell>
          <cell r="B593">
            <v>846.7</v>
          </cell>
          <cell r="C593">
            <v>891.11</v>
          </cell>
          <cell r="D593">
            <v>95.31</v>
          </cell>
          <cell r="E593">
            <v>97.18</v>
          </cell>
          <cell r="F593">
            <v>96.7</v>
          </cell>
          <cell r="G593">
            <v>93.08</v>
          </cell>
          <cell r="H593">
            <v>1066.8900000000001</v>
          </cell>
          <cell r="I593">
            <v>103.91</v>
          </cell>
        </row>
        <row r="594">
          <cell r="A594">
            <v>32602</v>
          </cell>
          <cell r="B594">
            <v>848.6</v>
          </cell>
          <cell r="C594">
            <v>892.13</v>
          </cell>
          <cell r="D594">
            <v>95.8</v>
          </cell>
          <cell r="E594">
            <v>97.54</v>
          </cell>
          <cell r="F594">
            <v>97.08</v>
          </cell>
          <cell r="G594">
            <v>93.68</v>
          </cell>
          <cell r="H594">
            <v>1074.3499999999999</v>
          </cell>
          <cell r="I594">
            <v>104.62</v>
          </cell>
        </row>
        <row r="595">
          <cell r="A595">
            <v>32603</v>
          </cell>
          <cell r="B595">
            <v>847.37</v>
          </cell>
          <cell r="C595">
            <v>893.29</v>
          </cell>
          <cell r="D595">
            <v>95.74</v>
          </cell>
          <cell r="E595">
            <v>97.82</v>
          </cell>
          <cell r="F595">
            <v>97.33</v>
          </cell>
          <cell r="G595">
            <v>93.31</v>
          </cell>
          <cell r="H595">
            <v>1076.26</v>
          </cell>
          <cell r="I595">
            <v>104.74</v>
          </cell>
        </row>
        <row r="596">
          <cell r="A596">
            <v>32604</v>
          </cell>
          <cell r="B596">
            <v>841.75</v>
          </cell>
          <cell r="C596">
            <v>889.88</v>
          </cell>
          <cell r="D596">
            <v>95.07</v>
          </cell>
          <cell r="E596">
            <v>97.48</v>
          </cell>
          <cell r="F596">
            <v>97.06</v>
          </cell>
          <cell r="G596">
            <v>92.34</v>
          </cell>
          <cell r="H596">
            <v>1073.31</v>
          </cell>
          <cell r="I596">
            <v>104.57</v>
          </cell>
        </row>
        <row r="597">
          <cell r="A597">
            <v>32605</v>
          </cell>
          <cell r="B597">
            <v>840.11</v>
          </cell>
          <cell r="C597">
            <v>891.2</v>
          </cell>
          <cell r="D597">
            <v>95.02</v>
          </cell>
          <cell r="E597">
            <v>97.75</v>
          </cell>
          <cell r="F597">
            <v>97.3</v>
          </cell>
          <cell r="G597">
            <v>92</v>
          </cell>
          <cell r="H597">
            <v>1070.1099999999999</v>
          </cell>
          <cell r="I597">
            <v>104.43</v>
          </cell>
        </row>
        <row r="598">
          <cell r="A598">
            <v>32608</v>
          </cell>
          <cell r="B598">
            <v>840.12</v>
          </cell>
          <cell r="C598">
            <v>895.58</v>
          </cell>
          <cell r="D598">
            <v>94.98</v>
          </cell>
          <cell r="E598">
            <v>98.26</v>
          </cell>
          <cell r="F598">
            <v>97.69</v>
          </cell>
          <cell r="G598">
            <v>91.44</v>
          </cell>
          <cell r="H598">
            <v>1056.3599999999999</v>
          </cell>
          <cell r="I598">
            <v>103.43</v>
          </cell>
        </row>
        <row r="599">
          <cell r="A599">
            <v>32609</v>
          </cell>
          <cell r="B599">
            <v>843.73</v>
          </cell>
          <cell r="C599">
            <v>899.74</v>
          </cell>
          <cell r="D599">
            <v>95.4</v>
          </cell>
          <cell r="E599">
            <v>98.75</v>
          </cell>
          <cell r="F599">
            <v>98.13</v>
          </cell>
          <cell r="G599">
            <v>91.8</v>
          </cell>
          <cell r="H599">
            <v>1053.44</v>
          </cell>
          <cell r="I599">
            <v>103.35</v>
          </cell>
        </row>
        <row r="600">
          <cell r="A600">
            <v>32610</v>
          </cell>
          <cell r="B600">
            <v>843.72</v>
          </cell>
          <cell r="C600">
            <v>902.61</v>
          </cell>
          <cell r="D600">
            <v>95.37</v>
          </cell>
          <cell r="E600">
            <v>98.91</v>
          </cell>
          <cell r="F600">
            <v>98.21</v>
          </cell>
          <cell r="G600">
            <v>91.58</v>
          </cell>
          <cell r="H600">
            <v>1056.1099999999999</v>
          </cell>
          <cell r="I600">
            <v>103.55</v>
          </cell>
        </row>
        <row r="601">
          <cell r="A601">
            <v>32611</v>
          </cell>
          <cell r="B601">
            <v>842.58</v>
          </cell>
          <cell r="C601">
            <v>902.29</v>
          </cell>
          <cell r="D601">
            <v>95.28</v>
          </cell>
          <cell r="E601">
            <v>98.91</v>
          </cell>
          <cell r="F601">
            <v>98.28</v>
          </cell>
          <cell r="G601">
            <v>91.42</v>
          </cell>
          <cell r="H601">
            <v>1052.3499999999999</v>
          </cell>
          <cell r="I601">
            <v>103.26</v>
          </cell>
        </row>
        <row r="602">
          <cell r="A602">
            <v>32612</v>
          </cell>
          <cell r="B602">
            <v>847.57</v>
          </cell>
          <cell r="C602">
            <v>904.91</v>
          </cell>
          <cell r="D602">
            <v>95.88</v>
          </cell>
          <cell r="E602">
            <v>99.31</v>
          </cell>
          <cell r="F602">
            <v>98.5</v>
          </cell>
          <cell r="G602">
            <v>92.2</v>
          </cell>
          <cell r="H602">
            <v>1042.8900000000001</v>
          </cell>
          <cell r="I602">
            <v>102.46</v>
          </cell>
        </row>
        <row r="603">
          <cell r="A603">
            <v>32615</v>
          </cell>
          <cell r="B603">
            <v>849.98</v>
          </cell>
          <cell r="C603">
            <v>909.4</v>
          </cell>
          <cell r="D603">
            <v>96.23</v>
          </cell>
          <cell r="E603">
            <v>99.84</v>
          </cell>
          <cell r="F603">
            <v>98.99</v>
          </cell>
          <cell r="G603">
            <v>92.38</v>
          </cell>
          <cell r="H603">
            <v>1048.98</v>
          </cell>
          <cell r="I603">
            <v>103.21</v>
          </cell>
        </row>
        <row r="604">
          <cell r="A604">
            <v>32616</v>
          </cell>
          <cell r="B604">
            <v>854.01</v>
          </cell>
          <cell r="C604">
            <v>911.73</v>
          </cell>
          <cell r="D604">
            <v>96.71</v>
          </cell>
          <cell r="E604">
            <v>100.13</v>
          </cell>
          <cell r="F604">
            <v>99.19</v>
          </cell>
          <cell r="G604">
            <v>93.04</v>
          </cell>
          <cell r="H604">
            <v>1039.23</v>
          </cell>
          <cell r="I604">
            <v>102.62</v>
          </cell>
        </row>
        <row r="605">
          <cell r="A605">
            <v>32617</v>
          </cell>
          <cell r="B605">
            <v>856.21</v>
          </cell>
          <cell r="C605">
            <v>911.97</v>
          </cell>
          <cell r="D605">
            <v>96.96</v>
          </cell>
          <cell r="E605">
            <v>100.14</v>
          </cell>
          <cell r="F605">
            <v>99.22</v>
          </cell>
          <cell r="G605">
            <v>93.51</v>
          </cell>
          <cell r="H605">
            <v>1049.76</v>
          </cell>
          <cell r="I605">
            <v>103.33</v>
          </cell>
        </row>
        <row r="606">
          <cell r="A606">
            <v>32618</v>
          </cell>
          <cell r="B606">
            <v>848.47</v>
          </cell>
          <cell r="C606">
            <v>908.91</v>
          </cell>
          <cell r="D606">
            <v>96.12</v>
          </cell>
          <cell r="E606">
            <v>99.82</v>
          </cell>
          <cell r="F606">
            <v>98.91</v>
          </cell>
          <cell r="G606">
            <v>92.18</v>
          </cell>
          <cell r="H606">
            <v>1047.3499999999999</v>
          </cell>
          <cell r="I606">
            <v>103.11</v>
          </cell>
        </row>
        <row r="607">
          <cell r="A607">
            <v>32619</v>
          </cell>
          <cell r="B607">
            <v>849.15</v>
          </cell>
          <cell r="C607">
            <v>908.9</v>
          </cell>
          <cell r="D607">
            <v>96.17</v>
          </cell>
          <cell r="E607">
            <v>99.94</v>
          </cell>
          <cell r="F607">
            <v>98.97</v>
          </cell>
          <cell r="G607">
            <v>92.18</v>
          </cell>
          <cell r="H607">
            <v>1048.31</v>
          </cell>
          <cell r="I607">
            <v>103.24</v>
          </cell>
        </row>
        <row r="608">
          <cell r="A608">
            <v>32622</v>
          </cell>
          <cell r="B608">
            <v>848.91</v>
          </cell>
          <cell r="C608">
            <v>909.26</v>
          </cell>
          <cell r="D608">
            <v>96.2</v>
          </cell>
          <cell r="E608">
            <v>99.94</v>
          </cell>
          <cell r="F608">
            <v>99</v>
          </cell>
          <cell r="G608">
            <v>92.23</v>
          </cell>
          <cell r="H608">
            <v>1054.45</v>
          </cell>
          <cell r="I608">
            <v>103.69</v>
          </cell>
        </row>
        <row r="609">
          <cell r="A609">
            <v>32623</v>
          </cell>
          <cell r="B609">
            <v>847.65</v>
          </cell>
          <cell r="C609">
            <v>904.67</v>
          </cell>
          <cell r="D609">
            <v>96.18</v>
          </cell>
          <cell r="E609">
            <v>99.54</v>
          </cell>
          <cell r="F609">
            <v>98.63</v>
          </cell>
          <cell r="G609">
            <v>92.57</v>
          </cell>
          <cell r="H609">
            <v>1059.4100000000001</v>
          </cell>
          <cell r="I609">
            <v>104.09</v>
          </cell>
        </row>
        <row r="610">
          <cell r="A610">
            <v>32624</v>
          </cell>
          <cell r="B610">
            <v>849.72</v>
          </cell>
          <cell r="C610">
            <v>901.26</v>
          </cell>
          <cell r="D610">
            <v>96.5</v>
          </cell>
          <cell r="E610">
            <v>99.2</v>
          </cell>
          <cell r="F610">
            <v>98.41</v>
          </cell>
          <cell r="G610">
            <v>93.5</v>
          </cell>
          <cell r="H610">
            <v>1071.55</v>
          </cell>
          <cell r="I610">
            <v>104.9</v>
          </cell>
        </row>
        <row r="611">
          <cell r="A611">
            <v>32625</v>
          </cell>
          <cell r="B611">
            <v>854.14</v>
          </cell>
          <cell r="C611">
            <v>901.96</v>
          </cell>
          <cell r="D611">
            <v>96.92</v>
          </cell>
          <cell r="E611">
            <v>99.23</v>
          </cell>
          <cell r="F611">
            <v>98.48</v>
          </cell>
          <cell r="G611">
            <v>94.27</v>
          </cell>
          <cell r="H611">
            <v>1072.5</v>
          </cell>
          <cell r="I611">
            <v>104.9</v>
          </cell>
        </row>
        <row r="612">
          <cell r="A612">
            <v>32626</v>
          </cell>
          <cell r="B612">
            <v>854.5</v>
          </cell>
          <cell r="C612">
            <v>901.71</v>
          </cell>
          <cell r="D612">
            <v>97.08</v>
          </cell>
          <cell r="E612">
            <v>99.37</v>
          </cell>
          <cell r="F612">
            <v>98.67</v>
          </cell>
          <cell r="G612">
            <v>94.46</v>
          </cell>
          <cell r="H612">
            <v>1075.3499999999999</v>
          </cell>
          <cell r="I612">
            <v>105.25</v>
          </cell>
        </row>
        <row r="613">
          <cell r="A613">
            <v>32629</v>
          </cell>
          <cell r="B613">
            <v>853.65</v>
          </cell>
          <cell r="C613">
            <v>900.64</v>
          </cell>
          <cell r="D613">
            <v>97.04</v>
          </cell>
          <cell r="E613">
            <v>99.27</v>
          </cell>
          <cell r="F613">
            <v>98.6</v>
          </cell>
          <cell r="G613">
            <v>94.47</v>
          </cell>
          <cell r="H613">
            <v>1077.08</v>
          </cell>
          <cell r="I613">
            <v>105.39</v>
          </cell>
        </row>
        <row r="614">
          <cell r="A614">
            <v>32630</v>
          </cell>
          <cell r="B614">
            <v>849.95</v>
          </cell>
          <cell r="C614">
            <v>899.12</v>
          </cell>
          <cell r="D614">
            <v>96.71</v>
          </cell>
          <cell r="E614">
            <v>99.12</v>
          </cell>
          <cell r="F614">
            <v>98.4</v>
          </cell>
          <cell r="G614">
            <v>93.97</v>
          </cell>
          <cell r="H614">
            <v>1076.1199999999999</v>
          </cell>
          <cell r="I614">
            <v>105.46</v>
          </cell>
        </row>
        <row r="615">
          <cell r="A615">
            <v>32631</v>
          </cell>
          <cell r="B615">
            <v>849.38</v>
          </cell>
          <cell r="C615">
            <v>897.81</v>
          </cell>
          <cell r="D615">
            <v>96.8</v>
          </cell>
          <cell r="E615">
            <v>99.11</v>
          </cell>
          <cell r="F615">
            <v>98.39</v>
          </cell>
          <cell r="G615">
            <v>94.16</v>
          </cell>
          <cell r="H615">
            <v>1075.7</v>
          </cell>
          <cell r="I615">
            <v>105.72</v>
          </cell>
        </row>
        <row r="616">
          <cell r="A616">
            <v>32632</v>
          </cell>
          <cell r="B616">
            <v>851.16</v>
          </cell>
          <cell r="C616">
            <v>896.8</v>
          </cell>
          <cell r="D616">
            <v>97.02</v>
          </cell>
          <cell r="E616">
            <v>99.03</v>
          </cell>
          <cell r="F616">
            <v>98.3</v>
          </cell>
          <cell r="G616">
            <v>94.66</v>
          </cell>
          <cell r="H616">
            <v>1076.24</v>
          </cell>
          <cell r="I616">
            <v>105.81</v>
          </cell>
        </row>
        <row r="617">
          <cell r="A617">
            <v>32633</v>
          </cell>
          <cell r="B617">
            <v>857.17</v>
          </cell>
          <cell r="C617">
            <v>904.73</v>
          </cell>
          <cell r="D617">
            <v>97.62</v>
          </cell>
          <cell r="E617">
            <v>99.7</v>
          </cell>
          <cell r="F617">
            <v>98.93</v>
          </cell>
          <cell r="G617">
            <v>95.17</v>
          </cell>
          <cell r="H617">
            <v>1080.3900000000001</v>
          </cell>
          <cell r="I617">
            <v>106.36</v>
          </cell>
        </row>
        <row r="618">
          <cell r="A618">
            <v>32636</v>
          </cell>
          <cell r="B618">
            <v>851.48</v>
          </cell>
          <cell r="C618">
            <v>900.19</v>
          </cell>
          <cell r="D618">
            <v>97.09</v>
          </cell>
          <cell r="E618">
            <v>99.35</v>
          </cell>
          <cell r="F618">
            <v>98.53</v>
          </cell>
          <cell r="G618">
            <v>94.49</v>
          </cell>
          <cell r="H618">
            <v>1077.3</v>
          </cell>
          <cell r="I618">
            <v>106.01</v>
          </cell>
        </row>
        <row r="619">
          <cell r="A619">
            <v>32637</v>
          </cell>
          <cell r="B619">
            <v>852.25</v>
          </cell>
          <cell r="C619">
            <v>898.8</v>
          </cell>
          <cell r="D619">
            <v>97.21</v>
          </cell>
          <cell r="E619">
            <v>99.29</v>
          </cell>
          <cell r="F619">
            <v>98.5</v>
          </cell>
          <cell r="G619">
            <v>94.77</v>
          </cell>
          <cell r="H619">
            <v>1078.1500000000001</v>
          </cell>
          <cell r="I619">
            <v>106.13</v>
          </cell>
        </row>
        <row r="620">
          <cell r="A620">
            <v>32638</v>
          </cell>
          <cell r="B620">
            <v>849.49</v>
          </cell>
          <cell r="C620">
            <v>896.6</v>
          </cell>
          <cell r="D620">
            <v>96.96</v>
          </cell>
          <cell r="E620">
            <v>99.14</v>
          </cell>
          <cell r="F620">
            <v>98.29</v>
          </cell>
          <cell r="G620">
            <v>94.44</v>
          </cell>
          <cell r="H620">
            <v>1074.21</v>
          </cell>
          <cell r="I620">
            <v>105.83</v>
          </cell>
        </row>
        <row r="621">
          <cell r="A621">
            <v>32639</v>
          </cell>
          <cell r="B621">
            <v>848.13</v>
          </cell>
          <cell r="C621">
            <v>893.82</v>
          </cell>
          <cell r="D621">
            <v>96.83</v>
          </cell>
          <cell r="E621">
            <v>98.99</v>
          </cell>
          <cell r="F621">
            <v>98.18</v>
          </cell>
          <cell r="G621">
            <v>94.33</v>
          </cell>
          <cell r="H621">
            <v>1076.55</v>
          </cell>
          <cell r="I621">
            <v>105.94</v>
          </cell>
        </row>
        <row r="622">
          <cell r="A622">
            <v>32640</v>
          </cell>
          <cell r="B622">
            <v>852.15</v>
          </cell>
          <cell r="C622">
            <v>892.69</v>
          </cell>
          <cell r="D622">
            <v>97.33</v>
          </cell>
          <cell r="E622">
            <v>98.93</v>
          </cell>
          <cell r="F622">
            <v>98.15</v>
          </cell>
          <cell r="G622">
            <v>95.34</v>
          </cell>
          <cell r="H622">
            <v>1080.83</v>
          </cell>
          <cell r="I622">
            <v>106.33</v>
          </cell>
        </row>
        <row r="623">
          <cell r="A623">
            <v>32643</v>
          </cell>
          <cell r="B623">
            <v>854.5</v>
          </cell>
          <cell r="C623">
            <v>891.69</v>
          </cell>
          <cell r="D623">
            <v>97.51</v>
          </cell>
          <cell r="E623">
            <v>98.81</v>
          </cell>
          <cell r="F623">
            <v>98.06</v>
          </cell>
          <cell r="G623">
            <v>95.81</v>
          </cell>
          <cell r="H623">
            <v>1081.8800000000001</v>
          </cell>
          <cell r="I623">
            <v>106.41</v>
          </cell>
        </row>
        <row r="624">
          <cell r="A624">
            <v>32644</v>
          </cell>
          <cell r="B624">
            <v>852.38</v>
          </cell>
          <cell r="C624">
            <v>891.42</v>
          </cell>
          <cell r="D624">
            <v>97.36</v>
          </cell>
          <cell r="E624">
            <v>98.76</v>
          </cell>
          <cell r="F624">
            <v>98.1</v>
          </cell>
          <cell r="G624">
            <v>95.56</v>
          </cell>
          <cell r="H624">
            <v>1089.68</v>
          </cell>
          <cell r="I624">
            <v>107.14</v>
          </cell>
        </row>
        <row r="625">
          <cell r="A625">
            <v>32645</v>
          </cell>
          <cell r="B625">
            <v>854.44</v>
          </cell>
          <cell r="C625">
            <v>890.49</v>
          </cell>
          <cell r="D625">
            <v>97.52</v>
          </cell>
          <cell r="E625">
            <v>98.57</v>
          </cell>
          <cell r="F625">
            <v>97.89</v>
          </cell>
          <cell r="G625">
            <v>96.04</v>
          </cell>
          <cell r="H625">
            <v>1092.46</v>
          </cell>
          <cell r="I625">
            <v>107.35</v>
          </cell>
        </row>
        <row r="626">
          <cell r="A626">
            <v>32646</v>
          </cell>
          <cell r="B626">
            <v>861.06</v>
          </cell>
          <cell r="C626">
            <v>896.03</v>
          </cell>
          <cell r="D626">
            <v>98.28</v>
          </cell>
          <cell r="E626">
            <v>98.99</v>
          </cell>
          <cell r="F626">
            <v>98.26</v>
          </cell>
          <cell r="G626">
            <v>97.12</v>
          </cell>
          <cell r="H626">
            <v>1095.08</v>
          </cell>
          <cell r="I626">
            <v>107.62</v>
          </cell>
        </row>
        <row r="627">
          <cell r="A627">
            <v>32647</v>
          </cell>
          <cell r="B627">
            <v>864.47</v>
          </cell>
          <cell r="C627">
            <v>898.16</v>
          </cell>
          <cell r="D627">
            <v>98.9</v>
          </cell>
          <cell r="E627">
            <v>99.1</v>
          </cell>
          <cell r="F627">
            <v>98.43</v>
          </cell>
          <cell r="G627">
            <v>98.2</v>
          </cell>
          <cell r="H627">
            <v>1101.52</v>
          </cell>
          <cell r="I627">
            <v>108.08</v>
          </cell>
        </row>
        <row r="628">
          <cell r="A628">
            <v>32650</v>
          </cell>
          <cell r="B628">
            <v>860.47</v>
          </cell>
          <cell r="C628">
            <v>902.16</v>
          </cell>
          <cell r="D628">
            <v>98.22</v>
          </cell>
          <cell r="E628">
            <v>99.46</v>
          </cell>
          <cell r="F628">
            <v>98.78</v>
          </cell>
          <cell r="G628">
            <v>96.57</v>
          </cell>
          <cell r="H628">
            <v>1111.6199999999999</v>
          </cell>
          <cell r="I628">
            <v>108.9</v>
          </cell>
        </row>
        <row r="629">
          <cell r="A629">
            <v>32651</v>
          </cell>
          <cell r="B629">
            <v>857.3</v>
          </cell>
          <cell r="C629">
            <v>904.47</v>
          </cell>
          <cell r="D629">
            <v>97.95</v>
          </cell>
          <cell r="E629">
            <v>99.91</v>
          </cell>
          <cell r="F629">
            <v>99.19</v>
          </cell>
          <cell r="G629">
            <v>95.62</v>
          </cell>
          <cell r="H629">
            <v>1109.28</v>
          </cell>
          <cell r="I629">
            <v>108.91</v>
          </cell>
        </row>
        <row r="630">
          <cell r="A630">
            <v>32652</v>
          </cell>
          <cell r="B630">
            <v>853.72</v>
          </cell>
          <cell r="C630">
            <v>905.75</v>
          </cell>
          <cell r="D630">
            <v>97.49</v>
          </cell>
          <cell r="E630">
            <v>99.87</v>
          </cell>
          <cell r="F630">
            <v>99</v>
          </cell>
          <cell r="G630">
            <v>94.77</v>
          </cell>
          <cell r="H630">
            <v>1101.73</v>
          </cell>
          <cell r="I630">
            <v>107.91</v>
          </cell>
        </row>
        <row r="631">
          <cell r="A631">
            <v>32653</v>
          </cell>
          <cell r="B631">
            <v>857.81</v>
          </cell>
          <cell r="C631">
            <v>913.38</v>
          </cell>
          <cell r="D631">
            <v>98.05</v>
          </cell>
          <cell r="E631">
            <v>100.58</v>
          </cell>
          <cell r="F631">
            <v>99.71</v>
          </cell>
          <cell r="G631">
            <v>95.18</v>
          </cell>
          <cell r="H631">
            <v>1104.06</v>
          </cell>
          <cell r="I631">
            <v>108.07</v>
          </cell>
        </row>
        <row r="632">
          <cell r="A632">
            <v>32654</v>
          </cell>
          <cell r="B632">
            <v>857.32</v>
          </cell>
          <cell r="C632">
            <v>914.44</v>
          </cell>
          <cell r="D632">
            <v>98.33</v>
          </cell>
          <cell r="E632">
            <v>100.79</v>
          </cell>
          <cell r="F632">
            <v>99.89</v>
          </cell>
          <cell r="G632">
            <v>95.52</v>
          </cell>
          <cell r="H632">
            <v>1102.8499999999999</v>
          </cell>
          <cell r="I632">
            <v>108.08</v>
          </cell>
        </row>
        <row r="633">
          <cell r="A633">
            <v>32657</v>
          </cell>
          <cell r="B633">
            <v>860.64</v>
          </cell>
          <cell r="C633">
            <v>920.33</v>
          </cell>
          <cell r="D633">
            <v>98.57</v>
          </cell>
          <cell r="E633">
            <v>101.19</v>
          </cell>
          <cell r="F633">
            <v>100.32</v>
          </cell>
          <cell r="G633">
            <v>95.63</v>
          </cell>
          <cell r="H633">
            <v>1111.8599999999999</v>
          </cell>
          <cell r="I633">
            <v>108.62</v>
          </cell>
        </row>
        <row r="634">
          <cell r="A634">
            <v>32658</v>
          </cell>
          <cell r="B634">
            <v>859.11</v>
          </cell>
          <cell r="C634">
            <v>923.35</v>
          </cell>
          <cell r="D634">
            <v>98.29</v>
          </cell>
          <cell r="E634">
            <v>101.36</v>
          </cell>
          <cell r="F634">
            <v>100.58</v>
          </cell>
          <cell r="G634">
            <v>94.92</v>
          </cell>
          <cell r="H634">
            <v>1116.6099999999999</v>
          </cell>
          <cell r="I634">
            <v>109.21</v>
          </cell>
        </row>
        <row r="635">
          <cell r="A635">
            <v>32659</v>
          </cell>
          <cell r="B635">
            <v>854.79</v>
          </cell>
          <cell r="C635">
            <v>923.42</v>
          </cell>
          <cell r="D635">
            <v>97.88</v>
          </cell>
          <cell r="E635">
            <v>101.52</v>
          </cell>
          <cell r="F635">
            <v>100.79</v>
          </cell>
          <cell r="G635">
            <v>93.98</v>
          </cell>
          <cell r="H635">
            <v>1112.1300000000001</v>
          </cell>
          <cell r="I635">
            <v>108.62</v>
          </cell>
        </row>
        <row r="636">
          <cell r="A636">
            <v>32660</v>
          </cell>
          <cell r="B636">
            <v>853.81</v>
          </cell>
          <cell r="C636">
            <v>924.65</v>
          </cell>
          <cell r="D636">
            <v>97.87</v>
          </cell>
          <cell r="E636">
            <v>101.67</v>
          </cell>
          <cell r="F636">
            <v>101.07</v>
          </cell>
          <cell r="G636">
            <v>93.83</v>
          </cell>
          <cell r="H636">
            <v>1115.8699999999999</v>
          </cell>
          <cell r="I636">
            <v>108.82</v>
          </cell>
        </row>
        <row r="637">
          <cell r="A637">
            <v>32661</v>
          </cell>
          <cell r="B637">
            <v>851.86</v>
          </cell>
          <cell r="C637">
            <v>926.05</v>
          </cell>
          <cell r="D637">
            <v>97.77</v>
          </cell>
          <cell r="E637">
            <v>101.69</v>
          </cell>
          <cell r="F637">
            <v>101.21</v>
          </cell>
          <cell r="G637">
            <v>93.62</v>
          </cell>
          <cell r="H637">
            <v>1113.3599999999999</v>
          </cell>
          <cell r="I637">
            <v>108.59</v>
          </cell>
        </row>
        <row r="638">
          <cell r="A638">
            <v>32664</v>
          </cell>
          <cell r="B638">
            <v>854.38</v>
          </cell>
          <cell r="C638">
            <v>930.43</v>
          </cell>
          <cell r="D638">
            <v>97.82</v>
          </cell>
          <cell r="E638">
            <v>102.16</v>
          </cell>
          <cell r="F638">
            <v>101.7</v>
          </cell>
          <cell r="G638">
            <v>93.27</v>
          </cell>
          <cell r="H638">
            <v>1117.01</v>
          </cell>
          <cell r="I638">
            <v>109.01</v>
          </cell>
        </row>
        <row r="639">
          <cell r="A639">
            <v>32665</v>
          </cell>
          <cell r="B639">
            <v>857.25</v>
          </cell>
          <cell r="C639">
            <v>929.08</v>
          </cell>
          <cell r="D639">
            <v>98.07</v>
          </cell>
          <cell r="E639">
            <v>101.94</v>
          </cell>
          <cell r="F639">
            <v>101.52</v>
          </cell>
          <cell r="G639">
            <v>93.96</v>
          </cell>
          <cell r="H639">
            <v>1121.22</v>
          </cell>
          <cell r="I639">
            <v>109.43</v>
          </cell>
        </row>
        <row r="640">
          <cell r="A640">
            <v>32666</v>
          </cell>
          <cell r="B640">
            <v>862.32</v>
          </cell>
          <cell r="C640">
            <v>934.15</v>
          </cell>
          <cell r="D640">
            <v>98.54</v>
          </cell>
          <cell r="E640">
            <v>102.35</v>
          </cell>
          <cell r="F640">
            <v>101.94</v>
          </cell>
          <cell r="G640">
            <v>94.49</v>
          </cell>
          <cell r="H640">
            <v>1123.1300000000001</v>
          </cell>
          <cell r="I640">
            <v>109.41</v>
          </cell>
        </row>
        <row r="641">
          <cell r="A641">
            <v>32667</v>
          </cell>
          <cell r="B641">
            <v>871.53</v>
          </cell>
          <cell r="C641">
            <v>939.58</v>
          </cell>
          <cell r="D641">
            <v>99.46</v>
          </cell>
          <cell r="E641">
            <v>102.96</v>
          </cell>
          <cell r="F641">
            <v>102.62</v>
          </cell>
          <cell r="G641">
            <v>95.69</v>
          </cell>
          <cell r="H641">
            <v>1139.6300000000001</v>
          </cell>
          <cell r="I641">
            <v>110.66</v>
          </cell>
        </row>
        <row r="642">
          <cell r="A642">
            <v>32668</v>
          </cell>
          <cell r="B642">
            <v>872.89</v>
          </cell>
          <cell r="C642">
            <v>940.86</v>
          </cell>
          <cell r="D642">
            <v>99.57</v>
          </cell>
          <cell r="E642">
            <v>103.16</v>
          </cell>
          <cell r="F642">
            <v>102.85</v>
          </cell>
          <cell r="G642">
            <v>95.71</v>
          </cell>
          <cell r="H642">
            <v>1145.27</v>
          </cell>
          <cell r="I642">
            <v>111.29</v>
          </cell>
        </row>
        <row r="643">
          <cell r="A643">
            <v>32671</v>
          </cell>
          <cell r="B643">
            <v>873.02</v>
          </cell>
          <cell r="C643">
            <v>944.7</v>
          </cell>
          <cell r="D643">
            <v>99.27</v>
          </cell>
          <cell r="E643">
            <v>103.34</v>
          </cell>
          <cell r="F643">
            <v>103.02</v>
          </cell>
          <cell r="G643">
            <v>94.96</v>
          </cell>
          <cell r="H643">
            <v>1147.3800000000001</v>
          </cell>
          <cell r="I643">
            <v>111.78</v>
          </cell>
        </row>
        <row r="644">
          <cell r="A644">
            <v>32672</v>
          </cell>
          <cell r="B644">
            <v>868.95</v>
          </cell>
          <cell r="C644">
            <v>944.87</v>
          </cell>
          <cell r="D644">
            <v>98.89</v>
          </cell>
          <cell r="E644">
            <v>103.52</v>
          </cell>
          <cell r="F644">
            <v>103.21</v>
          </cell>
          <cell r="G644">
            <v>94.05</v>
          </cell>
          <cell r="H644">
            <v>1158.1400000000001</v>
          </cell>
          <cell r="I644">
            <v>112.83</v>
          </cell>
        </row>
        <row r="645">
          <cell r="A645">
            <v>32673</v>
          </cell>
          <cell r="B645">
            <v>872.28</v>
          </cell>
          <cell r="C645">
            <v>947.36</v>
          </cell>
          <cell r="D645">
            <v>99.15</v>
          </cell>
          <cell r="E645">
            <v>103.65</v>
          </cell>
          <cell r="F645">
            <v>103.44</v>
          </cell>
          <cell r="G645">
            <v>94.44</v>
          </cell>
          <cell r="H645">
            <v>1168.77</v>
          </cell>
          <cell r="I645">
            <v>113.74</v>
          </cell>
        </row>
        <row r="646">
          <cell r="A646">
            <v>32674</v>
          </cell>
          <cell r="B646">
            <v>869.1</v>
          </cell>
          <cell r="C646">
            <v>942.49</v>
          </cell>
          <cell r="D646">
            <v>98.86</v>
          </cell>
          <cell r="E646">
            <v>103.29</v>
          </cell>
          <cell r="F646">
            <v>103.17</v>
          </cell>
          <cell r="G646">
            <v>94.21</v>
          </cell>
          <cell r="H646">
            <v>1169.8</v>
          </cell>
          <cell r="I646">
            <v>113.9</v>
          </cell>
        </row>
        <row r="647">
          <cell r="A647">
            <v>32675</v>
          </cell>
          <cell r="B647">
            <v>869.73</v>
          </cell>
          <cell r="C647">
            <v>942.76</v>
          </cell>
          <cell r="D647">
            <v>99.17</v>
          </cell>
          <cell r="E647">
            <v>103.43</v>
          </cell>
          <cell r="F647">
            <v>103.41</v>
          </cell>
          <cell r="G647">
            <v>94.68</v>
          </cell>
          <cell r="H647">
            <v>1178.24</v>
          </cell>
          <cell r="I647">
            <v>114.78</v>
          </cell>
        </row>
        <row r="648">
          <cell r="A648">
            <v>32678</v>
          </cell>
          <cell r="B648">
            <v>875.01</v>
          </cell>
          <cell r="C648">
            <v>948.98</v>
          </cell>
          <cell r="D648">
            <v>99.56</v>
          </cell>
          <cell r="E648">
            <v>104.01</v>
          </cell>
          <cell r="F648">
            <v>103.85</v>
          </cell>
          <cell r="G648">
            <v>94.89</v>
          </cell>
          <cell r="H648">
            <v>1165.6300000000001</v>
          </cell>
          <cell r="I648">
            <v>113.77</v>
          </cell>
        </row>
        <row r="649">
          <cell r="A649">
            <v>32679</v>
          </cell>
          <cell r="B649">
            <v>882.64</v>
          </cell>
          <cell r="C649">
            <v>958.23</v>
          </cell>
          <cell r="D649">
            <v>100.29</v>
          </cell>
          <cell r="E649">
            <v>104.81</v>
          </cell>
          <cell r="F649">
            <v>104.55</v>
          </cell>
          <cell r="G649">
            <v>95.56</v>
          </cell>
          <cell r="H649">
            <v>1168.26</v>
          </cell>
          <cell r="I649">
            <v>113.89</v>
          </cell>
        </row>
        <row r="650">
          <cell r="A650">
            <v>32680</v>
          </cell>
          <cell r="B650">
            <v>882.12</v>
          </cell>
          <cell r="C650">
            <v>956.75</v>
          </cell>
          <cell r="D650">
            <v>100.13</v>
          </cell>
          <cell r="E650">
            <v>104.61</v>
          </cell>
          <cell r="F650">
            <v>104.39</v>
          </cell>
          <cell r="G650">
            <v>95.43</v>
          </cell>
          <cell r="H650">
            <v>1159.47</v>
          </cell>
          <cell r="I650">
            <v>112.92</v>
          </cell>
        </row>
        <row r="651">
          <cell r="A651">
            <v>32681</v>
          </cell>
          <cell r="B651">
            <v>883.77</v>
          </cell>
          <cell r="C651">
            <v>958.9</v>
          </cell>
          <cell r="D651">
            <v>100.55</v>
          </cell>
          <cell r="E651">
            <v>105.11</v>
          </cell>
          <cell r="F651">
            <v>104.93</v>
          </cell>
          <cell r="G651">
            <v>95.77</v>
          </cell>
          <cell r="H651">
            <v>1165.74</v>
          </cell>
          <cell r="I651">
            <v>113.54</v>
          </cell>
        </row>
        <row r="652">
          <cell r="A652">
            <v>32682</v>
          </cell>
          <cell r="B652">
            <v>880.31</v>
          </cell>
          <cell r="C652">
            <v>958.27</v>
          </cell>
          <cell r="D652">
            <v>100.16</v>
          </cell>
          <cell r="E652">
            <v>105.03</v>
          </cell>
          <cell r="F652">
            <v>104.88</v>
          </cell>
          <cell r="G652">
            <v>95.08</v>
          </cell>
          <cell r="H652">
            <v>1165.24</v>
          </cell>
          <cell r="I652">
            <v>113.38</v>
          </cell>
        </row>
        <row r="653">
          <cell r="A653">
            <v>32685</v>
          </cell>
          <cell r="B653">
            <v>883.77</v>
          </cell>
          <cell r="C653">
            <v>962.7</v>
          </cell>
          <cell r="D653">
            <v>100.21</v>
          </cell>
          <cell r="E653">
            <v>105.26</v>
          </cell>
          <cell r="F653">
            <v>105.06</v>
          </cell>
          <cell r="G653">
            <v>94.98</v>
          </cell>
          <cell r="H653">
            <v>1173.8</v>
          </cell>
          <cell r="I653">
            <v>113.97</v>
          </cell>
        </row>
        <row r="654">
          <cell r="A654">
            <v>32686</v>
          </cell>
          <cell r="B654">
            <v>890.71</v>
          </cell>
          <cell r="C654">
            <v>959.94</v>
          </cell>
          <cell r="D654">
            <v>100.82</v>
          </cell>
          <cell r="E654">
            <v>104.9</v>
          </cell>
          <cell r="F654">
            <v>104.71</v>
          </cell>
          <cell r="G654">
            <v>96.5</v>
          </cell>
          <cell r="H654">
            <v>1176.29</v>
          </cell>
          <cell r="I654">
            <v>114.11</v>
          </cell>
        </row>
        <row r="655">
          <cell r="A655">
            <v>32687</v>
          </cell>
          <cell r="B655">
            <v>896.17</v>
          </cell>
          <cell r="C655">
            <v>966.26</v>
          </cell>
          <cell r="D655">
            <v>101.39</v>
          </cell>
          <cell r="E655">
            <v>105.45</v>
          </cell>
          <cell r="F655">
            <v>105.4</v>
          </cell>
          <cell r="G655">
            <v>97.08</v>
          </cell>
          <cell r="H655">
            <v>1186.3399999999999</v>
          </cell>
          <cell r="I655">
            <v>115.02</v>
          </cell>
        </row>
        <row r="656">
          <cell r="A656">
            <v>32688</v>
          </cell>
          <cell r="B656">
            <v>887.26</v>
          </cell>
          <cell r="C656">
            <v>963.4</v>
          </cell>
          <cell r="D656">
            <v>100.57</v>
          </cell>
          <cell r="E656">
            <v>105.15</v>
          </cell>
          <cell r="F656">
            <v>105.15</v>
          </cell>
          <cell r="G656">
            <v>95.77</v>
          </cell>
          <cell r="H656">
            <v>1182.23</v>
          </cell>
          <cell r="I656">
            <v>115.11</v>
          </cell>
        </row>
        <row r="657">
          <cell r="A657">
            <v>32689</v>
          </cell>
          <cell r="B657">
            <v>873.14</v>
          </cell>
          <cell r="C657">
            <v>953.51</v>
          </cell>
          <cell r="D657">
            <v>99.11</v>
          </cell>
          <cell r="E657">
            <v>104.05</v>
          </cell>
          <cell r="F657">
            <v>104.05</v>
          </cell>
          <cell r="G657">
            <v>93.98</v>
          </cell>
          <cell r="H657">
            <v>1173.82</v>
          </cell>
          <cell r="I657">
            <v>114.3</v>
          </cell>
        </row>
        <row r="658">
          <cell r="A658">
            <v>32692</v>
          </cell>
          <cell r="B658">
            <v>880.49</v>
          </cell>
          <cell r="C658">
            <v>958.48</v>
          </cell>
          <cell r="D658">
            <v>99.82</v>
          </cell>
          <cell r="E658">
            <v>104.4</v>
          </cell>
          <cell r="F658">
            <v>104.37</v>
          </cell>
          <cell r="G658">
            <v>95.03</v>
          </cell>
          <cell r="H658">
            <v>1163.26</v>
          </cell>
          <cell r="I658">
            <v>113.46</v>
          </cell>
        </row>
        <row r="659">
          <cell r="A659">
            <v>32693</v>
          </cell>
          <cell r="B659">
            <v>885.25</v>
          </cell>
          <cell r="C659">
            <v>963.44</v>
          </cell>
          <cell r="D659">
            <v>100.33</v>
          </cell>
          <cell r="E659">
            <v>104.82</v>
          </cell>
          <cell r="F659">
            <v>104.84</v>
          </cell>
          <cell r="G659">
            <v>95.62</v>
          </cell>
          <cell r="H659">
            <v>1170.71</v>
          </cell>
          <cell r="I659">
            <v>114.24</v>
          </cell>
        </row>
        <row r="660">
          <cell r="A660">
            <v>32694</v>
          </cell>
          <cell r="B660">
            <v>882.58</v>
          </cell>
          <cell r="C660">
            <v>955.98</v>
          </cell>
          <cell r="D660">
            <v>100.03</v>
          </cell>
          <cell r="E660">
            <v>104.18</v>
          </cell>
          <cell r="F660">
            <v>104.41</v>
          </cell>
          <cell r="G660">
            <v>95.66</v>
          </cell>
          <cell r="H660">
            <v>1175.3800000000001</v>
          </cell>
          <cell r="I660">
            <v>114.77</v>
          </cell>
        </row>
        <row r="661">
          <cell r="A661">
            <v>32695</v>
          </cell>
          <cell r="B661">
            <v>881.61</v>
          </cell>
          <cell r="C661">
            <v>956.83</v>
          </cell>
          <cell r="D661">
            <v>100.01</v>
          </cell>
          <cell r="E661">
            <v>104.21</v>
          </cell>
          <cell r="F661">
            <v>104.41</v>
          </cell>
          <cell r="G661">
            <v>95.58</v>
          </cell>
          <cell r="H661">
            <v>1183.9000000000001</v>
          </cell>
          <cell r="I661">
            <v>115.49</v>
          </cell>
        </row>
        <row r="662">
          <cell r="A662">
            <v>32696</v>
          </cell>
          <cell r="B662">
            <v>890.25</v>
          </cell>
          <cell r="C662">
            <v>961.77</v>
          </cell>
          <cell r="D662">
            <v>100.77</v>
          </cell>
          <cell r="E662">
            <v>104.7</v>
          </cell>
          <cell r="F662">
            <v>104.89</v>
          </cell>
          <cell r="G662">
            <v>96.59</v>
          </cell>
          <cell r="H662">
            <v>1184.82</v>
          </cell>
          <cell r="I662">
            <v>115.73</v>
          </cell>
        </row>
        <row r="663">
          <cell r="A663">
            <v>32699</v>
          </cell>
          <cell r="B663">
            <v>893.16</v>
          </cell>
          <cell r="C663">
            <v>965.66</v>
          </cell>
          <cell r="D663">
            <v>101.02</v>
          </cell>
          <cell r="E663">
            <v>105.13</v>
          </cell>
          <cell r="F663">
            <v>105.3</v>
          </cell>
          <cell r="G663">
            <v>96.66</v>
          </cell>
          <cell r="H663">
            <v>1186.0899999999999</v>
          </cell>
          <cell r="I663">
            <v>116.06</v>
          </cell>
        </row>
        <row r="664">
          <cell r="A664">
            <v>32700</v>
          </cell>
          <cell r="B664">
            <v>911.42</v>
          </cell>
          <cell r="C664">
            <v>971.49</v>
          </cell>
          <cell r="D664">
            <v>102.39</v>
          </cell>
          <cell r="E664">
            <v>105.66</v>
          </cell>
          <cell r="F664">
            <v>105.9</v>
          </cell>
          <cell r="G664">
            <v>98.82</v>
          </cell>
          <cell r="H664">
            <v>1200.56</v>
          </cell>
          <cell r="I664">
            <v>117.44</v>
          </cell>
        </row>
        <row r="665">
          <cell r="A665">
            <v>32701</v>
          </cell>
          <cell r="B665">
            <v>909.13</v>
          </cell>
          <cell r="C665">
            <v>971.05</v>
          </cell>
          <cell r="D665">
            <v>102.59</v>
          </cell>
          <cell r="E665">
            <v>105.75</v>
          </cell>
          <cell r="F665">
            <v>106.13</v>
          </cell>
          <cell r="G665">
            <v>99.12</v>
          </cell>
          <cell r="H665">
            <v>1213.44</v>
          </cell>
          <cell r="I665">
            <v>118.62</v>
          </cell>
        </row>
        <row r="666">
          <cell r="A666">
            <v>32702</v>
          </cell>
          <cell r="B666">
            <v>913.49</v>
          </cell>
          <cell r="C666">
            <v>977.72</v>
          </cell>
          <cell r="D666">
            <v>103.09</v>
          </cell>
          <cell r="E666">
            <v>106.4</v>
          </cell>
          <cell r="F666">
            <v>106.68</v>
          </cell>
          <cell r="G666">
            <v>99.47</v>
          </cell>
          <cell r="H666">
            <v>1222.04</v>
          </cell>
          <cell r="I666">
            <v>119.22</v>
          </cell>
        </row>
        <row r="667">
          <cell r="A667">
            <v>32703</v>
          </cell>
          <cell r="B667">
            <v>919.64</v>
          </cell>
          <cell r="C667">
            <v>981.2</v>
          </cell>
          <cell r="D667">
            <v>103.51</v>
          </cell>
          <cell r="E667">
            <v>106.6</v>
          </cell>
          <cell r="F667">
            <v>106.83</v>
          </cell>
          <cell r="G667">
            <v>100.11</v>
          </cell>
          <cell r="H667">
            <v>1221.1300000000001</v>
          </cell>
          <cell r="I667">
            <v>119.21</v>
          </cell>
        </row>
        <row r="668">
          <cell r="A668">
            <v>32706</v>
          </cell>
          <cell r="B668">
            <v>919.19</v>
          </cell>
          <cell r="C668">
            <v>979.47</v>
          </cell>
          <cell r="D668">
            <v>103.32</v>
          </cell>
          <cell r="E668">
            <v>106.32</v>
          </cell>
          <cell r="F668">
            <v>106.5</v>
          </cell>
          <cell r="G668">
            <v>99.99</v>
          </cell>
          <cell r="H668">
            <v>1208.27</v>
          </cell>
          <cell r="I668">
            <v>117.67</v>
          </cell>
        </row>
        <row r="669">
          <cell r="A669">
            <v>32707</v>
          </cell>
          <cell r="B669">
            <v>921.01</v>
          </cell>
          <cell r="C669">
            <v>981.3</v>
          </cell>
          <cell r="D669">
            <v>103.52</v>
          </cell>
          <cell r="E669">
            <v>106.4</v>
          </cell>
          <cell r="F669">
            <v>106.63</v>
          </cell>
          <cell r="G669">
            <v>100.31</v>
          </cell>
          <cell r="H669">
            <v>1210.2</v>
          </cell>
          <cell r="I669">
            <v>117.83</v>
          </cell>
        </row>
        <row r="670">
          <cell r="A670">
            <v>32708</v>
          </cell>
          <cell r="B670">
            <v>925.39</v>
          </cell>
          <cell r="C670">
            <v>985.74</v>
          </cell>
          <cell r="D670">
            <v>104.09</v>
          </cell>
          <cell r="E670">
            <v>106.85</v>
          </cell>
          <cell r="F670">
            <v>107.07</v>
          </cell>
          <cell r="G670">
            <v>101</v>
          </cell>
          <cell r="H670">
            <v>1218.97</v>
          </cell>
          <cell r="I670">
            <v>118.52</v>
          </cell>
        </row>
        <row r="671">
          <cell r="A671">
            <v>32709</v>
          </cell>
          <cell r="B671">
            <v>930.59</v>
          </cell>
          <cell r="C671">
            <v>991.39</v>
          </cell>
          <cell r="D671">
            <v>104.59</v>
          </cell>
          <cell r="E671">
            <v>107.35</v>
          </cell>
          <cell r="F671">
            <v>107.57</v>
          </cell>
          <cell r="G671">
            <v>101.48</v>
          </cell>
          <cell r="H671">
            <v>1221.9100000000001</v>
          </cell>
          <cell r="I671">
            <v>118.84</v>
          </cell>
        </row>
        <row r="672">
          <cell r="A672">
            <v>32710</v>
          </cell>
          <cell r="B672">
            <v>930.46</v>
          </cell>
          <cell r="C672">
            <v>993.41</v>
          </cell>
          <cell r="D672">
            <v>104.57</v>
          </cell>
          <cell r="E672">
            <v>107.64</v>
          </cell>
          <cell r="F672">
            <v>107.87</v>
          </cell>
          <cell r="G672">
            <v>101.18</v>
          </cell>
          <cell r="H672">
            <v>1225.1099999999999</v>
          </cell>
          <cell r="I672">
            <v>119.04</v>
          </cell>
        </row>
        <row r="673">
          <cell r="A673">
            <v>32713</v>
          </cell>
          <cell r="B673">
            <v>923.13</v>
          </cell>
          <cell r="C673">
            <v>983.6</v>
          </cell>
          <cell r="D673">
            <v>103.68</v>
          </cell>
          <cell r="E673">
            <v>106.92</v>
          </cell>
          <cell r="F673">
            <v>107.3</v>
          </cell>
          <cell r="G673">
            <v>100.12</v>
          </cell>
          <cell r="H673">
            <v>1221.29</v>
          </cell>
          <cell r="I673">
            <v>118.28</v>
          </cell>
        </row>
        <row r="674">
          <cell r="A674">
            <v>32714</v>
          </cell>
          <cell r="B674">
            <v>926.79</v>
          </cell>
          <cell r="C674">
            <v>988.98</v>
          </cell>
          <cell r="D674">
            <v>103.99</v>
          </cell>
          <cell r="E674">
            <v>107.33</v>
          </cell>
          <cell r="F674">
            <v>107.65</v>
          </cell>
          <cell r="G674">
            <v>100.35</v>
          </cell>
          <cell r="H674">
            <v>1225.1600000000001</v>
          </cell>
          <cell r="I674">
            <v>118.45</v>
          </cell>
        </row>
        <row r="675">
          <cell r="A675">
            <v>32715</v>
          </cell>
          <cell r="B675">
            <v>929.6</v>
          </cell>
          <cell r="C675">
            <v>994.46</v>
          </cell>
          <cell r="D675">
            <v>104.47</v>
          </cell>
          <cell r="E675">
            <v>107.96</v>
          </cell>
          <cell r="F675">
            <v>108.25</v>
          </cell>
          <cell r="G675">
            <v>100.68</v>
          </cell>
          <cell r="H675">
            <v>1230.1400000000001</v>
          </cell>
          <cell r="I675">
            <v>118.83</v>
          </cell>
        </row>
        <row r="676">
          <cell r="A676">
            <v>32716</v>
          </cell>
          <cell r="B676">
            <v>935.8</v>
          </cell>
          <cell r="C676">
            <v>997.27</v>
          </cell>
          <cell r="D676">
            <v>105.05</v>
          </cell>
          <cell r="E676">
            <v>108.29</v>
          </cell>
          <cell r="F676">
            <v>108.59</v>
          </cell>
          <cell r="G676">
            <v>101.5</v>
          </cell>
          <cell r="H676">
            <v>1231.25</v>
          </cell>
          <cell r="I676">
            <v>119.03</v>
          </cell>
        </row>
        <row r="677">
          <cell r="A677">
            <v>32717</v>
          </cell>
          <cell r="B677">
            <v>941.28</v>
          </cell>
          <cell r="C677">
            <v>996.93</v>
          </cell>
          <cell r="D677">
            <v>105.57</v>
          </cell>
          <cell r="E677">
            <v>108.32</v>
          </cell>
          <cell r="F677">
            <v>108.74</v>
          </cell>
          <cell r="G677">
            <v>102.47</v>
          </cell>
          <cell r="H677">
            <v>1237.99</v>
          </cell>
          <cell r="I677">
            <v>119.41</v>
          </cell>
        </row>
        <row r="678">
          <cell r="A678">
            <v>32720</v>
          </cell>
          <cell r="B678">
            <v>939.45</v>
          </cell>
          <cell r="C678">
            <v>997.91</v>
          </cell>
          <cell r="D678">
            <v>105.53</v>
          </cell>
          <cell r="E678">
            <v>108.42</v>
          </cell>
          <cell r="F678">
            <v>108.86</v>
          </cell>
          <cell r="G678">
            <v>102.31</v>
          </cell>
          <cell r="H678">
            <v>1242.96</v>
          </cell>
          <cell r="I678">
            <v>119.74</v>
          </cell>
        </row>
        <row r="679">
          <cell r="A679">
            <v>32721</v>
          </cell>
          <cell r="B679">
            <v>940.71</v>
          </cell>
          <cell r="C679">
            <v>1006.38</v>
          </cell>
          <cell r="D679">
            <v>105.49</v>
          </cell>
          <cell r="E679">
            <v>109.27</v>
          </cell>
          <cell r="F679">
            <v>109.59</v>
          </cell>
          <cell r="G679">
            <v>101.44</v>
          </cell>
          <cell r="H679">
            <v>1246.83</v>
          </cell>
          <cell r="I679">
            <v>119.94</v>
          </cell>
        </row>
        <row r="680">
          <cell r="A680">
            <v>32722</v>
          </cell>
          <cell r="B680">
            <v>941.83</v>
          </cell>
          <cell r="C680">
            <v>1008.28</v>
          </cell>
          <cell r="D680">
            <v>105.68</v>
          </cell>
          <cell r="E680">
            <v>109.39</v>
          </cell>
          <cell r="F680">
            <v>109.73</v>
          </cell>
          <cell r="G680">
            <v>101.69</v>
          </cell>
          <cell r="H680">
            <v>1247.71</v>
          </cell>
          <cell r="I680">
            <v>120.19</v>
          </cell>
        </row>
        <row r="681">
          <cell r="A681">
            <v>32723</v>
          </cell>
          <cell r="B681">
            <v>937.87</v>
          </cell>
          <cell r="C681">
            <v>1004.65</v>
          </cell>
          <cell r="D681">
            <v>105.27</v>
          </cell>
          <cell r="E681">
            <v>109.18</v>
          </cell>
          <cell r="F681">
            <v>109.54</v>
          </cell>
          <cell r="G681">
            <v>101.09</v>
          </cell>
          <cell r="H681">
            <v>1237.93</v>
          </cell>
          <cell r="I681">
            <v>119.53</v>
          </cell>
        </row>
        <row r="682">
          <cell r="A682">
            <v>32724</v>
          </cell>
          <cell r="B682">
            <v>948.57</v>
          </cell>
          <cell r="C682">
            <v>1016.58</v>
          </cell>
          <cell r="D682">
            <v>106.31</v>
          </cell>
          <cell r="E682">
            <v>110.24</v>
          </cell>
          <cell r="F682">
            <v>110.5</v>
          </cell>
          <cell r="G682">
            <v>102.1</v>
          </cell>
          <cell r="H682">
            <v>1246.76</v>
          </cell>
          <cell r="I682">
            <v>120.25</v>
          </cell>
        </row>
        <row r="683">
          <cell r="A683">
            <v>32727</v>
          </cell>
          <cell r="B683">
            <v>953.88</v>
          </cell>
          <cell r="C683">
            <v>1018.24</v>
          </cell>
          <cell r="D683">
            <v>106.84</v>
          </cell>
          <cell r="E683">
            <v>110.59</v>
          </cell>
          <cell r="F683">
            <v>110.88</v>
          </cell>
          <cell r="G683">
            <v>102.81</v>
          </cell>
          <cell r="H683">
            <v>1239.54</v>
          </cell>
          <cell r="I683">
            <v>119.88</v>
          </cell>
        </row>
        <row r="684">
          <cell r="A684">
            <v>32728</v>
          </cell>
          <cell r="B684">
            <v>956.89</v>
          </cell>
          <cell r="C684">
            <v>1020.41</v>
          </cell>
          <cell r="D684">
            <v>107.21</v>
          </cell>
          <cell r="E684">
            <v>110.95</v>
          </cell>
          <cell r="F684">
            <v>111.14</v>
          </cell>
          <cell r="G684">
            <v>103.18</v>
          </cell>
          <cell r="H684">
            <v>1232.6500000000001</v>
          </cell>
          <cell r="I684">
            <v>119.13</v>
          </cell>
        </row>
        <row r="685">
          <cell r="A685">
            <v>32729</v>
          </cell>
          <cell r="B685">
            <v>961.97</v>
          </cell>
          <cell r="C685">
            <v>1022.62</v>
          </cell>
          <cell r="D685">
            <v>107.67</v>
          </cell>
          <cell r="E685">
            <v>111.27</v>
          </cell>
          <cell r="F685">
            <v>111.52</v>
          </cell>
          <cell r="G685">
            <v>103.78</v>
          </cell>
          <cell r="H685">
            <v>1233.54</v>
          </cell>
          <cell r="I685">
            <v>119</v>
          </cell>
        </row>
        <row r="686">
          <cell r="A686">
            <v>32730</v>
          </cell>
          <cell r="B686">
            <v>956.73</v>
          </cell>
          <cell r="C686">
            <v>1018.51</v>
          </cell>
          <cell r="D686">
            <v>107.23</v>
          </cell>
          <cell r="E686">
            <v>110.95</v>
          </cell>
          <cell r="F686">
            <v>111.2</v>
          </cell>
          <cell r="G686">
            <v>103.22</v>
          </cell>
          <cell r="H686">
            <v>1234.72</v>
          </cell>
          <cell r="I686">
            <v>118.94</v>
          </cell>
        </row>
        <row r="687">
          <cell r="A687">
            <v>32731</v>
          </cell>
          <cell r="B687">
            <v>960.63</v>
          </cell>
          <cell r="C687">
            <v>1022.34</v>
          </cell>
          <cell r="D687">
            <v>107.55</v>
          </cell>
          <cell r="E687">
            <v>111.28</v>
          </cell>
          <cell r="F687">
            <v>111.53</v>
          </cell>
          <cell r="G687">
            <v>103.53</v>
          </cell>
          <cell r="H687">
            <v>1236.24</v>
          </cell>
          <cell r="I687">
            <v>119.06</v>
          </cell>
        </row>
        <row r="688">
          <cell r="A688">
            <v>32734</v>
          </cell>
          <cell r="B688">
            <v>952.92</v>
          </cell>
          <cell r="C688">
            <v>1019.54</v>
          </cell>
          <cell r="D688">
            <v>106.97</v>
          </cell>
          <cell r="E688">
            <v>111.18</v>
          </cell>
          <cell r="F688">
            <v>111.41</v>
          </cell>
          <cell r="G688">
            <v>102.5</v>
          </cell>
          <cell r="H688">
            <v>1239.4000000000001</v>
          </cell>
          <cell r="I688">
            <v>119.3</v>
          </cell>
        </row>
        <row r="689">
          <cell r="A689">
            <v>32735</v>
          </cell>
          <cell r="B689">
            <v>945.89</v>
          </cell>
          <cell r="C689">
            <v>1012.02</v>
          </cell>
          <cell r="D689">
            <v>106.29</v>
          </cell>
          <cell r="E689">
            <v>110.39</v>
          </cell>
          <cell r="F689">
            <v>110.65</v>
          </cell>
          <cell r="G689">
            <v>101.92</v>
          </cell>
          <cell r="H689">
            <v>1239.03</v>
          </cell>
          <cell r="I689">
            <v>119.2</v>
          </cell>
        </row>
        <row r="690">
          <cell r="A690">
            <v>32736</v>
          </cell>
          <cell r="B690">
            <v>954.49</v>
          </cell>
          <cell r="C690">
            <v>1018.81</v>
          </cell>
          <cell r="D690">
            <v>107.28</v>
          </cell>
          <cell r="E690">
            <v>111.08</v>
          </cell>
          <cell r="F690">
            <v>111.47</v>
          </cell>
          <cell r="G690">
            <v>103.19</v>
          </cell>
          <cell r="H690">
            <v>1260.99</v>
          </cell>
          <cell r="I690">
            <v>120.97</v>
          </cell>
        </row>
        <row r="691">
          <cell r="A691">
            <v>32737</v>
          </cell>
          <cell r="B691">
            <v>956.52</v>
          </cell>
          <cell r="C691">
            <v>1020.37</v>
          </cell>
          <cell r="D691">
            <v>107.58</v>
          </cell>
          <cell r="E691">
            <v>111.34</v>
          </cell>
          <cell r="F691">
            <v>111.64</v>
          </cell>
          <cell r="G691">
            <v>103.53</v>
          </cell>
          <cell r="H691">
            <v>1259.22</v>
          </cell>
          <cell r="I691">
            <v>121.14</v>
          </cell>
        </row>
        <row r="692">
          <cell r="A692">
            <v>32738</v>
          </cell>
          <cell r="B692">
            <v>954.1</v>
          </cell>
          <cell r="C692">
            <v>1017.81</v>
          </cell>
          <cell r="D692">
            <v>107.74</v>
          </cell>
          <cell r="E692">
            <v>111.18</v>
          </cell>
          <cell r="F692">
            <v>111.49</v>
          </cell>
          <cell r="G692">
            <v>103.98</v>
          </cell>
          <cell r="H692">
            <v>1254.49</v>
          </cell>
          <cell r="I692">
            <v>120.92</v>
          </cell>
        </row>
        <row r="693">
          <cell r="A693">
            <v>32741</v>
          </cell>
          <cell r="B693">
            <v>959.52</v>
          </cell>
          <cell r="C693">
            <v>1024.69</v>
          </cell>
          <cell r="D693">
            <v>108.21</v>
          </cell>
          <cell r="E693">
            <v>111.84</v>
          </cell>
          <cell r="F693">
            <v>112.02</v>
          </cell>
          <cell r="G693">
            <v>104.27</v>
          </cell>
          <cell r="H693">
            <v>1244.8900000000001</v>
          </cell>
          <cell r="I693">
            <v>120.18</v>
          </cell>
        </row>
        <row r="694">
          <cell r="A694">
            <v>32742</v>
          </cell>
          <cell r="B694">
            <v>956.94</v>
          </cell>
          <cell r="C694">
            <v>1021.3</v>
          </cell>
          <cell r="D694">
            <v>107.93</v>
          </cell>
          <cell r="E694">
            <v>111.71</v>
          </cell>
          <cell r="F694">
            <v>111.82</v>
          </cell>
          <cell r="G694">
            <v>103.86</v>
          </cell>
          <cell r="H694">
            <v>1224.3900000000001</v>
          </cell>
          <cell r="I694">
            <v>118.26</v>
          </cell>
        </row>
        <row r="695">
          <cell r="A695">
            <v>32743</v>
          </cell>
          <cell r="B695">
            <v>959.35</v>
          </cell>
          <cell r="C695">
            <v>1020.27</v>
          </cell>
          <cell r="D695">
            <v>108.2</v>
          </cell>
          <cell r="E695">
            <v>111.79</v>
          </cell>
          <cell r="F695">
            <v>111.99</v>
          </cell>
          <cell r="G695">
            <v>104.3</v>
          </cell>
          <cell r="H695">
            <v>1222.79</v>
          </cell>
          <cell r="I695">
            <v>118.28</v>
          </cell>
        </row>
        <row r="696">
          <cell r="A696">
            <v>32744</v>
          </cell>
          <cell r="B696">
            <v>965.4</v>
          </cell>
          <cell r="C696">
            <v>1026.17</v>
          </cell>
          <cell r="D696">
            <v>108.71</v>
          </cell>
          <cell r="E696">
            <v>112.4</v>
          </cell>
          <cell r="F696">
            <v>112.6</v>
          </cell>
          <cell r="G696">
            <v>104.72</v>
          </cell>
          <cell r="H696">
            <v>1234.7</v>
          </cell>
          <cell r="I696">
            <v>119.01</v>
          </cell>
        </row>
        <row r="697">
          <cell r="A697">
            <v>32745</v>
          </cell>
          <cell r="B697">
            <v>972.95</v>
          </cell>
          <cell r="C697">
            <v>1036.9100000000001</v>
          </cell>
          <cell r="D697">
            <v>109.35</v>
          </cell>
          <cell r="E697">
            <v>113.42</v>
          </cell>
          <cell r="F697">
            <v>113.62</v>
          </cell>
          <cell r="G697">
            <v>104.99</v>
          </cell>
          <cell r="H697">
            <v>1255.19</v>
          </cell>
          <cell r="I697">
            <v>120.68</v>
          </cell>
        </row>
        <row r="698">
          <cell r="A698">
            <v>32748</v>
          </cell>
          <cell r="B698">
            <v>972.55</v>
          </cell>
          <cell r="C698">
            <v>1034.95</v>
          </cell>
          <cell r="D698">
            <v>109.32</v>
          </cell>
          <cell r="E698">
            <v>113.32</v>
          </cell>
          <cell r="F698">
            <v>113.58</v>
          </cell>
          <cell r="G698">
            <v>105.03</v>
          </cell>
          <cell r="H698">
            <v>1261.6500000000001</v>
          </cell>
          <cell r="I698">
            <v>120.99</v>
          </cell>
        </row>
        <row r="699">
          <cell r="A699">
            <v>32749</v>
          </cell>
          <cell r="B699">
            <v>967.65</v>
          </cell>
          <cell r="C699">
            <v>1031.44</v>
          </cell>
          <cell r="D699">
            <v>108.69</v>
          </cell>
          <cell r="E699">
            <v>112.85</v>
          </cell>
          <cell r="F699">
            <v>113.08</v>
          </cell>
          <cell r="G699">
            <v>104.25</v>
          </cell>
          <cell r="H699">
            <v>1250.75</v>
          </cell>
          <cell r="I699">
            <v>120.18</v>
          </cell>
        </row>
        <row r="700">
          <cell r="A700">
            <v>32750</v>
          </cell>
          <cell r="B700">
            <v>968.09</v>
          </cell>
          <cell r="C700">
            <v>1034.3599999999999</v>
          </cell>
          <cell r="D700">
            <v>108.84</v>
          </cell>
          <cell r="E700">
            <v>113.4</v>
          </cell>
          <cell r="F700">
            <v>113.33</v>
          </cell>
          <cell r="G700">
            <v>104.04</v>
          </cell>
          <cell r="H700">
            <v>1242.8399999999999</v>
          </cell>
          <cell r="I700">
            <v>119.65</v>
          </cell>
        </row>
        <row r="701">
          <cell r="A701">
            <v>32751</v>
          </cell>
          <cell r="B701">
            <v>972.04</v>
          </cell>
          <cell r="C701">
            <v>1038.0999999999999</v>
          </cell>
          <cell r="D701">
            <v>109.29</v>
          </cell>
          <cell r="E701">
            <v>113.85</v>
          </cell>
          <cell r="F701">
            <v>113.8</v>
          </cell>
          <cell r="G701">
            <v>104.48</v>
          </cell>
          <cell r="H701">
            <v>1247.18</v>
          </cell>
          <cell r="I701">
            <v>120.07</v>
          </cell>
        </row>
        <row r="702">
          <cell r="A702">
            <v>32752</v>
          </cell>
          <cell r="B702">
            <v>974.58</v>
          </cell>
          <cell r="C702">
            <v>1040.8800000000001</v>
          </cell>
          <cell r="D702">
            <v>109.6</v>
          </cell>
          <cell r="E702">
            <v>114</v>
          </cell>
          <cell r="F702">
            <v>113.83</v>
          </cell>
          <cell r="G702">
            <v>104.93</v>
          </cell>
          <cell r="H702">
            <v>1239.3499999999999</v>
          </cell>
          <cell r="I702">
            <v>119.48</v>
          </cell>
        </row>
        <row r="703">
          <cell r="A703">
            <v>32755</v>
          </cell>
          <cell r="B703">
            <v>980.9</v>
          </cell>
          <cell r="C703">
            <v>1048.98</v>
          </cell>
          <cell r="D703">
            <v>110.38</v>
          </cell>
          <cell r="E703">
            <v>114.94</v>
          </cell>
          <cell r="F703">
            <v>114.74</v>
          </cell>
          <cell r="G703">
            <v>105.57</v>
          </cell>
          <cell r="H703">
            <v>1227.96</v>
          </cell>
          <cell r="I703">
            <v>118.79</v>
          </cell>
        </row>
        <row r="704">
          <cell r="A704">
            <v>32756</v>
          </cell>
          <cell r="B704">
            <v>984.39</v>
          </cell>
          <cell r="C704">
            <v>1056.54</v>
          </cell>
          <cell r="D704">
            <v>110.61</v>
          </cell>
          <cell r="E704">
            <v>115.57</v>
          </cell>
          <cell r="F704">
            <v>115.28</v>
          </cell>
          <cell r="G704">
            <v>105.42</v>
          </cell>
          <cell r="H704">
            <v>1231.4000000000001</v>
          </cell>
          <cell r="I704">
            <v>118.8</v>
          </cell>
        </row>
        <row r="705">
          <cell r="A705">
            <v>32757</v>
          </cell>
          <cell r="B705">
            <v>975.02</v>
          </cell>
          <cell r="C705">
            <v>1048.3599999999999</v>
          </cell>
          <cell r="D705">
            <v>109.57</v>
          </cell>
          <cell r="E705">
            <v>114.88</v>
          </cell>
          <cell r="F705">
            <v>114.59</v>
          </cell>
          <cell r="G705">
            <v>104.04</v>
          </cell>
          <cell r="H705">
            <v>1219.17</v>
          </cell>
          <cell r="I705">
            <v>117.72</v>
          </cell>
        </row>
        <row r="706">
          <cell r="A706">
            <v>32758</v>
          </cell>
          <cell r="B706">
            <v>983.21</v>
          </cell>
          <cell r="C706">
            <v>1055.1099999999999</v>
          </cell>
          <cell r="D706">
            <v>110.38</v>
          </cell>
          <cell r="E706">
            <v>115.38</v>
          </cell>
          <cell r="F706">
            <v>115.03</v>
          </cell>
          <cell r="G706">
            <v>105.15</v>
          </cell>
          <cell r="H706">
            <v>1222.19</v>
          </cell>
          <cell r="I706">
            <v>117.94</v>
          </cell>
        </row>
        <row r="707">
          <cell r="A707">
            <v>32759</v>
          </cell>
          <cell r="B707">
            <v>985.67</v>
          </cell>
          <cell r="C707">
            <v>1058.95</v>
          </cell>
          <cell r="D707">
            <v>110.57</v>
          </cell>
          <cell r="E707">
            <v>115.75</v>
          </cell>
          <cell r="F707">
            <v>115.35</v>
          </cell>
          <cell r="G707">
            <v>105.17</v>
          </cell>
          <cell r="H707">
            <v>1230.26</v>
          </cell>
          <cell r="I707">
            <v>118.46</v>
          </cell>
        </row>
        <row r="708">
          <cell r="A708">
            <v>32762</v>
          </cell>
          <cell r="B708">
            <v>980.44</v>
          </cell>
          <cell r="C708">
            <v>1054.81</v>
          </cell>
          <cell r="D708">
            <v>110.17</v>
          </cell>
          <cell r="E708">
            <v>115.43</v>
          </cell>
          <cell r="F708">
            <v>115.1</v>
          </cell>
          <cell r="G708">
            <v>104.7</v>
          </cell>
          <cell r="H708">
            <v>1229.1099999999999</v>
          </cell>
          <cell r="I708">
            <v>118.41</v>
          </cell>
        </row>
        <row r="709">
          <cell r="A709">
            <v>32763</v>
          </cell>
          <cell r="B709">
            <v>977.08</v>
          </cell>
          <cell r="C709">
            <v>1052.1099999999999</v>
          </cell>
          <cell r="D709">
            <v>110.09</v>
          </cell>
          <cell r="E709">
            <v>115.35</v>
          </cell>
          <cell r="F709">
            <v>114.94</v>
          </cell>
          <cell r="G709">
            <v>104.61</v>
          </cell>
          <cell r="H709">
            <v>1226.04</v>
          </cell>
          <cell r="I709">
            <v>118.36</v>
          </cell>
        </row>
        <row r="710">
          <cell r="A710">
            <v>32764</v>
          </cell>
          <cell r="B710">
            <v>975.23</v>
          </cell>
          <cell r="C710">
            <v>1049.45</v>
          </cell>
          <cell r="D710">
            <v>109.99</v>
          </cell>
          <cell r="E710">
            <v>115.11</v>
          </cell>
          <cell r="F710">
            <v>114.64</v>
          </cell>
          <cell r="G710">
            <v>104.65</v>
          </cell>
          <cell r="H710">
            <v>1222.3699999999999</v>
          </cell>
          <cell r="I710">
            <v>118.16</v>
          </cell>
        </row>
        <row r="711">
          <cell r="A711">
            <v>32765</v>
          </cell>
          <cell r="B711">
            <v>969.07</v>
          </cell>
          <cell r="C711">
            <v>1048.53</v>
          </cell>
          <cell r="D711">
            <v>109.45</v>
          </cell>
          <cell r="E711">
            <v>115.04</v>
          </cell>
          <cell r="F711">
            <v>114.48</v>
          </cell>
          <cell r="G711">
            <v>103.65</v>
          </cell>
          <cell r="H711">
            <v>1214.7</v>
          </cell>
          <cell r="I711">
            <v>117.58</v>
          </cell>
        </row>
        <row r="712">
          <cell r="A712">
            <v>32766</v>
          </cell>
          <cell r="B712">
            <v>966.34</v>
          </cell>
          <cell r="C712">
            <v>1047.1600000000001</v>
          </cell>
          <cell r="D712">
            <v>109.29</v>
          </cell>
          <cell r="E712">
            <v>115.02</v>
          </cell>
          <cell r="F712">
            <v>114.48</v>
          </cell>
          <cell r="G712">
            <v>103.38</v>
          </cell>
          <cell r="H712">
            <v>1222.29</v>
          </cell>
          <cell r="I712">
            <v>118.03</v>
          </cell>
        </row>
        <row r="713">
          <cell r="A713">
            <v>32769</v>
          </cell>
          <cell r="B713">
            <v>971.17</v>
          </cell>
          <cell r="C713">
            <v>1050.93</v>
          </cell>
          <cell r="D713">
            <v>109.66</v>
          </cell>
          <cell r="E713">
            <v>115.51</v>
          </cell>
          <cell r="F713">
            <v>114.95</v>
          </cell>
          <cell r="G713">
            <v>103.63</v>
          </cell>
          <cell r="H713">
            <v>1214.29</v>
          </cell>
          <cell r="I713">
            <v>117.4</v>
          </cell>
        </row>
        <row r="714">
          <cell r="A714">
            <v>32770</v>
          </cell>
          <cell r="B714">
            <v>967.7</v>
          </cell>
          <cell r="C714">
            <v>1047.17</v>
          </cell>
          <cell r="D714">
            <v>109.26</v>
          </cell>
          <cell r="E714">
            <v>115.16</v>
          </cell>
          <cell r="F714">
            <v>114.64</v>
          </cell>
          <cell r="G714">
            <v>103.17</v>
          </cell>
          <cell r="H714">
            <v>1201.23</v>
          </cell>
          <cell r="I714">
            <v>116.41</v>
          </cell>
        </row>
        <row r="715">
          <cell r="A715">
            <v>32771</v>
          </cell>
          <cell r="B715">
            <v>968.81</v>
          </cell>
          <cell r="C715">
            <v>1045.6600000000001</v>
          </cell>
          <cell r="D715">
            <v>109.48</v>
          </cell>
          <cell r="E715">
            <v>115.23</v>
          </cell>
          <cell r="F715">
            <v>114.7</v>
          </cell>
          <cell r="G715">
            <v>103.55</v>
          </cell>
          <cell r="H715">
            <v>1201.2</v>
          </cell>
          <cell r="I715">
            <v>116.4</v>
          </cell>
        </row>
        <row r="716">
          <cell r="A716">
            <v>32772</v>
          </cell>
          <cell r="B716">
            <v>971.32</v>
          </cell>
          <cell r="C716">
            <v>1045.93</v>
          </cell>
          <cell r="D716">
            <v>109.73</v>
          </cell>
          <cell r="E716">
            <v>115.35</v>
          </cell>
          <cell r="F716">
            <v>114.77</v>
          </cell>
          <cell r="G716">
            <v>103.91</v>
          </cell>
          <cell r="H716">
            <v>1204.1500000000001</v>
          </cell>
          <cell r="I716">
            <v>116.48</v>
          </cell>
        </row>
        <row r="717">
          <cell r="A717">
            <v>32773</v>
          </cell>
          <cell r="B717">
            <v>971.39</v>
          </cell>
          <cell r="C717">
            <v>1051.8399999999999</v>
          </cell>
          <cell r="D717">
            <v>109.84</v>
          </cell>
          <cell r="E717">
            <v>116.06</v>
          </cell>
          <cell r="F717">
            <v>115.36</v>
          </cell>
          <cell r="G717">
            <v>103.46</v>
          </cell>
          <cell r="H717">
            <v>1197.32</v>
          </cell>
          <cell r="I717">
            <v>115.98</v>
          </cell>
        </row>
        <row r="718">
          <cell r="A718">
            <v>32776</v>
          </cell>
          <cell r="B718">
            <v>968.92</v>
          </cell>
          <cell r="C718">
            <v>1050.5899999999999</v>
          </cell>
          <cell r="D718">
            <v>109.62</v>
          </cell>
          <cell r="E718">
            <v>116.11</v>
          </cell>
          <cell r="F718">
            <v>115.3</v>
          </cell>
          <cell r="G718">
            <v>102.98</v>
          </cell>
          <cell r="H718">
            <v>1177.28</v>
          </cell>
          <cell r="I718">
            <v>114.47</v>
          </cell>
        </row>
        <row r="719">
          <cell r="A719">
            <v>32777</v>
          </cell>
          <cell r="B719">
            <v>961.52</v>
          </cell>
          <cell r="C719">
            <v>1045.46</v>
          </cell>
          <cell r="D719">
            <v>108.95</v>
          </cell>
          <cell r="E719">
            <v>115.74</v>
          </cell>
          <cell r="F719">
            <v>114.84</v>
          </cell>
          <cell r="G719">
            <v>102.04</v>
          </cell>
          <cell r="H719">
            <v>1173.0899999999999</v>
          </cell>
          <cell r="I719">
            <v>113.73</v>
          </cell>
        </row>
        <row r="720">
          <cell r="A720">
            <v>32778</v>
          </cell>
          <cell r="B720">
            <v>954.07</v>
          </cell>
          <cell r="C720">
            <v>1042.05</v>
          </cell>
          <cell r="D720">
            <v>108.3</v>
          </cell>
          <cell r="E720">
            <v>115.4</v>
          </cell>
          <cell r="F720">
            <v>114.5</v>
          </cell>
          <cell r="G720">
            <v>101.09</v>
          </cell>
          <cell r="H720">
            <v>1177.6500000000001</v>
          </cell>
          <cell r="I720">
            <v>113.92</v>
          </cell>
        </row>
        <row r="721">
          <cell r="A721">
            <v>32779</v>
          </cell>
          <cell r="B721">
            <v>947.41</v>
          </cell>
          <cell r="C721">
            <v>1041.53</v>
          </cell>
          <cell r="D721">
            <v>107.73</v>
          </cell>
          <cell r="E721">
            <v>115.54</v>
          </cell>
          <cell r="F721">
            <v>114.79</v>
          </cell>
          <cell r="G721">
            <v>99.86</v>
          </cell>
          <cell r="H721">
            <v>1189.3900000000001</v>
          </cell>
          <cell r="I721">
            <v>114.75</v>
          </cell>
        </row>
        <row r="722">
          <cell r="A722">
            <v>32780</v>
          </cell>
          <cell r="B722">
            <v>943.57</v>
          </cell>
          <cell r="C722">
            <v>1032.57</v>
          </cell>
          <cell r="D722">
            <v>107.48</v>
          </cell>
          <cell r="E722">
            <v>114.73</v>
          </cell>
          <cell r="F722">
            <v>114.1</v>
          </cell>
          <cell r="G722">
            <v>100.14</v>
          </cell>
          <cell r="H722">
            <v>1191.29</v>
          </cell>
          <cell r="I722">
            <v>114.8</v>
          </cell>
        </row>
        <row r="723">
          <cell r="A723">
            <v>32783</v>
          </cell>
          <cell r="B723">
            <v>941.29</v>
          </cell>
          <cell r="C723">
            <v>1027.48</v>
          </cell>
          <cell r="D723">
            <v>107.17</v>
          </cell>
          <cell r="E723">
            <v>114.18</v>
          </cell>
          <cell r="F723">
            <v>113.55</v>
          </cell>
          <cell r="G723">
            <v>100.05</v>
          </cell>
          <cell r="H723">
            <v>1189.69</v>
          </cell>
          <cell r="I723">
            <v>114.73</v>
          </cell>
        </row>
        <row r="724">
          <cell r="A724">
            <v>32784</v>
          </cell>
          <cell r="B724">
            <v>952.96</v>
          </cell>
          <cell r="C724">
            <v>1039.75</v>
          </cell>
          <cell r="D724">
            <v>108.16</v>
          </cell>
          <cell r="E724">
            <v>115.18</v>
          </cell>
          <cell r="F724">
            <v>114.47</v>
          </cell>
          <cell r="G724">
            <v>101.03</v>
          </cell>
          <cell r="H724">
            <v>1195.98</v>
          </cell>
          <cell r="I724">
            <v>115.17</v>
          </cell>
        </row>
        <row r="725">
          <cell r="A725">
            <v>32785</v>
          </cell>
          <cell r="B725">
            <v>952.09</v>
          </cell>
          <cell r="C725">
            <v>1042.4000000000001</v>
          </cell>
          <cell r="D725">
            <v>107.89</v>
          </cell>
          <cell r="E725">
            <v>115.33</v>
          </cell>
          <cell r="F725">
            <v>114.7</v>
          </cell>
          <cell r="G725">
            <v>100.36</v>
          </cell>
          <cell r="H725">
            <v>1203.5999999999999</v>
          </cell>
          <cell r="I725">
            <v>115.66</v>
          </cell>
        </row>
        <row r="726">
          <cell r="A726">
            <v>32786</v>
          </cell>
          <cell r="B726">
            <v>950.09</v>
          </cell>
          <cell r="C726">
            <v>1041.49</v>
          </cell>
          <cell r="D726">
            <v>107.5</v>
          </cell>
          <cell r="E726">
            <v>115.23</v>
          </cell>
          <cell r="F726">
            <v>114.7</v>
          </cell>
          <cell r="G726">
            <v>99.7</v>
          </cell>
          <cell r="H726">
            <v>1202.58</v>
          </cell>
          <cell r="I726">
            <v>115.64</v>
          </cell>
        </row>
        <row r="727">
          <cell r="A727">
            <v>32787</v>
          </cell>
          <cell r="B727">
            <v>954.73</v>
          </cell>
          <cell r="C727">
            <v>1047.81</v>
          </cell>
          <cell r="D727">
            <v>107.81</v>
          </cell>
          <cell r="E727">
            <v>115.81</v>
          </cell>
          <cell r="F727">
            <v>115.27</v>
          </cell>
          <cell r="G727">
            <v>99.75</v>
          </cell>
          <cell r="H727">
            <v>1210.51</v>
          </cell>
          <cell r="I727">
            <v>116.37</v>
          </cell>
        </row>
        <row r="728">
          <cell r="A728">
            <v>32790</v>
          </cell>
          <cell r="B728">
            <v>948.96</v>
          </cell>
          <cell r="C728">
            <v>1055.47</v>
          </cell>
          <cell r="D728">
            <v>107.07</v>
          </cell>
          <cell r="E728">
            <v>116.72</v>
          </cell>
          <cell r="F728">
            <v>116.11</v>
          </cell>
          <cell r="G728">
            <v>97.46</v>
          </cell>
          <cell r="H728">
            <v>1217.01</v>
          </cell>
          <cell r="I728">
            <v>116.96</v>
          </cell>
        </row>
        <row r="729">
          <cell r="A729">
            <v>32791</v>
          </cell>
          <cell r="B729">
            <v>941.93</v>
          </cell>
          <cell r="C729">
            <v>1054.76</v>
          </cell>
          <cell r="D729">
            <v>106.18</v>
          </cell>
          <cell r="E729">
            <v>116.74</v>
          </cell>
          <cell r="F729">
            <v>116.07</v>
          </cell>
          <cell r="G729">
            <v>95.71</v>
          </cell>
          <cell r="H729">
            <v>1218.43</v>
          </cell>
          <cell r="I729">
            <v>117.27</v>
          </cell>
        </row>
        <row r="730">
          <cell r="A730">
            <v>32792</v>
          </cell>
          <cell r="B730">
            <v>937.11</v>
          </cell>
          <cell r="C730">
            <v>1043.02</v>
          </cell>
          <cell r="D730">
            <v>105.78</v>
          </cell>
          <cell r="E730">
            <v>115.85</v>
          </cell>
          <cell r="F730">
            <v>115.26</v>
          </cell>
          <cell r="G730">
            <v>95.77</v>
          </cell>
          <cell r="H730">
            <v>1220.69</v>
          </cell>
          <cell r="I730">
            <v>117.51</v>
          </cell>
        </row>
        <row r="731">
          <cell r="A731">
            <v>32793</v>
          </cell>
          <cell r="B731">
            <v>939.56</v>
          </cell>
          <cell r="C731">
            <v>1042.72</v>
          </cell>
          <cell r="D731">
            <v>106.02</v>
          </cell>
          <cell r="E731">
            <v>115.73</v>
          </cell>
          <cell r="F731">
            <v>115.12</v>
          </cell>
          <cell r="G731">
            <v>96.35</v>
          </cell>
          <cell r="H731">
            <v>1213.1099999999999</v>
          </cell>
          <cell r="I731">
            <v>116.8</v>
          </cell>
        </row>
        <row r="732">
          <cell r="A732">
            <v>32794</v>
          </cell>
          <cell r="B732">
            <v>936.15</v>
          </cell>
          <cell r="C732">
            <v>1035.8399999999999</v>
          </cell>
          <cell r="D732">
            <v>105.59</v>
          </cell>
          <cell r="E732">
            <v>115.05</v>
          </cell>
          <cell r="F732">
            <v>114.46</v>
          </cell>
          <cell r="G732">
            <v>96.15</v>
          </cell>
          <cell r="H732">
            <v>1209.26</v>
          </cell>
          <cell r="I732">
            <v>116.6</v>
          </cell>
        </row>
        <row r="733">
          <cell r="A733">
            <v>32797</v>
          </cell>
          <cell r="B733">
            <v>882.35</v>
          </cell>
          <cell r="C733">
            <v>960.81</v>
          </cell>
          <cell r="D733">
            <v>99.01</v>
          </cell>
          <cell r="E733">
            <v>106.34</v>
          </cell>
          <cell r="F733">
            <v>105.67</v>
          </cell>
          <cell r="G733">
            <v>91.63</v>
          </cell>
          <cell r="H733">
            <v>1122.6199999999999</v>
          </cell>
          <cell r="I733">
            <v>108.64</v>
          </cell>
        </row>
        <row r="734">
          <cell r="A734">
            <v>32798</v>
          </cell>
          <cell r="B734">
            <v>887.18</v>
          </cell>
          <cell r="C734">
            <v>981.08</v>
          </cell>
          <cell r="D734">
            <v>100</v>
          </cell>
          <cell r="E734">
            <v>108.89</v>
          </cell>
          <cell r="F734">
            <v>108.35</v>
          </cell>
          <cell r="G734">
            <v>91.13</v>
          </cell>
          <cell r="H734">
            <v>1154.1099999999999</v>
          </cell>
          <cell r="I734">
            <v>111.41</v>
          </cell>
        </row>
        <row r="735">
          <cell r="A735">
            <v>32799</v>
          </cell>
          <cell r="B735">
            <v>895.18</v>
          </cell>
          <cell r="C735">
            <v>983.38</v>
          </cell>
          <cell r="D735">
            <v>100.92</v>
          </cell>
          <cell r="E735">
            <v>109.16</v>
          </cell>
          <cell r="F735">
            <v>108.65</v>
          </cell>
          <cell r="G735">
            <v>92.67</v>
          </cell>
          <cell r="H735">
            <v>1159.06</v>
          </cell>
          <cell r="I735">
            <v>111.95</v>
          </cell>
        </row>
        <row r="736">
          <cell r="A736">
            <v>32800</v>
          </cell>
          <cell r="B736">
            <v>909.71</v>
          </cell>
          <cell r="C736">
            <v>1001.41</v>
          </cell>
          <cell r="D736">
            <v>102.44</v>
          </cell>
          <cell r="E736">
            <v>110.9</v>
          </cell>
          <cell r="F736">
            <v>110.46</v>
          </cell>
          <cell r="G736">
            <v>93.97</v>
          </cell>
          <cell r="H736">
            <v>1174.24</v>
          </cell>
          <cell r="I736">
            <v>113.48</v>
          </cell>
        </row>
        <row r="737">
          <cell r="A737">
            <v>32801</v>
          </cell>
          <cell r="B737">
            <v>908.01</v>
          </cell>
          <cell r="C737">
            <v>999.85</v>
          </cell>
          <cell r="D737">
            <v>102.42</v>
          </cell>
          <cell r="E737">
            <v>111.06</v>
          </cell>
          <cell r="F737">
            <v>110.68</v>
          </cell>
          <cell r="G737">
            <v>93.78</v>
          </cell>
          <cell r="H737">
            <v>1187.73</v>
          </cell>
          <cell r="I737">
            <v>114.75</v>
          </cell>
        </row>
        <row r="738">
          <cell r="A738">
            <v>32804</v>
          </cell>
          <cell r="B738">
            <v>910.59</v>
          </cell>
          <cell r="C738">
            <v>1001.27</v>
          </cell>
          <cell r="D738">
            <v>102.7</v>
          </cell>
          <cell r="E738">
            <v>111.1</v>
          </cell>
          <cell r="F738">
            <v>110.65</v>
          </cell>
          <cell r="G738">
            <v>94.29</v>
          </cell>
          <cell r="H738">
            <v>1183.3599999999999</v>
          </cell>
          <cell r="I738">
            <v>114.38</v>
          </cell>
        </row>
        <row r="739">
          <cell r="A739">
            <v>32805</v>
          </cell>
          <cell r="B739">
            <v>892.73</v>
          </cell>
          <cell r="C739">
            <v>983.84</v>
          </cell>
          <cell r="D739">
            <v>101.06</v>
          </cell>
          <cell r="E739">
            <v>109.56</v>
          </cell>
          <cell r="F739">
            <v>109.11</v>
          </cell>
          <cell r="G739">
            <v>92.56</v>
          </cell>
          <cell r="H739">
            <v>1171.95</v>
          </cell>
          <cell r="I739">
            <v>113.11</v>
          </cell>
        </row>
        <row r="740">
          <cell r="A740">
            <v>32806</v>
          </cell>
          <cell r="B740">
            <v>888.56</v>
          </cell>
          <cell r="C740">
            <v>973.82</v>
          </cell>
          <cell r="D740">
            <v>100.62</v>
          </cell>
          <cell r="E740">
            <v>108.43</v>
          </cell>
          <cell r="F740">
            <v>107.94</v>
          </cell>
          <cell r="G740">
            <v>92.78</v>
          </cell>
          <cell r="H740">
            <v>1155.1400000000001</v>
          </cell>
          <cell r="I740">
            <v>111.73</v>
          </cell>
        </row>
        <row r="741">
          <cell r="A741">
            <v>32807</v>
          </cell>
          <cell r="B741">
            <v>882.26</v>
          </cell>
          <cell r="C741">
            <v>971.67</v>
          </cell>
          <cell r="D741">
            <v>100.09</v>
          </cell>
          <cell r="E741">
            <v>108.19</v>
          </cell>
          <cell r="F741">
            <v>107.86</v>
          </cell>
          <cell r="G741">
            <v>91.96</v>
          </cell>
          <cell r="H741">
            <v>1162.3800000000001</v>
          </cell>
          <cell r="I741">
            <v>112.28</v>
          </cell>
        </row>
        <row r="742">
          <cell r="A742">
            <v>32808</v>
          </cell>
          <cell r="B742">
            <v>858.48</v>
          </cell>
          <cell r="C742">
            <v>959.03</v>
          </cell>
          <cell r="D742">
            <v>97.57</v>
          </cell>
          <cell r="E742">
            <v>106.77</v>
          </cell>
          <cell r="F742">
            <v>106.54</v>
          </cell>
          <cell r="G742">
            <v>88.41</v>
          </cell>
          <cell r="H742">
            <v>1155.76</v>
          </cell>
          <cell r="I742">
            <v>111.6</v>
          </cell>
        </row>
        <row r="743">
          <cell r="A743">
            <v>32811</v>
          </cell>
          <cell r="B743">
            <v>869.19</v>
          </cell>
          <cell r="C743">
            <v>965.83</v>
          </cell>
          <cell r="D743">
            <v>98.44</v>
          </cell>
          <cell r="E743">
            <v>107.16</v>
          </cell>
          <cell r="F743">
            <v>106.83</v>
          </cell>
          <cell r="G743">
            <v>89.73</v>
          </cell>
          <cell r="H743">
            <v>1149.82</v>
          </cell>
          <cell r="I743">
            <v>110.92</v>
          </cell>
        </row>
        <row r="744">
          <cell r="A744">
            <v>32812</v>
          </cell>
          <cell r="B744">
            <v>875.91</v>
          </cell>
          <cell r="C744">
            <v>970.43</v>
          </cell>
          <cell r="D744">
            <v>99.25</v>
          </cell>
          <cell r="E744">
            <v>107.73</v>
          </cell>
          <cell r="F744">
            <v>107.31</v>
          </cell>
          <cell r="G744">
            <v>90.77</v>
          </cell>
          <cell r="H744">
            <v>1143.79</v>
          </cell>
          <cell r="I744">
            <v>110.63</v>
          </cell>
        </row>
        <row r="745">
          <cell r="A745">
            <v>32813</v>
          </cell>
          <cell r="B745">
            <v>879.79</v>
          </cell>
          <cell r="C745">
            <v>972.43</v>
          </cell>
          <cell r="D745">
            <v>99.63</v>
          </cell>
          <cell r="E745">
            <v>107.85</v>
          </cell>
          <cell r="F745">
            <v>107.43</v>
          </cell>
          <cell r="G745">
            <v>91.41</v>
          </cell>
          <cell r="H745">
            <v>1152.71</v>
          </cell>
          <cell r="I745">
            <v>111.28</v>
          </cell>
        </row>
        <row r="746">
          <cell r="A746">
            <v>32814</v>
          </cell>
          <cell r="B746">
            <v>877.07</v>
          </cell>
          <cell r="C746">
            <v>969.91</v>
          </cell>
          <cell r="D746">
            <v>99.41</v>
          </cell>
          <cell r="E746">
            <v>107.89</v>
          </cell>
          <cell r="F746">
            <v>107.46</v>
          </cell>
          <cell r="G746">
            <v>90.93</v>
          </cell>
          <cell r="H746">
            <v>1162.19</v>
          </cell>
          <cell r="I746">
            <v>112.14</v>
          </cell>
        </row>
        <row r="747">
          <cell r="A747">
            <v>32815</v>
          </cell>
          <cell r="B747">
            <v>876.23</v>
          </cell>
          <cell r="C747">
            <v>961.72</v>
          </cell>
          <cell r="D747">
            <v>99.36</v>
          </cell>
          <cell r="E747">
            <v>107.21</v>
          </cell>
          <cell r="F747">
            <v>106.79</v>
          </cell>
          <cell r="G747">
            <v>91.49</v>
          </cell>
          <cell r="H747">
            <v>1155.98</v>
          </cell>
          <cell r="I747">
            <v>111.88</v>
          </cell>
        </row>
        <row r="748">
          <cell r="A748">
            <v>32818</v>
          </cell>
          <cell r="B748">
            <v>877.43</v>
          </cell>
          <cell r="C748">
            <v>958.61</v>
          </cell>
          <cell r="D748">
            <v>99.27</v>
          </cell>
          <cell r="E748">
            <v>106.62</v>
          </cell>
          <cell r="F748">
            <v>106.25</v>
          </cell>
          <cell r="G748">
            <v>91.88</v>
          </cell>
          <cell r="H748">
            <v>1157.6099999999999</v>
          </cell>
          <cell r="I748">
            <v>111.96</v>
          </cell>
        </row>
        <row r="749">
          <cell r="A749">
            <v>32819</v>
          </cell>
          <cell r="B749">
            <v>872.41</v>
          </cell>
          <cell r="C749">
            <v>947.37</v>
          </cell>
          <cell r="D749">
            <v>98.66</v>
          </cell>
          <cell r="E749">
            <v>105.31</v>
          </cell>
          <cell r="F749">
            <v>105</v>
          </cell>
          <cell r="G749">
            <v>91.94</v>
          </cell>
          <cell r="H749">
            <v>1147.26</v>
          </cell>
          <cell r="I749">
            <v>111.11</v>
          </cell>
        </row>
        <row r="750">
          <cell r="A750">
            <v>32820</v>
          </cell>
          <cell r="B750">
            <v>882.12</v>
          </cell>
          <cell r="C750">
            <v>954.83</v>
          </cell>
          <cell r="D750">
            <v>99.7</v>
          </cell>
          <cell r="E750">
            <v>106.05</v>
          </cell>
          <cell r="F750">
            <v>105.85</v>
          </cell>
          <cell r="G750">
            <v>93.27</v>
          </cell>
          <cell r="H750">
            <v>1156.01</v>
          </cell>
          <cell r="I750">
            <v>111.8</v>
          </cell>
        </row>
        <row r="751">
          <cell r="A751">
            <v>32821</v>
          </cell>
          <cell r="B751">
            <v>884.22</v>
          </cell>
          <cell r="C751">
            <v>960.36</v>
          </cell>
          <cell r="D751">
            <v>100.03</v>
          </cell>
          <cell r="E751">
            <v>106.66</v>
          </cell>
          <cell r="F751">
            <v>106.44</v>
          </cell>
          <cell r="G751">
            <v>93.32</v>
          </cell>
          <cell r="H751">
            <v>1162.1099999999999</v>
          </cell>
          <cell r="I751">
            <v>112.41</v>
          </cell>
        </row>
        <row r="752">
          <cell r="A752">
            <v>32822</v>
          </cell>
          <cell r="B752">
            <v>893.63</v>
          </cell>
          <cell r="C752">
            <v>970.55</v>
          </cell>
          <cell r="D752">
            <v>100.82</v>
          </cell>
          <cell r="E752">
            <v>107.64</v>
          </cell>
          <cell r="F752">
            <v>107.31</v>
          </cell>
          <cell r="G752">
            <v>93.94</v>
          </cell>
          <cell r="H752">
            <v>1162.54</v>
          </cell>
          <cell r="I752">
            <v>112.67</v>
          </cell>
        </row>
        <row r="753">
          <cell r="A753">
            <v>32825</v>
          </cell>
          <cell r="B753">
            <v>899.51</v>
          </cell>
          <cell r="C753">
            <v>982.49</v>
          </cell>
          <cell r="D753">
            <v>101.32</v>
          </cell>
          <cell r="E753">
            <v>108.67</v>
          </cell>
          <cell r="F753">
            <v>108.15</v>
          </cell>
          <cell r="G753">
            <v>93.92</v>
          </cell>
          <cell r="H753">
            <v>1161.5899999999999</v>
          </cell>
          <cell r="I753">
            <v>112.53</v>
          </cell>
        </row>
        <row r="754">
          <cell r="A754">
            <v>32826</v>
          </cell>
          <cell r="B754">
            <v>895.33</v>
          </cell>
          <cell r="C754">
            <v>977.94</v>
          </cell>
          <cell r="D754">
            <v>100.91</v>
          </cell>
          <cell r="E754">
            <v>108.25</v>
          </cell>
          <cell r="F754">
            <v>107.66</v>
          </cell>
          <cell r="G754">
            <v>93.52</v>
          </cell>
          <cell r="H754">
            <v>1147.96</v>
          </cell>
          <cell r="I754">
            <v>111.78</v>
          </cell>
        </row>
        <row r="755">
          <cell r="A755">
            <v>32827</v>
          </cell>
          <cell r="B755">
            <v>889.24</v>
          </cell>
          <cell r="C755">
            <v>973.5</v>
          </cell>
          <cell r="D755">
            <v>100.06</v>
          </cell>
          <cell r="E755">
            <v>107.65</v>
          </cell>
          <cell r="F755">
            <v>107.1</v>
          </cell>
          <cell r="G755">
            <v>92.43</v>
          </cell>
          <cell r="H755">
            <v>1133.83</v>
          </cell>
          <cell r="I755">
            <v>110.91</v>
          </cell>
        </row>
        <row r="756">
          <cell r="A756">
            <v>32828</v>
          </cell>
          <cell r="B756">
            <v>898.16</v>
          </cell>
          <cell r="C756">
            <v>985.33</v>
          </cell>
          <cell r="D756">
            <v>100.72</v>
          </cell>
          <cell r="E756">
            <v>108.61</v>
          </cell>
          <cell r="F756">
            <v>107.95</v>
          </cell>
          <cell r="G756">
            <v>92.81</v>
          </cell>
          <cell r="H756">
            <v>1142.8599999999999</v>
          </cell>
          <cell r="I756">
            <v>111.38</v>
          </cell>
        </row>
        <row r="757">
          <cell r="A757">
            <v>32829</v>
          </cell>
          <cell r="B757">
            <v>899.43</v>
          </cell>
          <cell r="C757">
            <v>985.81</v>
          </cell>
          <cell r="D757">
            <v>100.91</v>
          </cell>
          <cell r="E757">
            <v>108.86</v>
          </cell>
          <cell r="F757">
            <v>108.14</v>
          </cell>
          <cell r="G757">
            <v>92.94</v>
          </cell>
          <cell r="H757">
            <v>1126.52</v>
          </cell>
          <cell r="I757">
            <v>110.31</v>
          </cell>
        </row>
        <row r="758">
          <cell r="A758">
            <v>32832</v>
          </cell>
          <cell r="B758">
            <v>891.84</v>
          </cell>
          <cell r="C758">
            <v>989.62</v>
          </cell>
          <cell r="D758">
            <v>100.27</v>
          </cell>
          <cell r="E758">
            <v>109.26</v>
          </cell>
          <cell r="F758">
            <v>108.59</v>
          </cell>
          <cell r="G758">
            <v>91.29</v>
          </cell>
          <cell r="H758">
            <v>1133.71</v>
          </cell>
          <cell r="I758">
            <v>110.84</v>
          </cell>
        </row>
        <row r="759">
          <cell r="A759">
            <v>32833</v>
          </cell>
          <cell r="B759">
            <v>889.22</v>
          </cell>
          <cell r="C759">
            <v>984.76</v>
          </cell>
          <cell r="D759">
            <v>99.88</v>
          </cell>
          <cell r="E759">
            <v>108.85</v>
          </cell>
          <cell r="F759">
            <v>108.11</v>
          </cell>
          <cell r="G759">
            <v>90.93</v>
          </cell>
          <cell r="H759">
            <v>1119.5999999999999</v>
          </cell>
          <cell r="I759">
            <v>109.55</v>
          </cell>
        </row>
        <row r="760">
          <cell r="A760">
            <v>32834</v>
          </cell>
          <cell r="B760">
            <v>891.71</v>
          </cell>
          <cell r="C760">
            <v>990.51</v>
          </cell>
          <cell r="D760">
            <v>100.1</v>
          </cell>
          <cell r="E760">
            <v>109.37</v>
          </cell>
          <cell r="F760">
            <v>108.52</v>
          </cell>
          <cell r="G760">
            <v>90.85</v>
          </cell>
          <cell r="H760">
            <v>1105.53</v>
          </cell>
          <cell r="I760">
            <v>108.24</v>
          </cell>
        </row>
        <row r="761">
          <cell r="A761">
            <v>32835</v>
          </cell>
          <cell r="B761">
            <v>900.68</v>
          </cell>
          <cell r="C761">
            <v>996.73</v>
          </cell>
          <cell r="D761">
            <v>100.84</v>
          </cell>
          <cell r="E761">
            <v>109.92</v>
          </cell>
          <cell r="F761">
            <v>109.12</v>
          </cell>
          <cell r="G761">
            <v>91.77</v>
          </cell>
          <cell r="H761">
            <v>1112.3800000000001</v>
          </cell>
          <cell r="I761">
            <v>108.71</v>
          </cell>
        </row>
        <row r="762">
          <cell r="A762">
            <v>32836</v>
          </cell>
          <cell r="B762">
            <v>905.57</v>
          </cell>
          <cell r="C762">
            <v>1005.91</v>
          </cell>
          <cell r="D762">
            <v>101.21</v>
          </cell>
          <cell r="E762">
            <v>110.86</v>
          </cell>
          <cell r="F762">
            <v>109.96</v>
          </cell>
          <cell r="G762">
            <v>91.61</v>
          </cell>
          <cell r="H762">
            <v>1107.94</v>
          </cell>
          <cell r="I762">
            <v>108.47</v>
          </cell>
        </row>
        <row r="763">
          <cell r="A763">
            <v>32839</v>
          </cell>
          <cell r="B763">
            <v>905.2</v>
          </cell>
          <cell r="C763">
            <v>1010</v>
          </cell>
          <cell r="D763">
            <v>101.14</v>
          </cell>
          <cell r="E763">
            <v>111.27</v>
          </cell>
          <cell r="F763">
            <v>110.28</v>
          </cell>
          <cell r="G763">
            <v>91.06</v>
          </cell>
          <cell r="H763">
            <v>1105.4000000000001</v>
          </cell>
          <cell r="I763">
            <v>108.11</v>
          </cell>
        </row>
        <row r="764">
          <cell r="A764">
            <v>32840</v>
          </cell>
          <cell r="B764">
            <v>907.97</v>
          </cell>
          <cell r="C764">
            <v>1009.79</v>
          </cell>
          <cell r="D764">
            <v>101.6</v>
          </cell>
          <cell r="E764">
            <v>111.28</v>
          </cell>
          <cell r="F764">
            <v>110.38</v>
          </cell>
          <cell r="G764">
            <v>91.95</v>
          </cell>
          <cell r="H764">
            <v>1118.98</v>
          </cell>
          <cell r="I764">
            <v>108.91</v>
          </cell>
        </row>
        <row r="765">
          <cell r="A765">
            <v>32841</v>
          </cell>
          <cell r="B765">
            <v>911.44</v>
          </cell>
          <cell r="C765">
            <v>1013.96</v>
          </cell>
          <cell r="D765">
            <v>101.93</v>
          </cell>
          <cell r="E765">
            <v>111.59</v>
          </cell>
          <cell r="F765">
            <v>110.76</v>
          </cell>
          <cell r="G765">
            <v>92.31</v>
          </cell>
          <cell r="H765">
            <v>1130.1400000000001</v>
          </cell>
          <cell r="I765">
            <v>109.81</v>
          </cell>
        </row>
        <row r="766">
          <cell r="A766">
            <v>32842</v>
          </cell>
          <cell r="B766">
            <v>921.74</v>
          </cell>
          <cell r="C766">
            <v>1023.52</v>
          </cell>
          <cell r="D766">
            <v>102.91</v>
          </cell>
          <cell r="E766">
            <v>112.37</v>
          </cell>
          <cell r="F766">
            <v>111.52</v>
          </cell>
          <cell r="G766">
            <v>93.48</v>
          </cell>
          <cell r="H766">
            <v>1136.96</v>
          </cell>
          <cell r="I766">
            <v>110.66</v>
          </cell>
        </row>
        <row r="767">
          <cell r="A767">
            <v>32843</v>
          </cell>
          <cell r="B767">
            <v>932.33</v>
          </cell>
          <cell r="C767">
            <v>1034.1199999999999</v>
          </cell>
          <cell r="D767">
            <v>103.75</v>
          </cell>
          <cell r="E767">
            <v>113.32</v>
          </cell>
          <cell r="F767">
            <v>112.35</v>
          </cell>
          <cell r="G767">
            <v>94.21</v>
          </cell>
          <cell r="H767">
            <v>1133.5999999999999</v>
          </cell>
          <cell r="I767">
            <v>110.62</v>
          </cell>
        </row>
        <row r="768">
          <cell r="A768">
            <v>32846</v>
          </cell>
          <cell r="B768">
            <v>934.8</v>
          </cell>
          <cell r="C768">
            <v>1045.01</v>
          </cell>
          <cell r="D768">
            <v>104</v>
          </cell>
          <cell r="E768">
            <v>114.39</v>
          </cell>
          <cell r="F768">
            <v>113.18</v>
          </cell>
          <cell r="G768">
            <v>93.67</v>
          </cell>
          <cell r="H768">
            <v>1129.46</v>
          </cell>
          <cell r="I768">
            <v>110.11</v>
          </cell>
        </row>
        <row r="769">
          <cell r="A769">
            <v>32847</v>
          </cell>
          <cell r="B769">
            <v>936.43</v>
          </cell>
          <cell r="C769">
            <v>1040.5</v>
          </cell>
          <cell r="D769">
            <v>104.28</v>
          </cell>
          <cell r="E769">
            <v>114.11</v>
          </cell>
          <cell r="F769">
            <v>112.9</v>
          </cell>
          <cell r="G769">
            <v>94.49</v>
          </cell>
          <cell r="H769">
            <v>1128.4000000000001</v>
          </cell>
          <cell r="I769">
            <v>110.08</v>
          </cell>
        </row>
        <row r="770">
          <cell r="A770">
            <v>32848</v>
          </cell>
          <cell r="B770">
            <v>943.68</v>
          </cell>
          <cell r="C770">
            <v>1048.9000000000001</v>
          </cell>
          <cell r="D770">
            <v>105.07</v>
          </cell>
          <cell r="E770">
            <v>114.95</v>
          </cell>
          <cell r="F770">
            <v>113.64</v>
          </cell>
          <cell r="G770">
            <v>95.24</v>
          </cell>
          <cell r="H770">
            <v>1138.44</v>
          </cell>
          <cell r="I770">
            <v>110.93</v>
          </cell>
        </row>
        <row r="771">
          <cell r="A771">
            <v>32849</v>
          </cell>
          <cell r="B771">
            <v>945.91</v>
          </cell>
          <cell r="C771">
            <v>1051.22</v>
          </cell>
          <cell r="D771">
            <v>105.25</v>
          </cell>
          <cell r="E771">
            <v>115.28</v>
          </cell>
          <cell r="F771">
            <v>113.95</v>
          </cell>
          <cell r="G771">
            <v>95.25</v>
          </cell>
          <cell r="H771">
            <v>1139.4100000000001</v>
          </cell>
          <cell r="I771">
            <v>111.04</v>
          </cell>
        </row>
        <row r="772">
          <cell r="A772">
            <v>32850</v>
          </cell>
          <cell r="B772">
            <v>950.94</v>
          </cell>
          <cell r="C772">
            <v>1050.31</v>
          </cell>
          <cell r="D772">
            <v>105.6</v>
          </cell>
          <cell r="E772">
            <v>115.26</v>
          </cell>
          <cell r="F772">
            <v>113.9</v>
          </cell>
          <cell r="G772">
            <v>95.97</v>
          </cell>
          <cell r="H772">
            <v>1144.31</v>
          </cell>
          <cell r="I772">
            <v>111.35</v>
          </cell>
        </row>
        <row r="773">
          <cell r="A773">
            <v>32853</v>
          </cell>
          <cell r="B773">
            <v>947.8</v>
          </cell>
          <cell r="C773">
            <v>1048.3399999999999</v>
          </cell>
          <cell r="D773">
            <v>105.39</v>
          </cell>
          <cell r="E773">
            <v>115.08</v>
          </cell>
          <cell r="F773">
            <v>113.73</v>
          </cell>
          <cell r="G773">
            <v>95.73</v>
          </cell>
          <cell r="H773">
            <v>1144.03</v>
          </cell>
          <cell r="I773">
            <v>111.48</v>
          </cell>
        </row>
        <row r="774">
          <cell r="A774">
            <v>32854</v>
          </cell>
          <cell r="B774">
            <v>945.95</v>
          </cell>
          <cell r="C774">
            <v>1048.03</v>
          </cell>
          <cell r="D774">
            <v>105.21</v>
          </cell>
          <cell r="E774">
            <v>115.08</v>
          </cell>
          <cell r="F774">
            <v>113.61</v>
          </cell>
          <cell r="G774">
            <v>95.37</v>
          </cell>
          <cell r="H774">
            <v>1140.27</v>
          </cell>
          <cell r="I774">
            <v>110.99</v>
          </cell>
        </row>
        <row r="775">
          <cell r="A775">
            <v>32855</v>
          </cell>
          <cell r="B775">
            <v>951.07</v>
          </cell>
          <cell r="C775">
            <v>1046.28</v>
          </cell>
          <cell r="D775">
            <v>105.39</v>
          </cell>
          <cell r="E775">
            <v>114.83</v>
          </cell>
          <cell r="F775">
            <v>113.49</v>
          </cell>
          <cell r="G775">
            <v>95.97</v>
          </cell>
          <cell r="H775">
            <v>1151.57</v>
          </cell>
          <cell r="I775">
            <v>111.96</v>
          </cell>
        </row>
        <row r="776">
          <cell r="A776">
            <v>32856</v>
          </cell>
          <cell r="B776">
            <v>945.25</v>
          </cell>
          <cell r="C776">
            <v>1043.3699999999999</v>
          </cell>
          <cell r="D776">
            <v>105.16</v>
          </cell>
          <cell r="E776">
            <v>114.71</v>
          </cell>
          <cell r="F776">
            <v>113.44</v>
          </cell>
          <cell r="G776">
            <v>95.63</v>
          </cell>
          <cell r="H776">
            <v>1165.46</v>
          </cell>
          <cell r="I776">
            <v>112.94</v>
          </cell>
        </row>
        <row r="777">
          <cell r="A777">
            <v>32857</v>
          </cell>
          <cell r="B777">
            <v>945.28</v>
          </cell>
          <cell r="C777">
            <v>1045.44</v>
          </cell>
          <cell r="D777">
            <v>105.25</v>
          </cell>
          <cell r="E777">
            <v>115.14</v>
          </cell>
          <cell r="F777">
            <v>113.88</v>
          </cell>
          <cell r="G777">
            <v>95.39</v>
          </cell>
          <cell r="H777">
            <v>1174.82</v>
          </cell>
          <cell r="I777">
            <v>113.71</v>
          </cell>
        </row>
        <row r="778">
          <cell r="A778">
            <v>32860</v>
          </cell>
          <cell r="B778">
            <v>942.15</v>
          </cell>
          <cell r="C778">
            <v>1042.8399999999999</v>
          </cell>
          <cell r="D778">
            <v>104.88</v>
          </cell>
          <cell r="E778">
            <v>114.72</v>
          </cell>
          <cell r="F778">
            <v>113.32</v>
          </cell>
          <cell r="G778">
            <v>95.08</v>
          </cell>
          <cell r="H778">
            <v>1155.3900000000001</v>
          </cell>
          <cell r="I778">
            <v>112.5</v>
          </cell>
        </row>
        <row r="779">
          <cell r="A779">
            <v>32861</v>
          </cell>
          <cell r="B779">
            <v>938.72</v>
          </cell>
          <cell r="C779">
            <v>1038.3</v>
          </cell>
          <cell r="D779">
            <v>104.53</v>
          </cell>
          <cell r="E779">
            <v>114.29</v>
          </cell>
          <cell r="F779">
            <v>112.96</v>
          </cell>
          <cell r="G779">
            <v>94.8</v>
          </cell>
          <cell r="H779">
            <v>1154.22</v>
          </cell>
          <cell r="I779">
            <v>111.96</v>
          </cell>
        </row>
        <row r="780">
          <cell r="A780">
            <v>32862</v>
          </cell>
          <cell r="B780">
            <v>949.45</v>
          </cell>
          <cell r="C780">
            <v>1050.06</v>
          </cell>
          <cell r="D780">
            <v>105.47</v>
          </cell>
          <cell r="E780">
            <v>115.27</v>
          </cell>
          <cell r="F780">
            <v>113.84</v>
          </cell>
          <cell r="G780">
            <v>95.7</v>
          </cell>
          <cell r="H780">
            <v>1158.5</v>
          </cell>
          <cell r="I780">
            <v>112.27</v>
          </cell>
        </row>
        <row r="781">
          <cell r="A781">
            <v>32863</v>
          </cell>
          <cell r="B781">
            <v>950.5</v>
          </cell>
          <cell r="C781">
            <v>1057.82</v>
          </cell>
          <cell r="D781">
            <v>105.64</v>
          </cell>
          <cell r="E781">
            <v>116.03</v>
          </cell>
          <cell r="F781">
            <v>114.47</v>
          </cell>
          <cell r="G781">
            <v>95.31</v>
          </cell>
          <cell r="H781">
            <v>1158.27</v>
          </cell>
          <cell r="I781">
            <v>112.1</v>
          </cell>
        </row>
        <row r="782">
          <cell r="A782">
            <v>32864</v>
          </cell>
          <cell r="B782">
            <v>950.28</v>
          </cell>
          <cell r="C782">
            <v>1060</v>
          </cell>
          <cell r="D782">
            <v>105.72</v>
          </cell>
          <cell r="E782">
            <v>116.33</v>
          </cell>
          <cell r="F782">
            <v>114.67</v>
          </cell>
          <cell r="G782">
            <v>95.17</v>
          </cell>
          <cell r="H782">
            <v>1156.0999999999999</v>
          </cell>
          <cell r="I782">
            <v>112.02</v>
          </cell>
        </row>
        <row r="783">
          <cell r="A783">
            <v>32867</v>
          </cell>
          <cell r="B783">
            <v>950.28</v>
          </cell>
          <cell r="C783">
            <v>1060</v>
          </cell>
          <cell r="D783">
            <v>105.72</v>
          </cell>
          <cell r="E783">
            <v>116.32</v>
          </cell>
          <cell r="F783">
            <v>114.66</v>
          </cell>
          <cell r="G783">
            <v>95.17</v>
          </cell>
          <cell r="H783">
            <v>1155.32</v>
          </cell>
          <cell r="I783">
            <v>111.99</v>
          </cell>
        </row>
        <row r="784">
          <cell r="A784">
            <v>32868</v>
          </cell>
          <cell r="B784">
            <v>952.19</v>
          </cell>
          <cell r="C784">
            <v>1063.68</v>
          </cell>
          <cell r="D784">
            <v>105.92</v>
          </cell>
          <cell r="E784">
            <v>116.71</v>
          </cell>
          <cell r="F784">
            <v>114.99</v>
          </cell>
          <cell r="G784">
            <v>95.19</v>
          </cell>
          <cell r="H784">
            <v>1153.47</v>
          </cell>
          <cell r="I784">
            <v>111.91</v>
          </cell>
        </row>
        <row r="785">
          <cell r="A785">
            <v>32869</v>
          </cell>
          <cell r="B785">
            <v>967.8</v>
          </cell>
          <cell r="C785">
            <v>1082.78</v>
          </cell>
          <cell r="D785">
            <v>106.92</v>
          </cell>
          <cell r="E785">
            <v>117.95</v>
          </cell>
          <cell r="F785">
            <v>116.17</v>
          </cell>
          <cell r="G785">
            <v>95.95</v>
          </cell>
          <cell r="H785">
            <v>1166.24</v>
          </cell>
          <cell r="I785">
            <v>112.81</v>
          </cell>
        </row>
        <row r="786">
          <cell r="A786">
            <v>32870</v>
          </cell>
          <cell r="B786">
            <v>973.62</v>
          </cell>
          <cell r="C786">
            <v>1095.22</v>
          </cell>
          <cell r="D786">
            <v>107.5</v>
          </cell>
          <cell r="E786">
            <v>119.1</v>
          </cell>
          <cell r="F786">
            <v>117.33</v>
          </cell>
          <cell r="G786">
            <v>95.98</v>
          </cell>
          <cell r="H786">
            <v>1180.4000000000001</v>
          </cell>
          <cell r="I786">
            <v>114.23</v>
          </cell>
        </row>
        <row r="787">
          <cell r="A787">
            <v>32871</v>
          </cell>
          <cell r="B787">
            <v>980.22</v>
          </cell>
          <cell r="C787">
            <v>1098.49</v>
          </cell>
          <cell r="D787">
            <v>108.15</v>
          </cell>
          <cell r="E787">
            <v>119.34</v>
          </cell>
          <cell r="F787">
            <v>117.58</v>
          </cell>
          <cell r="G787">
            <v>97.04</v>
          </cell>
          <cell r="H787">
            <v>1188.29</v>
          </cell>
          <cell r="I787">
            <v>115.12</v>
          </cell>
        </row>
        <row r="788">
          <cell r="A788">
            <v>32874</v>
          </cell>
          <cell r="B788">
            <v>980.22</v>
          </cell>
          <cell r="C788">
            <v>1098.49</v>
          </cell>
          <cell r="D788">
            <v>108.16</v>
          </cell>
          <cell r="E788">
            <v>119.36</v>
          </cell>
          <cell r="F788">
            <v>117.59</v>
          </cell>
          <cell r="G788">
            <v>97.03</v>
          </cell>
          <cell r="H788">
            <v>1187.56</v>
          </cell>
          <cell r="I788">
            <v>115.08</v>
          </cell>
        </row>
        <row r="789">
          <cell r="A789">
            <v>32875</v>
          </cell>
          <cell r="B789">
            <v>986.56</v>
          </cell>
          <cell r="C789">
            <v>1101.3399999999999</v>
          </cell>
          <cell r="D789">
            <v>108.63</v>
          </cell>
          <cell r="E789">
            <v>119.63</v>
          </cell>
          <cell r="F789">
            <v>117.69</v>
          </cell>
          <cell r="G789">
            <v>97.7</v>
          </cell>
          <cell r="H789">
            <v>1179.8499999999999</v>
          </cell>
          <cell r="I789">
            <v>114.44</v>
          </cell>
        </row>
        <row r="790">
          <cell r="A790">
            <v>32876</v>
          </cell>
          <cell r="B790">
            <v>1000.35</v>
          </cell>
          <cell r="C790">
            <v>1112.82</v>
          </cell>
          <cell r="D790">
            <v>110.04</v>
          </cell>
          <cell r="E790">
            <v>120.85</v>
          </cell>
          <cell r="F790">
            <v>119</v>
          </cell>
          <cell r="G790">
            <v>99.29</v>
          </cell>
          <cell r="H790">
            <v>1189.8800000000001</v>
          </cell>
          <cell r="I790">
            <v>115.58</v>
          </cell>
        </row>
        <row r="791">
          <cell r="A791">
            <v>32877</v>
          </cell>
          <cell r="B791">
            <v>996.34</v>
          </cell>
          <cell r="C791">
            <v>1113.02</v>
          </cell>
          <cell r="D791">
            <v>110.02</v>
          </cell>
          <cell r="E791">
            <v>121.05</v>
          </cell>
          <cell r="F791">
            <v>119.36</v>
          </cell>
          <cell r="G791">
            <v>99.05</v>
          </cell>
          <cell r="H791">
            <v>1201.3</v>
          </cell>
          <cell r="I791">
            <v>116.56</v>
          </cell>
        </row>
        <row r="792">
          <cell r="A792">
            <v>32878</v>
          </cell>
          <cell r="B792">
            <v>985.96</v>
          </cell>
          <cell r="C792">
            <v>1099.52</v>
          </cell>
          <cell r="D792">
            <v>109.02</v>
          </cell>
          <cell r="E792">
            <v>119.79</v>
          </cell>
          <cell r="F792">
            <v>118.12</v>
          </cell>
          <cell r="G792">
            <v>98.31</v>
          </cell>
          <cell r="H792">
            <v>1201.57</v>
          </cell>
          <cell r="I792">
            <v>116.4</v>
          </cell>
        </row>
        <row r="793">
          <cell r="A793">
            <v>32881</v>
          </cell>
          <cell r="B793">
            <v>988.13</v>
          </cell>
          <cell r="C793">
            <v>1104.6199999999999</v>
          </cell>
          <cell r="D793">
            <v>109.19</v>
          </cell>
          <cell r="E793">
            <v>120.08</v>
          </cell>
          <cell r="F793">
            <v>118.46</v>
          </cell>
          <cell r="G793">
            <v>98.37</v>
          </cell>
          <cell r="H793">
            <v>1213.92</v>
          </cell>
          <cell r="I793">
            <v>117.51</v>
          </cell>
        </row>
        <row r="794">
          <cell r="A794">
            <v>32882</v>
          </cell>
          <cell r="B794">
            <v>993.28</v>
          </cell>
          <cell r="C794">
            <v>1108.79</v>
          </cell>
          <cell r="D794">
            <v>109.71</v>
          </cell>
          <cell r="E794">
            <v>120.29</v>
          </cell>
          <cell r="F794">
            <v>118.81</v>
          </cell>
          <cell r="G794">
            <v>99.18</v>
          </cell>
          <cell r="H794">
            <v>1231.5899999999999</v>
          </cell>
          <cell r="I794">
            <v>118.89</v>
          </cell>
        </row>
        <row r="795">
          <cell r="A795">
            <v>32883</v>
          </cell>
          <cell r="B795">
            <v>986.13</v>
          </cell>
          <cell r="C795">
            <v>1099.8800000000001</v>
          </cell>
          <cell r="D795">
            <v>109.08</v>
          </cell>
          <cell r="E795">
            <v>119.56</v>
          </cell>
          <cell r="F795">
            <v>118.24</v>
          </cell>
          <cell r="G795">
            <v>98.64</v>
          </cell>
          <cell r="H795">
            <v>1229.1500000000001</v>
          </cell>
          <cell r="I795">
            <v>119.13</v>
          </cell>
        </row>
        <row r="796">
          <cell r="A796">
            <v>32884</v>
          </cell>
          <cell r="B796">
            <v>993.33</v>
          </cell>
          <cell r="C796">
            <v>1111.3399999999999</v>
          </cell>
          <cell r="D796">
            <v>109.77</v>
          </cell>
          <cell r="E796">
            <v>120.62</v>
          </cell>
          <cell r="F796">
            <v>119.26</v>
          </cell>
          <cell r="G796">
            <v>98.98</v>
          </cell>
          <cell r="H796">
            <v>1235.02</v>
          </cell>
          <cell r="I796">
            <v>120</v>
          </cell>
        </row>
        <row r="797">
          <cell r="A797">
            <v>32885</v>
          </cell>
          <cell r="B797">
            <v>983.38</v>
          </cell>
          <cell r="C797">
            <v>1100.32</v>
          </cell>
          <cell r="D797">
            <v>108.82</v>
          </cell>
          <cell r="E797">
            <v>119.73</v>
          </cell>
          <cell r="F797">
            <v>118.46</v>
          </cell>
          <cell r="G797">
            <v>97.98</v>
          </cell>
          <cell r="H797">
            <v>1227.3699999999999</v>
          </cell>
          <cell r="I797">
            <v>119.3</v>
          </cell>
        </row>
        <row r="798">
          <cell r="A798">
            <v>32888</v>
          </cell>
          <cell r="B798">
            <v>978.66</v>
          </cell>
          <cell r="C798">
            <v>1094.0899999999999</v>
          </cell>
          <cell r="D798">
            <v>108.31</v>
          </cell>
          <cell r="E798">
            <v>119.04</v>
          </cell>
          <cell r="F798">
            <v>117.76</v>
          </cell>
          <cell r="G798">
            <v>97.65</v>
          </cell>
          <cell r="H798">
            <v>1219.29</v>
          </cell>
          <cell r="I798">
            <v>118.8</v>
          </cell>
        </row>
        <row r="799">
          <cell r="A799">
            <v>32889</v>
          </cell>
          <cell r="B799">
            <v>967.27</v>
          </cell>
          <cell r="C799">
            <v>1076.8499999999999</v>
          </cell>
          <cell r="D799">
            <v>107.1</v>
          </cell>
          <cell r="E799">
            <v>117.42</v>
          </cell>
          <cell r="F799">
            <v>116.21</v>
          </cell>
          <cell r="G799">
            <v>96.82</v>
          </cell>
          <cell r="H799">
            <v>1212.3</v>
          </cell>
          <cell r="I799">
            <v>118.12</v>
          </cell>
        </row>
        <row r="800">
          <cell r="A800">
            <v>32890</v>
          </cell>
          <cell r="B800">
            <v>972.72</v>
          </cell>
          <cell r="C800">
            <v>1085.6300000000001</v>
          </cell>
          <cell r="D800">
            <v>107.66</v>
          </cell>
          <cell r="E800">
            <v>118.24</v>
          </cell>
          <cell r="F800">
            <v>117.02</v>
          </cell>
          <cell r="G800">
            <v>97.14</v>
          </cell>
          <cell r="H800">
            <v>1222.8900000000001</v>
          </cell>
          <cell r="I800">
            <v>118.98</v>
          </cell>
        </row>
        <row r="801">
          <cell r="A801">
            <v>32891</v>
          </cell>
          <cell r="B801">
            <v>959.42</v>
          </cell>
          <cell r="C801">
            <v>1071.44</v>
          </cell>
          <cell r="D801">
            <v>106.5</v>
          </cell>
          <cell r="E801">
            <v>116.94</v>
          </cell>
          <cell r="F801">
            <v>115.76</v>
          </cell>
          <cell r="G801">
            <v>96.12</v>
          </cell>
          <cell r="H801">
            <v>1210.3499999999999</v>
          </cell>
          <cell r="I801">
            <v>118.07</v>
          </cell>
        </row>
        <row r="802">
          <cell r="A802">
            <v>32892</v>
          </cell>
          <cell r="B802">
            <v>959.96</v>
          </cell>
          <cell r="C802">
            <v>1069.32</v>
          </cell>
          <cell r="D802">
            <v>106.45</v>
          </cell>
          <cell r="E802">
            <v>116.73</v>
          </cell>
          <cell r="F802">
            <v>115.57</v>
          </cell>
          <cell r="G802">
            <v>96.22</v>
          </cell>
          <cell r="H802">
            <v>1194.6600000000001</v>
          </cell>
          <cell r="I802">
            <v>117.09</v>
          </cell>
        </row>
        <row r="803">
          <cell r="A803">
            <v>32895</v>
          </cell>
          <cell r="B803">
            <v>955.71</v>
          </cell>
          <cell r="C803">
            <v>1070.1300000000001</v>
          </cell>
          <cell r="D803">
            <v>106.04</v>
          </cell>
          <cell r="E803">
            <v>116.84</v>
          </cell>
          <cell r="F803">
            <v>115.61</v>
          </cell>
          <cell r="G803">
            <v>95.31</v>
          </cell>
          <cell r="H803">
            <v>1189.21</v>
          </cell>
          <cell r="I803">
            <v>116.8</v>
          </cell>
        </row>
        <row r="804">
          <cell r="A804">
            <v>32896</v>
          </cell>
          <cell r="B804">
            <v>950.85</v>
          </cell>
          <cell r="C804">
            <v>1072</v>
          </cell>
          <cell r="D804">
            <v>105.41</v>
          </cell>
          <cell r="E804">
            <v>116.68</v>
          </cell>
          <cell r="F804">
            <v>115.36</v>
          </cell>
          <cell r="G804">
            <v>94.23</v>
          </cell>
          <cell r="H804">
            <v>1176.21</v>
          </cell>
          <cell r="I804">
            <v>115.61</v>
          </cell>
        </row>
        <row r="805">
          <cell r="A805">
            <v>32897</v>
          </cell>
          <cell r="B805">
            <v>934.21</v>
          </cell>
          <cell r="C805">
            <v>1048.74</v>
          </cell>
          <cell r="D805">
            <v>103.69</v>
          </cell>
          <cell r="E805">
            <v>114.37</v>
          </cell>
          <cell r="F805">
            <v>113.12</v>
          </cell>
          <cell r="G805">
            <v>93.08</v>
          </cell>
          <cell r="H805">
            <v>1155.3699999999999</v>
          </cell>
          <cell r="I805">
            <v>113.84</v>
          </cell>
        </row>
        <row r="806">
          <cell r="A806">
            <v>32898</v>
          </cell>
          <cell r="B806">
            <v>946.87</v>
          </cell>
          <cell r="C806">
            <v>1061.73</v>
          </cell>
          <cell r="D806">
            <v>104.62</v>
          </cell>
          <cell r="E806">
            <v>115.37</v>
          </cell>
          <cell r="F806">
            <v>114.12</v>
          </cell>
          <cell r="G806">
            <v>93.93</v>
          </cell>
          <cell r="H806">
            <v>1170.7</v>
          </cell>
          <cell r="I806">
            <v>114.96</v>
          </cell>
        </row>
        <row r="807">
          <cell r="A807">
            <v>32899</v>
          </cell>
          <cell r="B807">
            <v>950.61</v>
          </cell>
          <cell r="C807">
            <v>1061.6400000000001</v>
          </cell>
          <cell r="D807">
            <v>104.8</v>
          </cell>
          <cell r="E807">
            <v>115.07</v>
          </cell>
          <cell r="F807">
            <v>113.81</v>
          </cell>
          <cell r="G807">
            <v>94.59</v>
          </cell>
          <cell r="H807">
            <v>1170.1500000000001</v>
          </cell>
          <cell r="I807">
            <v>114.95</v>
          </cell>
        </row>
        <row r="808">
          <cell r="A808">
            <v>32902</v>
          </cell>
          <cell r="B808">
            <v>954.53</v>
          </cell>
          <cell r="C808">
            <v>1063.8399999999999</v>
          </cell>
          <cell r="D808">
            <v>105.18</v>
          </cell>
          <cell r="E808">
            <v>115.38</v>
          </cell>
          <cell r="F808">
            <v>114.1</v>
          </cell>
          <cell r="G808">
            <v>95.04</v>
          </cell>
          <cell r="H808">
            <v>1170.92</v>
          </cell>
          <cell r="I808">
            <v>115.09</v>
          </cell>
        </row>
        <row r="809">
          <cell r="A809">
            <v>32903</v>
          </cell>
          <cell r="B809">
            <v>958.18</v>
          </cell>
          <cell r="C809">
            <v>1067.73</v>
          </cell>
          <cell r="D809">
            <v>105.66</v>
          </cell>
          <cell r="E809">
            <v>115.79</v>
          </cell>
          <cell r="F809">
            <v>114.57</v>
          </cell>
          <cell r="G809">
            <v>95.58</v>
          </cell>
          <cell r="H809">
            <v>1185.28</v>
          </cell>
          <cell r="I809">
            <v>116.36</v>
          </cell>
        </row>
        <row r="810">
          <cell r="A810">
            <v>32904</v>
          </cell>
          <cell r="B810">
            <v>964.17</v>
          </cell>
          <cell r="C810">
            <v>1069.92</v>
          </cell>
          <cell r="D810">
            <v>106.08</v>
          </cell>
          <cell r="E810">
            <v>115.97</v>
          </cell>
          <cell r="F810">
            <v>114.73</v>
          </cell>
          <cell r="G810">
            <v>96.24</v>
          </cell>
          <cell r="H810">
            <v>1191.28</v>
          </cell>
          <cell r="I810">
            <v>116.8</v>
          </cell>
        </row>
        <row r="811">
          <cell r="A811">
            <v>32905</v>
          </cell>
          <cell r="B811">
            <v>973.37</v>
          </cell>
          <cell r="C811">
            <v>1081.45</v>
          </cell>
          <cell r="D811">
            <v>106.77</v>
          </cell>
          <cell r="E811">
            <v>116.98</v>
          </cell>
          <cell r="F811">
            <v>115.72</v>
          </cell>
          <cell r="G811">
            <v>96.61</v>
          </cell>
          <cell r="H811">
            <v>1205.32</v>
          </cell>
          <cell r="I811">
            <v>118.13</v>
          </cell>
        </row>
        <row r="812">
          <cell r="A812">
            <v>32906</v>
          </cell>
          <cell r="B812">
            <v>986.42</v>
          </cell>
          <cell r="C812">
            <v>1099.3800000000001</v>
          </cell>
          <cell r="D812">
            <v>107.72</v>
          </cell>
          <cell r="E812">
            <v>118.37</v>
          </cell>
          <cell r="F812">
            <v>117.06</v>
          </cell>
          <cell r="G812">
            <v>97.12</v>
          </cell>
          <cell r="H812">
            <v>1211.3499999999999</v>
          </cell>
          <cell r="I812">
            <v>118.69</v>
          </cell>
        </row>
        <row r="813">
          <cell r="A813">
            <v>32909</v>
          </cell>
          <cell r="B813">
            <v>992.83</v>
          </cell>
          <cell r="C813">
            <v>1111.72</v>
          </cell>
          <cell r="D813">
            <v>108.38</v>
          </cell>
          <cell r="E813">
            <v>119.6</v>
          </cell>
          <cell r="F813">
            <v>118.31</v>
          </cell>
          <cell r="G813">
            <v>97.23</v>
          </cell>
          <cell r="H813">
            <v>1218.8800000000001</v>
          </cell>
          <cell r="I813">
            <v>119.68</v>
          </cell>
        </row>
        <row r="814">
          <cell r="A814">
            <v>32910</v>
          </cell>
          <cell r="B814">
            <v>986.22</v>
          </cell>
          <cell r="C814">
            <v>1108.79</v>
          </cell>
          <cell r="D814">
            <v>107.77</v>
          </cell>
          <cell r="E814">
            <v>119.32</v>
          </cell>
          <cell r="F814">
            <v>118.07</v>
          </cell>
          <cell r="G814">
            <v>96.29</v>
          </cell>
          <cell r="H814">
            <v>1214.8499999999999</v>
          </cell>
          <cell r="I814">
            <v>119.82</v>
          </cell>
        </row>
        <row r="815">
          <cell r="A815">
            <v>32911</v>
          </cell>
          <cell r="B815">
            <v>973.28</v>
          </cell>
          <cell r="C815">
            <v>1093.94</v>
          </cell>
          <cell r="D815">
            <v>106.64</v>
          </cell>
          <cell r="E815">
            <v>117.93</v>
          </cell>
          <cell r="F815">
            <v>116.72</v>
          </cell>
          <cell r="G815">
            <v>95.43</v>
          </cell>
          <cell r="H815">
            <v>1202.02</v>
          </cell>
          <cell r="I815">
            <v>118.86</v>
          </cell>
        </row>
        <row r="816">
          <cell r="A816">
            <v>32912</v>
          </cell>
          <cell r="B816">
            <v>983.59</v>
          </cell>
          <cell r="C816">
            <v>1102.05</v>
          </cell>
          <cell r="D816">
            <v>107.41</v>
          </cell>
          <cell r="E816">
            <v>118.45</v>
          </cell>
          <cell r="F816">
            <v>117.3</v>
          </cell>
          <cell r="G816">
            <v>96.45</v>
          </cell>
          <cell r="H816">
            <v>1208.6500000000001</v>
          </cell>
          <cell r="I816">
            <v>119.49</v>
          </cell>
        </row>
        <row r="817">
          <cell r="A817">
            <v>32913</v>
          </cell>
          <cell r="B817">
            <v>977.12</v>
          </cell>
          <cell r="C817">
            <v>1091.27</v>
          </cell>
          <cell r="D817">
            <v>106.82</v>
          </cell>
          <cell r="E817">
            <v>117.54</v>
          </cell>
          <cell r="F817">
            <v>116.48</v>
          </cell>
          <cell r="G817">
            <v>96.16</v>
          </cell>
          <cell r="H817">
            <v>1204.6500000000001</v>
          </cell>
          <cell r="I817">
            <v>119.18</v>
          </cell>
        </row>
        <row r="818">
          <cell r="A818">
            <v>32916</v>
          </cell>
          <cell r="B818">
            <v>964.68</v>
          </cell>
          <cell r="C818">
            <v>1075.5899999999999</v>
          </cell>
          <cell r="D818">
            <v>105.47</v>
          </cell>
          <cell r="E818">
            <v>115.98</v>
          </cell>
          <cell r="F818">
            <v>114.92</v>
          </cell>
          <cell r="G818">
            <v>95.01</v>
          </cell>
          <cell r="H818">
            <v>1182.3699999999999</v>
          </cell>
          <cell r="I818">
            <v>117.33</v>
          </cell>
        </row>
        <row r="819">
          <cell r="A819">
            <v>32917</v>
          </cell>
          <cell r="B819">
            <v>962.31</v>
          </cell>
          <cell r="C819">
            <v>1067</v>
          </cell>
          <cell r="D819">
            <v>104.97</v>
          </cell>
          <cell r="E819">
            <v>114.93</v>
          </cell>
          <cell r="F819">
            <v>113.93</v>
          </cell>
          <cell r="G819">
            <v>95.07</v>
          </cell>
          <cell r="H819">
            <v>1166.99</v>
          </cell>
          <cell r="I819">
            <v>116.04</v>
          </cell>
        </row>
        <row r="820">
          <cell r="A820">
            <v>32918</v>
          </cell>
          <cell r="B820">
            <v>964.36</v>
          </cell>
          <cell r="C820">
            <v>1067.95</v>
          </cell>
          <cell r="D820">
            <v>105.08</v>
          </cell>
          <cell r="E820">
            <v>114.85</v>
          </cell>
          <cell r="F820">
            <v>113.86</v>
          </cell>
          <cell r="G820">
            <v>95.36</v>
          </cell>
          <cell r="H820">
            <v>1165.77</v>
          </cell>
          <cell r="I820">
            <v>116.19</v>
          </cell>
        </row>
        <row r="821">
          <cell r="A821">
            <v>32919</v>
          </cell>
          <cell r="B821">
            <v>971.51</v>
          </cell>
          <cell r="C821">
            <v>1072.31</v>
          </cell>
          <cell r="D821">
            <v>105.63</v>
          </cell>
          <cell r="E821">
            <v>115.34</v>
          </cell>
          <cell r="F821">
            <v>114.26</v>
          </cell>
          <cell r="G821">
            <v>95.97</v>
          </cell>
          <cell r="H821">
            <v>1150.22</v>
          </cell>
          <cell r="I821">
            <v>115.11</v>
          </cell>
        </row>
        <row r="822">
          <cell r="A822">
            <v>32920</v>
          </cell>
          <cell r="B822">
            <v>981.08</v>
          </cell>
          <cell r="C822">
            <v>1088.18</v>
          </cell>
          <cell r="D822">
            <v>106.62</v>
          </cell>
          <cell r="E822">
            <v>116.86</v>
          </cell>
          <cell r="F822">
            <v>115.67</v>
          </cell>
          <cell r="G822">
            <v>96.44</v>
          </cell>
          <cell r="H822">
            <v>1157.18</v>
          </cell>
          <cell r="I822">
            <v>115.74</v>
          </cell>
        </row>
        <row r="823">
          <cell r="A823">
            <v>32923</v>
          </cell>
          <cell r="B823">
            <v>969.42</v>
          </cell>
          <cell r="C823">
            <v>1073.8699999999999</v>
          </cell>
          <cell r="D823">
            <v>105.68</v>
          </cell>
          <cell r="E823">
            <v>115.85</v>
          </cell>
          <cell r="F823">
            <v>114.71</v>
          </cell>
          <cell r="G823">
            <v>95.57</v>
          </cell>
          <cell r="H823">
            <v>1136.9000000000001</v>
          </cell>
          <cell r="I823">
            <v>114.14</v>
          </cell>
        </row>
        <row r="824">
          <cell r="A824">
            <v>32924</v>
          </cell>
          <cell r="B824">
            <v>956.06</v>
          </cell>
          <cell r="C824">
            <v>1053.49</v>
          </cell>
          <cell r="D824">
            <v>104.42</v>
          </cell>
          <cell r="E824">
            <v>114.02</v>
          </cell>
          <cell r="F824">
            <v>113.03</v>
          </cell>
          <cell r="G824">
            <v>94.87</v>
          </cell>
          <cell r="H824">
            <v>1124.68</v>
          </cell>
          <cell r="I824">
            <v>113.12</v>
          </cell>
        </row>
        <row r="825">
          <cell r="A825">
            <v>32925</v>
          </cell>
          <cell r="B825">
            <v>948.95</v>
          </cell>
          <cell r="C825">
            <v>1046.7</v>
          </cell>
          <cell r="D825">
            <v>103.59</v>
          </cell>
          <cell r="E825">
            <v>113</v>
          </cell>
          <cell r="F825">
            <v>112.01</v>
          </cell>
          <cell r="G825">
            <v>94.23</v>
          </cell>
          <cell r="H825">
            <v>1116.9000000000001</v>
          </cell>
          <cell r="I825">
            <v>112.58</v>
          </cell>
        </row>
        <row r="826">
          <cell r="A826">
            <v>32926</v>
          </cell>
          <cell r="B826">
            <v>954.62</v>
          </cell>
          <cell r="C826">
            <v>1053.05</v>
          </cell>
          <cell r="D826">
            <v>104.13</v>
          </cell>
          <cell r="E826">
            <v>113.66</v>
          </cell>
          <cell r="F826">
            <v>112.73</v>
          </cell>
          <cell r="G826">
            <v>94.65</v>
          </cell>
          <cell r="H826">
            <v>1140.55</v>
          </cell>
          <cell r="I826">
            <v>114.28</v>
          </cell>
        </row>
        <row r="827">
          <cell r="A827">
            <v>32927</v>
          </cell>
          <cell r="B827">
            <v>941.35</v>
          </cell>
          <cell r="C827">
            <v>1038.72</v>
          </cell>
          <cell r="D827">
            <v>102.94</v>
          </cell>
          <cell r="E827">
            <v>112.4</v>
          </cell>
          <cell r="F827">
            <v>111.55</v>
          </cell>
          <cell r="G827">
            <v>93.54</v>
          </cell>
          <cell r="H827">
            <v>1137.52</v>
          </cell>
          <cell r="I827">
            <v>114.12</v>
          </cell>
        </row>
        <row r="828">
          <cell r="A828">
            <v>32930</v>
          </cell>
          <cell r="B828">
            <v>939.56</v>
          </cell>
          <cell r="C828">
            <v>1031.27</v>
          </cell>
          <cell r="D828">
            <v>102.38</v>
          </cell>
          <cell r="E828">
            <v>111.27</v>
          </cell>
          <cell r="F828">
            <v>110.43</v>
          </cell>
          <cell r="G828">
            <v>93.52</v>
          </cell>
          <cell r="H828">
            <v>1133.9100000000001</v>
          </cell>
          <cell r="I828">
            <v>112.8</v>
          </cell>
        </row>
        <row r="829">
          <cell r="A829">
            <v>32931</v>
          </cell>
          <cell r="B829">
            <v>946.41</v>
          </cell>
          <cell r="C829">
            <v>1045.1300000000001</v>
          </cell>
          <cell r="D829">
            <v>103.23</v>
          </cell>
          <cell r="E829">
            <v>112.75</v>
          </cell>
          <cell r="F829">
            <v>111.88</v>
          </cell>
          <cell r="G829">
            <v>93.76</v>
          </cell>
          <cell r="H829">
            <v>1151.1600000000001</v>
          </cell>
          <cell r="I829">
            <v>114.37</v>
          </cell>
        </row>
        <row r="830">
          <cell r="A830">
            <v>32932</v>
          </cell>
          <cell r="B830">
            <v>949.9</v>
          </cell>
          <cell r="C830">
            <v>1048.9100000000001</v>
          </cell>
          <cell r="D830">
            <v>103.54</v>
          </cell>
          <cell r="E830">
            <v>113.19</v>
          </cell>
          <cell r="F830">
            <v>112.18</v>
          </cell>
          <cell r="G830">
            <v>93.93</v>
          </cell>
          <cell r="H830">
            <v>1150.1199999999999</v>
          </cell>
          <cell r="I830">
            <v>114.2</v>
          </cell>
        </row>
        <row r="831">
          <cell r="A831">
            <v>32933</v>
          </cell>
          <cell r="B831">
            <v>940.72</v>
          </cell>
          <cell r="C831">
            <v>1039.54</v>
          </cell>
          <cell r="D831">
            <v>102.67</v>
          </cell>
          <cell r="E831">
            <v>112.42</v>
          </cell>
          <cell r="F831">
            <v>111.49</v>
          </cell>
          <cell r="G831">
            <v>92.98</v>
          </cell>
          <cell r="H831">
            <v>1148.08</v>
          </cell>
          <cell r="I831">
            <v>114</v>
          </cell>
        </row>
        <row r="832">
          <cell r="A832">
            <v>32934</v>
          </cell>
          <cell r="B832">
            <v>951.14</v>
          </cell>
          <cell r="C832">
            <v>1057.33</v>
          </cell>
          <cell r="D832">
            <v>103.47</v>
          </cell>
          <cell r="E832">
            <v>113.85</v>
          </cell>
          <cell r="F832">
            <v>112.8</v>
          </cell>
          <cell r="G832">
            <v>93.14</v>
          </cell>
          <cell r="H832">
            <v>1145.46</v>
          </cell>
          <cell r="I832">
            <v>113.97</v>
          </cell>
        </row>
        <row r="833">
          <cell r="A833">
            <v>32937</v>
          </cell>
          <cell r="B833">
            <v>944.6</v>
          </cell>
          <cell r="C833">
            <v>1064.82</v>
          </cell>
          <cell r="D833">
            <v>102.93</v>
          </cell>
          <cell r="E833">
            <v>114.62</v>
          </cell>
          <cell r="F833">
            <v>113.5</v>
          </cell>
          <cell r="G833">
            <v>91.33</v>
          </cell>
          <cell r="H833">
            <v>1147.47</v>
          </cell>
          <cell r="I833">
            <v>114.41</v>
          </cell>
        </row>
        <row r="834">
          <cell r="A834">
            <v>32938</v>
          </cell>
          <cell r="B834">
            <v>942.11</v>
          </cell>
          <cell r="C834">
            <v>1062.78</v>
          </cell>
          <cell r="D834">
            <v>102.85</v>
          </cell>
          <cell r="E834">
            <v>114.42</v>
          </cell>
          <cell r="F834">
            <v>113.37</v>
          </cell>
          <cell r="G834">
            <v>91.36</v>
          </cell>
          <cell r="H834">
            <v>1151.5999999999999</v>
          </cell>
          <cell r="I834">
            <v>115.23</v>
          </cell>
        </row>
        <row r="835">
          <cell r="A835">
            <v>32939</v>
          </cell>
          <cell r="B835">
            <v>949.97</v>
          </cell>
          <cell r="C835">
            <v>1074.51</v>
          </cell>
          <cell r="D835">
            <v>103.59</v>
          </cell>
          <cell r="E835">
            <v>115.43</v>
          </cell>
          <cell r="F835">
            <v>114.32</v>
          </cell>
          <cell r="G835">
            <v>91.84</v>
          </cell>
          <cell r="H835">
            <v>1150.1600000000001</v>
          </cell>
          <cell r="I835">
            <v>115.53</v>
          </cell>
        </row>
        <row r="836">
          <cell r="A836">
            <v>32940</v>
          </cell>
          <cell r="B836">
            <v>955.15</v>
          </cell>
          <cell r="C836">
            <v>1082.32</v>
          </cell>
          <cell r="D836">
            <v>104.17</v>
          </cell>
          <cell r="E836">
            <v>116.2</v>
          </cell>
          <cell r="F836">
            <v>114.99</v>
          </cell>
          <cell r="G836">
            <v>92.23</v>
          </cell>
          <cell r="H836">
            <v>1154.3399999999999</v>
          </cell>
          <cell r="I836">
            <v>115.93</v>
          </cell>
        </row>
        <row r="837">
          <cell r="A837">
            <v>32941</v>
          </cell>
          <cell r="B837">
            <v>950.97</v>
          </cell>
          <cell r="C837">
            <v>1087.3499999999999</v>
          </cell>
          <cell r="D837">
            <v>103.87</v>
          </cell>
          <cell r="E837">
            <v>116.9</v>
          </cell>
          <cell r="F837">
            <v>115.65</v>
          </cell>
          <cell r="G837">
            <v>90.95</v>
          </cell>
          <cell r="H837">
            <v>1160.47</v>
          </cell>
          <cell r="I837">
            <v>116.59</v>
          </cell>
        </row>
        <row r="838">
          <cell r="A838">
            <v>32944</v>
          </cell>
          <cell r="B838">
            <v>945.69</v>
          </cell>
          <cell r="C838">
            <v>1082.45</v>
          </cell>
          <cell r="D838">
            <v>103.48</v>
          </cell>
          <cell r="E838">
            <v>116.58</v>
          </cell>
          <cell r="F838">
            <v>115.32</v>
          </cell>
          <cell r="G838">
            <v>90.5</v>
          </cell>
          <cell r="H838">
            <v>1155.96</v>
          </cell>
          <cell r="I838">
            <v>116.42</v>
          </cell>
        </row>
        <row r="839">
          <cell r="A839">
            <v>32945</v>
          </cell>
          <cell r="B839">
            <v>947.8</v>
          </cell>
          <cell r="C839">
            <v>1088.53</v>
          </cell>
          <cell r="D839">
            <v>103.68</v>
          </cell>
          <cell r="E839">
            <v>117.04</v>
          </cell>
          <cell r="F839">
            <v>115.66</v>
          </cell>
          <cell r="G839">
            <v>90.43</v>
          </cell>
          <cell r="H839">
            <v>1146.4000000000001</v>
          </cell>
          <cell r="I839">
            <v>115.65</v>
          </cell>
        </row>
        <row r="840">
          <cell r="A840">
            <v>32946</v>
          </cell>
          <cell r="B840">
            <v>949.38</v>
          </cell>
          <cell r="C840">
            <v>1092</v>
          </cell>
          <cell r="D840">
            <v>103.96</v>
          </cell>
          <cell r="E840">
            <v>117.36</v>
          </cell>
          <cell r="F840">
            <v>115.92</v>
          </cell>
          <cell r="G840">
            <v>90.68</v>
          </cell>
          <cell r="H840">
            <v>1147.99</v>
          </cell>
          <cell r="I840">
            <v>115.98</v>
          </cell>
        </row>
        <row r="841">
          <cell r="A841">
            <v>32947</v>
          </cell>
          <cell r="B841">
            <v>955.6</v>
          </cell>
          <cell r="C841">
            <v>1101.47</v>
          </cell>
          <cell r="D841">
            <v>104.54</v>
          </cell>
          <cell r="E841">
            <v>118.28</v>
          </cell>
          <cell r="F841">
            <v>116.64</v>
          </cell>
          <cell r="G841">
            <v>90.93</v>
          </cell>
          <cell r="H841">
            <v>1143.69</v>
          </cell>
          <cell r="I841">
            <v>115.64</v>
          </cell>
        </row>
        <row r="842">
          <cell r="A842">
            <v>32948</v>
          </cell>
          <cell r="B842">
            <v>962.51</v>
          </cell>
          <cell r="C842">
            <v>1105.71</v>
          </cell>
          <cell r="D842">
            <v>105.2</v>
          </cell>
          <cell r="E842">
            <v>118.7</v>
          </cell>
          <cell r="F842">
            <v>117.07</v>
          </cell>
          <cell r="G842">
            <v>91.81</v>
          </cell>
          <cell r="H842">
            <v>1144.3599999999999</v>
          </cell>
          <cell r="I842">
            <v>115.87</v>
          </cell>
        </row>
        <row r="843">
          <cell r="A843">
            <v>32951</v>
          </cell>
          <cell r="B843">
            <v>955.9</v>
          </cell>
          <cell r="C843">
            <v>1108.72</v>
          </cell>
          <cell r="D843">
            <v>104.57</v>
          </cell>
          <cell r="E843">
            <v>119.17</v>
          </cell>
          <cell r="F843">
            <v>117.38</v>
          </cell>
          <cell r="G843">
            <v>90.11</v>
          </cell>
          <cell r="H843">
            <v>1139.42</v>
          </cell>
          <cell r="I843">
            <v>115.26</v>
          </cell>
        </row>
        <row r="844">
          <cell r="A844">
            <v>32952</v>
          </cell>
          <cell r="B844">
            <v>958.71</v>
          </cell>
          <cell r="C844">
            <v>1103.1600000000001</v>
          </cell>
          <cell r="D844">
            <v>104.72</v>
          </cell>
          <cell r="E844">
            <v>118.54</v>
          </cell>
          <cell r="F844">
            <v>116.77</v>
          </cell>
          <cell r="G844">
            <v>91.03</v>
          </cell>
          <cell r="H844">
            <v>1136.4100000000001</v>
          </cell>
          <cell r="I844">
            <v>114.8</v>
          </cell>
        </row>
        <row r="845">
          <cell r="A845">
            <v>32953</v>
          </cell>
          <cell r="B845">
            <v>960.73</v>
          </cell>
          <cell r="C845">
            <v>1114.3</v>
          </cell>
          <cell r="D845">
            <v>104.96</v>
          </cell>
          <cell r="E845">
            <v>119.5</v>
          </cell>
          <cell r="F845">
            <v>117.61</v>
          </cell>
          <cell r="G845">
            <v>90.57</v>
          </cell>
          <cell r="H845">
            <v>1144.76</v>
          </cell>
          <cell r="I845">
            <v>115.34</v>
          </cell>
        </row>
        <row r="846">
          <cell r="A846">
            <v>32954</v>
          </cell>
          <cell r="B846">
            <v>956.34</v>
          </cell>
          <cell r="C846">
            <v>1104.94</v>
          </cell>
          <cell r="D846">
            <v>104.44</v>
          </cell>
          <cell r="E846">
            <v>118.37</v>
          </cell>
          <cell r="F846">
            <v>116.56</v>
          </cell>
          <cell r="G846">
            <v>90.63</v>
          </cell>
          <cell r="H846">
            <v>1143.77</v>
          </cell>
          <cell r="I846">
            <v>115.12</v>
          </cell>
        </row>
        <row r="847">
          <cell r="A847">
            <v>32955</v>
          </cell>
          <cell r="B847">
            <v>963.17</v>
          </cell>
          <cell r="C847">
            <v>1107.6500000000001</v>
          </cell>
          <cell r="D847">
            <v>105.06</v>
          </cell>
          <cell r="E847">
            <v>118.56</v>
          </cell>
          <cell r="F847">
            <v>116.7</v>
          </cell>
          <cell r="G847">
            <v>91.69</v>
          </cell>
          <cell r="H847">
            <v>1143.53</v>
          </cell>
          <cell r="I847">
            <v>115.31</v>
          </cell>
        </row>
        <row r="848">
          <cell r="A848">
            <v>32958</v>
          </cell>
          <cell r="B848">
            <v>971.48</v>
          </cell>
          <cell r="C848">
            <v>1114.94</v>
          </cell>
          <cell r="D848">
            <v>105.83</v>
          </cell>
          <cell r="E848">
            <v>119.31</v>
          </cell>
          <cell r="F848">
            <v>117.33</v>
          </cell>
          <cell r="G848">
            <v>92.47</v>
          </cell>
          <cell r="H848">
            <v>1145.96</v>
          </cell>
          <cell r="I848">
            <v>115.63</v>
          </cell>
        </row>
        <row r="849">
          <cell r="A849">
            <v>32959</v>
          </cell>
          <cell r="B849">
            <v>964.96</v>
          </cell>
          <cell r="C849">
            <v>1108.58</v>
          </cell>
          <cell r="D849">
            <v>105.24</v>
          </cell>
          <cell r="E849">
            <v>118.69</v>
          </cell>
          <cell r="F849">
            <v>116.72</v>
          </cell>
          <cell r="G849">
            <v>91.91</v>
          </cell>
          <cell r="H849">
            <v>1146.71</v>
          </cell>
          <cell r="I849">
            <v>115.75</v>
          </cell>
        </row>
        <row r="850">
          <cell r="A850">
            <v>32960</v>
          </cell>
          <cell r="B850">
            <v>966.36</v>
          </cell>
          <cell r="C850">
            <v>1108.04</v>
          </cell>
          <cell r="D850">
            <v>105.33</v>
          </cell>
          <cell r="E850">
            <v>118.63</v>
          </cell>
          <cell r="F850">
            <v>116.64</v>
          </cell>
          <cell r="G850">
            <v>92.14</v>
          </cell>
          <cell r="H850">
            <v>1143.27</v>
          </cell>
          <cell r="I850">
            <v>115.26</v>
          </cell>
        </row>
        <row r="851">
          <cell r="A851">
            <v>32961</v>
          </cell>
          <cell r="B851">
            <v>967.21</v>
          </cell>
          <cell r="C851">
            <v>1113.82</v>
          </cell>
          <cell r="D851">
            <v>105.33</v>
          </cell>
          <cell r="E851">
            <v>119.24</v>
          </cell>
          <cell r="F851">
            <v>117.2</v>
          </cell>
          <cell r="G851">
            <v>91.54</v>
          </cell>
          <cell r="H851">
            <v>1138.26</v>
          </cell>
          <cell r="I851">
            <v>114.74</v>
          </cell>
        </row>
        <row r="852">
          <cell r="A852">
            <v>32962</v>
          </cell>
          <cell r="B852">
            <v>965.38</v>
          </cell>
          <cell r="C852">
            <v>1115.3900000000001</v>
          </cell>
          <cell r="D852">
            <v>105.28</v>
          </cell>
          <cell r="E852">
            <v>119.46</v>
          </cell>
          <cell r="F852">
            <v>117.34</v>
          </cell>
          <cell r="G852">
            <v>91.22</v>
          </cell>
          <cell r="H852">
            <v>1129.0999999999999</v>
          </cell>
          <cell r="I852">
            <v>113.8</v>
          </cell>
        </row>
        <row r="853">
          <cell r="A853">
            <v>32965</v>
          </cell>
          <cell r="B853">
            <v>953.19</v>
          </cell>
          <cell r="C853">
            <v>1102.6300000000001</v>
          </cell>
          <cell r="D853">
            <v>104.28</v>
          </cell>
          <cell r="E853">
            <v>118.53</v>
          </cell>
          <cell r="F853">
            <v>116.36</v>
          </cell>
          <cell r="G853">
            <v>90.17</v>
          </cell>
          <cell r="H853">
            <v>1123.06</v>
          </cell>
          <cell r="I853">
            <v>113.13</v>
          </cell>
        </row>
        <row r="854">
          <cell r="A854">
            <v>32966</v>
          </cell>
          <cell r="B854">
            <v>963.83</v>
          </cell>
          <cell r="C854">
            <v>1117.3900000000001</v>
          </cell>
          <cell r="D854">
            <v>105.34</v>
          </cell>
          <cell r="E854">
            <v>119.93</v>
          </cell>
          <cell r="F854">
            <v>117.64</v>
          </cell>
          <cell r="G854">
            <v>90.88</v>
          </cell>
          <cell r="H854">
            <v>1121.28</v>
          </cell>
          <cell r="I854">
            <v>113.08</v>
          </cell>
        </row>
        <row r="855">
          <cell r="A855">
            <v>32967</v>
          </cell>
          <cell r="B855">
            <v>963.74</v>
          </cell>
          <cell r="C855">
            <v>1117.46</v>
          </cell>
          <cell r="D855">
            <v>105.31</v>
          </cell>
          <cell r="E855">
            <v>120.05</v>
          </cell>
          <cell r="F855">
            <v>117.73</v>
          </cell>
          <cell r="G855">
            <v>90.71</v>
          </cell>
          <cell r="H855">
            <v>1121.97</v>
          </cell>
          <cell r="I855">
            <v>112.75</v>
          </cell>
        </row>
        <row r="856">
          <cell r="A856">
            <v>32968</v>
          </cell>
          <cell r="B856">
            <v>966.97</v>
          </cell>
          <cell r="C856">
            <v>1120.48</v>
          </cell>
          <cell r="D856">
            <v>105.66</v>
          </cell>
          <cell r="E856">
            <v>120.37</v>
          </cell>
          <cell r="F856">
            <v>118.07</v>
          </cell>
          <cell r="G856">
            <v>91.09</v>
          </cell>
          <cell r="H856">
            <v>1121.3900000000001</v>
          </cell>
          <cell r="I856">
            <v>112.63</v>
          </cell>
        </row>
        <row r="857">
          <cell r="A857">
            <v>32969</v>
          </cell>
          <cell r="B857">
            <v>966.34</v>
          </cell>
          <cell r="C857">
            <v>1126.6300000000001</v>
          </cell>
          <cell r="D857">
            <v>105.64</v>
          </cell>
          <cell r="E857">
            <v>121.09</v>
          </cell>
          <cell r="F857">
            <v>118.76</v>
          </cell>
          <cell r="G857">
            <v>90.34</v>
          </cell>
          <cell r="H857">
            <v>1130.02</v>
          </cell>
          <cell r="I857">
            <v>113.19</v>
          </cell>
        </row>
        <row r="858">
          <cell r="A858">
            <v>32972</v>
          </cell>
          <cell r="B858">
            <v>963.36</v>
          </cell>
          <cell r="C858">
            <v>1120.33</v>
          </cell>
          <cell r="D858">
            <v>105.34</v>
          </cell>
          <cell r="E858">
            <v>120.54</v>
          </cell>
          <cell r="F858">
            <v>118.37</v>
          </cell>
          <cell r="G858">
            <v>90.29</v>
          </cell>
          <cell r="H858">
            <v>1129.22</v>
          </cell>
          <cell r="I858">
            <v>113.11</v>
          </cell>
        </row>
        <row r="859">
          <cell r="A859">
            <v>32973</v>
          </cell>
          <cell r="B859">
            <v>959.35</v>
          </cell>
          <cell r="C859">
            <v>1119.32</v>
          </cell>
          <cell r="D859">
            <v>105.03</v>
          </cell>
          <cell r="E859">
            <v>120.44</v>
          </cell>
          <cell r="F859">
            <v>118.25</v>
          </cell>
          <cell r="G859">
            <v>89.77</v>
          </cell>
          <cell r="H859">
            <v>1123.74</v>
          </cell>
          <cell r="I859">
            <v>112.53</v>
          </cell>
        </row>
        <row r="860">
          <cell r="A860">
            <v>32974</v>
          </cell>
          <cell r="B860">
            <v>959.33</v>
          </cell>
          <cell r="C860">
            <v>1122.83</v>
          </cell>
          <cell r="D860">
            <v>105.14</v>
          </cell>
          <cell r="E860">
            <v>120.98</v>
          </cell>
          <cell r="F860">
            <v>118.59</v>
          </cell>
          <cell r="G860">
            <v>89.45</v>
          </cell>
          <cell r="H860">
            <v>1116.31</v>
          </cell>
          <cell r="I860">
            <v>111.75</v>
          </cell>
        </row>
        <row r="861">
          <cell r="A861">
            <v>32975</v>
          </cell>
          <cell r="B861">
            <v>962.86</v>
          </cell>
          <cell r="C861">
            <v>1127.94</v>
          </cell>
          <cell r="D861">
            <v>105.37</v>
          </cell>
          <cell r="E861">
            <v>121.44</v>
          </cell>
          <cell r="F861">
            <v>118.98</v>
          </cell>
          <cell r="G861">
            <v>89.46</v>
          </cell>
          <cell r="H861">
            <v>1112.2</v>
          </cell>
          <cell r="I861">
            <v>111.55</v>
          </cell>
        </row>
        <row r="862">
          <cell r="A862">
            <v>32976</v>
          </cell>
          <cell r="B862">
            <v>962.51</v>
          </cell>
          <cell r="C862">
            <v>1127.3599999999999</v>
          </cell>
          <cell r="D862">
            <v>105.32</v>
          </cell>
          <cell r="E862">
            <v>121.37</v>
          </cell>
          <cell r="F862">
            <v>118.93</v>
          </cell>
          <cell r="G862">
            <v>89.42</v>
          </cell>
          <cell r="H862">
            <v>1112.01</v>
          </cell>
          <cell r="I862">
            <v>111.53</v>
          </cell>
        </row>
        <row r="863">
          <cell r="A863">
            <v>32979</v>
          </cell>
          <cell r="B863">
            <v>963.77</v>
          </cell>
          <cell r="C863">
            <v>1130.4100000000001</v>
          </cell>
          <cell r="D863">
            <v>105.52</v>
          </cell>
          <cell r="E863">
            <v>121.74</v>
          </cell>
          <cell r="F863">
            <v>119.28</v>
          </cell>
          <cell r="G863">
            <v>89.47</v>
          </cell>
          <cell r="H863">
            <v>1114.44</v>
          </cell>
          <cell r="I863">
            <v>111.8</v>
          </cell>
        </row>
        <row r="864">
          <cell r="A864">
            <v>32980</v>
          </cell>
          <cell r="B864">
            <v>962.24</v>
          </cell>
          <cell r="C864">
            <v>1133.43</v>
          </cell>
          <cell r="D864">
            <v>105.5</v>
          </cell>
          <cell r="E864">
            <v>122.12</v>
          </cell>
          <cell r="F864">
            <v>119.61</v>
          </cell>
          <cell r="G864">
            <v>89.04</v>
          </cell>
          <cell r="H864">
            <v>1117.45</v>
          </cell>
          <cell r="I864">
            <v>111.85</v>
          </cell>
        </row>
        <row r="865">
          <cell r="A865">
            <v>32981</v>
          </cell>
          <cell r="B865">
            <v>955.42</v>
          </cell>
          <cell r="C865">
            <v>1124.96</v>
          </cell>
          <cell r="D865">
            <v>105.03</v>
          </cell>
          <cell r="E865">
            <v>121.44</v>
          </cell>
          <cell r="F865">
            <v>119.06</v>
          </cell>
          <cell r="G865">
            <v>88.78</v>
          </cell>
          <cell r="H865">
            <v>1125</v>
          </cell>
          <cell r="I865">
            <v>112.38</v>
          </cell>
        </row>
        <row r="866">
          <cell r="A866">
            <v>32982</v>
          </cell>
          <cell r="B866">
            <v>952.11</v>
          </cell>
          <cell r="C866">
            <v>1120.75</v>
          </cell>
          <cell r="D866">
            <v>104.63</v>
          </cell>
          <cell r="E866">
            <v>120.91</v>
          </cell>
          <cell r="F866">
            <v>118.57</v>
          </cell>
          <cell r="G866">
            <v>88.51</v>
          </cell>
          <cell r="H866">
            <v>1122.1099999999999</v>
          </cell>
          <cell r="I866">
            <v>111.95</v>
          </cell>
        </row>
        <row r="867">
          <cell r="A867">
            <v>32983</v>
          </cell>
          <cell r="B867">
            <v>955.48</v>
          </cell>
          <cell r="C867">
            <v>1127.18</v>
          </cell>
          <cell r="D867">
            <v>105.1</v>
          </cell>
          <cell r="E867">
            <v>121.48</v>
          </cell>
          <cell r="F867">
            <v>119.21</v>
          </cell>
          <cell r="G867">
            <v>88.89</v>
          </cell>
          <cell r="H867">
            <v>1135.28</v>
          </cell>
          <cell r="I867">
            <v>113.4</v>
          </cell>
        </row>
        <row r="868">
          <cell r="A868">
            <v>32986</v>
          </cell>
          <cell r="B868">
            <v>942.98</v>
          </cell>
          <cell r="C868">
            <v>1108.5899999999999</v>
          </cell>
          <cell r="D868">
            <v>104.04</v>
          </cell>
          <cell r="E868">
            <v>119.77</v>
          </cell>
          <cell r="F868">
            <v>117.83</v>
          </cell>
          <cell r="G868">
            <v>88.48</v>
          </cell>
          <cell r="H868">
            <v>1135.6500000000001</v>
          </cell>
          <cell r="I868">
            <v>113.3</v>
          </cell>
        </row>
        <row r="869">
          <cell r="A869">
            <v>32987</v>
          </cell>
          <cell r="B869">
            <v>939.75</v>
          </cell>
          <cell r="C869">
            <v>1106.22</v>
          </cell>
          <cell r="D869">
            <v>103.79</v>
          </cell>
          <cell r="E869">
            <v>119.49</v>
          </cell>
          <cell r="F869">
            <v>117.46</v>
          </cell>
          <cell r="G869">
            <v>88.23</v>
          </cell>
          <cell r="H869">
            <v>1120.9000000000001</v>
          </cell>
          <cell r="I869">
            <v>111.97</v>
          </cell>
        </row>
        <row r="870">
          <cell r="A870">
            <v>32988</v>
          </cell>
          <cell r="B870">
            <v>934.34</v>
          </cell>
          <cell r="C870">
            <v>1104.51</v>
          </cell>
          <cell r="D870">
            <v>103.25</v>
          </cell>
          <cell r="E870">
            <v>119.43</v>
          </cell>
          <cell r="F870">
            <v>117.35</v>
          </cell>
          <cell r="G870">
            <v>87.24</v>
          </cell>
          <cell r="H870">
            <v>1114.44</v>
          </cell>
          <cell r="I870">
            <v>111.04</v>
          </cell>
        </row>
        <row r="871">
          <cell r="A871">
            <v>32989</v>
          </cell>
          <cell r="B871">
            <v>927.15</v>
          </cell>
          <cell r="C871">
            <v>1095.6600000000001</v>
          </cell>
          <cell r="D871">
            <v>102.73</v>
          </cell>
          <cell r="E871">
            <v>118.82</v>
          </cell>
          <cell r="F871">
            <v>116.86</v>
          </cell>
          <cell r="G871">
            <v>86.79</v>
          </cell>
          <cell r="H871">
            <v>1121.33</v>
          </cell>
          <cell r="I871">
            <v>111.47</v>
          </cell>
        </row>
        <row r="872">
          <cell r="A872">
            <v>32990</v>
          </cell>
          <cell r="B872">
            <v>919.24</v>
          </cell>
          <cell r="C872">
            <v>1091.6300000000001</v>
          </cell>
          <cell r="D872">
            <v>101.97</v>
          </cell>
          <cell r="E872">
            <v>118.39</v>
          </cell>
          <cell r="F872">
            <v>116.47</v>
          </cell>
          <cell r="G872">
            <v>85.73</v>
          </cell>
          <cell r="H872">
            <v>1116.19</v>
          </cell>
          <cell r="I872">
            <v>111.08</v>
          </cell>
        </row>
        <row r="873">
          <cell r="A873">
            <v>32993</v>
          </cell>
          <cell r="B873">
            <v>918.08</v>
          </cell>
          <cell r="C873">
            <v>1087.94</v>
          </cell>
          <cell r="D873">
            <v>101.75</v>
          </cell>
          <cell r="E873">
            <v>117.98</v>
          </cell>
          <cell r="F873">
            <v>116.05</v>
          </cell>
          <cell r="G873">
            <v>85.69</v>
          </cell>
          <cell r="H873">
            <v>1113.73</v>
          </cell>
          <cell r="I873">
            <v>110.86</v>
          </cell>
        </row>
        <row r="874">
          <cell r="A874">
            <v>32994</v>
          </cell>
          <cell r="B874">
            <v>922.2</v>
          </cell>
          <cell r="C874">
            <v>1088.04</v>
          </cell>
          <cell r="D874">
            <v>102.04</v>
          </cell>
          <cell r="E874">
            <v>117.96</v>
          </cell>
          <cell r="F874">
            <v>116.01</v>
          </cell>
          <cell r="G874">
            <v>86.27</v>
          </cell>
          <cell r="H874">
            <v>1110.24</v>
          </cell>
          <cell r="I874">
            <v>110.6</v>
          </cell>
        </row>
        <row r="875">
          <cell r="A875">
            <v>32995</v>
          </cell>
          <cell r="B875">
            <v>931.47</v>
          </cell>
          <cell r="C875">
            <v>1098.06</v>
          </cell>
          <cell r="D875">
            <v>102.92</v>
          </cell>
          <cell r="E875">
            <v>118.87</v>
          </cell>
          <cell r="F875">
            <v>116.85</v>
          </cell>
          <cell r="G875">
            <v>87.13</v>
          </cell>
          <cell r="H875">
            <v>1114.73</v>
          </cell>
          <cell r="I875">
            <v>111.07</v>
          </cell>
        </row>
        <row r="876">
          <cell r="A876">
            <v>32996</v>
          </cell>
          <cell r="B876">
            <v>938.53</v>
          </cell>
          <cell r="C876">
            <v>1111.77</v>
          </cell>
          <cell r="D876">
            <v>103.47</v>
          </cell>
          <cell r="E876">
            <v>120.09</v>
          </cell>
          <cell r="F876">
            <v>118.03</v>
          </cell>
          <cell r="G876">
            <v>87.02</v>
          </cell>
          <cell r="H876">
            <v>1117.3</v>
          </cell>
          <cell r="I876">
            <v>111.35</v>
          </cell>
        </row>
        <row r="877">
          <cell r="A877">
            <v>32997</v>
          </cell>
          <cell r="B877">
            <v>949.36</v>
          </cell>
          <cell r="C877">
            <v>1118.26</v>
          </cell>
          <cell r="D877">
            <v>104.42</v>
          </cell>
          <cell r="E877">
            <v>120.79</v>
          </cell>
          <cell r="F877">
            <v>118.73</v>
          </cell>
          <cell r="G877">
            <v>88.22</v>
          </cell>
          <cell r="H877">
            <v>1119.94</v>
          </cell>
          <cell r="I877">
            <v>111.39</v>
          </cell>
        </row>
        <row r="878">
          <cell r="A878">
            <v>33000</v>
          </cell>
          <cell r="B878">
            <v>955.11</v>
          </cell>
          <cell r="C878">
            <v>1128.43</v>
          </cell>
          <cell r="D878">
            <v>104.95</v>
          </cell>
          <cell r="E878">
            <v>121.76</v>
          </cell>
          <cell r="F878">
            <v>119.53</v>
          </cell>
          <cell r="G878">
            <v>88.31</v>
          </cell>
          <cell r="H878">
            <v>1128.1099999999999</v>
          </cell>
          <cell r="I878">
            <v>112.07</v>
          </cell>
        </row>
        <row r="879">
          <cell r="A879">
            <v>33001</v>
          </cell>
          <cell r="B879">
            <v>955.04</v>
          </cell>
          <cell r="C879">
            <v>1123.19</v>
          </cell>
          <cell r="D879">
            <v>105.1</v>
          </cell>
          <cell r="E879">
            <v>121.48</v>
          </cell>
          <cell r="F879">
            <v>119.31</v>
          </cell>
          <cell r="G879">
            <v>88.87</v>
          </cell>
          <cell r="H879">
            <v>1126.98</v>
          </cell>
          <cell r="I879">
            <v>112.07</v>
          </cell>
        </row>
        <row r="880">
          <cell r="A880">
            <v>33002</v>
          </cell>
          <cell r="B880">
            <v>950</v>
          </cell>
          <cell r="C880">
            <v>1119.6099999999999</v>
          </cell>
          <cell r="D880">
            <v>104.76</v>
          </cell>
          <cell r="E880">
            <v>121.32</v>
          </cell>
          <cell r="F880">
            <v>119.44</v>
          </cell>
          <cell r="G880">
            <v>88.35</v>
          </cell>
          <cell r="H880">
            <v>1138.76</v>
          </cell>
          <cell r="I880">
            <v>113.1</v>
          </cell>
        </row>
        <row r="881">
          <cell r="A881">
            <v>33003</v>
          </cell>
          <cell r="B881">
            <v>948.42</v>
          </cell>
          <cell r="C881">
            <v>1116</v>
          </cell>
          <cell r="D881">
            <v>104.66</v>
          </cell>
          <cell r="E881">
            <v>121.02</v>
          </cell>
          <cell r="F881">
            <v>119.55</v>
          </cell>
          <cell r="G881">
            <v>88.46</v>
          </cell>
          <cell r="H881">
            <v>1147.4000000000001</v>
          </cell>
          <cell r="I881">
            <v>114.01</v>
          </cell>
        </row>
        <row r="882">
          <cell r="A882">
            <v>33004</v>
          </cell>
          <cell r="B882">
            <v>949.44</v>
          </cell>
          <cell r="C882">
            <v>1110.3699999999999</v>
          </cell>
          <cell r="D882">
            <v>104.8</v>
          </cell>
          <cell r="E882">
            <v>120.61</v>
          </cell>
          <cell r="F882">
            <v>119.44</v>
          </cell>
          <cell r="G882">
            <v>89.15</v>
          </cell>
          <cell r="H882">
            <v>1158.43</v>
          </cell>
          <cell r="I882">
            <v>115.18</v>
          </cell>
        </row>
        <row r="883">
          <cell r="A883">
            <v>33007</v>
          </cell>
          <cell r="B883">
            <v>959.93</v>
          </cell>
          <cell r="C883">
            <v>1111.93</v>
          </cell>
          <cell r="D883">
            <v>105.66</v>
          </cell>
          <cell r="E883">
            <v>120.63</v>
          </cell>
          <cell r="F883">
            <v>119.56</v>
          </cell>
          <cell r="G883">
            <v>90.82</v>
          </cell>
          <cell r="H883">
            <v>1176.5999999999999</v>
          </cell>
          <cell r="I883">
            <v>116.72</v>
          </cell>
        </row>
        <row r="884">
          <cell r="A884">
            <v>33008</v>
          </cell>
          <cell r="B884">
            <v>957.22</v>
          </cell>
          <cell r="C884">
            <v>1109.3499999999999</v>
          </cell>
          <cell r="D884">
            <v>105.63</v>
          </cell>
          <cell r="E884">
            <v>120.65</v>
          </cell>
          <cell r="F884">
            <v>119.54</v>
          </cell>
          <cell r="G884">
            <v>90.74</v>
          </cell>
          <cell r="H884">
            <v>1175.01</v>
          </cell>
          <cell r="I884">
            <v>116.68</v>
          </cell>
        </row>
        <row r="885">
          <cell r="A885">
            <v>33009</v>
          </cell>
          <cell r="B885">
            <v>956.24</v>
          </cell>
          <cell r="C885">
            <v>1107.71</v>
          </cell>
          <cell r="D885">
            <v>105.62</v>
          </cell>
          <cell r="E885">
            <v>120.55</v>
          </cell>
          <cell r="F885">
            <v>119.4</v>
          </cell>
          <cell r="G885">
            <v>90.82</v>
          </cell>
          <cell r="H885">
            <v>1164</v>
          </cell>
          <cell r="I885">
            <v>116.02</v>
          </cell>
        </row>
        <row r="886">
          <cell r="A886">
            <v>33010</v>
          </cell>
          <cell r="B886">
            <v>973.44</v>
          </cell>
          <cell r="C886">
            <v>1113.0899999999999</v>
          </cell>
          <cell r="D886">
            <v>107.14</v>
          </cell>
          <cell r="E886">
            <v>120.88</v>
          </cell>
          <cell r="F886">
            <v>119.8</v>
          </cell>
          <cell r="G886">
            <v>93.5</v>
          </cell>
          <cell r="H886">
            <v>1172.48</v>
          </cell>
          <cell r="I886">
            <v>116.74</v>
          </cell>
        </row>
        <row r="887">
          <cell r="A887">
            <v>33011</v>
          </cell>
          <cell r="B887">
            <v>968.92</v>
          </cell>
          <cell r="C887">
            <v>1109.49</v>
          </cell>
          <cell r="D887">
            <v>106.87</v>
          </cell>
          <cell r="E887">
            <v>120.66</v>
          </cell>
          <cell r="F887">
            <v>119.67</v>
          </cell>
          <cell r="G887">
            <v>93.18</v>
          </cell>
          <cell r="H887">
            <v>1175.52</v>
          </cell>
          <cell r="I887">
            <v>117.11</v>
          </cell>
        </row>
        <row r="888">
          <cell r="A888">
            <v>33014</v>
          </cell>
          <cell r="B888">
            <v>964.7</v>
          </cell>
          <cell r="C888">
            <v>1098.29</v>
          </cell>
          <cell r="D888">
            <v>106.63</v>
          </cell>
          <cell r="E888">
            <v>119.5</v>
          </cell>
          <cell r="F888">
            <v>118.64</v>
          </cell>
          <cell r="G888">
            <v>93.85</v>
          </cell>
          <cell r="H888">
            <v>1180.3699999999999</v>
          </cell>
          <cell r="I888">
            <v>117.48</v>
          </cell>
        </row>
        <row r="889">
          <cell r="A889">
            <v>33015</v>
          </cell>
          <cell r="B889">
            <v>977.06</v>
          </cell>
          <cell r="C889">
            <v>1106.6600000000001</v>
          </cell>
          <cell r="D889">
            <v>107.68</v>
          </cell>
          <cell r="E889">
            <v>119.92</v>
          </cell>
          <cell r="F889">
            <v>119.21</v>
          </cell>
          <cell r="G889">
            <v>95.51</v>
          </cell>
          <cell r="H889">
            <v>1193.24</v>
          </cell>
          <cell r="I889">
            <v>118.96</v>
          </cell>
        </row>
        <row r="890">
          <cell r="A890">
            <v>33016</v>
          </cell>
          <cell r="B890">
            <v>975.86</v>
          </cell>
          <cell r="C890">
            <v>1111.21</v>
          </cell>
          <cell r="D890">
            <v>107.65</v>
          </cell>
          <cell r="E890">
            <v>120.41</v>
          </cell>
          <cell r="F890">
            <v>119.7</v>
          </cell>
          <cell r="G890">
            <v>94.97</v>
          </cell>
          <cell r="H890">
            <v>1197.33</v>
          </cell>
          <cell r="I890">
            <v>119.13</v>
          </cell>
        </row>
        <row r="891">
          <cell r="A891">
            <v>33017</v>
          </cell>
          <cell r="B891">
            <v>975.18</v>
          </cell>
          <cell r="C891">
            <v>1110.43</v>
          </cell>
          <cell r="D891">
            <v>107.47</v>
          </cell>
          <cell r="E891">
            <v>120.44</v>
          </cell>
          <cell r="F891">
            <v>119.67</v>
          </cell>
          <cell r="G891">
            <v>94.6</v>
          </cell>
          <cell r="H891">
            <v>1197.25</v>
          </cell>
          <cell r="I891">
            <v>119.12</v>
          </cell>
        </row>
        <row r="892">
          <cell r="A892">
            <v>33018</v>
          </cell>
          <cell r="B892">
            <v>967.39</v>
          </cell>
          <cell r="C892">
            <v>1102.43</v>
          </cell>
          <cell r="D892">
            <v>106.93</v>
          </cell>
          <cell r="E892">
            <v>119.74</v>
          </cell>
          <cell r="F892">
            <v>119.05</v>
          </cell>
          <cell r="G892">
            <v>94.21</v>
          </cell>
          <cell r="H892">
            <v>1204.31</v>
          </cell>
          <cell r="I892">
            <v>119.4</v>
          </cell>
        </row>
        <row r="893">
          <cell r="A893">
            <v>33021</v>
          </cell>
          <cell r="B893">
            <v>966.53</v>
          </cell>
          <cell r="C893">
            <v>1099.45</v>
          </cell>
          <cell r="D893">
            <v>106.82</v>
          </cell>
          <cell r="E893">
            <v>119.43</v>
          </cell>
          <cell r="F893">
            <v>118.87</v>
          </cell>
          <cell r="G893">
            <v>94.3</v>
          </cell>
          <cell r="H893">
            <v>1211.77</v>
          </cell>
          <cell r="I893">
            <v>119.9</v>
          </cell>
        </row>
        <row r="894">
          <cell r="A894">
            <v>33022</v>
          </cell>
          <cell r="B894">
            <v>978.24</v>
          </cell>
          <cell r="C894">
            <v>1111.82</v>
          </cell>
          <cell r="D894">
            <v>108.04</v>
          </cell>
          <cell r="E894">
            <v>120.65</v>
          </cell>
          <cell r="F894">
            <v>120.13</v>
          </cell>
          <cell r="G894">
            <v>95.52</v>
          </cell>
          <cell r="H894">
            <v>1211.1600000000001</v>
          </cell>
          <cell r="I894">
            <v>120.09</v>
          </cell>
        </row>
        <row r="895">
          <cell r="A895">
            <v>33023</v>
          </cell>
          <cell r="B895">
            <v>994</v>
          </cell>
          <cell r="C895">
            <v>1117.22</v>
          </cell>
          <cell r="D895">
            <v>109.44</v>
          </cell>
          <cell r="E895">
            <v>121.17</v>
          </cell>
          <cell r="F895">
            <v>120.67</v>
          </cell>
          <cell r="G895">
            <v>97.77</v>
          </cell>
          <cell r="H895">
            <v>1219.8599999999999</v>
          </cell>
          <cell r="I895">
            <v>120.55</v>
          </cell>
        </row>
        <row r="896">
          <cell r="A896">
            <v>33024</v>
          </cell>
          <cell r="B896">
            <v>994.01</v>
          </cell>
          <cell r="C896">
            <v>1116.83</v>
          </cell>
          <cell r="D896">
            <v>109.32</v>
          </cell>
          <cell r="E896">
            <v>121.07</v>
          </cell>
          <cell r="F896">
            <v>120.61</v>
          </cell>
          <cell r="G896">
            <v>97.64</v>
          </cell>
          <cell r="H896">
            <v>1232.1600000000001</v>
          </cell>
          <cell r="I896">
            <v>121.44</v>
          </cell>
        </row>
        <row r="897">
          <cell r="A897">
            <v>33025</v>
          </cell>
          <cell r="B897">
            <v>995.89</v>
          </cell>
          <cell r="C897">
            <v>1116.17</v>
          </cell>
          <cell r="D897">
            <v>109.68</v>
          </cell>
          <cell r="E897">
            <v>121.02</v>
          </cell>
          <cell r="F897">
            <v>120.66</v>
          </cell>
          <cell r="G897">
            <v>98.39</v>
          </cell>
          <cell r="H897">
            <v>1238.28</v>
          </cell>
          <cell r="I897">
            <v>121.87</v>
          </cell>
        </row>
        <row r="898">
          <cell r="A898">
            <v>33028</v>
          </cell>
          <cell r="B898">
            <v>999.2</v>
          </cell>
          <cell r="C898">
            <v>1120.0999999999999</v>
          </cell>
          <cell r="D898">
            <v>110</v>
          </cell>
          <cell r="E898">
            <v>121.45</v>
          </cell>
          <cell r="F898">
            <v>121.04</v>
          </cell>
          <cell r="G898">
            <v>98.6</v>
          </cell>
          <cell r="H898">
            <v>1238.48</v>
          </cell>
          <cell r="I898">
            <v>121.82</v>
          </cell>
        </row>
        <row r="899">
          <cell r="A899">
            <v>33029</v>
          </cell>
          <cell r="B899">
            <v>1004.98</v>
          </cell>
          <cell r="C899">
            <v>1123.8499999999999</v>
          </cell>
          <cell r="D899">
            <v>110.41</v>
          </cell>
          <cell r="E899">
            <v>121.81</v>
          </cell>
          <cell r="F899">
            <v>121.52</v>
          </cell>
          <cell r="G899">
            <v>99.06</v>
          </cell>
          <cell r="H899">
            <v>1253.9000000000001</v>
          </cell>
          <cell r="I899">
            <v>123.09</v>
          </cell>
        </row>
        <row r="900">
          <cell r="A900">
            <v>33030</v>
          </cell>
          <cell r="B900">
            <v>990.76</v>
          </cell>
          <cell r="C900">
            <v>1108.5899999999999</v>
          </cell>
          <cell r="D900">
            <v>109.36</v>
          </cell>
          <cell r="E900">
            <v>120.59</v>
          </cell>
          <cell r="F900">
            <v>120.34</v>
          </cell>
          <cell r="G900">
            <v>98.19</v>
          </cell>
          <cell r="H900">
            <v>1244.26</v>
          </cell>
          <cell r="I900">
            <v>122.32</v>
          </cell>
        </row>
        <row r="901">
          <cell r="A901">
            <v>33031</v>
          </cell>
          <cell r="B901">
            <v>992.79</v>
          </cell>
          <cell r="C901">
            <v>1107.05</v>
          </cell>
          <cell r="D901">
            <v>109.7</v>
          </cell>
          <cell r="E901">
            <v>120.5</v>
          </cell>
          <cell r="F901">
            <v>120.21</v>
          </cell>
          <cell r="G901">
            <v>98.94</v>
          </cell>
          <cell r="H901">
            <v>1243.28</v>
          </cell>
          <cell r="I901">
            <v>122.07</v>
          </cell>
        </row>
        <row r="902">
          <cell r="A902">
            <v>33032</v>
          </cell>
          <cell r="B902">
            <v>986.78</v>
          </cell>
          <cell r="C902">
            <v>1099.46</v>
          </cell>
          <cell r="D902">
            <v>109.1</v>
          </cell>
          <cell r="E902">
            <v>119.76</v>
          </cell>
          <cell r="F902">
            <v>119.53</v>
          </cell>
          <cell r="G902">
            <v>98.47</v>
          </cell>
          <cell r="H902">
            <v>1243.73</v>
          </cell>
          <cell r="I902">
            <v>122.07</v>
          </cell>
        </row>
        <row r="903">
          <cell r="A903">
            <v>33035</v>
          </cell>
          <cell r="B903">
            <v>979.82</v>
          </cell>
          <cell r="C903">
            <v>1094.01</v>
          </cell>
          <cell r="D903">
            <v>108.45</v>
          </cell>
          <cell r="E903">
            <v>119.13</v>
          </cell>
          <cell r="F903">
            <v>118.94</v>
          </cell>
          <cell r="G903">
            <v>97.82</v>
          </cell>
          <cell r="H903">
            <v>1236.6199999999999</v>
          </cell>
          <cell r="I903">
            <v>121.37</v>
          </cell>
        </row>
        <row r="904">
          <cell r="A904">
            <v>33036</v>
          </cell>
          <cell r="B904">
            <v>985.73</v>
          </cell>
          <cell r="C904">
            <v>1092.18</v>
          </cell>
          <cell r="D904">
            <v>109.09</v>
          </cell>
          <cell r="E904">
            <v>118.94</v>
          </cell>
          <cell r="F904">
            <v>118.94</v>
          </cell>
          <cell r="G904">
            <v>99.26</v>
          </cell>
          <cell r="H904">
            <v>1243.73</v>
          </cell>
          <cell r="I904">
            <v>121.94</v>
          </cell>
        </row>
        <row r="905">
          <cell r="A905">
            <v>33037</v>
          </cell>
          <cell r="B905">
            <v>994.34</v>
          </cell>
          <cell r="C905">
            <v>1094.42</v>
          </cell>
          <cell r="D905">
            <v>109.76</v>
          </cell>
          <cell r="E905">
            <v>118.87</v>
          </cell>
          <cell r="F905">
            <v>118.96</v>
          </cell>
          <cell r="G905">
            <v>100.65</v>
          </cell>
          <cell r="H905">
            <v>1244.92</v>
          </cell>
          <cell r="I905">
            <v>122.01</v>
          </cell>
        </row>
        <row r="906">
          <cell r="A906">
            <v>33038</v>
          </cell>
          <cell r="B906">
            <v>997.92</v>
          </cell>
          <cell r="C906">
            <v>1097.8499999999999</v>
          </cell>
          <cell r="D906">
            <v>110.01</v>
          </cell>
          <cell r="E906">
            <v>119.28</v>
          </cell>
          <cell r="F906">
            <v>119.33</v>
          </cell>
          <cell r="G906">
            <v>100.75</v>
          </cell>
          <cell r="H906">
            <v>1249.27</v>
          </cell>
          <cell r="I906">
            <v>122.34</v>
          </cell>
        </row>
        <row r="907">
          <cell r="A907">
            <v>33039</v>
          </cell>
          <cell r="B907">
            <v>991.85</v>
          </cell>
          <cell r="C907">
            <v>1089.21</v>
          </cell>
          <cell r="D907">
            <v>109.3</v>
          </cell>
          <cell r="E907">
            <v>118.37</v>
          </cell>
          <cell r="F907">
            <v>118.5</v>
          </cell>
          <cell r="G907">
            <v>100.24</v>
          </cell>
          <cell r="H907">
            <v>1245.93</v>
          </cell>
          <cell r="I907">
            <v>122.06</v>
          </cell>
        </row>
        <row r="908">
          <cell r="A908">
            <v>33042</v>
          </cell>
          <cell r="B908">
            <v>981.99</v>
          </cell>
          <cell r="C908">
            <v>1084.24</v>
          </cell>
          <cell r="D908">
            <v>108.43</v>
          </cell>
          <cell r="E908">
            <v>117.92</v>
          </cell>
          <cell r="F908">
            <v>118.03</v>
          </cell>
          <cell r="G908">
            <v>98.95</v>
          </cell>
          <cell r="H908">
            <v>1236.01</v>
          </cell>
          <cell r="I908">
            <v>120.97</v>
          </cell>
        </row>
        <row r="909">
          <cell r="A909">
            <v>33043</v>
          </cell>
          <cell r="B909">
            <v>989.96</v>
          </cell>
          <cell r="C909">
            <v>1098.5</v>
          </cell>
          <cell r="D909">
            <v>109.12</v>
          </cell>
          <cell r="E909">
            <v>118.97</v>
          </cell>
          <cell r="F909">
            <v>119.02</v>
          </cell>
          <cell r="G909">
            <v>99.29</v>
          </cell>
          <cell r="H909">
            <v>1239.3599999999999</v>
          </cell>
          <cell r="I909">
            <v>121.34</v>
          </cell>
        </row>
        <row r="910">
          <cell r="A910">
            <v>33044</v>
          </cell>
          <cell r="B910">
            <v>995.78</v>
          </cell>
          <cell r="C910">
            <v>1102.6400000000001</v>
          </cell>
          <cell r="D910">
            <v>109.53</v>
          </cell>
          <cell r="E910">
            <v>119.23</v>
          </cell>
          <cell r="F910">
            <v>119.33</v>
          </cell>
          <cell r="G910">
            <v>99.85</v>
          </cell>
          <cell r="H910">
            <v>1245.7</v>
          </cell>
          <cell r="I910">
            <v>122.03</v>
          </cell>
        </row>
        <row r="911">
          <cell r="A911">
            <v>33045</v>
          </cell>
          <cell r="B911">
            <v>997.98</v>
          </cell>
          <cell r="C911">
            <v>1105.72</v>
          </cell>
          <cell r="D911">
            <v>109.61</v>
          </cell>
          <cell r="E911">
            <v>119.41</v>
          </cell>
          <cell r="F911">
            <v>119.52</v>
          </cell>
          <cell r="G911">
            <v>99.83</v>
          </cell>
          <cell r="H911">
            <v>1246.0999999999999</v>
          </cell>
          <cell r="I911">
            <v>122.2</v>
          </cell>
        </row>
        <row r="912">
          <cell r="A912">
            <v>33046</v>
          </cell>
          <cell r="B912">
            <v>1003.68</v>
          </cell>
          <cell r="C912">
            <v>1112.6099999999999</v>
          </cell>
          <cell r="D912">
            <v>110.18</v>
          </cell>
          <cell r="E912">
            <v>120.09</v>
          </cell>
          <cell r="F912">
            <v>120.17</v>
          </cell>
          <cell r="G912">
            <v>100.29</v>
          </cell>
          <cell r="H912">
            <v>1244.92</v>
          </cell>
          <cell r="I912">
            <v>122.08</v>
          </cell>
        </row>
        <row r="913">
          <cell r="A913">
            <v>33049</v>
          </cell>
          <cell r="B913">
            <v>1011.54</v>
          </cell>
          <cell r="C913">
            <v>1118.94</v>
          </cell>
          <cell r="D913">
            <v>110.75</v>
          </cell>
          <cell r="E913">
            <v>120.53</v>
          </cell>
          <cell r="F913">
            <v>120.61</v>
          </cell>
          <cell r="G913">
            <v>101</v>
          </cell>
          <cell r="H913">
            <v>1247.19</v>
          </cell>
          <cell r="I913">
            <v>122.25</v>
          </cell>
        </row>
        <row r="914">
          <cell r="A914">
            <v>33050</v>
          </cell>
          <cell r="B914">
            <v>1013.66</v>
          </cell>
          <cell r="C914">
            <v>1123.46</v>
          </cell>
          <cell r="D914">
            <v>111.18</v>
          </cell>
          <cell r="E914">
            <v>121.07</v>
          </cell>
          <cell r="F914">
            <v>121.15</v>
          </cell>
          <cell r="G914">
            <v>101.31</v>
          </cell>
          <cell r="H914">
            <v>1246.1400000000001</v>
          </cell>
          <cell r="I914">
            <v>121.95</v>
          </cell>
        </row>
        <row r="915">
          <cell r="A915">
            <v>33051</v>
          </cell>
          <cell r="B915">
            <v>1007.37</v>
          </cell>
          <cell r="C915">
            <v>1122.1600000000001</v>
          </cell>
          <cell r="D915">
            <v>110.65</v>
          </cell>
          <cell r="E915">
            <v>120.91</v>
          </cell>
          <cell r="F915">
            <v>121.01</v>
          </cell>
          <cell r="G915">
            <v>100.43</v>
          </cell>
          <cell r="H915">
            <v>1249.74</v>
          </cell>
          <cell r="I915">
            <v>122.38</v>
          </cell>
        </row>
        <row r="916">
          <cell r="A916">
            <v>33052</v>
          </cell>
          <cell r="B916">
            <v>1004.26</v>
          </cell>
          <cell r="C916">
            <v>1122.46</v>
          </cell>
          <cell r="D916">
            <v>110.33</v>
          </cell>
          <cell r="E916">
            <v>120.84</v>
          </cell>
          <cell r="F916">
            <v>120.97</v>
          </cell>
          <cell r="G916">
            <v>99.86</v>
          </cell>
          <cell r="H916">
            <v>1251.47</v>
          </cell>
          <cell r="I916">
            <v>122.53</v>
          </cell>
        </row>
        <row r="917">
          <cell r="A917">
            <v>33053</v>
          </cell>
          <cell r="B917">
            <v>1006.62</v>
          </cell>
          <cell r="C917">
            <v>1120.33</v>
          </cell>
          <cell r="D917">
            <v>110.57</v>
          </cell>
          <cell r="E917">
            <v>120.6</v>
          </cell>
          <cell r="F917">
            <v>120.74</v>
          </cell>
          <cell r="G917">
            <v>100.56</v>
          </cell>
          <cell r="H917">
            <v>1248.3800000000001</v>
          </cell>
          <cell r="I917">
            <v>122.45</v>
          </cell>
        </row>
        <row r="918">
          <cell r="A918">
            <v>33056</v>
          </cell>
          <cell r="B918">
            <v>1010.96</v>
          </cell>
          <cell r="C918">
            <v>1124.08</v>
          </cell>
          <cell r="D918">
            <v>110.87</v>
          </cell>
          <cell r="E918">
            <v>120.93</v>
          </cell>
          <cell r="F918">
            <v>121.06</v>
          </cell>
          <cell r="G918">
            <v>100.84</v>
          </cell>
          <cell r="H918">
            <v>1248.72</v>
          </cell>
          <cell r="I918">
            <v>122.41</v>
          </cell>
        </row>
        <row r="919">
          <cell r="A919">
            <v>33057</v>
          </cell>
          <cell r="B919">
            <v>1012.12</v>
          </cell>
          <cell r="C919">
            <v>1121.5</v>
          </cell>
          <cell r="D919">
            <v>111.1</v>
          </cell>
          <cell r="E919">
            <v>120.85</v>
          </cell>
          <cell r="F919">
            <v>121.13</v>
          </cell>
          <cell r="G919">
            <v>101.38</v>
          </cell>
          <cell r="H919">
            <v>1255.5899999999999</v>
          </cell>
          <cell r="I919">
            <v>122.95</v>
          </cell>
        </row>
        <row r="920">
          <cell r="A920">
            <v>33058</v>
          </cell>
          <cell r="B920">
            <v>1009.23</v>
          </cell>
          <cell r="C920">
            <v>1120.6400000000001</v>
          </cell>
          <cell r="D920">
            <v>110.95</v>
          </cell>
          <cell r="E920">
            <v>120.79</v>
          </cell>
          <cell r="F920">
            <v>121.27</v>
          </cell>
          <cell r="G920">
            <v>101.13</v>
          </cell>
          <cell r="H920">
            <v>1266.75</v>
          </cell>
          <cell r="I920">
            <v>123.99</v>
          </cell>
        </row>
        <row r="921">
          <cell r="A921">
            <v>33059</v>
          </cell>
          <cell r="B921">
            <v>1000.43</v>
          </cell>
          <cell r="C921">
            <v>1113.32</v>
          </cell>
          <cell r="D921">
            <v>110.17</v>
          </cell>
          <cell r="E921">
            <v>120.16</v>
          </cell>
          <cell r="F921">
            <v>120.68</v>
          </cell>
          <cell r="G921">
            <v>100.2</v>
          </cell>
          <cell r="H921">
            <v>1268.02</v>
          </cell>
          <cell r="I921">
            <v>124.05</v>
          </cell>
        </row>
        <row r="922">
          <cell r="A922">
            <v>33060</v>
          </cell>
          <cell r="B922">
            <v>1006</v>
          </cell>
          <cell r="C922">
            <v>1114.1400000000001</v>
          </cell>
          <cell r="D922">
            <v>110.54</v>
          </cell>
          <cell r="E922">
            <v>120.14</v>
          </cell>
          <cell r="F922">
            <v>120.74</v>
          </cell>
          <cell r="G922">
            <v>100.95</v>
          </cell>
          <cell r="H922">
            <v>1265.48</v>
          </cell>
          <cell r="I922">
            <v>123.95</v>
          </cell>
        </row>
        <row r="923">
          <cell r="A923">
            <v>33063</v>
          </cell>
          <cell r="B923">
            <v>1006.91</v>
          </cell>
          <cell r="C923">
            <v>1110.4100000000001</v>
          </cell>
          <cell r="D923">
            <v>110.63</v>
          </cell>
          <cell r="E923">
            <v>120</v>
          </cell>
          <cell r="F923">
            <v>120.61</v>
          </cell>
          <cell r="G923">
            <v>101.28</v>
          </cell>
          <cell r="H923">
            <v>1266.8800000000001</v>
          </cell>
          <cell r="I923">
            <v>123.56</v>
          </cell>
        </row>
        <row r="924">
          <cell r="A924">
            <v>33064</v>
          </cell>
          <cell r="B924">
            <v>1001.82</v>
          </cell>
          <cell r="C924">
            <v>1100.56</v>
          </cell>
          <cell r="D924">
            <v>110.1</v>
          </cell>
          <cell r="E924">
            <v>119.14</v>
          </cell>
          <cell r="F924">
            <v>119.79</v>
          </cell>
          <cell r="G924">
            <v>101.07</v>
          </cell>
          <cell r="H924">
            <v>1265.51</v>
          </cell>
          <cell r="I924">
            <v>123.58</v>
          </cell>
        </row>
        <row r="925">
          <cell r="A925">
            <v>33065</v>
          </cell>
          <cell r="B925">
            <v>1010.99</v>
          </cell>
          <cell r="C925">
            <v>1109.54</v>
          </cell>
          <cell r="D925">
            <v>110.84</v>
          </cell>
          <cell r="E925">
            <v>119.84</v>
          </cell>
          <cell r="F925">
            <v>120.44</v>
          </cell>
          <cell r="G925">
            <v>101.84</v>
          </cell>
          <cell r="H925">
            <v>1266.99</v>
          </cell>
          <cell r="I925">
            <v>123.89</v>
          </cell>
        </row>
        <row r="926">
          <cell r="A926">
            <v>33066</v>
          </cell>
          <cell r="B926">
            <v>1024.55</v>
          </cell>
          <cell r="C926">
            <v>1118.71</v>
          </cell>
          <cell r="D926">
            <v>112.12</v>
          </cell>
          <cell r="E926">
            <v>120.75</v>
          </cell>
          <cell r="F926">
            <v>121.32</v>
          </cell>
          <cell r="G926">
            <v>103.48</v>
          </cell>
          <cell r="H926">
            <v>1269.79</v>
          </cell>
          <cell r="I926">
            <v>124.46</v>
          </cell>
        </row>
        <row r="927">
          <cell r="A927">
            <v>33067</v>
          </cell>
          <cell r="B927">
            <v>1021.21</v>
          </cell>
          <cell r="C927">
            <v>1121.3</v>
          </cell>
          <cell r="D927">
            <v>111.56</v>
          </cell>
          <cell r="E927">
            <v>120.7</v>
          </cell>
          <cell r="F927">
            <v>121.23</v>
          </cell>
          <cell r="G927">
            <v>102.42</v>
          </cell>
          <cell r="H927">
            <v>1271.5899999999999</v>
          </cell>
          <cell r="I927">
            <v>124.4</v>
          </cell>
        </row>
        <row r="928">
          <cell r="A928">
            <v>33070</v>
          </cell>
          <cell r="B928">
            <v>1030.6099999999999</v>
          </cell>
          <cell r="C928">
            <v>1127.6199999999999</v>
          </cell>
          <cell r="D928">
            <v>112.43</v>
          </cell>
          <cell r="E928">
            <v>121.32</v>
          </cell>
          <cell r="F928">
            <v>121.78</v>
          </cell>
          <cell r="G928">
            <v>103.53</v>
          </cell>
          <cell r="H928">
            <v>1276.93</v>
          </cell>
          <cell r="I928">
            <v>125.18</v>
          </cell>
        </row>
        <row r="929">
          <cell r="A929">
            <v>33071</v>
          </cell>
          <cell r="B929">
            <v>1033.6600000000001</v>
          </cell>
          <cell r="C929">
            <v>1133.76</v>
          </cell>
          <cell r="D929">
            <v>113.03</v>
          </cell>
          <cell r="E929">
            <v>121.92</v>
          </cell>
          <cell r="F929">
            <v>122.26</v>
          </cell>
          <cell r="G929">
            <v>104.13</v>
          </cell>
          <cell r="H929">
            <v>1279.46</v>
          </cell>
          <cell r="I929">
            <v>125.51</v>
          </cell>
        </row>
        <row r="930">
          <cell r="A930">
            <v>33072</v>
          </cell>
          <cell r="B930">
            <v>1026.8</v>
          </cell>
          <cell r="C930">
            <v>1133.3499999999999</v>
          </cell>
          <cell r="D930">
            <v>112.47</v>
          </cell>
          <cell r="E930">
            <v>121.94</v>
          </cell>
          <cell r="F930">
            <v>122.1</v>
          </cell>
          <cell r="G930">
            <v>103.01</v>
          </cell>
          <cell r="H930">
            <v>1273.57</v>
          </cell>
          <cell r="I930">
            <v>125.01</v>
          </cell>
        </row>
        <row r="931">
          <cell r="A931">
            <v>33073</v>
          </cell>
          <cell r="B931">
            <v>1027.81</v>
          </cell>
          <cell r="C931">
            <v>1134.74</v>
          </cell>
          <cell r="D931">
            <v>112.57</v>
          </cell>
          <cell r="E931">
            <v>122.21</v>
          </cell>
          <cell r="F931">
            <v>122.39</v>
          </cell>
          <cell r="G931">
            <v>102.94</v>
          </cell>
          <cell r="H931">
            <v>1277.3699999999999</v>
          </cell>
          <cell r="I931">
            <v>125.4</v>
          </cell>
        </row>
        <row r="932">
          <cell r="A932">
            <v>33074</v>
          </cell>
          <cell r="B932">
            <v>1031.02</v>
          </cell>
          <cell r="C932">
            <v>1136.18</v>
          </cell>
          <cell r="D932">
            <v>112.81</v>
          </cell>
          <cell r="E932">
            <v>122.39</v>
          </cell>
          <cell r="F932">
            <v>122.54</v>
          </cell>
          <cell r="G932">
            <v>103.23</v>
          </cell>
          <cell r="H932">
            <v>1282.43</v>
          </cell>
          <cell r="I932">
            <v>125.91</v>
          </cell>
        </row>
        <row r="933">
          <cell r="A933">
            <v>33077</v>
          </cell>
          <cell r="B933">
            <v>1011.65</v>
          </cell>
          <cell r="C933">
            <v>1120.6199999999999</v>
          </cell>
          <cell r="D933">
            <v>111.15</v>
          </cell>
          <cell r="E933">
            <v>120.94</v>
          </cell>
          <cell r="F933">
            <v>121.23</v>
          </cell>
          <cell r="G933">
            <v>101.36</v>
          </cell>
          <cell r="H933">
            <v>1270.0899999999999</v>
          </cell>
          <cell r="I933">
            <v>124.98</v>
          </cell>
        </row>
        <row r="934">
          <cell r="A934">
            <v>33078</v>
          </cell>
          <cell r="B934">
            <v>1010.22</v>
          </cell>
          <cell r="C934">
            <v>1120.9000000000001</v>
          </cell>
          <cell r="D934">
            <v>111.04</v>
          </cell>
          <cell r="E934">
            <v>120.89</v>
          </cell>
          <cell r="F934">
            <v>121.01</v>
          </cell>
          <cell r="G934">
            <v>101.2</v>
          </cell>
          <cell r="H934">
            <v>1262.69</v>
          </cell>
          <cell r="I934">
            <v>124.27</v>
          </cell>
        </row>
        <row r="935">
          <cell r="A935">
            <v>33079</v>
          </cell>
          <cell r="B935">
            <v>1008.76</v>
          </cell>
          <cell r="C935">
            <v>1122.3599999999999</v>
          </cell>
          <cell r="D935">
            <v>110.76</v>
          </cell>
          <cell r="E935">
            <v>120.91</v>
          </cell>
          <cell r="F935">
            <v>121.01</v>
          </cell>
          <cell r="G935">
            <v>100.63</v>
          </cell>
          <cell r="H935">
            <v>1261.1199999999999</v>
          </cell>
          <cell r="I935">
            <v>124.3</v>
          </cell>
        </row>
        <row r="936">
          <cell r="A936">
            <v>33080</v>
          </cell>
          <cell r="B936">
            <v>1004</v>
          </cell>
          <cell r="C936">
            <v>1120.5899999999999</v>
          </cell>
          <cell r="D936">
            <v>110.41</v>
          </cell>
          <cell r="E936">
            <v>120.7</v>
          </cell>
          <cell r="F936">
            <v>120.81</v>
          </cell>
          <cell r="G936">
            <v>100.14</v>
          </cell>
          <cell r="H936">
            <v>1264.02</v>
          </cell>
          <cell r="I936">
            <v>124.59</v>
          </cell>
        </row>
        <row r="937">
          <cell r="A937">
            <v>33081</v>
          </cell>
          <cell r="B937">
            <v>999.36</v>
          </cell>
          <cell r="C937">
            <v>1112.67</v>
          </cell>
          <cell r="D937">
            <v>110.18</v>
          </cell>
          <cell r="E937">
            <v>120.08</v>
          </cell>
          <cell r="F937">
            <v>120.26</v>
          </cell>
          <cell r="G937">
            <v>100.29</v>
          </cell>
          <cell r="H937">
            <v>1267.49</v>
          </cell>
          <cell r="I937">
            <v>124.8</v>
          </cell>
        </row>
        <row r="938">
          <cell r="A938">
            <v>33084</v>
          </cell>
          <cell r="B938">
            <v>994.56</v>
          </cell>
          <cell r="C938">
            <v>1107.72</v>
          </cell>
          <cell r="D938">
            <v>109.59</v>
          </cell>
          <cell r="E938">
            <v>119.37</v>
          </cell>
          <cell r="F938">
            <v>119.59</v>
          </cell>
          <cell r="G938">
            <v>99.83</v>
          </cell>
          <cell r="H938">
            <v>1260.72</v>
          </cell>
          <cell r="I938">
            <v>124.44</v>
          </cell>
        </row>
        <row r="939">
          <cell r="A939">
            <v>33085</v>
          </cell>
          <cell r="B939">
            <v>1000.87</v>
          </cell>
          <cell r="C939">
            <v>1116.48</v>
          </cell>
          <cell r="D939">
            <v>110.24</v>
          </cell>
          <cell r="E939">
            <v>120.23</v>
          </cell>
          <cell r="F939">
            <v>120.47</v>
          </cell>
          <cell r="G939">
            <v>100.25</v>
          </cell>
          <cell r="H939">
            <v>1268.48</v>
          </cell>
          <cell r="I939">
            <v>125.22</v>
          </cell>
        </row>
        <row r="940">
          <cell r="A940">
            <v>33086</v>
          </cell>
          <cell r="B940">
            <v>1000.02</v>
          </cell>
          <cell r="C940">
            <v>1108.96</v>
          </cell>
          <cell r="D940">
            <v>109.89</v>
          </cell>
          <cell r="E940">
            <v>119.31</v>
          </cell>
          <cell r="F940">
            <v>119.66</v>
          </cell>
          <cell r="G940">
            <v>100.47</v>
          </cell>
          <cell r="H940">
            <v>1272.6099999999999</v>
          </cell>
          <cell r="I940">
            <v>125.49</v>
          </cell>
        </row>
        <row r="941">
          <cell r="A941">
            <v>33087</v>
          </cell>
          <cell r="B941">
            <v>990.74</v>
          </cell>
          <cell r="C941">
            <v>1097.1099999999999</v>
          </cell>
          <cell r="D941">
            <v>108.23</v>
          </cell>
          <cell r="E941">
            <v>117.57</v>
          </cell>
          <cell r="F941">
            <v>117.93</v>
          </cell>
          <cell r="G941">
            <v>98.9</v>
          </cell>
          <cell r="H941">
            <v>1256.31</v>
          </cell>
          <cell r="I941">
            <v>124.02</v>
          </cell>
        </row>
        <row r="942">
          <cell r="A942">
            <v>33088</v>
          </cell>
          <cell r="B942">
            <v>975.55</v>
          </cell>
          <cell r="C942">
            <v>1073.07</v>
          </cell>
          <cell r="D942">
            <v>106.73</v>
          </cell>
          <cell r="E942">
            <v>115.28</v>
          </cell>
          <cell r="F942">
            <v>115.85</v>
          </cell>
          <cell r="G942">
            <v>98.17</v>
          </cell>
          <cell r="H942">
            <v>1255.6400000000001</v>
          </cell>
          <cell r="I942">
            <v>123.92</v>
          </cell>
        </row>
        <row r="943">
          <cell r="A943">
            <v>33091</v>
          </cell>
          <cell r="B943">
            <v>933.99</v>
          </cell>
          <cell r="C943">
            <v>1021.5</v>
          </cell>
          <cell r="D943">
            <v>102.05</v>
          </cell>
          <cell r="E943">
            <v>109.52</v>
          </cell>
          <cell r="F943">
            <v>109.96</v>
          </cell>
          <cell r="G943">
            <v>94.58</v>
          </cell>
          <cell r="H943">
            <v>1193.73</v>
          </cell>
          <cell r="I943">
            <v>118.49</v>
          </cell>
        </row>
        <row r="944">
          <cell r="A944">
            <v>33092</v>
          </cell>
          <cell r="B944">
            <v>949.06</v>
          </cell>
          <cell r="C944">
            <v>1038.8699999999999</v>
          </cell>
          <cell r="D944">
            <v>103.31</v>
          </cell>
          <cell r="E944">
            <v>111.04</v>
          </cell>
          <cell r="F944">
            <v>111.38</v>
          </cell>
          <cell r="G944">
            <v>95.57</v>
          </cell>
          <cell r="H944">
            <v>1199.51</v>
          </cell>
          <cell r="I944">
            <v>118.73</v>
          </cell>
        </row>
        <row r="945">
          <cell r="A945">
            <v>33093</v>
          </cell>
          <cell r="B945">
            <v>938.6</v>
          </cell>
          <cell r="C945">
            <v>1016.7</v>
          </cell>
          <cell r="D945">
            <v>102.12</v>
          </cell>
          <cell r="E945">
            <v>108.83</v>
          </cell>
          <cell r="F945">
            <v>109.29</v>
          </cell>
          <cell r="G945">
            <v>95.4</v>
          </cell>
          <cell r="H945">
            <v>1178.6199999999999</v>
          </cell>
          <cell r="I945">
            <v>116.93</v>
          </cell>
        </row>
        <row r="946">
          <cell r="A946">
            <v>33094</v>
          </cell>
          <cell r="B946">
            <v>946.18</v>
          </cell>
          <cell r="C946">
            <v>1023.96</v>
          </cell>
          <cell r="D946">
            <v>102.78</v>
          </cell>
          <cell r="E946">
            <v>109.49</v>
          </cell>
          <cell r="F946">
            <v>110.1</v>
          </cell>
          <cell r="G946">
            <v>96.05</v>
          </cell>
          <cell r="H946">
            <v>1190.19</v>
          </cell>
          <cell r="I946">
            <v>118.06</v>
          </cell>
        </row>
        <row r="947">
          <cell r="A947">
            <v>33095</v>
          </cell>
          <cell r="B947">
            <v>942.43</v>
          </cell>
          <cell r="C947">
            <v>1021.27</v>
          </cell>
          <cell r="D947">
            <v>102.43</v>
          </cell>
          <cell r="E947">
            <v>109.31</v>
          </cell>
          <cell r="F947">
            <v>109.86</v>
          </cell>
          <cell r="G947">
            <v>95.54</v>
          </cell>
          <cell r="H947">
            <v>1184.48</v>
          </cell>
          <cell r="I947">
            <v>117.33</v>
          </cell>
        </row>
        <row r="948">
          <cell r="A948">
            <v>33098</v>
          </cell>
          <cell r="B948">
            <v>925.7</v>
          </cell>
          <cell r="C948">
            <v>996.97</v>
          </cell>
          <cell r="D948">
            <v>100.68</v>
          </cell>
          <cell r="E948">
            <v>106.78</v>
          </cell>
          <cell r="F948">
            <v>107.52</v>
          </cell>
          <cell r="G948">
            <v>94.55</v>
          </cell>
          <cell r="H948">
            <v>1169.26</v>
          </cell>
          <cell r="I948">
            <v>115.95</v>
          </cell>
        </row>
        <row r="949">
          <cell r="A949">
            <v>33099</v>
          </cell>
          <cell r="B949">
            <v>935.95</v>
          </cell>
          <cell r="C949">
            <v>1003.6</v>
          </cell>
          <cell r="D949">
            <v>101.55</v>
          </cell>
          <cell r="E949">
            <v>107.3</v>
          </cell>
          <cell r="F949">
            <v>108.2</v>
          </cell>
          <cell r="G949">
            <v>95.77</v>
          </cell>
          <cell r="H949">
            <v>1184.0999999999999</v>
          </cell>
          <cell r="I949">
            <v>117.2</v>
          </cell>
        </row>
        <row r="950">
          <cell r="A950">
            <v>33100</v>
          </cell>
          <cell r="B950">
            <v>933</v>
          </cell>
          <cell r="C950">
            <v>1001.34</v>
          </cell>
          <cell r="D950">
            <v>101.14</v>
          </cell>
          <cell r="E950">
            <v>107.05</v>
          </cell>
          <cell r="F950">
            <v>108.02</v>
          </cell>
          <cell r="G950">
            <v>95.21</v>
          </cell>
          <cell r="H950">
            <v>1180.1300000000001</v>
          </cell>
          <cell r="I950">
            <v>116.91</v>
          </cell>
        </row>
        <row r="951">
          <cell r="A951">
            <v>33101</v>
          </cell>
          <cell r="B951">
            <v>934.29</v>
          </cell>
          <cell r="C951">
            <v>1007.38</v>
          </cell>
          <cell r="D951">
            <v>101.36</v>
          </cell>
          <cell r="E951">
            <v>107.67</v>
          </cell>
          <cell r="F951">
            <v>108.62</v>
          </cell>
          <cell r="G951">
            <v>95.04</v>
          </cell>
          <cell r="H951">
            <v>1185.49</v>
          </cell>
          <cell r="I951">
            <v>117.3</v>
          </cell>
        </row>
        <row r="952">
          <cell r="A952">
            <v>33102</v>
          </cell>
          <cell r="B952">
            <v>916.62</v>
          </cell>
          <cell r="C952">
            <v>976.71</v>
          </cell>
          <cell r="D952">
            <v>99.25</v>
          </cell>
          <cell r="E952">
            <v>104.72</v>
          </cell>
          <cell r="F952">
            <v>105.83</v>
          </cell>
          <cell r="G952">
            <v>93.75</v>
          </cell>
          <cell r="H952">
            <v>1158.1300000000001</v>
          </cell>
          <cell r="I952">
            <v>114.92</v>
          </cell>
        </row>
        <row r="953">
          <cell r="A953">
            <v>33105</v>
          </cell>
          <cell r="B953">
            <v>902.18</v>
          </cell>
          <cell r="C953">
            <v>952.64</v>
          </cell>
          <cell r="D953">
            <v>97.44</v>
          </cell>
          <cell r="E953">
            <v>102.05</v>
          </cell>
          <cell r="F953">
            <v>103.24</v>
          </cell>
          <cell r="G953">
            <v>92.8</v>
          </cell>
          <cell r="H953">
            <v>1137.6099999999999</v>
          </cell>
          <cell r="I953">
            <v>112.65</v>
          </cell>
        </row>
        <row r="954">
          <cell r="A954">
            <v>33106</v>
          </cell>
          <cell r="B954">
            <v>876.17</v>
          </cell>
          <cell r="C954">
            <v>920.64</v>
          </cell>
          <cell r="D954">
            <v>94.59</v>
          </cell>
          <cell r="E954">
            <v>98.72</v>
          </cell>
          <cell r="F954">
            <v>99.93</v>
          </cell>
          <cell r="G954">
            <v>90.42</v>
          </cell>
          <cell r="H954">
            <v>1110.9000000000001</v>
          </cell>
          <cell r="I954">
            <v>110.18</v>
          </cell>
        </row>
        <row r="955">
          <cell r="A955">
            <v>33107</v>
          </cell>
          <cell r="B955">
            <v>881.09</v>
          </cell>
          <cell r="C955">
            <v>930.22</v>
          </cell>
          <cell r="D955">
            <v>94.94</v>
          </cell>
          <cell r="E955">
            <v>99.37</v>
          </cell>
          <cell r="F955">
            <v>100.42</v>
          </cell>
          <cell r="G955">
            <v>90.48</v>
          </cell>
          <cell r="H955">
            <v>1099.04</v>
          </cell>
          <cell r="I955">
            <v>108.73</v>
          </cell>
        </row>
        <row r="956">
          <cell r="A956">
            <v>33108</v>
          </cell>
          <cell r="B956">
            <v>862.27</v>
          </cell>
          <cell r="C956">
            <v>903.54</v>
          </cell>
          <cell r="D956">
            <v>93</v>
          </cell>
          <cell r="E956">
            <v>96.69</v>
          </cell>
          <cell r="F956">
            <v>97.56</v>
          </cell>
          <cell r="G956">
            <v>89.27</v>
          </cell>
          <cell r="H956">
            <v>1060.02</v>
          </cell>
          <cell r="I956">
            <v>105.36</v>
          </cell>
        </row>
        <row r="957">
          <cell r="A957">
            <v>33109</v>
          </cell>
          <cell r="B957">
            <v>874.24</v>
          </cell>
          <cell r="C957">
            <v>919.56</v>
          </cell>
          <cell r="D957">
            <v>94.27</v>
          </cell>
          <cell r="E957">
            <v>98.4</v>
          </cell>
          <cell r="F957">
            <v>99.33</v>
          </cell>
          <cell r="G957">
            <v>90.1</v>
          </cell>
          <cell r="H957">
            <v>1075.44</v>
          </cell>
          <cell r="I957">
            <v>106.44</v>
          </cell>
        </row>
        <row r="958">
          <cell r="A958">
            <v>33112</v>
          </cell>
          <cell r="B958">
            <v>896.15</v>
          </cell>
          <cell r="C958">
            <v>964.12</v>
          </cell>
          <cell r="D958">
            <v>96.78</v>
          </cell>
          <cell r="E958">
            <v>103.06</v>
          </cell>
          <cell r="F958">
            <v>103.83</v>
          </cell>
          <cell r="G958">
            <v>90.49</v>
          </cell>
          <cell r="H958">
            <v>1112.72</v>
          </cell>
          <cell r="I958">
            <v>109.91</v>
          </cell>
        </row>
        <row r="959">
          <cell r="A959">
            <v>33113</v>
          </cell>
          <cell r="B959">
            <v>897.36</v>
          </cell>
          <cell r="C959">
            <v>955.84</v>
          </cell>
          <cell r="D959">
            <v>97.35</v>
          </cell>
          <cell r="E959">
            <v>102.76</v>
          </cell>
          <cell r="F959">
            <v>103.48</v>
          </cell>
          <cell r="G959">
            <v>91.91</v>
          </cell>
          <cell r="H959">
            <v>1116.1099999999999</v>
          </cell>
          <cell r="I959">
            <v>110.4</v>
          </cell>
        </row>
        <row r="960">
          <cell r="A960">
            <v>33114</v>
          </cell>
          <cell r="B960">
            <v>901.81</v>
          </cell>
          <cell r="C960">
            <v>962.32</v>
          </cell>
          <cell r="D960">
            <v>97.46</v>
          </cell>
          <cell r="E960">
            <v>103.07</v>
          </cell>
          <cell r="F960">
            <v>103.75</v>
          </cell>
          <cell r="G960">
            <v>91.83</v>
          </cell>
          <cell r="H960">
            <v>1118.51</v>
          </cell>
          <cell r="I960">
            <v>110.58</v>
          </cell>
        </row>
        <row r="961">
          <cell r="A961">
            <v>33115</v>
          </cell>
          <cell r="B961">
            <v>908.54</v>
          </cell>
          <cell r="C961">
            <v>969.57</v>
          </cell>
          <cell r="D961">
            <v>98.27</v>
          </cell>
          <cell r="E961">
            <v>103.97</v>
          </cell>
          <cell r="F961">
            <v>104.66</v>
          </cell>
          <cell r="G961">
            <v>92.53</v>
          </cell>
          <cell r="H961">
            <v>1129.49</v>
          </cell>
          <cell r="I961">
            <v>111.54</v>
          </cell>
        </row>
        <row r="962">
          <cell r="A962">
            <v>33116</v>
          </cell>
          <cell r="B962">
            <v>902.81</v>
          </cell>
          <cell r="C962">
            <v>962.15</v>
          </cell>
          <cell r="D962">
            <v>97.75</v>
          </cell>
          <cell r="E962">
            <v>103.38</v>
          </cell>
          <cell r="F962">
            <v>104.12</v>
          </cell>
          <cell r="G962">
            <v>92.1</v>
          </cell>
          <cell r="H962">
            <v>1124.33</v>
          </cell>
          <cell r="I962">
            <v>111.51</v>
          </cell>
        </row>
        <row r="963">
          <cell r="A963">
            <v>33119</v>
          </cell>
          <cell r="B963">
            <v>902.32</v>
          </cell>
          <cell r="C963">
            <v>958.14</v>
          </cell>
          <cell r="D963">
            <v>97.3</v>
          </cell>
          <cell r="E963">
            <v>102.5</v>
          </cell>
          <cell r="F963">
            <v>103.41</v>
          </cell>
          <cell r="G963">
            <v>92.08</v>
          </cell>
          <cell r="H963">
            <v>1121.7</v>
          </cell>
          <cell r="I963">
            <v>111.42</v>
          </cell>
        </row>
        <row r="964">
          <cell r="A964">
            <v>33120</v>
          </cell>
          <cell r="B964">
            <v>889.71</v>
          </cell>
          <cell r="C964">
            <v>940.34</v>
          </cell>
          <cell r="D964">
            <v>95.81</v>
          </cell>
          <cell r="E964">
            <v>100.51</v>
          </cell>
          <cell r="F964">
            <v>101.47</v>
          </cell>
          <cell r="G964">
            <v>91.08</v>
          </cell>
          <cell r="H964">
            <v>1107.05</v>
          </cell>
          <cell r="I964">
            <v>110.27</v>
          </cell>
        </row>
        <row r="965">
          <cell r="A965">
            <v>33121</v>
          </cell>
          <cell r="B965">
            <v>890.18</v>
          </cell>
          <cell r="C965">
            <v>940.26</v>
          </cell>
          <cell r="D965">
            <v>95.88</v>
          </cell>
          <cell r="E965">
            <v>100.58</v>
          </cell>
          <cell r="F965">
            <v>101.52</v>
          </cell>
          <cell r="G965">
            <v>91.15</v>
          </cell>
          <cell r="H965">
            <v>1106.43</v>
          </cell>
          <cell r="I965">
            <v>109.98</v>
          </cell>
        </row>
        <row r="966">
          <cell r="A966">
            <v>33122</v>
          </cell>
          <cell r="B966">
            <v>883.47</v>
          </cell>
          <cell r="C966">
            <v>935.87</v>
          </cell>
          <cell r="D966">
            <v>95.02</v>
          </cell>
          <cell r="E966">
            <v>99.78</v>
          </cell>
          <cell r="F966">
            <v>100.76</v>
          </cell>
          <cell r="G966">
            <v>90.23</v>
          </cell>
          <cell r="H966">
            <v>1103.82</v>
          </cell>
          <cell r="I966">
            <v>109.68</v>
          </cell>
        </row>
        <row r="967">
          <cell r="A967">
            <v>33123</v>
          </cell>
          <cell r="B967">
            <v>883.55</v>
          </cell>
          <cell r="C967">
            <v>937.84</v>
          </cell>
          <cell r="D967">
            <v>94.99</v>
          </cell>
          <cell r="E967">
            <v>99.92</v>
          </cell>
          <cell r="F967">
            <v>100.86</v>
          </cell>
          <cell r="G967">
            <v>90.04</v>
          </cell>
          <cell r="H967">
            <v>1107.4100000000001</v>
          </cell>
          <cell r="I967">
            <v>109.88</v>
          </cell>
        </row>
        <row r="968">
          <cell r="A968">
            <v>33126</v>
          </cell>
          <cell r="B968">
            <v>893.57</v>
          </cell>
          <cell r="C968">
            <v>956.25</v>
          </cell>
          <cell r="D968">
            <v>95.93</v>
          </cell>
          <cell r="E968">
            <v>101.72</v>
          </cell>
          <cell r="F968">
            <v>102.41</v>
          </cell>
          <cell r="G968">
            <v>90.11</v>
          </cell>
          <cell r="H968">
            <v>1112.1300000000001</v>
          </cell>
          <cell r="I968">
            <v>110.43</v>
          </cell>
        </row>
        <row r="969">
          <cell r="A969">
            <v>33127</v>
          </cell>
          <cell r="B969">
            <v>887.59</v>
          </cell>
          <cell r="C969">
            <v>947.76</v>
          </cell>
          <cell r="D969">
            <v>95.44</v>
          </cell>
          <cell r="E969">
            <v>100.83</v>
          </cell>
          <cell r="F969">
            <v>101.62</v>
          </cell>
          <cell r="G969">
            <v>90.03</v>
          </cell>
          <cell r="H969">
            <v>1106.92</v>
          </cell>
          <cell r="I969">
            <v>110.06</v>
          </cell>
        </row>
        <row r="970">
          <cell r="A970">
            <v>33128</v>
          </cell>
          <cell r="B970">
            <v>894.49</v>
          </cell>
          <cell r="C970">
            <v>954.82</v>
          </cell>
          <cell r="D970">
            <v>96.08</v>
          </cell>
          <cell r="E970">
            <v>101.39</v>
          </cell>
          <cell r="F970">
            <v>102.27</v>
          </cell>
          <cell r="G970">
            <v>90.74</v>
          </cell>
          <cell r="H970">
            <v>1117.98</v>
          </cell>
          <cell r="I970">
            <v>111.13</v>
          </cell>
        </row>
        <row r="971">
          <cell r="A971">
            <v>33129</v>
          </cell>
          <cell r="B971">
            <v>891.45</v>
          </cell>
          <cell r="C971">
            <v>952.68</v>
          </cell>
          <cell r="D971">
            <v>95.72</v>
          </cell>
          <cell r="E971">
            <v>101.22</v>
          </cell>
          <cell r="F971">
            <v>102.04</v>
          </cell>
          <cell r="G971">
            <v>90.2</v>
          </cell>
          <cell r="H971">
            <v>1109.01</v>
          </cell>
          <cell r="I971">
            <v>110.2</v>
          </cell>
        </row>
        <row r="972">
          <cell r="A972">
            <v>33130</v>
          </cell>
          <cell r="B972">
            <v>874.48</v>
          </cell>
          <cell r="C972">
            <v>934.09</v>
          </cell>
          <cell r="D972">
            <v>94.17</v>
          </cell>
          <cell r="E972">
            <v>99.44</v>
          </cell>
          <cell r="F972">
            <v>100.44</v>
          </cell>
          <cell r="G972">
            <v>88.87</v>
          </cell>
          <cell r="H972">
            <v>1102.78</v>
          </cell>
          <cell r="I972">
            <v>109.62</v>
          </cell>
        </row>
        <row r="973">
          <cell r="A973">
            <v>33133</v>
          </cell>
          <cell r="B973">
            <v>870.28</v>
          </cell>
          <cell r="C973">
            <v>924.31</v>
          </cell>
          <cell r="D973">
            <v>93.48</v>
          </cell>
          <cell r="E973">
            <v>98.26</v>
          </cell>
          <cell r="F973">
            <v>99.39</v>
          </cell>
          <cell r="G973">
            <v>88.67</v>
          </cell>
          <cell r="H973">
            <v>1091.3499999999999</v>
          </cell>
          <cell r="I973">
            <v>108.82</v>
          </cell>
        </row>
        <row r="974">
          <cell r="A974">
            <v>33134</v>
          </cell>
          <cell r="B974">
            <v>855.94</v>
          </cell>
          <cell r="C974">
            <v>907.31</v>
          </cell>
          <cell r="D974">
            <v>92.16</v>
          </cell>
          <cell r="E974">
            <v>96.54</v>
          </cell>
          <cell r="F974">
            <v>97.79</v>
          </cell>
          <cell r="G974">
            <v>87.75</v>
          </cell>
          <cell r="H974">
            <v>1070.3</v>
          </cell>
          <cell r="I974">
            <v>107.03</v>
          </cell>
        </row>
        <row r="975">
          <cell r="A975">
            <v>33135</v>
          </cell>
          <cell r="B975">
            <v>853.13</v>
          </cell>
          <cell r="C975">
            <v>904.25</v>
          </cell>
          <cell r="D975">
            <v>91.61</v>
          </cell>
          <cell r="E975">
            <v>95.92</v>
          </cell>
          <cell r="F975">
            <v>97.16</v>
          </cell>
          <cell r="G975">
            <v>87.28</v>
          </cell>
          <cell r="H975">
            <v>1073.03</v>
          </cell>
          <cell r="I975">
            <v>107.13</v>
          </cell>
        </row>
        <row r="976">
          <cell r="A976">
            <v>33136</v>
          </cell>
          <cell r="B976">
            <v>839.19</v>
          </cell>
          <cell r="C976">
            <v>890.88</v>
          </cell>
          <cell r="D976">
            <v>89.97</v>
          </cell>
          <cell r="E976">
            <v>94.45</v>
          </cell>
          <cell r="F976">
            <v>95.81</v>
          </cell>
          <cell r="G976">
            <v>85.46</v>
          </cell>
          <cell r="H976">
            <v>1068.8599999999999</v>
          </cell>
          <cell r="I976">
            <v>106.5</v>
          </cell>
        </row>
        <row r="977">
          <cell r="A977">
            <v>33137</v>
          </cell>
          <cell r="B977">
            <v>834.85</v>
          </cell>
          <cell r="C977">
            <v>886.52</v>
          </cell>
          <cell r="D977">
            <v>89.13</v>
          </cell>
          <cell r="E977">
            <v>93.67</v>
          </cell>
          <cell r="F977">
            <v>94.9</v>
          </cell>
          <cell r="G977">
            <v>84.56</v>
          </cell>
          <cell r="H977">
            <v>1041.69</v>
          </cell>
          <cell r="I977">
            <v>103.83</v>
          </cell>
        </row>
        <row r="978">
          <cell r="A978">
            <v>33140</v>
          </cell>
          <cell r="B978">
            <v>823.59</v>
          </cell>
          <cell r="C978">
            <v>871.4</v>
          </cell>
          <cell r="D978">
            <v>87.77</v>
          </cell>
          <cell r="E978">
            <v>91.99</v>
          </cell>
          <cell r="F978">
            <v>93.05</v>
          </cell>
          <cell r="G978">
            <v>83.54</v>
          </cell>
          <cell r="H978">
            <v>1017.2</v>
          </cell>
          <cell r="I978">
            <v>101.51</v>
          </cell>
        </row>
        <row r="979">
          <cell r="A979">
            <v>33141</v>
          </cell>
          <cell r="B979">
            <v>812.81</v>
          </cell>
          <cell r="C979">
            <v>850.99</v>
          </cell>
          <cell r="D979">
            <v>86.6</v>
          </cell>
          <cell r="E979">
            <v>89.87</v>
          </cell>
          <cell r="F979">
            <v>90.87</v>
          </cell>
          <cell r="G979">
            <v>83.3</v>
          </cell>
          <cell r="H979">
            <v>996.85</v>
          </cell>
          <cell r="I979">
            <v>99.5</v>
          </cell>
        </row>
        <row r="980">
          <cell r="A980">
            <v>33142</v>
          </cell>
          <cell r="B980">
            <v>817.34</v>
          </cell>
          <cell r="C980">
            <v>860.78</v>
          </cell>
          <cell r="D980">
            <v>87.1</v>
          </cell>
          <cell r="E980">
            <v>90.82</v>
          </cell>
          <cell r="F980">
            <v>91.61</v>
          </cell>
          <cell r="G980">
            <v>83.36</v>
          </cell>
          <cell r="H980">
            <v>988.19</v>
          </cell>
          <cell r="I980">
            <v>98.16</v>
          </cell>
        </row>
        <row r="981">
          <cell r="A981">
            <v>33143</v>
          </cell>
          <cell r="B981">
            <v>819.91</v>
          </cell>
          <cell r="C981">
            <v>860.35</v>
          </cell>
          <cell r="D981">
            <v>87.57</v>
          </cell>
          <cell r="E981">
            <v>91.11</v>
          </cell>
          <cell r="F981">
            <v>91.84</v>
          </cell>
          <cell r="G981">
            <v>84</v>
          </cell>
          <cell r="H981">
            <v>972.3</v>
          </cell>
          <cell r="I981">
            <v>96.8</v>
          </cell>
        </row>
        <row r="982">
          <cell r="A982">
            <v>33144</v>
          </cell>
          <cell r="B982">
            <v>807.74</v>
          </cell>
          <cell r="C982">
            <v>845.96</v>
          </cell>
          <cell r="D982">
            <v>86.39</v>
          </cell>
          <cell r="E982">
            <v>89.81</v>
          </cell>
          <cell r="F982">
            <v>90.44</v>
          </cell>
          <cell r="G982">
            <v>82.94</v>
          </cell>
          <cell r="H982">
            <v>953.76</v>
          </cell>
          <cell r="I982">
            <v>95.04</v>
          </cell>
        </row>
        <row r="983">
          <cell r="A983">
            <v>33147</v>
          </cell>
          <cell r="B983">
            <v>831.68</v>
          </cell>
          <cell r="C983">
            <v>875.4</v>
          </cell>
          <cell r="D983">
            <v>88.51</v>
          </cell>
          <cell r="E983">
            <v>92.44</v>
          </cell>
          <cell r="F983">
            <v>92.99</v>
          </cell>
          <cell r="G983">
            <v>84.55</v>
          </cell>
          <cell r="H983">
            <v>988.33</v>
          </cell>
          <cell r="I983">
            <v>97.86</v>
          </cell>
        </row>
        <row r="984">
          <cell r="A984">
            <v>33148</v>
          </cell>
          <cell r="B984">
            <v>850.07</v>
          </cell>
          <cell r="C984">
            <v>896.69</v>
          </cell>
          <cell r="D984">
            <v>90.4</v>
          </cell>
          <cell r="E984">
            <v>94.59</v>
          </cell>
          <cell r="F984">
            <v>95.25</v>
          </cell>
          <cell r="G984">
            <v>86.18</v>
          </cell>
          <cell r="H984">
            <v>1024.26</v>
          </cell>
          <cell r="I984">
            <v>100.84</v>
          </cell>
        </row>
        <row r="985">
          <cell r="A985">
            <v>33149</v>
          </cell>
          <cell r="B985">
            <v>853.01</v>
          </cell>
          <cell r="C985">
            <v>891.71</v>
          </cell>
          <cell r="D985">
            <v>90.45</v>
          </cell>
          <cell r="E985">
            <v>94.23</v>
          </cell>
          <cell r="F985">
            <v>94.78</v>
          </cell>
          <cell r="G985">
            <v>86.64</v>
          </cell>
          <cell r="H985">
            <v>1006.37</v>
          </cell>
          <cell r="I985">
            <v>99.29</v>
          </cell>
        </row>
        <row r="986">
          <cell r="A986">
            <v>33150</v>
          </cell>
          <cell r="B986">
            <v>847</v>
          </cell>
          <cell r="C986">
            <v>881.17</v>
          </cell>
          <cell r="D986">
            <v>89.94</v>
          </cell>
          <cell r="E986">
            <v>93.45</v>
          </cell>
          <cell r="F986">
            <v>94.14</v>
          </cell>
          <cell r="G986">
            <v>86.4</v>
          </cell>
          <cell r="H986">
            <v>1017.71</v>
          </cell>
          <cell r="I986">
            <v>100.11</v>
          </cell>
        </row>
        <row r="987">
          <cell r="A987">
            <v>33151</v>
          </cell>
          <cell r="B987">
            <v>860.95</v>
          </cell>
          <cell r="C987">
            <v>866.85</v>
          </cell>
          <cell r="D987">
            <v>91.18</v>
          </cell>
          <cell r="E987">
            <v>92.15</v>
          </cell>
          <cell r="F987">
            <v>92.92</v>
          </cell>
          <cell r="G987">
            <v>90.18</v>
          </cell>
          <cell r="H987">
            <v>1005.43</v>
          </cell>
          <cell r="I987">
            <v>98.94</v>
          </cell>
        </row>
        <row r="988">
          <cell r="A988">
            <v>33154</v>
          </cell>
          <cell r="B988">
            <v>888.3</v>
          </cell>
          <cell r="C988">
            <v>893.92</v>
          </cell>
          <cell r="D988">
            <v>93.58</v>
          </cell>
          <cell r="E988">
            <v>94.22</v>
          </cell>
          <cell r="F988">
            <v>94.84</v>
          </cell>
          <cell r="G988">
            <v>92.91</v>
          </cell>
          <cell r="H988">
            <v>1020.44</v>
          </cell>
          <cell r="I988">
            <v>99.88</v>
          </cell>
        </row>
        <row r="989">
          <cell r="A989">
            <v>33155</v>
          </cell>
          <cell r="B989">
            <v>863.62</v>
          </cell>
          <cell r="C989">
            <v>877.9</v>
          </cell>
          <cell r="D989">
            <v>91.48</v>
          </cell>
          <cell r="E989">
            <v>92.94</v>
          </cell>
          <cell r="F989">
            <v>93.67</v>
          </cell>
          <cell r="G989">
            <v>90</v>
          </cell>
          <cell r="H989">
            <v>1018.31</v>
          </cell>
          <cell r="I989">
            <v>99.35</v>
          </cell>
        </row>
        <row r="990">
          <cell r="A990">
            <v>33156</v>
          </cell>
          <cell r="B990">
            <v>853.42</v>
          </cell>
          <cell r="C990">
            <v>866.26</v>
          </cell>
          <cell r="D990">
            <v>90.48</v>
          </cell>
          <cell r="E990">
            <v>91.75</v>
          </cell>
          <cell r="F990">
            <v>92.53</v>
          </cell>
          <cell r="G990">
            <v>89.18</v>
          </cell>
          <cell r="H990">
            <v>1010.28</v>
          </cell>
          <cell r="I990">
            <v>98.49</v>
          </cell>
        </row>
        <row r="991">
          <cell r="A991">
            <v>33157</v>
          </cell>
          <cell r="B991">
            <v>850.86</v>
          </cell>
          <cell r="C991">
            <v>869.63</v>
          </cell>
          <cell r="D991">
            <v>90.48</v>
          </cell>
          <cell r="E991">
            <v>92.14</v>
          </cell>
          <cell r="F991">
            <v>92.85</v>
          </cell>
          <cell r="G991">
            <v>88.79</v>
          </cell>
          <cell r="H991">
            <v>1012.03</v>
          </cell>
          <cell r="I991">
            <v>98.43</v>
          </cell>
        </row>
        <row r="992">
          <cell r="A992">
            <v>33158</v>
          </cell>
          <cell r="B992">
            <v>858.24</v>
          </cell>
          <cell r="C992">
            <v>884.94</v>
          </cell>
          <cell r="D992">
            <v>91.09</v>
          </cell>
          <cell r="E992">
            <v>93.41</v>
          </cell>
          <cell r="F992">
            <v>93.94</v>
          </cell>
          <cell r="G992">
            <v>88.73</v>
          </cell>
          <cell r="H992">
            <v>1007.92</v>
          </cell>
          <cell r="I992">
            <v>98.05</v>
          </cell>
        </row>
        <row r="993">
          <cell r="A993">
            <v>33161</v>
          </cell>
          <cell r="B993">
            <v>857.57</v>
          </cell>
          <cell r="C993">
            <v>891.48</v>
          </cell>
          <cell r="D993">
            <v>91.16</v>
          </cell>
          <cell r="E993">
            <v>94.12</v>
          </cell>
          <cell r="F993">
            <v>94.51</v>
          </cell>
          <cell r="G993">
            <v>88.18</v>
          </cell>
          <cell r="H993">
            <v>1010.76</v>
          </cell>
          <cell r="I993">
            <v>98.07</v>
          </cell>
        </row>
        <row r="994">
          <cell r="A994">
            <v>33162</v>
          </cell>
          <cell r="B994">
            <v>851.07</v>
          </cell>
          <cell r="C994">
            <v>889.95</v>
          </cell>
          <cell r="D994">
            <v>90.67</v>
          </cell>
          <cell r="E994">
            <v>94.01</v>
          </cell>
          <cell r="F994">
            <v>94.37</v>
          </cell>
          <cell r="G994">
            <v>87.32</v>
          </cell>
          <cell r="H994">
            <v>1003.79</v>
          </cell>
          <cell r="I994">
            <v>97.38</v>
          </cell>
        </row>
        <row r="995">
          <cell r="A995">
            <v>33163</v>
          </cell>
          <cell r="B995">
            <v>845.39</v>
          </cell>
          <cell r="C995">
            <v>886.78</v>
          </cell>
          <cell r="D995">
            <v>90.25</v>
          </cell>
          <cell r="E995">
            <v>93.74</v>
          </cell>
          <cell r="F995">
            <v>93.99</v>
          </cell>
          <cell r="G995">
            <v>86.73</v>
          </cell>
          <cell r="H995">
            <v>981.62</v>
          </cell>
          <cell r="I995">
            <v>95.94</v>
          </cell>
        </row>
        <row r="996">
          <cell r="A996">
            <v>33164</v>
          </cell>
          <cell r="B996">
            <v>854.01</v>
          </cell>
          <cell r="C996">
            <v>901.35</v>
          </cell>
          <cell r="D996">
            <v>91.05</v>
          </cell>
          <cell r="E996">
            <v>95.13</v>
          </cell>
          <cell r="F996">
            <v>95.27</v>
          </cell>
          <cell r="G996">
            <v>86.96</v>
          </cell>
          <cell r="H996">
            <v>985.5</v>
          </cell>
          <cell r="I996">
            <v>96.18</v>
          </cell>
        </row>
        <row r="997">
          <cell r="A997">
            <v>33165</v>
          </cell>
          <cell r="B997">
            <v>860.72</v>
          </cell>
          <cell r="C997">
            <v>910.29</v>
          </cell>
          <cell r="D997">
            <v>91.73</v>
          </cell>
          <cell r="E997">
            <v>95.97</v>
          </cell>
          <cell r="F997">
            <v>96.15</v>
          </cell>
          <cell r="G997">
            <v>87.47</v>
          </cell>
          <cell r="H997">
            <v>993.32</v>
          </cell>
          <cell r="I997">
            <v>97.08</v>
          </cell>
        </row>
        <row r="998">
          <cell r="A998">
            <v>33168</v>
          </cell>
          <cell r="B998">
            <v>859.13</v>
          </cell>
          <cell r="C998">
            <v>904.12</v>
          </cell>
          <cell r="D998">
            <v>91.64</v>
          </cell>
          <cell r="E998">
            <v>95.54</v>
          </cell>
          <cell r="F998">
            <v>95.89</v>
          </cell>
          <cell r="G998">
            <v>87.74</v>
          </cell>
          <cell r="H998">
            <v>1018.98</v>
          </cell>
          <cell r="I998">
            <v>99.18</v>
          </cell>
        </row>
        <row r="999">
          <cell r="A999">
            <v>33169</v>
          </cell>
          <cell r="B999">
            <v>874.86</v>
          </cell>
          <cell r="C999">
            <v>925.33</v>
          </cell>
          <cell r="D999">
            <v>93.1</v>
          </cell>
          <cell r="E999">
            <v>97.5</v>
          </cell>
          <cell r="F999">
            <v>97.7</v>
          </cell>
          <cell r="G999">
            <v>88.69</v>
          </cell>
          <cell r="H999">
            <v>1025.75</v>
          </cell>
          <cell r="I999">
            <v>99.71</v>
          </cell>
        </row>
        <row r="1000">
          <cell r="A1000">
            <v>33170</v>
          </cell>
          <cell r="B1000">
            <v>873.3</v>
          </cell>
          <cell r="C1000">
            <v>924.52</v>
          </cell>
          <cell r="D1000">
            <v>93.28</v>
          </cell>
          <cell r="E1000">
            <v>97.77</v>
          </cell>
          <cell r="F1000">
            <v>97.97</v>
          </cell>
          <cell r="G1000">
            <v>88.79</v>
          </cell>
          <cell r="H1000">
            <v>1019.59</v>
          </cell>
          <cell r="I1000">
            <v>99.45</v>
          </cell>
        </row>
        <row r="1001">
          <cell r="A1001">
            <v>33171</v>
          </cell>
          <cell r="B1001">
            <v>863.6</v>
          </cell>
          <cell r="C1001">
            <v>916.65</v>
          </cell>
          <cell r="D1001">
            <v>92.27</v>
          </cell>
          <cell r="E1001">
            <v>96.98</v>
          </cell>
          <cell r="F1001">
            <v>97.14</v>
          </cell>
          <cell r="G1001">
            <v>87.55</v>
          </cell>
          <cell r="H1001">
            <v>1021.78</v>
          </cell>
          <cell r="I1001">
            <v>99.82</v>
          </cell>
        </row>
        <row r="1002">
          <cell r="A1002">
            <v>33172</v>
          </cell>
          <cell r="B1002">
            <v>852.48</v>
          </cell>
          <cell r="C1002">
            <v>898.73</v>
          </cell>
          <cell r="D1002">
            <v>90.99</v>
          </cell>
          <cell r="E1002">
            <v>95.3</v>
          </cell>
          <cell r="F1002">
            <v>95.49</v>
          </cell>
          <cell r="G1002">
            <v>86.67</v>
          </cell>
          <cell r="H1002">
            <v>1011.82</v>
          </cell>
          <cell r="I1002">
            <v>98.72</v>
          </cell>
        </row>
        <row r="1003">
          <cell r="A1003">
            <v>33175</v>
          </cell>
          <cell r="B1003">
            <v>850.81</v>
          </cell>
          <cell r="C1003">
            <v>896.33</v>
          </cell>
          <cell r="D1003">
            <v>90.64</v>
          </cell>
          <cell r="E1003">
            <v>94.94</v>
          </cell>
          <cell r="F1003">
            <v>95.06</v>
          </cell>
          <cell r="G1003">
            <v>86.33</v>
          </cell>
          <cell r="H1003">
            <v>1005.52</v>
          </cell>
          <cell r="I1003">
            <v>97.97</v>
          </cell>
        </row>
        <row r="1004">
          <cell r="A1004">
            <v>33176</v>
          </cell>
          <cell r="B1004">
            <v>840.33</v>
          </cell>
          <cell r="C1004">
            <v>886.68</v>
          </cell>
          <cell r="D1004">
            <v>89.77</v>
          </cell>
          <cell r="E1004">
            <v>94.21</v>
          </cell>
          <cell r="F1004">
            <v>94.3</v>
          </cell>
          <cell r="G1004">
            <v>85.33</v>
          </cell>
          <cell r="H1004">
            <v>990.01</v>
          </cell>
          <cell r="I1004">
            <v>96.74</v>
          </cell>
        </row>
        <row r="1005">
          <cell r="A1005">
            <v>33177</v>
          </cell>
          <cell r="B1005">
            <v>842.54</v>
          </cell>
          <cell r="C1005">
            <v>889.57</v>
          </cell>
          <cell r="D1005">
            <v>90.01</v>
          </cell>
          <cell r="E1005">
            <v>94.48</v>
          </cell>
          <cell r="F1005">
            <v>94.47</v>
          </cell>
          <cell r="G1005">
            <v>85.53</v>
          </cell>
          <cell r="H1005">
            <v>987.66</v>
          </cell>
          <cell r="I1005">
            <v>96.56</v>
          </cell>
        </row>
        <row r="1006">
          <cell r="A1006">
            <v>33178</v>
          </cell>
          <cell r="B1006">
            <v>834.86</v>
          </cell>
          <cell r="C1006">
            <v>884.62</v>
          </cell>
          <cell r="D1006">
            <v>89.19</v>
          </cell>
          <cell r="E1006">
            <v>94.03</v>
          </cell>
          <cell r="F1006">
            <v>93.86</v>
          </cell>
          <cell r="G1006">
            <v>84.33</v>
          </cell>
          <cell r="H1006">
            <v>976.21</v>
          </cell>
          <cell r="I1006">
            <v>95.38</v>
          </cell>
        </row>
        <row r="1007">
          <cell r="A1007">
            <v>33179</v>
          </cell>
          <cell r="B1007">
            <v>835.03</v>
          </cell>
          <cell r="C1007">
            <v>881.74</v>
          </cell>
          <cell r="D1007">
            <v>89</v>
          </cell>
          <cell r="E1007">
            <v>93.67</v>
          </cell>
          <cell r="F1007">
            <v>93.55</v>
          </cell>
          <cell r="G1007">
            <v>84.33</v>
          </cell>
          <cell r="H1007">
            <v>976.35</v>
          </cell>
          <cell r="I1007">
            <v>95.14</v>
          </cell>
        </row>
        <row r="1008">
          <cell r="A1008">
            <v>33182</v>
          </cell>
          <cell r="B1008">
            <v>836.77</v>
          </cell>
          <cell r="C1008">
            <v>877.88</v>
          </cell>
          <cell r="D1008">
            <v>89.05</v>
          </cell>
          <cell r="E1008">
            <v>93.24</v>
          </cell>
          <cell r="F1008">
            <v>93.21</v>
          </cell>
          <cell r="G1008">
            <v>84.84</v>
          </cell>
          <cell r="H1008">
            <v>970.77</v>
          </cell>
          <cell r="I1008">
            <v>94.61</v>
          </cell>
        </row>
        <row r="1009">
          <cell r="A1009">
            <v>33183</v>
          </cell>
          <cell r="B1009">
            <v>840.95</v>
          </cell>
          <cell r="C1009">
            <v>876.74</v>
          </cell>
          <cell r="D1009">
            <v>89.34</v>
          </cell>
          <cell r="E1009">
            <v>93.16</v>
          </cell>
          <cell r="F1009">
            <v>93.08</v>
          </cell>
          <cell r="G1009">
            <v>85.5</v>
          </cell>
          <cell r="H1009">
            <v>969.69</v>
          </cell>
          <cell r="I1009">
            <v>94.44</v>
          </cell>
        </row>
        <row r="1010">
          <cell r="A1010">
            <v>33184</v>
          </cell>
          <cell r="B1010">
            <v>832.1</v>
          </cell>
          <cell r="C1010">
            <v>864.83</v>
          </cell>
          <cell r="D1010">
            <v>88.52</v>
          </cell>
          <cell r="E1010">
            <v>92.07</v>
          </cell>
          <cell r="F1010">
            <v>92.1</v>
          </cell>
          <cell r="G1010">
            <v>84.95</v>
          </cell>
          <cell r="H1010">
            <v>958.68</v>
          </cell>
          <cell r="I1010">
            <v>93.77</v>
          </cell>
        </row>
        <row r="1011">
          <cell r="A1011">
            <v>33185</v>
          </cell>
          <cell r="B1011">
            <v>822.94</v>
          </cell>
          <cell r="C1011">
            <v>857.62</v>
          </cell>
          <cell r="D1011">
            <v>87.63</v>
          </cell>
          <cell r="E1011">
            <v>91.21</v>
          </cell>
          <cell r="F1011">
            <v>91.16</v>
          </cell>
          <cell r="G1011">
            <v>84.03</v>
          </cell>
          <cell r="H1011">
            <v>944.24</v>
          </cell>
          <cell r="I1011">
            <v>92.59</v>
          </cell>
        </row>
        <row r="1012">
          <cell r="A1012">
            <v>33186</v>
          </cell>
          <cell r="B1012">
            <v>826.49</v>
          </cell>
          <cell r="C1012">
            <v>861.32</v>
          </cell>
          <cell r="D1012">
            <v>87.96</v>
          </cell>
          <cell r="E1012">
            <v>91.63</v>
          </cell>
          <cell r="F1012">
            <v>91.56</v>
          </cell>
          <cell r="G1012">
            <v>84.26</v>
          </cell>
          <cell r="H1012">
            <v>945.22</v>
          </cell>
          <cell r="I1012">
            <v>92.71</v>
          </cell>
        </row>
        <row r="1013">
          <cell r="A1013">
            <v>33189</v>
          </cell>
          <cell r="B1013">
            <v>833.41</v>
          </cell>
          <cell r="C1013">
            <v>872.25</v>
          </cell>
          <cell r="D1013">
            <v>88.42</v>
          </cell>
          <cell r="E1013">
            <v>92.52</v>
          </cell>
          <cell r="F1013">
            <v>92.35</v>
          </cell>
          <cell r="G1013">
            <v>84.32</v>
          </cell>
          <cell r="H1013">
            <v>951.55</v>
          </cell>
          <cell r="I1013">
            <v>93.12</v>
          </cell>
        </row>
        <row r="1014">
          <cell r="A1014">
            <v>33190</v>
          </cell>
          <cell r="B1014">
            <v>836.36</v>
          </cell>
          <cell r="C1014">
            <v>875.77</v>
          </cell>
          <cell r="D1014">
            <v>88.75</v>
          </cell>
          <cell r="E1014">
            <v>92.86</v>
          </cell>
          <cell r="F1014">
            <v>92.76</v>
          </cell>
          <cell r="G1014">
            <v>84.62</v>
          </cell>
          <cell r="H1014">
            <v>963.99</v>
          </cell>
          <cell r="I1014">
            <v>94.11</v>
          </cell>
        </row>
        <row r="1015">
          <cell r="A1015">
            <v>33191</v>
          </cell>
          <cell r="B1015">
            <v>830.98</v>
          </cell>
          <cell r="C1015">
            <v>870.61</v>
          </cell>
          <cell r="D1015">
            <v>88.04</v>
          </cell>
          <cell r="E1015">
            <v>92.3</v>
          </cell>
          <cell r="F1015">
            <v>92.17</v>
          </cell>
          <cell r="G1015">
            <v>83.78</v>
          </cell>
          <cell r="H1015">
            <v>938.02</v>
          </cell>
          <cell r="I1015">
            <v>92.23</v>
          </cell>
        </row>
        <row r="1016">
          <cell r="A1016">
            <v>33192</v>
          </cell>
          <cell r="B1016">
            <v>835.88</v>
          </cell>
          <cell r="C1016">
            <v>871.07</v>
          </cell>
          <cell r="D1016">
            <v>88.48</v>
          </cell>
          <cell r="E1016">
            <v>92.51</v>
          </cell>
          <cell r="F1016">
            <v>92.36</v>
          </cell>
          <cell r="G1016">
            <v>84.44</v>
          </cell>
          <cell r="H1016">
            <v>941.47</v>
          </cell>
          <cell r="I1016">
            <v>92.43</v>
          </cell>
        </row>
        <row r="1017">
          <cell r="A1017">
            <v>33193</v>
          </cell>
          <cell r="B1017">
            <v>835.46</v>
          </cell>
          <cell r="C1017">
            <v>872</v>
          </cell>
          <cell r="D1017">
            <v>88.57</v>
          </cell>
          <cell r="E1017">
            <v>92.66</v>
          </cell>
          <cell r="F1017">
            <v>92.39</v>
          </cell>
          <cell r="G1017">
            <v>84.47</v>
          </cell>
          <cell r="H1017">
            <v>938.43</v>
          </cell>
          <cell r="I1017">
            <v>92.2</v>
          </cell>
        </row>
        <row r="1018">
          <cell r="A1018">
            <v>33196</v>
          </cell>
          <cell r="B1018">
            <v>848.11</v>
          </cell>
          <cell r="C1018">
            <v>882.81</v>
          </cell>
          <cell r="D1018">
            <v>89.71</v>
          </cell>
          <cell r="E1018">
            <v>93.67</v>
          </cell>
          <cell r="F1018">
            <v>93.4</v>
          </cell>
          <cell r="G1018">
            <v>85.73</v>
          </cell>
          <cell r="H1018">
            <v>932.02</v>
          </cell>
          <cell r="I1018">
            <v>91.63</v>
          </cell>
        </row>
        <row r="1019">
          <cell r="A1019">
            <v>33197</v>
          </cell>
          <cell r="B1019">
            <v>853.3</v>
          </cell>
          <cell r="C1019">
            <v>885.13</v>
          </cell>
          <cell r="D1019">
            <v>90.1</v>
          </cell>
          <cell r="E1019">
            <v>93.8</v>
          </cell>
          <cell r="F1019">
            <v>93.41</v>
          </cell>
          <cell r="G1019">
            <v>86.38</v>
          </cell>
          <cell r="H1019">
            <v>925.13</v>
          </cell>
          <cell r="I1019">
            <v>91.04</v>
          </cell>
        </row>
        <row r="1020">
          <cell r="A1020">
            <v>33198</v>
          </cell>
          <cell r="B1020">
            <v>853.76</v>
          </cell>
          <cell r="C1020">
            <v>882.83</v>
          </cell>
          <cell r="D1020">
            <v>90.11</v>
          </cell>
          <cell r="E1020">
            <v>93.54</v>
          </cell>
          <cell r="F1020">
            <v>93.09</v>
          </cell>
          <cell r="G1020">
            <v>86.66</v>
          </cell>
          <cell r="H1020">
            <v>920.19</v>
          </cell>
          <cell r="I1020">
            <v>90.33</v>
          </cell>
        </row>
        <row r="1021">
          <cell r="A1021">
            <v>33199</v>
          </cell>
          <cell r="B1021">
            <v>857.81</v>
          </cell>
          <cell r="C1021">
            <v>889.89</v>
          </cell>
          <cell r="D1021">
            <v>90.37</v>
          </cell>
          <cell r="E1021">
            <v>94.12</v>
          </cell>
          <cell r="F1021">
            <v>93.52</v>
          </cell>
          <cell r="G1021">
            <v>86.62</v>
          </cell>
          <cell r="H1021">
            <v>906.38</v>
          </cell>
          <cell r="I1021">
            <v>89.28</v>
          </cell>
        </row>
        <row r="1022">
          <cell r="A1022">
            <v>33200</v>
          </cell>
          <cell r="B1022">
            <v>865.11</v>
          </cell>
          <cell r="C1022">
            <v>888.42</v>
          </cell>
          <cell r="D1022">
            <v>91</v>
          </cell>
          <cell r="E1022">
            <v>93.97</v>
          </cell>
          <cell r="F1022">
            <v>93.27</v>
          </cell>
          <cell r="G1022">
            <v>88.02</v>
          </cell>
          <cell r="H1022">
            <v>892.94</v>
          </cell>
          <cell r="I1022">
            <v>88.18</v>
          </cell>
        </row>
        <row r="1023">
          <cell r="A1023">
            <v>33203</v>
          </cell>
          <cell r="B1023">
            <v>854.13</v>
          </cell>
          <cell r="C1023">
            <v>872.01</v>
          </cell>
          <cell r="D1023">
            <v>90.12</v>
          </cell>
          <cell r="E1023">
            <v>92.64</v>
          </cell>
          <cell r="F1023">
            <v>92.01</v>
          </cell>
          <cell r="G1023">
            <v>87.58</v>
          </cell>
          <cell r="H1023">
            <v>898.04</v>
          </cell>
          <cell r="I1023">
            <v>88.61</v>
          </cell>
        </row>
        <row r="1024">
          <cell r="A1024">
            <v>33204</v>
          </cell>
          <cell r="B1024">
            <v>848.87</v>
          </cell>
          <cell r="C1024">
            <v>863.28</v>
          </cell>
          <cell r="D1024">
            <v>89.72</v>
          </cell>
          <cell r="E1024">
            <v>91.91</v>
          </cell>
          <cell r="F1024">
            <v>91.3</v>
          </cell>
          <cell r="G1024">
            <v>87.52</v>
          </cell>
          <cell r="H1024">
            <v>891.49</v>
          </cell>
          <cell r="I1024">
            <v>87.97</v>
          </cell>
        </row>
        <row r="1025">
          <cell r="A1025">
            <v>33205</v>
          </cell>
          <cell r="B1025">
            <v>846.8</v>
          </cell>
          <cell r="C1025">
            <v>864.11</v>
          </cell>
          <cell r="D1025">
            <v>89.56</v>
          </cell>
          <cell r="E1025">
            <v>91.94</v>
          </cell>
          <cell r="F1025">
            <v>91.34</v>
          </cell>
          <cell r="G1025">
            <v>87.16</v>
          </cell>
          <cell r="H1025">
            <v>895.14</v>
          </cell>
          <cell r="I1025">
            <v>88.18</v>
          </cell>
        </row>
        <row r="1026">
          <cell r="A1026">
            <v>33206</v>
          </cell>
          <cell r="B1026">
            <v>849.38</v>
          </cell>
          <cell r="C1026">
            <v>869.21</v>
          </cell>
          <cell r="D1026">
            <v>89.87</v>
          </cell>
          <cell r="E1026">
            <v>92.41</v>
          </cell>
          <cell r="F1026">
            <v>91.92</v>
          </cell>
          <cell r="G1026">
            <v>87.31</v>
          </cell>
          <cell r="H1026">
            <v>906.53</v>
          </cell>
          <cell r="I1026">
            <v>89.62</v>
          </cell>
        </row>
        <row r="1027">
          <cell r="A1027">
            <v>33207</v>
          </cell>
          <cell r="B1027">
            <v>852.01</v>
          </cell>
          <cell r="C1027">
            <v>872.81</v>
          </cell>
          <cell r="D1027">
            <v>89.89</v>
          </cell>
          <cell r="E1027">
            <v>92.54</v>
          </cell>
          <cell r="F1027">
            <v>92.12</v>
          </cell>
          <cell r="G1027">
            <v>87.23</v>
          </cell>
          <cell r="H1027">
            <v>915.81</v>
          </cell>
          <cell r="I1027">
            <v>90.26</v>
          </cell>
        </row>
        <row r="1028">
          <cell r="A1028">
            <v>33210</v>
          </cell>
          <cell r="B1028">
            <v>863.45</v>
          </cell>
          <cell r="C1028">
            <v>891.1</v>
          </cell>
          <cell r="D1028">
            <v>91.25</v>
          </cell>
          <cell r="E1028">
            <v>94.36</v>
          </cell>
          <cell r="F1028">
            <v>94.06</v>
          </cell>
          <cell r="G1028">
            <v>88.12</v>
          </cell>
          <cell r="H1028">
            <v>937.92</v>
          </cell>
          <cell r="I1028">
            <v>92.27</v>
          </cell>
        </row>
        <row r="1029">
          <cell r="A1029">
            <v>33211</v>
          </cell>
          <cell r="B1029">
            <v>853.65</v>
          </cell>
          <cell r="C1029">
            <v>884.12</v>
          </cell>
          <cell r="D1029">
            <v>90.52</v>
          </cell>
          <cell r="E1029">
            <v>93.84</v>
          </cell>
          <cell r="F1029">
            <v>93.48</v>
          </cell>
          <cell r="G1029">
            <v>87.18</v>
          </cell>
          <cell r="H1029">
            <v>929.01</v>
          </cell>
          <cell r="I1029">
            <v>91.25</v>
          </cell>
        </row>
        <row r="1030">
          <cell r="A1030">
            <v>33212</v>
          </cell>
          <cell r="B1030">
            <v>859.53</v>
          </cell>
          <cell r="C1030">
            <v>893.1</v>
          </cell>
          <cell r="D1030">
            <v>91.07</v>
          </cell>
          <cell r="E1030">
            <v>94.79</v>
          </cell>
          <cell r="F1030">
            <v>94.31</v>
          </cell>
          <cell r="G1030">
            <v>87.34</v>
          </cell>
          <cell r="H1030">
            <v>924.45</v>
          </cell>
          <cell r="I1030">
            <v>90.84</v>
          </cell>
        </row>
        <row r="1031">
          <cell r="A1031">
            <v>33213</v>
          </cell>
          <cell r="B1031">
            <v>870.3</v>
          </cell>
          <cell r="C1031">
            <v>906.2</v>
          </cell>
          <cell r="D1031">
            <v>92.33</v>
          </cell>
          <cell r="E1031">
            <v>96.09</v>
          </cell>
          <cell r="F1031">
            <v>95.71</v>
          </cell>
          <cell r="G1031">
            <v>88.55</v>
          </cell>
          <cell r="H1031">
            <v>942.89</v>
          </cell>
          <cell r="I1031">
            <v>92.3</v>
          </cell>
        </row>
        <row r="1032">
          <cell r="A1032">
            <v>33214</v>
          </cell>
          <cell r="B1032">
            <v>873.46</v>
          </cell>
          <cell r="C1032">
            <v>911.41</v>
          </cell>
          <cell r="D1032">
            <v>92.85</v>
          </cell>
          <cell r="E1032">
            <v>96.74</v>
          </cell>
          <cell r="F1032">
            <v>96.33</v>
          </cell>
          <cell r="G1032">
            <v>88.94</v>
          </cell>
          <cell r="H1032">
            <v>948.13</v>
          </cell>
          <cell r="I1032">
            <v>92.72</v>
          </cell>
        </row>
        <row r="1033">
          <cell r="A1033">
            <v>33217</v>
          </cell>
          <cell r="B1033">
            <v>868.24</v>
          </cell>
          <cell r="C1033">
            <v>908.44</v>
          </cell>
          <cell r="D1033">
            <v>92.32</v>
          </cell>
          <cell r="E1033">
            <v>96.43</v>
          </cell>
          <cell r="F1033">
            <v>96.02</v>
          </cell>
          <cell r="G1033">
            <v>88.2</v>
          </cell>
          <cell r="H1033">
            <v>947.89</v>
          </cell>
          <cell r="I1033">
            <v>92.63</v>
          </cell>
        </row>
        <row r="1034">
          <cell r="A1034">
            <v>33218</v>
          </cell>
          <cell r="B1034">
            <v>863.7</v>
          </cell>
          <cell r="C1034">
            <v>904.26</v>
          </cell>
          <cell r="D1034">
            <v>91.88</v>
          </cell>
          <cell r="E1034">
            <v>95.99</v>
          </cell>
          <cell r="F1034">
            <v>95.52</v>
          </cell>
          <cell r="G1034">
            <v>87.75</v>
          </cell>
          <cell r="H1034">
            <v>940.65</v>
          </cell>
          <cell r="I1034">
            <v>92.05</v>
          </cell>
        </row>
        <row r="1035">
          <cell r="A1035">
            <v>33219</v>
          </cell>
          <cell r="B1035">
            <v>864.85</v>
          </cell>
          <cell r="C1035">
            <v>908.03</v>
          </cell>
          <cell r="D1035">
            <v>91.88</v>
          </cell>
          <cell r="E1035">
            <v>96.29</v>
          </cell>
          <cell r="F1035">
            <v>95.71</v>
          </cell>
          <cell r="G1035">
            <v>87.46</v>
          </cell>
          <cell r="H1035">
            <v>932.15</v>
          </cell>
          <cell r="I1035">
            <v>90.98</v>
          </cell>
        </row>
        <row r="1036">
          <cell r="A1036">
            <v>33220</v>
          </cell>
          <cell r="B1036">
            <v>869.6</v>
          </cell>
          <cell r="C1036">
            <v>911.65</v>
          </cell>
          <cell r="D1036">
            <v>92.39</v>
          </cell>
          <cell r="E1036">
            <v>96.69</v>
          </cell>
          <cell r="F1036">
            <v>96.11</v>
          </cell>
          <cell r="G1036">
            <v>88.07</v>
          </cell>
          <cell r="H1036">
            <v>940.16</v>
          </cell>
          <cell r="I1036">
            <v>91.69</v>
          </cell>
        </row>
        <row r="1037">
          <cell r="A1037">
            <v>33221</v>
          </cell>
          <cell r="B1037">
            <v>866.69</v>
          </cell>
          <cell r="C1037">
            <v>909.65</v>
          </cell>
          <cell r="D1037">
            <v>92.08</v>
          </cell>
          <cell r="E1037">
            <v>96.29</v>
          </cell>
          <cell r="F1037">
            <v>95.71</v>
          </cell>
          <cell r="G1037">
            <v>87.85</v>
          </cell>
          <cell r="H1037">
            <v>945.05</v>
          </cell>
          <cell r="I1037">
            <v>91.99</v>
          </cell>
        </row>
        <row r="1038">
          <cell r="A1038">
            <v>33224</v>
          </cell>
          <cell r="B1038">
            <v>855.12</v>
          </cell>
          <cell r="C1038">
            <v>892.49</v>
          </cell>
          <cell r="D1038">
            <v>90.86</v>
          </cell>
          <cell r="E1038">
            <v>94.51</v>
          </cell>
          <cell r="F1038">
            <v>94.03</v>
          </cell>
          <cell r="G1038">
            <v>87.2</v>
          </cell>
          <cell r="H1038">
            <v>935.15</v>
          </cell>
          <cell r="I1038">
            <v>91.12</v>
          </cell>
        </row>
        <row r="1039">
          <cell r="A1039">
            <v>33225</v>
          </cell>
          <cell r="B1039">
            <v>857.21</v>
          </cell>
          <cell r="C1039">
            <v>893.1</v>
          </cell>
          <cell r="D1039">
            <v>90.9</v>
          </cell>
          <cell r="E1039">
            <v>94.3</v>
          </cell>
          <cell r="F1039">
            <v>93.86</v>
          </cell>
          <cell r="G1039">
            <v>87.49</v>
          </cell>
          <cell r="H1039">
            <v>927.35</v>
          </cell>
          <cell r="I1039">
            <v>90.79</v>
          </cell>
        </row>
        <row r="1040">
          <cell r="A1040">
            <v>33226</v>
          </cell>
          <cell r="B1040">
            <v>854.12</v>
          </cell>
          <cell r="C1040">
            <v>888.7</v>
          </cell>
          <cell r="D1040">
            <v>90.77</v>
          </cell>
          <cell r="E1040">
            <v>93.91</v>
          </cell>
          <cell r="F1040">
            <v>93.49</v>
          </cell>
          <cell r="G1040">
            <v>87.62</v>
          </cell>
          <cell r="H1040">
            <v>927.98</v>
          </cell>
          <cell r="I1040">
            <v>90.66</v>
          </cell>
        </row>
        <row r="1041">
          <cell r="A1041">
            <v>33227</v>
          </cell>
          <cell r="B1041">
            <v>840.48</v>
          </cell>
          <cell r="C1041">
            <v>870.71</v>
          </cell>
          <cell r="D1041">
            <v>89.32</v>
          </cell>
          <cell r="E1041">
            <v>92.05</v>
          </cell>
          <cell r="F1041">
            <v>91.71</v>
          </cell>
          <cell r="G1041">
            <v>86.57</v>
          </cell>
          <cell r="H1041">
            <v>912.73</v>
          </cell>
          <cell r="I1041">
            <v>89.13</v>
          </cell>
        </row>
        <row r="1042">
          <cell r="A1042">
            <v>33228</v>
          </cell>
          <cell r="B1042">
            <v>847.34</v>
          </cell>
          <cell r="C1042">
            <v>872.92</v>
          </cell>
          <cell r="D1042">
            <v>89.83</v>
          </cell>
          <cell r="E1042">
            <v>92.24</v>
          </cell>
          <cell r="F1042">
            <v>91.89</v>
          </cell>
          <cell r="G1042">
            <v>87.4</v>
          </cell>
          <cell r="H1042">
            <v>906.28</v>
          </cell>
          <cell r="I1042">
            <v>88.6</v>
          </cell>
        </row>
        <row r="1043">
          <cell r="A1043">
            <v>33231</v>
          </cell>
          <cell r="B1043">
            <v>840.98</v>
          </cell>
          <cell r="C1043">
            <v>867.05</v>
          </cell>
          <cell r="D1043">
            <v>89.16</v>
          </cell>
          <cell r="E1043">
            <v>91.58</v>
          </cell>
          <cell r="F1043">
            <v>91.26</v>
          </cell>
          <cell r="G1043">
            <v>86.72</v>
          </cell>
          <cell r="H1043">
            <v>904.11</v>
          </cell>
          <cell r="I1043">
            <v>88.27</v>
          </cell>
        </row>
        <row r="1044">
          <cell r="A1044">
            <v>33232</v>
          </cell>
          <cell r="B1044">
            <v>845.26</v>
          </cell>
          <cell r="C1044">
            <v>871.47</v>
          </cell>
          <cell r="D1044">
            <v>89.6</v>
          </cell>
          <cell r="E1044">
            <v>92.05</v>
          </cell>
          <cell r="F1044">
            <v>91.71</v>
          </cell>
          <cell r="G1044">
            <v>87.14</v>
          </cell>
          <cell r="H1044">
            <v>904.93</v>
          </cell>
          <cell r="I1044">
            <v>88.49</v>
          </cell>
        </row>
        <row r="1045">
          <cell r="A1045">
            <v>33233</v>
          </cell>
          <cell r="B1045">
            <v>842.14</v>
          </cell>
          <cell r="C1045">
            <v>866.14</v>
          </cell>
          <cell r="D1045">
            <v>89.32</v>
          </cell>
          <cell r="E1045">
            <v>91.49</v>
          </cell>
          <cell r="F1045">
            <v>91.25</v>
          </cell>
          <cell r="G1045">
            <v>87.13</v>
          </cell>
          <cell r="H1045">
            <v>905.02</v>
          </cell>
          <cell r="I1045">
            <v>88.47</v>
          </cell>
        </row>
        <row r="1046">
          <cell r="A1046">
            <v>33234</v>
          </cell>
          <cell r="B1046">
            <v>845.15</v>
          </cell>
          <cell r="C1046">
            <v>866.16</v>
          </cell>
          <cell r="D1046">
            <v>89.45</v>
          </cell>
          <cell r="E1046">
            <v>91.36</v>
          </cell>
          <cell r="F1046">
            <v>91.13</v>
          </cell>
          <cell r="G1046">
            <v>87.54</v>
          </cell>
          <cell r="H1046">
            <v>910.03</v>
          </cell>
          <cell r="I1046">
            <v>89.18</v>
          </cell>
        </row>
        <row r="1047">
          <cell r="A1047">
            <v>33235</v>
          </cell>
          <cell r="B1047">
            <v>840.64</v>
          </cell>
          <cell r="C1047">
            <v>861.57</v>
          </cell>
          <cell r="D1047">
            <v>89.24</v>
          </cell>
          <cell r="E1047">
            <v>91.25</v>
          </cell>
          <cell r="F1047">
            <v>91.05</v>
          </cell>
          <cell r="G1047">
            <v>87.23</v>
          </cell>
          <cell r="H1047">
            <v>911.82</v>
          </cell>
          <cell r="I1047">
            <v>89.19</v>
          </cell>
        </row>
        <row r="1048">
          <cell r="A1048">
            <v>33238</v>
          </cell>
          <cell r="B1048">
            <v>835.34</v>
          </cell>
          <cell r="C1048">
            <v>858.72</v>
          </cell>
          <cell r="D1048">
            <v>88.91</v>
          </cell>
          <cell r="E1048">
            <v>90.97</v>
          </cell>
          <cell r="F1048">
            <v>90.78</v>
          </cell>
          <cell r="G1048">
            <v>86.84</v>
          </cell>
          <cell r="H1048">
            <v>911.08</v>
          </cell>
          <cell r="I1048">
            <v>89.11</v>
          </cell>
        </row>
        <row r="1049">
          <cell r="A1049">
            <v>33239</v>
          </cell>
          <cell r="B1049">
            <v>835.34</v>
          </cell>
          <cell r="C1049">
            <v>858.72</v>
          </cell>
          <cell r="D1049">
            <v>88.91</v>
          </cell>
          <cell r="E1049">
            <v>90.97</v>
          </cell>
          <cell r="F1049">
            <v>90.78</v>
          </cell>
          <cell r="G1049">
            <v>86.84</v>
          </cell>
          <cell r="H1049">
            <v>911.08</v>
          </cell>
          <cell r="I1049">
            <v>89.11</v>
          </cell>
        </row>
        <row r="1050">
          <cell r="A1050">
            <v>33240</v>
          </cell>
          <cell r="B1050">
            <v>829.47</v>
          </cell>
          <cell r="C1050">
            <v>851.35</v>
          </cell>
          <cell r="D1050">
            <v>88.19</v>
          </cell>
          <cell r="E1050">
            <v>89.97</v>
          </cell>
          <cell r="F1050">
            <v>89.82</v>
          </cell>
          <cell r="G1050">
            <v>86.4</v>
          </cell>
          <cell r="H1050">
            <v>880.41</v>
          </cell>
          <cell r="I1050">
            <v>86.63</v>
          </cell>
        </row>
        <row r="1051">
          <cell r="A1051">
            <v>33241</v>
          </cell>
          <cell r="B1051">
            <v>828.48</v>
          </cell>
          <cell r="C1051">
            <v>854.53</v>
          </cell>
          <cell r="D1051">
            <v>88.2</v>
          </cell>
          <cell r="E1051">
            <v>90.35</v>
          </cell>
          <cell r="F1051">
            <v>90.06</v>
          </cell>
          <cell r="G1051">
            <v>86.05</v>
          </cell>
          <cell r="H1051">
            <v>884.57</v>
          </cell>
          <cell r="I1051">
            <v>86.63</v>
          </cell>
        </row>
        <row r="1052">
          <cell r="A1052">
            <v>33242</v>
          </cell>
          <cell r="B1052">
            <v>834.03</v>
          </cell>
          <cell r="C1052">
            <v>864.27</v>
          </cell>
          <cell r="D1052">
            <v>88.78</v>
          </cell>
          <cell r="E1052">
            <v>91.2</v>
          </cell>
          <cell r="F1052">
            <v>90.81</v>
          </cell>
          <cell r="G1052">
            <v>86.34</v>
          </cell>
          <cell r="H1052">
            <v>880.44</v>
          </cell>
          <cell r="I1052">
            <v>86.33</v>
          </cell>
        </row>
        <row r="1053">
          <cell r="A1053">
            <v>33245</v>
          </cell>
          <cell r="B1053">
            <v>824.1</v>
          </cell>
          <cell r="C1053">
            <v>847.19</v>
          </cell>
          <cell r="D1053">
            <v>87.74</v>
          </cell>
          <cell r="E1053">
            <v>89.58</v>
          </cell>
          <cell r="F1053">
            <v>89.2</v>
          </cell>
          <cell r="G1053">
            <v>85.9</v>
          </cell>
          <cell r="H1053">
            <v>864.43</v>
          </cell>
          <cell r="I1053">
            <v>84.97</v>
          </cell>
        </row>
        <row r="1054">
          <cell r="A1054">
            <v>33246</v>
          </cell>
          <cell r="B1054">
            <v>820.32</v>
          </cell>
          <cell r="C1054">
            <v>842.12</v>
          </cell>
          <cell r="D1054">
            <v>87.21</v>
          </cell>
          <cell r="E1054">
            <v>88.99</v>
          </cell>
          <cell r="F1054">
            <v>88.58</v>
          </cell>
          <cell r="G1054">
            <v>85.43</v>
          </cell>
          <cell r="H1054">
            <v>857.15</v>
          </cell>
          <cell r="I1054">
            <v>84.07</v>
          </cell>
        </row>
        <row r="1055">
          <cell r="A1055">
            <v>33247</v>
          </cell>
          <cell r="B1055">
            <v>833.34</v>
          </cell>
          <cell r="C1055">
            <v>855.99</v>
          </cell>
          <cell r="D1055">
            <v>88.32</v>
          </cell>
          <cell r="E1055">
            <v>90.23</v>
          </cell>
          <cell r="F1055">
            <v>89.78</v>
          </cell>
          <cell r="G1055">
            <v>86.4</v>
          </cell>
          <cell r="H1055">
            <v>868.83</v>
          </cell>
          <cell r="I1055">
            <v>85.09</v>
          </cell>
        </row>
        <row r="1056">
          <cell r="A1056">
            <v>33248</v>
          </cell>
          <cell r="B1056">
            <v>823.51</v>
          </cell>
          <cell r="C1056">
            <v>846.31</v>
          </cell>
          <cell r="D1056">
            <v>87.23</v>
          </cell>
          <cell r="E1056">
            <v>89.02</v>
          </cell>
          <cell r="F1056">
            <v>88.66</v>
          </cell>
          <cell r="G1056">
            <v>85.42</v>
          </cell>
          <cell r="H1056">
            <v>868.09</v>
          </cell>
          <cell r="I1056">
            <v>85.1</v>
          </cell>
        </row>
        <row r="1057">
          <cell r="A1057">
            <v>33249</v>
          </cell>
          <cell r="B1057">
            <v>820.84</v>
          </cell>
          <cell r="C1057">
            <v>843.24</v>
          </cell>
          <cell r="D1057">
            <v>87.11</v>
          </cell>
          <cell r="E1057">
            <v>88.85</v>
          </cell>
          <cell r="F1057">
            <v>88.58</v>
          </cell>
          <cell r="G1057">
            <v>85.37</v>
          </cell>
          <cell r="H1057">
            <v>878.64</v>
          </cell>
          <cell r="I1057">
            <v>85.72</v>
          </cell>
        </row>
        <row r="1058">
          <cell r="A1058">
            <v>33252</v>
          </cell>
          <cell r="B1058">
            <v>807.06</v>
          </cell>
          <cell r="C1058">
            <v>818.5</v>
          </cell>
          <cell r="D1058">
            <v>85.53</v>
          </cell>
          <cell r="E1058">
            <v>86.39</v>
          </cell>
          <cell r="F1058">
            <v>86.24</v>
          </cell>
          <cell r="G1058">
            <v>84.67</v>
          </cell>
          <cell r="H1058">
            <v>866.63</v>
          </cell>
          <cell r="I1058">
            <v>84.86</v>
          </cell>
        </row>
        <row r="1059">
          <cell r="A1059">
            <v>33253</v>
          </cell>
          <cell r="B1059">
            <v>807.1</v>
          </cell>
          <cell r="C1059">
            <v>820.44</v>
          </cell>
          <cell r="D1059">
            <v>85.47</v>
          </cell>
          <cell r="E1059">
            <v>86.54</v>
          </cell>
          <cell r="F1059">
            <v>86.41</v>
          </cell>
          <cell r="G1059">
            <v>84.41</v>
          </cell>
          <cell r="H1059">
            <v>867.56</v>
          </cell>
          <cell r="I1059">
            <v>84.81</v>
          </cell>
        </row>
        <row r="1060">
          <cell r="A1060">
            <v>33254</v>
          </cell>
          <cell r="B1060">
            <v>806.49</v>
          </cell>
          <cell r="C1060">
            <v>821.34</v>
          </cell>
          <cell r="D1060">
            <v>85.2</v>
          </cell>
          <cell r="E1060">
            <v>86.41</v>
          </cell>
          <cell r="F1060">
            <v>86.32</v>
          </cell>
          <cell r="G1060">
            <v>83.99</v>
          </cell>
          <cell r="H1060">
            <v>875.4</v>
          </cell>
          <cell r="I1060">
            <v>85.54</v>
          </cell>
        </row>
        <row r="1061">
          <cell r="A1061">
            <v>33255</v>
          </cell>
          <cell r="B1061">
            <v>837.3</v>
          </cell>
          <cell r="C1061">
            <v>869.45</v>
          </cell>
          <cell r="D1061">
            <v>88.55</v>
          </cell>
          <cell r="E1061">
            <v>91.32</v>
          </cell>
          <cell r="F1061">
            <v>91.14</v>
          </cell>
          <cell r="G1061">
            <v>85.77</v>
          </cell>
          <cell r="H1061">
            <v>928.79</v>
          </cell>
          <cell r="I1061">
            <v>89.97</v>
          </cell>
        </row>
        <row r="1062">
          <cell r="A1062">
            <v>33256</v>
          </cell>
          <cell r="B1062">
            <v>831.79</v>
          </cell>
          <cell r="C1062">
            <v>862.65</v>
          </cell>
          <cell r="D1062">
            <v>88.21</v>
          </cell>
          <cell r="E1062">
            <v>90.77</v>
          </cell>
          <cell r="F1062">
            <v>90.57</v>
          </cell>
          <cell r="G1062">
            <v>85.64</v>
          </cell>
          <cell r="H1062">
            <v>925.03</v>
          </cell>
          <cell r="I1062">
            <v>89.86</v>
          </cell>
        </row>
        <row r="1063">
          <cell r="A1063">
            <v>33259</v>
          </cell>
          <cell r="B1063">
            <v>823.96</v>
          </cell>
          <cell r="C1063">
            <v>854.7</v>
          </cell>
          <cell r="D1063">
            <v>87.42</v>
          </cell>
          <cell r="E1063">
            <v>89.94</v>
          </cell>
          <cell r="F1063">
            <v>89.72</v>
          </cell>
          <cell r="G1063">
            <v>84.89</v>
          </cell>
          <cell r="H1063">
            <v>913.82</v>
          </cell>
          <cell r="I1063">
            <v>88.66</v>
          </cell>
        </row>
        <row r="1064">
          <cell r="A1064">
            <v>33260</v>
          </cell>
          <cell r="B1064">
            <v>821.96</v>
          </cell>
          <cell r="C1064">
            <v>848.71</v>
          </cell>
          <cell r="D1064">
            <v>86.92</v>
          </cell>
          <cell r="E1064">
            <v>89.11</v>
          </cell>
          <cell r="F1064">
            <v>89.03</v>
          </cell>
          <cell r="G1064">
            <v>84.73</v>
          </cell>
          <cell r="H1064">
            <v>919.7</v>
          </cell>
          <cell r="I1064">
            <v>89.16</v>
          </cell>
        </row>
        <row r="1065">
          <cell r="A1065">
            <v>33261</v>
          </cell>
          <cell r="B1065">
            <v>818.49</v>
          </cell>
          <cell r="C1065">
            <v>839.95</v>
          </cell>
          <cell r="D1065">
            <v>86.52</v>
          </cell>
          <cell r="E1065">
            <v>88.23</v>
          </cell>
          <cell r="F1065">
            <v>88.29</v>
          </cell>
          <cell r="G1065">
            <v>84.81</v>
          </cell>
          <cell r="H1065">
            <v>920.68</v>
          </cell>
          <cell r="I1065">
            <v>89.17</v>
          </cell>
        </row>
        <row r="1066">
          <cell r="A1066">
            <v>33262</v>
          </cell>
          <cell r="B1066">
            <v>829.81</v>
          </cell>
          <cell r="C1066">
            <v>852.09</v>
          </cell>
          <cell r="D1066">
            <v>87.54</v>
          </cell>
          <cell r="E1066">
            <v>89.3</v>
          </cell>
          <cell r="F1066">
            <v>89.45</v>
          </cell>
          <cell r="G1066">
            <v>85.77</v>
          </cell>
          <cell r="H1066">
            <v>927.95</v>
          </cell>
          <cell r="I1066">
            <v>89.96</v>
          </cell>
        </row>
        <row r="1067">
          <cell r="A1067">
            <v>33263</v>
          </cell>
          <cell r="B1067">
            <v>834.83</v>
          </cell>
          <cell r="C1067">
            <v>857.71</v>
          </cell>
          <cell r="D1067">
            <v>88.04</v>
          </cell>
          <cell r="E1067">
            <v>89.81</v>
          </cell>
          <cell r="F1067">
            <v>90</v>
          </cell>
          <cell r="G1067">
            <v>86.27</v>
          </cell>
          <cell r="H1067">
            <v>937.95</v>
          </cell>
          <cell r="I1067">
            <v>90.73</v>
          </cell>
        </row>
        <row r="1068">
          <cell r="A1068">
            <v>33266</v>
          </cell>
          <cell r="B1068">
            <v>838.74</v>
          </cell>
          <cell r="C1068">
            <v>858.5</v>
          </cell>
          <cell r="D1068">
            <v>88.43</v>
          </cell>
          <cell r="E1068">
            <v>89.93</v>
          </cell>
          <cell r="F1068">
            <v>90.27</v>
          </cell>
          <cell r="G1068">
            <v>86.92</v>
          </cell>
          <cell r="H1068">
            <v>964.04</v>
          </cell>
          <cell r="I1068">
            <v>92.86</v>
          </cell>
        </row>
        <row r="1069">
          <cell r="A1069">
            <v>33267</v>
          </cell>
          <cell r="B1069">
            <v>837.04</v>
          </cell>
          <cell r="C1069">
            <v>853.54</v>
          </cell>
          <cell r="D1069">
            <v>88.18</v>
          </cell>
          <cell r="E1069">
            <v>89.52</v>
          </cell>
          <cell r="F1069">
            <v>89.93</v>
          </cell>
          <cell r="G1069">
            <v>86.83</v>
          </cell>
          <cell r="H1069">
            <v>969.85</v>
          </cell>
          <cell r="I1069">
            <v>93.4</v>
          </cell>
        </row>
        <row r="1070">
          <cell r="A1070">
            <v>33268</v>
          </cell>
          <cell r="B1070">
            <v>852.27</v>
          </cell>
          <cell r="C1070">
            <v>867.21</v>
          </cell>
          <cell r="D1070">
            <v>89.58</v>
          </cell>
          <cell r="E1070">
            <v>90.87</v>
          </cell>
          <cell r="F1070">
            <v>91.21</v>
          </cell>
          <cell r="G1070">
            <v>88.29</v>
          </cell>
          <cell r="H1070">
            <v>974.73</v>
          </cell>
          <cell r="I1070">
            <v>93.89</v>
          </cell>
        </row>
        <row r="1071">
          <cell r="A1071">
            <v>33269</v>
          </cell>
          <cell r="B1071">
            <v>854.56</v>
          </cell>
          <cell r="C1071">
            <v>871.77</v>
          </cell>
          <cell r="D1071">
            <v>89.88</v>
          </cell>
          <cell r="E1071">
            <v>91.37</v>
          </cell>
          <cell r="F1071">
            <v>91.63</v>
          </cell>
          <cell r="G1071">
            <v>88.39</v>
          </cell>
          <cell r="H1071">
            <v>976.65</v>
          </cell>
          <cell r="I1071">
            <v>94.11</v>
          </cell>
        </row>
        <row r="1072">
          <cell r="A1072">
            <v>33270</v>
          </cell>
          <cell r="B1072">
            <v>853.71</v>
          </cell>
          <cell r="C1072">
            <v>871.68</v>
          </cell>
          <cell r="D1072">
            <v>89.89</v>
          </cell>
          <cell r="E1072">
            <v>91.45</v>
          </cell>
          <cell r="F1072">
            <v>91.76</v>
          </cell>
          <cell r="G1072">
            <v>88.33</v>
          </cell>
          <cell r="H1072">
            <v>984.8</v>
          </cell>
          <cell r="I1072">
            <v>94.69</v>
          </cell>
        </row>
        <row r="1073">
          <cell r="A1073">
            <v>33273</v>
          </cell>
          <cell r="B1073">
            <v>856.78</v>
          </cell>
          <cell r="C1073">
            <v>877.61</v>
          </cell>
          <cell r="D1073">
            <v>90.47</v>
          </cell>
          <cell r="E1073">
            <v>92.16</v>
          </cell>
          <cell r="F1073">
            <v>92.53</v>
          </cell>
          <cell r="G1073">
            <v>88.77</v>
          </cell>
          <cell r="H1073">
            <v>993.75</v>
          </cell>
          <cell r="I1073">
            <v>95.64</v>
          </cell>
        </row>
        <row r="1074">
          <cell r="A1074">
            <v>33274</v>
          </cell>
          <cell r="B1074">
            <v>866.04</v>
          </cell>
          <cell r="C1074">
            <v>883.56</v>
          </cell>
          <cell r="D1074">
            <v>91.47</v>
          </cell>
          <cell r="E1074">
            <v>93.03</v>
          </cell>
          <cell r="F1074">
            <v>93.34</v>
          </cell>
          <cell r="G1074">
            <v>89.9</v>
          </cell>
          <cell r="H1074">
            <v>995.08</v>
          </cell>
          <cell r="I1074">
            <v>95.64</v>
          </cell>
        </row>
        <row r="1075">
          <cell r="A1075">
            <v>33275</v>
          </cell>
          <cell r="B1075">
            <v>864.68</v>
          </cell>
          <cell r="C1075">
            <v>880.79</v>
          </cell>
          <cell r="D1075">
            <v>91.33</v>
          </cell>
          <cell r="E1075">
            <v>92.88</v>
          </cell>
          <cell r="F1075">
            <v>93.19</v>
          </cell>
          <cell r="G1075">
            <v>89.77</v>
          </cell>
          <cell r="H1075">
            <v>991.76</v>
          </cell>
          <cell r="I1075">
            <v>95.53</v>
          </cell>
        </row>
        <row r="1076">
          <cell r="A1076">
            <v>33276</v>
          </cell>
          <cell r="B1076">
            <v>878.42</v>
          </cell>
          <cell r="C1076">
            <v>889.81</v>
          </cell>
          <cell r="D1076">
            <v>92.55</v>
          </cell>
          <cell r="E1076">
            <v>93.81</v>
          </cell>
          <cell r="F1076">
            <v>94.02</v>
          </cell>
          <cell r="G1076">
            <v>91.29</v>
          </cell>
          <cell r="H1076">
            <v>984.74</v>
          </cell>
          <cell r="I1076">
            <v>95.28</v>
          </cell>
        </row>
        <row r="1077">
          <cell r="A1077">
            <v>33277</v>
          </cell>
          <cell r="B1077">
            <v>883.67</v>
          </cell>
          <cell r="C1077">
            <v>899.59</v>
          </cell>
          <cell r="D1077">
            <v>93.07</v>
          </cell>
          <cell r="E1077">
            <v>94.73</v>
          </cell>
          <cell r="F1077">
            <v>94.93</v>
          </cell>
          <cell r="G1077">
            <v>91.41</v>
          </cell>
          <cell r="H1077">
            <v>1000.8</v>
          </cell>
          <cell r="I1077">
            <v>96.44</v>
          </cell>
        </row>
        <row r="1078">
          <cell r="A1078">
            <v>33280</v>
          </cell>
          <cell r="B1078">
            <v>898.77</v>
          </cell>
          <cell r="C1078">
            <v>914.85</v>
          </cell>
          <cell r="D1078">
            <v>94.53</v>
          </cell>
          <cell r="E1078">
            <v>96.13</v>
          </cell>
          <cell r="F1078">
            <v>96.36</v>
          </cell>
          <cell r="G1078">
            <v>92.93</v>
          </cell>
          <cell r="H1078">
            <v>1001.9</v>
          </cell>
          <cell r="I1078">
            <v>96.88</v>
          </cell>
        </row>
        <row r="1079">
          <cell r="A1079">
            <v>33281</v>
          </cell>
          <cell r="B1079">
            <v>891.33</v>
          </cell>
          <cell r="C1079">
            <v>908.94</v>
          </cell>
          <cell r="D1079">
            <v>93.99</v>
          </cell>
          <cell r="E1079">
            <v>95.55</v>
          </cell>
          <cell r="F1079">
            <v>95.82</v>
          </cell>
          <cell r="G1079">
            <v>92.43</v>
          </cell>
          <cell r="H1079">
            <v>1000.32</v>
          </cell>
          <cell r="I1079">
            <v>96.73</v>
          </cell>
        </row>
        <row r="1080">
          <cell r="A1080">
            <v>33282</v>
          </cell>
          <cell r="B1080">
            <v>896.24</v>
          </cell>
          <cell r="C1080">
            <v>916.72</v>
          </cell>
          <cell r="D1080">
            <v>94.55</v>
          </cell>
          <cell r="E1080">
            <v>96.22</v>
          </cell>
          <cell r="F1080">
            <v>96.43</v>
          </cell>
          <cell r="G1080">
            <v>92.88</v>
          </cell>
          <cell r="H1080">
            <v>995.65</v>
          </cell>
          <cell r="I1080">
            <v>96.35</v>
          </cell>
        </row>
        <row r="1081">
          <cell r="A1081">
            <v>33283</v>
          </cell>
          <cell r="B1081">
            <v>900.84</v>
          </cell>
          <cell r="C1081">
            <v>922.72</v>
          </cell>
          <cell r="D1081">
            <v>95.5</v>
          </cell>
          <cell r="E1081">
            <v>97.05</v>
          </cell>
          <cell r="F1081">
            <v>97.21</v>
          </cell>
          <cell r="G1081">
            <v>93.94</v>
          </cell>
          <cell r="H1081">
            <v>1000.13</v>
          </cell>
          <cell r="I1081">
            <v>96.93</v>
          </cell>
        </row>
        <row r="1082">
          <cell r="A1082">
            <v>33284</v>
          </cell>
          <cell r="B1082">
            <v>908.17</v>
          </cell>
          <cell r="C1082">
            <v>934.79</v>
          </cell>
          <cell r="D1082">
            <v>96.5</v>
          </cell>
          <cell r="E1082">
            <v>98.52</v>
          </cell>
          <cell r="F1082">
            <v>98.71</v>
          </cell>
          <cell r="G1082">
            <v>94.48</v>
          </cell>
          <cell r="H1082">
            <v>1022.86</v>
          </cell>
          <cell r="I1082">
            <v>98.86</v>
          </cell>
        </row>
        <row r="1083">
          <cell r="A1083">
            <v>33287</v>
          </cell>
          <cell r="B1083">
            <v>919.54</v>
          </cell>
          <cell r="C1083">
            <v>950.97</v>
          </cell>
          <cell r="D1083">
            <v>97.82</v>
          </cell>
          <cell r="E1083">
            <v>100.22</v>
          </cell>
          <cell r="F1083">
            <v>100.31</v>
          </cell>
          <cell r="G1083">
            <v>95.42</v>
          </cell>
          <cell r="H1083">
            <v>1039.6300000000001</v>
          </cell>
          <cell r="I1083">
            <v>100.12</v>
          </cell>
        </row>
        <row r="1084">
          <cell r="A1084">
            <v>33288</v>
          </cell>
          <cell r="B1084">
            <v>920.51</v>
          </cell>
          <cell r="C1084">
            <v>957.05</v>
          </cell>
          <cell r="D1084">
            <v>98.04</v>
          </cell>
          <cell r="E1084">
            <v>100.84</v>
          </cell>
          <cell r="F1084">
            <v>100.98</v>
          </cell>
          <cell r="G1084">
            <v>95.24</v>
          </cell>
          <cell r="H1084">
            <v>1050.07</v>
          </cell>
          <cell r="I1084">
            <v>101.24</v>
          </cell>
        </row>
        <row r="1085">
          <cell r="A1085">
            <v>33289</v>
          </cell>
          <cell r="B1085">
            <v>913.51</v>
          </cell>
          <cell r="C1085">
            <v>946.46</v>
          </cell>
          <cell r="D1085">
            <v>97.29</v>
          </cell>
          <cell r="E1085">
            <v>99.89</v>
          </cell>
          <cell r="F1085">
            <v>100.04</v>
          </cell>
          <cell r="G1085">
            <v>94.67</v>
          </cell>
          <cell r="H1085">
            <v>1049.43</v>
          </cell>
          <cell r="I1085">
            <v>101.12</v>
          </cell>
        </row>
        <row r="1086">
          <cell r="A1086">
            <v>33290</v>
          </cell>
          <cell r="B1086">
            <v>918.24</v>
          </cell>
          <cell r="C1086">
            <v>948.9</v>
          </cell>
          <cell r="D1086">
            <v>97.83</v>
          </cell>
          <cell r="E1086">
            <v>100.25</v>
          </cell>
          <cell r="F1086">
            <v>100.4</v>
          </cell>
          <cell r="G1086">
            <v>95.41</v>
          </cell>
          <cell r="H1086">
            <v>1049.4100000000001</v>
          </cell>
          <cell r="I1086">
            <v>101.22</v>
          </cell>
        </row>
        <row r="1087">
          <cell r="A1087">
            <v>33291</v>
          </cell>
          <cell r="B1087">
            <v>924.66</v>
          </cell>
          <cell r="C1087">
            <v>959.84</v>
          </cell>
          <cell r="D1087">
            <v>98.79</v>
          </cell>
          <cell r="E1087">
            <v>101.57</v>
          </cell>
          <cell r="F1087">
            <v>101.73</v>
          </cell>
          <cell r="G1087">
            <v>96</v>
          </cell>
          <cell r="H1087">
            <v>1064.8499999999999</v>
          </cell>
          <cell r="I1087">
            <v>102.56</v>
          </cell>
        </row>
        <row r="1088">
          <cell r="A1088">
            <v>33294</v>
          </cell>
          <cell r="B1088">
            <v>935.89</v>
          </cell>
          <cell r="C1088">
            <v>971.27</v>
          </cell>
          <cell r="D1088">
            <v>99.99</v>
          </cell>
          <cell r="E1088">
            <v>102.77</v>
          </cell>
          <cell r="F1088">
            <v>102.99</v>
          </cell>
          <cell r="G1088">
            <v>97.2</v>
          </cell>
          <cell r="H1088">
            <v>1087.8800000000001</v>
          </cell>
          <cell r="I1088">
            <v>104.41</v>
          </cell>
        </row>
        <row r="1089">
          <cell r="A1089">
            <v>33295</v>
          </cell>
          <cell r="B1089">
            <v>921.84</v>
          </cell>
          <cell r="C1089">
            <v>953.01</v>
          </cell>
          <cell r="D1089">
            <v>98.83</v>
          </cell>
          <cell r="E1089">
            <v>101.2</v>
          </cell>
          <cell r="F1089">
            <v>101.53</v>
          </cell>
          <cell r="G1089">
            <v>96.45</v>
          </cell>
          <cell r="H1089">
            <v>1079.26</v>
          </cell>
          <cell r="I1089">
            <v>103.73</v>
          </cell>
        </row>
        <row r="1090">
          <cell r="A1090">
            <v>33296</v>
          </cell>
          <cell r="B1090">
            <v>926.37</v>
          </cell>
          <cell r="C1090">
            <v>956.15</v>
          </cell>
          <cell r="D1090">
            <v>99.23</v>
          </cell>
          <cell r="E1090">
            <v>101.35</v>
          </cell>
          <cell r="F1090">
            <v>101.63</v>
          </cell>
          <cell r="G1090">
            <v>97.11</v>
          </cell>
          <cell r="H1090">
            <v>1075.8800000000001</v>
          </cell>
          <cell r="I1090">
            <v>103.39</v>
          </cell>
        </row>
        <row r="1091">
          <cell r="A1091">
            <v>33297</v>
          </cell>
          <cell r="B1091">
            <v>936.23</v>
          </cell>
          <cell r="C1091">
            <v>959.23</v>
          </cell>
          <cell r="D1091">
            <v>100.13</v>
          </cell>
          <cell r="E1091">
            <v>101.81</v>
          </cell>
          <cell r="F1091">
            <v>102.09</v>
          </cell>
          <cell r="G1091">
            <v>98.45</v>
          </cell>
          <cell r="H1091">
            <v>1090.46</v>
          </cell>
          <cell r="I1091">
            <v>104.65</v>
          </cell>
        </row>
        <row r="1092">
          <cell r="A1092">
            <v>33298</v>
          </cell>
          <cell r="B1092">
            <v>931.84</v>
          </cell>
          <cell r="C1092">
            <v>948.8</v>
          </cell>
          <cell r="D1092">
            <v>99.7</v>
          </cell>
          <cell r="E1092">
            <v>100.78</v>
          </cell>
          <cell r="F1092">
            <v>101.16</v>
          </cell>
          <cell r="G1092">
            <v>98.62</v>
          </cell>
          <cell r="H1092">
            <v>1088.1400000000001</v>
          </cell>
          <cell r="I1092">
            <v>104.45</v>
          </cell>
        </row>
        <row r="1093">
          <cell r="A1093">
            <v>33301</v>
          </cell>
          <cell r="B1093">
            <v>934.66</v>
          </cell>
          <cell r="C1093">
            <v>956.15</v>
          </cell>
          <cell r="D1093">
            <v>100.16</v>
          </cell>
          <cell r="E1093">
            <v>101.54</v>
          </cell>
          <cell r="F1093">
            <v>101.97</v>
          </cell>
          <cell r="G1093">
            <v>98.79</v>
          </cell>
          <cell r="H1093">
            <v>1092.1199999999999</v>
          </cell>
          <cell r="I1093">
            <v>105.49</v>
          </cell>
        </row>
        <row r="1094">
          <cell r="A1094">
            <v>33302</v>
          </cell>
          <cell r="B1094">
            <v>946.41</v>
          </cell>
          <cell r="C1094">
            <v>963.97</v>
          </cell>
          <cell r="D1094">
            <v>101.38</v>
          </cell>
          <cell r="E1094">
            <v>102.54</v>
          </cell>
          <cell r="F1094">
            <v>102.95</v>
          </cell>
          <cell r="G1094">
            <v>100.23</v>
          </cell>
          <cell r="H1094">
            <v>1100.8599999999999</v>
          </cell>
          <cell r="I1094">
            <v>106.36</v>
          </cell>
        </row>
        <row r="1095">
          <cell r="A1095">
            <v>33303</v>
          </cell>
          <cell r="B1095">
            <v>961.62</v>
          </cell>
          <cell r="C1095">
            <v>982.18</v>
          </cell>
          <cell r="D1095">
            <v>102.85</v>
          </cell>
          <cell r="E1095">
            <v>104.29</v>
          </cell>
          <cell r="F1095">
            <v>104.59</v>
          </cell>
          <cell r="G1095">
            <v>101.4</v>
          </cell>
          <cell r="H1095">
            <v>1117.46</v>
          </cell>
          <cell r="I1095">
            <v>107.73</v>
          </cell>
        </row>
        <row r="1096">
          <cell r="A1096">
            <v>33304</v>
          </cell>
          <cell r="B1096">
            <v>959.7</v>
          </cell>
          <cell r="C1096">
            <v>983.63</v>
          </cell>
          <cell r="D1096">
            <v>102.8</v>
          </cell>
          <cell r="E1096">
            <v>104.58</v>
          </cell>
          <cell r="F1096">
            <v>104.92</v>
          </cell>
          <cell r="G1096">
            <v>101.01</v>
          </cell>
          <cell r="H1096">
            <v>1134.23</v>
          </cell>
          <cell r="I1096">
            <v>109.31</v>
          </cell>
        </row>
        <row r="1097">
          <cell r="A1097">
            <v>33305</v>
          </cell>
          <cell r="B1097">
            <v>969.79</v>
          </cell>
          <cell r="C1097">
            <v>990.7</v>
          </cell>
          <cell r="D1097">
            <v>103.73</v>
          </cell>
          <cell r="E1097">
            <v>105.46</v>
          </cell>
          <cell r="F1097">
            <v>105.77</v>
          </cell>
          <cell r="G1097">
            <v>102</v>
          </cell>
          <cell r="H1097">
            <v>1134.6600000000001</v>
          </cell>
          <cell r="I1097">
            <v>109.56</v>
          </cell>
        </row>
        <row r="1098">
          <cell r="A1098">
            <v>33308</v>
          </cell>
          <cell r="B1098">
            <v>964.86</v>
          </cell>
          <cell r="C1098">
            <v>979.89</v>
          </cell>
          <cell r="D1098">
            <v>103.37</v>
          </cell>
          <cell r="E1098">
            <v>104.64</v>
          </cell>
          <cell r="F1098">
            <v>105.02</v>
          </cell>
          <cell r="G1098">
            <v>102.1</v>
          </cell>
          <cell r="H1098">
            <v>1136.24</v>
          </cell>
          <cell r="I1098">
            <v>109.51</v>
          </cell>
        </row>
        <row r="1099">
          <cell r="A1099">
            <v>33309</v>
          </cell>
          <cell r="B1099">
            <v>963.99</v>
          </cell>
          <cell r="C1099">
            <v>980.11</v>
          </cell>
          <cell r="D1099">
            <v>103.28</v>
          </cell>
          <cell r="E1099">
            <v>104.56</v>
          </cell>
          <cell r="F1099">
            <v>104.85</v>
          </cell>
          <cell r="G1099">
            <v>101.99</v>
          </cell>
          <cell r="H1099">
            <v>1128.08</v>
          </cell>
          <cell r="I1099">
            <v>108.88</v>
          </cell>
        </row>
        <row r="1100">
          <cell r="A1100">
            <v>33310</v>
          </cell>
          <cell r="B1100">
            <v>956.87</v>
          </cell>
          <cell r="C1100">
            <v>969.17</v>
          </cell>
          <cell r="D1100">
            <v>102.82</v>
          </cell>
          <cell r="E1100">
            <v>103.62</v>
          </cell>
          <cell r="F1100">
            <v>103.96</v>
          </cell>
          <cell r="G1100">
            <v>102.02</v>
          </cell>
          <cell r="H1100">
            <v>1128.23</v>
          </cell>
          <cell r="I1100">
            <v>108.96</v>
          </cell>
        </row>
        <row r="1101">
          <cell r="A1101">
            <v>33311</v>
          </cell>
          <cell r="B1101">
            <v>975.64</v>
          </cell>
          <cell r="C1101">
            <v>986.08</v>
          </cell>
          <cell r="D1101">
            <v>104.48</v>
          </cell>
          <cell r="E1101">
            <v>105.05</v>
          </cell>
          <cell r="F1101">
            <v>105.38</v>
          </cell>
          <cell r="G1101">
            <v>103.92</v>
          </cell>
          <cell r="H1101">
            <v>1133.77</v>
          </cell>
          <cell r="I1101">
            <v>109.48</v>
          </cell>
        </row>
        <row r="1102">
          <cell r="A1102">
            <v>33312</v>
          </cell>
          <cell r="B1102">
            <v>970.99</v>
          </cell>
          <cell r="C1102">
            <v>982.29</v>
          </cell>
          <cell r="D1102">
            <v>104.13</v>
          </cell>
          <cell r="E1102">
            <v>104.83</v>
          </cell>
          <cell r="F1102">
            <v>105.21</v>
          </cell>
          <cell r="G1102">
            <v>103.43</v>
          </cell>
          <cell r="H1102">
            <v>1139.25</v>
          </cell>
          <cell r="I1102">
            <v>109.84</v>
          </cell>
        </row>
        <row r="1103">
          <cell r="A1103">
            <v>33315</v>
          </cell>
          <cell r="B1103">
            <v>970.59</v>
          </cell>
          <cell r="C1103">
            <v>978.94</v>
          </cell>
          <cell r="D1103">
            <v>104.13</v>
          </cell>
          <cell r="E1103">
            <v>104.62</v>
          </cell>
          <cell r="F1103">
            <v>105.06</v>
          </cell>
          <cell r="G1103">
            <v>103.64</v>
          </cell>
          <cell r="H1103">
            <v>1146.96</v>
          </cell>
          <cell r="I1103">
            <v>110.36</v>
          </cell>
        </row>
        <row r="1104">
          <cell r="A1104">
            <v>33316</v>
          </cell>
          <cell r="B1104">
            <v>960.62</v>
          </cell>
          <cell r="C1104">
            <v>972.89</v>
          </cell>
          <cell r="D1104">
            <v>103.03</v>
          </cell>
          <cell r="E1104">
            <v>103.85</v>
          </cell>
          <cell r="F1104">
            <v>104.18</v>
          </cell>
          <cell r="G1104">
            <v>102.22</v>
          </cell>
          <cell r="H1104">
            <v>1127.1199999999999</v>
          </cell>
          <cell r="I1104">
            <v>108.99</v>
          </cell>
        </row>
        <row r="1105">
          <cell r="A1105">
            <v>33317</v>
          </cell>
          <cell r="B1105">
            <v>953.02</v>
          </cell>
          <cell r="C1105">
            <v>964.73</v>
          </cell>
          <cell r="D1105">
            <v>102.27</v>
          </cell>
          <cell r="E1105">
            <v>102.92</v>
          </cell>
          <cell r="F1105">
            <v>103.3</v>
          </cell>
          <cell r="G1105">
            <v>101.62</v>
          </cell>
          <cell r="H1105">
            <v>1121.96</v>
          </cell>
          <cell r="I1105">
            <v>108.45</v>
          </cell>
        </row>
        <row r="1106">
          <cell r="A1106">
            <v>33318</v>
          </cell>
          <cell r="B1106">
            <v>964.12</v>
          </cell>
          <cell r="C1106">
            <v>970.5</v>
          </cell>
          <cell r="D1106">
            <v>103.23</v>
          </cell>
          <cell r="E1106">
            <v>103.51</v>
          </cell>
          <cell r="F1106">
            <v>103.92</v>
          </cell>
          <cell r="G1106">
            <v>102.96</v>
          </cell>
          <cell r="H1106">
            <v>1125.5899999999999</v>
          </cell>
          <cell r="I1106">
            <v>108.77</v>
          </cell>
        </row>
        <row r="1107">
          <cell r="A1107">
            <v>33319</v>
          </cell>
          <cell r="B1107">
            <v>955.81</v>
          </cell>
          <cell r="C1107">
            <v>966.81</v>
          </cell>
          <cell r="D1107">
            <v>102.43</v>
          </cell>
          <cell r="E1107">
            <v>103.08</v>
          </cell>
          <cell r="F1107">
            <v>103.6</v>
          </cell>
          <cell r="G1107">
            <v>101.78</v>
          </cell>
          <cell r="H1107">
            <v>1122.32</v>
          </cell>
          <cell r="I1107">
            <v>108.25</v>
          </cell>
        </row>
        <row r="1108">
          <cell r="A1108">
            <v>33322</v>
          </cell>
          <cell r="B1108">
            <v>958.71</v>
          </cell>
          <cell r="C1108">
            <v>969.86</v>
          </cell>
          <cell r="D1108">
            <v>102.72</v>
          </cell>
          <cell r="E1108">
            <v>103.4</v>
          </cell>
          <cell r="F1108">
            <v>103.98</v>
          </cell>
          <cell r="G1108">
            <v>102.04</v>
          </cell>
          <cell r="H1108">
            <v>1123.6099999999999</v>
          </cell>
          <cell r="I1108">
            <v>108.49</v>
          </cell>
        </row>
        <row r="1109">
          <cell r="A1109">
            <v>33323</v>
          </cell>
          <cell r="B1109">
            <v>959.81</v>
          </cell>
          <cell r="C1109">
            <v>966.84</v>
          </cell>
          <cell r="D1109">
            <v>102.82</v>
          </cell>
          <cell r="E1109">
            <v>103.08</v>
          </cell>
          <cell r="F1109">
            <v>103.71</v>
          </cell>
          <cell r="G1109">
            <v>102.56</v>
          </cell>
          <cell r="H1109">
            <v>1121.93</v>
          </cell>
          <cell r="I1109">
            <v>108.36</v>
          </cell>
        </row>
        <row r="1110">
          <cell r="A1110">
            <v>33324</v>
          </cell>
          <cell r="B1110">
            <v>967.21</v>
          </cell>
          <cell r="C1110">
            <v>971.07</v>
          </cell>
          <cell r="D1110">
            <v>103.35</v>
          </cell>
          <cell r="E1110">
            <v>103.36</v>
          </cell>
          <cell r="F1110">
            <v>104.13</v>
          </cell>
          <cell r="G1110">
            <v>103.35</v>
          </cell>
          <cell r="H1110">
            <v>1126.95</v>
          </cell>
          <cell r="I1110">
            <v>108.84</v>
          </cell>
        </row>
        <row r="1111">
          <cell r="A1111">
            <v>33325</v>
          </cell>
          <cell r="B1111">
            <v>973.29</v>
          </cell>
          <cell r="C1111">
            <v>981.91</v>
          </cell>
          <cell r="D1111">
            <v>103.98</v>
          </cell>
          <cell r="E1111">
            <v>104.52</v>
          </cell>
          <cell r="F1111">
            <v>105.13</v>
          </cell>
          <cell r="G1111">
            <v>103.44</v>
          </cell>
          <cell r="H1111">
            <v>1135.22</v>
          </cell>
          <cell r="I1111">
            <v>109.63</v>
          </cell>
        </row>
        <row r="1112">
          <cell r="A1112">
            <v>33326</v>
          </cell>
          <cell r="B1112">
            <v>975.79</v>
          </cell>
          <cell r="C1112">
            <v>982.08</v>
          </cell>
          <cell r="D1112">
            <v>104.21</v>
          </cell>
          <cell r="E1112">
            <v>104.6</v>
          </cell>
          <cell r="F1112">
            <v>105.19</v>
          </cell>
          <cell r="G1112">
            <v>103.84</v>
          </cell>
          <cell r="H1112">
            <v>1128.6500000000001</v>
          </cell>
          <cell r="I1112">
            <v>108.92</v>
          </cell>
        </row>
        <row r="1113">
          <cell r="A1113">
            <v>33329</v>
          </cell>
          <cell r="B1113">
            <v>979.37</v>
          </cell>
          <cell r="C1113">
            <v>988.77</v>
          </cell>
          <cell r="D1113">
            <v>104.58</v>
          </cell>
          <cell r="E1113">
            <v>105.3</v>
          </cell>
          <cell r="F1113">
            <v>105.79</v>
          </cell>
          <cell r="G1113">
            <v>103.87</v>
          </cell>
          <cell r="H1113">
            <v>1127.99</v>
          </cell>
          <cell r="I1113">
            <v>108.85</v>
          </cell>
        </row>
        <row r="1114">
          <cell r="A1114">
            <v>33330</v>
          </cell>
          <cell r="B1114">
            <v>982.27</v>
          </cell>
          <cell r="C1114">
            <v>985.68</v>
          </cell>
          <cell r="D1114">
            <v>104.91</v>
          </cell>
          <cell r="E1114">
            <v>104.98</v>
          </cell>
          <cell r="F1114">
            <v>105.52</v>
          </cell>
          <cell r="G1114">
            <v>104.84</v>
          </cell>
          <cell r="H1114">
            <v>1135.3</v>
          </cell>
          <cell r="I1114">
            <v>109.39</v>
          </cell>
        </row>
        <row r="1115">
          <cell r="A1115">
            <v>33331</v>
          </cell>
          <cell r="B1115">
            <v>990.66</v>
          </cell>
          <cell r="C1115">
            <v>998.76</v>
          </cell>
          <cell r="D1115">
            <v>105.82</v>
          </cell>
          <cell r="E1115">
            <v>106.21</v>
          </cell>
          <cell r="F1115">
            <v>106.76</v>
          </cell>
          <cell r="G1115">
            <v>105.44</v>
          </cell>
          <cell r="H1115">
            <v>1152.46</v>
          </cell>
          <cell r="I1115">
            <v>110.75</v>
          </cell>
        </row>
        <row r="1116">
          <cell r="A1116">
            <v>33332</v>
          </cell>
          <cell r="B1116">
            <v>992.74</v>
          </cell>
          <cell r="C1116">
            <v>995.97</v>
          </cell>
          <cell r="D1116">
            <v>106.18</v>
          </cell>
          <cell r="E1116">
            <v>106.11</v>
          </cell>
          <cell r="F1116">
            <v>106.8</v>
          </cell>
          <cell r="G1116">
            <v>106.27</v>
          </cell>
          <cell r="H1116">
            <v>1156.5899999999999</v>
          </cell>
          <cell r="I1116">
            <v>111.44</v>
          </cell>
        </row>
        <row r="1117">
          <cell r="A1117">
            <v>33333</v>
          </cell>
          <cell r="B1117">
            <v>1000.27</v>
          </cell>
          <cell r="C1117">
            <v>1002.3</v>
          </cell>
          <cell r="D1117">
            <v>106.89</v>
          </cell>
          <cell r="E1117">
            <v>106.77</v>
          </cell>
          <cell r="F1117">
            <v>107.42</v>
          </cell>
          <cell r="G1117">
            <v>107.03</v>
          </cell>
          <cell r="H1117">
            <v>1151.83</v>
          </cell>
          <cell r="I1117">
            <v>111.35</v>
          </cell>
        </row>
        <row r="1118">
          <cell r="A1118">
            <v>33336</v>
          </cell>
          <cell r="B1118">
            <v>995.74</v>
          </cell>
          <cell r="C1118">
            <v>995.14</v>
          </cell>
          <cell r="D1118">
            <v>106.35</v>
          </cell>
          <cell r="E1118">
            <v>106.19</v>
          </cell>
          <cell r="F1118">
            <v>106.81</v>
          </cell>
          <cell r="G1118">
            <v>106.53</v>
          </cell>
          <cell r="H1118">
            <v>1137.95</v>
          </cell>
          <cell r="I1118">
            <v>110.3</v>
          </cell>
        </row>
        <row r="1119">
          <cell r="A1119">
            <v>33337</v>
          </cell>
          <cell r="B1119">
            <v>997.03</v>
          </cell>
          <cell r="C1119">
            <v>999.3</v>
          </cell>
          <cell r="D1119">
            <v>106.44</v>
          </cell>
          <cell r="E1119">
            <v>106.37</v>
          </cell>
          <cell r="F1119">
            <v>106.92</v>
          </cell>
          <cell r="G1119">
            <v>106.52</v>
          </cell>
          <cell r="H1119">
            <v>1124.8399999999999</v>
          </cell>
          <cell r="I1119">
            <v>109.07</v>
          </cell>
        </row>
        <row r="1120">
          <cell r="A1120">
            <v>33338</v>
          </cell>
          <cell r="B1120">
            <v>986.66</v>
          </cell>
          <cell r="C1120">
            <v>988.82</v>
          </cell>
          <cell r="D1120">
            <v>105.43</v>
          </cell>
          <cell r="E1120">
            <v>105.25</v>
          </cell>
          <cell r="F1120">
            <v>105.8</v>
          </cell>
          <cell r="G1120">
            <v>105.63</v>
          </cell>
          <cell r="H1120">
            <v>1113.29</v>
          </cell>
          <cell r="I1120">
            <v>108.13</v>
          </cell>
        </row>
        <row r="1121">
          <cell r="A1121">
            <v>33339</v>
          </cell>
          <cell r="B1121">
            <v>992.58</v>
          </cell>
          <cell r="C1121">
            <v>995.21</v>
          </cell>
          <cell r="D1121">
            <v>106.08</v>
          </cell>
          <cell r="E1121">
            <v>105.83</v>
          </cell>
          <cell r="F1121">
            <v>106.33</v>
          </cell>
          <cell r="G1121">
            <v>106.33</v>
          </cell>
          <cell r="H1121">
            <v>1112.5899999999999</v>
          </cell>
          <cell r="I1121">
            <v>108.17</v>
          </cell>
        </row>
        <row r="1122">
          <cell r="A1122">
            <v>33340</v>
          </cell>
          <cell r="B1122">
            <v>998.26</v>
          </cell>
          <cell r="C1122">
            <v>1001.18</v>
          </cell>
          <cell r="D1122">
            <v>106.4</v>
          </cell>
          <cell r="E1122">
            <v>106.28</v>
          </cell>
          <cell r="F1122">
            <v>106.9</v>
          </cell>
          <cell r="G1122">
            <v>106.52</v>
          </cell>
          <cell r="H1122">
            <v>1128.96</v>
          </cell>
          <cell r="I1122">
            <v>109.48</v>
          </cell>
        </row>
        <row r="1123">
          <cell r="A1123">
            <v>33343</v>
          </cell>
          <cell r="B1123">
            <v>1003.22</v>
          </cell>
          <cell r="C1123">
            <v>1006.18</v>
          </cell>
          <cell r="D1123">
            <v>106.52</v>
          </cell>
          <cell r="E1123">
            <v>106.59</v>
          </cell>
          <cell r="F1123">
            <v>107.06</v>
          </cell>
          <cell r="G1123">
            <v>106.46</v>
          </cell>
          <cell r="H1123">
            <v>1124.46</v>
          </cell>
          <cell r="I1123">
            <v>109.01</v>
          </cell>
        </row>
        <row r="1124">
          <cell r="A1124">
            <v>33344</v>
          </cell>
          <cell r="B1124">
            <v>995.34</v>
          </cell>
          <cell r="C1124">
            <v>1001.9</v>
          </cell>
          <cell r="D1124">
            <v>105.78</v>
          </cell>
          <cell r="E1124">
            <v>106.18</v>
          </cell>
          <cell r="F1124">
            <v>106.57</v>
          </cell>
          <cell r="G1124">
            <v>105.38</v>
          </cell>
          <cell r="H1124">
            <v>1116.3699999999999</v>
          </cell>
          <cell r="I1124">
            <v>108.29</v>
          </cell>
        </row>
        <row r="1125">
          <cell r="A1125">
            <v>33345</v>
          </cell>
          <cell r="B1125">
            <v>1005.15</v>
          </cell>
          <cell r="C1125">
            <v>1012.74</v>
          </cell>
          <cell r="D1125">
            <v>106.57</v>
          </cell>
          <cell r="E1125">
            <v>107.13</v>
          </cell>
          <cell r="F1125">
            <v>107.42</v>
          </cell>
          <cell r="G1125">
            <v>106.02</v>
          </cell>
          <cell r="H1125">
            <v>1116.99</v>
          </cell>
          <cell r="I1125">
            <v>108.41</v>
          </cell>
        </row>
        <row r="1126">
          <cell r="A1126">
            <v>33346</v>
          </cell>
          <cell r="B1126">
            <v>1006.9</v>
          </cell>
          <cell r="C1126">
            <v>1012.91</v>
          </cell>
          <cell r="D1126">
            <v>106.79</v>
          </cell>
          <cell r="E1126">
            <v>107.15</v>
          </cell>
          <cell r="F1126">
            <v>107.45</v>
          </cell>
          <cell r="G1126">
            <v>106.44</v>
          </cell>
          <cell r="H1126">
            <v>1122.6600000000001</v>
          </cell>
          <cell r="I1126">
            <v>108.98</v>
          </cell>
        </row>
        <row r="1127">
          <cell r="A1127">
            <v>33347</v>
          </cell>
          <cell r="B1127">
            <v>1000.77</v>
          </cell>
          <cell r="C1127">
            <v>1007.43</v>
          </cell>
          <cell r="D1127">
            <v>106.19</v>
          </cell>
          <cell r="E1127">
            <v>106.65</v>
          </cell>
          <cell r="F1127">
            <v>107.07</v>
          </cell>
          <cell r="G1127">
            <v>105.73</v>
          </cell>
          <cell r="H1127">
            <v>1116.56</v>
          </cell>
          <cell r="I1127">
            <v>108.42</v>
          </cell>
        </row>
        <row r="1128">
          <cell r="A1128">
            <v>33350</v>
          </cell>
          <cell r="B1128">
            <v>989.47</v>
          </cell>
          <cell r="C1128">
            <v>995.36</v>
          </cell>
          <cell r="D1128">
            <v>105.02</v>
          </cell>
          <cell r="E1128">
            <v>105.45</v>
          </cell>
          <cell r="F1128">
            <v>105.93</v>
          </cell>
          <cell r="G1128">
            <v>104.61</v>
          </cell>
          <cell r="H1128">
            <v>1111.5</v>
          </cell>
          <cell r="I1128">
            <v>107.83</v>
          </cell>
        </row>
        <row r="1129">
          <cell r="A1129">
            <v>33351</v>
          </cell>
          <cell r="B1129">
            <v>997.75</v>
          </cell>
          <cell r="C1129">
            <v>1004.69</v>
          </cell>
          <cell r="D1129">
            <v>105.5</v>
          </cell>
          <cell r="E1129">
            <v>106.06</v>
          </cell>
          <cell r="F1129">
            <v>106.48</v>
          </cell>
          <cell r="G1129">
            <v>104.95</v>
          </cell>
          <cell r="H1129">
            <v>1109.29</v>
          </cell>
          <cell r="I1129">
            <v>107.47</v>
          </cell>
        </row>
        <row r="1130">
          <cell r="A1130">
            <v>33352</v>
          </cell>
          <cell r="B1130">
            <v>994.4</v>
          </cell>
          <cell r="C1130">
            <v>1006.87</v>
          </cell>
          <cell r="D1130">
            <v>105.12</v>
          </cell>
          <cell r="E1130">
            <v>106.18</v>
          </cell>
          <cell r="F1130">
            <v>106.65</v>
          </cell>
          <cell r="G1130">
            <v>104.08</v>
          </cell>
          <cell r="H1130">
            <v>1113.3499999999999</v>
          </cell>
          <cell r="I1130">
            <v>107.71</v>
          </cell>
        </row>
        <row r="1131">
          <cell r="A1131">
            <v>33353</v>
          </cell>
          <cell r="B1131">
            <v>996.16</v>
          </cell>
          <cell r="C1131">
            <v>1013.64</v>
          </cell>
          <cell r="D1131">
            <v>105.16</v>
          </cell>
          <cell r="E1131">
            <v>106.65</v>
          </cell>
          <cell r="F1131">
            <v>106.92</v>
          </cell>
          <cell r="G1131">
            <v>103.69</v>
          </cell>
          <cell r="H1131">
            <v>1108.9100000000001</v>
          </cell>
          <cell r="I1131">
            <v>107.37</v>
          </cell>
        </row>
        <row r="1132">
          <cell r="A1132">
            <v>33354</v>
          </cell>
          <cell r="B1132">
            <v>981.45</v>
          </cell>
          <cell r="C1132">
            <v>998.46</v>
          </cell>
          <cell r="D1132">
            <v>103.58</v>
          </cell>
          <cell r="E1132">
            <v>105.15</v>
          </cell>
          <cell r="F1132">
            <v>105.4</v>
          </cell>
          <cell r="G1132">
            <v>102.03</v>
          </cell>
          <cell r="H1132">
            <v>1091.33</v>
          </cell>
          <cell r="I1132">
            <v>105.71</v>
          </cell>
        </row>
        <row r="1133">
          <cell r="A1133">
            <v>33357</v>
          </cell>
          <cell r="B1133">
            <v>996.36</v>
          </cell>
          <cell r="C1133">
            <v>1006.89</v>
          </cell>
          <cell r="D1133">
            <v>104.92</v>
          </cell>
          <cell r="E1133">
            <v>105.98</v>
          </cell>
          <cell r="F1133">
            <v>106.23</v>
          </cell>
          <cell r="G1133">
            <v>103.88</v>
          </cell>
          <cell r="H1133">
            <v>1096.8699999999999</v>
          </cell>
          <cell r="I1133">
            <v>106.39</v>
          </cell>
        </row>
        <row r="1134">
          <cell r="A1134">
            <v>33358</v>
          </cell>
          <cell r="B1134">
            <v>991.21</v>
          </cell>
          <cell r="C1134">
            <v>1002.08</v>
          </cell>
          <cell r="D1134">
            <v>104.66</v>
          </cell>
          <cell r="E1134">
            <v>105.61</v>
          </cell>
          <cell r="F1134">
            <v>105.88</v>
          </cell>
          <cell r="G1134">
            <v>103.73</v>
          </cell>
          <cell r="H1134">
            <v>1093.3599999999999</v>
          </cell>
          <cell r="I1134">
            <v>106.07</v>
          </cell>
        </row>
        <row r="1135">
          <cell r="A1135">
            <v>33359</v>
          </cell>
          <cell r="B1135">
            <v>992.97</v>
          </cell>
          <cell r="C1135">
            <v>1004.74</v>
          </cell>
          <cell r="D1135">
            <v>104.9</v>
          </cell>
          <cell r="E1135">
            <v>105.88</v>
          </cell>
          <cell r="F1135">
            <v>106.16</v>
          </cell>
          <cell r="G1135">
            <v>103.94</v>
          </cell>
          <cell r="H1135">
            <v>1099.6300000000001</v>
          </cell>
          <cell r="I1135">
            <v>106.63</v>
          </cell>
        </row>
        <row r="1136">
          <cell r="A1136">
            <v>33360</v>
          </cell>
          <cell r="B1136">
            <v>1006.19</v>
          </cell>
          <cell r="C1136">
            <v>1017.29</v>
          </cell>
          <cell r="D1136">
            <v>106.08</v>
          </cell>
          <cell r="E1136">
            <v>106.91</v>
          </cell>
          <cell r="F1136">
            <v>107.14</v>
          </cell>
          <cell r="G1136">
            <v>105.27</v>
          </cell>
          <cell r="H1136">
            <v>1101.51</v>
          </cell>
          <cell r="I1136">
            <v>106.77</v>
          </cell>
        </row>
        <row r="1137">
          <cell r="A1137">
            <v>33361</v>
          </cell>
          <cell r="B1137">
            <v>1003.71</v>
          </cell>
          <cell r="C1137">
            <v>1018.24</v>
          </cell>
          <cell r="D1137">
            <v>105.98</v>
          </cell>
          <cell r="E1137">
            <v>107.09</v>
          </cell>
          <cell r="F1137">
            <v>107.24</v>
          </cell>
          <cell r="G1137">
            <v>104.9</v>
          </cell>
          <cell r="H1137">
            <v>1104</v>
          </cell>
          <cell r="I1137">
            <v>107.05</v>
          </cell>
        </row>
        <row r="1138">
          <cell r="A1138">
            <v>33364</v>
          </cell>
          <cell r="B1138">
            <v>1004.57</v>
          </cell>
          <cell r="C1138">
            <v>1019.47</v>
          </cell>
          <cell r="D1138">
            <v>106.02</v>
          </cell>
          <cell r="E1138">
            <v>107.09</v>
          </cell>
          <cell r="F1138">
            <v>107.14</v>
          </cell>
          <cell r="G1138">
            <v>104.97</v>
          </cell>
          <cell r="H1138">
            <v>1095.94</v>
          </cell>
          <cell r="I1138">
            <v>106.55</v>
          </cell>
        </row>
        <row r="1139">
          <cell r="A1139">
            <v>33365</v>
          </cell>
          <cell r="B1139">
            <v>1008.16</v>
          </cell>
          <cell r="C1139">
            <v>1019.77</v>
          </cell>
          <cell r="D1139">
            <v>106.28</v>
          </cell>
          <cell r="E1139">
            <v>107.02</v>
          </cell>
          <cell r="F1139">
            <v>107.16</v>
          </cell>
          <cell r="G1139">
            <v>105.55</v>
          </cell>
          <cell r="H1139">
            <v>1103.29</v>
          </cell>
          <cell r="I1139">
            <v>107.42</v>
          </cell>
        </row>
        <row r="1140">
          <cell r="A1140">
            <v>33366</v>
          </cell>
          <cell r="B1140">
            <v>1002.73</v>
          </cell>
          <cell r="C1140">
            <v>1013.48</v>
          </cell>
          <cell r="D1140">
            <v>105.75</v>
          </cell>
          <cell r="E1140">
            <v>106.25</v>
          </cell>
          <cell r="F1140">
            <v>106.43</v>
          </cell>
          <cell r="G1140">
            <v>105.27</v>
          </cell>
          <cell r="H1140">
            <v>1099.3800000000001</v>
          </cell>
          <cell r="I1140">
            <v>107.29</v>
          </cell>
        </row>
        <row r="1141">
          <cell r="A1141">
            <v>33367</v>
          </cell>
          <cell r="B1141">
            <v>1006.95</v>
          </cell>
          <cell r="C1141">
            <v>1015.16</v>
          </cell>
          <cell r="D1141">
            <v>106.07</v>
          </cell>
          <cell r="E1141">
            <v>106.44</v>
          </cell>
          <cell r="F1141">
            <v>106.55</v>
          </cell>
          <cell r="G1141">
            <v>105.71</v>
          </cell>
          <cell r="H1141">
            <v>1099.3900000000001</v>
          </cell>
          <cell r="I1141">
            <v>107.32</v>
          </cell>
        </row>
        <row r="1142">
          <cell r="A1142">
            <v>33368</v>
          </cell>
          <cell r="B1142">
            <v>1012.44</v>
          </cell>
          <cell r="C1142">
            <v>1024.1500000000001</v>
          </cell>
          <cell r="D1142">
            <v>106.5</v>
          </cell>
          <cell r="E1142">
            <v>107.28</v>
          </cell>
          <cell r="F1142">
            <v>107.45</v>
          </cell>
          <cell r="G1142">
            <v>105.72</v>
          </cell>
          <cell r="H1142">
            <v>1106.76</v>
          </cell>
          <cell r="I1142">
            <v>108.3</v>
          </cell>
        </row>
        <row r="1143">
          <cell r="A1143">
            <v>33371</v>
          </cell>
          <cell r="B1143">
            <v>996.87</v>
          </cell>
          <cell r="C1143">
            <v>1015.48</v>
          </cell>
          <cell r="D1143">
            <v>105.17</v>
          </cell>
          <cell r="E1143">
            <v>106.56</v>
          </cell>
          <cell r="F1143">
            <v>106.72</v>
          </cell>
          <cell r="G1143">
            <v>103.81</v>
          </cell>
          <cell r="H1143">
            <v>1097.98</v>
          </cell>
          <cell r="I1143">
            <v>107.57</v>
          </cell>
        </row>
        <row r="1144">
          <cell r="A1144">
            <v>33372</v>
          </cell>
          <cell r="B1144">
            <v>993.01</v>
          </cell>
          <cell r="C1144">
            <v>1012.67</v>
          </cell>
          <cell r="D1144">
            <v>104.79</v>
          </cell>
          <cell r="E1144">
            <v>106.42</v>
          </cell>
          <cell r="F1144">
            <v>106.63</v>
          </cell>
          <cell r="G1144">
            <v>103.17</v>
          </cell>
          <cell r="H1144">
            <v>1095.99</v>
          </cell>
          <cell r="I1144">
            <v>107.6</v>
          </cell>
        </row>
        <row r="1145">
          <cell r="A1145">
            <v>33373</v>
          </cell>
          <cell r="B1145">
            <v>987.51</v>
          </cell>
          <cell r="C1145">
            <v>1004.96</v>
          </cell>
          <cell r="D1145">
            <v>104.31</v>
          </cell>
          <cell r="E1145">
            <v>105.72</v>
          </cell>
          <cell r="F1145">
            <v>105.95</v>
          </cell>
          <cell r="G1145">
            <v>102.91</v>
          </cell>
          <cell r="H1145">
            <v>1092.78</v>
          </cell>
          <cell r="I1145">
            <v>107.33</v>
          </cell>
        </row>
        <row r="1146">
          <cell r="A1146">
            <v>33374</v>
          </cell>
          <cell r="B1146">
            <v>991.67</v>
          </cell>
          <cell r="C1146">
            <v>1008.49</v>
          </cell>
          <cell r="D1146">
            <v>104.49</v>
          </cell>
          <cell r="E1146">
            <v>106</v>
          </cell>
          <cell r="F1146">
            <v>106.13</v>
          </cell>
          <cell r="G1146">
            <v>103</v>
          </cell>
          <cell r="H1146">
            <v>1090.6199999999999</v>
          </cell>
          <cell r="I1146">
            <v>106.93</v>
          </cell>
        </row>
        <row r="1147">
          <cell r="A1147">
            <v>33375</v>
          </cell>
          <cell r="B1147">
            <v>989.92</v>
          </cell>
          <cell r="C1147">
            <v>1004.86</v>
          </cell>
          <cell r="D1147">
            <v>104.28</v>
          </cell>
          <cell r="E1147">
            <v>105.69</v>
          </cell>
          <cell r="F1147">
            <v>105.94</v>
          </cell>
          <cell r="G1147">
            <v>102.9</v>
          </cell>
          <cell r="H1147">
            <v>1098.3900000000001</v>
          </cell>
          <cell r="I1147">
            <v>107.54</v>
          </cell>
        </row>
        <row r="1148">
          <cell r="A1148">
            <v>33378</v>
          </cell>
          <cell r="B1148">
            <v>995.11</v>
          </cell>
          <cell r="C1148">
            <v>1006.74</v>
          </cell>
          <cell r="D1148">
            <v>104.62</v>
          </cell>
          <cell r="E1148">
            <v>105.79</v>
          </cell>
          <cell r="F1148">
            <v>106</v>
          </cell>
          <cell r="G1148">
            <v>103.47</v>
          </cell>
          <cell r="H1148">
            <v>1100.9100000000001</v>
          </cell>
          <cell r="I1148">
            <v>107.76</v>
          </cell>
        </row>
        <row r="1149">
          <cell r="A1149">
            <v>33379</v>
          </cell>
          <cell r="B1149">
            <v>1004.93</v>
          </cell>
          <cell r="C1149">
            <v>1015.4</v>
          </cell>
          <cell r="D1149">
            <v>105.3</v>
          </cell>
          <cell r="E1149">
            <v>106.34</v>
          </cell>
          <cell r="F1149">
            <v>106.71</v>
          </cell>
          <cell r="G1149">
            <v>104.29</v>
          </cell>
          <cell r="H1149">
            <v>1132.8499999999999</v>
          </cell>
          <cell r="I1149">
            <v>110.21</v>
          </cell>
        </row>
        <row r="1150">
          <cell r="A1150">
            <v>33380</v>
          </cell>
          <cell r="B1150">
            <v>1005.02</v>
          </cell>
          <cell r="C1150">
            <v>1021.14</v>
          </cell>
          <cell r="D1150">
            <v>105.3</v>
          </cell>
          <cell r="E1150">
            <v>106.82</v>
          </cell>
          <cell r="F1150">
            <v>107.21</v>
          </cell>
          <cell r="G1150">
            <v>103.79</v>
          </cell>
          <cell r="H1150">
            <v>1129.26</v>
          </cell>
          <cell r="I1150">
            <v>110.03</v>
          </cell>
        </row>
        <row r="1151">
          <cell r="A1151">
            <v>33381</v>
          </cell>
          <cell r="B1151">
            <v>1007.7</v>
          </cell>
          <cell r="C1151">
            <v>1020.26</v>
          </cell>
          <cell r="D1151">
            <v>105.67</v>
          </cell>
          <cell r="E1151">
            <v>106.85</v>
          </cell>
          <cell r="F1151">
            <v>107.25</v>
          </cell>
          <cell r="G1151">
            <v>104.5</v>
          </cell>
          <cell r="H1151">
            <v>1128.03</v>
          </cell>
          <cell r="I1151">
            <v>109.91</v>
          </cell>
        </row>
        <row r="1152">
          <cell r="A1152">
            <v>33382</v>
          </cell>
          <cell r="B1152">
            <v>1003.64</v>
          </cell>
          <cell r="C1152">
            <v>1021.3</v>
          </cell>
          <cell r="D1152">
            <v>105.27</v>
          </cell>
          <cell r="E1152">
            <v>106.96</v>
          </cell>
          <cell r="F1152">
            <v>107.43</v>
          </cell>
          <cell r="G1152">
            <v>103.6</v>
          </cell>
          <cell r="H1152">
            <v>1140.1500000000001</v>
          </cell>
          <cell r="I1152">
            <v>110.93</v>
          </cell>
        </row>
        <row r="1153">
          <cell r="A1153">
            <v>33385</v>
          </cell>
          <cell r="B1153">
            <v>1006.09</v>
          </cell>
          <cell r="C1153">
            <v>1023.97</v>
          </cell>
          <cell r="D1153">
            <v>105.49</v>
          </cell>
          <cell r="E1153">
            <v>107.23</v>
          </cell>
          <cell r="F1153">
            <v>107.8</v>
          </cell>
          <cell r="G1153">
            <v>103.77</v>
          </cell>
          <cell r="H1153">
            <v>1154.2</v>
          </cell>
          <cell r="I1153">
            <v>112.08</v>
          </cell>
        </row>
        <row r="1154">
          <cell r="A1154">
            <v>33386</v>
          </cell>
          <cell r="B1154">
            <v>1012.55</v>
          </cell>
          <cell r="C1154">
            <v>1027.3399999999999</v>
          </cell>
          <cell r="D1154">
            <v>105.93</v>
          </cell>
          <cell r="E1154">
            <v>107.5</v>
          </cell>
          <cell r="F1154">
            <v>108.1</v>
          </cell>
          <cell r="G1154">
            <v>104.37</v>
          </cell>
          <cell r="H1154">
            <v>1158.31</v>
          </cell>
          <cell r="I1154">
            <v>112.37</v>
          </cell>
        </row>
        <row r="1155">
          <cell r="A1155">
            <v>33387</v>
          </cell>
          <cell r="B1155">
            <v>1014.8</v>
          </cell>
          <cell r="C1155">
            <v>1031.32</v>
          </cell>
          <cell r="D1155">
            <v>106.21</v>
          </cell>
          <cell r="E1155">
            <v>107.96</v>
          </cell>
          <cell r="F1155">
            <v>108.46</v>
          </cell>
          <cell r="G1155">
            <v>104.48</v>
          </cell>
          <cell r="H1155">
            <v>1168.1500000000001</v>
          </cell>
          <cell r="I1155">
            <v>113.1</v>
          </cell>
        </row>
        <row r="1156">
          <cell r="A1156">
            <v>33388</v>
          </cell>
          <cell r="B1156">
            <v>1016.49</v>
          </cell>
          <cell r="C1156">
            <v>1035.19</v>
          </cell>
          <cell r="D1156">
            <v>106.12</v>
          </cell>
          <cell r="E1156">
            <v>108.21</v>
          </cell>
          <cell r="F1156">
            <v>108.61</v>
          </cell>
          <cell r="G1156">
            <v>104.04</v>
          </cell>
          <cell r="H1156">
            <v>1161.96</v>
          </cell>
          <cell r="I1156">
            <v>112.56</v>
          </cell>
        </row>
        <row r="1157">
          <cell r="A1157">
            <v>33389</v>
          </cell>
          <cell r="B1157">
            <v>1024.68</v>
          </cell>
          <cell r="C1157">
            <v>1045.52</v>
          </cell>
          <cell r="D1157">
            <v>106.89</v>
          </cell>
          <cell r="E1157">
            <v>109.24</v>
          </cell>
          <cell r="F1157">
            <v>109.62</v>
          </cell>
          <cell r="G1157">
            <v>104.56</v>
          </cell>
          <cell r="H1157">
            <v>1165.53</v>
          </cell>
          <cell r="I1157">
            <v>112.94</v>
          </cell>
        </row>
        <row r="1158">
          <cell r="A1158">
            <v>33392</v>
          </cell>
          <cell r="B1158">
            <v>1032.53</v>
          </cell>
          <cell r="C1158">
            <v>1048.03</v>
          </cell>
          <cell r="D1158">
            <v>107.63</v>
          </cell>
          <cell r="E1158">
            <v>109.6</v>
          </cell>
          <cell r="F1158">
            <v>110.02</v>
          </cell>
          <cell r="G1158">
            <v>105.68</v>
          </cell>
          <cell r="H1158">
            <v>1180.48</v>
          </cell>
          <cell r="I1158">
            <v>114.37</v>
          </cell>
        </row>
        <row r="1159">
          <cell r="A1159">
            <v>33393</v>
          </cell>
          <cell r="B1159">
            <v>1028.17</v>
          </cell>
          <cell r="C1159">
            <v>1044.26</v>
          </cell>
          <cell r="D1159">
            <v>107.31</v>
          </cell>
          <cell r="E1159">
            <v>109.35</v>
          </cell>
          <cell r="F1159">
            <v>109.76</v>
          </cell>
          <cell r="G1159">
            <v>105.3</v>
          </cell>
          <cell r="H1159">
            <v>1181.73</v>
          </cell>
          <cell r="I1159">
            <v>114.57</v>
          </cell>
        </row>
        <row r="1160">
          <cell r="A1160">
            <v>33394</v>
          </cell>
          <cell r="B1160">
            <v>1034.3800000000001</v>
          </cell>
          <cell r="C1160">
            <v>1051.3</v>
          </cell>
          <cell r="D1160">
            <v>107.71</v>
          </cell>
          <cell r="E1160">
            <v>109.84</v>
          </cell>
          <cell r="F1160">
            <v>110.18</v>
          </cell>
          <cell r="G1160">
            <v>105.59</v>
          </cell>
          <cell r="H1160">
            <v>1181.99</v>
          </cell>
          <cell r="I1160">
            <v>114.49</v>
          </cell>
        </row>
        <row r="1161">
          <cell r="A1161">
            <v>33395</v>
          </cell>
          <cell r="B1161">
            <v>1030.4100000000001</v>
          </cell>
          <cell r="C1161">
            <v>1045.72</v>
          </cell>
          <cell r="D1161">
            <v>107.38</v>
          </cell>
          <cell r="E1161">
            <v>109.28</v>
          </cell>
          <cell r="F1161">
            <v>109.66</v>
          </cell>
          <cell r="G1161">
            <v>105.5</v>
          </cell>
          <cell r="H1161">
            <v>1181.98</v>
          </cell>
          <cell r="I1161">
            <v>114.75</v>
          </cell>
        </row>
        <row r="1162">
          <cell r="A1162">
            <v>33396</v>
          </cell>
          <cell r="B1162">
            <v>1025.1099999999999</v>
          </cell>
          <cell r="C1162">
            <v>1043.22</v>
          </cell>
          <cell r="D1162">
            <v>106.91</v>
          </cell>
          <cell r="E1162">
            <v>109.07</v>
          </cell>
          <cell r="F1162">
            <v>109.41</v>
          </cell>
          <cell r="G1162">
            <v>104.77</v>
          </cell>
          <cell r="H1162">
            <v>1176.73</v>
          </cell>
          <cell r="I1162">
            <v>114.39</v>
          </cell>
        </row>
        <row r="1163">
          <cell r="A1163">
            <v>33399</v>
          </cell>
          <cell r="B1163">
            <v>1024.67</v>
          </cell>
          <cell r="C1163">
            <v>1042.47</v>
          </cell>
          <cell r="D1163">
            <v>106.98</v>
          </cell>
          <cell r="E1163">
            <v>108.91</v>
          </cell>
          <cell r="F1163">
            <v>109.28</v>
          </cell>
          <cell r="G1163">
            <v>105.08</v>
          </cell>
          <cell r="H1163">
            <v>1178.69</v>
          </cell>
          <cell r="I1163">
            <v>114.39</v>
          </cell>
        </row>
        <row r="1164">
          <cell r="A1164">
            <v>33400</v>
          </cell>
          <cell r="B1164">
            <v>1033.78</v>
          </cell>
          <cell r="C1164">
            <v>1050</v>
          </cell>
          <cell r="D1164">
            <v>107.76</v>
          </cell>
          <cell r="E1164">
            <v>109.61</v>
          </cell>
          <cell r="F1164">
            <v>109.91</v>
          </cell>
          <cell r="G1164">
            <v>105.93</v>
          </cell>
          <cell r="H1164">
            <v>1178.3900000000001</v>
          </cell>
          <cell r="I1164">
            <v>114.25</v>
          </cell>
        </row>
        <row r="1165">
          <cell r="A1165">
            <v>33401</v>
          </cell>
          <cell r="B1165">
            <v>1023.62</v>
          </cell>
          <cell r="C1165">
            <v>1041.42</v>
          </cell>
          <cell r="D1165">
            <v>106.82</v>
          </cell>
          <cell r="E1165">
            <v>108.75</v>
          </cell>
          <cell r="F1165">
            <v>109.11</v>
          </cell>
          <cell r="G1165">
            <v>104.92</v>
          </cell>
          <cell r="H1165">
            <v>1184.43</v>
          </cell>
          <cell r="I1165">
            <v>114.54</v>
          </cell>
        </row>
        <row r="1166">
          <cell r="A1166">
            <v>33402</v>
          </cell>
          <cell r="B1166">
            <v>1021.52</v>
          </cell>
          <cell r="C1166">
            <v>1039.1099999999999</v>
          </cell>
          <cell r="D1166">
            <v>106.76</v>
          </cell>
          <cell r="E1166">
            <v>108.56</v>
          </cell>
          <cell r="F1166">
            <v>108.9</v>
          </cell>
          <cell r="G1166">
            <v>104.97</v>
          </cell>
          <cell r="H1166">
            <v>1181.0999999999999</v>
          </cell>
          <cell r="I1166">
            <v>114.44</v>
          </cell>
        </row>
        <row r="1167">
          <cell r="A1167">
            <v>33403</v>
          </cell>
          <cell r="B1167">
            <v>1028.7</v>
          </cell>
          <cell r="C1167">
            <v>1047.25</v>
          </cell>
          <cell r="D1167">
            <v>107.32</v>
          </cell>
          <cell r="E1167">
            <v>109.29</v>
          </cell>
          <cell r="F1167">
            <v>109.6</v>
          </cell>
          <cell r="G1167">
            <v>105.37</v>
          </cell>
          <cell r="H1167">
            <v>1180.26</v>
          </cell>
          <cell r="I1167">
            <v>114.39</v>
          </cell>
        </row>
        <row r="1168">
          <cell r="A1168">
            <v>33406</v>
          </cell>
          <cell r="B1168">
            <v>1022.71</v>
          </cell>
          <cell r="C1168">
            <v>1041.32</v>
          </cell>
          <cell r="D1168">
            <v>106.55</v>
          </cell>
          <cell r="E1168">
            <v>108.59</v>
          </cell>
          <cell r="F1168">
            <v>109</v>
          </cell>
          <cell r="G1168">
            <v>104.53</v>
          </cell>
          <cell r="H1168">
            <v>1182.3399999999999</v>
          </cell>
          <cell r="I1168">
            <v>114.56</v>
          </cell>
        </row>
        <row r="1169">
          <cell r="A1169">
            <v>33407</v>
          </cell>
          <cell r="B1169">
            <v>1020.88</v>
          </cell>
          <cell r="C1169">
            <v>1037.8900000000001</v>
          </cell>
          <cell r="D1169">
            <v>106.27</v>
          </cell>
          <cell r="E1169">
            <v>108.2</v>
          </cell>
          <cell r="F1169">
            <v>108.69</v>
          </cell>
          <cell r="G1169">
            <v>104.36</v>
          </cell>
          <cell r="H1169">
            <v>1187.9100000000001</v>
          </cell>
          <cell r="I1169">
            <v>115.09</v>
          </cell>
        </row>
        <row r="1170">
          <cell r="A1170">
            <v>33408</v>
          </cell>
          <cell r="B1170">
            <v>1012.02</v>
          </cell>
          <cell r="C1170">
            <v>1029.3599999999999</v>
          </cell>
          <cell r="D1170">
            <v>105.53</v>
          </cell>
          <cell r="E1170">
            <v>107.3</v>
          </cell>
          <cell r="F1170">
            <v>107.91</v>
          </cell>
          <cell r="G1170">
            <v>103.77</v>
          </cell>
          <cell r="H1170">
            <v>1193.05</v>
          </cell>
          <cell r="I1170">
            <v>115.6</v>
          </cell>
        </row>
        <row r="1171">
          <cell r="A1171">
            <v>33409</v>
          </cell>
          <cell r="B1171">
            <v>1007.2</v>
          </cell>
          <cell r="C1171">
            <v>1024.79</v>
          </cell>
          <cell r="D1171">
            <v>105.23</v>
          </cell>
          <cell r="E1171">
            <v>106.91</v>
          </cell>
          <cell r="F1171">
            <v>107.61</v>
          </cell>
          <cell r="G1171">
            <v>103.57</v>
          </cell>
          <cell r="H1171">
            <v>1196.28</v>
          </cell>
          <cell r="I1171">
            <v>115.68</v>
          </cell>
        </row>
        <row r="1172">
          <cell r="A1172">
            <v>33410</v>
          </cell>
          <cell r="B1172">
            <v>1013.73</v>
          </cell>
          <cell r="C1172">
            <v>1033.43</v>
          </cell>
          <cell r="D1172">
            <v>105.78</v>
          </cell>
          <cell r="E1172">
            <v>107.55</v>
          </cell>
          <cell r="F1172">
            <v>108.2</v>
          </cell>
          <cell r="G1172">
            <v>104.03</v>
          </cell>
          <cell r="H1172">
            <v>1198.3499999999999</v>
          </cell>
          <cell r="I1172">
            <v>116.04</v>
          </cell>
        </row>
        <row r="1173">
          <cell r="A1173">
            <v>33413</v>
          </cell>
          <cell r="B1173">
            <v>1000.5</v>
          </cell>
          <cell r="C1173">
            <v>1020.52</v>
          </cell>
          <cell r="D1173">
            <v>104.5</v>
          </cell>
          <cell r="E1173">
            <v>106.28</v>
          </cell>
          <cell r="F1173">
            <v>106.97</v>
          </cell>
          <cell r="G1173">
            <v>102.74</v>
          </cell>
          <cell r="H1173">
            <v>1194.03</v>
          </cell>
          <cell r="I1173">
            <v>115.51</v>
          </cell>
        </row>
        <row r="1174">
          <cell r="A1174">
            <v>33414</v>
          </cell>
          <cell r="B1174">
            <v>1000.81</v>
          </cell>
          <cell r="C1174">
            <v>1021.47</v>
          </cell>
          <cell r="D1174">
            <v>104.39</v>
          </cell>
          <cell r="E1174">
            <v>106.24</v>
          </cell>
          <cell r="F1174">
            <v>106.87</v>
          </cell>
          <cell r="G1174">
            <v>102.56</v>
          </cell>
          <cell r="H1174">
            <v>1187.5999999999999</v>
          </cell>
          <cell r="I1174">
            <v>114.86</v>
          </cell>
        </row>
        <row r="1175">
          <cell r="A1175">
            <v>33415</v>
          </cell>
          <cell r="B1175">
            <v>993.02</v>
          </cell>
          <cell r="C1175">
            <v>1014.97</v>
          </cell>
          <cell r="D1175">
            <v>103.64</v>
          </cell>
          <cell r="E1175">
            <v>105.68</v>
          </cell>
          <cell r="F1175">
            <v>106.35</v>
          </cell>
          <cell r="G1175">
            <v>101.63</v>
          </cell>
          <cell r="H1175">
            <v>1188.54</v>
          </cell>
          <cell r="I1175">
            <v>114.9</v>
          </cell>
        </row>
        <row r="1176">
          <cell r="A1176">
            <v>33416</v>
          </cell>
          <cell r="B1176">
            <v>995.91</v>
          </cell>
          <cell r="C1176">
            <v>1014.9</v>
          </cell>
          <cell r="D1176">
            <v>103.87</v>
          </cell>
          <cell r="E1176">
            <v>105.75</v>
          </cell>
          <cell r="F1176">
            <v>106.36</v>
          </cell>
          <cell r="G1176">
            <v>102.02</v>
          </cell>
          <cell r="H1176">
            <v>1187.42</v>
          </cell>
          <cell r="I1176">
            <v>114.87</v>
          </cell>
        </row>
        <row r="1177">
          <cell r="A1177">
            <v>33417</v>
          </cell>
          <cell r="B1177">
            <v>984.84</v>
          </cell>
          <cell r="C1177">
            <v>1003.15</v>
          </cell>
          <cell r="D1177">
            <v>102.92</v>
          </cell>
          <cell r="E1177">
            <v>104.55</v>
          </cell>
          <cell r="F1177">
            <v>105.37</v>
          </cell>
          <cell r="G1177">
            <v>101.32</v>
          </cell>
          <cell r="H1177">
            <v>1190.98</v>
          </cell>
          <cell r="I1177">
            <v>115.15</v>
          </cell>
        </row>
        <row r="1178">
          <cell r="A1178">
            <v>33420</v>
          </cell>
          <cell r="B1178">
            <v>990.56</v>
          </cell>
          <cell r="C1178">
            <v>1004.3</v>
          </cell>
          <cell r="D1178">
            <v>103.25</v>
          </cell>
          <cell r="E1178">
            <v>104.6</v>
          </cell>
          <cell r="F1178">
            <v>105.41</v>
          </cell>
          <cell r="G1178">
            <v>101.92</v>
          </cell>
          <cell r="H1178">
            <v>1187.44</v>
          </cell>
          <cell r="I1178">
            <v>114.71</v>
          </cell>
        </row>
        <row r="1179">
          <cell r="A1179">
            <v>33421</v>
          </cell>
          <cell r="B1179">
            <v>993.36</v>
          </cell>
          <cell r="C1179">
            <v>1001.04</v>
          </cell>
          <cell r="D1179">
            <v>103.46</v>
          </cell>
          <cell r="E1179">
            <v>104.22</v>
          </cell>
          <cell r="F1179">
            <v>105.17</v>
          </cell>
          <cell r="G1179">
            <v>102.73</v>
          </cell>
          <cell r="H1179">
            <v>1197.5</v>
          </cell>
          <cell r="I1179">
            <v>115.4</v>
          </cell>
        </row>
        <row r="1180">
          <cell r="A1180">
            <v>33422</v>
          </cell>
          <cell r="B1180">
            <v>985.8</v>
          </cell>
          <cell r="C1180">
            <v>993.27</v>
          </cell>
          <cell r="D1180">
            <v>102.83</v>
          </cell>
          <cell r="E1180">
            <v>103.51</v>
          </cell>
          <cell r="F1180">
            <v>104.49</v>
          </cell>
          <cell r="G1180">
            <v>102.17</v>
          </cell>
          <cell r="H1180">
            <v>1195.5899999999999</v>
          </cell>
          <cell r="I1180">
            <v>115.3</v>
          </cell>
        </row>
        <row r="1181">
          <cell r="A1181">
            <v>33423</v>
          </cell>
          <cell r="B1181">
            <v>989.4</v>
          </cell>
          <cell r="C1181">
            <v>991.43</v>
          </cell>
          <cell r="D1181">
            <v>103.12</v>
          </cell>
          <cell r="E1181">
            <v>103.27</v>
          </cell>
          <cell r="F1181">
            <v>104.29</v>
          </cell>
          <cell r="G1181">
            <v>103</v>
          </cell>
          <cell r="H1181">
            <v>1193.6500000000001</v>
          </cell>
          <cell r="I1181">
            <v>115.05</v>
          </cell>
        </row>
        <row r="1182">
          <cell r="A1182">
            <v>33424</v>
          </cell>
          <cell r="B1182">
            <v>999.51</v>
          </cell>
          <cell r="C1182">
            <v>999.65</v>
          </cell>
          <cell r="D1182">
            <v>104.2</v>
          </cell>
          <cell r="E1182">
            <v>104.03</v>
          </cell>
          <cell r="F1182">
            <v>105.08</v>
          </cell>
          <cell r="G1182">
            <v>104.39</v>
          </cell>
          <cell r="H1182">
            <v>1207.8599999999999</v>
          </cell>
          <cell r="I1182">
            <v>116.42</v>
          </cell>
        </row>
        <row r="1183">
          <cell r="A1183">
            <v>33427</v>
          </cell>
          <cell r="B1183">
            <v>985.88</v>
          </cell>
          <cell r="C1183">
            <v>987.06</v>
          </cell>
          <cell r="D1183">
            <v>102.97</v>
          </cell>
          <cell r="E1183">
            <v>102.88</v>
          </cell>
          <cell r="F1183">
            <v>103.93</v>
          </cell>
          <cell r="G1183">
            <v>103.08</v>
          </cell>
          <cell r="H1183">
            <v>1195.6199999999999</v>
          </cell>
          <cell r="I1183">
            <v>115.42</v>
          </cell>
        </row>
        <row r="1184">
          <cell r="A1184">
            <v>33428</v>
          </cell>
          <cell r="B1184">
            <v>994.75</v>
          </cell>
          <cell r="C1184">
            <v>996.24</v>
          </cell>
          <cell r="D1184">
            <v>103.66</v>
          </cell>
          <cell r="E1184">
            <v>103.6</v>
          </cell>
          <cell r="F1184">
            <v>104.65</v>
          </cell>
          <cell r="G1184">
            <v>103.74</v>
          </cell>
          <cell r="H1184">
            <v>1203.4100000000001</v>
          </cell>
          <cell r="I1184">
            <v>116.22</v>
          </cell>
        </row>
        <row r="1185">
          <cell r="A1185">
            <v>33429</v>
          </cell>
          <cell r="B1185">
            <v>1006.95</v>
          </cell>
          <cell r="C1185">
            <v>1006.27</v>
          </cell>
          <cell r="D1185">
            <v>104.67</v>
          </cell>
          <cell r="E1185">
            <v>104.45</v>
          </cell>
          <cell r="F1185">
            <v>105.58</v>
          </cell>
          <cell r="G1185">
            <v>104.91</v>
          </cell>
          <cell r="H1185">
            <v>1219.29</v>
          </cell>
          <cell r="I1185">
            <v>117.5</v>
          </cell>
        </row>
        <row r="1186">
          <cell r="A1186">
            <v>33430</v>
          </cell>
          <cell r="B1186">
            <v>1000.07</v>
          </cell>
          <cell r="C1186">
            <v>999.48</v>
          </cell>
          <cell r="D1186">
            <v>104.13</v>
          </cell>
          <cell r="E1186">
            <v>103.88</v>
          </cell>
          <cell r="F1186">
            <v>105.08</v>
          </cell>
          <cell r="G1186">
            <v>104.41</v>
          </cell>
          <cell r="H1186">
            <v>1222.6500000000001</v>
          </cell>
          <cell r="I1186">
            <v>117.72</v>
          </cell>
        </row>
        <row r="1187">
          <cell r="A1187">
            <v>33431</v>
          </cell>
          <cell r="B1187">
            <v>999.07</v>
          </cell>
          <cell r="C1187">
            <v>998.13</v>
          </cell>
          <cell r="D1187">
            <v>104.21</v>
          </cell>
          <cell r="E1187">
            <v>104</v>
          </cell>
          <cell r="F1187">
            <v>105.23</v>
          </cell>
          <cell r="G1187">
            <v>104.45</v>
          </cell>
          <cell r="H1187">
            <v>1219.78</v>
          </cell>
          <cell r="I1187">
            <v>117.49</v>
          </cell>
        </row>
        <row r="1188">
          <cell r="A1188">
            <v>33434</v>
          </cell>
          <cell r="B1188">
            <v>1008.77</v>
          </cell>
          <cell r="C1188">
            <v>1002.16</v>
          </cell>
          <cell r="D1188">
            <v>104.98</v>
          </cell>
          <cell r="E1188">
            <v>104.3</v>
          </cell>
          <cell r="F1188">
            <v>105.53</v>
          </cell>
          <cell r="G1188">
            <v>105.7</v>
          </cell>
          <cell r="H1188">
            <v>1220.6300000000001</v>
          </cell>
          <cell r="I1188">
            <v>117.68</v>
          </cell>
        </row>
        <row r="1189">
          <cell r="A1189">
            <v>33435</v>
          </cell>
          <cell r="B1189">
            <v>1013.34</v>
          </cell>
          <cell r="C1189">
            <v>1002.52</v>
          </cell>
          <cell r="D1189">
            <v>105.48</v>
          </cell>
          <cell r="E1189">
            <v>104.25</v>
          </cell>
          <cell r="F1189">
            <v>105.52</v>
          </cell>
          <cell r="G1189">
            <v>106.74</v>
          </cell>
          <cell r="H1189">
            <v>1222.67</v>
          </cell>
          <cell r="I1189">
            <v>117.87</v>
          </cell>
        </row>
        <row r="1190">
          <cell r="A1190">
            <v>33436</v>
          </cell>
          <cell r="B1190">
            <v>1010.26</v>
          </cell>
          <cell r="C1190">
            <v>995.75</v>
          </cell>
          <cell r="D1190">
            <v>105.19</v>
          </cell>
          <cell r="E1190">
            <v>103.6</v>
          </cell>
          <cell r="F1190">
            <v>104.93</v>
          </cell>
          <cell r="G1190">
            <v>106.81</v>
          </cell>
          <cell r="H1190">
            <v>1211.76</v>
          </cell>
          <cell r="I1190">
            <v>117.13</v>
          </cell>
        </row>
        <row r="1191">
          <cell r="A1191">
            <v>33437</v>
          </cell>
          <cell r="B1191">
            <v>1009.18</v>
          </cell>
          <cell r="C1191">
            <v>996.4</v>
          </cell>
          <cell r="D1191">
            <v>105.02</v>
          </cell>
          <cell r="E1191">
            <v>103.59</v>
          </cell>
          <cell r="F1191">
            <v>104.96</v>
          </cell>
          <cell r="G1191">
            <v>106.48</v>
          </cell>
          <cell r="H1191">
            <v>1217.6099999999999</v>
          </cell>
          <cell r="I1191">
            <v>117.27</v>
          </cell>
        </row>
        <row r="1192">
          <cell r="A1192">
            <v>33438</v>
          </cell>
          <cell r="B1192">
            <v>1009.36</v>
          </cell>
          <cell r="C1192">
            <v>1002</v>
          </cell>
          <cell r="D1192">
            <v>105.24</v>
          </cell>
          <cell r="E1192">
            <v>104.09</v>
          </cell>
          <cell r="F1192">
            <v>105.37</v>
          </cell>
          <cell r="G1192">
            <v>106.42</v>
          </cell>
          <cell r="H1192">
            <v>1216.8399999999999</v>
          </cell>
          <cell r="I1192">
            <v>117.37</v>
          </cell>
        </row>
        <row r="1193">
          <cell r="A1193">
            <v>33441</v>
          </cell>
          <cell r="B1193">
            <v>1012.45</v>
          </cell>
          <cell r="C1193">
            <v>1003.19</v>
          </cell>
          <cell r="D1193">
            <v>105.35</v>
          </cell>
          <cell r="E1193">
            <v>103.97</v>
          </cell>
          <cell r="F1193">
            <v>105.23</v>
          </cell>
          <cell r="G1193">
            <v>106.75</v>
          </cell>
          <cell r="H1193">
            <v>1210.6400000000001</v>
          </cell>
          <cell r="I1193">
            <v>116.88</v>
          </cell>
        </row>
        <row r="1194">
          <cell r="A1194">
            <v>33442</v>
          </cell>
          <cell r="B1194">
            <v>1019.64</v>
          </cell>
          <cell r="C1194">
            <v>1007.02</v>
          </cell>
          <cell r="D1194">
            <v>105.98</v>
          </cell>
          <cell r="E1194">
            <v>104.26</v>
          </cell>
          <cell r="F1194">
            <v>105.45</v>
          </cell>
          <cell r="G1194">
            <v>107.72</v>
          </cell>
          <cell r="H1194">
            <v>1207.69</v>
          </cell>
          <cell r="I1194">
            <v>116.81</v>
          </cell>
        </row>
        <row r="1195">
          <cell r="A1195">
            <v>33443</v>
          </cell>
          <cell r="B1195">
            <v>1013.79</v>
          </cell>
          <cell r="C1195">
            <v>1004.49</v>
          </cell>
          <cell r="D1195">
            <v>105.59</v>
          </cell>
          <cell r="E1195">
            <v>104.19</v>
          </cell>
          <cell r="F1195">
            <v>105.29</v>
          </cell>
          <cell r="G1195">
            <v>107.02</v>
          </cell>
          <cell r="H1195">
            <v>1197.8499999999999</v>
          </cell>
          <cell r="I1195">
            <v>116.05</v>
          </cell>
        </row>
        <row r="1196">
          <cell r="A1196">
            <v>33444</v>
          </cell>
          <cell r="B1196">
            <v>1012.99</v>
          </cell>
          <cell r="C1196">
            <v>1002.65</v>
          </cell>
          <cell r="D1196">
            <v>105.34</v>
          </cell>
          <cell r="E1196">
            <v>103.93</v>
          </cell>
          <cell r="F1196">
            <v>104.99</v>
          </cell>
          <cell r="G1196">
            <v>106.78</v>
          </cell>
          <cell r="H1196">
            <v>1186.3900000000001</v>
          </cell>
          <cell r="I1196">
            <v>115.09</v>
          </cell>
        </row>
        <row r="1197">
          <cell r="A1197">
            <v>33445</v>
          </cell>
          <cell r="B1197">
            <v>1010.93</v>
          </cell>
          <cell r="C1197">
            <v>996.86</v>
          </cell>
          <cell r="D1197">
            <v>105.19</v>
          </cell>
          <cell r="E1197">
            <v>103.43</v>
          </cell>
          <cell r="F1197">
            <v>104.49</v>
          </cell>
          <cell r="G1197">
            <v>106.99</v>
          </cell>
          <cell r="H1197">
            <v>1180.08</v>
          </cell>
          <cell r="I1197">
            <v>114.54</v>
          </cell>
        </row>
        <row r="1198">
          <cell r="A1198">
            <v>33448</v>
          </cell>
          <cell r="B1198">
            <v>1011.79</v>
          </cell>
          <cell r="C1198">
            <v>996.31</v>
          </cell>
          <cell r="D1198">
            <v>105.29</v>
          </cell>
          <cell r="E1198">
            <v>103.38</v>
          </cell>
          <cell r="F1198">
            <v>104.46</v>
          </cell>
          <cell r="G1198">
            <v>107.23</v>
          </cell>
          <cell r="H1198">
            <v>1184.19</v>
          </cell>
          <cell r="I1198">
            <v>115.08</v>
          </cell>
        </row>
        <row r="1199">
          <cell r="A1199">
            <v>33449</v>
          </cell>
          <cell r="B1199">
            <v>1016.9</v>
          </cell>
          <cell r="C1199">
            <v>1000.15</v>
          </cell>
          <cell r="D1199">
            <v>105.65</v>
          </cell>
          <cell r="E1199">
            <v>103.68</v>
          </cell>
          <cell r="F1199">
            <v>104.81</v>
          </cell>
          <cell r="G1199">
            <v>107.65</v>
          </cell>
          <cell r="H1199">
            <v>1188.73</v>
          </cell>
          <cell r="I1199">
            <v>115.45</v>
          </cell>
        </row>
        <row r="1200">
          <cell r="A1200">
            <v>33450</v>
          </cell>
          <cell r="B1200">
            <v>1015.77</v>
          </cell>
          <cell r="C1200">
            <v>1000.94</v>
          </cell>
          <cell r="D1200">
            <v>105.63</v>
          </cell>
          <cell r="E1200">
            <v>103.83</v>
          </cell>
          <cell r="F1200">
            <v>105.01</v>
          </cell>
          <cell r="G1200">
            <v>107.45</v>
          </cell>
          <cell r="H1200">
            <v>1194.9100000000001</v>
          </cell>
          <cell r="I1200">
            <v>116.06</v>
          </cell>
        </row>
        <row r="1201">
          <cell r="A1201">
            <v>33451</v>
          </cell>
          <cell r="B1201">
            <v>1016.47</v>
          </cell>
          <cell r="C1201">
            <v>1003.75</v>
          </cell>
          <cell r="D1201">
            <v>105.75</v>
          </cell>
          <cell r="E1201">
            <v>104.17</v>
          </cell>
          <cell r="F1201">
            <v>105.34</v>
          </cell>
          <cell r="G1201">
            <v>107.37</v>
          </cell>
          <cell r="H1201">
            <v>1200.8499999999999</v>
          </cell>
          <cell r="I1201">
            <v>116.61</v>
          </cell>
        </row>
        <row r="1202">
          <cell r="A1202">
            <v>33452</v>
          </cell>
          <cell r="B1202">
            <v>1017.06</v>
          </cell>
          <cell r="C1202">
            <v>1001.23</v>
          </cell>
          <cell r="D1202">
            <v>105.91</v>
          </cell>
          <cell r="E1202">
            <v>103.9</v>
          </cell>
          <cell r="F1202">
            <v>105.09</v>
          </cell>
          <cell r="G1202">
            <v>107.95</v>
          </cell>
          <cell r="H1202">
            <v>1190.5</v>
          </cell>
          <cell r="I1202">
            <v>115.87</v>
          </cell>
        </row>
        <row r="1203">
          <cell r="A1203">
            <v>33455</v>
          </cell>
          <cell r="B1203">
            <v>1015.57</v>
          </cell>
          <cell r="C1203">
            <v>1002.24</v>
          </cell>
          <cell r="D1203">
            <v>105.82</v>
          </cell>
          <cell r="E1203">
            <v>104.07</v>
          </cell>
          <cell r="F1203">
            <v>105.31</v>
          </cell>
          <cell r="G1203">
            <v>107.61</v>
          </cell>
          <cell r="H1203">
            <v>1193.3699999999999</v>
          </cell>
          <cell r="I1203">
            <v>116.32</v>
          </cell>
        </row>
        <row r="1204">
          <cell r="A1204">
            <v>33456</v>
          </cell>
          <cell r="B1204">
            <v>1007.81</v>
          </cell>
          <cell r="C1204">
            <v>995.93</v>
          </cell>
          <cell r="D1204">
            <v>104.98</v>
          </cell>
          <cell r="E1204">
            <v>103.46</v>
          </cell>
          <cell r="F1204">
            <v>104.63</v>
          </cell>
          <cell r="G1204">
            <v>106.53</v>
          </cell>
          <cell r="H1204">
            <v>1174.29</v>
          </cell>
          <cell r="I1204">
            <v>114.8</v>
          </cell>
        </row>
        <row r="1205">
          <cell r="A1205">
            <v>33457</v>
          </cell>
          <cell r="B1205">
            <v>1020.02</v>
          </cell>
          <cell r="C1205">
            <v>1006.09</v>
          </cell>
          <cell r="D1205">
            <v>105.8</v>
          </cell>
          <cell r="E1205">
            <v>104.23</v>
          </cell>
          <cell r="F1205">
            <v>105.27</v>
          </cell>
          <cell r="G1205">
            <v>107.39</v>
          </cell>
          <cell r="H1205">
            <v>1169.49</v>
          </cell>
          <cell r="I1205">
            <v>114.52</v>
          </cell>
        </row>
        <row r="1206">
          <cell r="A1206">
            <v>33458</v>
          </cell>
          <cell r="B1206">
            <v>1018.32</v>
          </cell>
          <cell r="C1206">
            <v>1004.69</v>
          </cell>
          <cell r="D1206">
            <v>105.7</v>
          </cell>
          <cell r="E1206">
            <v>104.12</v>
          </cell>
          <cell r="F1206">
            <v>105.18</v>
          </cell>
          <cell r="G1206">
            <v>107.3</v>
          </cell>
          <cell r="H1206">
            <v>1174.56</v>
          </cell>
          <cell r="I1206">
            <v>114.72</v>
          </cell>
        </row>
        <row r="1207">
          <cell r="A1207">
            <v>33459</v>
          </cell>
          <cell r="B1207">
            <v>1013.92</v>
          </cell>
          <cell r="C1207">
            <v>1003.49</v>
          </cell>
          <cell r="D1207">
            <v>105.4</v>
          </cell>
          <cell r="E1207">
            <v>104.1</v>
          </cell>
          <cell r="F1207">
            <v>105.18</v>
          </cell>
          <cell r="G1207">
            <v>106.72</v>
          </cell>
          <cell r="H1207">
            <v>1177.79</v>
          </cell>
          <cell r="I1207">
            <v>114.89</v>
          </cell>
        </row>
        <row r="1208">
          <cell r="A1208">
            <v>33462</v>
          </cell>
          <cell r="B1208">
            <v>1011.88</v>
          </cell>
          <cell r="C1208">
            <v>1000.7</v>
          </cell>
          <cell r="D1208">
            <v>105.29</v>
          </cell>
          <cell r="E1208">
            <v>103.86</v>
          </cell>
          <cell r="F1208">
            <v>104.94</v>
          </cell>
          <cell r="G1208">
            <v>106.74</v>
          </cell>
          <cell r="H1208">
            <v>1176.8699999999999</v>
          </cell>
          <cell r="I1208">
            <v>114.83</v>
          </cell>
        </row>
        <row r="1209">
          <cell r="A1209">
            <v>33463</v>
          </cell>
          <cell r="B1209">
            <v>1017.91</v>
          </cell>
          <cell r="C1209">
            <v>1008.87</v>
          </cell>
          <cell r="D1209">
            <v>105.75</v>
          </cell>
          <cell r="E1209">
            <v>104.41</v>
          </cell>
          <cell r="F1209">
            <v>105.47</v>
          </cell>
          <cell r="G1209">
            <v>107.12</v>
          </cell>
          <cell r="H1209">
            <v>1176.3599999999999</v>
          </cell>
          <cell r="I1209">
            <v>114.81</v>
          </cell>
        </row>
        <row r="1210">
          <cell r="A1210">
            <v>33464</v>
          </cell>
          <cell r="B1210">
            <v>1023.24</v>
          </cell>
          <cell r="C1210">
            <v>1012.18</v>
          </cell>
          <cell r="D1210">
            <v>106.31</v>
          </cell>
          <cell r="E1210">
            <v>104.6</v>
          </cell>
          <cell r="F1210">
            <v>105.75</v>
          </cell>
          <cell r="G1210">
            <v>108.05</v>
          </cell>
          <cell r="H1210">
            <v>1185.72</v>
          </cell>
          <cell r="I1210">
            <v>115.58</v>
          </cell>
        </row>
        <row r="1211">
          <cell r="A1211">
            <v>33465</v>
          </cell>
          <cell r="B1211">
            <v>1023.16</v>
          </cell>
          <cell r="C1211">
            <v>1012.9</v>
          </cell>
          <cell r="D1211">
            <v>106.45</v>
          </cell>
          <cell r="E1211">
            <v>104.68</v>
          </cell>
          <cell r="F1211">
            <v>105.82</v>
          </cell>
          <cell r="G1211">
            <v>108.26</v>
          </cell>
          <cell r="H1211">
            <v>1193.43</v>
          </cell>
          <cell r="I1211">
            <v>116.08</v>
          </cell>
        </row>
        <row r="1212">
          <cell r="A1212">
            <v>33466</v>
          </cell>
          <cell r="B1212">
            <v>1024.4000000000001</v>
          </cell>
          <cell r="C1212">
            <v>1013.94</v>
          </cell>
          <cell r="D1212">
            <v>106.58</v>
          </cell>
          <cell r="E1212">
            <v>104.74</v>
          </cell>
          <cell r="F1212">
            <v>105.87</v>
          </cell>
          <cell r="G1212">
            <v>108.45</v>
          </cell>
          <cell r="H1212">
            <v>1193.42</v>
          </cell>
          <cell r="I1212">
            <v>116.1</v>
          </cell>
        </row>
        <row r="1213">
          <cell r="A1213">
            <v>33469</v>
          </cell>
          <cell r="B1213">
            <v>976.25</v>
          </cell>
          <cell r="C1213">
            <v>942.04</v>
          </cell>
          <cell r="D1213">
            <v>101.25</v>
          </cell>
          <cell r="E1213">
            <v>97.21</v>
          </cell>
          <cell r="F1213">
            <v>98.43</v>
          </cell>
          <cell r="G1213">
            <v>105.34</v>
          </cell>
          <cell r="H1213">
            <v>1119.45</v>
          </cell>
          <cell r="I1213">
            <v>109.22</v>
          </cell>
        </row>
        <row r="1214">
          <cell r="A1214">
            <v>33470</v>
          </cell>
          <cell r="B1214">
            <v>989.09</v>
          </cell>
          <cell r="C1214">
            <v>962.69</v>
          </cell>
          <cell r="D1214">
            <v>102.59</v>
          </cell>
          <cell r="E1214">
            <v>99.14</v>
          </cell>
          <cell r="F1214">
            <v>100.4</v>
          </cell>
          <cell r="G1214">
            <v>106.09</v>
          </cell>
          <cell r="H1214">
            <v>1145.22</v>
          </cell>
          <cell r="I1214">
            <v>111.54</v>
          </cell>
        </row>
        <row r="1215">
          <cell r="A1215">
            <v>33471</v>
          </cell>
          <cell r="B1215">
            <v>1004.54</v>
          </cell>
          <cell r="C1215">
            <v>982.63</v>
          </cell>
          <cell r="D1215">
            <v>104.39</v>
          </cell>
          <cell r="E1215">
            <v>101.53</v>
          </cell>
          <cell r="F1215">
            <v>102.73</v>
          </cell>
          <cell r="G1215">
            <v>107.3</v>
          </cell>
          <cell r="H1215">
            <v>1163.93</v>
          </cell>
          <cell r="I1215">
            <v>113.37</v>
          </cell>
        </row>
        <row r="1216">
          <cell r="A1216">
            <v>33472</v>
          </cell>
          <cell r="B1216">
            <v>1018.36</v>
          </cell>
          <cell r="C1216">
            <v>1003.52</v>
          </cell>
          <cell r="D1216">
            <v>105.94</v>
          </cell>
          <cell r="E1216">
            <v>103.65</v>
          </cell>
          <cell r="F1216">
            <v>104.72</v>
          </cell>
          <cell r="G1216">
            <v>108.28</v>
          </cell>
          <cell r="H1216">
            <v>1171.75</v>
          </cell>
          <cell r="I1216">
            <v>114.47</v>
          </cell>
        </row>
        <row r="1217">
          <cell r="A1217">
            <v>33473</v>
          </cell>
          <cell r="B1217">
            <v>1027.6400000000001</v>
          </cell>
          <cell r="C1217">
            <v>1007.05</v>
          </cell>
          <cell r="D1217">
            <v>106.64</v>
          </cell>
          <cell r="E1217">
            <v>104.08</v>
          </cell>
          <cell r="F1217">
            <v>105.1</v>
          </cell>
          <cell r="G1217">
            <v>109.25</v>
          </cell>
          <cell r="H1217">
            <v>1162.29</v>
          </cell>
          <cell r="I1217">
            <v>113.95</v>
          </cell>
        </row>
        <row r="1218">
          <cell r="A1218">
            <v>33476</v>
          </cell>
          <cell r="B1218">
            <v>1030.81</v>
          </cell>
          <cell r="C1218">
            <v>1014.68</v>
          </cell>
          <cell r="D1218">
            <v>106.94</v>
          </cell>
          <cell r="E1218">
            <v>104.85</v>
          </cell>
          <cell r="F1218">
            <v>105.81</v>
          </cell>
          <cell r="G1218">
            <v>109.08</v>
          </cell>
          <cell r="H1218">
            <v>1173.29</v>
          </cell>
          <cell r="I1218">
            <v>114.96</v>
          </cell>
        </row>
        <row r="1219">
          <cell r="A1219">
            <v>33477</v>
          </cell>
          <cell r="B1219">
            <v>1026.97</v>
          </cell>
          <cell r="C1219">
            <v>1013.34</v>
          </cell>
          <cell r="D1219">
            <v>106.7</v>
          </cell>
          <cell r="E1219">
            <v>104.73</v>
          </cell>
          <cell r="F1219">
            <v>105.68</v>
          </cell>
          <cell r="G1219">
            <v>108.7</v>
          </cell>
          <cell r="H1219">
            <v>1165.28</v>
          </cell>
          <cell r="I1219">
            <v>114.63</v>
          </cell>
        </row>
        <row r="1220">
          <cell r="A1220">
            <v>33478</v>
          </cell>
          <cell r="B1220">
            <v>1026.03</v>
          </cell>
          <cell r="C1220">
            <v>1011.53</v>
          </cell>
          <cell r="D1220">
            <v>106.71</v>
          </cell>
          <cell r="E1220">
            <v>104.68</v>
          </cell>
          <cell r="F1220">
            <v>105.63</v>
          </cell>
          <cell r="G1220">
            <v>108.79</v>
          </cell>
          <cell r="H1220">
            <v>1166.93</v>
          </cell>
          <cell r="I1220">
            <v>114.39</v>
          </cell>
        </row>
        <row r="1221">
          <cell r="A1221">
            <v>33479</v>
          </cell>
          <cell r="B1221">
            <v>1029.44</v>
          </cell>
          <cell r="C1221">
            <v>1014.31</v>
          </cell>
          <cell r="D1221">
            <v>107.02</v>
          </cell>
          <cell r="E1221">
            <v>105.05</v>
          </cell>
          <cell r="F1221">
            <v>105.99</v>
          </cell>
          <cell r="G1221">
            <v>109.03</v>
          </cell>
          <cell r="H1221">
            <v>1168.19</v>
          </cell>
          <cell r="I1221">
            <v>114.54</v>
          </cell>
        </row>
        <row r="1222">
          <cell r="A1222">
            <v>33480</v>
          </cell>
          <cell r="B1222">
            <v>1032.9100000000001</v>
          </cell>
          <cell r="C1222">
            <v>1016.62</v>
          </cell>
          <cell r="D1222">
            <v>107.35</v>
          </cell>
          <cell r="E1222">
            <v>105.27</v>
          </cell>
          <cell r="F1222">
            <v>106.18</v>
          </cell>
          <cell r="G1222">
            <v>109.46</v>
          </cell>
          <cell r="H1222">
            <v>1172.72</v>
          </cell>
          <cell r="I1222">
            <v>114.76</v>
          </cell>
        </row>
        <row r="1223">
          <cell r="A1223">
            <v>33483</v>
          </cell>
          <cell r="B1223">
            <v>1040.2</v>
          </cell>
          <cell r="C1223">
            <v>1016.78</v>
          </cell>
          <cell r="D1223">
            <v>108.06</v>
          </cell>
          <cell r="E1223">
            <v>105.4</v>
          </cell>
          <cell r="F1223">
            <v>106.24</v>
          </cell>
          <cell r="G1223">
            <v>110.76</v>
          </cell>
          <cell r="H1223">
            <v>1170.17</v>
          </cell>
          <cell r="I1223">
            <v>114.42</v>
          </cell>
        </row>
        <row r="1224">
          <cell r="A1224">
            <v>33484</v>
          </cell>
          <cell r="B1224">
            <v>1038.45</v>
          </cell>
          <cell r="C1224">
            <v>1019.44</v>
          </cell>
          <cell r="D1224">
            <v>107.95</v>
          </cell>
          <cell r="E1224">
            <v>105.6</v>
          </cell>
          <cell r="F1224">
            <v>106.35</v>
          </cell>
          <cell r="G1224">
            <v>110.34</v>
          </cell>
          <cell r="H1224">
            <v>1160.32</v>
          </cell>
          <cell r="I1224">
            <v>113.66</v>
          </cell>
        </row>
        <row r="1225">
          <cell r="A1225">
            <v>33485</v>
          </cell>
          <cell r="B1225">
            <v>1036.4100000000001</v>
          </cell>
          <cell r="C1225">
            <v>1018.78</v>
          </cell>
          <cell r="D1225">
            <v>107.86</v>
          </cell>
          <cell r="E1225">
            <v>105.58</v>
          </cell>
          <cell r="F1225">
            <v>106.24</v>
          </cell>
          <cell r="G1225">
            <v>110.19</v>
          </cell>
          <cell r="H1225">
            <v>1149.24</v>
          </cell>
          <cell r="I1225">
            <v>112.87</v>
          </cell>
        </row>
        <row r="1226">
          <cell r="A1226">
            <v>33486</v>
          </cell>
          <cell r="B1226">
            <v>1037.0899999999999</v>
          </cell>
          <cell r="C1226">
            <v>1019.67</v>
          </cell>
          <cell r="D1226">
            <v>107.92</v>
          </cell>
          <cell r="E1226">
            <v>105.7</v>
          </cell>
          <cell r="F1226">
            <v>106.32</v>
          </cell>
          <cell r="G1226">
            <v>110.18</v>
          </cell>
          <cell r="H1226">
            <v>1149.52</v>
          </cell>
          <cell r="I1226">
            <v>112.89</v>
          </cell>
        </row>
        <row r="1227">
          <cell r="A1227">
            <v>33487</v>
          </cell>
          <cell r="B1227">
            <v>1037.54</v>
          </cell>
          <cell r="C1227">
            <v>1017.57</v>
          </cell>
          <cell r="D1227">
            <v>108.09</v>
          </cell>
          <cell r="E1227">
            <v>105.66</v>
          </cell>
          <cell r="F1227">
            <v>106.26</v>
          </cell>
          <cell r="G1227">
            <v>110.56</v>
          </cell>
          <cell r="H1227">
            <v>1147.57</v>
          </cell>
          <cell r="I1227">
            <v>112.67</v>
          </cell>
        </row>
        <row r="1228">
          <cell r="A1228">
            <v>33490</v>
          </cell>
          <cell r="B1228">
            <v>1029.94</v>
          </cell>
          <cell r="C1228">
            <v>1011.74</v>
          </cell>
          <cell r="D1228">
            <v>107.43</v>
          </cell>
          <cell r="E1228">
            <v>105.14</v>
          </cell>
          <cell r="F1228">
            <v>105.79</v>
          </cell>
          <cell r="G1228">
            <v>109.75</v>
          </cell>
          <cell r="H1228">
            <v>1146.0999999999999</v>
          </cell>
          <cell r="I1228">
            <v>112.45</v>
          </cell>
        </row>
        <row r="1229">
          <cell r="A1229">
            <v>33491</v>
          </cell>
          <cell r="B1229">
            <v>1022.64</v>
          </cell>
          <cell r="C1229">
            <v>1006.09</v>
          </cell>
          <cell r="D1229">
            <v>106.7</v>
          </cell>
          <cell r="E1229">
            <v>104.47</v>
          </cell>
          <cell r="F1229">
            <v>105.2</v>
          </cell>
          <cell r="G1229">
            <v>108.98</v>
          </cell>
          <cell r="H1229">
            <v>1145.28</v>
          </cell>
          <cell r="I1229">
            <v>112.39</v>
          </cell>
        </row>
        <row r="1230">
          <cell r="A1230">
            <v>33492</v>
          </cell>
          <cell r="B1230">
            <v>1019.01</v>
          </cell>
          <cell r="C1230">
            <v>1003.27</v>
          </cell>
          <cell r="D1230">
            <v>106.41</v>
          </cell>
          <cell r="E1230">
            <v>104.19</v>
          </cell>
          <cell r="F1230">
            <v>104.96</v>
          </cell>
          <cell r="G1230">
            <v>108.68</v>
          </cell>
          <cell r="H1230">
            <v>1152.49</v>
          </cell>
          <cell r="I1230">
            <v>112.95</v>
          </cell>
        </row>
        <row r="1231">
          <cell r="A1231">
            <v>33493</v>
          </cell>
          <cell r="B1231">
            <v>1023.14</v>
          </cell>
          <cell r="C1231">
            <v>1006.92</v>
          </cell>
          <cell r="D1231">
            <v>106.89</v>
          </cell>
          <cell r="E1231">
            <v>104.55</v>
          </cell>
          <cell r="F1231">
            <v>105.33</v>
          </cell>
          <cell r="G1231">
            <v>109.28</v>
          </cell>
          <cell r="H1231">
            <v>1158.69</v>
          </cell>
          <cell r="I1231">
            <v>113.65</v>
          </cell>
        </row>
        <row r="1232">
          <cell r="A1232">
            <v>33494</v>
          </cell>
          <cell r="B1232">
            <v>1018.37</v>
          </cell>
          <cell r="C1232">
            <v>1008.85</v>
          </cell>
          <cell r="D1232">
            <v>106.64</v>
          </cell>
          <cell r="E1232">
            <v>104.82</v>
          </cell>
          <cell r="F1232">
            <v>105.56</v>
          </cell>
          <cell r="G1232">
            <v>108.49</v>
          </cell>
          <cell r="H1232">
            <v>1156.96</v>
          </cell>
          <cell r="I1232">
            <v>113.5</v>
          </cell>
        </row>
        <row r="1233">
          <cell r="A1233">
            <v>33497</v>
          </cell>
          <cell r="B1233">
            <v>1014.38</v>
          </cell>
          <cell r="C1233">
            <v>1009.76</v>
          </cell>
          <cell r="D1233">
            <v>106.39</v>
          </cell>
          <cell r="E1233">
            <v>104.91</v>
          </cell>
          <cell r="F1233">
            <v>105.58</v>
          </cell>
          <cell r="G1233">
            <v>107.9</v>
          </cell>
          <cell r="H1233">
            <v>1150.26</v>
          </cell>
          <cell r="I1233">
            <v>112.9</v>
          </cell>
        </row>
        <row r="1234">
          <cell r="A1234">
            <v>33498</v>
          </cell>
          <cell r="B1234">
            <v>1013.72</v>
          </cell>
          <cell r="C1234">
            <v>1009.64</v>
          </cell>
          <cell r="D1234">
            <v>106.07</v>
          </cell>
          <cell r="E1234">
            <v>104.88</v>
          </cell>
          <cell r="F1234">
            <v>105.5</v>
          </cell>
          <cell r="G1234">
            <v>107.28</v>
          </cell>
          <cell r="H1234">
            <v>1148.03</v>
          </cell>
          <cell r="I1234">
            <v>112.62</v>
          </cell>
        </row>
        <row r="1235">
          <cell r="A1235">
            <v>33499</v>
          </cell>
          <cell r="B1235">
            <v>1014.3</v>
          </cell>
          <cell r="C1235">
            <v>1012.61</v>
          </cell>
          <cell r="D1235">
            <v>106.01</v>
          </cell>
          <cell r="E1235">
            <v>105.01</v>
          </cell>
          <cell r="F1235">
            <v>105.58</v>
          </cell>
          <cell r="G1235">
            <v>107.03</v>
          </cell>
          <cell r="H1235">
            <v>1147.17</v>
          </cell>
          <cell r="I1235">
            <v>112.62</v>
          </cell>
        </row>
        <row r="1236">
          <cell r="A1236">
            <v>33500</v>
          </cell>
          <cell r="B1236">
            <v>1017.65</v>
          </cell>
          <cell r="C1236">
            <v>1011.56</v>
          </cell>
          <cell r="D1236">
            <v>105.91</v>
          </cell>
          <cell r="E1236">
            <v>104.78</v>
          </cell>
          <cell r="F1236">
            <v>105.3</v>
          </cell>
          <cell r="G1236">
            <v>107.07</v>
          </cell>
          <cell r="H1236">
            <v>1137.76</v>
          </cell>
          <cell r="I1236">
            <v>111.74</v>
          </cell>
        </row>
        <row r="1237">
          <cell r="A1237">
            <v>33501</v>
          </cell>
          <cell r="B1237">
            <v>1021.13</v>
          </cell>
          <cell r="C1237">
            <v>1012.54</v>
          </cell>
          <cell r="D1237">
            <v>106.18</v>
          </cell>
          <cell r="E1237">
            <v>104.86</v>
          </cell>
          <cell r="F1237">
            <v>105.42</v>
          </cell>
          <cell r="G1237">
            <v>107.51</v>
          </cell>
          <cell r="H1237">
            <v>1136.42</v>
          </cell>
          <cell r="I1237">
            <v>111.67</v>
          </cell>
        </row>
        <row r="1238">
          <cell r="A1238">
            <v>33504</v>
          </cell>
          <cell r="B1238">
            <v>1016.05</v>
          </cell>
          <cell r="C1238">
            <v>1009.21</v>
          </cell>
          <cell r="D1238">
            <v>105.64</v>
          </cell>
          <cell r="E1238">
            <v>104.54</v>
          </cell>
          <cell r="F1238">
            <v>105.05</v>
          </cell>
          <cell r="G1238">
            <v>106.75</v>
          </cell>
          <cell r="H1238">
            <v>1132.3499999999999</v>
          </cell>
          <cell r="I1238">
            <v>111.28</v>
          </cell>
        </row>
        <row r="1239">
          <cell r="A1239">
            <v>33505</v>
          </cell>
          <cell r="B1239">
            <v>1018.53</v>
          </cell>
          <cell r="C1239">
            <v>1014.21</v>
          </cell>
          <cell r="D1239">
            <v>105.83</v>
          </cell>
          <cell r="E1239">
            <v>104.94</v>
          </cell>
          <cell r="F1239">
            <v>105.44</v>
          </cell>
          <cell r="G1239">
            <v>106.73</v>
          </cell>
          <cell r="H1239">
            <v>1133.1400000000001</v>
          </cell>
          <cell r="I1239">
            <v>111.13</v>
          </cell>
        </row>
        <row r="1240">
          <cell r="A1240">
            <v>33506</v>
          </cell>
          <cell r="B1240">
            <v>1019.25</v>
          </cell>
          <cell r="C1240">
            <v>1010.29</v>
          </cell>
          <cell r="D1240">
            <v>105.77</v>
          </cell>
          <cell r="E1240">
            <v>104.45</v>
          </cell>
          <cell r="F1240">
            <v>104.87</v>
          </cell>
          <cell r="G1240">
            <v>107.11</v>
          </cell>
          <cell r="H1240">
            <v>1125.82</v>
          </cell>
          <cell r="I1240">
            <v>110.5</v>
          </cell>
        </row>
        <row r="1241">
          <cell r="A1241">
            <v>33507</v>
          </cell>
          <cell r="B1241">
            <v>1019.21</v>
          </cell>
          <cell r="C1241">
            <v>1009.44</v>
          </cell>
          <cell r="D1241">
            <v>105.57</v>
          </cell>
          <cell r="E1241">
            <v>104.22</v>
          </cell>
          <cell r="F1241">
            <v>104.62</v>
          </cell>
          <cell r="G1241">
            <v>106.95</v>
          </cell>
          <cell r="H1241">
            <v>1119.8499999999999</v>
          </cell>
          <cell r="I1241">
            <v>110.2</v>
          </cell>
        </row>
        <row r="1242">
          <cell r="A1242">
            <v>33508</v>
          </cell>
          <cell r="B1242">
            <v>1020.57</v>
          </cell>
          <cell r="C1242">
            <v>1005.94</v>
          </cell>
          <cell r="D1242">
            <v>105.5</v>
          </cell>
          <cell r="E1242">
            <v>103.94</v>
          </cell>
          <cell r="F1242">
            <v>104.3</v>
          </cell>
          <cell r="G1242">
            <v>107.08</v>
          </cell>
          <cell r="H1242">
            <v>1107.17</v>
          </cell>
          <cell r="I1242">
            <v>109.18</v>
          </cell>
        </row>
        <row r="1243">
          <cell r="A1243">
            <v>33511</v>
          </cell>
          <cell r="B1243">
            <v>1026.6099999999999</v>
          </cell>
          <cell r="C1243">
            <v>1007</v>
          </cell>
          <cell r="D1243">
            <v>106.02</v>
          </cell>
          <cell r="E1243">
            <v>104.07</v>
          </cell>
          <cell r="F1243">
            <v>104.44</v>
          </cell>
          <cell r="G1243">
            <v>108.01</v>
          </cell>
          <cell r="H1243">
            <v>1115</v>
          </cell>
          <cell r="I1243">
            <v>109.88</v>
          </cell>
        </row>
        <row r="1244">
          <cell r="A1244">
            <v>33512</v>
          </cell>
          <cell r="B1244">
            <v>1033.28</v>
          </cell>
          <cell r="C1244">
            <v>1008.05</v>
          </cell>
          <cell r="D1244">
            <v>106.36</v>
          </cell>
          <cell r="E1244">
            <v>104.1</v>
          </cell>
          <cell r="F1244">
            <v>104.5</v>
          </cell>
          <cell r="G1244">
            <v>108.66</v>
          </cell>
          <cell r="H1244">
            <v>1118.78</v>
          </cell>
          <cell r="I1244">
            <v>110.14</v>
          </cell>
        </row>
        <row r="1245">
          <cell r="A1245">
            <v>33513</v>
          </cell>
          <cell r="B1245">
            <v>1031.3</v>
          </cell>
          <cell r="C1245">
            <v>1005.32</v>
          </cell>
          <cell r="D1245">
            <v>106.19</v>
          </cell>
          <cell r="E1245">
            <v>103.92</v>
          </cell>
          <cell r="F1245">
            <v>104.36</v>
          </cell>
          <cell r="G1245">
            <v>108.5</v>
          </cell>
          <cell r="H1245">
            <v>1110.83</v>
          </cell>
          <cell r="I1245">
            <v>109.58</v>
          </cell>
        </row>
        <row r="1246">
          <cell r="A1246">
            <v>33514</v>
          </cell>
          <cell r="B1246">
            <v>1026.55</v>
          </cell>
          <cell r="C1246">
            <v>1002.47</v>
          </cell>
          <cell r="D1246">
            <v>105.76</v>
          </cell>
          <cell r="E1246">
            <v>103.6</v>
          </cell>
          <cell r="F1246">
            <v>104.1</v>
          </cell>
          <cell r="G1246">
            <v>107.96</v>
          </cell>
          <cell r="H1246">
            <v>1113.75</v>
          </cell>
          <cell r="I1246">
            <v>109.69</v>
          </cell>
        </row>
        <row r="1247">
          <cell r="A1247">
            <v>33515</v>
          </cell>
          <cell r="B1247">
            <v>1025.93</v>
          </cell>
          <cell r="C1247">
            <v>997.52</v>
          </cell>
          <cell r="D1247">
            <v>105.46</v>
          </cell>
          <cell r="E1247">
            <v>103.06</v>
          </cell>
          <cell r="F1247">
            <v>103.59</v>
          </cell>
          <cell r="G1247">
            <v>107.91</v>
          </cell>
          <cell r="H1247">
            <v>1105.0999999999999</v>
          </cell>
          <cell r="I1247">
            <v>109.01</v>
          </cell>
        </row>
        <row r="1248">
          <cell r="A1248">
            <v>33518</v>
          </cell>
          <cell r="B1248">
            <v>1019.52</v>
          </cell>
          <cell r="C1248">
            <v>994.86</v>
          </cell>
          <cell r="D1248">
            <v>104.75</v>
          </cell>
          <cell r="E1248">
            <v>102.71</v>
          </cell>
          <cell r="F1248">
            <v>103.19</v>
          </cell>
          <cell r="G1248">
            <v>106.82</v>
          </cell>
          <cell r="H1248">
            <v>1091.6500000000001</v>
          </cell>
          <cell r="I1248">
            <v>107.82</v>
          </cell>
        </row>
        <row r="1249">
          <cell r="A1249">
            <v>33519</v>
          </cell>
          <cell r="B1249">
            <v>1017.57</v>
          </cell>
          <cell r="C1249">
            <v>994.24</v>
          </cell>
          <cell r="D1249">
            <v>104.47</v>
          </cell>
          <cell r="E1249">
            <v>102.52</v>
          </cell>
          <cell r="F1249">
            <v>103</v>
          </cell>
          <cell r="G1249">
            <v>106.46</v>
          </cell>
          <cell r="H1249">
            <v>1085.6300000000001</v>
          </cell>
          <cell r="I1249">
            <v>107.38</v>
          </cell>
        </row>
        <row r="1250">
          <cell r="A1250">
            <v>33520</v>
          </cell>
          <cell r="B1250">
            <v>1012.51</v>
          </cell>
          <cell r="C1250">
            <v>988.02</v>
          </cell>
          <cell r="D1250">
            <v>103.86</v>
          </cell>
          <cell r="E1250">
            <v>101.87</v>
          </cell>
          <cell r="F1250">
            <v>102.36</v>
          </cell>
          <cell r="G1250">
            <v>105.89</v>
          </cell>
          <cell r="H1250">
            <v>1083.96</v>
          </cell>
          <cell r="I1250">
            <v>107.02</v>
          </cell>
        </row>
        <row r="1251">
          <cell r="A1251">
            <v>33521</v>
          </cell>
          <cell r="B1251">
            <v>1011.33</v>
          </cell>
          <cell r="C1251">
            <v>990.9</v>
          </cell>
          <cell r="D1251">
            <v>103.82</v>
          </cell>
          <cell r="E1251">
            <v>102.02</v>
          </cell>
          <cell r="F1251">
            <v>102.49</v>
          </cell>
          <cell r="G1251">
            <v>105.65</v>
          </cell>
          <cell r="H1251">
            <v>1087.94</v>
          </cell>
          <cell r="I1251">
            <v>107.41</v>
          </cell>
        </row>
        <row r="1252">
          <cell r="A1252">
            <v>33522</v>
          </cell>
          <cell r="B1252">
            <v>1006.78</v>
          </cell>
          <cell r="C1252">
            <v>989.88</v>
          </cell>
          <cell r="D1252">
            <v>103.44</v>
          </cell>
          <cell r="E1252">
            <v>101.83</v>
          </cell>
          <cell r="F1252">
            <v>102.34</v>
          </cell>
          <cell r="G1252">
            <v>105.07</v>
          </cell>
          <cell r="H1252">
            <v>1090.3</v>
          </cell>
          <cell r="I1252">
            <v>107.49</v>
          </cell>
        </row>
        <row r="1253">
          <cell r="A1253">
            <v>33525</v>
          </cell>
          <cell r="B1253">
            <v>1011.65</v>
          </cell>
          <cell r="C1253">
            <v>990.58</v>
          </cell>
          <cell r="D1253">
            <v>103.73</v>
          </cell>
          <cell r="E1253">
            <v>101.77</v>
          </cell>
          <cell r="F1253">
            <v>102.26</v>
          </cell>
          <cell r="G1253">
            <v>105.73</v>
          </cell>
          <cell r="H1253">
            <v>1083.53</v>
          </cell>
          <cell r="I1253">
            <v>106.88</v>
          </cell>
        </row>
        <row r="1254">
          <cell r="A1254">
            <v>33526</v>
          </cell>
          <cell r="B1254">
            <v>1016.57</v>
          </cell>
          <cell r="C1254">
            <v>1000.39</v>
          </cell>
          <cell r="D1254">
            <v>104.13</v>
          </cell>
          <cell r="E1254">
            <v>102.51</v>
          </cell>
          <cell r="F1254">
            <v>102.82</v>
          </cell>
          <cell r="G1254">
            <v>105.79</v>
          </cell>
          <cell r="H1254">
            <v>1066.19</v>
          </cell>
          <cell r="I1254">
            <v>105.76</v>
          </cell>
        </row>
        <row r="1255">
          <cell r="A1255">
            <v>33527</v>
          </cell>
          <cell r="B1255">
            <v>1015.32</v>
          </cell>
          <cell r="C1255">
            <v>999.18</v>
          </cell>
          <cell r="D1255">
            <v>104.04</v>
          </cell>
          <cell r="E1255">
            <v>102.29</v>
          </cell>
          <cell r="F1255">
            <v>102.69</v>
          </cell>
          <cell r="G1255">
            <v>105.82</v>
          </cell>
          <cell r="H1255">
            <v>1073.3399999999999</v>
          </cell>
          <cell r="I1255">
            <v>105.84</v>
          </cell>
        </row>
        <row r="1256">
          <cell r="A1256">
            <v>33528</v>
          </cell>
          <cell r="B1256">
            <v>1015.8</v>
          </cell>
          <cell r="C1256">
            <v>998.53</v>
          </cell>
          <cell r="D1256">
            <v>104.28</v>
          </cell>
          <cell r="E1256">
            <v>102.38</v>
          </cell>
          <cell r="F1256">
            <v>102.79</v>
          </cell>
          <cell r="G1256">
            <v>106.22</v>
          </cell>
          <cell r="H1256">
            <v>1075.1400000000001</v>
          </cell>
          <cell r="I1256">
            <v>105.98</v>
          </cell>
        </row>
        <row r="1257">
          <cell r="A1257">
            <v>33529</v>
          </cell>
          <cell r="B1257">
            <v>1020.22</v>
          </cell>
          <cell r="C1257">
            <v>999.69</v>
          </cell>
          <cell r="D1257">
            <v>104.47</v>
          </cell>
          <cell r="E1257">
            <v>102.39</v>
          </cell>
          <cell r="F1257">
            <v>102.91</v>
          </cell>
          <cell r="G1257">
            <v>106.59</v>
          </cell>
          <cell r="H1257">
            <v>1083.79</v>
          </cell>
          <cell r="I1257">
            <v>106.73</v>
          </cell>
        </row>
        <row r="1258">
          <cell r="A1258">
            <v>33532</v>
          </cell>
          <cell r="B1258">
            <v>1015.13</v>
          </cell>
          <cell r="C1258">
            <v>999.81</v>
          </cell>
          <cell r="D1258">
            <v>104.02</v>
          </cell>
          <cell r="E1258">
            <v>102.3</v>
          </cell>
          <cell r="F1258">
            <v>102.93</v>
          </cell>
          <cell r="G1258">
            <v>105.77</v>
          </cell>
          <cell r="H1258">
            <v>1097.6400000000001</v>
          </cell>
          <cell r="I1258">
            <v>108.11</v>
          </cell>
        </row>
        <row r="1259">
          <cell r="A1259">
            <v>33533</v>
          </cell>
          <cell r="B1259">
            <v>1014.72</v>
          </cell>
          <cell r="C1259">
            <v>1003.45</v>
          </cell>
          <cell r="D1259">
            <v>103.96</v>
          </cell>
          <cell r="E1259">
            <v>102.48</v>
          </cell>
          <cell r="F1259">
            <v>103.08</v>
          </cell>
          <cell r="G1259">
            <v>105.46</v>
          </cell>
          <cell r="H1259">
            <v>1099.58</v>
          </cell>
          <cell r="I1259">
            <v>108.35</v>
          </cell>
        </row>
        <row r="1260">
          <cell r="A1260">
            <v>33534</v>
          </cell>
          <cell r="B1260">
            <v>1015.07</v>
          </cell>
          <cell r="C1260">
            <v>1002.95</v>
          </cell>
          <cell r="D1260">
            <v>103.89</v>
          </cell>
          <cell r="E1260">
            <v>102.38</v>
          </cell>
          <cell r="F1260">
            <v>102.96</v>
          </cell>
          <cell r="G1260">
            <v>105.43</v>
          </cell>
          <cell r="H1260">
            <v>1096.58</v>
          </cell>
          <cell r="I1260">
            <v>108</v>
          </cell>
        </row>
        <row r="1261">
          <cell r="A1261">
            <v>33535</v>
          </cell>
          <cell r="B1261">
            <v>1007.94</v>
          </cell>
          <cell r="C1261">
            <v>998</v>
          </cell>
          <cell r="D1261">
            <v>103.19</v>
          </cell>
          <cell r="E1261">
            <v>102.07</v>
          </cell>
          <cell r="F1261">
            <v>102.67</v>
          </cell>
          <cell r="G1261">
            <v>104.34</v>
          </cell>
          <cell r="H1261">
            <v>1096.21</v>
          </cell>
          <cell r="I1261">
            <v>107.88</v>
          </cell>
        </row>
        <row r="1262">
          <cell r="A1262">
            <v>33536</v>
          </cell>
          <cell r="B1262">
            <v>1003.04</v>
          </cell>
          <cell r="C1262">
            <v>992.65</v>
          </cell>
          <cell r="D1262">
            <v>102.58</v>
          </cell>
          <cell r="E1262">
            <v>101.55</v>
          </cell>
          <cell r="F1262">
            <v>102.1</v>
          </cell>
          <cell r="G1262">
            <v>103.64</v>
          </cell>
          <cell r="H1262">
            <v>1090.74</v>
          </cell>
          <cell r="I1262">
            <v>107.54</v>
          </cell>
        </row>
        <row r="1263">
          <cell r="A1263">
            <v>33539</v>
          </cell>
          <cell r="B1263">
            <v>1018.74</v>
          </cell>
          <cell r="C1263">
            <v>1002.02</v>
          </cell>
          <cell r="D1263">
            <v>103.69</v>
          </cell>
          <cell r="E1263">
            <v>102.12</v>
          </cell>
          <cell r="F1263">
            <v>102.68</v>
          </cell>
          <cell r="G1263">
            <v>105.29</v>
          </cell>
          <cell r="H1263">
            <v>1096.1099999999999</v>
          </cell>
          <cell r="I1263">
            <v>108.07</v>
          </cell>
        </row>
        <row r="1264">
          <cell r="A1264">
            <v>33540</v>
          </cell>
          <cell r="B1264">
            <v>1020.27</v>
          </cell>
          <cell r="C1264">
            <v>1002.97</v>
          </cell>
          <cell r="D1264">
            <v>103.68</v>
          </cell>
          <cell r="E1264">
            <v>102.13</v>
          </cell>
          <cell r="F1264">
            <v>102.73</v>
          </cell>
          <cell r="G1264">
            <v>105.25</v>
          </cell>
          <cell r="H1264">
            <v>1102.08</v>
          </cell>
          <cell r="I1264">
            <v>108.47</v>
          </cell>
        </row>
        <row r="1265">
          <cell r="A1265">
            <v>33541</v>
          </cell>
          <cell r="B1265">
            <v>1020.12</v>
          </cell>
          <cell r="C1265">
            <v>1000.52</v>
          </cell>
          <cell r="D1265">
            <v>103.78</v>
          </cell>
          <cell r="E1265">
            <v>101.88</v>
          </cell>
          <cell r="F1265">
            <v>102.44</v>
          </cell>
          <cell r="G1265">
            <v>105.7</v>
          </cell>
          <cell r="H1265">
            <v>1098.5</v>
          </cell>
          <cell r="I1265">
            <v>108.13</v>
          </cell>
        </row>
        <row r="1266">
          <cell r="A1266">
            <v>33542</v>
          </cell>
          <cell r="B1266">
            <v>1021.14</v>
          </cell>
          <cell r="C1266">
            <v>1003.13</v>
          </cell>
          <cell r="D1266">
            <v>104.04</v>
          </cell>
          <cell r="E1266">
            <v>102.31</v>
          </cell>
          <cell r="F1266">
            <v>102.9</v>
          </cell>
          <cell r="G1266">
            <v>105.8</v>
          </cell>
          <cell r="H1266">
            <v>1103.6400000000001</v>
          </cell>
          <cell r="I1266">
            <v>108.74</v>
          </cell>
        </row>
        <row r="1267">
          <cell r="A1267">
            <v>33543</v>
          </cell>
          <cell r="B1267">
            <v>1012.77</v>
          </cell>
          <cell r="C1267">
            <v>998.85</v>
          </cell>
          <cell r="D1267">
            <v>103.46</v>
          </cell>
          <cell r="E1267">
            <v>101.99</v>
          </cell>
          <cell r="F1267">
            <v>102.54</v>
          </cell>
          <cell r="G1267">
            <v>104.95</v>
          </cell>
          <cell r="H1267">
            <v>1099.3399999999999</v>
          </cell>
          <cell r="I1267">
            <v>108.51</v>
          </cell>
        </row>
        <row r="1268">
          <cell r="A1268">
            <v>33546</v>
          </cell>
          <cell r="B1268">
            <v>1006.92</v>
          </cell>
          <cell r="C1268">
            <v>994.85</v>
          </cell>
          <cell r="D1268">
            <v>103.09</v>
          </cell>
          <cell r="E1268">
            <v>101.65</v>
          </cell>
          <cell r="F1268">
            <v>102.22</v>
          </cell>
          <cell r="G1268">
            <v>104.55</v>
          </cell>
          <cell r="H1268">
            <v>1095.94</v>
          </cell>
          <cell r="I1268">
            <v>108.22</v>
          </cell>
        </row>
        <row r="1269">
          <cell r="A1269">
            <v>33547</v>
          </cell>
          <cell r="B1269">
            <v>1011.86</v>
          </cell>
          <cell r="C1269">
            <v>998.85</v>
          </cell>
          <cell r="D1269">
            <v>103.54</v>
          </cell>
          <cell r="E1269">
            <v>102.06</v>
          </cell>
          <cell r="F1269">
            <v>102.61</v>
          </cell>
          <cell r="G1269">
            <v>105.05</v>
          </cell>
          <cell r="H1269">
            <v>1095.3399999999999</v>
          </cell>
          <cell r="I1269">
            <v>108.31</v>
          </cell>
        </row>
        <row r="1270">
          <cell r="A1270">
            <v>33548</v>
          </cell>
          <cell r="B1270">
            <v>1006.47</v>
          </cell>
          <cell r="C1270">
            <v>994.26</v>
          </cell>
          <cell r="D1270">
            <v>102.98</v>
          </cell>
          <cell r="E1270">
            <v>101.61</v>
          </cell>
          <cell r="F1270">
            <v>102.18</v>
          </cell>
          <cell r="G1270">
            <v>104.38</v>
          </cell>
          <cell r="H1270">
            <v>1087.1099999999999</v>
          </cell>
          <cell r="I1270">
            <v>107.77</v>
          </cell>
        </row>
        <row r="1271">
          <cell r="A1271">
            <v>33549</v>
          </cell>
          <cell r="B1271">
            <v>1011.27</v>
          </cell>
          <cell r="C1271">
            <v>998.51</v>
          </cell>
          <cell r="D1271">
            <v>103.41</v>
          </cell>
          <cell r="E1271">
            <v>101.95</v>
          </cell>
          <cell r="F1271">
            <v>102.51</v>
          </cell>
          <cell r="G1271">
            <v>104.9</v>
          </cell>
          <cell r="H1271">
            <v>1082.0999999999999</v>
          </cell>
          <cell r="I1271">
            <v>107.47</v>
          </cell>
        </row>
        <row r="1272">
          <cell r="A1272">
            <v>33550</v>
          </cell>
          <cell r="B1272">
            <v>1022.25</v>
          </cell>
          <cell r="C1272">
            <v>1009.88</v>
          </cell>
          <cell r="D1272">
            <v>104.16</v>
          </cell>
          <cell r="E1272">
            <v>102.81</v>
          </cell>
          <cell r="F1272">
            <v>103.34</v>
          </cell>
          <cell r="G1272">
            <v>105.53</v>
          </cell>
          <cell r="H1272">
            <v>1081.24</v>
          </cell>
          <cell r="I1272">
            <v>107.37</v>
          </cell>
        </row>
        <row r="1273">
          <cell r="A1273">
            <v>33553</v>
          </cell>
          <cell r="B1273">
            <v>1022.56</v>
          </cell>
          <cell r="C1273">
            <v>1009.75</v>
          </cell>
          <cell r="D1273">
            <v>103.98</v>
          </cell>
          <cell r="E1273">
            <v>102.71</v>
          </cell>
          <cell r="F1273">
            <v>103.21</v>
          </cell>
          <cell r="G1273">
            <v>105.28</v>
          </cell>
          <cell r="H1273">
            <v>1079.08</v>
          </cell>
          <cell r="I1273">
            <v>106.94</v>
          </cell>
        </row>
        <row r="1274">
          <cell r="A1274">
            <v>33554</v>
          </cell>
          <cell r="B1274">
            <v>1030.5</v>
          </cell>
          <cell r="C1274">
            <v>1014.97</v>
          </cell>
          <cell r="D1274">
            <v>104.4</v>
          </cell>
          <cell r="E1274">
            <v>103.08</v>
          </cell>
          <cell r="F1274">
            <v>103.53</v>
          </cell>
          <cell r="G1274">
            <v>105.75</v>
          </cell>
          <cell r="H1274">
            <v>1072.82</v>
          </cell>
          <cell r="I1274">
            <v>106.6</v>
          </cell>
        </row>
        <row r="1275">
          <cell r="A1275">
            <v>33555</v>
          </cell>
          <cell r="B1275">
            <v>1026.92</v>
          </cell>
          <cell r="C1275">
            <v>1016.98</v>
          </cell>
          <cell r="D1275">
            <v>104.03</v>
          </cell>
          <cell r="E1275">
            <v>103.14</v>
          </cell>
          <cell r="F1275">
            <v>103.57</v>
          </cell>
          <cell r="G1275">
            <v>104.93</v>
          </cell>
          <cell r="H1275">
            <v>1072.5999999999999</v>
          </cell>
          <cell r="I1275">
            <v>106.68</v>
          </cell>
        </row>
        <row r="1276">
          <cell r="A1276">
            <v>33556</v>
          </cell>
          <cell r="B1276">
            <v>1029.78</v>
          </cell>
          <cell r="C1276">
            <v>1020.51</v>
          </cell>
          <cell r="D1276">
            <v>104.22</v>
          </cell>
          <cell r="E1276">
            <v>103.37</v>
          </cell>
          <cell r="F1276">
            <v>103.67</v>
          </cell>
          <cell r="G1276">
            <v>105.09</v>
          </cell>
          <cell r="H1276">
            <v>1055.49</v>
          </cell>
          <cell r="I1276">
            <v>105.4</v>
          </cell>
        </row>
        <row r="1277">
          <cell r="A1277">
            <v>33557</v>
          </cell>
          <cell r="B1277">
            <v>1026.51</v>
          </cell>
          <cell r="C1277">
            <v>1021.82</v>
          </cell>
          <cell r="D1277">
            <v>103.99</v>
          </cell>
          <cell r="E1277">
            <v>103.4</v>
          </cell>
          <cell r="F1277">
            <v>103.66</v>
          </cell>
          <cell r="G1277">
            <v>104.6</v>
          </cell>
          <cell r="H1277">
            <v>1049.48</v>
          </cell>
          <cell r="I1277">
            <v>104.78</v>
          </cell>
        </row>
        <row r="1278">
          <cell r="A1278">
            <v>33560</v>
          </cell>
          <cell r="B1278">
            <v>1004.17</v>
          </cell>
          <cell r="C1278">
            <v>1002.85</v>
          </cell>
          <cell r="D1278">
            <v>102.02</v>
          </cell>
          <cell r="E1278">
            <v>101.74</v>
          </cell>
          <cell r="F1278">
            <v>101.94</v>
          </cell>
          <cell r="G1278">
            <v>102.3</v>
          </cell>
          <cell r="H1278">
            <v>1025.25</v>
          </cell>
          <cell r="I1278">
            <v>102.71</v>
          </cell>
        </row>
        <row r="1279">
          <cell r="A1279">
            <v>33561</v>
          </cell>
          <cell r="B1279">
            <v>991.77</v>
          </cell>
          <cell r="C1279">
            <v>992.68</v>
          </cell>
          <cell r="D1279">
            <v>100.87</v>
          </cell>
          <cell r="E1279">
            <v>100.91</v>
          </cell>
          <cell r="F1279">
            <v>101.13</v>
          </cell>
          <cell r="G1279">
            <v>100.84</v>
          </cell>
          <cell r="H1279">
            <v>1026.3699999999999</v>
          </cell>
          <cell r="I1279">
            <v>102.39</v>
          </cell>
        </row>
        <row r="1280">
          <cell r="A1280">
            <v>33562</v>
          </cell>
          <cell r="B1280">
            <v>995.51</v>
          </cell>
          <cell r="C1280">
            <v>994.3</v>
          </cell>
          <cell r="D1280">
            <v>101.05</v>
          </cell>
          <cell r="E1280">
            <v>100.96</v>
          </cell>
          <cell r="F1280">
            <v>101.15</v>
          </cell>
          <cell r="G1280">
            <v>101.13</v>
          </cell>
          <cell r="H1280">
            <v>1022.79</v>
          </cell>
          <cell r="I1280">
            <v>102.22</v>
          </cell>
        </row>
        <row r="1281">
          <cell r="A1281">
            <v>33563</v>
          </cell>
          <cell r="B1281">
            <v>991.15</v>
          </cell>
          <cell r="C1281">
            <v>992.55</v>
          </cell>
          <cell r="D1281">
            <v>100.66</v>
          </cell>
          <cell r="E1281">
            <v>100.74</v>
          </cell>
          <cell r="F1281">
            <v>100.9</v>
          </cell>
          <cell r="G1281">
            <v>100.58</v>
          </cell>
          <cell r="H1281">
            <v>1022.92</v>
          </cell>
          <cell r="I1281">
            <v>102.16</v>
          </cell>
        </row>
        <row r="1282">
          <cell r="A1282">
            <v>33564</v>
          </cell>
          <cell r="B1282">
            <v>987.99</v>
          </cell>
          <cell r="C1282">
            <v>993.93</v>
          </cell>
          <cell r="D1282">
            <v>100.32</v>
          </cell>
          <cell r="E1282">
            <v>100.8</v>
          </cell>
          <cell r="F1282">
            <v>100.89</v>
          </cell>
          <cell r="G1282">
            <v>99.84</v>
          </cell>
          <cell r="H1282">
            <v>1015.29</v>
          </cell>
          <cell r="I1282">
            <v>101.77</v>
          </cell>
        </row>
        <row r="1283">
          <cell r="A1283">
            <v>33567</v>
          </cell>
          <cell r="B1283">
            <v>985.03</v>
          </cell>
          <cell r="C1283">
            <v>988.24</v>
          </cell>
          <cell r="D1283">
            <v>99.89</v>
          </cell>
          <cell r="E1283">
            <v>100.09</v>
          </cell>
          <cell r="F1283">
            <v>100.13</v>
          </cell>
          <cell r="G1283">
            <v>99.67</v>
          </cell>
          <cell r="H1283">
            <v>1000.04</v>
          </cell>
          <cell r="I1283">
            <v>100.31</v>
          </cell>
        </row>
        <row r="1284">
          <cell r="A1284">
            <v>33568</v>
          </cell>
          <cell r="B1284">
            <v>988.53</v>
          </cell>
          <cell r="C1284">
            <v>994.34</v>
          </cell>
          <cell r="D1284">
            <v>100.29</v>
          </cell>
          <cell r="E1284">
            <v>100.58</v>
          </cell>
          <cell r="F1284">
            <v>100.65</v>
          </cell>
          <cell r="G1284">
            <v>99.98</v>
          </cell>
          <cell r="H1284">
            <v>1004.12</v>
          </cell>
          <cell r="I1284">
            <v>100.13</v>
          </cell>
        </row>
        <row r="1285">
          <cell r="A1285">
            <v>33569</v>
          </cell>
          <cell r="B1285">
            <v>984.55</v>
          </cell>
          <cell r="C1285">
            <v>991.02</v>
          </cell>
          <cell r="D1285">
            <v>100.01</v>
          </cell>
          <cell r="E1285">
            <v>100.36</v>
          </cell>
          <cell r="F1285">
            <v>100.44</v>
          </cell>
          <cell r="G1285">
            <v>99.65</v>
          </cell>
          <cell r="H1285">
            <v>1006.37</v>
          </cell>
          <cell r="I1285">
            <v>100.44</v>
          </cell>
        </row>
        <row r="1286">
          <cell r="A1286">
            <v>33570</v>
          </cell>
          <cell r="B1286">
            <v>981.66</v>
          </cell>
          <cell r="C1286">
            <v>990.57</v>
          </cell>
          <cell r="D1286">
            <v>99.54</v>
          </cell>
          <cell r="E1286">
            <v>100.2</v>
          </cell>
          <cell r="F1286">
            <v>100.27</v>
          </cell>
          <cell r="G1286">
            <v>98.87</v>
          </cell>
          <cell r="H1286">
            <v>1009.63</v>
          </cell>
          <cell r="I1286">
            <v>100.64</v>
          </cell>
        </row>
        <row r="1287">
          <cell r="A1287">
            <v>33571</v>
          </cell>
          <cell r="B1287">
            <v>983.38</v>
          </cell>
          <cell r="C1287">
            <v>985.85</v>
          </cell>
          <cell r="D1287">
            <v>99.56</v>
          </cell>
          <cell r="E1287">
            <v>99.77</v>
          </cell>
          <cell r="F1287">
            <v>99.91</v>
          </cell>
          <cell r="G1287">
            <v>99.33</v>
          </cell>
          <cell r="H1287">
            <v>1015.89</v>
          </cell>
          <cell r="I1287">
            <v>101.02</v>
          </cell>
        </row>
        <row r="1288">
          <cell r="A1288">
            <v>33574</v>
          </cell>
          <cell r="B1288">
            <v>974.38</v>
          </cell>
          <cell r="C1288">
            <v>974.07</v>
          </cell>
          <cell r="D1288">
            <v>98.43</v>
          </cell>
          <cell r="E1288">
            <v>98.5</v>
          </cell>
          <cell r="F1288">
            <v>98.59</v>
          </cell>
          <cell r="G1288">
            <v>98.36</v>
          </cell>
          <cell r="H1288">
            <v>997.3</v>
          </cell>
          <cell r="I1288">
            <v>99.3</v>
          </cell>
        </row>
        <row r="1289">
          <cell r="A1289">
            <v>33575</v>
          </cell>
          <cell r="B1289">
            <v>979.1</v>
          </cell>
          <cell r="C1289">
            <v>981.09</v>
          </cell>
          <cell r="D1289">
            <v>98.75</v>
          </cell>
          <cell r="E1289">
            <v>99.04</v>
          </cell>
          <cell r="F1289">
            <v>99.1</v>
          </cell>
          <cell r="G1289">
            <v>98.45</v>
          </cell>
          <cell r="H1289">
            <v>1001.13</v>
          </cell>
          <cell r="I1289">
            <v>99.42</v>
          </cell>
        </row>
        <row r="1290">
          <cell r="A1290">
            <v>33576</v>
          </cell>
          <cell r="B1290">
            <v>979.05</v>
          </cell>
          <cell r="C1290">
            <v>980.16</v>
          </cell>
          <cell r="D1290">
            <v>98.76</v>
          </cell>
          <cell r="E1290">
            <v>98.95</v>
          </cell>
          <cell r="F1290">
            <v>99.05</v>
          </cell>
          <cell r="G1290">
            <v>98.56</v>
          </cell>
          <cell r="H1290">
            <v>998.55</v>
          </cell>
          <cell r="I1290">
            <v>99.53</v>
          </cell>
        </row>
        <row r="1291">
          <cell r="A1291">
            <v>33577</v>
          </cell>
          <cell r="B1291">
            <v>975.9</v>
          </cell>
          <cell r="C1291">
            <v>979.66</v>
          </cell>
          <cell r="D1291">
            <v>98.34</v>
          </cell>
          <cell r="E1291">
            <v>98.82</v>
          </cell>
          <cell r="F1291">
            <v>98.87</v>
          </cell>
          <cell r="G1291">
            <v>97.86</v>
          </cell>
          <cell r="H1291">
            <v>991.7</v>
          </cell>
          <cell r="I1291">
            <v>99.16</v>
          </cell>
        </row>
        <row r="1292">
          <cell r="A1292">
            <v>33578</v>
          </cell>
          <cell r="B1292">
            <v>967.57</v>
          </cell>
          <cell r="C1292">
            <v>973.94</v>
          </cell>
          <cell r="D1292">
            <v>97.61</v>
          </cell>
          <cell r="E1292">
            <v>98.14</v>
          </cell>
          <cell r="F1292">
            <v>98.29</v>
          </cell>
          <cell r="G1292">
            <v>97.07</v>
          </cell>
          <cell r="H1292">
            <v>993.4</v>
          </cell>
          <cell r="I1292">
            <v>99.34</v>
          </cell>
        </row>
        <row r="1293">
          <cell r="A1293">
            <v>33581</v>
          </cell>
          <cell r="B1293">
            <v>967.88</v>
          </cell>
          <cell r="C1293">
            <v>969.4</v>
          </cell>
          <cell r="D1293">
            <v>97.51</v>
          </cell>
          <cell r="E1293">
            <v>97.54</v>
          </cell>
          <cell r="F1293">
            <v>97.77</v>
          </cell>
          <cell r="G1293">
            <v>97.49</v>
          </cell>
          <cell r="H1293">
            <v>989.83</v>
          </cell>
          <cell r="I1293">
            <v>99.16</v>
          </cell>
        </row>
        <row r="1294">
          <cell r="A1294">
            <v>33582</v>
          </cell>
          <cell r="B1294">
            <v>959.44</v>
          </cell>
          <cell r="C1294">
            <v>960.99</v>
          </cell>
          <cell r="D1294">
            <v>96.71</v>
          </cell>
          <cell r="E1294">
            <v>96.48</v>
          </cell>
          <cell r="F1294">
            <v>96.76</v>
          </cell>
          <cell r="G1294">
            <v>96.94</v>
          </cell>
          <cell r="H1294">
            <v>985.07</v>
          </cell>
          <cell r="I1294">
            <v>98.66</v>
          </cell>
        </row>
        <row r="1295">
          <cell r="A1295">
            <v>33583</v>
          </cell>
          <cell r="B1295">
            <v>960.15</v>
          </cell>
          <cell r="C1295">
            <v>962.77</v>
          </cell>
          <cell r="D1295">
            <v>96.63</v>
          </cell>
          <cell r="E1295">
            <v>96.53</v>
          </cell>
          <cell r="F1295">
            <v>96.76</v>
          </cell>
          <cell r="G1295">
            <v>96.73</v>
          </cell>
          <cell r="H1295">
            <v>980.24</v>
          </cell>
          <cell r="I1295">
            <v>98.26</v>
          </cell>
        </row>
        <row r="1296">
          <cell r="A1296">
            <v>33584</v>
          </cell>
          <cell r="B1296">
            <v>972.5</v>
          </cell>
          <cell r="C1296">
            <v>969.05</v>
          </cell>
          <cell r="D1296">
            <v>97.69</v>
          </cell>
          <cell r="E1296">
            <v>97.08</v>
          </cell>
          <cell r="F1296">
            <v>97.25</v>
          </cell>
          <cell r="G1296">
            <v>98.3</v>
          </cell>
          <cell r="H1296">
            <v>983.03</v>
          </cell>
          <cell r="I1296">
            <v>98.51</v>
          </cell>
        </row>
        <row r="1297">
          <cell r="A1297">
            <v>33585</v>
          </cell>
          <cell r="B1297">
            <v>984.19</v>
          </cell>
          <cell r="C1297">
            <v>977.91</v>
          </cell>
          <cell r="D1297">
            <v>98.81</v>
          </cell>
          <cell r="E1297">
            <v>97.86</v>
          </cell>
          <cell r="F1297">
            <v>98.02</v>
          </cell>
          <cell r="G1297">
            <v>99.78</v>
          </cell>
          <cell r="H1297">
            <v>989.35</v>
          </cell>
          <cell r="I1297">
            <v>99.07</v>
          </cell>
        </row>
        <row r="1298">
          <cell r="A1298">
            <v>33588</v>
          </cell>
          <cell r="B1298">
            <v>981.57</v>
          </cell>
          <cell r="C1298">
            <v>978.27</v>
          </cell>
          <cell r="D1298">
            <v>98.46</v>
          </cell>
          <cell r="E1298">
            <v>97.84</v>
          </cell>
          <cell r="F1298">
            <v>97.91</v>
          </cell>
          <cell r="G1298">
            <v>99.09</v>
          </cell>
          <cell r="H1298">
            <v>975.85</v>
          </cell>
          <cell r="I1298">
            <v>97.98</v>
          </cell>
        </row>
        <row r="1299">
          <cell r="A1299">
            <v>33589</v>
          </cell>
          <cell r="B1299">
            <v>979.83</v>
          </cell>
          <cell r="C1299">
            <v>980.8</v>
          </cell>
          <cell r="D1299">
            <v>98.09</v>
          </cell>
          <cell r="E1299">
            <v>97.94</v>
          </cell>
          <cell r="F1299">
            <v>97.97</v>
          </cell>
          <cell r="G1299">
            <v>98.24</v>
          </cell>
          <cell r="H1299">
            <v>977.07</v>
          </cell>
          <cell r="I1299">
            <v>97.93</v>
          </cell>
        </row>
        <row r="1300">
          <cell r="A1300">
            <v>33590</v>
          </cell>
          <cell r="B1300">
            <v>983.24</v>
          </cell>
          <cell r="C1300">
            <v>986.11</v>
          </cell>
          <cell r="D1300">
            <v>98.34</v>
          </cell>
          <cell r="E1300">
            <v>98.37</v>
          </cell>
          <cell r="F1300">
            <v>98.41</v>
          </cell>
          <cell r="G1300">
            <v>98.3</v>
          </cell>
          <cell r="H1300">
            <v>982.7</v>
          </cell>
          <cell r="I1300">
            <v>98.55</v>
          </cell>
        </row>
        <row r="1301">
          <cell r="A1301">
            <v>33591</v>
          </cell>
          <cell r="B1301">
            <v>972.61</v>
          </cell>
          <cell r="C1301">
            <v>976.26</v>
          </cell>
          <cell r="D1301">
            <v>97.21</v>
          </cell>
          <cell r="E1301">
            <v>97.49</v>
          </cell>
          <cell r="F1301">
            <v>97.46</v>
          </cell>
          <cell r="G1301">
            <v>96.93</v>
          </cell>
          <cell r="H1301">
            <v>964.03</v>
          </cell>
          <cell r="I1301">
            <v>97.03</v>
          </cell>
        </row>
        <row r="1302">
          <cell r="A1302">
            <v>33592</v>
          </cell>
          <cell r="B1302">
            <v>957.3</v>
          </cell>
          <cell r="C1302">
            <v>963.56</v>
          </cell>
          <cell r="D1302">
            <v>95.9</v>
          </cell>
          <cell r="E1302">
            <v>96.24</v>
          </cell>
          <cell r="F1302">
            <v>96.26</v>
          </cell>
          <cell r="G1302">
            <v>95.56</v>
          </cell>
          <cell r="H1302">
            <v>954.34</v>
          </cell>
          <cell r="I1302">
            <v>96.01</v>
          </cell>
        </row>
        <row r="1303">
          <cell r="A1303">
            <v>33595</v>
          </cell>
          <cell r="B1303">
            <v>957.45</v>
          </cell>
          <cell r="C1303">
            <v>965.28</v>
          </cell>
          <cell r="D1303">
            <v>95.87</v>
          </cell>
          <cell r="E1303">
            <v>96.44</v>
          </cell>
          <cell r="F1303">
            <v>96.5</v>
          </cell>
          <cell r="G1303">
            <v>95.29</v>
          </cell>
          <cell r="H1303">
            <v>964.4</v>
          </cell>
          <cell r="I1303">
            <v>96.7</v>
          </cell>
        </row>
        <row r="1304">
          <cell r="A1304">
            <v>33596</v>
          </cell>
          <cell r="B1304">
            <v>970.61</v>
          </cell>
          <cell r="C1304">
            <v>976.29</v>
          </cell>
          <cell r="D1304">
            <v>97.05</v>
          </cell>
          <cell r="E1304">
            <v>97.4</v>
          </cell>
          <cell r="F1304">
            <v>97.43</v>
          </cell>
          <cell r="G1304">
            <v>96.69</v>
          </cell>
          <cell r="H1304">
            <v>964.54</v>
          </cell>
          <cell r="I1304">
            <v>96.72</v>
          </cell>
        </row>
        <row r="1305">
          <cell r="A1305">
            <v>33597</v>
          </cell>
          <cell r="B1305">
            <v>970.61</v>
          </cell>
          <cell r="C1305">
            <v>976.29</v>
          </cell>
          <cell r="D1305">
            <v>97.05</v>
          </cell>
          <cell r="E1305">
            <v>97.4</v>
          </cell>
          <cell r="F1305">
            <v>97.43</v>
          </cell>
          <cell r="G1305">
            <v>96.69</v>
          </cell>
          <cell r="H1305">
            <v>964.54</v>
          </cell>
          <cell r="I1305">
            <v>96.72</v>
          </cell>
        </row>
        <row r="1306">
          <cell r="A1306">
            <v>33598</v>
          </cell>
          <cell r="B1306">
            <v>969.99</v>
          </cell>
          <cell r="C1306">
            <v>977.88</v>
          </cell>
          <cell r="D1306">
            <v>97.02</v>
          </cell>
          <cell r="E1306">
            <v>97.61</v>
          </cell>
          <cell r="F1306">
            <v>97.57</v>
          </cell>
          <cell r="G1306">
            <v>96.41</v>
          </cell>
          <cell r="H1306">
            <v>963.65</v>
          </cell>
          <cell r="I1306">
            <v>96.64</v>
          </cell>
        </row>
        <row r="1307">
          <cell r="A1307">
            <v>33599</v>
          </cell>
          <cell r="B1307">
            <v>981.51</v>
          </cell>
          <cell r="C1307">
            <v>985.78</v>
          </cell>
          <cell r="D1307">
            <v>98.12</v>
          </cell>
          <cell r="E1307">
            <v>98.43</v>
          </cell>
          <cell r="F1307">
            <v>98.53</v>
          </cell>
          <cell r="G1307">
            <v>97.81</v>
          </cell>
          <cell r="H1307">
            <v>992.8</v>
          </cell>
          <cell r="I1307">
            <v>98.96</v>
          </cell>
        </row>
        <row r="1308">
          <cell r="A1308">
            <v>33602</v>
          </cell>
          <cell r="B1308">
            <v>985.41</v>
          </cell>
          <cell r="C1308">
            <v>996.85</v>
          </cell>
          <cell r="D1308">
            <v>98.73</v>
          </cell>
          <cell r="E1308">
            <v>99.5</v>
          </cell>
          <cell r="F1308">
            <v>99.59</v>
          </cell>
          <cell r="G1308">
            <v>97.95</v>
          </cell>
          <cell r="H1308">
            <v>1000.68</v>
          </cell>
          <cell r="I1308">
            <v>100.07</v>
          </cell>
        </row>
        <row r="1309">
          <cell r="A1309">
            <v>33603</v>
          </cell>
          <cell r="B1309">
            <v>1000</v>
          </cell>
          <cell r="C1309">
            <v>1000</v>
          </cell>
          <cell r="D1309">
            <v>100</v>
          </cell>
          <cell r="E1309">
            <v>100</v>
          </cell>
          <cell r="F1309">
            <v>100</v>
          </cell>
          <cell r="G1309">
            <v>100</v>
          </cell>
          <cell r="H1309">
            <v>1000</v>
          </cell>
          <cell r="I1309">
            <v>100</v>
          </cell>
        </row>
        <row r="1310">
          <cell r="A1310">
            <v>33605</v>
          </cell>
          <cell r="B1310">
            <v>1003.24</v>
          </cell>
          <cell r="C1310">
            <v>1004.03</v>
          </cell>
          <cell r="D1310">
            <v>100.36</v>
          </cell>
          <cell r="E1310">
            <v>100.21</v>
          </cell>
          <cell r="F1310">
            <v>100.25</v>
          </cell>
          <cell r="G1310">
            <v>100.5</v>
          </cell>
          <cell r="H1310">
            <v>1007.62</v>
          </cell>
          <cell r="I1310">
            <v>100.98</v>
          </cell>
        </row>
        <row r="1311">
          <cell r="A1311">
            <v>33606</v>
          </cell>
          <cell r="B1311">
            <v>1000.39</v>
          </cell>
          <cell r="C1311">
            <v>1001.2</v>
          </cell>
          <cell r="D1311">
            <v>100.03</v>
          </cell>
          <cell r="E1311">
            <v>99.97</v>
          </cell>
          <cell r="F1311">
            <v>100.08</v>
          </cell>
          <cell r="G1311">
            <v>100.08</v>
          </cell>
          <cell r="H1311">
            <v>998.3</v>
          </cell>
          <cell r="I1311">
            <v>100.13</v>
          </cell>
        </row>
        <row r="1312">
          <cell r="A1312">
            <v>33609</v>
          </cell>
          <cell r="B1312">
            <v>1009.83</v>
          </cell>
          <cell r="C1312">
            <v>1014.3</v>
          </cell>
          <cell r="D1312">
            <v>101.36</v>
          </cell>
          <cell r="E1312">
            <v>101.49</v>
          </cell>
          <cell r="F1312">
            <v>101.67</v>
          </cell>
          <cell r="G1312">
            <v>101.25</v>
          </cell>
          <cell r="H1312">
            <v>1013.61</v>
          </cell>
          <cell r="I1312">
            <v>101.79</v>
          </cell>
        </row>
        <row r="1313">
          <cell r="A1313">
            <v>33610</v>
          </cell>
          <cell r="B1313">
            <v>1007.73</v>
          </cell>
          <cell r="C1313">
            <v>1012.6</v>
          </cell>
          <cell r="D1313">
            <v>101.15</v>
          </cell>
          <cell r="E1313">
            <v>101.48</v>
          </cell>
          <cell r="F1313">
            <v>101.64</v>
          </cell>
          <cell r="G1313">
            <v>100.83</v>
          </cell>
          <cell r="H1313">
            <v>1018.12</v>
          </cell>
          <cell r="I1313">
            <v>102.15</v>
          </cell>
        </row>
        <row r="1314">
          <cell r="A1314">
            <v>33611</v>
          </cell>
          <cell r="B1314">
            <v>994.25</v>
          </cell>
          <cell r="C1314">
            <v>1004.03</v>
          </cell>
          <cell r="D1314">
            <v>99.93</v>
          </cell>
          <cell r="E1314">
            <v>100.64</v>
          </cell>
          <cell r="F1314">
            <v>100.77</v>
          </cell>
          <cell r="G1314">
            <v>99.24</v>
          </cell>
          <cell r="H1314">
            <v>1005.44</v>
          </cell>
          <cell r="I1314">
            <v>101.03</v>
          </cell>
        </row>
        <row r="1315">
          <cell r="A1315">
            <v>33612</v>
          </cell>
          <cell r="B1315">
            <v>996.31</v>
          </cell>
          <cell r="C1315">
            <v>1004.41</v>
          </cell>
          <cell r="D1315">
            <v>100.2</v>
          </cell>
          <cell r="E1315">
            <v>100.96</v>
          </cell>
          <cell r="F1315">
            <v>101.16</v>
          </cell>
          <cell r="G1315">
            <v>99.47</v>
          </cell>
          <cell r="H1315">
            <v>1018.45</v>
          </cell>
          <cell r="I1315">
            <v>102.25</v>
          </cell>
        </row>
        <row r="1316">
          <cell r="A1316">
            <v>33613</v>
          </cell>
          <cell r="B1316">
            <v>1005.39</v>
          </cell>
          <cell r="C1316">
            <v>1020.41</v>
          </cell>
          <cell r="D1316">
            <v>101.18</v>
          </cell>
          <cell r="E1316">
            <v>102.6</v>
          </cell>
          <cell r="F1316">
            <v>102.78</v>
          </cell>
          <cell r="G1316">
            <v>99.8</v>
          </cell>
          <cell r="H1316">
            <v>1032.73</v>
          </cell>
          <cell r="I1316">
            <v>103.58</v>
          </cell>
        </row>
        <row r="1317">
          <cell r="A1317">
            <v>33616</v>
          </cell>
          <cell r="B1317">
            <v>1010</v>
          </cell>
          <cell r="C1317">
            <v>1022.82</v>
          </cell>
          <cell r="D1317">
            <v>101.58</v>
          </cell>
          <cell r="E1317">
            <v>102.82</v>
          </cell>
          <cell r="F1317">
            <v>102.96</v>
          </cell>
          <cell r="G1317">
            <v>100.37</v>
          </cell>
          <cell r="H1317">
            <v>1029.48</v>
          </cell>
          <cell r="I1317">
            <v>103.48</v>
          </cell>
        </row>
        <row r="1318">
          <cell r="A1318">
            <v>33617</v>
          </cell>
          <cell r="B1318">
            <v>1016.77</v>
          </cell>
          <cell r="C1318">
            <v>1028.99</v>
          </cell>
          <cell r="D1318">
            <v>102.48</v>
          </cell>
          <cell r="E1318">
            <v>103.56</v>
          </cell>
          <cell r="F1318">
            <v>103.74</v>
          </cell>
          <cell r="G1318">
            <v>101.44</v>
          </cell>
          <cell r="H1318">
            <v>1040.55</v>
          </cell>
          <cell r="I1318">
            <v>104.68</v>
          </cell>
        </row>
        <row r="1319">
          <cell r="A1319">
            <v>33618</v>
          </cell>
          <cell r="B1319">
            <v>1032.5999999999999</v>
          </cell>
          <cell r="C1319">
            <v>1050.45</v>
          </cell>
          <cell r="D1319">
            <v>103.94</v>
          </cell>
          <cell r="E1319">
            <v>105.42</v>
          </cell>
          <cell r="F1319">
            <v>105.52</v>
          </cell>
          <cell r="G1319">
            <v>102.51</v>
          </cell>
          <cell r="H1319">
            <v>1051.26</v>
          </cell>
          <cell r="I1319">
            <v>105.62</v>
          </cell>
        </row>
        <row r="1320">
          <cell r="A1320">
            <v>33619</v>
          </cell>
          <cell r="B1320">
            <v>1031.92</v>
          </cell>
          <cell r="C1320">
            <v>1050.79</v>
          </cell>
          <cell r="D1320">
            <v>104.47</v>
          </cell>
          <cell r="E1320">
            <v>105.77</v>
          </cell>
          <cell r="F1320">
            <v>105.81</v>
          </cell>
          <cell r="G1320">
            <v>103.2</v>
          </cell>
          <cell r="H1320">
            <v>1050.25</v>
          </cell>
          <cell r="I1320">
            <v>105.71</v>
          </cell>
        </row>
        <row r="1321">
          <cell r="A1321">
            <v>33620</v>
          </cell>
          <cell r="B1321">
            <v>1025.8800000000001</v>
          </cell>
          <cell r="C1321">
            <v>1045.3699999999999</v>
          </cell>
          <cell r="D1321">
            <v>104.22</v>
          </cell>
          <cell r="E1321">
            <v>105.34</v>
          </cell>
          <cell r="F1321">
            <v>105.35</v>
          </cell>
          <cell r="G1321">
            <v>103.14</v>
          </cell>
          <cell r="H1321">
            <v>1051.8699999999999</v>
          </cell>
          <cell r="I1321">
            <v>105.36</v>
          </cell>
        </row>
        <row r="1322">
          <cell r="A1322">
            <v>33623</v>
          </cell>
          <cell r="B1322">
            <v>1032.24</v>
          </cell>
          <cell r="C1322">
            <v>1048.98</v>
          </cell>
          <cell r="D1322">
            <v>104.65</v>
          </cell>
          <cell r="E1322">
            <v>105.59</v>
          </cell>
          <cell r="F1322">
            <v>105.69</v>
          </cell>
          <cell r="G1322">
            <v>103.75</v>
          </cell>
          <cell r="H1322">
            <v>1062.4100000000001</v>
          </cell>
          <cell r="I1322">
            <v>106.45</v>
          </cell>
        </row>
        <row r="1323">
          <cell r="A1323">
            <v>33624</v>
          </cell>
          <cell r="B1323">
            <v>1034.01</v>
          </cell>
          <cell r="C1323">
            <v>1053.99</v>
          </cell>
          <cell r="D1323">
            <v>104.64</v>
          </cell>
          <cell r="E1323">
            <v>105.83</v>
          </cell>
          <cell r="F1323">
            <v>105.85</v>
          </cell>
          <cell r="G1323">
            <v>103.48</v>
          </cell>
          <cell r="H1323">
            <v>1053.26</v>
          </cell>
          <cell r="I1323">
            <v>105.79</v>
          </cell>
        </row>
        <row r="1324">
          <cell r="A1324">
            <v>33625</v>
          </cell>
          <cell r="B1324">
            <v>1025.7</v>
          </cell>
          <cell r="C1324">
            <v>1046.6400000000001</v>
          </cell>
          <cell r="D1324">
            <v>104</v>
          </cell>
          <cell r="E1324">
            <v>105.21</v>
          </cell>
          <cell r="F1324">
            <v>105.27</v>
          </cell>
          <cell r="G1324">
            <v>102.83</v>
          </cell>
          <cell r="H1324">
            <v>1042.51</v>
          </cell>
          <cell r="I1324">
            <v>105.08</v>
          </cell>
        </row>
        <row r="1325">
          <cell r="A1325">
            <v>33626</v>
          </cell>
          <cell r="B1325">
            <v>1020.97</v>
          </cell>
          <cell r="C1325">
            <v>1039.8699999999999</v>
          </cell>
          <cell r="D1325">
            <v>103.55</v>
          </cell>
          <cell r="E1325">
            <v>104.74</v>
          </cell>
          <cell r="F1325">
            <v>104.83</v>
          </cell>
          <cell r="G1325">
            <v>102.39</v>
          </cell>
          <cell r="H1325">
            <v>1047.1600000000001</v>
          </cell>
          <cell r="I1325">
            <v>105.08</v>
          </cell>
        </row>
        <row r="1326">
          <cell r="A1326">
            <v>33627</v>
          </cell>
          <cell r="B1326">
            <v>1019</v>
          </cell>
          <cell r="C1326">
            <v>1040.46</v>
          </cell>
          <cell r="D1326">
            <v>103.37</v>
          </cell>
          <cell r="E1326">
            <v>104.85</v>
          </cell>
          <cell r="F1326">
            <v>104.96</v>
          </cell>
          <cell r="G1326">
            <v>101.94</v>
          </cell>
          <cell r="H1326">
            <v>1050.3699999999999</v>
          </cell>
          <cell r="I1326">
            <v>105.28</v>
          </cell>
        </row>
        <row r="1327">
          <cell r="A1327">
            <v>33630</v>
          </cell>
          <cell r="B1327">
            <v>1038.95</v>
          </cell>
          <cell r="C1327">
            <v>1056.28</v>
          </cell>
          <cell r="D1327">
            <v>105.09</v>
          </cell>
          <cell r="E1327">
            <v>106.32</v>
          </cell>
          <cell r="F1327">
            <v>106.39</v>
          </cell>
          <cell r="G1327">
            <v>103.88</v>
          </cell>
          <cell r="H1327">
            <v>1061.3900000000001</v>
          </cell>
          <cell r="I1327">
            <v>105.95</v>
          </cell>
        </row>
        <row r="1328">
          <cell r="A1328">
            <v>33631</v>
          </cell>
          <cell r="B1328">
            <v>1038.01</v>
          </cell>
          <cell r="C1328">
            <v>1055.7</v>
          </cell>
          <cell r="D1328">
            <v>105.06</v>
          </cell>
          <cell r="E1328">
            <v>106.32</v>
          </cell>
          <cell r="F1328">
            <v>106.33</v>
          </cell>
          <cell r="G1328">
            <v>103.83</v>
          </cell>
          <cell r="H1328">
            <v>1055</v>
          </cell>
          <cell r="I1328">
            <v>105.66</v>
          </cell>
        </row>
        <row r="1329">
          <cell r="A1329">
            <v>33632</v>
          </cell>
          <cell r="B1329">
            <v>1036.81</v>
          </cell>
          <cell r="C1329">
            <v>1051.94</v>
          </cell>
          <cell r="D1329">
            <v>105</v>
          </cell>
          <cell r="E1329">
            <v>106.13</v>
          </cell>
          <cell r="F1329">
            <v>106.05</v>
          </cell>
          <cell r="G1329">
            <v>103.9</v>
          </cell>
          <cell r="H1329">
            <v>1053.3699999999999</v>
          </cell>
          <cell r="I1329">
            <v>105.57</v>
          </cell>
        </row>
        <row r="1330">
          <cell r="A1330">
            <v>33633</v>
          </cell>
          <cell r="B1330">
            <v>1038.3499999999999</v>
          </cell>
          <cell r="C1330">
            <v>1051.31</v>
          </cell>
          <cell r="D1330">
            <v>105.1</v>
          </cell>
          <cell r="E1330">
            <v>106.02</v>
          </cell>
          <cell r="F1330">
            <v>105.91</v>
          </cell>
          <cell r="G1330">
            <v>104.21</v>
          </cell>
          <cell r="H1330">
            <v>1037.5</v>
          </cell>
          <cell r="I1330">
            <v>104.29</v>
          </cell>
        </row>
        <row r="1331">
          <cell r="A1331">
            <v>33634</v>
          </cell>
          <cell r="B1331">
            <v>1035.71</v>
          </cell>
          <cell r="C1331">
            <v>1045.71</v>
          </cell>
          <cell r="D1331">
            <v>104.93</v>
          </cell>
          <cell r="E1331">
            <v>105.59</v>
          </cell>
          <cell r="F1331">
            <v>105.54</v>
          </cell>
          <cell r="G1331">
            <v>104.29</v>
          </cell>
          <cell r="H1331">
            <v>1042.32</v>
          </cell>
          <cell r="I1331">
            <v>104.75</v>
          </cell>
        </row>
        <row r="1332">
          <cell r="A1332">
            <v>33637</v>
          </cell>
          <cell r="B1332">
            <v>1043.53</v>
          </cell>
          <cell r="C1332">
            <v>1056.81</v>
          </cell>
          <cell r="D1332">
            <v>105.81</v>
          </cell>
          <cell r="E1332">
            <v>106.81</v>
          </cell>
          <cell r="F1332">
            <v>106.71</v>
          </cell>
          <cell r="G1332">
            <v>104.85</v>
          </cell>
          <cell r="H1332">
            <v>1040.76</v>
          </cell>
          <cell r="I1332">
            <v>104.81</v>
          </cell>
        </row>
        <row r="1333">
          <cell r="A1333">
            <v>33638</v>
          </cell>
          <cell r="B1333">
            <v>1031.57</v>
          </cell>
          <cell r="C1333">
            <v>1044.47</v>
          </cell>
          <cell r="D1333">
            <v>104.73</v>
          </cell>
          <cell r="E1333">
            <v>105.73</v>
          </cell>
          <cell r="F1333">
            <v>105.66</v>
          </cell>
          <cell r="G1333">
            <v>103.76</v>
          </cell>
          <cell r="H1333">
            <v>1038.55</v>
          </cell>
          <cell r="I1333">
            <v>104.21</v>
          </cell>
        </row>
        <row r="1334">
          <cell r="A1334">
            <v>33639</v>
          </cell>
          <cell r="B1334">
            <v>1042.9000000000001</v>
          </cell>
          <cell r="C1334">
            <v>1058.1199999999999</v>
          </cell>
          <cell r="D1334">
            <v>105.87</v>
          </cell>
          <cell r="E1334">
            <v>107.13</v>
          </cell>
          <cell r="F1334">
            <v>107.1</v>
          </cell>
          <cell r="G1334">
            <v>104.65</v>
          </cell>
          <cell r="H1334">
            <v>1055.93</v>
          </cell>
          <cell r="I1334">
            <v>105.67</v>
          </cell>
        </row>
        <row r="1335">
          <cell r="A1335">
            <v>33640</v>
          </cell>
          <cell r="B1335">
            <v>1037.3399999999999</v>
          </cell>
          <cell r="C1335">
            <v>1054.44</v>
          </cell>
          <cell r="D1335">
            <v>105.31</v>
          </cell>
          <cell r="E1335">
            <v>106.77</v>
          </cell>
          <cell r="F1335">
            <v>106.73</v>
          </cell>
          <cell r="G1335">
            <v>103.88</v>
          </cell>
          <cell r="H1335">
            <v>1046.3800000000001</v>
          </cell>
          <cell r="I1335">
            <v>105.09</v>
          </cell>
        </row>
        <row r="1336">
          <cell r="A1336">
            <v>33641</v>
          </cell>
          <cell r="B1336">
            <v>1042.19</v>
          </cell>
          <cell r="C1336">
            <v>1061.81</v>
          </cell>
          <cell r="D1336">
            <v>105.84</v>
          </cell>
          <cell r="E1336">
            <v>107.47</v>
          </cell>
          <cell r="F1336">
            <v>107.48</v>
          </cell>
          <cell r="G1336">
            <v>104.26</v>
          </cell>
          <cell r="H1336">
            <v>1055.8900000000001</v>
          </cell>
          <cell r="I1336">
            <v>105.95</v>
          </cell>
        </row>
        <row r="1337">
          <cell r="A1337">
            <v>33644</v>
          </cell>
          <cell r="B1337">
            <v>1027.93</v>
          </cell>
          <cell r="C1337">
            <v>1042.6300000000001</v>
          </cell>
          <cell r="D1337">
            <v>104.16</v>
          </cell>
          <cell r="E1337">
            <v>105.57</v>
          </cell>
          <cell r="F1337">
            <v>105.46</v>
          </cell>
          <cell r="G1337">
            <v>102.79</v>
          </cell>
          <cell r="H1337">
            <v>1028.5999999999999</v>
          </cell>
          <cell r="I1337">
            <v>103.36</v>
          </cell>
        </row>
        <row r="1338">
          <cell r="A1338">
            <v>33645</v>
          </cell>
          <cell r="B1338">
            <v>1031.81</v>
          </cell>
          <cell r="C1338">
            <v>1046.78</v>
          </cell>
          <cell r="D1338">
            <v>104.52</v>
          </cell>
          <cell r="E1338">
            <v>106.01</v>
          </cell>
          <cell r="F1338">
            <v>105.88</v>
          </cell>
          <cell r="G1338">
            <v>103.06</v>
          </cell>
          <cell r="H1338">
            <v>1031.74</v>
          </cell>
          <cell r="I1338">
            <v>103.53</v>
          </cell>
        </row>
        <row r="1339">
          <cell r="A1339">
            <v>33646</v>
          </cell>
          <cell r="B1339">
            <v>1030.04</v>
          </cell>
          <cell r="C1339">
            <v>1046.48</v>
          </cell>
          <cell r="D1339">
            <v>104.48</v>
          </cell>
          <cell r="E1339">
            <v>106</v>
          </cell>
          <cell r="F1339">
            <v>105.89</v>
          </cell>
          <cell r="G1339">
            <v>103.01</v>
          </cell>
          <cell r="H1339">
            <v>1032.21</v>
          </cell>
          <cell r="I1339">
            <v>103.61</v>
          </cell>
        </row>
        <row r="1340">
          <cell r="A1340">
            <v>33647</v>
          </cell>
          <cell r="B1340">
            <v>1032.4000000000001</v>
          </cell>
          <cell r="C1340">
            <v>1051.1500000000001</v>
          </cell>
          <cell r="D1340">
            <v>104.68</v>
          </cell>
          <cell r="E1340">
            <v>106.37</v>
          </cell>
          <cell r="F1340">
            <v>106.14</v>
          </cell>
          <cell r="G1340">
            <v>103.03</v>
          </cell>
          <cell r="H1340">
            <v>1022.9</v>
          </cell>
          <cell r="I1340">
            <v>103.01</v>
          </cell>
        </row>
        <row r="1341">
          <cell r="A1341">
            <v>33648</v>
          </cell>
          <cell r="B1341">
            <v>1031.81</v>
          </cell>
          <cell r="C1341">
            <v>1049.22</v>
          </cell>
          <cell r="D1341">
            <v>104.52</v>
          </cell>
          <cell r="E1341">
            <v>106.24</v>
          </cell>
          <cell r="F1341">
            <v>105.85</v>
          </cell>
          <cell r="G1341">
            <v>102.85</v>
          </cell>
          <cell r="H1341">
            <v>1006.88</v>
          </cell>
          <cell r="I1341">
            <v>101.57</v>
          </cell>
        </row>
        <row r="1342">
          <cell r="A1342">
            <v>33651</v>
          </cell>
          <cell r="B1342">
            <v>1035.25</v>
          </cell>
          <cell r="C1342">
            <v>1047.6500000000001</v>
          </cell>
          <cell r="D1342">
            <v>104.68</v>
          </cell>
          <cell r="E1342">
            <v>106.07</v>
          </cell>
          <cell r="F1342">
            <v>105.67</v>
          </cell>
          <cell r="G1342">
            <v>103.34</v>
          </cell>
          <cell r="H1342">
            <v>1006.74</v>
          </cell>
          <cell r="I1342">
            <v>101.38</v>
          </cell>
        </row>
        <row r="1343">
          <cell r="A1343">
            <v>33652</v>
          </cell>
          <cell r="B1343">
            <v>1047.8599999999999</v>
          </cell>
          <cell r="C1343">
            <v>1062.3800000000001</v>
          </cell>
          <cell r="D1343">
            <v>105.82</v>
          </cell>
          <cell r="E1343">
            <v>107.21</v>
          </cell>
          <cell r="F1343">
            <v>106.76</v>
          </cell>
          <cell r="G1343">
            <v>104.46</v>
          </cell>
          <cell r="H1343">
            <v>1010.76</v>
          </cell>
          <cell r="I1343">
            <v>101.67</v>
          </cell>
        </row>
        <row r="1344">
          <cell r="A1344">
            <v>33653</v>
          </cell>
          <cell r="B1344">
            <v>1038.55</v>
          </cell>
          <cell r="C1344">
            <v>1058.04</v>
          </cell>
          <cell r="D1344">
            <v>105.22</v>
          </cell>
          <cell r="E1344">
            <v>106.94</v>
          </cell>
          <cell r="F1344">
            <v>106.42</v>
          </cell>
          <cell r="G1344">
            <v>103.55</v>
          </cell>
          <cell r="H1344">
            <v>999.87</v>
          </cell>
          <cell r="I1344">
            <v>100.9</v>
          </cell>
        </row>
        <row r="1345">
          <cell r="A1345">
            <v>33654</v>
          </cell>
          <cell r="B1345">
            <v>1044.27</v>
          </cell>
          <cell r="C1345">
            <v>1067.45</v>
          </cell>
          <cell r="D1345">
            <v>105.85</v>
          </cell>
          <cell r="E1345">
            <v>107.87</v>
          </cell>
          <cell r="F1345">
            <v>107.29</v>
          </cell>
          <cell r="G1345">
            <v>103.9</v>
          </cell>
          <cell r="H1345">
            <v>1002.84</v>
          </cell>
          <cell r="I1345">
            <v>101.11</v>
          </cell>
        </row>
        <row r="1346">
          <cell r="A1346">
            <v>33655</v>
          </cell>
          <cell r="B1346">
            <v>1042.28</v>
          </cell>
          <cell r="C1346">
            <v>1066.58</v>
          </cell>
          <cell r="D1346">
            <v>105.69</v>
          </cell>
          <cell r="E1346">
            <v>107.96</v>
          </cell>
          <cell r="F1346">
            <v>107.32</v>
          </cell>
          <cell r="G1346">
            <v>103.48</v>
          </cell>
          <cell r="H1346">
            <v>1002.04</v>
          </cell>
          <cell r="I1346">
            <v>100.98</v>
          </cell>
        </row>
        <row r="1347">
          <cell r="A1347">
            <v>33658</v>
          </cell>
          <cell r="B1347">
            <v>1051.18</v>
          </cell>
          <cell r="C1347">
            <v>1074.47</v>
          </cell>
          <cell r="D1347">
            <v>106.47</v>
          </cell>
          <cell r="E1347">
            <v>108.75</v>
          </cell>
          <cell r="F1347">
            <v>108.06</v>
          </cell>
          <cell r="G1347">
            <v>104.26</v>
          </cell>
          <cell r="H1347">
            <v>1004.07</v>
          </cell>
          <cell r="I1347">
            <v>101.14</v>
          </cell>
        </row>
        <row r="1348">
          <cell r="A1348">
            <v>33659</v>
          </cell>
          <cell r="B1348">
            <v>1038.75</v>
          </cell>
          <cell r="C1348">
            <v>1065.9100000000001</v>
          </cell>
          <cell r="D1348">
            <v>105.54</v>
          </cell>
          <cell r="E1348">
            <v>107.97</v>
          </cell>
          <cell r="F1348">
            <v>107.32</v>
          </cell>
          <cell r="G1348">
            <v>103.19</v>
          </cell>
          <cell r="H1348">
            <v>1006.05</v>
          </cell>
          <cell r="I1348">
            <v>101.26</v>
          </cell>
        </row>
        <row r="1349">
          <cell r="A1349">
            <v>33660</v>
          </cell>
          <cell r="B1349">
            <v>1056.3900000000001</v>
          </cell>
          <cell r="C1349">
            <v>1082.58</v>
          </cell>
          <cell r="D1349">
            <v>107.11</v>
          </cell>
          <cell r="E1349">
            <v>109.43</v>
          </cell>
          <cell r="F1349">
            <v>108.63</v>
          </cell>
          <cell r="G1349">
            <v>104.86</v>
          </cell>
          <cell r="H1349">
            <v>1002.78</v>
          </cell>
          <cell r="I1349">
            <v>100.71</v>
          </cell>
        </row>
        <row r="1350">
          <cell r="A1350">
            <v>33661</v>
          </cell>
          <cell r="B1350">
            <v>1057</v>
          </cell>
          <cell r="C1350">
            <v>1088.49</v>
          </cell>
          <cell r="D1350">
            <v>107.28</v>
          </cell>
          <cell r="E1350">
            <v>109.89</v>
          </cell>
          <cell r="F1350">
            <v>109.06</v>
          </cell>
          <cell r="G1350">
            <v>104.75</v>
          </cell>
          <cell r="H1350">
            <v>1006.89</v>
          </cell>
          <cell r="I1350">
            <v>100.89</v>
          </cell>
        </row>
        <row r="1351">
          <cell r="A1351">
            <v>33662</v>
          </cell>
          <cell r="B1351">
            <v>1050.05</v>
          </cell>
          <cell r="C1351">
            <v>1082.3499999999999</v>
          </cell>
          <cell r="D1351">
            <v>106.67</v>
          </cell>
          <cell r="E1351">
            <v>109.35</v>
          </cell>
          <cell r="F1351">
            <v>108.62</v>
          </cell>
          <cell r="G1351">
            <v>104.07</v>
          </cell>
          <cell r="H1351">
            <v>1011.42</v>
          </cell>
          <cell r="I1351">
            <v>101.21</v>
          </cell>
        </row>
        <row r="1352">
          <cell r="A1352">
            <v>33665</v>
          </cell>
          <cell r="B1352">
            <v>1052.3</v>
          </cell>
          <cell r="C1352">
            <v>1083.9000000000001</v>
          </cell>
          <cell r="D1352">
            <v>106.82</v>
          </cell>
          <cell r="E1352">
            <v>109.55</v>
          </cell>
          <cell r="F1352">
            <v>108.85</v>
          </cell>
          <cell r="G1352">
            <v>104.17</v>
          </cell>
          <cell r="H1352">
            <v>1015.4</v>
          </cell>
          <cell r="I1352">
            <v>101.52</v>
          </cell>
        </row>
        <row r="1353">
          <cell r="A1353">
            <v>33666</v>
          </cell>
          <cell r="B1353">
            <v>1055.3399999999999</v>
          </cell>
          <cell r="C1353">
            <v>1085.6600000000001</v>
          </cell>
          <cell r="D1353">
            <v>106.87</v>
          </cell>
          <cell r="E1353">
            <v>109.55</v>
          </cell>
          <cell r="F1353">
            <v>108.89</v>
          </cell>
          <cell r="G1353">
            <v>104.27</v>
          </cell>
          <cell r="H1353">
            <v>1021.74</v>
          </cell>
          <cell r="I1353">
            <v>102.07</v>
          </cell>
        </row>
        <row r="1354">
          <cell r="A1354">
            <v>33667</v>
          </cell>
          <cell r="B1354">
            <v>1058.97</v>
          </cell>
          <cell r="C1354">
            <v>1090.92</v>
          </cell>
          <cell r="D1354">
            <v>107.37</v>
          </cell>
          <cell r="E1354">
            <v>110.18</v>
          </cell>
          <cell r="F1354">
            <v>109.55</v>
          </cell>
          <cell r="G1354">
            <v>104.64</v>
          </cell>
          <cell r="H1354">
            <v>1034.4000000000001</v>
          </cell>
          <cell r="I1354">
            <v>103.22</v>
          </cell>
        </row>
        <row r="1355">
          <cell r="A1355">
            <v>33668</v>
          </cell>
          <cell r="B1355">
            <v>1050.8499999999999</v>
          </cell>
          <cell r="C1355">
            <v>1084.9000000000001</v>
          </cell>
          <cell r="D1355">
            <v>106.43</v>
          </cell>
          <cell r="E1355">
            <v>109.46</v>
          </cell>
          <cell r="F1355">
            <v>108.82</v>
          </cell>
          <cell r="G1355">
            <v>103.48</v>
          </cell>
          <cell r="H1355">
            <v>1026.0999999999999</v>
          </cell>
          <cell r="I1355">
            <v>102.46</v>
          </cell>
        </row>
        <row r="1356">
          <cell r="A1356">
            <v>33669</v>
          </cell>
          <cell r="B1356">
            <v>1048.79</v>
          </cell>
          <cell r="C1356">
            <v>1081.98</v>
          </cell>
          <cell r="D1356">
            <v>106.26</v>
          </cell>
          <cell r="E1356">
            <v>109.19</v>
          </cell>
          <cell r="F1356">
            <v>108.59</v>
          </cell>
          <cell r="G1356">
            <v>103.42</v>
          </cell>
          <cell r="H1356">
            <v>1026.53</v>
          </cell>
          <cell r="I1356">
            <v>102.48</v>
          </cell>
        </row>
        <row r="1357">
          <cell r="A1357">
            <v>33672</v>
          </cell>
          <cell r="B1357">
            <v>1052.25</v>
          </cell>
          <cell r="C1357">
            <v>1083.1099999999999</v>
          </cell>
          <cell r="D1357">
            <v>106.6</v>
          </cell>
          <cell r="E1357">
            <v>109.23</v>
          </cell>
          <cell r="F1357">
            <v>108.65</v>
          </cell>
          <cell r="G1357">
            <v>104.04</v>
          </cell>
          <cell r="H1357">
            <v>1032</v>
          </cell>
          <cell r="I1357">
            <v>103.13</v>
          </cell>
        </row>
        <row r="1358">
          <cell r="A1358">
            <v>33673</v>
          </cell>
          <cell r="B1358">
            <v>1056.69</v>
          </cell>
          <cell r="C1358">
            <v>1083.76</v>
          </cell>
          <cell r="D1358">
            <v>106.92</v>
          </cell>
          <cell r="E1358">
            <v>109.26</v>
          </cell>
          <cell r="F1358">
            <v>108.62</v>
          </cell>
          <cell r="G1358">
            <v>104.65</v>
          </cell>
          <cell r="H1358">
            <v>1032.8399999999999</v>
          </cell>
          <cell r="I1358">
            <v>102.83</v>
          </cell>
        </row>
        <row r="1359">
          <cell r="A1359">
            <v>33674</v>
          </cell>
          <cell r="B1359">
            <v>1044.71</v>
          </cell>
          <cell r="C1359">
            <v>1078.5</v>
          </cell>
          <cell r="D1359">
            <v>105.89</v>
          </cell>
          <cell r="E1359">
            <v>108.85</v>
          </cell>
          <cell r="F1359">
            <v>108.22</v>
          </cell>
          <cell r="G1359">
            <v>103.01</v>
          </cell>
          <cell r="H1359">
            <v>1030.69</v>
          </cell>
          <cell r="I1359">
            <v>102.79</v>
          </cell>
        </row>
        <row r="1360">
          <cell r="A1360">
            <v>33675</v>
          </cell>
          <cell r="B1360">
            <v>1036.8699999999999</v>
          </cell>
          <cell r="C1360">
            <v>1071.0899999999999</v>
          </cell>
          <cell r="D1360">
            <v>105.01</v>
          </cell>
          <cell r="E1360">
            <v>108.17</v>
          </cell>
          <cell r="F1360">
            <v>107.61</v>
          </cell>
          <cell r="G1360">
            <v>101.94</v>
          </cell>
          <cell r="H1360">
            <v>1024.02</v>
          </cell>
          <cell r="I1360">
            <v>102.3</v>
          </cell>
        </row>
        <row r="1361">
          <cell r="A1361">
            <v>33676</v>
          </cell>
          <cell r="B1361">
            <v>1029.1300000000001</v>
          </cell>
          <cell r="C1361">
            <v>1068.02</v>
          </cell>
          <cell r="D1361">
            <v>104.21</v>
          </cell>
          <cell r="E1361">
            <v>107.87</v>
          </cell>
          <cell r="F1361">
            <v>107.29</v>
          </cell>
          <cell r="G1361">
            <v>100.67</v>
          </cell>
          <cell r="H1361">
            <v>1027.52</v>
          </cell>
          <cell r="I1361">
            <v>102.26</v>
          </cell>
        </row>
        <row r="1362">
          <cell r="A1362">
            <v>33679</v>
          </cell>
          <cell r="B1362">
            <v>1030.6099999999999</v>
          </cell>
          <cell r="C1362">
            <v>1067.1099999999999</v>
          </cell>
          <cell r="D1362">
            <v>104.2</v>
          </cell>
          <cell r="E1362">
            <v>107.73</v>
          </cell>
          <cell r="F1362">
            <v>107.24</v>
          </cell>
          <cell r="G1362">
            <v>100.78</v>
          </cell>
          <cell r="H1362">
            <v>1034.8499999999999</v>
          </cell>
          <cell r="I1362">
            <v>102.83</v>
          </cell>
        </row>
        <row r="1363">
          <cell r="A1363">
            <v>33680</v>
          </cell>
          <cell r="B1363">
            <v>1034.5999999999999</v>
          </cell>
          <cell r="C1363">
            <v>1068.27</v>
          </cell>
          <cell r="D1363">
            <v>104.52</v>
          </cell>
          <cell r="E1363">
            <v>107.82</v>
          </cell>
          <cell r="F1363">
            <v>107.28</v>
          </cell>
          <cell r="G1363">
            <v>101.31</v>
          </cell>
          <cell r="H1363">
            <v>1024.58</v>
          </cell>
          <cell r="I1363">
            <v>101.69</v>
          </cell>
        </row>
        <row r="1364">
          <cell r="A1364">
            <v>33681</v>
          </cell>
          <cell r="B1364">
            <v>1028.1600000000001</v>
          </cell>
          <cell r="C1364">
            <v>1066.0899999999999</v>
          </cell>
          <cell r="D1364">
            <v>104.05</v>
          </cell>
          <cell r="E1364">
            <v>107.78</v>
          </cell>
          <cell r="F1364">
            <v>107.39</v>
          </cell>
          <cell r="G1364">
            <v>100.43</v>
          </cell>
          <cell r="H1364">
            <v>1041.71</v>
          </cell>
          <cell r="I1364">
            <v>103.35</v>
          </cell>
        </row>
        <row r="1365">
          <cell r="A1365">
            <v>33682</v>
          </cell>
          <cell r="B1365">
            <v>1025.3399999999999</v>
          </cell>
          <cell r="C1365">
            <v>1063.1099999999999</v>
          </cell>
          <cell r="D1365">
            <v>103.97</v>
          </cell>
          <cell r="E1365">
            <v>107.51</v>
          </cell>
          <cell r="F1365">
            <v>107.22</v>
          </cell>
          <cell r="G1365">
            <v>100.54</v>
          </cell>
          <cell r="H1365">
            <v>1040.51</v>
          </cell>
          <cell r="I1365">
            <v>103.61</v>
          </cell>
        </row>
        <row r="1366">
          <cell r="A1366">
            <v>33683</v>
          </cell>
          <cell r="B1366">
            <v>1033.0999999999999</v>
          </cell>
          <cell r="C1366">
            <v>1070.82</v>
          </cell>
          <cell r="D1366">
            <v>104.58</v>
          </cell>
          <cell r="E1366">
            <v>108.26</v>
          </cell>
          <cell r="F1366">
            <v>107.92</v>
          </cell>
          <cell r="G1366">
            <v>101.02</v>
          </cell>
          <cell r="H1366">
            <v>1040.43</v>
          </cell>
          <cell r="I1366">
            <v>103.6</v>
          </cell>
        </row>
        <row r="1367">
          <cell r="A1367">
            <v>33686</v>
          </cell>
          <cell r="B1367">
            <v>1022.67</v>
          </cell>
          <cell r="C1367">
            <v>1056.8900000000001</v>
          </cell>
          <cell r="D1367">
            <v>103.42</v>
          </cell>
          <cell r="E1367">
            <v>106.89</v>
          </cell>
          <cell r="F1367">
            <v>106.65</v>
          </cell>
          <cell r="G1367">
            <v>100.05</v>
          </cell>
          <cell r="H1367">
            <v>1038.6099999999999</v>
          </cell>
          <cell r="I1367">
            <v>103.5</v>
          </cell>
        </row>
        <row r="1368">
          <cell r="A1368">
            <v>33687</v>
          </cell>
          <cell r="B1368">
            <v>1025.73</v>
          </cell>
          <cell r="C1368">
            <v>1056.71</v>
          </cell>
          <cell r="D1368">
            <v>103.55</v>
          </cell>
          <cell r="E1368">
            <v>106.73</v>
          </cell>
          <cell r="F1368">
            <v>106.46</v>
          </cell>
          <cell r="G1368">
            <v>100.47</v>
          </cell>
          <cell r="H1368">
            <v>1031.8399999999999</v>
          </cell>
          <cell r="I1368">
            <v>102.66</v>
          </cell>
        </row>
        <row r="1369">
          <cell r="A1369">
            <v>33688</v>
          </cell>
          <cell r="B1369">
            <v>1027.0999999999999</v>
          </cell>
          <cell r="C1369">
            <v>1058.58</v>
          </cell>
          <cell r="D1369">
            <v>103.65</v>
          </cell>
          <cell r="E1369">
            <v>107</v>
          </cell>
          <cell r="F1369">
            <v>106.68</v>
          </cell>
          <cell r="G1369">
            <v>100.4</v>
          </cell>
          <cell r="H1369">
            <v>1032.33</v>
          </cell>
          <cell r="I1369">
            <v>102.49</v>
          </cell>
        </row>
        <row r="1370">
          <cell r="A1370">
            <v>33689</v>
          </cell>
          <cell r="B1370">
            <v>1030.6300000000001</v>
          </cell>
          <cell r="C1370">
            <v>1062.19</v>
          </cell>
          <cell r="D1370">
            <v>104.06</v>
          </cell>
          <cell r="E1370">
            <v>107.35</v>
          </cell>
          <cell r="F1370">
            <v>106.94</v>
          </cell>
          <cell r="G1370">
            <v>100.88</v>
          </cell>
          <cell r="H1370">
            <v>1025.3900000000001</v>
          </cell>
          <cell r="I1370">
            <v>101.87</v>
          </cell>
        </row>
        <row r="1371">
          <cell r="A1371">
            <v>33690</v>
          </cell>
          <cell r="B1371">
            <v>1022.75</v>
          </cell>
          <cell r="C1371">
            <v>1057.9000000000001</v>
          </cell>
          <cell r="D1371">
            <v>103.45</v>
          </cell>
          <cell r="E1371">
            <v>106.97</v>
          </cell>
          <cell r="F1371">
            <v>106.63</v>
          </cell>
          <cell r="G1371">
            <v>100.03</v>
          </cell>
          <cell r="H1371">
            <v>1026.99</v>
          </cell>
          <cell r="I1371">
            <v>101.94</v>
          </cell>
        </row>
        <row r="1372">
          <cell r="A1372">
            <v>33693</v>
          </cell>
          <cell r="B1372">
            <v>1026.23</v>
          </cell>
          <cell r="C1372">
            <v>1060.79</v>
          </cell>
          <cell r="D1372">
            <v>103.68</v>
          </cell>
          <cell r="E1372">
            <v>107.27</v>
          </cell>
          <cell r="F1372">
            <v>106.85</v>
          </cell>
          <cell r="G1372">
            <v>100.2</v>
          </cell>
          <cell r="H1372">
            <v>1021.66</v>
          </cell>
          <cell r="I1372">
            <v>101.19</v>
          </cell>
        </row>
        <row r="1373">
          <cell r="A1373">
            <v>33694</v>
          </cell>
          <cell r="B1373">
            <v>1020.69</v>
          </cell>
          <cell r="C1373">
            <v>1060.78</v>
          </cell>
          <cell r="D1373">
            <v>103.4</v>
          </cell>
          <cell r="E1373">
            <v>107.44</v>
          </cell>
          <cell r="F1373">
            <v>106.97</v>
          </cell>
          <cell r="G1373">
            <v>99.48</v>
          </cell>
          <cell r="H1373">
            <v>1020.57</v>
          </cell>
          <cell r="I1373">
            <v>101.35</v>
          </cell>
        </row>
        <row r="1374">
          <cell r="A1374">
            <v>33695</v>
          </cell>
          <cell r="B1374">
            <v>1013.48</v>
          </cell>
          <cell r="C1374">
            <v>1058.3699999999999</v>
          </cell>
          <cell r="D1374">
            <v>102.68</v>
          </cell>
          <cell r="E1374">
            <v>107.15</v>
          </cell>
          <cell r="F1374">
            <v>106.65</v>
          </cell>
          <cell r="G1374">
            <v>98.35</v>
          </cell>
          <cell r="H1374">
            <v>1013.95</v>
          </cell>
          <cell r="I1374">
            <v>100.82</v>
          </cell>
        </row>
        <row r="1375">
          <cell r="A1375">
            <v>33696</v>
          </cell>
          <cell r="B1375">
            <v>1011.65</v>
          </cell>
          <cell r="C1375">
            <v>1060.68</v>
          </cell>
          <cell r="D1375">
            <v>102.54</v>
          </cell>
          <cell r="E1375">
            <v>107.39</v>
          </cell>
          <cell r="F1375">
            <v>106.84</v>
          </cell>
          <cell r="G1375">
            <v>97.85</v>
          </cell>
          <cell r="H1375">
            <v>1012.09</v>
          </cell>
          <cell r="I1375">
            <v>100.54</v>
          </cell>
        </row>
        <row r="1376">
          <cell r="A1376">
            <v>33697</v>
          </cell>
          <cell r="B1376">
            <v>1007.77</v>
          </cell>
          <cell r="C1376">
            <v>1061.76</v>
          </cell>
          <cell r="D1376">
            <v>102.24</v>
          </cell>
          <cell r="E1376">
            <v>107.55</v>
          </cell>
          <cell r="F1376">
            <v>106.92</v>
          </cell>
          <cell r="G1376">
            <v>97.1</v>
          </cell>
          <cell r="H1376">
            <v>1002.56</v>
          </cell>
          <cell r="I1376">
            <v>99.64</v>
          </cell>
        </row>
        <row r="1377">
          <cell r="A1377">
            <v>33700</v>
          </cell>
          <cell r="B1377">
            <v>1015.64</v>
          </cell>
          <cell r="C1377">
            <v>1069.29</v>
          </cell>
          <cell r="D1377">
            <v>102.8</v>
          </cell>
          <cell r="E1377">
            <v>108.21</v>
          </cell>
          <cell r="F1377">
            <v>107.49</v>
          </cell>
          <cell r="G1377">
            <v>97.56</v>
          </cell>
          <cell r="H1377">
            <v>1015.2</v>
          </cell>
          <cell r="I1377">
            <v>100.52</v>
          </cell>
        </row>
        <row r="1378">
          <cell r="A1378">
            <v>33701</v>
          </cell>
          <cell r="B1378">
            <v>1019.07</v>
          </cell>
          <cell r="C1378">
            <v>1073.69</v>
          </cell>
          <cell r="D1378">
            <v>103.04</v>
          </cell>
          <cell r="E1378">
            <v>108.47</v>
          </cell>
          <cell r="F1378">
            <v>107.75</v>
          </cell>
          <cell r="G1378">
            <v>97.78</v>
          </cell>
          <cell r="H1378">
            <v>1008.88</v>
          </cell>
          <cell r="I1378">
            <v>100.21</v>
          </cell>
        </row>
        <row r="1379">
          <cell r="A1379">
            <v>33702</v>
          </cell>
          <cell r="B1379">
            <v>1003.84</v>
          </cell>
          <cell r="C1379">
            <v>1050.82</v>
          </cell>
          <cell r="D1379">
            <v>101.66</v>
          </cell>
          <cell r="E1379">
            <v>106.38</v>
          </cell>
          <cell r="F1379">
            <v>105.73</v>
          </cell>
          <cell r="G1379">
            <v>97.1</v>
          </cell>
          <cell r="H1379">
            <v>993.7</v>
          </cell>
          <cell r="I1379">
            <v>98.9</v>
          </cell>
        </row>
        <row r="1380">
          <cell r="A1380">
            <v>33703</v>
          </cell>
          <cell r="B1380">
            <v>1014.25</v>
          </cell>
          <cell r="C1380">
            <v>1054.29</v>
          </cell>
          <cell r="D1380">
            <v>102.42</v>
          </cell>
          <cell r="E1380">
            <v>106.39</v>
          </cell>
          <cell r="F1380">
            <v>105.62</v>
          </cell>
          <cell r="G1380">
            <v>98.57</v>
          </cell>
          <cell r="H1380">
            <v>975.95</v>
          </cell>
          <cell r="I1380">
            <v>97.32</v>
          </cell>
        </row>
        <row r="1381">
          <cell r="A1381">
            <v>33704</v>
          </cell>
          <cell r="B1381">
            <v>1049.17</v>
          </cell>
          <cell r="C1381">
            <v>1068.93</v>
          </cell>
          <cell r="D1381">
            <v>106.26</v>
          </cell>
          <cell r="E1381">
            <v>107.94</v>
          </cell>
          <cell r="F1381">
            <v>107.18</v>
          </cell>
          <cell r="G1381">
            <v>104.64</v>
          </cell>
          <cell r="H1381">
            <v>1005</v>
          </cell>
          <cell r="I1381">
            <v>99.85</v>
          </cell>
        </row>
        <row r="1382">
          <cell r="A1382">
            <v>33707</v>
          </cell>
          <cell r="B1382">
            <v>1051</v>
          </cell>
          <cell r="C1382">
            <v>1065.04</v>
          </cell>
          <cell r="D1382">
            <v>106.53</v>
          </cell>
          <cell r="E1382">
            <v>107.46</v>
          </cell>
          <cell r="F1382">
            <v>106.7</v>
          </cell>
          <cell r="G1382">
            <v>105.62</v>
          </cell>
          <cell r="H1382">
            <v>999.08</v>
          </cell>
          <cell r="I1382">
            <v>99.34</v>
          </cell>
        </row>
        <row r="1383">
          <cell r="A1383">
            <v>33708</v>
          </cell>
          <cell r="B1383">
            <v>1051.76</v>
          </cell>
          <cell r="C1383">
            <v>1063.47</v>
          </cell>
          <cell r="D1383">
            <v>106.71</v>
          </cell>
          <cell r="E1383">
            <v>107.41</v>
          </cell>
          <cell r="F1383">
            <v>106.72</v>
          </cell>
          <cell r="G1383">
            <v>106.03</v>
          </cell>
          <cell r="H1383">
            <v>1006.5</v>
          </cell>
          <cell r="I1383">
            <v>99.81</v>
          </cell>
        </row>
        <row r="1384">
          <cell r="A1384">
            <v>33709</v>
          </cell>
          <cell r="B1384">
            <v>1070.69</v>
          </cell>
          <cell r="C1384">
            <v>1078.97</v>
          </cell>
          <cell r="D1384">
            <v>108.5</v>
          </cell>
          <cell r="E1384">
            <v>108.76</v>
          </cell>
          <cell r="F1384">
            <v>108.09</v>
          </cell>
          <cell r="G1384">
            <v>108.24</v>
          </cell>
          <cell r="H1384">
            <v>1024.27</v>
          </cell>
          <cell r="I1384">
            <v>101.51</v>
          </cell>
        </row>
        <row r="1385">
          <cell r="A1385">
            <v>33710</v>
          </cell>
          <cell r="B1385">
            <v>1055.33</v>
          </cell>
          <cell r="C1385">
            <v>1069.6099999999999</v>
          </cell>
          <cell r="D1385">
            <v>106.89</v>
          </cell>
          <cell r="E1385">
            <v>107.71</v>
          </cell>
          <cell r="F1385">
            <v>106.88</v>
          </cell>
          <cell r="G1385">
            <v>106.09</v>
          </cell>
          <cell r="H1385">
            <v>1006.62</v>
          </cell>
          <cell r="I1385">
            <v>99.68</v>
          </cell>
        </row>
        <row r="1386">
          <cell r="A1386">
            <v>33711</v>
          </cell>
          <cell r="B1386">
            <v>1054.81</v>
          </cell>
          <cell r="C1386">
            <v>1069.99</v>
          </cell>
          <cell r="D1386">
            <v>106.86</v>
          </cell>
          <cell r="E1386">
            <v>107.77</v>
          </cell>
          <cell r="F1386">
            <v>106.92</v>
          </cell>
          <cell r="G1386">
            <v>105.97</v>
          </cell>
          <cell r="H1386">
            <v>1006.3</v>
          </cell>
          <cell r="I1386">
            <v>99.67</v>
          </cell>
        </row>
        <row r="1387">
          <cell r="A1387">
            <v>33714</v>
          </cell>
          <cell r="B1387">
            <v>1071.45</v>
          </cell>
          <cell r="C1387">
            <v>1080.6199999999999</v>
          </cell>
          <cell r="D1387">
            <v>108.64</v>
          </cell>
          <cell r="E1387">
            <v>109.01</v>
          </cell>
          <cell r="F1387">
            <v>108.28</v>
          </cell>
          <cell r="G1387">
            <v>108.28</v>
          </cell>
          <cell r="H1387">
            <v>1023.7</v>
          </cell>
          <cell r="I1387">
            <v>101.36</v>
          </cell>
        </row>
        <row r="1388">
          <cell r="A1388">
            <v>33715</v>
          </cell>
          <cell r="B1388">
            <v>1065.3900000000001</v>
          </cell>
          <cell r="C1388">
            <v>1079.94</v>
          </cell>
          <cell r="D1388">
            <v>108.35</v>
          </cell>
          <cell r="E1388">
            <v>108.86</v>
          </cell>
          <cell r="F1388">
            <v>108.08</v>
          </cell>
          <cell r="G1388">
            <v>107.84</v>
          </cell>
          <cell r="H1388">
            <v>1021.37</v>
          </cell>
          <cell r="I1388">
            <v>101.3</v>
          </cell>
        </row>
        <row r="1389">
          <cell r="A1389">
            <v>33716</v>
          </cell>
          <cell r="B1389">
            <v>1062.5999999999999</v>
          </cell>
          <cell r="C1389">
            <v>1079.6400000000001</v>
          </cell>
          <cell r="D1389">
            <v>108.18</v>
          </cell>
          <cell r="E1389">
            <v>108.91</v>
          </cell>
          <cell r="F1389">
            <v>108.08</v>
          </cell>
          <cell r="G1389">
            <v>107.46</v>
          </cell>
          <cell r="H1389">
            <v>1014.01</v>
          </cell>
          <cell r="I1389">
            <v>100.75</v>
          </cell>
        </row>
        <row r="1390">
          <cell r="A1390">
            <v>33717</v>
          </cell>
          <cell r="B1390">
            <v>1061.75</v>
          </cell>
          <cell r="C1390">
            <v>1079.33</v>
          </cell>
          <cell r="D1390">
            <v>108.37</v>
          </cell>
          <cell r="E1390">
            <v>108.89</v>
          </cell>
          <cell r="F1390">
            <v>108.11</v>
          </cell>
          <cell r="G1390">
            <v>107.86</v>
          </cell>
          <cell r="H1390">
            <v>1018.92</v>
          </cell>
          <cell r="I1390">
            <v>101.16</v>
          </cell>
        </row>
        <row r="1391">
          <cell r="A1391">
            <v>33718</v>
          </cell>
          <cell r="B1391">
            <v>1065.8499999999999</v>
          </cell>
          <cell r="C1391">
            <v>1078.95</v>
          </cell>
          <cell r="D1391">
            <v>108.87</v>
          </cell>
          <cell r="E1391">
            <v>108.9</v>
          </cell>
          <cell r="F1391">
            <v>108.1</v>
          </cell>
          <cell r="G1391">
            <v>108.83</v>
          </cell>
          <cell r="H1391">
            <v>1020.01</v>
          </cell>
          <cell r="I1391">
            <v>101.09</v>
          </cell>
        </row>
        <row r="1392">
          <cell r="A1392">
            <v>33721</v>
          </cell>
          <cell r="B1392">
            <v>1072.25</v>
          </cell>
          <cell r="C1392">
            <v>1079.55</v>
          </cell>
          <cell r="D1392">
            <v>109.27</v>
          </cell>
          <cell r="E1392">
            <v>108.86</v>
          </cell>
          <cell r="F1392">
            <v>108.11</v>
          </cell>
          <cell r="G1392">
            <v>109.66</v>
          </cell>
          <cell r="H1392">
            <v>1022.39</v>
          </cell>
          <cell r="I1392">
            <v>101.35</v>
          </cell>
        </row>
        <row r="1393">
          <cell r="A1393">
            <v>33722</v>
          </cell>
          <cell r="B1393">
            <v>1072.57</v>
          </cell>
          <cell r="C1393">
            <v>1081.6400000000001</v>
          </cell>
          <cell r="D1393">
            <v>109.13</v>
          </cell>
          <cell r="E1393">
            <v>108.94</v>
          </cell>
          <cell r="F1393">
            <v>108.15</v>
          </cell>
          <cell r="G1393">
            <v>109.32</v>
          </cell>
          <cell r="H1393">
            <v>1013.46</v>
          </cell>
          <cell r="I1393">
            <v>100.5</v>
          </cell>
        </row>
        <row r="1394">
          <cell r="A1394">
            <v>33723</v>
          </cell>
          <cell r="B1394">
            <v>1075.93</v>
          </cell>
          <cell r="C1394">
            <v>1084.76</v>
          </cell>
          <cell r="D1394">
            <v>109.46</v>
          </cell>
          <cell r="E1394">
            <v>109.21</v>
          </cell>
          <cell r="F1394">
            <v>108.41</v>
          </cell>
          <cell r="G1394">
            <v>109.7</v>
          </cell>
          <cell r="H1394">
            <v>1014.9</v>
          </cell>
          <cell r="I1394">
            <v>100.84</v>
          </cell>
        </row>
        <row r="1395">
          <cell r="A1395">
            <v>33724</v>
          </cell>
          <cell r="B1395">
            <v>1076.5899999999999</v>
          </cell>
          <cell r="C1395">
            <v>1085.06</v>
          </cell>
          <cell r="D1395">
            <v>109.5</v>
          </cell>
          <cell r="E1395">
            <v>109.32</v>
          </cell>
          <cell r="F1395">
            <v>108.6</v>
          </cell>
          <cell r="G1395">
            <v>109.66</v>
          </cell>
          <cell r="H1395">
            <v>1017.89</v>
          </cell>
          <cell r="I1395">
            <v>100.99</v>
          </cell>
        </row>
        <row r="1396">
          <cell r="A1396">
            <v>33725</v>
          </cell>
          <cell r="B1396">
            <v>1073.67</v>
          </cell>
          <cell r="C1396">
            <v>1082.71</v>
          </cell>
          <cell r="D1396">
            <v>109.34</v>
          </cell>
          <cell r="E1396">
            <v>109.05</v>
          </cell>
          <cell r="F1396">
            <v>108.37</v>
          </cell>
          <cell r="G1396">
            <v>109.61</v>
          </cell>
          <cell r="H1396">
            <v>1017.54</v>
          </cell>
          <cell r="I1396">
            <v>100.94</v>
          </cell>
        </row>
        <row r="1397">
          <cell r="A1397">
            <v>33728</v>
          </cell>
          <cell r="B1397">
            <v>1071.48</v>
          </cell>
          <cell r="C1397">
            <v>1080.82</v>
          </cell>
          <cell r="D1397">
            <v>109.04</v>
          </cell>
          <cell r="E1397">
            <v>108.63</v>
          </cell>
          <cell r="F1397">
            <v>108.14</v>
          </cell>
          <cell r="G1397">
            <v>109.43</v>
          </cell>
          <cell r="H1397">
            <v>1028.4100000000001</v>
          </cell>
          <cell r="I1397">
            <v>101.87</v>
          </cell>
        </row>
        <row r="1398">
          <cell r="A1398">
            <v>33729</v>
          </cell>
          <cell r="B1398">
            <v>1078.18</v>
          </cell>
          <cell r="C1398">
            <v>1085.05</v>
          </cell>
          <cell r="D1398">
            <v>109.58</v>
          </cell>
          <cell r="E1398">
            <v>109.12</v>
          </cell>
          <cell r="F1398">
            <v>108.71</v>
          </cell>
          <cell r="G1398">
            <v>110.01</v>
          </cell>
          <cell r="H1398">
            <v>1037.1400000000001</v>
          </cell>
          <cell r="I1398">
            <v>102.99</v>
          </cell>
        </row>
        <row r="1399">
          <cell r="A1399">
            <v>33730</v>
          </cell>
          <cell r="B1399">
            <v>1085.33</v>
          </cell>
          <cell r="C1399">
            <v>1086.6199999999999</v>
          </cell>
          <cell r="D1399">
            <v>109.98</v>
          </cell>
          <cell r="E1399">
            <v>109.12</v>
          </cell>
          <cell r="F1399">
            <v>108.7</v>
          </cell>
          <cell r="G1399">
            <v>110.79</v>
          </cell>
          <cell r="H1399">
            <v>1033.8</v>
          </cell>
          <cell r="I1399">
            <v>102.81</v>
          </cell>
        </row>
        <row r="1400">
          <cell r="A1400">
            <v>33731</v>
          </cell>
          <cell r="B1400">
            <v>1089.28</v>
          </cell>
          <cell r="C1400">
            <v>1088.98</v>
          </cell>
          <cell r="D1400">
            <v>110.49</v>
          </cell>
          <cell r="E1400">
            <v>109.47</v>
          </cell>
          <cell r="F1400">
            <v>109.08</v>
          </cell>
          <cell r="G1400">
            <v>111.46</v>
          </cell>
          <cell r="H1400">
            <v>1046.68</v>
          </cell>
          <cell r="I1400">
            <v>104.03</v>
          </cell>
        </row>
        <row r="1401">
          <cell r="A1401">
            <v>33732</v>
          </cell>
          <cell r="B1401">
            <v>1097.6099999999999</v>
          </cell>
          <cell r="C1401">
            <v>1093.0899999999999</v>
          </cell>
          <cell r="D1401">
            <v>111.41</v>
          </cell>
          <cell r="E1401">
            <v>109.93</v>
          </cell>
          <cell r="F1401">
            <v>109.5</v>
          </cell>
          <cell r="G1401">
            <v>112.82</v>
          </cell>
          <cell r="H1401">
            <v>1044.57</v>
          </cell>
          <cell r="I1401">
            <v>103.95</v>
          </cell>
        </row>
        <row r="1402">
          <cell r="A1402">
            <v>33735</v>
          </cell>
          <cell r="B1402">
            <v>1100.78</v>
          </cell>
          <cell r="C1402">
            <v>1098.9000000000001</v>
          </cell>
          <cell r="D1402">
            <v>111.85</v>
          </cell>
          <cell r="E1402">
            <v>110.43</v>
          </cell>
          <cell r="F1402">
            <v>109.97</v>
          </cell>
          <cell r="G1402">
            <v>113.2</v>
          </cell>
          <cell r="H1402">
            <v>1046.0899999999999</v>
          </cell>
          <cell r="I1402">
            <v>104.26</v>
          </cell>
        </row>
        <row r="1403">
          <cell r="A1403">
            <v>33736</v>
          </cell>
          <cell r="B1403">
            <v>1093.46</v>
          </cell>
          <cell r="C1403">
            <v>1091.83</v>
          </cell>
          <cell r="D1403">
            <v>111.15</v>
          </cell>
          <cell r="E1403">
            <v>109.79</v>
          </cell>
          <cell r="F1403">
            <v>109.36</v>
          </cell>
          <cell r="G1403">
            <v>112.45</v>
          </cell>
          <cell r="H1403">
            <v>1042.03</v>
          </cell>
          <cell r="I1403">
            <v>103.77</v>
          </cell>
        </row>
        <row r="1404">
          <cell r="A1404">
            <v>33737</v>
          </cell>
          <cell r="B1404">
            <v>1090.6300000000001</v>
          </cell>
          <cell r="C1404">
            <v>1089.26</v>
          </cell>
          <cell r="D1404">
            <v>110.89</v>
          </cell>
          <cell r="E1404">
            <v>109.55</v>
          </cell>
          <cell r="F1404">
            <v>109.16</v>
          </cell>
          <cell r="G1404">
            <v>112.18</v>
          </cell>
          <cell r="H1404">
            <v>1040.4000000000001</v>
          </cell>
          <cell r="I1404">
            <v>103.19</v>
          </cell>
        </row>
        <row r="1405">
          <cell r="A1405">
            <v>33738</v>
          </cell>
          <cell r="B1405">
            <v>1079.54</v>
          </cell>
          <cell r="C1405">
            <v>1080.29</v>
          </cell>
          <cell r="D1405">
            <v>110.08</v>
          </cell>
          <cell r="E1405">
            <v>108.81</v>
          </cell>
          <cell r="F1405">
            <v>108.53</v>
          </cell>
          <cell r="G1405">
            <v>111.31</v>
          </cell>
          <cell r="H1405">
            <v>1040.7</v>
          </cell>
          <cell r="I1405">
            <v>103.42</v>
          </cell>
        </row>
        <row r="1406">
          <cell r="A1406">
            <v>33739</v>
          </cell>
          <cell r="B1406">
            <v>1085.69</v>
          </cell>
          <cell r="C1406">
            <v>1087.94</v>
          </cell>
          <cell r="D1406">
            <v>110.69</v>
          </cell>
          <cell r="E1406">
            <v>109.54</v>
          </cell>
          <cell r="F1406">
            <v>109.14</v>
          </cell>
          <cell r="G1406">
            <v>111.8</v>
          </cell>
          <cell r="H1406">
            <v>1044.3499999999999</v>
          </cell>
          <cell r="I1406">
            <v>103.85</v>
          </cell>
        </row>
        <row r="1407">
          <cell r="A1407">
            <v>33742</v>
          </cell>
          <cell r="B1407">
            <v>1085.5999999999999</v>
          </cell>
          <cell r="C1407">
            <v>1089</v>
          </cell>
          <cell r="D1407">
            <v>110.46</v>
          </cell>
          <cell r="E1407">
            <v>109.41</v>
          </cell>
          <cell r="F1407">
            <v>108.98</v>
          </cell>
          <cell r="G1407">
            <v>111.48</v>
          </cell>
          <cell r="H1407">
            <v>1041.5899999999999</v>
          </cell>
          <cell r="I1407">
            <v>103.3</v>
          </cell>
        </row>
        <row r="1408">
          <cell r="A1408">
            <v>33743</v>
          </cell>
          <cell r="B1408">
            <v>1087.24</v>
          </cell>
          <cell r="C1408">
            <v>1091.0999999999999</v>
          </cell>
          <cell r="D1408">
            <v>110.5</v>
          </cell>
          <cell r="E1408">
            <v>109.58</v>
          </cell>
          <cell r="F1408">
            <v>109.07</v>
          </cell>
          <cell r="G1408">
            <v>111.38</v>
          </cell>
          <cell r="H1408">
            <v>1038.71</v>
          </cell>
          <cell r="I1408">
            <v>103.12</v>
          </cell>
        </row>
        <row r="1409">
          <cell r="A1409">
            <v>33744</v>
          </cell>
          <cell r="B1409">
            <v>1091.19</v>
          </cell>
          <cell r="C1409">
            <v>1091.8599999999999</v>
          </cell>
          <cell r="D1409">
            <v>110.86</v>
          </cell>
          <cell r="E1409">
            <v>109.7</v>
          </cell>
          <cell r="F1409">
            <v>109.17</v>
          </cell>
          <cell r="G1409">
            <v>111.97</v>
          </cell>
          <cell r="H1409">
            <v>1037.3699999999999</v>
          </cell>
          <cell r="I1409">
            <v>102.81</v>
          </cell>
        </row>
        <row r="1410">
          <cell r="A1410">
            <v>33745</v>
          </cell>
          <cell r="B1410">
            <v>1091.47</v>
          </cell>
          <cell r="C1410">
            <v>1093.3699999999999</v>
          </cell>
          <cell r="D1410">
            <v>110.79</v>
          </cell>
          <cell r="E1410">
            <v>109.86</v>
          </cell>
          <cell r="F1410">
            <v>109.29</v>
          </cell>
          <cell r="G1410">
            <v>111.68</v>
          </cell>
          <cell r="H1410">
            <v>1038.26</v>
          </cell>
          <cell r="I1410">
            <v>102.92</v>
          </cell>
        </row>
        <row r="1411">
          <cell r="A1411">
            <v>33746</v>
          </cell>
          <cell r="B1411">
            <v>1102.69</v>
          </cell>
          <cell r="C1411">
            <v>1103.72</v>
          </cell>
          <cell r="D1411">
            <v>111.67</v>
          </cell>
          <cell r="E1411">
            <v>110.78</v>
          </cell>
          <cell r="F1411">
            <v>110.18</v>
          </cell>
          <cell r="G1411">
            <v>112.52</v>
          </cell>
          <cell r="H1411">
            <v>1048.8399999999999</v>
          </cell>
          <cell r="I1411">
            <v>103.9</v>
          </cell>
        </row>
        <row r="1412">
          <cell r="A1412">
            <v>33749</v>
          </cell>
          <cell r="B1412">
            <v>1106.26</v>
          </cell>
          <cell r="C1412">
            <v>1108.28</v>
          </cell>
          <cell r="D1412">
            <v>111.97</v>
          </cell>
          <cell r="E1412">
            <v>111.2</v>
          </cell>
          <cell r="F1412">
            <v>110.59</v>
          </cell>
          <cell r="G1412">
            <v>112.71</v>
          </cell>
          <cell r="H1412">
            <v>1052.45</v>
          </cell>
          <cell r="I1412">
            <v>104.2</v>
          </cell>
        </row>
        <row r="1413">
          <cell r="A1413">
            <v>33750</v>
          </cell>
          <cell r="B1413">
            <v>1098.79</v>
          </cell>
          <cell r="C1413">
            <v>1101.76</v>
          </cell>
          <cell r="D1413">
            <v>111.13</v>
          </cell>
          <cell r="E1413">
            <v>110.44</v>
          </cell>
          <cell r="F1413">
            <v>109.84</v>
          </cell>
          <cell r="G1413">
            <v>111.79</v>
          </cell>
          <cell r="H1413">
            <v>1040.48</v>
          </cell>
          <cell r="I1413">
            <v>103.39</v>
          </cell>
        </row>
        <row r="1414">
          <cell r="A1414">
            <v>33751</v>
          </cell>
          <cell r="B1414">
            <v>1096.1099999999999</v>
          </cell>
          <cell r="C1414">
            <v>1098.2</v>
          </cell>
          <cell r="D1414">
            <v>110.92</v>
          </cell>
          <cell r="E1414">
            <v>110.12</v>
          </cell>
          <cell r="F1414">
            <v>109.69</v>
          </cell>
          <cell r="G1414">
            <v>111.69</v>
          </cell>
          <cell r="H1414">
            <v>1044.3399999999999</v>
          </cell>
          <cell r="I1414">
            <v>104.01</v>
          </cell>
        </row>
        <row r="1415">
          <cell r="A1415">
            <v>33752</v>
          </cell>
          <cell r="B1415">
            <v>1095.6500000000001</v>
          </cell>
          <cell r="C1415">
            <v>1099.05</v>
          </cell>
          <cell r="D1415">
            <v>110.76</v>
          </cell>
          <cell r="E1415">
            <v>110.16</v>
          </cell>
          <cell r="F1415">
            <v>109.69</v>
          </cell>
          <cell r="G1415">
            <v>111.34</v>
          </cell>
          <cell r="H1415">
            <v>1039.18</v>
          </cell>
          <cell r="I1415">
            <v>103.5</v>
          </cell>
        </row>
        <row r="1416">
          <cell r="A1416">
            <v>33753</v>
          </cell>
          <cell r="B1416">
            <v>1102.19</v>
          </cell>
          <cell r="C1416">
            <v>1105.18</v>
          </cell>
          <cell r="D1416">
            <v>111.26</v>
          </cell>
          <cell r="E1416">
            <v>110.66</v>
          </cell>
          <cell r="F1416">
            <v>110.23</v>
          </cell>
          <cell r="G1416">
            <v>111.84</v>
          </cell>
          <cell r="H1416">
            <v>1054.54</v>
          </cell>
          <cell r="I1416">
            <v>104.79</v>
          </cell>
        </row>
        <row r="1417">
          <cell r="A1417">
            <v>33756</v>
          </cell>
          <cell r="B1417">
            <v>1099.9000000000001</v>
          </cell>
          <cell r="C1417">
            <v>1103.53</v>
          </cell>
          <cell r="D1417">
            <v>111.12</v>
          </cell>
          <cell r="E1417">
            <v>110.51</v>
          </cell>
          <cell r="F1417">
            <v>110.17</v>
          </cell>
          <cell r="G1417">
            <v>111.7</v>
          </cell>
          <cell r="H1417">
            <v>1059.9100000000001</v>
          </cell>
          <cell r="I1417">
            <v>105.1</v>
          </cell>
        </row>
        <row r="1418">
          <cell r="A1418">
            <v>33757</v>
          </cell>
          <cell r="B1418">
            <v>1096.3800000000001</v>
          </cell>
          <cell r="C1418">
            <v>1101.27</v>
          </cell>
          <cell r="D1418">
            <v>110.73</v>
          </cell>
          <cell r="E1418">
            <v>110.3</v>
          </cell>
          <cell r="F1418">
            <v>109.93</v>
          </cell>
          <cell r="G1418">
            <v>111.13</v>
          </cell>
          <cell r="H1418">
            <v>1050.6500000000001</v>
          </cell>
          <cell r="I1418">
            <v>104.67</v>
          </cell>
        </row>
        <row r="1419">
          <cell r="A1419">
            <v>33758</v>
          </cell>
          <cell r="B1419">
            <v>1092.03</v>
          </cell>
          <cell r="C1419">
            <v>1100.54</v>
          </cell>
          <cell r="D1419">
            <v>110.19</v>
          </cell>
          <cell r="E1419">
            <v>110.14</v>
          </cell>
          <cell r="F1419">
            <v>109.56</v>
          </cell>
          <cell r="G1419">
            <v>110.23</v>
          </cell>
          <cell r="H1419">
            <v>1024.06</v>
          </cell>
          <cell r="I1419">
            <v>102.18</v>
          </cell>
        </row>
        <row r="1420">
          <cell r="A1420">
            <v>33759</v>
          </cell>
          <cell r="B1420">
            <v>1091.83</v>
          </cell>
          <cell r="C1420">
            <v>1097.8499999999999</v>
          </cell>
          <cell r="D1420">
            <v>110.11</v>
          </cell>
          <cell r="E1420">
            <v>109.77</v>
          </cell>
          <cell r="F1420">
            <v>109.24</v>
          </cell>
          <cell r="G1420">
            <v>110.42</v>
          </cell>
          <cell r="H1420">
            <v>1022.46</v>
          </cell>
          <cell r="I1420">
            <v>101.96</v>
          </cell>
        </row>
        <row r="1421">
          <cell r="A1421">
            <v>33760</v>
          </cell>
          <cell r="B1421">
            <v>1087.06</v>
          </cell>
          <cell r="C1421">
            <v>1093.42</v>
          </cell>
          <cell r="D1421">
            <v>109.54</v>
          </cell>
          <cell r="E1421">
            <v>109.35</v>
          </cell>
          <cell r="F1421">
            <v>108.79</v>
          </cell>
          <cell r="G1421">
            <v>109.71</v>
          </cell>
          <cell r="H1421">
            <v>1015.69</v>
          </cell>
          <cell r="I1421">
            <v>101.36</v>
          </cell>
        </row>
        <row r="1422">
          <cell r="A1422">
            <v>33763</v>
          </cell>
          <cell r="B1422">
            <v>1083.82</v>
          </cell>
          <cell r="C1422">
            <v>1092.5</v>
          </cell>
          <cell r="D1422">
            <v>109.08</v>
          </cell>
          <cell r="E1422">
            <v>109.15</v>
          </cell>
          <cell r="F1422">
            <v>108.69</v>
          </cell>
          <cell r="G1422">
            <v>109.02</v>
          </cell>
          <cell r="H1422">
            <v>1014.94</v>
          </cell>
          <cell r="I1422">
            <v>101.28</v>
          </cell>
        </row>
        <row r="1423">
          <cell r="A1423">
            <v>33764</v>
          </cell>
          <cell r="B1423">
            <v>1074.6199999999999</v>
          </cell>
          <cell r="C1423">
            <v>1084.7</v>
          </cell>
          <cell r="D1423">
            <v>108.25</v>
          </cell>
          <cell r="E1423">
            <v>108.31</v>
          </cell>
          <cell r="F1423">
            <v>107.76</v>
          </cell>
          <cell r="G1423">
            <v>108.18</v>
          </cell>
          <cell r="H1423">
            <v>998.22</v>
          </cell>
          <cell r="I1423">
            <v>99.95</v>
          </cell>
        </row>
        <row r="1424">
          <cell r="A1424">
            <v>33765</v>
          </cell>
          <cell r="B1424">
            <v>1078.18</v>
          </cell>
          <cell r="C1424">
            <v>1086.0899999999999</v>
          </cell>
          <cell r="D1424">
            <v>108.58</v>
          </cell>
          <cell r="E1424">
            <v>108.5</v>
          </cell>
          <cell r="F1424">
            <v>107.94</v>
          </cell>
          <cell r="G1424">
            <v>108.65</v>
          </cell>
          <cell r="H1424">
            <v>1003.07</v>
          </cell>
          <cell r="I1424">
            <v>100.18</v>
          </cell>
        </row>
        <row r="1425">
          <cell r="A1425">
            <v>33766</v>
          </cell>
          <cell r="B1425">
            <v>1068.98</v>
          </cell>
          <cell r="C1425">
            <v>1077.5999999999999</v>
          </cell>
          <cell r="D1425">
            <v>107.66</v>
          </cell>
          <cell r="E1425">
            <v>107.7</v>
          </cell>
          <cell r="F1425">
            <v>107.16</v>
          </cell>
          <cell r="G1425">
            <v>107.61</v>
          </cell>
          <cell r="H1425">
            <v>997.17</v>
          </cell>
          <cell r="I1425">
            <v>99.52</v>
          </cell>
        </row>
        <row r="1426">
          <cell r="A1426">
            <v>33767</v>
          </cell>
          <cell r="B1426">
            <v>1069.77</v>
          </cell>
          <cell r="C1426">
            <v>1078.4000000000001</v>
          </cell>
          <cell r="D1426">
            <v>107.46</v>
          </cell>
          <cell r="E1426">
            <v>107.65</v>
          </cell>
          <cell r="F1426">
            <v>107.14</v>
          </cell>
          <cell r="G1426">
            <v>107.27</v>
          </cell>
          <cell r="H1426">
            <v>990.75</v>
          </cell>
          <cell r="I1426">
            <v>99.01</v>
          </cell>
        </row>
        <row r="1427">
          <cell r="A1427">
            <v>33770</v>
          </cell>
          <cell r="B1427">
            <v>1065.58</v>
          </cell>
          <cell r="C1427">
            <v>1072.76</v>
          </cell>
          <cell r="D1427">
            <v>106.93</v>
          </cell>
          <cell r="E1427">
            <v>107.14</v>
          </cell>
          <cell r="F1427">
            <v>106.69</v>
          </cell>
          <cell r="G1427">
            <v>106.73</v>
          </cell>
          <cell r="H1427">
            <v>993.8</v>
          </cell>
          <cell r="I1427">
            <v>99.24</v>
          </cell>
        </row>
        <row r="1428">
          <cell r="A1428">
            <v>33771</v>
          </cell>
          <cell r="B1428">
            <v>1072.4000000000001</v>
          </cell>
          <cell r="C1428">
            <v>1077.18</v>
          </cell>
          <cell r="D1428">
            <v>107.38</v>
          </cell>
          <cell r="E1428">
            <v>107.29</v>
          </cell>
          <cell r="F1428">
            <v>106.88</v>
          </cell>
          <cell r="G1428">
            <v>107.46</v>
          </cell>
          <cell r="H1428">
            <v>991.65</v>
          </cell>
          <cell r="I1428">
            <v>99.04</v>
          </cell>
        </row>
        <row r="1429">
          <cell r="A1429">
            <v>33772</v>
          </cell>
          <cell r="B1429">
            <v>1067.57</v>
          </cell>
          <cell r="C1429">
            <v>1071.76</v>
          </cell>
          <cell r="D1429">
            <v>107.08</v>
          </cell>
          <cell r="E1429">
            <v>106.93</v>
          </cell>
          <cell r="F1429">
            <v>106.48</v>
          </cell>
          <cell r="G1429">
            <v>107.22</v>
          </cell>
          <cell r="H1429">
            <v>981.59</v>
          </cell>
          <cell r="I1429">
            <v>97.87</v>
          </cell>
        </row>
        <row r="1430">
          <cell r="A1430">
            <v>33773</v>
          </cell>
          <cell r="B1430">
            <v>1055.8699999999999</v>
          </cell>
          <cell r="C1430">
            <v>1063.92</v>
          </cell>
          <cell r="D1430">
            <v>105.99</v>
          </cell>
          <cell r="E1430">
            <v>106.24</v>
          </cell>
          <cell r="F1430">
            <v>105.77</v>
          </cell>
          <cell r="G1430">
            <v>105.74</v>
          </cell>
          <cell r="H1430">
            <v>970.47</v>
          </cell>
          <cell r="I1430">
            <v>97.01</v>
          </cell>
        </row>
        <row r="1431">
          <cell r="A1431">
            <v>33774</v>
          </cell>
          <cell r="B1431">
            <v>1057.79</v>
          </cell>
          <cell r="C1431">
            <v>1064.49</v>
          </cell>
          <cell r="D1431">
            <v>106.15</v>
          </cell>
          <cell r="E1431">
            <v>106.18</v>
          </cell>
          <cell r="F1431">
            <v>105.69</v>
          </cell>
          <cell r="G1431">
            <v>106.12</v>
          </cell>
          <cell r="H1431">
            <v>967.05</v>
          </cell>
          <cell r="I1431">
            <v>96.68</v>
          </cell>
        </row>
        <row r="1432">
          <cell r="A1432">
            <v>33777</v>
          </cell>
          <cell r="B1432">
            <v>1050.01</v>
          </cell>
          <cell r="C1432">
            <v>1062.0899999999999</v>
          </cell>
          <cell r="D1432">
            <v>105.4</v>
          </cell>
          <cell r="E1432">
            <v>105.82</v>
          </cell>
          <cell r="F1432">
            <v>105.32</v>
          </cell>
          <cell r="G1432">
            <v>104.99</v>
          </cell>
          <cell r="H1432">
            <v>964.79</v>
          </cell>
          <cell r="I1432">
            <v>96.27</v>
          </cell>
        </row>
        <row r="1433">
          <cell r="A1433">
            <v>33778</v>
          </cell>
          <cell r="B1433">
            <v>1051.45</v>
          </cell>
          <cell r="C1433">
            <v>1063.6199999999999</v>
          </cell>
          <cell r="D1433">
            <v>105.49</v>
          </cell>
          <cell r="E1433">
            <v>105.8</v>
          </cell>
          <cell r="F1433">
            <v>105.29</v>
          </cell>
          <cell r="G1433">
            <v>105.19</v>
          </cell>
          <cell r="H1433">
            <v>965.42</v>
          </cell>
          <cell r="I1433">
            <v>96.3</v>
          </cell>
        </row>
        <row r="1434">
          <cell r="A1434">
            <v>33779</v>
          </cell>
          <cell r="B1434">
            <v>1045.77</v>
          </cell>
          <cell r="C1434">
            <v>1061.28</v>
          </cell>
          <cell r="D1434">
            <v>105.04</v>
          </cell>
          <cell r="E1434">
            <v>105.62</v>
          </cell>
          <cell r="F1434">
            <v>105.23</v>
          </cell>
          <cell r="G1434">
            <v>104.48</v>
          </cell>
          <cell r="H1434">
            <v>978.75</v>
          </cell>
          <cell r="I1434">
            <v>97.48</v>
          </cell>
        </row>
        <row r="1435">
          <cell r="A1435">
            <v>33780</v>
          </cell>
          <cell r="B1435">
            <v>1045.97</v>
          </cell>
          <cell r="C1435">
            <v>1060.05</v>
          </cell>
          <cell r="D1435">
            <v>104.87</v>
          </cell>
          <cell r="E1435">
            <v>105.2</v>
          </cell>
          <cell r="F1435">
            <v>104.77</v>
          </cell>
          <cell r="G1435">
            <v>104.55</v>
          </cell>
          <cell r="H1435">
            <v>968.53</v>
          </cell>
          <cell r="I1435">
            <v>96.62</v>
          </cell>
        </row>
        <row r="1436">
          <cell r="A1436">
            <v>33781</v>
          </cell>
          <cell r="B1436">
            <v>1043.3599999999999</v>
          </cell>
          <cell r="C1436">
            <v>1062.8399999999999</v>
          </cell>
          <cell r="D1436">
            <v>104.96</v>
          </cell>
          <cell r="E1436">
            <v>105.58</v>
          </cell>
          <cell r="F1436">
            <v>105.19</v>
          </cell>
          <cell r="G1436">
            <v>104.37</v>
          </cell>
          <cell r="H1436">
            <v>975.18</v>
          </cell>
          <cell r="I1436">
            <v>97.13</v>
          </cell>
        </row>
        <row r="1437">
          <cell r="A1437">
            <v>33784</v>
          </cell>
          <cell r="B1437">
            <v>1031.53</v>
          </cell>
          <cell r="C1437">
            <v>1056.5899999999999</v>
          </cell>
          <cell r="D1437">
            <v>103.8</v>
          </cell>
          <cell r="E1437">
            <v>104.83</v>
          </cell>
          <cell r="F1437">
            <v>104.47</v>
          </cell>
          <cell r="G1437">
            <v>102.81</v>
          </cell>
          <cell r="H1437">
            <v>960.33</v>
          </cell>
          <cell r="I1437">
            <v>95.83</v>
          </cell>
        </row>
        <row r="1438">
          <cell r="A1438">
            <v>33785</v>
          </cell>
          <cell r="B1438">
            <v>1036.58</v>
          </cell>
          <cell r="C1438">
            <v>1056.93</v>
          </cell>
          <cell r="D1438">
            <v>104.08</v>
          </cell>
          <cell r="E1438">
            <v>104.79</v>
          </cell>
          <cell r="F1438">
            <v>104.48</v>
          </cell>
          <cell r="G1438">
            <v>103.39</v>
          </cell>
          <cell r="H1438">
            <v>960.82</v>
          </cell>
          <cell r="I1438">
            <v>95.93</v>
          </cell>
        </row>
        <row r="1439">
          <cell r="A1439">
            <v>33786</v>
          </cell>
          <cell r="B1439">
            <v>1026.3800000000001</v>
          </cell>
          <cell r="C1439">
            <v>1048.29</v>
          </cell>
          <cell r="D1439">
            <v>102.75</v>
          </cell>
          <cell r="E1439">
            <v>103.73</v>
          </cell>
          <cell r="F1439">
            <v>103.46</v>
          </cell>
          <cell r="G1439">
            <v>101.82</v>
          </cell>
          <cell r="H1439">
            <v>951.42</v>
          </cell>
          <cell r="I1439">
            <v>95.13</v>
          </cell>
        </row>
        <row r="1440">
          <cell r="A1440">
            <v>33787</v>
          </cell>
          <cell r="B1440">
            <v>1032.81</v>
          </cell>
          <cell r="C1440">
            <v>1057.98</v>
          </cell>
          <cell r="D1440">
            <v>103.43</v>
          </cell>
          <cell r="E1440">
            <v>104.55</v>
          </cell>
          <cell r="F1440">
            <v>104.45</v>
          </cell>
          <cell r="G1440">
            <v>102.37</v>
          </cell>
          <cell r="H1440">
            <v>965</v>
          </cell>
          <cell r="I1440">
            <v>96.4</v>
          </cell>
        </row>
        <row r="1441">
          <cell r="A1441">
            <v>33788</v>
          </cell>
          <cell r="B1441">
            <v>1036.33</v>
          </cell>
          <cell r="C1441">
            <v>1058.53</v>
          </cell>
          <cell r="D1441">
            <v>103.49</v>
          </cell>
          <cell r="E1441">
            <v>104.38</v>
          </cell>
          <cell r="F1441">
            <v>104.24</v>
          </cell>
          <cell r="G1441">
            <v>102.64</v>
          </cell>
          <cell r="H1441">
            <v>954.12</v>
          </cell>
          <cell r="I1441">
            <v>95.27</v>
          </cell>
        </row>
        <row r="1442">
          <cell r="A1442">
            <v>33791</v>
          </cell>
          <cell r="B1442">
            <v>1026.6500000000001</v>
          </cell>
          <cell r="C1442">
            <v>1053.3499999999999</v>
          </cell>
          <cell r="D1442">
            <v>102.47</v>
          </cell>
          <cell r="E1442">
            <v>103.9</v>
          </cell>
          <cell r="F1442">
            <v>103.74</v>
          </cell>
          <cell r="G1442">
            <v>101.14</v>
          </cell>
          <cell r="H1442">
            <v>951.41</v>
          </cell>
          <cell r="I1442">
            <v>95.15</v>
          </cell>
        </row>
        <row r="1443">
          <cell r="A1443">
            <v>33792</v>
          </cell>
          <cell r="B1443">
            <v>1030.77</v>
          </cell>
          <cell r="C1443">
            <v>1051.5</v>
          </cell>
          <cell r="D1443">
            <v>102.46</v>
          </cell>
          <cell r="E1443">
            <v>103.54</v>
          </cell>
          <cell r="F1443">
            <v>103.28</v>
          </cell>
          <cell r="G1443">
            <v>101.44</v>
          </cell>
          <cell r="H1443">
            <v>936.77</v>
          </cell>
          <cell r="I1443">
            <v>93.9</v>
          </cell>
        </row>
        <row r="1444">
          <cell r="A1444">
            <v>33793</v>
          </cell>
          <cell r="B1444">
            <v>1025.3599999999999</v>
          </cell>
          <cell r="C1444">
            <v>1047.1600000000001</v>
          </cell>
          <cell r="D1444">
            <v>101.85</v>
          </cell>
          <cell r="E1444">
            <v>103.11</v>
          </cell>
          <cell r="F1444">
            <v>102.74</v>
          </cell>
          <cell r="G1444">
            <v>100.67</v>
          </cell>
          <cell r="H1444">
            <v>931.03</v>
          </cell>
          <cell r="I1444">
            <v>93.16</v>
          </cell>
        </row>
        <row r="1445">
          <cell r="A1445">
            <v>33794</v>
          </cell>
          <cell r="B1445">
            <v>1037.3</v>
          </cell>
          <cell r="C1445">
            <v>1054.99</v>
          </cell>
          <cell r="D1445">
            <v>102.72</v>
          </cell>
          <cell r="E1445">
            <v>103.84</v>
          </cell>
          <cell r="F1445">
            <v>103.43</v>
          </cell>
          <cell r="G1445">
            <v>101.67</v>
          </cell>
          <cell r="H1445">
            <v>936.96</v>
          </cell>
          <cell r="I1445">
            <v>93.93</v>
          </cell>
        </row>
        <row r="1446">
          <cell r="A1446">
            <v>33795</v>
          </cell>
          <cell r="B1446">
            <v>1040.8399999999999</v>
          </cell>
          <cell r="C1446">
            <v>1057.8900000000001</v>
          </cell>
          <cell r="D1446">
            <v>103.02</v>
          </cell>
          <cell r="E1446">
            <v>104.16</v>
          </cell>
          <cell r="F1446">
            <v>103.91</v>
          </cell>
          <cell r="G1446">
            <v>101.96</v>
          </cell>
          <cell r="H1446">
            <v>954.71</v>
          </cell>
          <cell r="I1446">
            <v>95.41</v>
          </cell>
        </row>
        <row r="1447">
          <cell r="A1447">
            <v>33798</v>
          </cell>
          <cell r="B1447">
            <v>1022.91</v>
          </cell>
          <cell r="C1447">
            <v>1045.96</v>
          </cell>
          <cell r="D1447">
            <v>101.5</v>
          </cell>
          <cell r="E1447">
            <v>103.09</v>
          </cell>
          <cell r="F1447">
            <v>102.79</v>
          </cell>
          <cell r="G1447">
            <v>100.04</v>
          </cell>
          <cell r="H1447">
            <v>938.21</v>
          </cell>
          <cell r="I1447">
            <v>93.88</v>
          </cell>
        </row>
        <row r="1448">
          <cell r="A1448">
            <v>33799</v>
          </cell>
          <cell r="B1448">
            <v>1023.8</v>
          </cell>
          <cell r="C1448">
            <v>1044.81</v>
          </cell>
          <cell r="D1448">
            <v>101.48</v>
          </cell>
          <cell r="E1448">
            <v>103.03</v>
          </cell>
          <cell r="F1448">
            <v>102.66</v>
          </cell>
          <cell r="G1448">
            <v>100.05</v>
          </cell>
          <cell r="H1448">
            <v>934.27</v>
          </cell>
          <cell r="I1448">
            <v>93.49</v>
          </cell>
        </row>
        <row r="1449">
          <cell r="A1449">
            <v>33800</v>
          </cell>
          <cell r="B1449">
            <v>1021.4</v>
          </cell>
          <cell r="C1449">
            <v>1040.3499999999999</v>
          </cell>
          <cell r="D1449">
            <v>101.25</v>
          </cell>
          <cell r="E1449">
            <v>102.48</v>
          </cell>
          <cell r="F1449">
            <v>102.34</v>
          </cell>
          <cell r="G1449">
            <v>100.11</v>
          </cell>
          <cell r="H1449">
            <v>941.24</v>
          </cell>
          <cell r="I1449">
            <v>94.15</v>
          </cell>
        </row>
        <row r="1450">
          <cell r="A1450">
            <v>33801</v>
          </cell>
          <cell r="B1450">
            <v>1030.74</v>
          </cell>
          <cell r="C1450">
            <v>1045.5999999999999</v>
          </cell>
          <cell r="D1450">
            <v>102.02</v>
          </cell>
          <cell r="E1450">
            <v>103.02</v>
          </cell>
          <cell r="F1450">
            <v>102.91</v>
          </cell>
          <cell r="G1450">
            <v>101.09</v>
          </cell>
          <cell r="H1450">
            <v>944.68</v>
          </cell>
          <cell r="I1450">
            <v>94.66</v>
          </cell>
        </row>
        <row r="1451">
          <cell r="A1451">
            <v>33802</v>
          </cell>
          <cell r="B1451">
            <v>1007.81</v>
          </cell>
          <cell r="C1451">
            <v>1023.83</v>
          </cell>
          <cell r="D1451">
            <v>99.75</v>
          </cell>
          <cell r="E1451">
            <v>100.95</v>
          </cell>
          <cell r="F1451">
            <v>101.09</v>
          </cell>
          <cell r="G1451">
            <v>98.63</v>
          </cell>
          <cell r="H1451">
            <v>935.32</v>
          </cell>
          <cell r="I1451">
            <v>93.79</v>
          </cell>
        </row>
        <row r="1452">
          <cell r="A1452">
            <v>33805</v>
          </cell>
          <cell r="B1452">
            <v>986.15</v>
          </cell>
          <cell r="C1452">
            <v>999.15</v>
          </cell>
          <cell r="D1452">
            <v>97.25</v>
          </cell>
          <cell r="E1452">
            <v>98.35</v>
          </cell>
          <cell r="F1452">
            <v>98.29</v>
          </cell>
          <cell r="G1452">
            <v>96.23</v>
          </cell>
          <cell r="H1452">
            <v>891.17</v>
          </cell>
          <cell r="I1452">
            <v>89.75</v>
          </cell>
        </row>
        <row r="1453">
          <cell r="A1453">
            <v>33806</v>
          </cell>
          <cell r="B1453">
            <v>990.97</v>
          </cell>
          <cell r="C1453">
            <v>998.51</v>
          </cell>
          <cell r="D1453">
            <v>97.66</v>
          </cell>
          <cell r="E1453">
            <v>98.26</v>
          </cell>
          <cell r="F1453">
            <v>98.51</v>
          </cell>
          <cell r="G1453">
            <v>97.08</v>
          </cell>
          <cell r="H1453">
            <v>909.55</v>
          </cell>
          <cell r="I1453">
            <v>91.14</v>
          </cell>
        </row>
        <row r="1454">
          <cell r="A1454">
            <v>33807</v>
          </cell>
          <cell r="B1454">
            <v>984.66</v>
          </cell>
          <cell r="C1454">
            <v>990.68</v>
          </cell>
          <cell r="D1454">
            <v>96.95</v>
          </cell>
          <cell r="E1454">
            <v>97.62</v>
          </cell>
          <cell r="F1454">
            <v>97.89</v>
          </cell>
          <cell r="G1454">
            <v>96.3</v>
          </cell>
          <cell r="H1454">
            <v>901.31</v>
          </cell>
          <cell r="I1454">
            <v>90.51</v>
          </cell>
        </row>
        <row r="1455">
          <cell r="A1455">
            <v>33808</v>
          </cell>
          <cell r="B1455">
            <v>985.14</v>
          </cell>
          <cell r="C1455">
            <v>989.85</v>
          </cell>
          <cell r="D1455">
            <v>97</v>
          </cell>
          <cell r="E1455">
            <v>97.42</v>
          </cell>
          <cell r="F1455">
            <v>97.67</v>
          </cell>
          <cell r="G1455">
            <v>96.58</v>
          </cell>
          <cell r="H1455">
            <v>894.94</v>
          </cell>
          <cell r="I1455">
            <v>89.77</v>
          </cell>
        </row>
        <row r="1456">
          <cell r="A1456">
            <v>33809</v>
          </cell>
          <cell r="B1456">
            <v>975.27</v>
          </cell>
          <cell r="C1456">
            <v>978.09</v>
          </cell>
          <cell r="D1456">
            <v>95.91</v>
          </cell>
          <cell r="E1456">
            <v>96.2</v>
          </cell>
          <cell r="F1456">
            <v>96.52</v>
          </cell>
          <cell r="G1456">
            <v>95.6</v>
          </cell>
          <cell r="H1456">
            <v>881.13</v>
          </cell>
          <cell r="I1456">
            <v>88.47</v>
          </cell>
        </row>
        <row r="1457">
          <cell r="A1457">
            <v>33812</v>
          </cell>
          <cell r="B1457">
            <v>975.11</v>
          </cell>
          <cell r="C1457">
            <v>983.31</v>
          </cell>
          <cell r="D1457">
            <v>95.88</v>
          </cell>
          <cell r="E1457">
            <v>96.69</v>
          </cell>
          <cell r="F1457">
            <v>97.11</v>
          </cell>
          <cell r="G1457">
            <v>95.1</v>
          </cell>
          <cell r="H1457">
            <v>895.6</v>
          </cell>
          <cell r="I1457">
            <v>89.74</v>
          </cell>
        </row>
        <row r="1458">
          <cell r="A1458">
            <v>33813</v>
          </cell>
          <cell r="B1458">
            <v>979.39</v>
          </cell>
          <cell r="C1458">
            <v>982.82</v>
          </cell>
          <cell r="D1458">
            <v>96.25</v>
          </cell>
          <cell r="E1458">
            <v>96.74</v>
          </cell>
          <cell r="F1458">
            <v>97.29</v>
          </cell>
          <cell r="G1458">
            <v>95.76</v>
          </cell>
          <cell r="H1458">
            <v>904.82</v>
          </cell>
          <cell r="I1458">
            <v>90.54</v>
          </cell>
        </row>
        <row r="1459">
          <cell r="A1459">
            <v>33814</v>
          </cell>
          <cell r="B1459">
            <v>992.34</v>
          </cell>
          <cell r="C1459">
            <v>989.34</v>
          </cell>
          <cell r="D1459">
            <v>97.16</v>
          </cell>
          <cell r="E1459">
            <v>97.28</v>
          </cell>
          <cell r="F1459">
            <v>97.83</v>
          </cell>
          <cell r="G1459">
            <v>97.01</v>
          </cell>
          <cell r="H1459">
            <v>909.48</v>
          </cell>
          <cell r="I1459">
            <v>90.93</v>
          </cell>
        </row>
        <row r="1460">
          <cell r="A1460">
            <v>33815</v>
          </cell>
          <cell r="B1460">
            <v>996.33</v>
          </cell>
          <cell r="C1460">
            <v>993.47</v>
          </cell>
          <cell r="D1460">
            <v>97.67</v>
          </cell>
          <cell r="E1460">
            <v>97.81</v>
          </cell>
          <cell r="F1460">
            <v>98.35</v>
          </cell>
          <cell r="G1460">
            <v>97.5</v>
          </cell>
          <cell r="H1460">
            <v>909.2</v>
          </cell>
          <cell r="I1460">
            <v>91.33</v>
          </cell>
        </row>
        <row r="1461">
          <cell r="A1461">
            <v>33816</v>
          </cell>
          <cell r="B1461">
            <v>990.44</v>
          </cell>
          <cell r="C1461">
            <v>988.96</v>
          </cell>
          <cell r="D1461">
            <v>97.26</v>
          </cell>
          <cell r="E1461">
            <v>97.43</v>
          </cell>
          <cell r="F1461">
            <v>98.02</v>
          </cell>
          <cell r="G1461">
            <v>97.06</v>
          </cell>
          <cell r="H1461">
            <v>911.32</v>
          </cell>
          <cell r="I1461">
            <v>91.44</v>
          </cell>
        </row>
        <row r="1462">
          <cell r="A1462">
            <v>33819</v>
          </cell>
          <cell r="B1462">
            <v>989.77</v>
          </cell>
          <cell r="C1462">
            <v>987.91</v>
          </cell>
          <cell r="D1462">
            <v>97.23</v>
          </cell>
          <cell r="E1462">
            <v>97.45</v>
          </cell>
          <cell r="F1462">
            <v>97.86</v>
          </cell>
          <cell r="G1462">
            <v>96.99</v>
          </cell>
          <cell r="H1462">
            <v>901.32</v>
          </cell>
          <cell r="I1462">
            <v>90.23</v>
          </cell>
        </row>
        <row r="1463">
          <cell r="A1463">
            <v>33820</v>
          </cell>
          <cell r="B1463">
            <v>987.99</v>
          </cell>
          <cell r="C1463">
            <v>992.34</v>
          </cell>
          <cell r="D1463">
            <v>97.15</v>
          </cell>
          <cell r="E1463">
            <v>97.91</v>
          </cell>
          <cell r="F1463">
            <v>98.25</v>
          </cell>
          <cell r="G1463">
            <v>96.42</v>
          </cell>
          <cell r="H1463">
            <v>903.35</v>
          </cell>
          <cell r="I1463">
            <v>90.67</v>
          </cell>
        </row>
        <row r="1464">
          <cell r="A1464">
            <v>33821</v>
          </cell>
          <cell r="B1464">
            <v>984.36</v>
          </cell>
          <cell r="C1464">
            <v>993.09</v>
          </cell>
          <cell r="D1464">
            <v>96.7</v>
          </cell>
          <cell r="E1464">
            <v>97.84</v>
          </cell>
          <cell r="F1464">
            <v>98.23</v>
          </cell>
          <cell r="G1464">
            <v>95.63</v>
          </cell>
          <cell r="H1464">
            <v>900.12</v>
          </cell>
          <cell r="I1464">
            <v>90.55</v>
          </cell>
        </row>
        <row r="1465">
          <cell r="A1465">
            <v>33822</v>
          </cell>
          <cell r="B1465">
            <v>987.83</v>
          </cell>
          <cell r="C1465">
            <v>997.54</v>
          </cell>
          <cell r="D1465">
            <v>96.95</v>
          </cell>
          <cell r="E1465">
            <v>98.27</v>
          </cell>
          <cell r="F1465">
            <v>98.59</v>
          </cell>
          <cell r="G1465">
            <v>95.71</v>
          </cell>
          <cell r="H1465">
            <v>893.82</v>
          </cell>
          <cell r="I1465">
            <v>90.13</v>
          </cell>
        </row>
        <row r="1466">
          <cell r="A1466">
            <v>33823</v>
          </cell>
          <cell r="B1466">
            <v>976.61</v>
          </cell>
          <cell r="C1466">
            <v>985.2</v>
          </cell>
          <cell r="D1466">
            <v>95.77</v>
          </cell>
          <cell r="E1466">
            <v>97.1</v>
          </cell>
          <cell r="F1466">
            <v>97.53</v>
          </cell>
          <cell r="G1466">
            <v>94.53</v>
          </cell>
          <cell r="H1466">
            <v>888.04</v>
          </cell>
          <cell r="I1466">
            <v>89.43</v>
          </cell>
        </row>
        <row r="1467">
          <cell r="A1467">
            <v>33826</v>
          </cell>
          <cell r="B1467">
            <v>969.11</v>
          </cell>
          <cell r="C1467">
            <v>975.41</v>
          </cell>
          <cell r="D1467">
            <v>94.95</v>
          </cell>
          <cell r="E1467">
            <v>96.28</v>
          </cell>
          <cell r="F1467">
            <v>96.68</v>
          </cell>
          <cell r="G1467">
            <v>93.73</v>
          </cell>
          <cell r="H1467">
            <v>869.18</v>
          </cell>
          <cell r="I1467">
            <v>87.74</v>
          </cell>
        </row>
        <row r="1468">
          <cell r="A1468">
            <v>33827</v>
          </cell>
          <cell r="B1468">
            <v>959.15</v>
          </cell>
          <cell r="C1468">
            <v>961.91</v>
          </cell>
          <cell r="D1468">
            <v>94.02</v>
          </cell>
          <cell r="E1468">
            <v>95.02</v>
          </cell>
          <cell r="F1468">
            <v>95.59</v>
          </cell>
          <cell r="G1468">
            <v>93.09</v>
          </cell>
          <cell r="H1468">
            <v>865.03</v>
          </cell>
          <cell r="I1468">
            <v>87.3</v>
          </cell>
        </row>
        <row r="1469">
          <cell r="A1469">
            <v>33828</v>
          </cell>
          <cell r="B1469">
            <v>954.4</v>
          </cell>
          <cell r="C1469">
            <v>957.61</v>
          </cell>
          <cell r="D1469">
            <v>93.44</v>
          </cell>
          <cell r="E1469">
            <v>94.48</v>
          </cell>
          <cell r="F1469">
            <v>94.96</v>
          </cell>
          <cell r="G1469">
            <v>92.47</v>
          </cell>
          <cell r="H1469">
            <v>850.07</v>
          </cell>
          <cell r="I1469">
            <v>86.21</v>
          </cell>
        </row>
        <row r="1470">
          <cell r="A1470">
            <v>33829</v>
          </cell>
          <cell r="B1470">
            <v>951.14</v>
          </cell>
          <cell r="C1470">
            <v>951.98</v>
          </cell>
          <cell r="D1470">
            <v>93.25</v>
          </cell>
          <cell r="E1470">
            <v>93.85</v>
          </cell>
          <cell r="F1470">
            <v>94.37</v>
          </cell>
          <cell r="G1470">
            <v>92.66</v>
          </cell>
          <cell r="H1470">
            <v>845.99</v>
          </cell>
          <cell r="I1470">
            <v>85.57</v>
          </cell>
        </row>
        <row r="1471">
          <cell r="A1471">
            <v>33830</v>
          </cell>
          <cell r="B1471">
            <v>966.15</v>
          </cell>
          <cell r="C1471">
            <v>963.84</v>
          </cell>
          <cell r="D1471">
            <v>94.53</v>
          </cell>
          <cell r="E1471">
            <v>94.89</v>
          </cell>
          <cell r="F1471">
            <v>95.33</v>
          </cell>
          <cell r="G1471">
            <v>94.17</v>
          </cell>
          <cell r="H1471">
            <v>858.26</v>
          </cell>
          <cell r="I1471">
            <v>86.58</v>
          </cell>
        </row>
        <row r="1472">
          <cell r="A1472">
            <v>33833</v>
          </cell>
          <cell r="B1472">
            <v>970.34</v>
          </cell>
          <cell r="C1472">
            <v>964.61</v>
          </cell>
          <cell r="D1472">
            <v>94.86</v>
          </cell>
          <cell r="E1472">
            <v>95.08</v>
          </cell>
          <cell r="F1472">
            <v>95.53</v>
          </cell>
          <cell r="G1472">
            <v>94.61</v>
          </cell>
          <cell r="H1472">
            <v>862.15</v>
          </cell>
          <cell r="I1472">
            <v>86.94</v>
          </cell>
        </row>
        <row r="1473">
          <cell r="A1473">
            <v>33834</v>
          </cell>
          <cell r="B1473">
            <v>963.13</v>
          </cell>
          <cell r="C1473">
            <v>956.36</v>
          </cell>
          <cell r="D1473">
            <v>94.12</v>
          </cell>
          <cell r="E1473">
            <v>94.41</v>
          </cell>
          <cell r="F1473">
            <v>94.86</v>
          </cell>
          <cell r="G1473">
            <v>93.83</v>
          </cell>
          <cell r="H1473">
            <v>849.62</v>
          </cell>
          <cell r="I1473">
            <v>85.99</v>
          </cell>
        </row>
        <row r="1474">
          <cell r="A1474">
            <v>33835</v>
          </cell>
          <cell r="B1474">
            <v>967.09</v>
          </cell>
          <cell r="C1474">
            <v>957.62</v>
          </cell>
          <cell r="D1474">
            <v>94.35</v>
          </cell>
          <cell r="E1474">
            <v>94.53</v>
          </cell>
          <cell r="F1474">
            <v>94.82</v>
          </cell>
          <cell r="G1474">
            <v>94.15</v>
          </cell>
          <cell r="H1474">
            <v>838.72</v>
          </cell>
          <cell r="I1474">
            <v>84.95</v>
          </cell>
        </row>
        <row r="1475">
          <cell r="A1475">
            <v>33836</v>
          </cell>
          <cell r="B1475">
            <v>965.56</v>
          </cell>
          <cell r="C1475">
            <v>955.68</v>
          </cell>
          <cell r="D1475">
            <v>94.1</v>
          </cell>
          <cell r="E1475">
            <v>94.27</v>
          </cell>
          <cell r="F1475">
            <v>94.5</v>
          </cell>
          <cell r="G1475">
            <v>93.9</v>
          </cell>
          <cell r="H1475">
            <v>830.8</v>
          </cell>
          <cell r="I1475">
            <v>84.02</v>
          </cell>
        </row>
        <row r="1476">
          <cell r="A1476">
            <v>33837</v>
          </cell>
          <cell r="B1476">
            <v>976.79</v>
          </cell>
          <cell r="C1476">
            <v>968.19</v>
          </cell>
          <cell r="D1476">
            <v>95.13</v>
          </cell>
          <cell r="E1476">
            <v>95.46</v>
          </cell>
          <cell r="F1476">
            <v>95.61</v>
          </cell>
          <cell r="G1476">
            <v>94.8</v>
          </cell>
          <cell r="H1476">
            <v>825.69</v>
          </cell>
          <cell r="I1476">
            <v>83.32</v>
          </cell>
        </row>
        <row r="1477">
          <cell r="A1477">
            <v>33840</v>
          </cell>
          <cell r="B1477">
            <v>948.68</v>
          </cell>
          <cell r="C1477">
            <v>941.72</v>
          </cell>
          <cell r="D1477">
            <v>92.43</v>
          </cell>
          <cell r="E1477">
            <v>92.96</v>
          </cell>
          <cell r="F1477">
            <v>93.11</v>
          </cell>
          <cell r="G1477">
            <v>91.91</v>
          </cell>
          <cell r="H1477">
            <v>804.75</v>
          </cell>
          <cell r="I1477">
            <v>80.87</v>
          </cell>
        </row>
        <row r="1478">
          <cell r="A1478">
            <v>33841</v>
          </cell>
          <cell r="B1478">
            <v>939.76</v>
          </cell>
          <cell r="C1478">
            <v>935.47</v>
          </cell>
          <cell r="D1478">
            <v>91.55</v>
          </cell>
          <cell r="E1478">
            <v>92.23</v>
          </cell>
          <cell r="F1478">
            <v>92.3</v>
          </cell>
          <cell r="G1478">
            <v>90.9</v>
          </cell>
          <cell r="H1478">
            <v>787.53</v>
          </cell>
          <cell r="I1478">
            <v>79.33</v>
          </cell>
        </row>
        <row r="1479">
          <cell r="A1479">
            <v>33842</v>
          </cell>
          <cell r="B1479">
            <v>938.98</v>
          </cell>
          <cell r="C1479">
            <v>933.84</v>
          </cell>
          <cell r="D1479">
            <v>91.31</v>
          </cell>
          <cell r="E1479">
            <v>91.93</v>
          </cell>
          <cell r="F1479">
            <v>92</v>
          </cell>
          <cell r="G1479">
            <v>90.7</v>
          </cell>
          <cell r="H1479">
            <v>803.78</v>
          </cell>
          <cell r="I1479">
            <v>80.44</v>
          </cell>
        </row>
        <row r="1480">
          <cell r="A1480">
            <v>33843</v>
          </cell>
          <cell r="B1480">
            <v>950.7</v>
          </cell>
          <cell r="C1480">
            <v>942.65</v>
          </cell>
          <cell r="D1480">
            <v>92.36</v>
          </cell>
          <cell r="E1480">
            <v>92.76</v>
          </cell>
          <cell r="F1480">
            <v>93.19</v>
          </cell>
          <cell r="G1480">
            <v>91.96</v>
          </cell>
          <cell r="H1480">
            <v>840.1</v>
          </cell>
          <cell r="I1480">
            <v>84</v>
          </cell>
        </row>
        <row r="1481">
          <cell r="A1481">
            <v>33844</v>
          </cell>
          <cell r="B1481">
            <v>951.57</v>
          </cell>
          <cell r="C1481">
            <v>943.43</v>
          </cell>
          <cell r="D1481">
            <v>92.35</v>
          </cell>
          <cell r="E1481">
            <v>92.86</v>
          </cell>
          <cell r="F1481">
            <v>93.26</v>
          </cell>
          <cell r="G1481">
            <v>91.85</v>
          </cell>
          <cell r="H1481">
            <v>832.73</v>
          </cell>
          <cell r="I1481">
            <v>83.54</v>
          </cell>
        </row>
        <row r="1482">
          <cell r="A1482">
            <v>33847</v>
          </cell>
          <cell r="B1482">
            <v>958</v>
          </cell>
          <cell r="C1482">
            <v>951.68</v>
          </cell>
          <cell r="D1482">
            <v>92.82</v>
          </cell>
          <cell r="E1482">
            <v>93.49</v>
          </cell>
          <cell r="F1482">
            <v>93.87</v>
          </cell>
          <cell r="G1482">
            <v>92.16</v>
          </cell>
          <cell r="H1482">
            <v>828.79</v>
          </cell>
          <cell r="I1482">
            <v>83.05</v>
          </cell>
        </row>
        <row r="1483">
          <cell r="A1483">
            <v>33848</v>
          </cell>
          <cell r="B1483">
            <v>951.17</v>
          </cell>
          <cell r="C1483">
            <v>945.84</v>
          </cell>
          <cell r="D1483">
            <v>91.99</v>
          </cell>
          <cell r="E1483">
            <v>92.81</v>
          </cell>
          <cell r="F1483">
            <v>93.1</v>
          </cell>
          <cell r="G1483">
            <v>91.22</v>
          </cell>
          <cell r="H1483">
            <v>806.04</v>
          </cell>
          <cell r="I1483">
            <v>80.930000000000007</v>
          </cell>
        </row>
        <row r="1484">
          <cell r="A1484">
            <v>33849</v>
          </cell>
          <cell r="B1484">
            <v>952.95</v>
          </cell>
          <cell r="C1484">
            <v>945.24</v>
          </cell>
          <cell r="D1484">
            <v>92.05</v>
          </cell>
          <cell r="E1484">
            <v>92.67</v>
          </cell>
          <cell r="F1484">
            <v>92.89</v>
          </cell>
          <cell r="G1484">
            <v>91.45</v>
          </cell>
          <cell r="H1484">
            <v>793.26</v>
          </cell>
          <cell r="I1484">
            <v>79.58</v>
          </cell>
        </row>
        <row r="1485">
          <cell r="A1485">
            <v>33850</v>
          </cell>
          <cell r="B1485">
            <v>976.7</v>
          </cell>
          <cell r="C1485">
            <v>964.86</v>
          </cell>
          <cell r="D1485">
            <v>94.13</v>
          </cell>
          <cell r="E1485">
            <v>94.32</v>
          </cell>
          <cell r="F1485">
            <v>94.33</v>
          </cell>
          <cell r="G1485">
            <v>93.91</v>
          </cell>
          <cell r="H1485">
            <v>804.6</v>
          </cell>
          <cell r="I1485">
            <v>80.41</v>
          </cell>
        </row>
        <row r="1486">
          <cell r="A1486">
            <v>33851</v>
          </cell>
          <cell r="B1486">
            <v>975.96</v>
          </cell>
          <cell r="C1486">
            <v>968.69</v>
          </cell>
          <cell r="D1486">
            <v>93.96</v>
          </cell>
          <cell r="E1486">
            <v>94.45</v>
          </cell>
          <cell r="F1486">
            <v>94.55</v>
          </cell>
          <cell r="G1486">
            <v>93.47</v>
          </cell>
          <cell r="H1486">
            <v>811.46</v>
          </cell>
          <cell r="I1486">
            <v>81.13</v>
          </cell>
        </row>
        <row r="1487">
          <cell r="A1487">
            <v>33854</v>
          </cell>
          <cell r="B1487">
            <v>974.56</v>
          </cell>
          <cell r="C1487">
            <v>964</v>
          </cell>
          <cell r="D1487">
            <v>93.75</v>
          </cell>
          <cell r="E1487">
            <v>93.93</v>
          </cell>
          <cell r="F1487">
            <v>94.09</v>
          </cell>
          <cell r="G1487">
            <v>93.55</v>
          </cell>
          <cell r="H1487">
            <v>805.82</v>
          </cell>
          <cell r="I1487">
            <v>80.5</v>
          </cell>
        </row>
        <row r="1488">
          <cell r="A1488">
            <v>33855</v>
          </cell>
          <cell r="B1488">
            <v>966.8</v>
          </cell>
          <cell r="C1488">
            <v>961.34</v>
          </cell>
          <cell r="D1488">
            <v>93.03</v>
          </cell>
          <cell r="E1488">
            <v>93.79</v>
          </cell>
          <cell r="F1488">
            <v>93.91</v>
          </cell>
          <cell r="G1488">
            <v>92.3</v>
          </cell>
          <cell r="H1488">
            <v>791.56</v>
          </cell>
          <cell r="I1488">
            <v>79.37</v>
          </cell>
        </row>
        <row r="1489">
          <cell r="A1489">
            <v>33856</v>
          </cell>
          <cell r="B1489">
            <v>963.17</v>
          </cell>
          <cell r="C1489">
            <v>957.87</v>
          </cell>
          <cell r="D1489">
            <v>92.54</v>
          </cell>
          <cell r="E1489">
            <v>93.5</v>
          </cell>
          <cell r="F1489">
            <v>93.6</v>
          </cell>
          <cell r="G1489">
            <v>91.63</v>
          </cell>
          <cell r="H1489">
            <v>781.35</v>
          </cell>
          <cell r="I1489">
            <v>78.56</v>
          </cell>
        </row>
        <row r="1490">
          <cell r="A1490">
            <v>33857</v>
          </cell>
          <cell r="B1490">
            <v>963.6</v>
          </cell>
          <cell r="C1490">
            <v>954.49</v>
          </cell>
          <cell r="D1490">
            <v>92.54</v>
          </cell>
          <cell r="E1490">
            <v>93.2</v>
          </cell>
          <cell r="F1490">
            <v>93.35</v>
          </cell>
          <cell r="G1490">
            <v>91.9</v>
          </cell>
          <cell r="H1490">
            <v>777.18</v>
          </cell>
          <cell r="I1490">
            <v>78.31</v>
          </cell>
        </row>
        <row r="1491">
          <cell r="A1491">
            <v>33858</v>
          </cell>
          <cell r="B1491">
            <v>977.83</v>
          </cell>
          <cell r="C1491">
            <v>966.2</v>
          </cell>
          <cell r="D1491">
            <v>93.61</v>
          </cell>
          <cell r="E1491">
            <v>94.14</v>
          </cell>
          <cell r="F1491">
            <v>94.3</v>
          </cell>
          <cell r="G1491">
            <v>93.1</v>
          </cell>
          <cell r="H1491">
            <v>783.15</v>
          </cell>
          <cell r="I1491">
            <v>78.790000000000006</v>
          </cell>
        </row>
        <row r="1492">
          <cell r="A1492">
            <v>33861</v>
          </cell>
          <cell r="B1492">
            <v>1012.43</v>
          </cell>
          <cell r="C1492">
            <v>1005.61</v>
          </cell>
          <cell r="D1492">
            <v>96.97</v>
          </cell>
          <cell r="E1492">
            <v>98.11</v>
          </cell>
          <cell r="F1492">
            <v>97.81</v>
          </cell>
          <cell r="G1492">
            <v>95.92</v>
          </cell>
          <cell r="H1492">
            <v>822.28</v>
          </cell>
          <cell r="I1492">
            <v>82.13</v>
          </cell>
        </row>
        <row r="1493">
          <cell r="A1493">
            <v>33862</v>
          </cell>
          <cell r="B1493">
            <v>994.71</v>
          </cell>
          <cell r="C1493">
            <v>992.17</v>
          </cell>
          <cell r="D1493">
            <v>95.3</v>
          </cell>
          <cell r="E1493">
            <v>96.98</v>
          </cell>
          <cell r="F1493">
            <v>97.04</v>
          </cell>
          <cell r="G1493">
            <v>93.76</v>
          </cell>
          <cell r="H1493">
            <v>810.64</v>
          </cell>
          <cell r="I1493">
            <v>81.09</v>
          </cell>
        </row>
        <row r="1494">
          <cell r="A1494">
            <v>33863</v>
          </cell>
          <cell r="B1494">
            <v>1019.23</v>
          </cell>
          <cell r="C1494">
            <v>1018.38</v>
          </cell>
          <cell r="D1494">
            <v>97.2</v>
          </cell>
          <cell r="E1494">
            <v>99.25</v>
          </cell>
          <cell r="F1494">
            <v>99.78</v>
          </cell>
          <cell r="G1494">
            <v>95.31</v>
          </cell>
          <cell r="H1494">
            <v>833.48</v>
          </cell>
          <cell r="I1494">
            <v>83.13</v>
          </cell>
        </row>
        <row r="1495">
          <cell r="A1495">
            <v>33864</v>
          </cell>
          <cell r="B1495">
            <v>1008.63</v>
          </cell>
          <cell r="C1495">
            <v>1005.53</v>
          </cell>
          <cell r="D1495">
            <v>96.5</v>
          </cell>
          <cell r="E1495">
            <v>97.74</v>
          </cell>
          <cell r="F1495">
            <v>98.26</v>
          </cell>
          <cell r="G1495">
            <v>95.34</v>
          </cell>
          <cell r="H1495">
            <v>807.74</v>
          </cell>
          <cell r="I1495">
            <v>80.540000000000006</v>
          </cell>
        </row>
        <row r="1496">
          <cell r="A1496">
            <v>33865</v>
          </cell>
          <cell r="B1496">
            <v>1042.02</v>
          </cell>
          <cell r="C1496">
            <v>1036.18</v>
          </cell>
          <cell r="D1496">
            <v>99.98</v>
          </cell>
          <cell r="E1496">
            <v>100.79</v>
          </cell>
          <cell r="F1496">
            <v>101.38</v>
          </cell>
          <cell r="G1496">
            <v>99.22</v>
          </cell>
          <cell r="H1496">
            <v>852.38</v>
          </cell>
          <cell r="I1496">
            <v>84.71</v>
          </cell>
        </row>
        <row r="1497">
          <cell r="A1497">
            <v>33868</v>
          </cell>
          <cell r="B1497">
            <v>1014.25</v>
          </cell>
          <cell r="C1497">
            <v>1013.23</v>
          </cell>
          <cell r="D1497">
            <v>97.21</v>
          </cell>
          <cell r="E1497">
            <v>98.58</v>
          </cell>
          <cell r="F1497">
            <v>99.11</v>
          </cell>
          <cell r="G1497">
            <v>95.94</v>
          </cell>
          <cell r="H1497">
            <v>831.53</v>
          </cell>
          <cell r="I1497">
            <v>83.04</v>
          </cell>
        </row>
        <row r="1498">
          <cell r="A1498">
            <v>33869</v>
          </cell>
          <cell r="B1498">
            <v>1029.02</v>
          </cell>
          <cell r="C1498">
            <v>1020.47</v>
          </cell>
          <cell r="D1498">
            <v>98.78</v>
          </cell>
          <cell r="E1498">
            <v>99.36</v>
          </cell>
          <cell r="F1498">
            <v>100.09</v>
          </cell>
          <cell r="G1498">
            <v>98.21</v>
          </cell>
          <cell r="H1498">
            <v>830.23</v>
          </cell>
          <cell r="I1498">
            <v>83.2</v>
          </cell>
        </row>
        <row r="1499">
          <cell r="A1499">
            <v>33870</v>
          </cell>
          <cell r="B1499">
            <v>1018.69</v>
          </cell>
          <cell r="C1499">
            <v>1007.01</v>
          </cell>
          <cell r="D1499">
            <v>97.64</v>
          </cell>
          <cell r="E1499">
            <v>97.95</v>
          </cell>
          <cell r="F1499">
            <v>98.51</v>
          </cell>
          <cell r="G1499">
            <v>97.32</v>
          </cell>
          <cell r="H1499">
            <v>791.72</v>
          </cell>
          <cell r="I1499">
            <v>79.88</v>
          </cell>
        </row>
        <row r="1500">
          <cell r="A1500">
            <v>33871</v>
          </cell>
          <cell r="B1500">
            <v>1027.2</v>
          </cell>
          <cell r="C1500">
            <v>1009.94</v>
          </cell>
          <cell r="D1500">
            <v>98.46</v>
          </cell>
          <cell r="E1500">
            <v>98.22</v>
          </cell>
          <cell r="F1500">
            <v>98.87</v>
          </cell>
          <cell r="G1500">
            <v>98.64</v>
          </cell>
          <cell r="H1500">
            <v>802.11</v>
          </cell>
          <cell r="I1500">
            <v>80.959999999999994</v>
          </cell>
        </row>
        <row r="1501">
          <cell r="A1501">
            <v>33872</v>
          </cell>
          <cell r="B1501">
            <v>1017.47</v>
          </cell>
          <cell r="C1501">
            <v>1002.4</v>
          </cell>
          <cell r="D1501">
            <v>97.6</v>
          </cell>
          <cell r="E1501">
            <v>97.48</v>
          </cell>
          <cell r="F1501">
            <v>98.18</v>
          </cell>
          <cell r="G1501">
            <v>97.66</v>
          </cell>
          <cell r="H1501">
            <v>792.23</v>
          </cell>
          <cell r="I1501">
            <v>80.040000000000006</v>
          </cell>
        </row>
        <row r="1502">
          <cell r="A1502">
            <v>33875</v>
          </cell>
          <cell r="B1502">
            <v>987.81</v>
          </cell>
          <cell r="C1502">
            <v>972.74</v>
          </cell>
          <cell r="D1502">
            <v>94.78</v>
          </cell>
          <cell r="E1502">
            <v>94.81</v>
          </cell>
          <cell r="F1502">
            <v>95.52</v>
          </cell>
          <cell r="G1502">
            <v>94.7</v>
          </cell>
          <cell r="H1502">
            <v>765.41</v>
          </cell>
          <cell r="I1502">
            <v>77.34</v>
          </cell>
        </row>
        <row r="1503">
          <cell r="A1503">
            <v>33876</v>
          </cell>
          <cell r="B1503">
            <v>989.66</v>
          </cell>
          <cell r="C1503">
            <v>970.13</v>
          </cell>
          <cell r="D1503">
            <v>94.93</v>
          </cell>
          <cell r="E1503">
            <v>94.46</v>
          </cell>
          <cell r="F1503">
            <v>95.24</v>
          </cell>
          <cell r="G1503">
            <v>95.3</v>
          </cell>
          <cell r="H1503">
            <v>753.57</v>
          </cell>
          <cell r="I1503">
            <v>76.099999999999994</v>
          </cell>
        </row>
        <row r="1504">
          <cell r="A1504">
            <v>33877</v>
          </cell>
          <cell r="B1504">
            <v>984.9</v>
          </cell>
          <cell r="C1504">
            <v>968.58</v>
          </cell>
          <cell r="D1504">
            <v>94.69</v>
          </cell>
          <cell r="E1504">
            <v>94.42</v>
          </cell>
          <cell r="F1504">
            <v>95.36</v>
          </cell>
          <cell r="G1504">
            <v>94.88</v>
          </cell>
          <cell r="H1504">
            <v>779.7</v>
          </cell>
          <cell r="I1504">
            <v>78.930000000000007</v>
          </cell>
        </row>
        <row r="1505">
          <cell r="A1505">
            <v>33878</v>
          </cell>
          <cell r="B1505">
            <v>975.31</v>
          </cell>
          <cell r="C1505">
            <v>958.97</v>
          </cell>
          <cell r="D1505">
            <v>93.51</v>
          </cell>
          <cell r="E1505">
            <v>93.36</v>
          </cell>
          <cell r="F1505">
            <v>94.49</v>
          </cell>
          <cell r="G1505">
            <v>93.59</v>
          </cell>
          <cell r="H1505">
            <v>785.2</v>
          </cell>
          <cell r="I1505">
            <v>79.48</v>
          </cell>
        </row>
        <row r="1506">
          <cell r="A1506">
            <v>33879</v>
          </cell>
          <cell r="B1506">
            <v>983.17</v>
          </cell>
          <cell r="C1506">
            <v>971.11</v>
          </cell>
          <cell r="D1506">
            <v>94.22</v>
          </cell>
          <cell r="E1506">
            <v>94.66</v>
          </cell>
          <cell r="F1506">
            <v>95.71</v>
          </cell>
          <cell r="G1506">
            <v>93.77</v>
          </cell>
          <cell r="H1506">
            <v>780.32</v>
          </cell>
          <cell r="I1506">
            <v>79.25</v>
          </cell>
        </row>
        <row r="1507">
          <cell r="A1507">
            <v>33882</v>
          </cell>
          <cell r="B1507">
            <v>925.95</v>
          </cell>
          <cell r="C1507">
            <v>920.65</v>
          </cell>
          <cell r="D1507">
            <v>89.09</v>
          </cell>
          <cell r="E1507">
            <v>89.95</v>
          </cell>
          <cell r="F1507">
            <v>90.98</v>
          </cell>
          <cell r="G1507">
            <v>88.28</v>
          </cell>
          <cell r="H1507">
            <v>740.03</v>
          </cell>
          <cell r="I1507">
            <v>75.56</v>
          </cell>
        </row>
        <row r="1508">
          <cell r="A1508">
            <v>33883</v>
          </cell>
          <cell r="B1508">
            <v>944.62</v>
          </cell>
          <cell r="C1508">
            <v>928.88</v>
          </cell>
          <cell r="D1508">
            <v>90.66</v>
          </cell>
          <cell r="E1508">
            <v>90.81</v>
          </cell>
          <cell r="F1508">
            <v>91.8</v>
          </cell>
          <cell r="G1508">
            <v>90.48</v>
          </cell>
          <cell r="H1508">
            <v>738.23</v>
          </cell>
          <cell r="I1508">
            <v>75.13</v>
          </cell>
        </row>
        <row r="1509">
          <cell r="A1509">
            <v>33884</v>
          </cell>
          <cell r="B1509">
            <v>951.5</v>
          </cell>
          <cell r="C1509">
            <v>931.96</v>
          </cell>
          <cell r="D1509">
            <v>91.42</v>
          </cell>
          <cell r="E1509">
            <v>91.03</v>
          </cell>
          <cell r="F1509">
            <v>92.1</v>
          </cell>
          <cell r="G1509">
            <v>91.73</v>
          </cell>
          <cell r="H1509">
            <v>748.86</v>
          </cell>
          <cell r="I1509">
            <v>76.040000000000006</v>
          </cell>
        </row>
        <row r="1510">
          <cell r="A1510">
            <v>33885</v>
          </cell>
          <cell r="B1510">
            <v>963.52</v>
          </cell>
          <cell r="C1510">
            <v>945.27</v>
          </cell>
          <cell r="D1510">
            <v>92.48</v>
          </cell>
          <cell r="E1510">
            <v>92.43</v>
          </cell>
          <cell r="F1510">
            <v>93.12</v>
          </cell>
          <cell r="G1510">
            <v>92.48</v>
          </cell>
          <cell r="H1510">
            <v>750.76</v>
          </cell>
          <cell r="I1510">
            <v>76.23</v>
          </cell>
        </row>
        <row r="1511">
          <cell r="A1511">
            <v>33886</v>
          </cell>
          <cell r="B1511">
            <v>975.85</v>
          </cell>
          <cell r="C1511">
            <v>952.37</v>
          </cell>
          <cell r="D1511">
            <v>93.62</v>
          </cell>
          <cell r="E1511">
            <v>93.19</v>
          </cell>
          <cell r="F1511">
            <v>93.97</v>
          </cell>
          <cell r="G1511">
            <v>93.95</v>
          </cell>
          <cell r="H1511">
            <v>760.59</v>
          </cell>
          <cell r="I1511">
            <v>77.03</v>
          </cell>
        </row>
        <row r="1512">
          <cell r="A1512">
            <v>33889</v>
          </cell>
          <cell r="B1512">
            <v>983.19</v>
          </cell>
          <cell r="C1512">
            <v>954.1</v>
          </cell>
          <cell r="D1512">
            <v>94.42</v>
          </cell>
          <cell r="E1512">
            <v>93.42</v>
          </cell>
          <cell r="F1512">
            <v>94.36</v>
          </cell>
          <cell r="G1512">
            <v>95.26</v>
          </cell>
          <cell r="H1512">
            <v>771.95</v>
          </cell>
          <cell r="I1512">
            <v>78.069999999999993</v>
          </cell>
        </row>
        <row r="1513">
          <cell r="A1513">
            <v>33890</v>
          </cell>
          <cell r="B1513">
            <v>991.46</v>
          </cell>
          <cell r="C1513">
            <v>959.87</v>
          </cell>
          <cell r="D1513">
            <v>94.64</v>
          </cell>
          <cell r="E1513">
            <v>93.6</v>
          </cell>
          <cell r="F1513">
            <v>94.4</v>
          </cell>
          <cell r="G1513">
            <v>95.53</v>
          </cell>
          <cell r="H1513">
            <v>763.99</v>
          </cell>
          <cell r="I1513">
            <v>77.540000000000006</v>
          </cell>
        </row>
        <row r="1514">
          <cell r="A1514">
            <v>33891</v>
          </cell>
          <cell r="B1514">
            <v>983.15</v>
          </cell>
          <cell r="C1514">
            <v>956.22</v>
          </cell>
          <cell r="D1514">
            <v>93.86</v>
          </cell>
          <cell r="E1514">
            <v>93.45</v>
          </cell>
          <cell r="F1514">
            <v>94.2</v>
          </cell>
          <cell r="G1514">
            <v>94.19</v>
          </cell>
          <cell r="H1514">
            <v>762.55</v>
          </cell>
          <cell r="I1514">
            <v>77.52</v>
          </cell>
        </row>
        <row r="1515">
          <cell r="A1515">
            <v>33892</v>
          </cell>
          <cell r="B1515">
            <v>967.34</v>
          </cell>
          <cell r="C1515">
            <v>950.13</v>
          </cell>
          <cell r="D1515">
            <v>92.48</v>
          </cell>
          <cell r="E1515">
            <v>92.98</v>
          </cell>
          <cell r="F1515">
            <v>93.59</v>
          </cell>
          <cell r="G1515">
            <v>91.99</v>
          </cell>
          <cell r="H1515">
            <v>749.92</v>
          </cell>
          <cell r="I1515">
            <v>76.38</v>
          </cell>
        </row>
        <row r="1516">
          <cell r="A1516">
            <v>33893</v>
          </cell>
          <cell r="B1516">
            <v>968.45</v>
          </cell>
          <cell r="C1516">
            <v>955.48</v>
          </cell>
          <cell r="D1516">
            <v>92.68</v>
          </cell>
          <cell r="E1516">
            <v>93.48</v>
          </cell>
          <cell r="F1516">
            <v>94</v>
          </cell>
          <cell r="G1516">
            <v>91.91</v>
          </cell>
          <cell r="H1516">
            <v>754.86</v>
          </cell>
          <cell r="I1516">
            <v>76.959999999999994</v>
          </cell>
        </row>
        <row r="1517">
          <cell r="A1517">
            <v>33896</v>
          </cell>
          <cell r="B1517">
            <v>960.07</v>
          </cell>
          <cell r="C1517">
            <v>953.12</v>
          </cell>
          <cell r="D1517">
            <v>91.77</v>
          </cell>
          <cell r="E1517">
            <v>93.03</v>
          </cell>
          <cell r="F1517">
            <v>93.52</v>
          </cell>
          <cell r="G1517">
            <v>90.6</v>
          </cell>
          <cell r="H1517">
            <v>750.49</v>
          </cell>
          <cell r="I1517">
            <v>76.56</v>
          </cell>
        </row>
        <row r="1518">
          <cell r="A1518">
            <v>33897</v>
          </cell>
          <cell r="B1518">
            <v>991.35</v>
          </cell>
          <cell r="C1518">
            <v>977.87</v>
          </cell>
          <cell r="D1518">
            <v>94.58</v>
          </cell>
          <cell r="E1518">
            <v>95.27</v>
          </cell>
          <cell r="F1518">
            <v>95.68</v>
          </cell>
          <cell r="G1518">
            <v>93.92</v>
          </cell>
          <cell r="H1518">
            <v>773.48</v>
          </cell>
          <cell r="I1518">
            <v>78.59</v>
          </cell>
        </row>
        <row r="1519">
          <cell r="A1519">
            <v>33898</v>
          </cell>
          <cell r="B1519">
            <v>972.61</v>
          </cell>
          <cell r="C1519">
            <v>962.91</v>
          </cell>
          <cell r="D1519">
            <v>93.01</v>
          </cell>
          <cell r="E1519">
            <v>94.01</v>
          </cell>
          <cell r="F1519">
            <v>94.51</v>
          </cell>
          <cell r="G1519">
            <v>92.08</v>
          </cell>
          <cell r="H1519">
            <v>774.55</v>
          </cell>
          <cell r="I1519">
            <v>78.83</v>
          </cell>
        </row>
        <row r="1520">
          <cell r="A1520">
            <v>33899</v>
          </cell>
          <cell r="B1520">
            <v>992.11</v>
          </cell>
          <cell r="C1520">
            <v>975.9</v>
          </cell>
          <cell r="D1520">
            <v>95.16</v>
          </cell>
          <cell r="E1520">
            <v>95.25</v>
          </cell>
          <cell r="F1520">
            <v>95.74</v>
          </cell>
          <cell r="G1520">
            <v>95.03</v>
          </cell>
          <cell r="H1520">
            <v>784.37</v>
          </cell>
          <cell r="I1520">
            <v>79.83</v>
          </cell>
        </row>
        <row r="1521">
          <cell r="A1521">
            <v>33900</v>
          </cell>
          <cell r="B1521">
            <v>1008.62</v>
          </cell>
          <cell r="C1521">
            <v>988.52</v>
          </cell>
          <cell r="D1521">
            <v>96.6</v>
          </cell>
          <cell r="E1521">
            <v>96.43</v>
          </cell>
          <cell r="F1521">
            <v>96.87</v>
          </cell>
          <cell r="G1521">
            <v>96.71</v>
          </cell>
          <cell r="H1521">
            <v>804</v>
          </cell>
          <cell r="I1521">
            <v>81.39</v>
          </cell>
        </row>
        <row r="1522">
          <cell r="A1522">
            <v>33903</v>
          </cell>
          <cell r="B1522">
            <v>1001.42</v>
          </cell>
          <cell r="C1522">
            <v>991.92</v>
          </cell>
          <cell r="D1522">
            <v>95.96</v>
          </cell>
          <cell r="E1522">
            <v>97.01</v>
          </cell>
          <cell r="F1522">
            <v>97.38</v>
          </cell>
          <cell r="G1522">
            <v>94.99</v>
          </cell>
          <cell r="H1522">
            <v>800.92</v>
          </cell>
          <cell r="I1522">
            <v>81.42</v>
          </cell>
        </row>
        <row r="1523">
          <cell r="A1523">
            <v>33904</v>
          </cell>
          <cell r="B1523">
            <v>996.61</v>
          </cell>
          <cell r="C1523">
            <v>988.47</v>
          </cell>
          <cell r="D1523">
            <v>95.44</v>
          </cell>
          <cell r="E1523">
            <v>96.54</v>
          </cell>
          <cell r="F1523">
            <v>96.96</v>
          </cell>
          <cell r="G1523">
            <v>94.42</v>
          </cell>
          <cell r="H1523">
            <v>797.58</v>
          </cell>
          <cell r="I1523">
            <v>81.14</v>
          </cell>
        </row>
        <row r="1524">
          <cell r="A1524">
            <v>33905</v>
          </cell>
          <cell r="B1524">
            <v>989.73</v>
          </cell>
          <cell r="C1524">
            <v>983.96</v>
          </cell>
          <cell r="D1524">
            <v>94.97</v>
          </cell>
          <cell r="E1524">
            <v>96.15</v>
          </cell>
          <cell r="F1524">
            <v>96.51</v>
          </cell>
          <cell r="G1524">
            <v>93.87</v>
          </cell>
          <cell r="H1524">
            <v>799.53</v>
          </cell>
          <cell r="I1524">
            <v>81.42</v>
          </cell>
        </row>
        <row r="1525">
          <cell r="A1525">
            <v>33906</v>
          </cell>
          <cell r="B1525">
            <v>986.42</v>
          </cell>
          <cell r="C1525">
            <v>978.65</v>
          </cell>
          <cell r="D1525">
            <v>94.77</v>
          </cell>
          <cell r="E1525">
            <v>95.98</v>
          </cell>
          <cell r="F1525">
            <v>96.33</v>
          </cell>
          <cell r="G1525">
            <v>93.64</v>
          </cell>
          <cell r="H1525">
            <v>793.68</v>
          </cell>
          <cell r="I1525">
            <v>80.900000000000006</v>
          </cell>
        </row>
        <row r="1526">
          <cell r="A1526">
            <v>33907</v>
          </cell>
          <cell r="B1526">
            <v>986.09</v>
          </cell>
          <cell r="C1526">
            <v>980.05</v>
          </cell>
          <cell r="D1526">
            <v>94.74</v>
          </cell>
          <cell r="E1526">
            <v>96.12</v>
          </cell>
          <cell r="F1526">
            <v>96.48</v>
          </cell>
          <cell r="G1526">
            <v>93.47</v>
          </cell>
          <cell r="H1526">
            <v>792.7</v>
          </cell>
          <cell r="I1526">
            <v>80.900000000000006</v>
          </cell>
        </row>
        <row r="1527">
          <cell r="A1527">
            <v>33910</v>
          </cell>
          <cell r="B1527">
            <v>992.41</v>
          </cell>
          <cell r="C1527">
            <v>979.79</v>
          </cell>
          <cell r="D1527">
            <v>95.35</v>
          </cell>
          <cell r="E1527">
            <v>96.22</v>
          </cell>
          <cell r="F1527">
            <v>96.7</v>
          </cell>
          <cell r="G1527">
            <v>94.52</v>
          </cell>
          <cell r="H1527">
            <v>799.8</v>
          </cell>
          <cell r="I1527">
            <v>81.67</v>
          </cell>
        </row>
        <row r="1528">
          <cell r="A1528">
            <v>33911</v>
          </cell>
          <cell r="B1528">
            <v>1001.19</v>
          </cell>
          <cell r="C1528">
            <v>987.1</v>
          </cell>
          <cell r="D1528">
            <v>96.17</v>
          </cell>
          <cell r="E1528">
            <v>96.9</v>
          </cell>
          <cell r="F1528">
            <v>97.25</v>
          </cell>
          <cell r="G1528">
            <v>95.48</v>
          </cell>
          <cell r="H1528">
            <v>805.94</v>
          </cell>
          <cell r="I1528">
            <v>82.18</v>
          </cell>
        </row>
        <row r="1529">
          <cell r="A1529">
            <v>33912</v>
          </cell>
          <cell r="B1529">
            <v>999.94</v>
          </cell>
          <cell r="C1529">
            <v>987.65</v>
          </cell>
          <cell r="D1529">
            <v>96.1</v>
          </cell>
          <cell r="E1529">
            <v>96.87</v>
          </cell>
          <cell r="F1529">
            <v>97.33</v>
          </cell>
          <cell r="G1529">
            <v>95.36</v>
          </cell>
          <cell r="H1529">
            <v>810.41</v>
          </cell>
          <cell r="I1529">
            <v>82.52</v>
          </cell>
        </row>
        <row r="1530">
          <cell r="A1530">
            <v>33913</v>
          </cell>
          <cell r="B1530">
            <v>1001.16</v>
          </cell>
          <cell r="C1530">
            <v>983.46</v>
          </cell>
          <cell r="D1530">
            <v>96.02</v>
          </cell>
          <cell r="E1530">
            <v>96.38</v>
          </cell>
          <cell r="F1530">
            <v>96.83</v>
          </cell>
          <cell r="G1530">
            <v>95.65</v>
          </cell>
          <cell r="H1530">
            <v>803.21</v>
          </cell>
          <cell r="I1530">
            <v>81.75</v>
          </cell>
        </row>
        <row r="1531">
          <cell r="A1531">
            <v>33914</v>
          </cell>
          <cell r="B1531">
            <v>998.4</v>
          </cell>
          <cell r="C1531">
            <v>978.72</v>
          </cell>
          <cell r="D1531">
            <v>95.77</v>
          </cell>
          <cell r="E1531">
            <v>95.96</v>
          </cell>
          <cell r="F1531">
            <v>96.59</v>
          </cell>
          <cell r="G1531">
            <v>95.56</v>
          </cell>
          <cell r="H1531">
            <v>804.66</v>
          </cell>
          <cell r="I1531">
            <v>81.709999999999994</v>
          </cell>
        </row>
        <row r="1532">
          <cell r="A1532">
            <v>33917</v>
          </cell>
          <cell r="B1532">
            <v>1000.72</v>
          </cell>
          <cell r="C1532">
            <v>988.19</v>
          </cell>
          <cell r="D1532">
            <v>95.91</v>
          </cell>
          <cell r="E1532">
            <v>96.79</v>
          </cell>
          <cell r="F1532">
            <v>97.36</v>
          </cell>
          <cell r="G1532">
            <v>95.08</v>
          </cell>
          <cell r="H1532">
            <v>821.97</v>
          </cell>
          <cell r="I1532">
            <v>83.26</v>
          </cell>
        </row>
        <row r="1533">
          <cell r="A1533">
            <v>33918</v>
          </cell>
          <cell r="B1533">
            <v>1011.91</v>
          </cell>
          <cell r="C1533">
            <v>999.19</v>
          </cell>
          <cell r="D1533">
            <v>96.97</v>
          </cell>
          <cell r="E1533">
            <v>97.93</v>
          </cell>
          <cell r="F1533">
            <v>98.33</v>
          </cell>
          <cell r="G1533">
            <v>96.07</v>
          </cell>
          <cell r="H1533">
            <v>824.72</v>
          </cell>
          <cell r="I1533">
            <v>83.43</v>
          </cell>
        </row>
        <row r="1534">
          <cell r="A1534">
            <v>33919</v>
          </cell>
          <cell r="B1534">
            <v>1008.77</v>
          </cell>
          <cell r="C1534">
            <v>999.69</v>
          </cell>
          <cell r="D1534">
            <v>96.69</v>
          </cell>
          <cell r="E1534">
            <v>97.94</v>
          </cell>
          <cell r="F1534">
            <v>98.25</v>
          </cell>
          <cell r="G1534">
            <v>95.52</v>
          </cell>
          <cell r="H1534">
            <v>819.25</v>
          </cell>
          <cell r="I1534">
            <v>83.24</v>
          </cell>
        </row>
        <row r="1535">
          <cell r="A1535">
            <v>33920</v>
          </cell>
          <cell r="B1535">
            <v>1012.64</v>
          </cell>
          <cell r="C1535">
            <v>1003.02</v>
          </cell>
          <cell r="D1535">
            <v>96.92</v>
          </cell>
          <cell r="E1535">
            <v>98.12</v>
          </cell>
          <cell r="F1535">
            <v>98.27</v>
          </cell>
          <cell r="G1535">
            <v>95.8</v>
          </cell>
          <cell r="H1535">
            <v>810.06</v>
          </cell>
          <cell r="I1535">
            <v>82.39</v>
          </cell>
        </row>
        <row r="1536">
          <cell r="A1536">
            <v>33921</v>
          </cell>
          <cell r="B1536">
            <v>1015.54</v>
          </cell>
          <cell r="C1536">
            <v>1008.47</v>
          </cell>
          <cell r="D1536">
            <v>97.1</v>
          </cell>
          <cell r="E1536">
            <v>98.72</v>
          </cell>
          <cell r="F1536">
            <v>98.67</v>
          </cell>
          <cell r="G1536">
            <v>95.61</v>
          </cell>
          <cell r="H1536">
            <v>816.25</v>
          </cell>
          <cell r="I1536">
            <v>82.95</v>
          </cell>
        </row>
        <row r="1537">
          <cell r="A1537">
            <v>33924</v>
          </cell>
          <cell r="B1537">
            <v>1009.9</v>
          </cell>
          <cell r="C1537">
            <v>1004.94</v>
          </cell>
          <cell r="D1537">
            <v>96.49</v>
          </cell>
          <cell r="E1537">
            <v>98.53</v>
          </cell>
          <cell r="F1537">
            <v>98.44</v>
          </cell>
          <cell r="G1537">
            <v>94.63</v>
          </cell>
          <cell r="H1537">
            <v>824.15</v>
          </cell>
          <cell r="I1537">
            <v>83.57</v>
          </cell>
        </row>
        <row r="1538">
          <cell r="A1538">
            <v>33925</v>
          </cell>
          <cell r="B1538">
            <v>1009.57</v>
          </cell>
          <cell r="C1538">
            <v>1007.38</v>
          </cell>
          <cell r="D1538">
            <v>96.54</v>
          </cell>
          <cell r="E1538">
            <v>98.85</v>
          </cell>
          <cell r="F1538">
            <v>98.43</v>
          </cell>
          <cell r="G1538">
            <v>94.44</v>
          </cell>
          <cell r="H1538">
            <v>819.57</v>
          </cell>
          <cell r="I1538">
            <v>82.89</v>
          </cell>
        </row>
        <row r="1539">
          <cell r="A1539">
            <v>33926</v>
          </cell>
          <cell r="B1539">
            <v>1015.28</v>
          </cell>
          <cell r="C1539">
            <v>1010.77</v>
          </cell>
          <cell r="D1539">
            <v>97.07</v>
          </cell>
          <cell r="E1539">
            <v>99.1</v>
          </cell>
          <cell r="F1539">
            <v>98.6</v>
          </cell>
          <cell r="G1539">
            <v>95.22</v>
          </cell>
          <cell r="H1539">
            <v>822.39</v>
          </cell>
          <cell r="I1539">
            <v>83.22</v>
          </cell>
        </row>
        <row r="1540">
          <cell r="A1540">
            <v>33927</v>
          </cell>
          <cell r="B1540">
            <v>1010.89</v>
          </cell>
          <cell r="C1540">
            <v>1006.1</v>
          </cell>
          <cell r="D1540">
            <v>96.7</v>
          </cell>
          <cell r="E1540">
            <v>98.36</v>
          </cell>
          <cell r="F1540">
            <v>97.95</v>
          </cell>
          <cell r="G1540">
            <v>95.18</v>
          </cell>
          <cell r="H1540">
            <v>796.01</v>
          </cell>
          <cell r="I1540">
            <v>80.38</v>
          </cell>
        </row>
        <row r="1541">
          <cell r="A1541">
            <v>33928</v>
          </cell>
          <cell r="B1541">
            <v>1007.76</v>
          </cell>
          <cell r="C1541">
            <v>993.55</v>
          </cell>
          <cell r="D1541">
            <v>96.31</v>
          </cell>
          <cell r="E1541">
            <v>97.13</v>
          </cell>
          <cell r="F1541">
            <v>97.17</v>
          </cell>
          <cell r="G1541">
            <v>95.53</v>
          </cell>
          <cell r="H1541">
            <v>841.01</v>
          </cell>
          <cell r="I1541">
            <v>84.01</v>
          </cell>
        </row>
        <row r="1542">
          <cell r="A1542">
            <v>33931</v>
          </cell>
          <cell r="B1542">
            <v>1013.39</v>
          </cell>
          <cell r="C1542">
            <v>994.66</v>
          </cell>
          <cell r="D1542">
            <v>96.77</v>
          </cell>
          <cell r="E1542">
            <v>97.1</v>
          </cell>
          <cell r="F1542">
            <v>97.35</v>
          </cell>
          <cell r="G1542">
            <v>96.43</v>
          </cell>
          <cell r="H1542">
            <v>847.51</v>
          </cell>
          <cell r="I1542">
            <v>84.78</v>
          </cell>
        </row>
        <row r="1543">
          <cell r="A1543">
            <v>33932</v>
          </cell>
          <cell r="B1543">
            <v>1016.11</v>
          </cell>
          <cell r="C1543">
            <v>997.83</v>
          </cell>
          <cell r="D1543">
            <v>97.33</v>
          </cell>
          <cell r="E1543">
            <v>97.52</v>
          </cell>
          <cell r="F1543">
            <v>97.68</v>
          </cell>
          <cell r="G1543">
            <v>97.1</v>
          </cell>
          <cell r="H1543">
            <v>844.76</v>
          </cell>
          <cell r="I1543">
            <v>84.5</v>
          </cell>
        </row>
        <row r="1544">
          <cell r="A1544">
            <v>33933</v>
          </cell>
          <cell r="B1544">
            <v>1009.92</v>
          </cell>
          <cell r="C1544">
            <v>998.69</v>
          </cell>
          <cell r="D1544">
            <v>96.8</v>
          </cell>
          <cell r="E1544">
            <v>97.44</v>
          </cell>
          <cell r="F1544">
            <v>97.66</v>
          </cell>
          <cell r="G1544">
            <v>96.19</v>
          </cell>
          <cell r="H1544">
            <v>862.55</v>
          </cell>
          <cell r="I1544">
            <v>86.05</v>
          </cell>
        </row>
        <row r="1545">
          <cell r="A1545">
            <v>33934</v>
          </cell>
          <cell r="B1545">
            <v>1012.67</v>
          </cell>
          <cell r="C1545">
            <v>999.34</v>
          </cell>
          <cell r="D1545">
            <v>96.93</v>
          </cell>
          <cell r="E1545">
            <v>97.39</v>
          </cell>
          <cell r="F1545">
            <v>97.5</v>
          </cell>
          <cell r="G1545">
            <v>96.48</v>
          </cell>
          <cell r="H1545">
            <v>850</v>
          </cell>
          <cell r="I1545">
            <v>84.79</v>
          </cell>
        </row>
        <row r="1546">
          <cell r="A1546">
            <v>33935</v>
          </cell>
          <cell r="B1546">
            <v>1024.44</v>
          </cell>
          <cell r="C1546">
            <v>1009.72</v>
          </cell>
          <cell r="D1546">
            <v>98.09</v>
          </cell>
          <cell r="E1546">
            <v>98.32</v>
          </cell>
          <cell r="F1546">
            <v>98.65</v>
          </cell>
          <cell r="G1546">
            <v>97.84</v>
          </cell>
          <cell r="H1546">
            <v>870.48</v>
          </cell>
          <cell r="I1546">
            <v>86.61</v>
          </cell>
        </row>
        <row r="1547">
          <cell r="A1547">
            <v>33938</v>
          </cell>
          <cell r="B1547">
            <v>1027.26</v>
          </cell>
          <cell r="C1547">
            <v>1012.37</v>
          </cell>
          <cell r="D1547">
            <v>98.4</v>
          </cell>
          <cell r="E1547">
            <v>98.54</v>
          </cell>
          <cell r="F1547">
            <v>99.03</v>
          </cell>
          <cell r="G1547">
            <v>98.24</v>
          </cell>
          <cell r="H1547">
            <v>872.11</v>
          </cell>
          <cell r="I1547">
            <v>86.91</v>
          </cell>
        </row>
        <row r="1548">
          <cell r="A1548">
            <v>33939</v>
          </cell>
          <cell r="B1548">
            <v>1034.74</v>
          </cell>
          <cell r="C1548">
            <v>1010.7</v>
          </cell>
          <cell r="D1548">
            <v>98.81</v>
          </cell>
          <cell r="E1548">
            <v>98.22</v>
          </cell>
          <cell r="F1548">
            <v>98.82</v>
          </cell>
          <cell r="G1548">
            <v>99.29</v>
          </cell>
          <cell r="H1548">
            <v>865.66</v>
          </cell>
          <cell r="I1548">
            <v>86.15</v>
          </cell>
        </row>
        <row r="1549">
          <cell r="A1549">
            <v>33940</v>
          </cell>
          <cell r="B1549">
            <v>1029.04</v>
          </cell>
          <cell r="C1549">
            <v>1005.95</v>
          </cell>
          <cell r="D1549">
            <v>98.4</v>
          </cell>
          <cell r="E1549">
            <v>97.79</v>
          </cell>
          <cell r="F1549">
            <v>98.54</v>
          </cell>
          <cell r="G1549">
            <v>98.9</v>
          </cell>
          <cell r="H1549">
            <v>865.66</v>
          </cell>
          <cell r="I1549">
            <v>86.3</v>
          </cell>
        </row>
        <row r="1550">
          <cell r="A1550">
            <v>33941</v>
          </cell>
          <cell r="B1550">
            <v>1033.98</v>
          </cell>
          <cell r="C1550">
            <v>1005.95</v>
          </cell>
          <cell r="D1550">
            <v>98.92</v>
          </cell>
          <cell r="E1550">
            <v>97.79</v>
          </cell>
          <cell r="F1550">
            <v>98.46</v>
          </cell>
          <cell r="G1550">
            <v>99.89</v>
          </cell>
          <cell r="H1550">
            <v>863.96</v>
          </cell>
          <cell r="I1550">
            <v>86.2</v>
          </cell>
        </row>
        <row r="1551">
          <cell r="A1551">
            <v>33942</v>
          </cell>
          <cell r="B1551">
            <v>1033.93</v>
          </cell>
          <cell r="C1551">
            <v>1004.67</v>
          </cell>
          <cell r="D1551">
            <v>98.77</v>
          </cell>
          <cell r="E1551">
            <v>97.65</v>
          </cell>
          <cell r="F1551">
            <v>98.29</v>
          </cell>
          <cell r="G1551">
            <v>99.72</v>
          </cell>
          <cell r="H1551">
            <v>851.03</v>
          </cell>
          <cell r="I1551">
            <v>85.12</v>
          </cell>
        </row>
        <row r="1552">
          <cell r="A1552">
            <v>33945</v>
          </cell>
          <cell r="B1552">
            <v>1039.53</v>
          </cell>
          <cell r="C1552">
            <v>1010.94</v>
          </cell>
          <cell r="D1552">
            <v>99.44</v>
          </cell>
          <cell r="E1552">
            <v>98.25</v>
          </cell>
          <cell r="F1552">
            <v>98.83</v>
          </cell>
          <cell r="G1552">
            <v>100.46</v>
          </cell>
          <cell r="H1552">
            <v>843.35</v>
          </cell>
          <cell r="I1552">
            <v>84.37</v>
          </cell>
        </row>
        <row r="1553">
          <cell r="A1553">
            <v>33946</v>
          </cell>
          <cell r="B1553">
            <v>1034.1400000000001</v>
          </cell>
          <cell r="C1553">
            <v>1001.4</v>
          </cell>
          <cell r="D1553">
            <v>99.26</v>
          </cell>
          <cell r="E1553">
            <v>97.51</v>
          </cell>
          <cell r="F1553">
            <v>98.41</v>
          </cell>
          <cell r="G1553">
            <v>100.76</v>
          </cell>
          <cell r="H1553">
            <v>863.25</v>
          </cell>
          <cell r="I1553">
            <v>86.26</v>
          </cell>
        </row>
        <row r="1554">
          <cell r="A1554">
            <v>33947</v>
          </cell>
          <cell r="B1554">
            <v>1025.32</v>
          </cell>
          <cell r="C1554">
            <v>1003.7</v>
          </cell>
          <cell r="D1554">
            <v>98.34</v>
          </cell>
          <cell r="E1554">
            <v>97.32</v>
          </cell>
          <cell r="F1554">
            <v>98.34</v>
          </cell>
          <cell r="G1554">
            <v>99.19</v>
          </cell>
          <cell r="H1554">
            <v>867.21</v>
          </cell>
          <cell r="I1554">
            <v>86.81</v>
          </cell>
        </row>
        <row r="1555">
          <cell r="A1555">
            <v>33948</v>
          </cell>
          <cell r="B1555">
            <v>1013.84</v>
          </cell>
          <cell r="C1555">
            <v>993.97</v>
          </cell>
          <cell r="D1555">
            <v>97.53</v>
          </cell>
          <cell r="E1555">
            <v>96.53</v>
          </cell>
          <cell r="F1555">
            <v>97.9</v>
          </cell>
          <cell r="G1555">
            <v>98.37</v>
          </cell>
          <cell r="H1555">
            <v>876.39</v>
          </cell>
          <cell r="I1555">
            <v>87.73</v>
          </cell>
        </row>
        <row r="1556">
          <cell r="A1556">
            <v>33949</v>
          </cell>
          <cell r="B1556">
            <v>1013.06</v>
          </cell>
          <cell r="C1556">
            <v>989.86</v>
          </cell>
          <cell r="D1556">
            <v>97.58</v>
          </cell>
          <cell r="E1556">
            <v>96.3</v>
          </cell>
          <cell r="F1556">
            <v>97.74</v>
          </cell>
          <cell r="G1556">
            <v>98.67</v>
          </cell>
          <cell r="H1556">
            <v>867.49</v>
          </cell>
          <cell r="I1556">
            <v>86.92</v>
          </cell>
        </row>
        <row r="1557">
          <cell r="A1557">
            <v>33952</v>
          </cell>
          <cell r="B1557">
            <v>1012.98</v>
          </cell>
          <cell r="C1557">
            <v>987.01</v>
          </cell>
          <cell r="D1557">
            <v>97.49</v>
          </cell>
          <cell r="E1557">
            <v>95.88</v>
          </cell>
          <cell r="F1557">
            <v>97.5</v>
          </cell>
          <cell r="G1557">
            <v>98.87</v>
          </cell>
          <cell r="H1557">
            <v>872.8</v>
          </cell>
          <cell r="I1557">
            <v>87.49</v>
          </cell>
        </row>
        <row r="1558">
          <cell r="A1558">
            <v>33953</v>
          </cell>
          <cell r="B1558">
            <v>1012.79</v>
          </cell>
          <cell r="C1558">
            <v>988.15</v>
          </cell>
          <cell r="D1558">
            <v>97.39</v>
          </cell>
          <cell r="E1558">
            <v>95.92</v>
          </cell>
          <cell r="F1558">
            <v>97.34</v>
          </cell>
          <cell r="G1558">
            <v>98.64</v>
          </cell>
          <cell r="H1558">
            <v>860.93</v>
          </cell>
          <cell r="I1558">
            <v>86.3</v>
          </cell>
        </row>
        <row r="1559">
          <cell r="A1559">
            <v>33954</v>
          </cell>
          <cell r="B1559">
            <v>1005.43</v>
          </cell>
          <cell r="C1559">
            <v>977.95</v>
          </cell>
          <cell r="D1559">
            <v>96.84</v>
          </cell>
          <cell r="E1559">
            <v>95.04</v>
          </cell>
          <cell r="F1559">
            <v>96.54</v>
          </cell>
          <cell r="G1559">
            <v>98.4</v>
          </cell>
          <cell r="H1559">
            <v>845.49</v>
          </cell>
          <cell r="I1559">
            <v>84.65</v>
          </cell>
        </row>
        <row r="1560">
          <cell r="A1560">
            <v>33955</v>
          </cell>
          <cell r="B1560">
            <v>1017.42</v>
          </cell>
          <cell r="C1560">
            <v>988.38</v>
          </cell>
          <cell r="D1560">
            <v>98.1</v>
          </cell>
          <cell r="E1560">
            <v>95.99</v>
          </cell>
          <cell r="F1560">
            <v>97.47</v>
          </cell>
          <cell r="G1560">
            <v>99.94</v>
          </cell>
          <cell r="H1560">
            <v>840.97</v>
          </cell>
          <cell r="I1560">
            <v>84.49</v>
          </cell>
        </row>
        <row r="1561">
          <cell r="A1561">
            <v>33956</v>
          </cell>
          <cell r="B1561">
            <v>1030.57</v>
          </cell>
          <cell r="C1561">
            <v>1000.43</v>
          </cell>
          <cell r="D1561">
            <v>99.43</v>
          </cell>
          <cell r="E1561">
            <v>97.09</v>
          </cell>
          <cell r="F1561">
            <v>98.57</v>
          </cell>
          <cell r="G1561">
            <v>101.45</v>
          </cell>
          <cell r="H1561">
            <v>862.82</v>
          </cell>
          <cell r="I1561">
            <v>86.39</v>
          </cell>
        </row>
        <row r="1562">
          <cell r="A1562">
            <v>33959</v>
          </cell>
          <cell r="B1562">
            <v>1039.29</v>
          </cell>
          <cell r="C1562">
            <v>1014.45</v>
          </cell>
          <cell r="D1562">
            <v>100.36</v>
          </cell>
          <cell r="E1562">
            <v>98.21</v>
          </cell>
          <cell r="F1562">
            <v>99.61</v>
          </cell>
          <cell r="G1562">
            <v>102.22</v>
          </cell>
          <cell r="H1562">
            <v>879.53</v>
          </cell>
          <cell r="I1562">
            <v>87.68</v>
          </cell>
        </row>
        <row r="1563">
          <cell r="A1563">
            <v>33960</v>
          </cell>
          <cell r="B1563">
            <v>1046</v>
          </cell>
          <cell r="C1563">
            <v>1023.98</v>
          </cell>
          <cell r="D1563">
            <v>100.8</v>
          </cell>
          <cell r="E1563">
            <v>99.05</v>
          </cell>
          <cell r="F1563">
            <v>100.16</v>
          </cell>
          <cell r="G1563">
            <v>102.31</v>
          </cell>
          <cell r="H1563">
            <v>872.82</v>
          </cell>
          <cell r="I1563">
            <v>87.15</v>
          </cell>
        </row>
        <row r="1564">
          <cell r="A1564">
            <v>33961</v>
          </cell>
          <cell r="B1564">
            <v>1044.67</v>
          </cell>
          <cell r="C1564">
            <v>1025.51</v>
          </cell>
          <cell r="D1564">
            <v>100.65</v>
          </cell>
          <cell r="E1564">
            <v>99.13</v>
          </cell>
          <cell r="F1564">
            <v>100.29</v>
          </cell>
          <cell r="G1564">
            <v>101.95</v>
          </cell>
          <cell r="H1564">
            <v>877.58</v>
          </cell>
          <cell r="I1564">
            <v>87.54</v>
          </cell>
        </row>
        <row r="1565">
          <cell r="A1565">
            <v>33962</v>
          </cell>
          <cell r="B1565">
            <v>1048.03</v>
          </cell>
          <cell r="C1565">
            <v>1031.5899999999999</v>
          </cell>
          <cell r="D1565">
            <v>100.94</v>
          </cell>
          <cell r="E1565">
            <v>99.65</v>
          </cell>
          <cell r="F1565">
            <v>100.72</v>
          </cell>
          <cell r="G1565">
            <v>102.04</v>
          </cell>
          <cell r="H1565">
            <v>881.24</v>
          </cell>
          <cell r="I1565">
            <v>87.9</v>
          </cell>
        </row>
        <row r="1566">
          <cell r="A1566">
            <v>33963</v>
          </cell>
          <cell r="B1566">
            <v>1048.44</v>
          </cell>
          <cell r="C1566">
            <v>1031.99</v>
          </cell>
          <cell r="D1566">
            <v>100.98</v>
          </cell>
          <cell r="E1566">
            <v>99.69</v>
          </cell>
          <cell r="F1566">
            <v>100.76</v>
          </cell>
          <cell r="G1566">
            <v>102.08</v>
          </cell>
          <cell r="H1566">
            <v>881.59</v>
          </cell>
          <cell r="I1566">
            <v>87.93</v>
          </cell>
        </row>
        <row r="1567">
          <cell r="A1567">
            <v>33966</v>
          </cell>
          <cell r="B1567">
            <v>1039.01</v>
          </cell>
          <cell r="C1567">
            <v>1025.32</v>
          </cell>
          <cell r="D1567">
            <v>100.04</v>
          </cell>
          <cell r="E1567">
            <v>99.06</v>
          </cell>
          <cell r="F1567">
            <v>100.33</v>
          </cell>
          <cell r="G1567">
            <v>100.86</v>
          </cell>
          <cell r="H1567">
            <v>880.22</v>
          </cell>
          <cell r="I1567">
            <v>87.78</v>
          </cell>
        </row>
        <row r="1568">
          <cell r="A1568">
            <v>33967</v>
          </cell>
          <cell r="B1568">
            <v>1060.72</v>
          </cell>
          <cell r="C1568">
            <v>1040.9000000000001</v>
          </cell>
          <cell r="D1568">
            <v>101.8</v>
          </cell>
          <cell r="E1568">
            <v>100.42</v>
          </cell>
          <cell r="F1568">
            <v>101.58</v>
          </cell>
          <cell r="G1568">
            <v>102.97</v>
          </cell>
          <cell r="H1568">
            <v>879.56</v>
          </cell>
          <cell r="I1568">
            <v>87.67</v>
          </cell>
        </row>
        <row r="1569">
          <cell r="A1569">
            <v>33968</v>
          </cell>
          <cell r="B1569">
            <v>1056.05</v>
          </cell>
          <cell r="C1569">
            <v>1034.45</v>
          </cell>
          <cell r="D1569">
            <v>101.41</v>
          </cell>
          <cell r="E1569">
            <v>100.02</v>
          </cell>
          <cell r="F1569">
            <v>101.3</v>
          </cell>
          <cell r="G1569">
            <v>102.59</v>
          </cell>
          <cell r="H1569">
            <v>879.3</v>
          </cell>
          <cell r="I1569">
            <v>87.81</v>
          </cell>
        </row>
        <row r="1570">
          <cell r="A1570">
            <v>33969</v>
          </cell>
          <cell r="B1570">
            <v>1057.56</v>
          </cell>
          <cell r="C1570">
            <v>1033.51</v>
          </cell>
          <cell r="D1570">
            <v>101.55</v>
          </cell>
          <cell r="E1570">
            <v>99.95</v>
          </cell>
          <cell r="F1570">
            <v>101.18</v>
          </cell>
          <cell r="G1570">
            <v>102.93</v>
          </cell>
          <cell r="H1570">
            <v>873.3</v>
          </cell>
          <cell r="I1570">
            <v>87.22</v>
          </cell>
        </row>
        <row r="1571">
          <cell r="A1571">
            <v>33973</v>
          </cell>
          <cell r="B1571">
            <v>1058.8499999999999</v>
          </cell>
          <cell r="C1571">
            <v>1028.81</v>
          </cell>
          <cell r="D1571">
            <v>101.77</v>
          </cell>
          <cell r="E1571">
            <v>99.28</v>
          </cell>
          <cell r="F1571">
            <v>100.84</v>
          </cell>
          <cell r="G1571">
            <v>103.93</v>
          </cell>
          <cell r="H1571">
            <v>883.35</v>
          </cell>
          <cell r="I1571">
            <v>87.85</v>
          </cell>
        </row>
        <row r="1572">
          <cell r="A1572">
            <v>33974</v>
          </cell>
          <cell r="B1572">
            <v>1071.82</v>
          </cell>
          <cell r="C1572">
            <v>1039.76</v>
          </cell>
          <cell r="D1572">
            <v>103.24</v>
          </cell>
          <cell r="E1572">
            <v>100.31</v>
          </cell>
          <cell r="F1572">
            <v>101.8</v>
          </cell>
          <cell r="G1572">
            <v>105.8</v>
          </cell>
          <cell r="H1572">
            <v>900.81</v>
          </cell>
          <cell r="I1572">
            <v>89.46</v>
          </cell>
        </row>
        <row r="1573">
          <cell r="A1573">
            <v>33975</v>
          </cell>
          <cell r="B1573">
            <v>1068.3699999999999</v>
          </cell>
          <cell r="C1573">
            <v>1039.67</v>
          </cell>
          <cell r="D1573">
            <v>103.17</v>
          </cell>
          <cell r="E1573">
            <v>100.61</v>
          </cell>
          <cell r="F1573">
            <v>101.99</v>
          </cell>
          <cell r="G1573">
            <v>105.41</v>
          </cell>
          <cell r="H1573">
            <v>906.31</v>
          </cell>
          <cell r="I1573">
            <v>90.01</v>
          </cell>
        </row>
        <row r="1574">
          <cell r="A1574">
            <v>33976</v>
          </cell>
          <cell r="B1574">
            <v>1056.68</v>
          </cell>
          <cell r="C1574">
            <v>1034.24</v>
          </cell>
          <cell r="D1574">
            <v>102.42</v>
          </cell>
          <cell r="E1574">
            <v>100.42</v>
          </cell>
          <cell r="F1574">
            <v>101.45</v>
          </cell>
          <cell r="G1574">
            <v>104.16</v>
          </cell>
          <cell r="H1574">
            <v>891.53</v>
          </cell>
          <cell r="I1574">
            <v>88.77</v>
          </cell>
        </row>
        <row r="1575">
          <cell r="A1575">
            <v>33977</v>
          </cell>
          <cell r="B1575">
            <v>1049.8499999999999</v>
          </cell>
          <cell r="C1575">
            <v>1027.8</v>
          </cell>
          <cell r="D1575">
            <v>101.91</v>
          </cell>
          <cell r="E1575">
            <v>99.95</v>
          </cell>
          <cell r="F1575">
            <v>100.95</v>
          </cell>
          <cell r="G1575">
            <v>103.59</v>
          </cell>
          <cell r="H1575">
            <v>887.65</v>
          </cell>
          <cell r="I1575">
            <v>88.03</v>
          </cell>
        </row>
        <row r="1576">
          <cell r="A1576">
            <v>33980</v>
          </cell>
          <cell r="B1576">
            <v>1038.98</v>
          </cell>
          <cell r="C1576">
            <v>1014.66</v>
          </cell>
          <cell r="D1576">
            <v>100.78</v>
          </cell>
          <cell r="E1576">
            <v>98.81</v>
          </cell>
          <cell r="F1576">
            <v>99.74</v>
          </cell>
          <cell r="G1576">
            <v>102.48</v>
          </cell>
          <cell r="H1576">
            <v>874.29</v>
          </cell>
          <cell r="I1576">
            <v>86.69</v>
          </cell>
        </row>
        <row r="1577">
          <cell r="A1577">
            <v>33981</v>
          </cell>
          <cell r="B1577">
            <v>1036.26</v>
          </cell>
          <cell r="C1577">
            <v>1017.84</v>
          </cell>
          <cell r="D1577">
            <v>100.67</v>
          </cell>
          <cell r="E1577">
            <v>99.22</v>
          </cell>
          <cell r="F1577">
            <v>100.15</v>
          </cell>
          <cell r="G1577">
            <v>101.91</v>
          </cell>
          <cell r="H1577">
            <v>866.48</v>
          </cell>
          <cell r="I1577">
            <v>85.91</v>
          </cell>
        </row>
        <row r="1578">
          <cell r="A1578">
            <v>33982</v>
          </cell>
          <cell r="B1578">
            <v>1034.23</v>
          </cell>
          <cell r="C1578">
            <v>1016.11</v>
          </cell>
          <cell r="D1578">
            <v>100.64</v>
          </cell>
          <cell r="E1578">
            <v>99.14</v>
          </cell>
          <cell r="F1578">
            <v>100.18</v>
          </cell>
          <cell r="G1578">
            <v>101.93</v>
          </cell>
          <cell r="H1578">
            <v>868.17</v>
          </cell>
          <cell r="I1578">
            <v>85.9</v>
          </cell>
        </row>
        <row r="1579">
          <cell r="A1579">
            <v>33983</v>
          </cell>
          <cell r="B1579">
            <v>1035.55</v>
          </cell>
          <cell r="C1579">
            <v>1023.19</v>
          </cell>
          <cell r="D1579">
            <v>100.94</v>
          </cell>
          <cell r="E1579">
            <v>99.83</v>
          </cell>
          <cell r="F1579">
            <v>100.91</v>
          </cell>
          <cell r="G1579">
            <v>101.89</v>
          </cell>
          <cell r="H1579">
            <v>870.36</v>
          </cell>
          <cell r="I1579">
            <v>86.46</v>
          </cell>
        </row>
        <row r="1580">
          <cell r="A1580">
            <v>33984</v>
          </cell>
          <cell r="B1580">
            <v>1044.9000000000001</v>
          </cell>
          <cell r="C1580">
            <v>1036.54</v>
          </cell>
          <cell r="D1580">
            <v>101.82</v>
          </cell>
          <cell r="E1580">
            <v>101.21</v>
          </cell>
          <cell r="F1580">
            <v>102.02</v>
          </cell>
          <cell r="G1580">
            <v>102.31</v>
          </cell>
          <cell r="H1580">
            <v>873.88</v>
          </cell>
          <cell r="I1580">
            <v>86.8</v>
          </cell>
        </row>
        <row r="1581">
          <cell r="A1581">
            <v>33987</v>
          </cell>
          <cell r="B1581">
            <v>1049.94</v>
          </cell>
          <cell r="C1581">
            <v>1047.05</v>
          </cell>
          <cell r="D1581">
            <v>102.22</v>
          </cell>
          <cell r="E1581">
            <v>102.2</v>
          </cell>
          <cell r="F1581">
            <v>102.83</v>
          </cell>
          <cell r="G1581">
            <v>102.18</v>
          </cell>
          <cell r="H1581">
            <v>881.86</v>
          </cell>
          <cell r="I1581">
            <v>87.38</v>
          </cell>
        </row>
        <row r="1582">
          <cell r="A1582">
            <v>33988</v>
          </cell>
          <cell r="B1582">
            <v>1042.6400000000001</v>
          </cell>
          <cell r="C1582">
            <v>1047.03</v>
          </cell>
          <cell r="D1582">
            <v>101.67</v>
          </cell>
          <cell r="E1582">
            <v>102.19</v>
          </cell>
          <cell r="F1582">
            <v>102.82</v>
          </cell>
          <cell r="G1582">
            <v>101.15</v>
          </cell>
          <cell r="H1582">
            <v>885.95</v>
          </cell>
          <cell r="I1582">
            <v>87.73</v>
          </cell>
        </row>
        <row r="1583">
          <cell r="A1583">
            <v>33989</v>
          </cell>
          <cell r="B1583">
            <v>1042.97</v>
          </cell>
          <cell r="C1583">
            <v>1046.6199999999999</v>
          </cell>
          <cell r="D1583">
            <v>101.66</v>
          </cell>
          <cell r="E1583">
            <v>102.17</v>
          </cell>
          <cell r="F1583">
            <v>102.81</v>
          </cell>
          <cell r="G1583">
            <v>101.16</v>
          </cell>
          <cell r="H1583">
            <v>887.4</v>
          </cell>
          <cell r="I1583">
            <v>87.84</v>
          </cell>
        </row>
        <row r="1584">
          <cell r="A1584">
            <v>33990</v>
          </cell>
          <cell r="B1584">
            <v>1045.3499999999999</v>
          </cell>
          <cell r="C1584">
            <v>1048.3599999999999</v>
          </cell>
          <cell r="D1584">
            <v>101.84</v>
          </cell>
          <cell r="E1584">
            <v>102.24</v>
          </cell>
          <cell r="F1584">
            <v>102.96</v>
          </cell>
          <cell r="G1584">
            <v>101.43</v>
          </cell>
          <cell r="H1584">
            <v>881.11</v>
          </cell>
          <cell r="I1584">
            <v>87.3</v>
          </cell>
        </row>
        <row r="1585">
          <cell r="A1585">
            <v>33991</v>
          </cell>
          <cell r="B1585">
            <v>1044.51</v>
          </cell>
          <cell r="C1585">
            <v>1051.29</v>
          </cell>
          <cell r="D1585">
            <v>101.79</v>
          </cell>
          <cell r="E1585">
            <v>102.46</v>
          </cell>
          <cell r="F1585">
            <v>103.14</v>
          </cell>
          <cell r="G1585">
            <v>101.13</v>
          </cell>
          <cell r="H1585">
            <v>871.6</v>
          </cell>
          <cell r="I1585">
            <v>86.23</v>
          </cell>
        </row>
        <row r="1586">
          <cell r="A1586">
            <v>33994</v>
          </cell>
          <cell r="B1586">
            <v>1035.3599999999999</v>
          </cell>
          <cell r="C1586">
            <v>1034.69</v>
          </cell>
          <cell r="D1586">
            <v>100.99</v>
          </cell>
          <cell r="E1586">
            <v>100.99</v>
          </cell>
          <cell r="F1586">
            <v>101.63</v>
          </cell>
          <cell r="G1586">
            <v>100.95</v>
          </cell>
          <cell r="H1586">
            <v>857.42</v>
          </cell>
          <cell r="I1586">
            <v>85.25</v>
          </cell>
        </row>
        <row r="1587">
          <cell r="A1587">
            <v>33995</v>
          </cell>
          <cell r="B1587">
            <v>1045.3599999999999</v>
          </cell>
          <cell r="C1587">
            <v>1045.07</v>
          </cell>
          <cell r="D1587">
            <v>102.01</v>
          </cell>
          <cell r="E1587">
            <v>101.86</v>
          </cell>
          <cell r="F1587">
            <v>102.41</v>
          </cell>
          <cell r="G1587">
            <v>102.08</v>
          </cell>
          <cell r="H1587">
            <v>870.85</v>
          </cell>
          <cell r="I1587">
            <v>86.05</v>
          </cell>
        </row>
        <row r="1588">
          <cell r="A1588">
            <v>33996</v>
          </cell>
          <cell r="B1588">
            <v>1037.29</v>
          </cell>
          <cell r="C1588">
            <v>1037.1300000000001</v>
          </cell>
          <cell r="D1588">
            <v>101.28</v>
          </cell>
          <cell r="E1588">
            <v>101.41</v>
          </cell>
          <cell r="F1588">
            <v>101.95</v>
          </cell>
          <cell r="G1588">
            <v>101.12</v>
          </cell>
          <cell r="H1588">
            <v>871.78</v>
          </cell>
          <cell r="I1588">
            <v>86.14</v>
          </cell>
        </row>
        <row r="1589">
          <cell r="A1589">
            <v>33997</v>
          </cell>
          <cell r="B1589">
            <v>1038.95</v>
          </cell>
          <cell r="C1589">
            <v>1038.8800000000001</v>
          </cell>
          <cell r="D1589">
            <v>101.46</v>
          </cell>
          <cell r="E1589">
            <v>101.55</v>
          </cell>
          <cell r="F1589">
            <v>101.99</v>
          </cell>
          <cell r="G1589">
            <v>101.33</v>
          </cell>
          <cell r="H1589">
            <v>855.92</v>
          </cell>
          <cell r="I1589">
            <v>84.79</v>
          </cell>
        </row>
        <row r="1590">
          <cell r="A1590">
            <v>33998</v>
          </cell>
          <cell r="B1590">
            <v>1039.76</v>
          </cell>
          <cell r="C1590">
            <v>1043.55</v>
          </cell>
          <cell r="D1590">
            <v>101.46</v>
          </cell>
          <cell r="E1590">
            <v>102.02</v>
          </cell>
          <cell r="F1590">
            <v>102.59</v>
          </cell>
          <cell r="G1590">
            <v>100.91</v>
          </cell>
          <cell r="H1590">
            <v>869.36</v>
          </cell>
          <cell r="I1590">
            <v>85.95</v>
          </cell>
        </row>
        <row r="1591">
          <cell r="A1591">
            <v>34001</v>
          </cell>
          <cell r="B1591">
            <v>1050.25</v>
          </cell>
          <cell r="C1591">
            <v>1051.3399999999999</v>
          </cell>
          <cell r="D1591">
            <v>102.41</v>
          </cell>
          <cell r="E1591">
            <v>102.76</v>
          </cell>
          <cell r="F1591">
            <v>103.35</v>
          </cell>
          <cell r="G1591">
            <v>102.05</v>
          </cell>
          <cell r="H1591">
            <v>877.67</v>
          </cell>
          <cell r="I1591">
            <v>86.56</v>
          </cell>
        </row>
        <row r="1592">
          <cell r="A1592">
            <v>34002</v>
          </cell>
          <cell r="B1592">
            <v>1046.42</v>
          </cell>
          <cell r="C1592">
            <v>1054.58</v>
          </cell>
          <cell r="D1592">
            <v>102.06</v>
          </cell>
          <cell r="E1592">
            <v>102.97</v>
          </cell>
          <cell r="F1592">
            <v>103.56</v>
          </cell>
          <cell r="G1592">
            <v>101.19</v>
          </cell>
          <cell r="H1592">
            <v>878.86</v>
          </cell>
          <cell r="I1592">
            <v>86.87</v>
          </cell>
        </row>
        <row r="1593">
          <cell r="A1593">
            <v>34003</v>
          </cell>
          <cell r="B1593">
            <v>1063.49</v>
          </cell>
          <cell r="C1593">
            <v>1072.46</v>
          </cell>
          <cell r="D1593">
            <v>103.21</v>
          </cell>
          <cell r="E1593">
            <v>104.25</v>
          </cell>
          <cell r="F1593">
            <v>104.59</v>
          </cell>
          <cell r="G1593">
            <v>102.24</v>
          </cell>
          <cell r="H1593">
            <v>870.45</v>
          </cell>
          <cell r="I1593">
            <v>86.18</v>
          </cell>
        </row>
        <row r="1594">
          <cell r="A1594">
            <v>34004</v>
          </cell>
          <cell r="B1594">
            <v>1070.0999999999999</v>
          </cell>
          <cell r="C1594">
            <v>1079.3599999999999</v>
          </cell>
          <cell r="D1594">
            <v>104.04</v>
          </cell>
          <cell r="E1594">
            <v>105.06</v>
          </cell>
          <cell r="F1594">
            <v>105.46</v>
          </cell>
          <cell r="G1594">
            <v>103.08</v>
          </cell>
          <cell r="H1594">
            <v>894.8</v>
          </cell>
          <cell r="I1594">
            <v>88.07</v>
          </cell>
        </row>
        <row r="1595">
          <cell r="A1595">
            <v>34005</v>
          </cell>
          <cell r="B1595">
            <v>1080.1199999999999</v>
          </cell>
          <cell r="C1595">
            <v>1097.01</v>
          </cell>
          <cell r="D1595">
            <v>105.2</v>
          </cell>
          <cell r="E1595">
            <v>106.93</v>
          </cell>
          <cell r="F1595">
            <v>107.15</v>
          </cell>
          <cell r="G1595">
            <v>103.61</v>
          </cell>
          <cell r="H1595">
            <v>905.47</v>
          </cell>
          <cell r="I1595">
            <v>89.34</v>
          </cell>
        </row>
        <row r="1596">
          <cell r="A1596">
            <v>34008</v>
          </cell>
          <cell r="B1596">
            <v>1081.57</v>
          </cell>
          <cell r="C1596">
            <v>1101.94</v>
          </cell>
          <cell r="D1596">
            <v>105.23</v>
          </cell>
          <cell r="E1596">
            <v>107.29</v>
          </cell>
          <cell r="F1596">
            <v>107.49</v>
          </cell>
          <cell r="G1596">
            <v>103.35</v>
          </cell>
          <cell r="H1596">
            <v>912.29</v>
          </cell>
          <cell r="I1596">
            <v>89.49</v>
          </cell>
        </row>
        <row r="1597">
          <cell r="A1597">
            <v>34009</v>
          </cell>
          <cell r="B1597">
            <v>1069.8399999999999</v>
          </cell>
          <cell r="C1597">
            <v>1094.1300000000001</v>
          </cell>
          <cell r="D1597">
            <v>104.06</v>
          </cell>
          <cell r="E1597">
            <v>106.55</v>
          </cell>
          <cell r="F1597">
            <v>106.98</v>
          </cell>
          <cell r="G1597">
            <v>101.79</v>
          </cell>
          <cell r="H1597">
            <v>916.16</v>
          </cell>
          <cell r="I1597">
            <v>89.59</v>
          </cell>
        </row>
        <row r="1598">
          <cell r="A1598">
            <v>34010</v>
          </cell>
          <cell r="B1598">
            <v>1066.56</v>
          </cell>
          <cell r="C1598">
            <v>1095.43</v>
          </cell>
          <cell r="D1598">
            <v>103.95</v>
          </cell>
          <cell r="E1598">
            <v>106.71</v>
          </cell>
          <cell r="F1598">
            <v>107.17</v>
          </cell>
          <cell r="G1598">
            <v>101.45</v>
          </cell>
          <cell r="H1598">
            <v>933.67</v>
          </cell>
          <cell r="I1598">
            <v>90.94</v>
          </cell>
        </row>
        <row r="1599">
          <cell r="A1599">
            <v>34011</v>
          </cell>
          <cell r="B1599">
            <v>1071.4000000000001</v>
          </cell>
          <cell r="C1599">
            <v>1101.06</v>
          </cell>
          <cell r="D1599">
            <v>104.16</v>
          </cell>
          <cell r="E1599">
            <v>106.99</v>
          </cell>
          <cell r="F1599">
            <v>107.44</v>
          </cell>
          <cell r="G1599">
            <v>101.6</v>
          </cell>
          <cell r="H1599">
            <v>933.95</v>
          </cell>
          <cell r="I1599">
            <v>90.98</v>
          </cell>
        </row>
        <row r="1600">
          <cell r="A1600">
            <v>34012</v>
          </cell>
          <cell r="B1600">
            <v>1071.28</v>
          </cell>
          <cell r="C1600">
            <v>1099.46</v>
          </cell>
          <cell r="D1600">
            <v>104.09</v>
          </cell>
          <cell r="E1600">
            <v>106.92</v>
          </cell>
          <cell r="F1600">
            <v>107.36</v>
          </cell>
          <cell r="G1600">
            <v>101.52</v>
          </cell>
          <cell r="H1600">
            <v>936.49</v>
          </cell>
          <cell r="I1600">
            <v>91.41</v>
          </cell>
        </row>
        <row r="1601">
          <cell r="A1601">
            <v>34015</v>
          </cell>
          <cell r="B1601">
            <v>1078.01</v>
          </cell>
          <cell r="C1601">
            <v>1106.3399999999999</v>
          </cell>
          <cell r="D1601">
            <v>104.83</v>
          </cell>
          <cell r="E1601">
            <v>107.67</v>
          </cell>
          <cell r="F1601">
            <v>108.07</v>
          </cell>
          <cell r="G1601">
            <v>102.26</v>
          </cell>
          <cell r="H1601">
            <v>939.14</v>
          </cell>
          <cell r="I1601">
            <v>91.72</v>
          </cell>
        </row>
        <row r="1602">
          <cell r="A1602">
            <v>34016</v>
          </cell>
          <cell r="B1602">
            <v>1069.1199999999999</v>
          </cell>
          <cell r="C1602">
            <v>1098.08</v>
          </cell>
          <cell r="D1602">
            <v>104.09</v>
          </cell>
          <cell r="E1602">
            <v>106.94</v>
          </cell>
          <cell r="F1602">
            <v>107.41</v>
          </cell>
          <cell r="G1602">
            <v>101.52</v>
          </cell>
          <cell r="H1602">
            <v>928.75</v>
          </cell>
          <cell r="I1602">
            <v>90.86</v>
          </cell>
        </row>
        <row r="1603">
          <cell r="A1603">
            <v>34017</v>
          </cell>
          <cell r="B1603">
            <v>1065.06</v>
          </cell>
          <cell r="C1603">
            <v>1096.5999999999999</v>
          </cell>
          <cell r="D1603">
            <v>103.82</v>
          </cell>
          <cell r="E1603">
            <v>106.81</v>
          </cell>
          <cell r="F1603">
            <v>107.13</v>
          </cell>
          <cell r="G1603">
            <v>101.11</v>
          </cell>
          <cell r="H1603">
            <v>916.72</v>
          </cell>
          <cell r="I1603">
            <v>89.75</v>
          </cell>
        </row>
        <row r="1604">
          <cell r="A1604">
            <v>34018</v>
          </cell>
          <cell r="B1604">
            <v>1076.94</v>
          </cell>
          <cell r="C1604">
            <v>1109.8599999999999</v>
          </cell>
          <cell r="D1604">
            <v>104.86</v>
          </cell>
          <cell r="E1604">
            <v>107.96</v>
          </cell>
          <cell r="F1604">
            <v>108.08</v>
          </cell>
          <cell r="G1604">
            <v>102.06</v>
          </cell>
          <cell r="H1604">
            <v>918.25</v>
          </cell>
          <cell r="I1604">
            <v>89.56</v>
          </cell>
        </row>
        <row r="1605">
          <cell r="A1605">
            <v>34019</v>
          </cell>
          <cell r="B1605">
            <v>1080.4100000000001</v>
          </cell>
          <cell r="C1605">
            <v>1112.21</v>
          </cell>
          <cell r="D1605">
            <v>105.47</v>
          </cell>
          <cell r="E1605">
            <v>108.21</v>
          </cell>
          <cell r="F1605">
            <v>108.4</v>
          </cell>
          <cell r="G1605">
            <v>102.98</v>
          </cell>
          <cell r="H1605">
            <v>932.26</v>
          </cell>
          <cell r="I1605">
            <v>90.9</v>
          </cell>
        </row>
        <row r="1606">
          <cell r="A1606">
            <v>34022</v>
          </cell>
          <cell r="B1606">
            <v>1083.19</v>
          </cell>
          <cell r="C1606">
            <v>1118.75</v>
          </cell>
          <cell r="D1606">
            <v>105.67</v>
          </cell>
          <cell r="E1606">
            <v>108.86</v>
          </cell>
          <cell r="F1606">
            <v>108.93</v>
          </cell>
          <cell r="G1606">
            <v>102.78</v>
          </cell>
          <cell r="H1606">
            <v>936.13</v>
          </cell>
          <cell r="I1606">
            <v>90.97</v>
          </cell>
        </row>
        <row r="1607">
          <cell r="A1607">
            <v>34023</v>
          </cell>
          <cell r="B1607">
            <v>1072.82</v>
          </cell>
          <cell r="C1607">
            <v>1111.42</v>
          </cell>
          <cell r="D1607">
            <v>104.75</v>
          </cell>
          <cell r="E1607">
            <v>108.27</v>
          </cell>
          <cell r="F1607">
            <v>107.98</v>
          </cell>
          <cell r="G1607">
            <v>101.57</v>
          </cell>
          <cell r="H1607">
            <v>918.7</v>
          </cell>
          <cell r="I1607">
            <v>89.54</v>
          </cell>
        </row>
        <row r="1608">
          <cell r="A1608">
            <v>34024</v>
          </cell>
          <cell r="B1608">
            <v>1065.6300000000001</v>
          </cell>
          <cell r="C1608">
            <v>1109.4000000000001</v>
          </cell>
          <cell r="D1608">
            <v>103.99</v>
          </cell>
          <cell r="E1608">
            <v>108.04</v>
          </cell>
          <cell r="F1608">
            <v>107.73</v>
          </cell>
          <cell r="G1608">
            <v>100.34</v>
          </cell>
          <cell r="H1608">
            <v>907.27</v>
          </cell>
          <cell r="I1608">
            <v>88.34</v>
          </cell>
        </row>
        <row r="1609">
          <cell r="A1609">
            <v>34025</v>
          </cell>
          <cell r="B1609">
            <v>1072.8499999999999</v>
          </cell>
          <cell r="C1609">
            <v>1112.6500000000001</v>
          </cell>
          <cell r="D1609">
            <v>104.49</v>
          </cell>
          <cell r="E1609">
            <v>108.32</v>
          </cell>
          <cell r="F1609">
            <v>107.94</v>
          </cell>
          <cell r="G1609">
            <v>101.03</v>
          </cell>
          <cell r="H1609">
            <v>915.2</v>
          </cell>
          <cell r="I1609">
            <v>88.97</v>
          </cell>
        </row>
        <row r="1610">
          <cell r="A1610">
            <v>34026</v>
          </cell>
          <cell r="B1610">
            <v>1090.1600000000001</v>
          </cell>
          <cell r="C1610">
            <v>1128.3599999999999</v>
          </cell>
          <cell r="D1610">
            <v>105.93</v>
          </cell>
          <cell r="E1610">
            <v>109.85</v>
          </cell>
          <cell r="F1610">
            <v>109.47</v>
          </cell>
          <cell r="G1610">
            <v>102.4</v>
          </cell>
          <cell r="H1610">
            <v>926.6</v>
          </cell>
          <cell r="I1610">
            <v>90.04</v>
          </cell>
        </row>
        <row r="1611">
          <cell r="A1611">
            <v>34029</v>
          </cell>
          <cell r="B1611">
            <v>1105.3499999999999</v>
          </cell>
          <cell r="C1611">
            <v>1140.5899999999999</v>
          </cell>
          <cell r="D1611">
            <v>107.3</v>
          </cell>
          <cell r="E1611">
            <v>111.07</v>
          </cell>
          <cell r="F1611">
            <v>110.64</v>
          </cell>
          <cell r="G1611">
            <v>103.89</v>
          </cell>
          <cell r="H1611">
            <v>942.94</v>
          </cell>
          <cell r="I1611">
            <v>91.28</v>
          </cell>
        </row>
        <row r="1612">
          <cell r="A1612">
            <v>34030</v>
          </cell>
          <cell r="B1612">
            <v>1103.6600000000001</v>
          </cell>
          <cell r="C1612">
            <v>1139.9100000000001</v>
          </cell>
          <cell r="D1612">
            <v>107.18</v>
          </cell>
          <cell r="E1612">
            <v>111.06</v>
          </cell>
          <cell r="F1612">
            <v>110.58</v>
          </cell>
          <cell r="G1612">
            <v>103.69</v>
          </cell>
          <cell r="H1612">
            <v>938.15</v>
          </cell>
          <cell r="I1612">
            <v>90.99</v>
          </cell>
        </row>
        <row r="1613">
          <cell r="A1613">
            <v>34031</v>
          </cell>
          <cell r="B1613">
            <v>1115.42</v>
          </cell>
          <cell r="C1613">
            <v>1141.1500000000001</v>
          </cell>
          <cell r="D1613">
            <v>108.08</v>
          </cell>
          <cell r="E1613">
            <v>111.21</v>
          </cell>
          <cell r="F1613">
            <v>110.9</v>
          </cell>
          <cell r="G1613">
            <v>105.25</v>
          </cell>
          <cell r="H1613">
            <v>947.08</v>
          </cell>
          <cell r="I1613">
            <v>91.83</v>
          </cell>
        </row>
        <row r="1614">
          <cell r="A1614">
            <v>34032</v>
          </cell>
          <cell r="B1614">
            <v>1110.24</v>
          </cell>
          <cell r="C1614">
            <v>1138.23</v>
          </cell>
          <cell r="D1614">
            <v>107.78</v>
          </cell>
          <cell r="E1614">
            <v>111</v>
          </cell>
          <cell r="F1614">
            <v>110.71</v>
          </cell>
          <cell r="G1614">
            <v>104.86</v>
          </cell>
          <cell r="H1614">
            <v>949.51</v>
          </cell>
          <cell r="I1614">
            <v>92.15</v>
          </cell>
        </row>
        <row r="1615">
          <cell r="A1615">
            <v>34033</v>
          </cell>
          <cell r="B1615">
            <v>1117.81</v>
          </cell>
          <cell r="C1615">
            <v>1141.56</v>
          </cell>
          <cell r="D1615">
            <v>108.58</v>
          </cell>
          <cell r="E1615">
            <v>111.35</v>
          </cell>
          <cell r="F1615">
            <v>111.11</v>
          </cell>
          <cell r="G1615">
            <v>106.07</v>
          </cell>
          <cell r="H1615">
            <v>964.64</v>
          </cell>
          <cell r="I1615">
            <v>93.49</v>
          </cell>
        </row>
        <row r="1616">
          <cell r="A1616">
            <v>34036</v>
          </cell>
          <cell r="B1616">
            <v>1123.6500000000001</v>
          </cell>
          <cell r="C1616">
            <v>1146.06</v>
          </cell>
          <cell r="D1616">
            <v>109.07</v>
          </cell>
          <cell r="E1616">
            <v>111.74</v>
          </cell>
          <cell r="F1616">
            <v>111.5</v>
          </cell>
          <cell r="G1616">
            <v>106.64</v>
          </cell>
          <cell r="H1616">
            <v>973.5</v>
          </cell>
          <cell r="I1616">
            <v>94.23</v>
          </cell>
        </row>
        <row r="1617">
          <cell r="A1617">
            <v>34037</v>
          </cell>
          <cell r="B1617">
            <v>1122.1099999999999</v>
          </cell>
          <cell r="C1617">
            <v>1148.6300000000001</v>
          </cell>
          <cell r="D1617">
            <v>108.8</v>
          </cell>
          <cell r="E1617">
            <v>111.86</v>
          </cell>
          <cell r="F1617">
            <v>111.28</v>
          </cell>
          <cell r="G1617">
            <v>106.02</v>
          </cell>
          <cell r="H1617">
            <v>924.45</v>
          </cell>
          <cell r="I1617">
            <v>90.02</v>
          </cell>
        </row>
        <row r="1618">
          <cell r="A1618">
            <v>34038</v>
          </cell>
          <cell r="B1618">
            <v>1125.72</v>
          </cell>
          <cell r="C1618">
            <v>1147.44</v>
          </cell>
          <cell r="D1618">
            <v>109.16</v>
          </cell>
          <cell r="E1618">
            <v>112.01</v>
          </cell>
          <cell r="F1618">
            <v>112.01</v>
          </cell>
          <cell r="G1618">
            <v>106.56</v>
          </cell>
          <cell r="H1618">
            <v>970.64</v>
          </cell>
          <cell r="I1618">
            <v>94.24</v>
          </cell>
        </row>
        <row r="1619">
          <cell r="A1619">
            <v>34039</v>
          </cell>
          <cell r="B1619">
            <v>1125.1300000000001</v>
          </cell>
          <cell r="C1619">
            <v>1148.3499999999999</v>
          </cell>
          <cell r="D1619">
            <v>108.96</v>
          </cell>
          <cell r="E1619">
            <v>112.09</v>
          </cell>
          <cell r="F1619">
            <v>112.05</v>
          </cell>
          <cell r="G1619">
            <v>106.13</v>
          </cell>
          <cell r="H1619">
            <v>954.37</v>
          </cell>
          <cell r="I1619">
            <v>93</v>
          </cell>
        </row>
        <row r="1620">
          <cell r="A1620">
            <v>34040</v>
          </cell>
          <cell r="B1620">
            <v>1115.01</v>
          </cell>
          <cell r="C1620">
            <v>1135.92</v>
          </cell>
          <cell r="D1620">
            <v>108.18</v>
          </cell>
          <cell r="E1620">
            <v>111.19</v>
          </cell>
          <cell r="F1620">
            <v>111.15</v>
          </cell>
          <cell r="G1620">
            <v>105.46</v>
          </cell>
          <cell r="H1620">
            <v>944.72</v>
          </cell>
          <cell r="I1620">
            <v>92.31</v>
          </cell>
        </row>
        <row r="1621">
          <cell r="A1621">
            <v>34043</v>
          </cell>
          <cell r="B1621">
            <v>1116.3</v>
          </cell>
          <cell r="C1621">
            <v>1139.06</v>
          </cell>
          <cell r="D1621">
            <v>108.3</v>
          </cell>
          <cell r="E1621">
            <v>111.35</v>
          </cell>
          <cell r="F1621">
            <v>111.15</v>
          </cell>
          <cell r="G1621">
            <v>105.54</v>
          </cell>
          <cell r="H1621">
            <v>927.38</v>
          </cell>
          <cell r="I1621">
            <v>90.64</v>
          </cell>
        </row>
        <row r="1622">
          <cell r="A1622">
            <v>34044</v>
          </cell>
          <cell r="B1622">
            <v>1119.55</v>
          </cell>
          <cell r="C1622">
            <v>1135.51</v>
          </cell>
          <cell r="D1622">
            <v>108.46</v>
          </cell>
          <cell r="E1622">
            <v>110.75</v>
          </cell>
          <cell r="F1622">
            <v>110.77</v>
          </cell>
          <cell r="G1622">
            <v>106.38</v>
          </cell>
          <cell r="H1622">
            <v>941.75</v>
          </cell>
          <cell r="I1622">
            <v>91.96</v>
          </cell>
        </row>
        <row r="1623">
          <cell r="A1623">
            <v>34045</v>
          </cell>
          <cell r="B1623">
            <v>1113.0999999999999</v>
          </cell>
          <cell r="C1623">
            <v>1130.76</v>
          </cell>
          <cell r="D1623">
            <v>107.88</v>
          </cell>
          <cell r="E1623">
            <v>110.29</v>
          </cell>
          <cell r="F1623">
            <v>110.26</v>
          </cell>
          <cell r="G1623">
            <v>105.68</v>
          </cell>
          <cell r="H1623">
            <v>943.99</v>
          </cell>
          <cell r="I1623">
            <v>92.23</v>
          </cell>
        </row>
        <row r="1624">
          <cell r="A1624">
            <v>34046</v>
          </cell>
          <cell r="B1624">
            <v>1117.99</v>
          </cell>
          <cell r="C1624">
            <v>1133.46</v>
          </cell>
          <cell r="D1624">
            <v>108.47</v>
          </cell>
          <cell r="E1624">
            <v>110.57</v>
          </cell>
          <cell r="F1624">
            <v>110.6</v>
          </cell>
          <cell r="G1624">
            <v>106.54</v>
          </cell>
          <cell r="H1624">
            <v>933.86</v>
          </cell>
          <cell r="I1624">
            <v>91.5</v>
          </cell>
        </row>
        <row r="1625">
          <cell r="A1625">
            <v>34047</v>
          </cell>
          <cell r="B1625">
            <v>1123.6600000000001</v>
          </cell>
          <cell r="C1625">
            <v>1135.0899999999999</v>
          </cell>
          <cell r="D1625">
            <v>109.04</v>
          </cell>
          <cell r="E1625">
            <v>110.8</v>
          </cell>
          <cell r="F1625">
            <v>110.86</v>
          </cell>
          <cell r="G1625">
            <v>107.42</v>
          </cell>
          <cell r="H1625">
            <v>931.46</v>
          </cell>
          <cell r="I1625">
            <v>91.35</v>
          </cell>
        </row>
        <row r="1626">
          <cell r="A1626">
            <v>34050</v>
          </cell>
          <cell r="B1626">
            <v>1106.73</v>
          </cell>
          <cell r="C1626">
            <v>1118.33</v>
          </cell>
          <cell r="D1626">
            <v>107.49</v>
          </cell>
          <cell r="E1626">
            <v>109.18</v>
          </cell>
          <cell r="F1626">
            <v>109.2</v>
          </cell>
          <cell r="G1626">
            <v>105.93</v>
          </cell>
          <cell r="H1626">
            <v>909.72</v>
          </cell>
          <cell r="I1626">
            <v>89.42</v>
          </cell>
        </row>
        <row r="1627">
          <cell r="A1627">
            <v>34051</v>
          </cell>
          <cell r="B1627">
            <v>1103.98</v>
          </cell>
          <cell r="C1627">
            <v>1118.76</v>
          </cell>
          <cell r="D1627">
            <v>107.21</v>
          </cell>
          <cell r="E1627">
            <v>109.32</v>
          </cell>
          <cell r="F1627">
            <v>109.26</v>
          </cell>
          <cell r="G1627">
            <v>105.27</v>
          </cell>
          <cell r="H1627">
            <v>904.47</v>
          </cell>
          <cell r="I1627">
            <v>88.82</v>
          </cell>
        </row>
        <row r="1628">
          <cell r="A1628">
            <v>34052</v>
          </cell>
          <cell r="B1628">
            <v>1105.51</v>
          </cell>
          <cell r="C1628">
            <v>1119.93</v>
          </cell>
          <cell r="D1628">
            <v>107.21</v>
          </cell>
          <cell r="E1628">
            <v>109.45</v>
          </cell>
          <cell r="F1628">
            <v>109.31</v>
          </cell>
          <cell r="G1628">
            <v>105.16</v>
          </cell>
          <cell r="H1628">
            <v>908.18</v>
          </cell>
          <cell r="I1628">
            <v>89.34</v>
          </cell>
        </row>
        <row r="1629">
          <cell r="A1629">
            <v>34053</v>
          </cell>
          <cell r="B1629">
            <v>1109.98</v>
          </cell>
          <cell r="C1629">
            <v>1127.3399999999999</v>
          </cell>
          <cell r="D1629">
            <v>107.33</v>
          </cell>
          <cell r="E1629">
            <v>110.19</v>
          </cell>
          <cell r="F1629">
            <v>109.79</v>
          </cell>
          <cell r="G1629">
            <v>104.75</v>
          </cell>
          <cell r="H1629">
            <v>909.83</v>
          </cell>
          <cell r="I1629">
            <v>89.23</v>
          </cell>
        </row>
        <row r="1630">
          <cell r="A1630">
            <v>34054</v>
          </cell>
          <cell r="B1630">
            <v>1113.67</v>
          </cell>
          <cell r="C1630">
            <v>1130.78</v>
          </cell>
          <cell r="D1630">
            <v>107.76</v>
          </cell>
          <cell r="E1630">
            <v>110.75</v>
          </cell>
          <cell r="F1630">
            <v>110.47</v>
          </cell>
          <cell r="G1630">
            <v>105.04</v>
          </cell>
          <cell r="H1630">
            <v>920.85</v>
          </cell>
          <cell r="I1630">
            <v>89.99</v>
          </cell>
        </row>
        <row r="1631">
          <cell r="A1631">
            <v>34057</v>
          </cell>
          <cell r="B1631">
            <v>1117.6300000000001</v>
          </cell>
          <cell r="C1631">
            <v>1136.44</v>
          </cell>
          <cell r="D1631">
            <v>108.01</v>
          </cell>
          <cell r="E1631">
            <v>111.23</v>
          </cell>
          <cell r="F1631">
            <v>111.02</v>
          </cell>
          <cell r="G1631">
            <v>105.1</v>
          </cell>
          <cell r="H1631">
            <v>926.77</v>
          </cell>
          <cell r="I1631">
            <v>90.47</v>
          </cell>
        </row>
        <row r="1632">
          <cell r="A1632">
            <v>34058</v>
          </cell>
          <cell r="B1632">
            <v>1121.27</v>
          </cell>
          <cell r="C1632">
            <v>1139.72</v>
          </cell>
          <cell r="D1632">
            <v>108.08</v>
          </cell>
          <cell r="E1632">
            <v>111.4</v>
          </cell>
          <cell r="F1632">
            <v>111.19</v>
          </cell>
          <cell r="G1632">
            <v>105.07</v>
          </cell>
          <cell r="H1632">
            <v>920.79</v>
          </cell>
          <cell r="I1632">
            <v>90.16</v>
          </cell>
        </row>
        <row r="1633">
          <cell r="A1633">
            <v>34059</v>
          </cell>
          <cell r="B1633">
            <v>1129.45</v>
          </cell>
          <cell r="C1633">
            <v>1140.82</v>
          </cell>
          <cell r="D1633">
            <v>108.78</v>
          </cell>
          <cell r="E1633">
            <v>111.57</v>
          </cell>
          <cell r="F1633">
            <v>111.29</v>
          </cell>
          <cell r="G1633">
            <v>106.24</v>
          </cell>
          <cell r="H1633">
            <v>918.95</v>
          </cell>
          <cell r="I1633">
            <v>90.06</v>
          </cell>
        </row>
        <row r="1634">
          <cell r="A1634">
            <v>34060</v>
          </cell>
          <cell r="B1634">
            <v>1123.42</v>
          </cell>
          <cell r="C1634">
            <v>1130.04</v>
          </cell>
          <cell r="D1634">
            <v>108.28</v>
          </cell>
          <cell r="E1634">
            <v>110.65</v>
          </cell>
          <cell r="F1634">
            <v>110.54</v>
          </cell>
          <cell r="G1634">
            <v>106.12</v>
          </cell>
          <cell r="H1634">
            <v>920.93</v>
          </cell>
          <cell r="I1634">
            <v>89.96</v>
          </cell>
        </row>
        <row r="1635">
          <cell r="A1635">
            <v>34061</v>
          </cell>
          <cell r="B1635">
            <v>1116.69</v>
          </cell>
          <cell r="C1635">
            <v>1122.92</v>
          </cell>
          <cell r="D1635">
            <v>107.94</v>
          </cell>
          <cell r="E1635">
            <v>110.11</v>
          </cell>
          <cell r="F1635">
            <v>110.31</v>
          </cell>
          <cell r="G1635">
            <v>105.96</v>
          </cell>
          <cell r="H1635">
            <v>937.82</v>
          </cell>
          <cell r="I1635">
            <v>91.53</v>
          </cell>
        </row>
        <row r="1636">
          <cell r="A1636">
            <v>34064</v>
          </cell>
          <cell r="B1636">
            <v>1107.82</v>
          </cell>
          <cell r="C1636">
            <v>1119.3599999999999</v>
          </cell>
          <cell r="D1636">
            <v>107.22</v>
          </cell>
          <cell r="E1636">
            <v>109.92</v>
          </cell>
          <cell r="F1636">
            <v>110.03</v>
          </cell>
          <cell r="G1636">
            <v>104.77</v>
          </cell>
          <cell r="H1636">
            <v>930.55</v>
          </cell>
          <cell r="I1636">
            <v>91.08</v>
          </cell>
        </row>
        <row r="1637">
          <cell r="A1637">
            <v>34065</v>
          </cell>
          <cell r="B1637">
            <v>1111.0999999999999</v>
          </cell>
          <cell r="C1637">
            <v>1126.3399999999999</v>
          </cell>
          <cell r="D1637">
            <v>107.66</v>
          </cell>
          <cell r="E1637">
            <v>110.59</v>
          </cell>
          <cell r="F1637">
            <v>110.65</v>
          </cell>
          <cell r="G1637">
            <v>105.02</v>
          </cell>
          <cell r="H1637">
            <v>929.5</v>
          </cell>
          <cell r="I1637">
            <v>91.28</v>
          </cell>
        </row>
        <row r="1638">
          <cell r="A1638">
            <v>34066</v>
          </cell>
          <cell r="B1638">
            <v>1110.3900000000001</v>
          </cell>
          <cell r="C1638">
            <v>1123.45</v>
          </cell>
          <cell r="D1638">
            <v>107.55</v>
          </cell>
          <cell r="E1638">
            <v>110.37</v>
          </cell>
          <cell r="F1638">
            <v>110.37</v>
          </cell>
          <cell r="G1638">
            <v>104.99</v>
          </cell>
          <cell r="H1638">
            <v>923.98</v>
          </cell>
          <cell r="I1638">
            <v>90.79</v>
          </cell>
        </row>
        <row r="1639">
          <cell r="A1639">
            <v>34067</v>
          </cell>
          <cell r="B1639">
            <v>1114.6300000000001</v>
          </cell>
          <cell r="C1639">
            <v>1130.1300000000001</v>
          </cell>
          <cell r="D1639">
            <v>108.04</v>
          </cell>
          <cell r="E1639">
            <v>111.08</v>
          </cell>
          <cell r="F1639">
            <v>111</v>
          </cell>
          <cell r="G1639">
            <v>105.29</v>
          </cell>
          <cell r="H1639">
            <v>925.32</v>
          </cell>
          <cell r="I1639">
            <v>90.95</v>
          </cell>
        </row>
        <row r="1640">
          <cell r="A1640">
            <v>34068</v>
          </cell>
          <cell r="B1640">
            <v>1112.2</v>
          </cell>
          <cell r="C1640">
            <v>1127.08</v>
          </cell>
          <cell r="D1640">
            <v>107.79</v>
          </cell>
          <cell r="E1640">
            <v>110.79</v>
          </cell>
          <cell r="F1640">
            <v>110.73</v>
          </cell>
          <cell r="G1640">
            <v>105.08</v>
          </cell>
          <cell r="H1640">
            <v>924.8</v>
          </cell>
          <cell r="I1640">
            <v>90.89</v>
          </cell>
        </row>
        <row r="1641">
          <cell r="A1641">
            <v>34071</v>
          </cell>
          <cell r="B1641">
            <v>1113.9100000000001</v>
          </cell>
          <cell r="C1641">
            <v>1126.3399999999999</v>
          </cell>
          <cell r="D1641">
            <v>107.97</v>
          </cell>
          <cell r="E1641">
            <v>110.74</v>
          </cell>
          <cell r="F1641">
            <v>110.7</v>
          </cell>
          <cell r="G1641">
            <v>105.46</v>
          </cell>
          <cell r="H1641">
            <v>924.87</v>
          </cell>
          <cell r="I1641">
            <v>90.88</v>
          </cell>
        </row>
        <row r="1642">
          <cell r="A1642">
            <v>34072</v>
          </cell>
          <cell r="B1642">
            <v>1123.04</v>
          </cell>
          <cell r="C1642">
            <v>1139.77</v>
          </cell>
          <cell r="D1642">
            <v>108.95</v>
          </cell>
          <cell r="E1642">
            <v>112</v>
          </cell>
          <cell r="F1642">
            <v>111.79</v>
          </cell>
          <cell r="G1642">
            <v>106.2</v>
          </cell>
          <cell r="H1642">
            <v>934.88</v>
          </cell>
          <cell r="I1642">
            <v>91.73</v>
          </cell>
        </row>
        <row r="1643">
          <cell r="A1643">
            <v>34073</v>
          </cell>
          <cell r="B1643">
            <v>1121.75</v>
          </cell>
          <cell r="C1643">
            <v>1138.3</v>
          </cell>
          <cell r="D1643">
            <v>108.94</v>
          </cell>
          <cell r="E1643">
            <v>111.95</v>
          </cell>
          <cell r="F1643">
            <v>111.74</v>
          </cell>
          <cell r="G1643">
            <v>106.21</v>
          </cell>
          <cell r="H1643">
            <v>947.52</v>
          </cell>
          <cell r="I1643">
            <v>92.87</v>
          </cell>
        </row>
        <row r="1644">
          <cell r="A1644">
            <v>34074</v>
          </cell>
          <cell r="B1644">
            <v>1120.58</v>
          </cell>
          <cell r="C1644">
            <v>1135.2</v>
          </cell>
          <cell r="D1644">
            <v>108.79</v>
          </cell>
          <cell r="E1644">
            <v>111.58</v>
          </cell>
          <cell r="F1644">
            <v>111.5</v>
          </cell>
          <cell r="G1644">
            <v>106.27</v>
          </cell>
          <cell r="H1644">
            <v>951.63</v>
          </cell>
          <cell r="I1644">
            <v>93.27</v>
          </cell>
        </row>
        <row r="1645">
          <cell r="A1645">
            <v>34075</v>
          </cell>
          <cell r="B1645">
            <v>1117.42</v>
          </cell>
          <cell r="C1645">
            <v>1138.8900000000001</v>
          </cell>
          <cell r="D1645">
            <v>108.51</v>
          </cell>
          <cell r="E1645">
            <v>111.86</v>
          </cell>
          <cell r="F1645">
            <v>111.62</v>
          </cell>
          <cell r="G1645">
            <v>105.48</v>
          </cell>
          <cell r="H1645">
            <v>947.66</v>
          </cell>
          <cell r="I1645">
            <v>92.96</v>
          </cell>
        </row>
        <row r="1646">
          <cell r="A1646">
            <v>34078</v>
          </cell>
          <cell r="B1646">
            <v>1120.56</v>
          </cell>
          <cell r="C1646">
            <v>1142.1199999999999</v>
          </cell>
          <cell r="D1646">
            <v>108.7</v>
          </cell>
          <cell r="E1646">
            <v>112.21</v>
          </cell>
          <cell r="F1646">
            <v>111.93</v>
          </cell>
          <cell r="G1646">
            <v>105.53</v>
          </cell>
          <cell r="H1646">
            <v>954.98</v>
          </cell>
          <cell r="I1646">
            <v>93.78</v>
          </cell>
        </row>
        <row r="1647">
          <cell r="A1647">
            <v>34079</v>
          </cell>
          <cell r="B1647">
            <v>1124.1600000000001</v>
          </cell>
          <cell r="C1647">
            <v>1136.21</v>
          </cell>
          <cell r="D1647">
            <v>109.01</v>
          </cell>
          <cell r="E1647">
            <v>111.59</v>
          </cell>
          <cell r="F1647">
            <v>111.58</v>
          </cell>
          <cell r="G1647">
            <v>106.66</v>
          </cell>
          <cell r="H1647">
            <v>957.55</v>
          </cell>
          <cell r="I1647">
            <v>94.11</v>
          </cell>
        </row>
        <row r="1648">
          <cell r="A1648">
            <v>34080</v>
          </cell>
          <cell r="B1648">
            <v>1121.49</v>
          </cell>
          <cell r="C1648">
            <v>1127.24</v>
          </cell>
          <cell r="D1648">
            <v>108.75</v>
          </cell>
          <cell r="E1648">
            <v>110.74</v>
          </cell>
          <cell r="F1648">
            <v>111.08</v>
          </cell>
          <cell r="G1648">
            <v>106.92</v>
          </cell>
          <cell r="H1648">
            <v>965.33</v>
          </cell>
          <cell r="I1648">
            <v>94.83</v>
          </cell>
        </row>
        <row r="1649">
          <cell r="A1649">
            <v>34081</v>
          </cell>
          <cell r="B1649">
            <v>1127.94</v>
          </cell>
          <cell r="C1649">
            <v>1130.8</v>
          </cell>
          <cell r="D1649">
            <v>109.56</v>
          </cell>
          <cell r="E1649">
            <v>111.21</v>
          </cell>
          <cell r="F1649">
            <v>111.5</v>
          </cell>
          <cell r="G1649">
            <v>108.03</v>
          </cell>
          <cell r="H1649">
            <v>969.09</v>
          </cell>
          <cell r="I1649">
            <v>95.03</v>
          </cell>
        </row>
        <row r="1650">
          <cell r="A1650">
            <v>34082</v>
          </cell>
          <cell r="B1650">
            <v>1119.48</v>
          </cell>
          <cell r="C1650">
            <v>1123.68</v>
          </cell>
          <cell r="D1650">
            <v>109.17</v>
          </cell>
          <cell r="E1650">
            <v>110.78</v>
          </cell>
          <cell r="F1650">
            <v>111.23</v>
          </cell>
          <cell r="G1650">
            <v>107.69</v>
          </cell>
          <cell r="H1650">
            <v>974.2</v>
          </cell>
          <cell r="I1650">
            <v>95.72</v>
          </cell>
        </row>
        <row r="1651">
          <cell r="A1651">
            <v>34085</v>
          </cell>
          <cell r="B1651">
            <v>1112.03</v>
          </cell>
          <cell r="C1651">
            <v>1121.77</v>
          </cell>
          <cell r="D1651">
            <v>108.51</v>
          </cell>
          <cell r="E1651">
            <v>110.62</v>
          </cell>
          <cell r="F1651">
            <v>110.88</v>
          </cell>
          <cell r="G1651">
            <v>106.57</v>
          </cell>
          <cell r="H1651">
            <v>971.74</v>
          </cell>
          <cell r="I1651">
            <v>95.75</v>
          </cell>
        </row>
        <row r="1652">
          <cell r="A1652">
            <v>34086</v>
          </cell>
          <cell r="B1652">
            <v>1115.45</v>
          </cell>
          <cell r="C1652">
            <v>1121.5899999999999</v>
          </cell>
          <cell r="D1652">
            <v>108.71</v>
          </cell>
          <cell r="E1652">
            <v>110.59</v>
          </cell>
          <cell r="F1652">
            <v>110.72</v>
          </cell>
          <cell r="G1652">
            <v>106.98</v>
          </cell>
          <cell r="H1652">
            <v>964.2</v>
          </cell>
          <cell r="I1652">
            <v>95.15</v>
          </cell>
        </row>
        <row r="1653">
          <cell r="A1653">
            <v>34087</v>
          </cell>
          <cell r="B1653">
            <v>1106.8499999999999</v>
          </cell>
          <cell r="C1653">
            <v>1120.58</v>
          </cell>
          <cell r="D1653">
            <v>107.93</v>
          </cell>
          <cell r="E1653">
            <v>110.4</v>
          </cell>
          <cell r="F1653">
            <v>110.6</v>
          </cell>
          <cell r="G1653">
            <v>105.68</v>
          </cell>
          <cell r="H1653">
            <v>965.67</v>
          </cell>
          <cell r="I1653">
            <v>95.32</v>
          </cell>
        </row>
        <row r="1654">
          <cell r="A1654">
            <v>34088</v>
          </cell>
          <cell r="B1654">
            <v>1100.46</v>
          </cell>
          <cell r="C1654">
            <v>1109.83</v>
          </cell>
          <cell r="D1654">
            <v>107.39</v>
          </cell>
          <cell r="E1654">
            <v>109.59</v>
          </cell>
          <cell r="F1654">
            <v>109.98</v>
          </cell>
          <cell r="G1654">
            <v>105.37</v>
          </cell>
          <cell r="H1654">
            <v>972.11</v>
          </cell>
          <cell r="I1654">
            <v>95.98</v>
          </cell>
        </row>
        <row r="1655">
          <cell r="A1655">
            <v>34089</v>
          </cell>
          <cell r="B1655">
            <v>1108.23</v>
          </cell>
          <cell r="C1655">
            <v>1114.25</v>
          </cell>
          <cell r="D1655">
            <v>108.06</v>
          </cell>
          <cell r="E1655">
            <v>109.71</v>
          </cell>
          <cell r="F1655">
            <v>110.16</v>
          </cell>
          <cell r="G1655">
            <v>106.54</v>
          </cell>
          <cell r="H1655">
            <v>972.49</v>
          </cell>
          <cell r="I1655">
            <v>96.16</v>
          </cell>
        </row>
        <row r="1656">
          <cell r="A1656">
            <v>34092</v>
          </cell>
          <cell r="B1656">
            <v>1108.47</v>
          </cell>
          <cell r="C1656">
            <v>1117.22</v>
          </cell>
          <cell r="D1656">
            <v>108.02</v>
          </cell>
          <cell r="E1656">
            <v>110.01</v>
          </cell>
          <cell r="F1656">
            <v>110.58</v>
          </cell>
          <cell r="G1656">
            <v>106.2</v>
          </cell>
          <cell r="H1656">
            <v>973.31</v>
          </cell>
          <cell r="I1656">
            <v>96.26</v>
          </cell>
        </row>
        <row r="1657">
          <cell r="A1657">
            <v>34093</v>
          </cell>
          <cell r="B1657">
            <v>1109.43</v>
          </cell>
          <cell r="C1657">
            <v>1116.43</v>
          </cell>
          <cell r="D1657">
            <v>108.1</v>
          </cell>
          <cell r="E1657">
            <v>110.02</v>
          </cell>
          <cell r="F1657">
            <v>110.76</v>
          </cell>
          <cell r="G1657">
            <v>106.34</v>
          </cell>
          <cell r="H1657">
            <v>986.23</v>
          </cell>
          <cell r="I1657">
            <v>97.28</v>
          </cell>
        </row>
        <row r="1658">
          <cell r="A1658">
            <v>34094</v>
          </cell>
          <cell r="B1658">
            <v>1107.21</v>
          </cell>
          <cell r="C1658">
            <v>1115.33</v>
          </cell>
          <cell r="D1658">
            <v>107.88</v>
          </cell>
          <cell r="E1658">
            <v>109.72</v>
          </cell>
          <cell r="F1658">
            <v>110.77</v>
          </cell>
          <cell r="G1658">
            <v>106.18</v>
          </cell>
          <cell r="H1658">
            <v>1001.65</v>
          </cell>
          <cell r="I1658">
            <v>98.46</v>
          </cell>
        </row>
        <row r="1659">
          <cell r="A1659">
            <v>34095</v>
          </cell>
          <cell r="B1659">
            <v>1106.69</v>
          </cell>
          <cell r="C1659">
            <v>1113.33</v>
          </cell>
          <cell r="D1659">
            <v>107.88</v>
          </cell>
          <cell r="E1659">
            <v>109.63</v>
          </cell>
          <cell r="F1659">
            <v>110.65</v>
          </cell>
          <cell r="G1659">
            <v>106.28</v>
          </cell>
          <cell r="H1659">
            <v>1006.64</v>
          </cell>
          <cell r="I1659">
            <v>98.8</v>
          </cell>
        </row>
        <row r="1660">
          <cell r="A1660">
            <v>34096</v>
          </cell>
          <cell r="B1660">
            <v>1102.55</v>
          </cell>
          <cell r="C1660">
            <v>1103.06</v>
          </cell>
          <cell r="D1660">
            <v>107.57</v>
          </cell>
          <cell r="E1660">
            <v>108.83</v>
          </cell>
          <cell r="F1660">
            <v>110.03</v>
          </cell>
          <cell r="G1660">
            <v>106.39</v>
          </cell>
          <cell r="H1660">
            <v>1017.97</v>
          </cell>
          <cell r="I1660">
            <v>99.77</v>
          </cell>
        </row>
        <row r="1661">
          <cell r="A1661">
            <v>34099</v>
          </cell>
          <cell r="B1661">
            <v>1105.81</v>
          </cell>
          <cell r="C1661">
            <v>1103.24</v>
          </cell>
          <cell r="D1661">
            <v>107.72</v>
          </cell>
          <cell r="E1661">
            <v>108.66</v>
          </cell>
          <cell r="F1661">
            <v>110</v>
          </cell>
          <cell r="G1661">
            <v>106.83</v>
          </cell>
          <cell r="H1661">
            <v>1018.17</v>
          </cell>
          <cell r="I1661">
            <v>99.6</v>
          </cell>
        </row>
        <row r="1662">
          <cell r="A1662">
            <v>34100</v>
          </cell>
          <cell r="B1662">
            <v>1109.3499999999999</v>
          </cell>
          <cell r="C1662">
            <v>1103.51</v>
          </cell>
          <cell r="D1662">
            <v>108.02</v>
          </cell>
          <cell r="E1662">
            <v>108.52</v>
          </cell>
          <cell r="F1662">
            <v>109.91</v>
          </cell>
          <cell r="G1662">
            <v>107.5</v>
          </cell>
          <cell r="H1662">
            <v>1009.26</v>
          </cell>
          <cell r="I1662">
            <v>98.79</v>
          </cell>
        </row>
        <row r="1663">
          <cell r="A1663">
            <v>34101</v>
          </cell>
          <cell r="B1663">
            <v>1115.31</v>
          </cell>
          <cell r="C1663">
            <v>1107.8599999999999</v>
          </cell>
          <cell r="D1663">
            <v>108.44</v>
          </cell>
          <cell r="E1663">
            <v>109.03</v>
          </cell>
          <cell r="F1663">
            <v>110.42</v>
          </cell>
          <cell r="G1663">
            <v>107.84</v>
          </cell>
          <cell r="H1663">
            <v>1026.56</v>
          </cell>
          <cell r="I1663">
            <v>100.06</v>
          </cell>
        </row>
        <row r="1664">
          <cell r="A1664">
            <v>34102</v>
          </cell>
          <cell r="B1664">
            <v>1121.53</v>
          </cell>
          <cell r="C1664">
            <v>1122.1400000000001</v>
          </cell>
          <cell r="D1664">
            <v>108.8</v>
          </cell>
          <cell r="E1664">
            <v>110.12</v>
          </cell>
          <cell r="F1664">
            <v>111.32</v>
          </cell>
          <cell r="G1664">
            <v>107.57</v>
          </cell>
          <cell r="H1664">
            <v>1026.53</v>
          </cell>
          <cell r="I1664">
            <v>100.02</v>
          </cell>
        </row>
        <row r="1665">
          <cell r="A1665">
            <v>34103</v>
          </cell>
          <cell r="B1665">
            <v>1118.9100000000001</v>
          </cell>
          <cell r="C1665">
            <v>1113.78</v>
          </cell>
          <cell r="D1665">
            <v>108.65</v>
          </cell>
          <cell r="E1665">
            <v>109.57</v>
          </cell>
          <cell r="F1665">
            <v>110.91</v>
          </cell>
          <cell r="G1665">
            <v>107.77</v>
          </cell>
          <cell r="H1665">
            <v>1028.96</v>
          </cell>
          <cell r="I1665">
            <v>100.23</v>
          </cell>
        </row>
        <row r="1666">
          <cell r="A1666">
            <v>34106</v>
          </cell>
          <cell r="B1666">
            <v>1118.55</v>
          </cell>
          <cell r="C1666">
            <v>1106.7</v>
          </cell>
          <cell r="D1666">
            <v>108.66</v>
          </cell>
          <cell r="E1666">
            <v>108.94</v>
          </cell>
          <cell r="F1666">
            <v>110.5</v>
          </cell>
          <cell r="G1666">
            <v>108.35</v>
          </cell>
          <cell r="H1666">
            <v>1034.92</v>
          </cell>
          <cell r="I1666">
            <v>100.7</v>
          </cell>
        </row>
        <row r="1667">
          <cell r="A1667">
            <v>34107</v>
          </cell>
          <cell r="B1667">
            <v>1120.0999999999999</v>
          </cell>
          <cell r="C1667">
            <v>1108.23</v>
          </cell>
          <cell r="D1667">
            <v>109.03</v>
          </cell>
          <cell r="E1667">
            <v>109.39</v>
          </cell>
          <cell r="F1667">
            <v>110.93</v>
          </cell>
          <cell r="G1667">
            <v>108.64</v>
          </cell>
          <cell r="H1667">
            <v>1036.6099999999999</v>
          </cell>
          <cell r="I1667">
            <v>100.86</v>
          </cell>
        </row>
        <row r="1668">
          <cell r="A1668">
            <v>34108</v>
          </cell>
          <cell r="B1668">
            <v>1117.6300000000001</v>
          </cell>
          <cell r="C1668">
            <v>1106.5</v>
          </cell>
          <cell r="D1668">
            <v>108.94</v>
          </cell>
          <cell r="E1668">
            <v>109.34</v>
          </cell>
          <cell r="F1668">
            <v>110.97</v>
          </cell>
          <cell r="G1668">
            <v>108.52</v>
          </cell>
          <cell r="H1668">
            <v>1033.83</v>
          </cell>
          <cell r="I1668">
            <v>101.14</v>
          </cell>
        </row>
        <row r="1669">
          <cell r="A1669">
            <v>34109</v>
          </cell>
          <cell r="B1669">
            <v>1116.6500000000001</v>
          </cell>
          <cell r="C1669">
            <v>1104.22</v>
          </cell>
          <cell r="D1669">
            <v>108.87</v>
          </cell>
          <cell r="E1669">
            <v>109.15</v>
          </cell>
          <cell r="F1669">
            <v>110.8</v>
          </cell>
          <cell r="G1669">
            <v>108.56</v>
          </cell>
          <cell r="H1669">
            <v>1034.1099999999999</v>
          </cell>
          <cell r="I1669">
            <v>101.18</v>
          </cell>
        </row>
        <row r="1670">
          <cell r="A1670">
            <v>34110</v>
          </cell>
          <cell r="B1670">
            <v>1112.57</v>
          </cell>
          <cell r="C1670">
            <v>1102.94</v>
          </cell>
          <cell r="D1670">
            <v>108.75</v>
          </cell>
          <cell r="E1670">
            <v>109.06</v>
          </cell>
          <cell r="F1670">
            <v>110.91</v>
          </cell>
          <cell r="G1670">
            <v>108.4</v>
          </cell>
          <cell r="H1670">
            <v>1051.69</v>
          </cell>
          <cell r="I1670">
            <v>102.7</v>
          </cell>
        </row>
        <row r="1671">
          <cell r="A1671">
            <v>34113</v>
          </cell>
          <cell r="B1671">
            <v>1119.99</v>
          </cell>
          <cell r="C1671">
            <v>1107.2</v>
          </cell>
          <cell r="D1671">
            <v>109.29</v>
          </cell>
          <cell r="E1671">
            <v>109.44</v>
          </cell>
          <cell r="F1671">
            <v>111.38</v>
          </cell>
          <cell r="G1671">
            <v>109.09</v>
          </cell>
          <cell r="H1671">
            <v>1052.6300000000001</v>
          </cell>
          <cell r="I1671">
            <v>102.89</v>
          </cell>
        </row>
        <row r="1672">
          <cell r="A1672">
            <v>34114</v>
          </cell>
          <cell r="B1672">
            <v>1127.68</v>
          </cell>
          <cell r="C1672">
            <v>1115.3399999999999</v>
          </cell>
          <cell r="D1672">
            <v>109.87</v>
          </cell>
          <cell r="E1672">
            <v>110.23</v>
          </cell>
          <cell r="F1672">
            <v>112.1</v>
          </cell>
          <cell r="G1672">
            <v>109.49</v>
          </cell>
          <cell r="H1672">
            <v>1053.19</v>
          </cell>
          <cell r="I1672">
            <v>102.52</v>
          </cell>
        </row>
        <row r="1673">
          <cell r="A1673">
            <v>34115</v>
          </cell>
          <cell r="B1673">
            <v>1128.94</v>
          </cell>
          <cell r="C1673">
            <v>1113.3800000000001</v>
          </cell>
          <cell r="D1673">
            <v>109.98</v>
          </cell>
          <cell r="E1673">
            <v>110.1</v>
          </cell>
          <cell r="F1673">
            <v>111.98</v>
          </cell>
          <cell r="G1673">
            <v>109.8</v>
          </cell>
          <cell r="H1673">
            <v>1047.1099999999999</v>
          </cell>
          <cell r="I1673">
            <v>101.97</v>
          </cell>
        </row>
        <row r="1674">
          <cell r="A1674">
            <v>34116</v>
          </cell>
          <cell r="B1674">
            <v>1129.72</v>
          </cell>
          <cell r="C1674">
            <v>1117.93</v>
          </cell>
          <cell r="D1674">
            <v>110.06</v>
          </cell>
          <cell r="E1674">
            <v>110.37</v>
          </cell>
          <cell r="F1674">
            <v>112.3</v>
          </cell>
          <cell r="G1674">
            <v>109.71</v>
          </cell>
          <cell r="H1674">
            <v>1041.3699999999999</v>
          </cell>
          <cell r="I1674">
            <v>101.38</v>
          </cell>
        </row>
        <row r="1675">
          <cell r="A1675">
            <v>34117</v>
          </cell>
          <cell r="B1675">
            <v>1122.6300000000001</v>
          </cell>
          <cell r="C1675">
            <v>1113.7</v>
          </cell>
          <cell r="D1675">
            <v>109.46</v>
          </cell>
          <cell r="E1675">
            <v>110.05</v>
          </cell>
          <cell r="F1675">
            <v>112.14</v>
          </cell>
          <cell r="G1675">
            <v>108.86</v>
          </cell>
          <cell r="H1675">
            <v>1048.45</v>
          </cell>
          <cell r="I1675">
            <v>102.07</v>
          </cell>
        </row>
        <row r="1676">
          <cell r="A1676">
            <v>34120</v>
          </cell>
          <cell r="B1676">
            <v>1122.3599999999999</v>
          </cell>
          <cell r="C1676">
            <v>1113.68</v>
          </cell>
          <cell r="D1676">
            <v>109.44</v>
          </cell>
          <cell r="E1676">
            <v>110.04</v>
          </cell>
          <cell r="F1676">
            <v>112.14</v>
          </cell>
          <cell r="G1676">
            <v>108.84</v>
          </cell>
          <cell r="H1676">
            <v>1049.22</v>
          </cell>
          <cell r="I1676">
            <v>102.1</v>
          </cell>
        </row>
        <row r="1677">
          <cell r="A1677">
            <v>34121</v>
          </cell>
          <cell r="B1677">
            <v>1116.96</v>
          </cell>
          <cell r="C1677">
            <v>1107.3800000000001</v>
          </cell>
          <cell r="D1677">
            <v>108.95</v>
          </cell>
          <cell r="E1677">
            <v>109.56</v>
          </cell>
          <cell r="F1677">
            <v>111.55</v>
          </cell>
          <cell r="G1677">
            <v>108.34</v>
          </cell>
          <cell r="H1677">
            <v>1036.3499999999999</v>
          </cell>
          <cell r="I1677">
            <v>100.96</v>
          </cell>
        </row>
        <row r="1678">
          <cell r="A1678">
            <v>34122</v>
          </cell>
          <cell r="B1678">
            <v>1119.69</v>
          </cell>
          <cell r="C1678">
            <v>1110.22</v>
          </cell>
          <cell r="D1678">
            <v>109.27</v>
          </cell>
          <cell r="E1678">
            <v>109.76</v>
          </cell>
          <cell r="F1678">
            <v>111.72</v>
          </cell>
          <cell r="G1678">
            <v>108.78</v>
          </cell>
          <cell r="H1678">
            <v>1028.73</v>
          </cell>
          <cell r="I1678">
            <v>100.2</v>
          </cell>
        </row>
        <row r="1679">
          <cell r="A1679">
            <v>34123</v>
          </cell>
          <cell r="B1679">
            <v>1121.1199999999999</v>
          </cell>
          <cell r="C1679">
            <v>1110.47</v>
          </cell>
          <cell r="D1679">
            <v>109.45</v>
          </cell>
          <cell r="E1679">
            <v>109.76</v>
          </cell>
          <cell r="F1679">
            <v>111.89</v>
          </cell>
          <cell r="G1679">
            <v>109.11</v>
          </cell>
          <cell r="H1679">
            <v>1046.25</v>
          </cell>
          <cell r="I1679">
            <v>101.56</v>
          </cell>
        </row>
        <row r="1680">
          <cell r="A1680">
            <v>34124</v>
          </cell>
          <cell r="B1680">
            <v>1112.71</v>
          </cell>
          <cell r="C1680">
            <v>1109.2</v>
          </cell>
          <cell r="D1680">
            <v>108.83</v>
          </cell>
          <cell r="E1680">
            <v>109.67</v>
          </cell>
          <cell r="F1680">
            <v>111.91</v>
          </cell>
          <cell r="G1680">
            <v>108.03</v>
          </cell>
          <cell r="H1680">
            <v>1056.2</v>
          </cell>
          <cell r="I1680">
            <v>102.34</v>
          </cell>
        </row>
        <row r="1681">
          <cell r="A1681">
            <v>34127</v>
          </cell>
          <cell r="B1681">
            <v>1118.52</v>
          </cell>
          <cell r="C1681">
            <v>1114.5899999999999</v>
          </cell>
          <cell r="D1681">
            <v>109.33</v>
          </cell>
          <cell r="E1681">
            <v>109.96</v>
          </cell>
          <cell r="F1681">
            <v>112.1</v>
          </cell>
          <cell r="G1681">
            <v>108.7</v>
          </cell>
          <cell r="H1681">
            <v>1044.8900000000001</v>
          </cell>
          <cell r="I1681">
            <v>101.19</v>
          </cell>
        </row>
        <row r="1682">
          <cell r="A1682">
            <v>34128</v>
          </cell>
          <cell r="B1682">
            <v>1119.33</v>
          </cell>
          <cell r="C1682">
            <v>1118.2</v>
          </cell>
          <cell r="D1682">
            <v>109.43</v>
          </cell>
          <cell r="E1682">
            <v>110.19</v>
          </cell>
          <cell r="F1682">
            <v>112.19</v>
          </cell>
          <cell r="G1682">
            <v>108.7</v>
          </cell>
          <cell r="H1682">
            <v>1041.04</v>
          </cell>
          <cell r="I1682">
            <v>100.69</v>
          </cell>
        </row>
        <row r="1683">
          <cell r="A1683">
            <v>34129</v>
          </cell>
          <cell r="B1683">
            <v>1130.71</v>
          </cell>
          <cell r="C1683">
            <v>1129.83</v>
          </cell>
          <cell r="D1683">
            <v>110.41</v>
          </cell>
          <cell r="E1683">
            <v>111.04</v>
          </cell>
          <cell r="F1683">
            <v>113.01</v>
          </cell>
          <cell r="G1683">
            <v>109.79</v>
          </cell>
          <cell r="H1683">
            <v>1042.27</v>
          </cell>
          <cell r="I1683">
            <v>100.74</v>
          </cell>
        </row>
        <row r="1684">
          <cell r="A1684">
            <v>34130</v>
          </cell>
          <cell r="B1684">
            <v>1134.56</v>
          </cell>
          <cell r="C1684">
            <v>1131.03</v>
          </cell>
          <cell r="D1684">
            <v>110.65</v>
          </cell>
          <cell r="E1684">
            <v>111.33</v>
          </cell>
          <cell r="F1684">
            <v>113.23</v>
          </cell>
          <cell r="G1684">
            <v>109.98</v>
          </cell>
          <cell r="H1684">
            <v>1041.04</v>
          </cell>
          <cell r="I1684">
            <v>100.85</v>
          </cell>
        </row>
        <row r="1685">
          <cell r="A1685">
            <v>34131</v>
          </cell>
          <cell r="B1685">
            <v>1137.1099999999999</v>
          </cell>
          <cell r="C1685">
            <v>1136.25</v>
          </cell>
          <cell r="D1685">
            <v>110.72</v>
          </cell>
          <cell r="E1685">
            <v>111.74</v>
          </cell>
          <cell r="F1685">
            <v>113.68</v>
          </cell>
          <cell r="G1685">
            <v>109.75</v>
          </cell>
          <cell r="H1685">
            <v>1044.95</v>
          </cell>
          <cell r="I1685">
            <v>101.53</v>
          </cell>
        </row>
        <row r="1686">
          <cell r="A1686">
            <v>34134</v>
          </cell>
          <cell r="B1686">
            <v>1142.75</v>
          </cell>
          <cell r="C1686">
            <v>1138.45</v>
          </cell>
          <cell r="D1686">
            <v>111.06</v>
          </cell>
          <cell r="E1686">
            <v>111.77</v>
          </cell>
          <cell r="F1686">
            <v>113.57</v>
          </cell>
          <cell r="G1686">
            <v>110.36</v>
          </cell>
          <cell r="H1686">
            <v>1038.54</v>
          </cell>
          <cell r="I1686">
            <v>100.8</v>
          </cell>
        </row>
        <row r="1687">
          <cell r="A1687">
            <v>34135</v>
          </cell>
          <cell r="B1687">
            <v>1135.3900000000001</v>
          </cell>
          <cell r="C1687">
            <v>1131.08</v>
          </cell>
          <cell r="D1687">
            <v>110.54</v>
          </cell>
          <cell r="E1687">
            <v>111.05</v>
          </cell>
          <cell r="F1687">
            <v>112.9</v>
          </cell>
          <cell r="G1687">
            <v>110.01</v>
          </cell>
          <cell r="H1687">
            <v>1046.02</v>
          </cell>
          <cell r="I1687">
            <v>101.24</v>
          </cell>
        </row>
        <row r="1688">
          <cell r="A1688">
            <v>34136</v>
          </cell>
          <cell r="B1688">
            <v>1139.24</v>
          </cell>
          <cell r="C1688">
            <v>1136.8699999999999</v>
          </cell>
          <cell r="D1688">
            <v>110.94</v>
          </cell>
          <cell r="E1688">
            <v>111.55</v>
          </cell>
          <cell r="F1688">
            <v>113.38</v>
          </cell>
          <cell r="G1688">
            <v>110.33</v>
          </cell>
          <cell r="H1688">
            <v>1047.17</v>
          </cell>
          <cell r="I1688">
            <v>101.33</v>
          </cell>
        </row>
        <row r="1689">
          <cell r="A1689">
            <v>34137</v>
          </cell>
          <cell r="B1689">
            <v>1142.6500000000001</v>
          </cell>
          <cell r="C1689">
            <v>1134.49</v>
          </cell>
          <cell r="D1689">
            <v>111.27</v>
          </cell>
          <cell r="E1689">
            <v>111.5</v>
          </cell>
          <cell r="F1689">
            <v>113.5</v>
          </cell>
          <cell r="G1689">
            <v>111.01</v>
          </cell>
          <cell r="H1689">
            <v>1045.8499999999999</v>
          </cell>
          <cell r="I1689">
            <v>101.26</v>
          </cell>
        </row>
        <row r="1690">
          <cell r="A1690">
            <v>34138</v>
          </cell>
          <cell r="B1690">
            <v>1147.23</v>
          </cell>
          <cell r="C1690">
            <v>1140.78</v>
          </cell>
          <cell r="D1690">
            <v>111.65</v>
          </cell>
          <cell r="E1690">
            <v>112</v>
          </cell>
          <cell r="F1690">
            <v>113.94</v>
          </cell>
          <cell r="G1690">
            <v>111.28</v>
          </cell>
          <cell r="H1690">
            <v>1048.04</v>
          </cell>
          <cell r="I1690">
            <v>101.47</v>
          </cell>
        </row>
        <row r="1691">
          <cell r="A1691">
            <v>34141</v>
          </cell>
          <cell r="B1691">
            <v>1154.6199999999999</v>
          </cell>
          <cell r="C1691">
            <v>1144.3399999999999</v>
          </cell>
          <cell r="D1691">
            <v>112.01</v>
          </cell>
          <cell r="E1691">
            <v>112.06</v>
          </cell>
          <cell r="F1691">
            <v>114.14</v>
          </cell>
          <cell r="G1691">
            <v>111.9</v>
          </cell>
          <cell r="H1691">
            <v>1050.1300000000001</v>
          </cell>
          <cell r="I1691">
            <v>101.56</v>
          </cell>
        </row>
        <row r="1692">
          <cell r="A1692">
            <v>34142</v>
          </cell>
          <cell r="B1692">
            <v>1163.94</v>
          </cell>
          <cell r="C1692">
            <v>1157.33</v>
          </cell>
          <cell r="D1692">
            <v>113.02</v>
          </cell>
          <cell r="E1692">
            <v>113.24</v>
          </cell>
          <cell r="F1692">
            <v>115.2</v>
          </cell>
          <cell r="G1692">
            <v>112.75</v>
          </cell>
          <cell r="H1692">
            <v>1056.08</v>
          </cell>
          <cell r="I1692">
            <v>102.04</v>
          </cell>
        </row>
        <row r="1693">
          <cell r="A1693">
            <v>34143</v>
          </cell>
          <cell r="B1693">
            <v>1152.0999999999999</v>
          </cell>
          <cell r="C1693">
            <v>1157.26</v>
          </cell>
          <cell r="D1693">
            <v>112.03</v>
          </cell>
          <cell r="E1693">
            <v>113.17</v>
          </cell>
          <cell r="F1693">
            <v>114.81</v>
          </cell>
          <cell r="G1693">
            <v>110.95</v>
          </cell>
          <cell r="H1693">
            <v>1029.32</v>
          </cell>
          <cell r="I1693">
            <v>99.59</v>
          </cell>
        </row>
        <row r="1694">
          <cell r="A1694">
            <v>34144</v>
          </cell>
          <cell r="B1694">
            <v>1151.73</v>
          </cell>
          <cell r="C1694">
            <v>1153.3699999999999</v>
          </cell>
          <cell r="D1694">
            <v>112.23</v>
          </cell>
          <cell r="E1694">
            <v>113.05</v>
          </cell>
          <cell r="F1694">
            <v>114.78</v>
          </cell>
          <cell r="G1694">
            <v>111.44</v>
          </cell>
          <cell r="H1694">
            <v>1031.22</v>
          </cell>
          <cell r="I1694">
            <v>99.69</v>
          </cell>
        </row>
        <row r="1695">
          <cell r="A1695">
            <v>34145</v>
          </cell>
          <cell r="B1695">
            <v>1153.99</v>
          </cell>
          <cell r="C1695">
            <v>1153.83</v>
          </cell>
          <cell r="D1695">
            <v>112.49</v>
          </cell>
          <cell r="E1695">
            <v>113.16</v>
          </cell>
          <cell r="F1695">
            <v>115.01</v>
          </cell>
          <cell r="G1695">
            <v>111.83</v>
          </cell>
          <cell r="H1695">
            <v>1035.69</v>
          </cell>
          <cell r="I1695">
            <v>100.1</v>
          </cell>
        </row>
        <row r="1696">
          <cell r="A1696">
            <v>34148</v>
          </cell>
          <cell r="B1696">
            <v>1163.94</v>
          </cell>
          <cell r="C1696">
            <v>1161.96</v>
          </cell>
          <cell r="D1696">
            <v>113.38</v>
          </cell>
          <cell r="E1696">
            <v>113.93</v>
          </cell>
          <cell r="F1696">
            <v>115.77</v>
          </cell>
          <cell r="G1696">
            <v>112.83</v>
          </cell>
          <cell r="H1696">
            <v>1038.32</v>
          </cell>
          <cell r="I1696">
            <v>100.47</v>
          </cell>
        </row>
        <row r="1697">
          <cell r="A1697">
            <v>34149</v>
          </cell>
          <cell r="B1697">
            <v>1162.6400000000001</v>
          </cell>
          <cell r="C1697">
            <v>1156.5</v>
          </cell>
          <cell r="D1697">
            <v>113.37</v>
          </cell>
          <cell r="E1697">
            <v>113.65</v>
          </cell>
          <cell r="F1697">
            <v>115.56</v>
          </cell>
          <cell r="G1697">
            <v>113.05</v>
          </cell>
          <cell r="H1697">
            <v>1044.48</v>
          </cell>
          <cell r="I1697">
            <v>101.11</v>
          </cell>
        </row>
        <row r="1698">
          <cell r="A1698">
            <v>34150</v>
          </cell>
          <cell r="B1698">
            <v>1164.8699999999999</v>
          </cell>
          <cell r="C1698">
            <v>1157.58</v>
          </cell>
          <cell r="D1698">
            <v>113.63</v>
          </cell>
          <cell r="E1698">
            <v>113.87</v>
          </cell>
          <cell r="F1698">
            <v>115.88</v>
          </cell>
          <cell r="G1698">
            <v>113.34</v>
          </cell>
          <cell r="H1698">
            <v>1060.3699999999999</v>
          </cell>
          <cell r="I1698">
            <v>102.8</v>
          </cell>
        </row>
        <row r="1699">
          <cell r="A1699">
            <v>34151</v>
          </cell>
          <cell r="B1699">
            <v>1165.29</v>
          </cell>
          <cell r="C1699">
            <v>1156.8399999999999</v>
          </cell>
          <cell r="D1699">
            <v>113.87</v>
          </cell>
          <cell r="E1699">
            <v>113.87</v>
          </cell>
          <cell r="F1699">
            <v>115.86</v>
          </cell>
          <cell r="G1699">
            <v>113.8</v>
          </cell>
          <cell r="H1699">
            <v>1065.68</v>
          </cell>
          <cell r="I1699">
            <v>103.19</v>
          </cell>
        </row>
        <row r="1700">
          <cell r="A1700">
            <v>34152</v>
          </cell>
          <cell r="B1700">
            <v>1152</v>
          </cell>
          <cell r="C1700">
            <v>1147.51</v>
          </cell>
          <cell r="D1700">
            <v>112.87</v>
          </cell>
          <cell r="E1700">
            <v>113.35</v>
          </cell>
          <cell r="F1700">
            <v>115.31</v>
          </cell>
          <cell r="G1700">
            <v>112.39</v>
          </cell>
          <cell r="H1700">
            <v>1061.8800000000001</v>
          </cell>
          <cell r="I1700">
            <v>102.81</v>
          </cell>
        </row>
        <row r="1701">
          <cell r="A1701">
            <v>34155</v>
          </cell>
          <cell r="B1701">
            <v>1148.94</v>
          </cell>
          <cell r="C1701">
            <v>1144.93</v>
          </cell>
          <cell r="D1701">
            <v>112.62</v>
          </cell>
          <cell r="E1701">
            <v>113.21</v>
          </cell>
          <cell r="F1701">
            <v>115.09</v>
          </cell>
          <cell r="G1701">
            <v>112.03</v>
          </cell>
          <cell r="H1701">
            <v>1056.54</v>
          </cell>
          <cell r="I1701">
            <v>102.2</v>
          </cell>
        </row>
        <row r="1702">
          <cell r="A1702">
            <v>34156</v>
          </cell>
          <cell r="B1702">
            <v>1153.3900000000001</v>
          </cell>
          <cell r="C1702">
            <v>1147.6199999999999</v>
          </cell>
          <cell r="D1702">
            <v>112.92</v>
          </cell>
          <cell r="E1702">
            <v>113.4</v>
          </cell>
          <cell r="F1702">
            <v>115.39</v>
          </cell>
          <cell r="G1702">
            <v>112.42</v>
          </cell>
          <cell r="H1702">
            <v>1056.6400000000001</v>
          </cell>
          <cell r="I1702">
            <v>102.24</v>
          </cell>
        </row>
        <row r="1703">
          <cell r="A1703">
            <v>34157</v>
          </cell>
          <cell r="B1703">
            <v>1152.83</v>
          </cell>
          <cell r="C1703">
            <v>1154.3499999999999</v>
          </cell>
          <cell r="D1703">
            <v>112.88</v>
          </cell>
          <cell r="E1703">
            <v>113.89</v>
          </cell>
          <cell r="F1703">
            <v>115.74</v>
          </cell>
          <cell r="G1703">
            <v>111.91</v>
          </cell>
          <cell r="H1703">
            <v>1066.75</v>
          </cell>
          <cell r="I1703">
            <v>102.92</v>
          </cell>
        </row>
        <row r="1704">
          <cell r="A1704">
            <v>34158</v>
          </cell>
          <cell r="B1704">
            <v>1169.06</v>
          </cell>
          <cell r="C1704">
            <v>1181.25</v>
          </cell>
          <cell r="D1704">
            <v>114.08</v>
          </cell>
          <cell r="E1704">
            <v>116.06</v>
          </cell>
          <cell r="F1704">
            <v>117.67</v>
          </cell>
          <cell r="G1704">
            <v>112.27</v>
          </cell>
          <cell r="H1704">
            <v>1067.3900000000001</v>
          </cell>
          <cell r="I1704">
            <v>103.11</v>
          </cell>
        </row>
        <row r="1705">
          <cell r="A1705">
            <v>34159</v>
          </cell>
          <cell r="B1705">
            <v>1172.26</v>
          </cell>
          <cell r="C1705">
            <v>1186.77</v>
          </cell>
          <cell r="D1705">
            <v>114.39</v>
          </cell>
          <cell r="E1705">
            <v>116.42</v>
          </cell>
          <cell r="F1705">
            <v>118.11</v>
          </cell>
          <cell r="G1705">
            <v>112.53</v>
          </cell>
          <cell r="H1705">
            <v>1075.33</v>
          </cell>
          <cell r="I1705">
            <v>103.88</v>
          </cell>
        </row>
        <row r="1706">
          <cell r="A1706">
            <v>34162</v>
          </cell>
          <cell r="B1706">
            <v>1174.19</v>
          </cell>
          <cell r="C1706">
            <v>1190.42</v>
          </cell>
          <cell r="D1706">
            <v>114.52</v>
          </cell>
          <cell r="E1706">
            <v>116.59</v>
          </cell>
          <cell r="F1706">
            <v>118.45</v>
          </cell>
          <cell r="G1706">
            <v>112.62</v>
          </cell>
          <cell r="H1706">
            <v>1080.3900000000001</v>
          </cell>
          <cell r="I1706">
            <v>104.37</v>
          </cell>
        </row>
        <row r="1707">
          <cell r="A1707">
            <v>34163</v>
          </cell>
          <cell r="B1707">
            <v>1176.17</v>
          </cell>
          <cell r="C1707">
            <v>1187.02</v>
          </cell>
          <cell r="D1707">
            <v>114.92</v>
          </cell>
          <cell r="E1707">
            <v>116.45</v>
          </cell>
          <cell r="F1707">
            <v>118.46</v>
          </cell>
          <cell r="G1707">
            <v>113.5</v>
          </cell>
          <cell r="H1707">
            <v>1087.99</v>
          </cell>
          <cell r="I1707">
            <v>105.02</v>
          </cell>
        </row>
        <row r="1708">
          <cell r="A1708">
            <v>34164</v>
          </cell>
          <cell r="B1708">
            <v>1176.96</v>
          </cell>
          <cell r="C1708">
            <v>1187.25</v>
          </cell>
          <cell r="D1708">
            <v>115.11</v>
          </cell>
          <cell r="E1708">
            <v>116.59</v>
          </cell>
          <cell r="F1708">
            <v>118.61</v>
          </cell>
          <cell r="G1708">
            <v>113.73</v>
          </cell>
          <cell r="H1708">
            <v>1093.43</v>
          </cell>
          <cell r="I1708">
            <v>105.21</v>
          </cell>
        </row>
        <row r="1709">
          <cell r="A1709">
            <v>34165</v>
          </cell>
          <cell r="B1709">
            <v>1180.44</v>
          </cell>
          <cell r="C1709">
            <v>1191.95</v>
          </cell>
          <cell r="D1709">
            <v>115.37</v>
          </cell>
          <cell r="E1709">
            <v>116.92</v>
          </cell>
          <cell r="F1709">
            <v>118.95</v>
          </cell>
          <cell r="G1709">
            <v>113.94</v>
          </cell>
          <cell r="H1709">
            <v>1100.49</v>
          </cell>
          <cell r="I1709">
            <v>105.77</v>
          </cell>
        </row>
        <row r="1710">
          <cell r="A1710">
            <v>34166</v>
          </cell>
          <cell r="B1710">
            <v>1174.71</v>
          </cell>
          <cell r="C1710">
            <v>1190.28</v>
          </cell>
          <cell r="D1710">
            <v>114.88</v>
          </cell>
          <cell r="E1710">
            <v>116.75</v>
          </cell>
          <cell r="F1710">
            <v>118.79</v>
          </cell>
          <cell r="G1710">
            <v>113.16</v>
          </cell>
          <cell r="H1710">
            <v>1098.3499999999999</v>
          </cell>
          <cell r="I1710">
            <v>105.58</v>
          </cell>
        </row>
        <row r="1711">
          <cell r="A1711">
            <v>34169</v>
          </cell>
          <cell r="B1711">
            <v>1177.06</v>
          </cell>
          <cell r="C1711">
            <v>1195.4000000000001</v>
          </cell>
          <cell r="D1711">
            <v>115.22</v>
          </cell>
          <cell r="E1711">
            <v>117.17</v>
          </cell>
          <cell r="F1711">
            <v>118.99</v>
          </cell>
          <cell r="G1711">
            <v>113.42</v>
          </cell>
          <cell r="H1711">
            <v>1104.26</v>
          </cell>
          <cell r="I1711">
            <v>105.85</v>
          </cell>
        </row>
        <row r="1712">
          <cell r="A1712">
            <v>34170</v>
          </cell>
          <cell r="B1712">
            <v>1172.45</v>
          </cell>
          <cell r="C1712">
            <v>1192.3800000000001</v>
          </cell>
          <cell r="D1712">
            <v>114.86</v>
          </cell>
          <cell r="E1712">
            <v>117.03</v>
          </cell>
          <cell r="F1712">
            <v>118.47</v>
          </cell>
          <cell r="G1712">
            <v>112.88</v>
          </cell>
          <cell r="H1712">
            <v>1101.92</v>
          </cell>
          <cell r="I1712">
            <v>105.75</v>
          </cell>
        </row>
        <row r="1713">
          <cell r="A1713">
            <v>34171</v>
          </cell>
          <cell r="B1713">
            <v>1164.69</v>
          </cell>
          <cell r="C1713">
            <v>1181.0899999999999</v>
          </cell>
          <cell r="D1713">
            <v>114.24</v>
          </cell>
          <cell r="E1713">
            <v>116.14</v>
          </cell>
          <cell r="F1713">
            <v>117.55</v>
          </cell>
          <cell r="G1713">
            <v>112.5</v>
          </cell>
          <cell r="H1713">
            <v>1089.1099999999999</v>
          </cell>
          <cell r="I1713">
            <v>104.57</v>
          </cell>
        </row>
        <row r="1714">
          <cell r="A1714">
            <v>34172</v>
          </cell>
          <cell r="B1714">
            <v>1171.5899999999999</v>
          </cell>
          <cell r="C1714">
            <v>1186.6400000000001</v>
          </cell>
          <cell r="D1714">
            <v>114.81</v>
          </cell>
          <cell r="E1714">
            <v>116.58</v>
          </cell>
          <cell r="F1714">
            <v>118.18</v>
          </cell>
          <cell r="G1714">
            <v>113.17</v>
          </cell>
          <cell r="H1714">
            <v>1087.23</v>
          </cell>
          <cell r="I1714">
            <v>104.33</v>
          </cell>
        </row>
        <row r="1715">
          <cell r="A1715">
            <v>34173</v>
          </cell>
          <cell r="B1715">
            <v>1179</v>
          </cell>
          <cell r="C1715">
            <v>1194.6099999999999</v>
          </cell>
          <cell r="D1715">
            <v>115.46</v>
          </cell>
          <cell r="E1715">
            <v>117.2</v>
          </cell>
          <cell r="F1715">
            <v>118.71</v>
          </cell>
          <cell r="G1715">
            <v>113.85</v>
          </cell>
          <cell r="H1715">
            <v>1091.94</v>
          </cell>
          <cell r="I1715">
            <v>104.48</v>
          </cell>
        </row>
        <row r="1716">
          <cell r="A1716">
            <v>34176</v>
          </cell>
          <cell r="B1716">
            <v>1186.3699999999999</v>
          </cell>
          <cell r="C1716">
            <v>1202.53</v>
          </cell>
          <cell r="D1716">
            <v>116.18</v>
          </cell>
          <cell r="E1716">
            <v>117.83</v>
          </cell>
          <cell r="F1716">
            <v>119.59</v>
          </cell>
          <cell r="G1716">
            <v>114.64</v>
          </cell>
          <cell r="H1716">
            <v>1109.1099999999999</v>
          </cell>
          <cell r="I1716">
            <v>106.03</v>
          </cell>
        </row>
        <row r="1717">
          <cell r="A1717">
            <v>34177</v>
          </cell>
          <cell r="B1717">
            <v>1189.1400000000001</v>
          </cell>
          <cell r="C1717">
            <v>1202.27</v>
          </cell>
          <cell r="D1717">
            <v>116.53</v>
          </cell>
          <cell r="E1717">
            <v>117.98</v>
          </cell>
          <cell r="F1717">
            <v>119.76</v>
          </cell>
          <cell r="G1717">
            <v>115.17</v>
          </cell>
          <cell r="H1717">
            <v>1105.72</v>
          </cell>
          <cell r="I1717">
            <v>105.89</v>
          </cell>
        </row>
        <row r="1718">
          <cell r="A1718">
            <v>34178</v>
          </cell>
          <cell r="B1718">
            <v>1189.1500000000001</v>
          </cell>
          <cell r="C1718">
            <v>1201.8900000000001</v>
          </cell>
          <cell r="D1718">
            <v>116.68</v>
          </cell>
          <cell r="E1718">
            <v>118.05</v>
          </cell>
          <cell r="F1718">
            <v>119.94</v>
          </cell>
          <cell r="G1718">
            <v>115.4</v>
          </cell>
          <cell r="H1718">
            <v>1115.3399999999999</v>
          </cell>
          <cell r="I1718">
            <v>106.87</v>
          </cell>
        </row>
        <row r="1719">
          <cell r="A1719">
            <v>34179</v>
          </cell>
          <cell r="B1719">
            <v>1202.83</v>
          </cell>
          <cell r="C1719">
            <v>1214.8</v>
          </cell>
          <cell r="D1719">
            <v>118.14</v>
          </cell>
          <cell r="E1719">
            <v>119.29</v>
          </cell>
          <cell r="F1719">
            <v>121.01</v>
          </cell>
          <cell r="G1719">
            <v>117.04</v>
          </cell>
          <cell r="H1719">
            <v>1121.3599999999999</v>
          </cell>
          <cell r="I1719">
            <v>107.41</v>
          </cell>
        </row>
        <row r="1720">
          <cell r="A1720">
            <v>34180</v>
          </cell>
          <cell r="B1720">
            <v>1225.3900000000001</v>
          </cell>
          <cell r="C1720">
            <v>1236.1400000000001</v>
          </cell>
          <cell r="D1720">
            <v>120.44</v>
          </cell>
          <cell r="E1720">
            <v>121.29</v>
          </cell>
          <cell r="F1720">
            <v>123.18</v>
          </cell>
          <cell r="G1720">
            <v>119.62</v>
          </cell>
          <cell r="H1720">
            <v>1151.45</v>
          </cell>
          <cell r="I1720">
            <v>110.02</v>
          </cell>
        </row>
        <row r="1721">
          <cell r="A1721">
            <v>34183</v>
          </cell>
          <cell r="B1721">
            <v>1232.8499999999999</v>
          </cell>
          <cell r="C1721">
            <v>1245.8900000000001</v>
          </cell>
          <cell r="D1721">
            <v>121.21</v>
          </cell>
          <cell r="E1721">
            <v>122.15</v>
          </cell>
          <cell r="F1721">
            <v>124.11</v>
          </cell>
          <cell r="G1721">
            <v>120.29</v>
          </cell>
          <cell r="H1721">
            <v>1164.3900000000001</v>
          </cell>
          <cell r="I1721">
            <v>111.31</v>
          </cell>
        </row>
        <row r="1722">
          <cell r="A1722">
            <v>34184</v>
          </cell>
          <cell r="B1722">
            <v>1224.3599999999999</v>
          </cell>
          <cell r="C1722">
            <v>1241.47</v>
          </cell>
          <cell r="D1722">
            <v>120.56</v>
          </cell>
          <cell r="E1722">
            <v>122.05</v>
          </cell>
          <cell r="F1722">
            <v>123.95</v>
          </cell>
          <cell r="G1722">
            <v>119.17</v>
          </cell>
          <cell r="H1722">
            <v>1166.23</v>
          </cell>
          <cell r="I1722">
            <v>111.46</v>
          </cell>
        </row>
        <row r="1723">
          <cell r="A1723">
            <v>34185</v>
          </cell>
          <cell r="B1723">
            <v>1223.43</v>
          </cell>
          <cell r="C1723">
            <v>1244.3900000000001</v>
          </cell>
          <cell r="D1723">
            <v>120.66</v>
          </cell>
          <cell r="E1723">
            <v>122.38</v>
          </cell>
          <cell r="F1723">
            <v>124.22</v>
          </cell>
          <cell r="G1723">
            <v>119.07</v>
          </cell>
          <cell r="H1723">
            <v>1167.52</v>
          </cell>
          <cell r="I1723">
            <v>111.74</v>
          </cell>
        </row>
        <row r="1724">
          <cell r="A1724">
            <v>34186</v>
          </cell>
          <cell r="B1724">
            <v>1222.0999999999999</v>
          </cell>
          <cell r="C1724">
            <v>1242.77</v>
          </cell>
          <cell r="D1724">
            <v>120.6</v>
          </cell>
          <cell r="E1724">
            <v>122.3</v>
          </cell>
          <cell r="F1724">
            <v>124.19</v>
          </cell>
          <cell r="G1724">
            <v>119.03</v>
          </cell>
          <cell r="H1724">
            <v>1172.73</v>
          </cell>
          <cell r="I1724">
            <v>112.25</v>
          </cell>
        </row>
        <row r="1725">
          <cell r="A1725">
            <v>34187</v>
          </cell>
          <cell r="B1725">
            <v>1223.6199999999999</v>
          </cell>
          <cell r="C1725">
            <v>1247.1099999999999</v>
          </cell>
          <cell r="D1725">
            <v>120.82</v>
          </cell>
          <cell r="E1725">
            <v>122.66</v>
          </cell>
          <cell r="F1725">
            <v>124.41</v>
          </cell>
          <cell r="G1725">
            <v>119.12</v>
          </cell>
          <cell r="H1725">
            <v>1179.5</v>
          </cell>
          <cell r="I1725">
            <v>112.84</v>
          </cell>
        </row>
        <row r="1726">
          <cell r="A1726">
            <v>34190</v>
          </cell>
          <cell r="B1726">
            <v>1239.24</v>
          </cell>
          <cell r="C1726">
            <v>1260.27</v>
          </cell>
          <cell r="D1726">
            <v>122.25</v>
          </cell>
          <cell r="E1726">
            <v>123.96</v>
          </cell>
          <cell r="F1726">
            <v>125.84</v>
          </cell>
          <cell r="G1726">
            <v>120.67</v>
          </cell>
          <cell r="H1726">
            <v>1200.1300000000001</v>
          </cell>
          <cell r="I1726">
            <v>115.06</v>
          </cell>
        </row>
        <row r="1727">
          <cell r="A1727">
            <v>34191</v>
          </cell>
          <cell r="B1727">
            <v>1228.8499999999999</v>
          </cell>
          <cell r="C1727">
            <v>1253.82</v>
          </cell>
          <cell r="D1727">
            <v>121.19</v>
          </cell>
          <cell r="E1727">
            <v>123.47</v>
          </cell>
          <cell r="F1727">
            <v>124.98</v>
          </cell>
          <cell r="G1727">
            <v>119.11</v>
          </cell>
          <cell r="H1727">
            <v>1182.4000000000001</v>
          </cell>
          <cell r="I1727">
            <v>113.77</v>
          </cell>
        </row>
        <row r="1728">
          <cell r="A1728">
            <v>34192</v>
          </cell>
          <cell r="B1728">
            <v>1247.1400000000001</v>
          </cell>
          <cell r="C1728">
            <v>1270.6300000000001</v>
          </cell>
          <cell r="D1728">
            <v>123.13</v>
          </cell>
          <cell r="E1728">
            <v>125.08</v>
          </cell>
          <cell r="F1728">
            <v>126.57</v>
          </cell>
          <cell r="G1728">
            <v>121.34</v>
          </cell>
          <cell r="H1728">
            <v>1192.98</v>
          </cell>
          <cell r="I1728">
            <v>114.76</v>
          </cell>
        </row>
        <row r="1729">
          <cell r="A1729">
            <v>34193</v>
          </cell>
          <cell r="B1729">
            <v>1240.1500000000001</v>
          </cell>
          <cell r="C1729">
            <v>1266.5899999999999</v>
          </cell>
          <cell r="D1729">
            <v>122.45</v>
          </cell>
          <cell r="E1729">
            <v>124.75</v>
          </cell>
          <cell r="F1729">
            <v>126.5</v>
          </cell>
          <cell r="G1729">
            <v>120.34</v>
          </cell>
          <cell r="H1729">
            <v>1194.94</v>
          </cell>
          <cell r="I1729">
            <v>115.18</v>
          </cell>
        </row>
        <row r="1730">
          <cell r="A1730">
            <v>34194</v>
          </cell>
          <cell r="B1730">
            <v>1240.8599999999999</v>
          </cell>
          <cell r="C1730">
            <v>1269.49</v>
          </cell>
          <cell r="D1730">
            <v>122.51</v>
          </cell>
          <cell r="E1730">
            <v>124.96</v>
          </cell>
          <cell r="F1730">
            <v>126.84</v>
          </cell>
          <cell r="G1730">
            <v>120.28</v>
          </cell>
          <cell r="H1730">
            <v>1204.9100000000001</v>
          </cell>
          <cell r="I1730">
            <v>115.92</v>
          </cell>
        </row>
        <row r="1731">
          <cell r="A1731">
            <v>34197</v>
          </cell>
          <cell r="B1731">
            <v>1245.75</v>
          </cell>
          <cell r="C1731">
            <v>1273.5</v>
          </cell>
          <cell r="D1731">
            <v>122.91</v>
          </cell>
          <cell r="E1731">
            <v>125.23</v>
          </cell>
          <cell r="F1731">
            <v>127.18</v>
          </cell>
          <cell r="G1731">
            <v>120.78</v>
          </cell>
          <cell r="H1731">
            <v>1200.18</v>
          </cell>
          <cell r="I1731">
            <v>115.37</v>
          </cell>
        </row>
        <row r="1732">
          <cell r="A1732">
            <v>34198</v>
          </cell>
          <cell r="B1732">
            <v>1249.52</v>
          </cell>
          <cell r="C1732">
            <v>1275.57</v>
          </cell>
          <cell r="D1732">
            <v>123.11</v>
          </cell>
          <cell r="E1732">
            <v>125.45</v>
          </cell>
          <cell r="F1732">
            <v>127.21</v>
          </cell>
          <cell r="G1732">
            <v>120.98</v>
          </cell>
          <cell r="H1732">
            <v>1212.29</v>
          </cell>
          <cell r="I1732">
            <v>116.11</v>
          </cell>
        </row>
        <row r="1733">
          <cell r="A1733">
            <v>34199</v>
          </cell>
          <cell r="B1733">
            <v>1275.58</v>
          </cell>
          <cell r="C1733">
            <v>1293.3</v>
          </cell>
          <cell r="D1733">
            <v>125.46</v>
          </cell>
          <cell r="E1733">
            <v>126.92</v>
          </cell>
          <cell r="F1733">
            <v>128.97</v>
          </cell>
          <cell r="G1733">
            <v>124.09</v>
          </cell>
          <cell r="H1733">
            <v>1258.53</v>
          </cell>
          <cell r="I1733">
            <v>120.22</v>
          </cell>
        </row>
        <row r="1734">
          <cell r="A1734">
            <v>34200</v>
          </cell>
          <cell r="B1734">
            <v>1276.8699999999999</v>
          </cell>
          <cell r="C1734">
            <v>1299.07</v>
          </cell>
          <cell r="D1734">
            <v>125.38</v>
          </cell>
          <cell r="E1734">
            <v>127.31</v>
          </cell>
          <cell r="F1734">
            <v>129.24</v>
          </cell>
          <cell r="G1734">
            <v>123.6</v>
          </cell>
          <cell r="H1734">
            <v>1250.96</v>
          </cell>
          <cell r="I1734">
            <v>119.67</v>
          </cell>
        </row>
        <row r="1735">
          <cell r="A1735">
            <v>34201</v>
          </cell>
          <cell r="B1735">
            <v>1265.72</v>
          </cell>
          <cell r="C1735">
            <v>1287.25</v>
          </cell>
          <cell r="D1735">
            <v>124.51</v>
          </cell>
          <cell r="E1735">
            <v>126.32</v>
          </cell>
          <cell r="F1735">
            <v>128.26</v>
          </cell>
          <cell r="G1735">
            <v>122.83</v>
          </cell>
          <cell r="H1735">
            <v>1222.67</v>
          </cell>
          <cell r="I1735">
            <v>117.51</v>
          </cell>
        </row>
        <row r="1736">
          <cell r="A1736">
            <v>34204</v>
          </cell>
          <cell r="B1736">
            <v>1259.18</v>
          </cell>
          <cell r="C1736">
            <v>1280.01</v>
          </cell>
          <cell r="D1736">
            <v>123.74</v>
          </cell>
          <cell r="E1736">
            <v>125.69</v>
          </cell>
          <cell r="F1736">
            <v>127.43</v>
          </cell>
          <cell r="G1736">
            <v>121.95</v>
          </cell>
          <cell r="H1736">
            <v>1199.19</v>
          </cell>
          <cell r="I1736">
            <v>115.56</v>
          </cell>
        </row>
        <row r="1737">
          <cell r="A1737">
            <v>34205</v>
          </cell>
          <cell r="B1737">
            <v>1260.06</v>
          </cell>
          <cell r="C1737">
            <v>1284.42</v>
          </cell>
          <cell r="D1737">
            <v>123.6</v>
          </cell>
          <cell r="E1737">
            <v>126</v>
          </cell>
          <cell r="F1737">
            <v>127.61</v>
          </cell>
          <cell r="G1737">
            <v>121.41</v>
          </cell>
          <cell r="H1737">
            <v>1176.83</v>
          </cell>
          <cell r="I1737">
            <v>113.87</v>
          </cell>
        </row>
        <row r="1738">
          <cell r="A1738">
            <v>34206</v>
          </cell>
          <cell r="B1738">
            <v>1275.04</v>
          </cell>
          <cell r="C1738">
            <v>1304.8499999999999</v>
          </cell>
          <cell r="D1738">
            <v>124.8</v>
          </cell>
          <cell r="E1738">
            <v>127.81</v>
          </cell>
          <cell r="F1738">
            <v>129.21</v>
          </cell>
          <cell r="G1738">
            <v>122.06</v>
          </cell>
          <cell r="H1738">
            <v>1181.3800000000001</v>
          </cell>
          <cell r="I1738">
            <v>113.8</v>
          </cell>
        </row>
        <row r="1739">
          <cell r="A1739">
            <v>34207</v>
          </cell>
          <cell r="B1739">
            <v>1277.1600000000001</v>
          </cell>
          <cell r="C1739">
            <v>1302.8599999999999</v>
          </cell>
          <cell r="D1739">
            <v>125.16</v>
          </cell>
          <cell r="E1739">
            <v>127.72</v>
          </cell>
          <cell r="F1739">
            <v>128.86000000000001</v>
          </cell>
          <cell r="G1739">
            <v>122.83</v>
          </cell>
          <cell r="H1739">
            <v>1163.99</v>
          </cell>
          <cell r="I1739">
            <v>112.47</v>
          </cell>
        </row>
        <row r="1740">
          <cell r="A1740">
            <v>34208</v>
          </cell>
          <cell r="B1740">
            <v>1281.7</v>
          </cell>
          <cell r="C1740">
            <v>1308.24</v>
          </cell>
          <cell r="D1740">
            <v>125.38</v>
          </cell>
          <cell r="E1740">
            <v>127.96</v>
          </cell>
          <cell r="F1740">
            <v>129.24</v>
          </cell>
          <cell r="G1740">
            <v>123.03</v>
          </cell>
          <cell r="H1740">
            <v>1181.77</v>
          </cell>
          <cell r="I1740">
            <v>113.44</v>
          </cell>
        </row>
        <row r="1741">
          <cell r="A1741">
            <v>34211</v>
          </cell>
          <cell r="B1741">
            <v>1287.1300000000001</v>
          </cell>
          <cell r="C1741">
            <v>1317.64</v>
          </cell>
          <cell r="D1741">
            <v>125.67</v>
          </cell>
          <cell r="E1741">
            <v>128.69999999999999</v>
          </cell>
          <cell r="F1741">
            <v>129.96</v>
          </cell>
          <cell r="G1741">
            <v>122.92</v>
          </cell>
          <cell r="H1741">
            <v>1196.3</v>
          </cell>
          <cell r="I1741">
            <v>114.48</v>
          </cell>
        </row>
        <row r="1742">
          <cell r="A1742">
            <v>34212</v>
          </cell>
          <cell r="B1742">
            <v>1288.5899999999999</v>
          </cell>
          <cell r="C1742">
            <v>1321.88</v>
          </cell>
          <cell r="D1742">
            <v>125.7</v>
          </cell>
          <cell r="E1742">
            <v>129.1</v>
          </cell>
          <cell r="F1742">
            <v>130.13999999999999</v>
          </cell>
          <cell r="G1742">
            <v>122.63</v>
          </cell>
          <cell r="H1742">
            <v>1187.54</v>
          </cell>
          <cell r="I1742">
            <v>113.61</v>
          </cell>
        </row>
        <row r="1743">
          <cell r="A1743">
            <v>34213</v>
          </cell>
          <cell r="B1743">
            <v>1280.6500000000001</v>
          </cell>
          <cell r="C1743">
            <v>1307.58</v>
          </cell>
          <cell r="D1743">
            <v>124.9</v>
          </cell>
          <cell r="E1743">
            <v>127.8</v>
          </cell>
          <cell r="F1743">
            <v>128.94999999999999</v>
          </cell>
          <cell r="G1743">
            <v>122.27</v>
          </cell>
          <cell r="H1743">
            <v>1167.3399999999999</v>
          </cell>
          <cell r="I1743">
            <v>111.69</v>
          </cell>
        </row>
        <row r="1744">
          <cell r="A1744">
            <v>34214</v>
          </cell>
          <cell r="B1744">
            <v>1277.5999999999999</v>
          </cell>
          <cell r="C1744">
            <v>1307.92</v>
          </cell>
          <cell r="D1744">
            <v>124.39</v>
          </cell>
          <cell r="E1744">
            <v>127.69</v>
          </cell>
          <cell r="F1744">
            <v>128.99</v>
          </cell>
          <cell r="G1744">
            <v>121.41</v>
          </cell>
          <cell r="H1744">
            <v>1172.9000000000001</v>
          </cell>
          <cell r="I1744">
            <v>112.3</v>
          </cell>
        </row>
        <row r="1745">
          <cell r="A1745">
            <v>34215</v>
          </cell>
          <cell r="B1745">
            <v>1276.32</v>
          </cell>
          <cell r="C1745">
            <v>1307.6099999999999</v>
          </cell>
          <cell r="D1745">
            <v>124.6</v>
          </cell>
          <cell r="E1745">
            <v>127.75</v>
          </cell>
          <cell r="F1745">
            <v>129.16</v>
          </cell>
          <cell r="G1745">
            <v>121.75</v>
          </cell>
          <cell r="H1745">
            <v>1188.5999999999999</v>
          </cell>
          <cell r="I1745">
            <v>113.73</v>
          </cell>
        </row>
        <row r="1746">
          <cell r="A1746">
            <v>34218</v>
          </cell>
          <cell r="B1746">
            <v>1265.73</v>
          </cell>
          <cell r="C1746">
            <v>1297.08</v>
          </cell>
          <cell r="D1746">
            <v>123.52</v>
          </cell>
          <cell r="E1746">
            <v>126.7</v>
          </cell>
          <cell r="F1746">
            <v>127.97</v>
          </cell>
          <cell r="G1746">
            <v>120.64</v>
          </cell>
          <cell r="H1746">
            <v>1190.25</v>
          </cell>
          <cell r="I1746">
            <v>113.79</v>
          </cell>
        </row>
        <row r="1747">
          <cell r="A1747">
            <v>34219</v>
          </cell>
          <cell r="B1747">
            <v>1261.03</v>
          </cell>
          <cell r="C1747">
            <v>1287.05</v>
          </cell>
          <cell r="D1747">
            <v>123.16</v>
          </cell>
          <cell r="E1747">
            <v>125.78</v>
          </cell>
          <cell r="F1747">
            <v>127.23</v>
          </cell>
          <cell r="G1747">
            <v>120.77</v>
          </cell>
          <cell r="H1747">
            <v>1184.72</v>
          </cell>
          <cell r="I1747">
            <v>113.47</v>
          </cell>
        </row>
        <row r="1748">
          <cell r="A1748">
            <v>34220</v>
          </cell>
          <cell r="B1748">
            <v>1257.21</v>
          </cell>
          <cell r="C1748">
            <v>1278.79</v>
          </cell>
          <cell r="D1748">
            <v>122.78</v>
          </cell>
          <cell r="E1748">
            <v>124.97</v>
          </cell>
          <cell r="F1748">
            <v>126.5</v>
          </cell>
          <cell r="G1748">
            <v>120.76</v>
          </cell>
          <cell r="H1748">
            <v>1174.45</v>
          </cell>
          <cell r="I1748">
            <v>112.47</v>
          </cell>
        </row>
        <row r="1749">
          <cell r="A1749">
            <v>34221</v>
          </cell>
          <cell r="B1749">
            <v>1254.5899999999999</v>
          </cell>
          <cell r="C1749">
            <v>1276.8499999999999</v>
          </cell>
          <cell r="D1749">
            <v>122.54</v>
          </cell>
          <cell r="E1749">
            <v>124.79</v>
          </cell>
          <cell r="F1749">
            <v>126.29</v>
          </cell>
          <cell r="G1749">
            <v>120.48</v>
          </cell>
          <cell r="H1749">
            <v>1179.24</v>
          </cell>
          <cell r="I1749">
            <v>112.81</v>
          </cell>
        </row>
        <row r="1750">
          <cell r="A1750">
            <v>34222</v>
          </cell>
          <cell r="B1750">
            <v>1251.23</v>
          </cell>
          <cell r="C1750">
            <v>1271.75</v>
          </cell>
          <cell r="D1750">
            <v>122.42</v>
          </cell>
          <cell r="E1750">
            <v>124.7</v>
          </cell>
          <cell r="F1750">
            <v>126.1</v>
          </cell>
          <cell r="G1750">
            <v>120.33</v>
          </cell>
          <cell r="H1750">
            <v>1176.3699999999999</v>
          </cell>
          <cell r="I1750">
            <v>112.74</v>
          </cell>
        </row>
        <row r="1751">
          <cell r="A1751">
            <v>34225</v>
          </cell>
          <cell r="B1751">
            <v>1247.3699999999999</v>
          </cell>
          <cell r="C1751">
            <v>1270.08</v>
          </cell>
          <cell r="D1751">
            <v>121.95</v>
          </cell>
          <cell r="E1751">
            <v>124.54</v>
          </cell>
          <cell r="F1751">
            <v>125.95</v>
          </cell>
          <cell r="G1751">
            <v>119.58</v>
          </cell>
          <cell r="H1751">
            <v>1186.53</v>
          </cell>
          <cell r="I1751">
            <v>113.54</v>
          </cell>
        </row>
        <row r="1752">
          <cell r="A1752">
            <v>34226</v>
          </cell>
          <cell r="B1752">
            <v>1254.18</v>
          </cell>
          <cell r="C1752">
            <v>1277.9000000000001</v>
          </cell>
          <cell r="D1752">
            <v>122.52</v>
          </cell>
          <cell r="E1752">
            <v>125.38</v>
          </cell>
          <cell r="F1752">
            <v>126.72</v>
          </cell>
          <cell r="G1752">
            <v>119.92</v>
          </cell>
          <cell r="H1752">
            <v>1181.68</v>
          </cell>
          <cell r="I1752">
            <v>113.03</v>
          </cell>
        </row>
        <row r="1753">
          <cell r="A1753">
            <v>34227</v>
          </cell>
          <cell r="B1753">
            <v>1235.72</v>
          </cell>
          <cell r="C1753">
            <v>1261.46</v>
          </cell>
          <cell r="D1753">
            <v>120.87</v>
          </cell>
          <cell r="E1753">
            <v>123.87</v>
          </cell>
          <cell r="F1753">
            <v>125.25</v>
          </cell>
          <cell r="G1753">
            <v>118.15</v>
          </cell>
          <cell r="H1753">
            <v>1164.26</v>
          </cell>
          <cell r="I1753">
            <v>111.6</v>
          </cell>
        </row>
        <row r="1754">
          <cell r="A1754">
            <v>34228</v>
          </cell>
          <cell r="B1754">
            <v>1234.49</v>
          </cell>
          <cell r="C1754">
            <v>1256.55</v>
          </cell>
          <cell r="D1754">
            <v>120.47</v>
          </cell>
          <cell r="E1754">
            <v>123.24</v>
          </cell>
          <cell r="F1754">
            <v>124.76</v>
          </cell>
          <cell r="G1754">
            <v>117.96</v>
          </cell>
          <cell r="H1754">
            <v>1159.3599999999999</v>
          </cell>
          <cell r="I1754">
            <v>111.14</v>
          </cell>
        </row>
        <row r="1755">
          <cell r="A1755">
            <v>34229</v>
          </cell>
          <cell r="B1755">
            <v>1245.1500000000001</v>
          </cell>
          <cell r="C1755">
            <v>1267.02</v>
          </cell>
          <cell r="D1755">
            <v>121.35</v>
          </cell>
          <cell r="E1755">
            <v>124.1</v>
          </cell>
          <cell r="F1755">
            <v>125.66</v>
          </cell>
          <cell r="G1755">
            <v>118.85</v>
          </cell>
          <cell r="H1755">
            <v>1170.58</v>
          </cell>
          <cell r="I1755">
            <v>111.95</v>
          </cell>
        </row>
        <row r="1756">
          <cell r="A1756">
            <v>34232</v>
          </cell>
          <cell r="B1756">
            <v>1254.0899999999999</v>
          </cell>
          <cell r="C1756">
            <v>1279.08</v>
          </cell>
          <cell r="D1756">
            <v>121.84</v>
          </cell>
          <cell r="E1756">
            <v>124.97</v>
          </cell>
          <cell r="F1756">
            <v>126.47</v>
          </cell>
          <cell r="G1756">
            <v>119.01</v>
          </cell>
          <cell r="H1756">
            <v>1151.3800000000001</v>
          </cell>
          <cell r="I1756">
            <v>110.48</v>
          </cell>
        </row>
        <row r="1757">
          <cell r="A1757">
            <v>34233</v>
          </cell>
          <cell r="B1757">
            <v>1250.5</v>
          </cell>
          <cell r="C1757">
            <v>1275.8399999999999</v>
          </cell>
          <cell r="D1757">
            <v>121.49</v>
          </cell>
          <cell r="E1757">
            <v>124.62</v>
          </cell>
          <cell r="F1757">
            <v>125.95</v>
          </cell>
          <cell r="G1757">
            <v>118.66</v>
          </cell>
          <cell r="H1757">
            <v>1129.25</v>
          </cell>
          <cell r="I1757">
            <v>108.61</v>
          </cell>
        </row>
        <row r="1758">
          <cell r="A1758">
            <v>34234</v>
          </cell>
          <cell r="B1758">
            <v>1247.33</v>
          </cell>
          <cell r="C1758">
            <v>1266.05</v>
          </cell>
          <cell r="D1758">
            <v>121.13</v>
          </cell>
          <cell r="E1758">
            <v>123.63</v>
          </cell>
          <cell r="F1758">
            <v>125.23</v>
          </cell>
          <cell r="G1758">
            <v>118.84</v>
          </cell>
          <cell r="H1758">
            <v>1146.48</v>
          </cell>
          <cell r="I1758">
            <v>109.98</v>
          </cell>
        </row>
        <row r="1759">
          <cell r="A1759">
            <v>34235</v>
          </cell>
          <cell r="B1759">
            <v>1249.03</v>
          </cell>
          <cell r="C1759">
            <v>1267.75</v>
          </cell>
          <cell r="D1759">
            <v>121.21</v>
          </cell>
          <cell r="E1759">
            <v>123.79</v>
          </cell>
          <cell r="F1759">
            <v>125.68</v>
          </cell>
          <cell r="G1759">
            <v>118.87</v>
          </cell>
          <cell r="H1759">
            <v>1172.26</v>
          </cell>
          <cell r="I1759">
            <v>112.49</v>
          </cell>
        </row>
        <row r="1760">
          <cell r="A1760">
            <v>34236</v>
          </cell>
          <cell r="B1760">
            <v>1248.08</v>
          </cell>
          <cell r="C1760">
            <v>1263.3800000000001</v>
          </cell>
          <cell r="D1760">
            <v>121.06</v>
          </cell>
          <cell r="E1760">
            <v>123.41</v>
          </cell>
          <cell r="F1760">
            <v>125.44</v>
          </cell>
          <cell r="G1760">
            <v>118.91</v>
          </cell>
          <cell r="H1760">
            <v>1167.58</v>
          </cell>
          <cell r="I1760">
            <v>112.23</v>
          </cell>
        </row>
        <row r="1761">
          <cell r="A1761">
            <v>34239</v>
          </cell>
          <cell r="B1761">
            <v>1262.7</v>
          </cell>
          <cell r="C1761">
            <v>1281.6099999999999</v>
          </cell>
          <cell r="D1761">
            <v>122.28</v>
          </cell>
          <cell r="E1761">
            <v>124.96</v>
          </cell>
          <cell r="F1761">
            <v>126.99</v>
          </cell>
          <cell r="G1761">
            <v>119.84</v>
          </cell>
          <cell r="H1761">
            <v>1179.8800000000001</v>
          </cell>
          <cell r="I1761">
            <v>113.4</v>
          </cell>
        </row>
        <row r="1762">
          <cell r="A1762">
            <v>34240</v>
          </cell>
          <cell r="B1762">
            <v>1261.71</v>
          </cell>
          <cell r="C1762">
            <v>1283.6199999999999</v>
          </cell>
          <cell r="D1762">
            <v>122.23</v>
          </cell>
          <cell r="E1762">
            <v>125.31</v>
          </cell>
          <cell r="F1762">
            <v>127.24</v>
          </cell>
          <cell r="G1762">
            <v>119.43</v>
          </cell>
          <cell r="H1762">
            <v>1175.3399999999999</v>
          </cell>
          <cell r="I1762">
            <v>112.97</v>
          </cell>
        </row>
        <row r="1763">
          <cell r="A1763">
            <v>34241</v>
          </cell>
          <cell r="B1763">
            <v>1258.1300000000001</v>
          </cell>
          <cell r="C1763">
            <v>1279.8499999999999</v>
          </cell>
          <cell r="D1763">
            <v>121.88</v>
          </cell>
          <cell r="E1763">
            <v>124.99</v>
          </cell>
          <cell r="F1763">
            <v>126.95</v>
          </cell>
          <cell r="G1763">
            <v>119.06</v>
          </cell>
          <cell r="H1763">
            <v>1165.83</v>
          </cell>
          <cell r="I1763">
            <v>112.36</v>
          </cell>
        </row>
        <row r="1764">
          <cell r="A1764">
            <v>34242</v>
          </cell>
          <cell r="B1764">
            <v>1264.45</v>
          </cell>
          <cell r="C1764">
            <v>1285.92</v>
          </cell>
          <cell r="D1764">
            <v>122.29</v>
          </cell>
          <cell r="E1764">
            <v>125.39</v>
          </cell>
          <cell r="F1764">
            <v>127.34</v>
          </cell>
          <cell r="G1764">
            <v>119.48</v>
          </cell>
          <cell r="H1764">
            <v>1179.3800000000001</v>
          </cell>
          <cell r="I1764">
            <v>113.32</v>
          </cell>
        </row>
        <row r="1765">
          <cell r="A1765">
            <v>34243</v>
          </cell>
          <cell r="B1765">
            <v>1267.49</v>
          </cell>
          <cell r="C1765">
            <v>1287.49</v>
          </cell>
          <cell r="D1765">
            <v>122.65</v>
          </cell>
          <cell r="E1765">
            <v>125.54</v>
          </cell>
          <cell r="F1765">
            <v>127.53</v>
          </cell>
          <cell r="G1765">
            <v>120.02</v>
          </cell>
          <cell r="H1765">
            <v>1184.17</v>
          </cell>
          <cell r="I1765">
            <v>113.6</v>
          </cell>
        </row>
        <row r="1766">
          <cell r="A1766">
            <v>34246</v>
          </cell>
          <cell r="B1766">
            <v>1275.1199999999999</v>
          </cell>
          <cell r="C1766">
            <v>1293.23</v>
          </cell>
          <cell r="D1766">
            <v>123.28</v>
          </cell>
          <cell r="E1766">
            <v>125.89</v>
          </cell>
          <cell r="F1766">
            <v>127.82</v>
          </cell>
          <cell r="G1766">
            <v>120.9</v>
          </cell>
          <cell r="H1766">
            <v>1183.92</v>
          </cell>
          <cell r="I1766">
            <v>113.5</v>
          </cell>
        </row>
        <row r="1767">
          <cell r="A1767">
            <v>34247</v>
          </cell>
          <cell r="B1767">
            <v>1289.73</v>
          </cell>
          <cell r="C1767">
            <v>1313.89</v>
          </cell>
          <cell r="D1767">
            <v>124.67</v>
          </cell>
          <cell r="E1767">
            <v>127.66</v>
          </cell>
          <cell r="F1767">
            <v>129.56</v>
          </cell>
          <cell r="G1767">
            <v>121.96</v>
          </cell>
          <cell r="H1767">
            <v>1203.06</v>
          </cell>
          <cell r="I1767">
            <v>115.16</v>
          </cell>
        </row>
        <row r="1768">
          <cell r="A1768">
            <v>34248</v>
          </cell>
          <cell r="B1768">
            <v>1300.03</v>
          </cell>
          <cell r="C1768">
            <v>1322.78</v>
          </cell>
          <cell r="D1768">
            <v>125.67</v>
          </cell>
          <cell r="E1768">
            <v>128.47</v>
          </cell>
          <cell r="F1768">
            <v>130.37</v>
          </cell>
          <cell r="G1768">
            <v>123.12</v>
          </cell>
          <cell r="H1768">
            <v>1214.01</v>
          </cell>
          <cell r="I1768">
            <v>116.15</v>
          </cell>
        </row>
        <row r="1769">
          <cell r="A1769">
            <v>34249</v>
          </cell>
          <cell r="B1769">
            <v>1297.93</v>
          </cell>
          <cell r="C1769">
            <v>1321.29</v>
          </cell>
          <cell r="D1769">
            <v>125.59</v>
          </cell>
          <cell r="E1769">
            <v>128.38</v>
          </cell>
          <cell r="F1769">
            <v>130.41</v>
          </cell>
          <cell r="G1769">
            <v>123.05</v>
          </cell>
          <cell r="H1769">
            <v>1227.18</v>
          </cell>
          <cell r="I1769">
            <v>117.45</v>
          </cell>
        </row>
        <row r="1770">
          <cell r="A1770">
            <v>34250</v>
          </cell>
          <cell r="B1770">
            <v>1314.17</v>
          </cell>
          <cell r="C1770">
            <v>1336.44</v>
          </cell>
          <cell r="D1770">
            <v>127.02</v>
          </cell>
          <cell r="E1770">
            <v>129.76</v>
          </cell>
          <cell r="F1770">
            <v>131.9</v>
          </cell>
          <cell r="G1770">
            <v>124.52</v>
          </cell>
          <cell r="H1770">
            <v>1244.8399999999999</v>
          </cell>
          <cell r="I1770">
            <v>119.05</v>
          </cell>
        </row>
        <row r="1771">
          <cell r="A1771">
            <v>34253</v>
          </cell>
          <cell r="B1771">
            <v>1297.3399999999999</v>
          </cell>
          <cell r="C1771">
            <v>1320.14</v>
          </cell>
          <cell r="D1771">
            <v>125.46</v>
          </cell>
          <cell r="E1771">
            <v>128.19</v>
          </cell>
          <cell r="F1771">
            <v>130.44999999999999</v>
          </cell>
          <cell r="G1771">
            <v>122.97</v>
          </cell>
          <cell r="H1771">
            <v>1237.22</v>
          </cell>
          <cell r="I1771">
            <v>118.25</v>
          </cell>
        </row>
        <row r="1772">
          <cell r="A1772">
            <v>34254</v>
          </cell>
          <cell r="B1772">
            <v>1292.29</v>
          </cell>
          <cell r="C1772">
            <v>1315.69</v>
          </cell>
          <cell r="D1772">
            <v>124.85</v>
          </cell>
          <cell r="E1772">
            <v>127.65</v>
          </cell>
          <cell r="F1772">
            <v>130.12</v>
          </cell>
          <cell r="G1772">
            <v>122.3</v>
          </cell>
          <cell r="H1772">
            <v>1243.44</v>
          </cell>
          <cell r="I1772">
            <v>118.68</v>
          </cell>
        </row>
        <row r="1773">
          <cell r="A1773">
            <v>34255</v>
          </cell>
          <cell r="B1773">
            <v>1292.46</v>
          </cell>
          <cell r="C1773">
            <v>1314.41</v>
          </cell>
          <cell r="D1773">
            <v>124.71</v>
          </cell>
          <cell r="E1773">
            <v>127.5</v>
          </cell>
          <cell r="F1773">
            <v>130.29</v>
          </cell>
          <cell r="G1773">
            <v>122.16</v>
          </cell>
          <cell r="H1773">
            <v>1256.6400000000001</v>
          </cell>
          <cell r="I1773">
            <v>119.9</v>
          </cell>
        </row>
        <row r="1774">
          <cell r="A1774">
            <v>34256</v>
          </cell>
          <cell r="B1774">
            <v>1295.99</v>
          </cell>
          <cell r="C1774">
            <v>1313.68</v>
          </cell>
          <cell r="D1774">
            <v>124.77</v>
          </cell>
          <cell r="E1774">
            <v>127.34</v>
          </cell>
          <cell r="F1774">
            <v>130.15</v>
          </cell>
          <cell r="G1774">
            <v>122.42</v>
          </cell>
          <cell r="H1774">
            <v>1256.83</v>
          </cell>
          <cell r="I1774">
            <v>119.95</v>
          </cell>
        </row>
        <row r="1775">
          <cell r="A1775">
            <v>34257</v>
          </cell>
          <cell r="B1775">
            <v>1309.1400000000001</v>
          </cell>
          <cell r="C1775">
            <v>1326.15</v>
          </cell>
          <cell r="D1775">
            <v>125.74</v>
          </cell>
          <cell r="E1775">
            <v>128.31</v>
          </cell>
          <cell r="F1775">
            <v>131.18</v>
          </cell>
          <cell r="G1775">
            <v>123.4</v>
          </cell>
          <cell r="H1775">
            <v>1278.04</v>
          </cell>
          <cell r="I1775">
            <v>121.75</v>
          </cell>
        </row>
        <row r="1776">
          <cell r="A1776">
            <v>34260</v>
          </cell>
          <cell r="B1776">
            <v>1319.38</v>
          </cell>
          <cell r="C1776">
            <v>1339.69</v>
          </cell>
          <cell r="D1776">
            <v>126.56</v>
          </cell>
          <cell r="E1776">
            <v>129.44</v>
          </cell>
          <cell r="F1776">
            <v>132.53</v>
          </cell>
          <cell r="G1776">
            <v>123.95</v>
          </cell>
          <cell r="H1776">
            <v>1298.1199999999999</v>
          </cell>
          <cell r="I1776">
            <v>123.68</v>
          </cell>
        </row>
        <row r="1777">
          <cell r="A1777">
            <v>34261</v>
          </cell>
          <cell r="B1777">
            <v>1317.29</v>
          </cell>
          <cell r="C1777">
            <v>1335.07</v>
          </cell>
          <cell r="D1777">
            <v>126.43</v>
          </cell>
          <cell r="E1777">
            <v>129.16</v>
          </cell>
          <cell r="F1777">
            <v>132.28</v>
          </cell>
          <cell r="G1777">
            <v>123.95</v>
          </cell>
          <cell r="H1777">
            <v>1298.44</v>
          </cell>
          <cell r="I1777">
            <v>123.74</v>
          </cell>
        </row>
        <row r="1778">
          <cell r="A1778">
            <v>34262</v>
          </cell>
          <cell r="B1778">
            <v>1326.9</v>
          </cell>
          <cell r="C1778">
            <v>1342.11</v>
          </cell>
          <cell r="D1778">
            <v>127.2</v>
          </cell>
          <cell r="E1778">
            <v>129.76</v>
          </cell>
          <cell r="F1778">
            <v>132.72999999999999</v>
          </cell>
          <cell r="G1778">
            <v>124.86</v>
          </cell>
          <cell r="H1778">
            <v>1295.1400000000001</v>
          </cell>
          <cell r="I1778">
            <v>123.4</v>
          </cell>
        </row>
        <row r="1779">
          <cell r="A1779">
            <v>34263</v>
          </cell>
          <cell r="B1779">
            <v>1340.18</v>
          </cell>
          <cell r="C1779">
            <v>1351.2</v>
          </cell>
          <cell r="D1779">
            <v>128.47999999999999</v>
          </cell>
          <cell r="E1779">
            <v>130.69999999999999</v>
          </cell>
          <cell r="F1779">
            <v>133.76</v>
          </cell>
          <cell r="G1779">
            <v>126.44</v>
          </cell>
          <cell r="H1779">
            <v>1311.73</v>
          </cell>
          <cell r="I1779">
            <v>124.96</v>
          </cell>
        </row>
        <row r="1780">
          <cell r="A1780">
            <v>34264</v>
          </cell>
          <cell r="B1780">
            <v>1346.61</v>
          </cell>
          <cell r="C1780">
            <v>1366.84</v>
          </cell>
          <cell r="D1780">
            <v>128.97</v>
          </cell>
          <cell r="E1780">
            <v>132.02000000000001</v>
          </cell>
          <cell r="F1780">
            <v>134.79</v>
          </cell>
          <cell r="G1780">
            <v>126.2</v>
          </cell>
          <cell r="H1780">
            <v>1313.06</v>
          </cell>
          <cell r="I1780">
            <v>125.23</v>
          </cell>
        </row>
        <row r="1781">
          <cell r="A1781">
            <v>34267</v>
          </cell>
          <cell r="B1781">
            <v>1349.4</v>
          </cell>
          <cell r="C1781">
            <v>1369.39</v>
          </cell>
          <cell r="D1781">
            <v>129.36000000000001</v>
          </cell>
          <cell r="E1781">
            <v>132.30000000000001</v>
          </cell>
          <cell r="F1781">
            <v>134.85</v>
          </cell>
          <cell r="G1781">
            <v>126.69</v>
          </cell>
          <cell r="H1781">
            <v>1304.9000000000001</v>
          </cell>
          <cell r="I1781">
            <v>124.51</v>
          </cell>
        </row>
        <row r="1782">
          <cell r="A1782">
            <v>34268</v>
          </cell>
          <cell r="B1782">
            <v>1339.82</v>
          </cell>
          <cell r="C1782">
            <v>1361.37</v>
          </cell>
          <cell r="D1782">
            <v>128.68</v>
          </cell>
          <cell r="E1782">
            <v>131.49</v>
          </cell>
          <cell r="F1782">
            <v>134.36000000000001</v>
          </cell>
          <cell r="G1782">
            <v>126.13</v>
          </cell>
          <cell r="H1782">
            <v>1308.3499999999999</v>
          </cell>
          <cell r="I1782">
            <v>124.9</v>
          </cell>
        </row>
        <row r="1783">
          <cell r="A1783">
            <v>34269</v>
          </cell>
          <cell r="B1783">
            <v>1331.53</v>
          </cell>
          <cell r="C1783">
            <v>1349.74</v>
          </cell>
          <cell r="D1783">
            <v>127.91</v>
          </cell>
          <cell r="E1783">
            <v>130.26</v>
          </cell>
          <cell r="F1783">
            <v>133.27000000000001</v>
          </cell>
          <cell r="G1783">
            <v>125.75</v>
          </cell>
          <cell r="H1783">
            <v>1289.6199999999999</v>
          </cell>
          <cell r="I1783">
            <v>123.31</v>
          </cell>
        </row>
        <row r="1784">
          <cell r="A1784">
            <v>34270</v>
          </cell>
          <cell r="B1784">
            <v>1338.9</v>
          </cell>
          <cell r="C1784">
            <v>1353.7</v>
          </cell>
          <cell r="D1784">
            <v>128.28</v>
          </cell>
          <cell r="E1784">
            <v>130.47999999999999</v>
          </cell>
          <cell r="F1784">
            <v>133.52000000000001</v>
          </cell>
          <cell r="G1784">
            <v>126.27</v>
          </cell>
          <cell r="H1784">
            <v>1303.1600000000001</v>
          </cell>
          <cell r="I1784">
            <v>124.31</v>
          </cell>
        </row>
        <row r="1785">
          <cell r="A1785">
            <v>34271</v>
          </cell>
          <cell r="B1785">
            <v>1344.31</v>
          </cell>
          <cell r="C1785">
            <v>1359.41</v>
          </cell>
          <cell r="D1785">
            <v>128.84</v>
          </cell>
          <cell r="E1785">
            <v>131.22999999999999</v>
          </cell>
          <cell r="F1785">
            <v>134.22999999999999</v>
          </cell>
          <cell r="G1785">
            <v>126.67</v>
          </cell>
          <cell r="H1785">
            <v>1310.87</v>
          </cell>
          <cell r="I1785">
            <v>124.91</v>
          </cell>
        </row>
        <row r="1786">
          <cell r="A1786">
            <v>34274</v>
          </cell>
          <cell r="B1786">
            <v>1347.68</v>
          </cell>
          <cell r="C1786">
            <v>1360.77</v>
          </cell>
          <cell r="D1786">
            <v>129.06</v>
          </cell>
          <cell r="E1786">
            <v>131.31</v>
          </cell>
          <cell r="F1786">
            <v>134.29</v>
          </cell>
          <cell r="G1786">
            <v>126.99</v>
          </cell>
          <cell r="H1786">
            <v>1314.16</v>
          </cell>
          <cell r="I1786">
            <v>124.99</v>
          </cell>
        </row>
        <row r="1787">
          <cell r="A1787">
            <v>34275</v>
          </cell>
          <cell r="B1787">
            <v>1349.35</v>
          </cell>
          <cell r="C1787">
            <v>1367.39</v>
          </cell>
          <cell r="D1787">
            <v>129.33000000000001</v>
          </cell>
          <cell r="E1787">
            <v>131.96</v>
          </cell>
          <cell r="F1787">
            <v>134.96</v>
          </cell>
          <cell r="G1787">
            <v>126.94</v>
          </cell>
          <cell r="H1787">
            <v>1319.4</v>
          </cell>
          <cell r="I1787">
            <v>125.65</v>
          </cell>
        </row>
        <row r="1788">
          <cell r="A1788">
            <v>34276</v>
          </cell>
          <cell r="B1788">
            <v>1347.4</v>
          </cell>
          <cell r="C1788">
            <v>1364.93</v>
          </cell>
          <cell r="D1788">
            <v>129.27000000000001</v>
          </cell>
          <cell r="E1788">
            <v>131.80000000000001</v>
          </cell>
          <cell r="F1788">
            <v>134.94</v>
          </cell>
          <cell r="G1788">
            <v>126.97</v>
          </cell>
          <cell r="H1788">
            <v>1328.64</v>
          </cell>
          <cell r="I1788">
            <v>126.19</v>
          </cell>
        </row>
        <row r="1789">
          <cell r="A1789">
            <v>34277</v>
          </cell>
          <cell r="B1789">
            <v>1336.83</v>
          </cell>
          <cell r="C1789">
            <v>1353.48</v>
          </cell>
          <cell r="D1789">
            <v>128.38</v>
          </cell>
          <cell r="E1789">
            <v>130.6</v>
          </cell>
          <cell r="F1789">
            <v>133.76</v>
          </cell>
          <cell r="G1789">
            <v>126.34</v>
          </cell>
          <cell r="H1789">
            <v>1326.45</v>
          </cell>
          <cell r="I1789">
            <v>126.08</v>
          </cell>
        </row>
        <row r="1790">
          <cell r="A1790">
            <v>34278</v>
          </cell>
          <cell r="B1790">
            <v>1306.1400000000001</v>
          </cell>
          <cell r="C1790">
            <v>1323.35</v>
          </cell>
          <cell r="D1790">
            <v>126.01</v>
          </cell>
          <cell r="E1790">
            <v>127.92</v>
          </cell>
          <cell r="F1790">
            <v>131.24</v>
          </cell>
          <cell r="G1790">
            <v>124.26</v>
          </cell>
          <cell r="H1790">
            <v>1305.7</v>
          </cell>
          <cell r="I1790">
            <v>124.24</v>
          </cell>
        </row>
        <row r="1791">
          <cell r="A1791">
            <v>34281</v>
          </cell>
          <cell r="B1791">
            <v>1305.33</v>
          </cell>
          <cell r="C1791">
            <v>1322.96</v>
          </cell>
          <cell r="D1791">
            <v>125.73</v>
          </cell>
          <cell r="E1791">
            <v>127.94</v>
          </cell>
          <cell r="F1791">
            <v>131.38999999999999</v>
          </cell>
          <cell r="G1791">
            <v>123.72</v>
          </cell>
          <cell r="H1791">
            <v>1294.8800000000001</v>
          </cell>
          <cell r="I1791">
            <v>123.06</v>
          </cell>
        </row>
        <row r="1792">
          <cell r="A1792">
            <v>34282</v>
          </cell>
          <cell r="B1792">
            <v>1314.29</v>
          </cell>
          <cell r="C1792">
            <v>1329.71</v>
          </cell>
          <cell r="D1792">
            <v>126.26</v>
          </cell>
          <cell r="E1792">
            <v>128.47</v>
          </cell>
          <cell r="F1792">
            <v>132.13</v>
          </cell>
          <cell r="G1792">
            <v>124.24</v>
          </cell>
          <cell r="H1792">
            <v>1295.75</v>
          </cell>
          <cell r="I1792">
            <v>123.05</v>
          </cell>
        </row>
        <row r="1793">
          <cell r="A1793">
            <v>34283</v>
          </cell>
          <cell r="B1793">
            <v>1311.07</v>
          </cell>
          <cell r="C1793">
            <v>1320.77</v>
          </cell>
          <cell r="D1793">
            <v>125.95</v>
          </cell>
          <cell r="E1793">
            <v>127.56</v>
          </cell>
          <cell r="F1793">
            <v>131.28</v>
          </cell>
          <cell r="G1793">
            <v>124.47</v>
          </cell>
          <cell r="H1793">
            <v>1278.45</v>
          </cell>
          <cell r="I1793">
            <v>121.62</v>
          </cell>
        </row>
        <row r="1794">
          <cell r="A1794">
            <v>34284</v>
          </cell>
          <cell r="B1794">
            <v>1310.44</v>
          </cell>
          <cell r="C1794">
            <v>1318.93</v>
          </cell>
          <cell r="D1794">
            <v>125.94</v>
          </cell>
          <cell r="E1794">
            <v>127.58</v>
          </cell>
          <cell r="F1794">
            <v>131.25</v>
          </cell>
          <cell r="G1794">
            <v>124.43</v>
          </cell>
          <cell r="H1794">
            <v>1287.51</v>
          </cell>
          <cell r="I1794">
            <v>122.41</v>
          </cell>
        </row>
        <row r="1795">
          <cell r="A1795">
            <v>34285</v>
          </cell>
          <cell r="B1795">
            <v>1313.66</v>
          </cell>
          <cell r="C1795">
            <v>1316.41</v>
          </cell>
          <cell r="D1795">
            <v>126.1</v>
          </cell>
          <cell r="E1795">
            <v>127.38</v>
          </cell>
          <cell r="F1795">
            <v>131.15</v>
          </cell>
          <cell r="G1795">
            <v>124.9</v>
          </cell>
          <cell r="H1795">
            <v>1292.5899999999999</v>
          </cell>
          <cell r="I1795">
            <v>122.73</v>
          </cell>
        </row>
        <row r="1796">
          <cell r="A1796">
            <v>34288</v>
          </cell>
          <cell r="B1796">
            <v>1321.27</v>
          </cell>
          <cell r="C1796">
            <v>1329.77</v>
          </cell>
          <cell r="D1796">
            <v>126.57</v>
          </cell>
          <cell r="E1796">
            <v>128.36000000000001</v>
          </cell>
          <cell r="F1796">
            <v>131.91999999999999</v>
          </cell>
          <cell r="G1796">
            <v>124.92</v>
          </cell>
          <cell r="H1796">
            <v>1289.5999999999999</v>
          </cell>
          <cell r="I1796">
            <v>122.35</v>
          </cell>
        </row>
        <row r="1797">
          <cell r="A1797">
            <v>34289</v>
          </cell>
          <cell r="B1797">
            <v>1320.79</v>
          </cell>
          <cell r="C1797">
            <v>1330.29</v>
          </cell>
          <cell r="D1797">
            <v>126.62</v>
          </cell>
          <cell r="E1797">
            <v>128.5</v>
          </cell>
          <cell r="F1797">
            <v>131.91999999999999</v>
          </cell>
          <cell r="G1797">
            <v>124.89</v>
          </cell>
          <cell r="H1797">
            <v>1283.1500000000001</v>
          </cell>
          <cell r="I1797">
            <v>121.97</v>
          </cell>
        </row>
        <row r="1798">
          <cell r="A1798">
            <v>34290</v>
          </cell>
          <cell r="B1798">
            <v>1327.52</v>
          </cell>
          <cell r="C1798">
            <v>1336.67</v>
          </cell>
          <cell r="D1798">
            <v>127.3</v>
          </cell>
          <cell r="E1798">
            <v>129.24</v>
          </cell>
          <cell r="F1798">
            <v>132.66</v>
          </cell>
          <cell r="G1798">
            <v>125.52</v>
          </cell>
          <cell r="H1798">
            <v>1297.3499999999999</v>
          </cell>
          <cell r="I1798">
            <v>123.29</v>
          </cell>
        </row>
        <row r="1799">
          <cell r="A1799">
            <v>34291</v>
          </cell>
          <cell r="B1799">
            <v>1334.03</v>
          </cell>
          <cell r="C1799">
            <v>1345.02</v>
          </cell>
          <cell r="D1799">
            <v>127.92</v>
          </cell>
          <cell r="E1799">
            <v>130.01</v>
          </cell>
          <cell r="F1799">
            <v>133.33000000000001</v>
          </cell>
          <cell r="G1799">
            <v>126.01</v>
          </cell>
          <cell r="H1799">
            <v>1295.5</v>
          </cell>
          <cell r="I1799">
            <v>123.2</v>
          </cell>
        </row>
        <row r="1800">
          <cell r="A1800">
            <v>34292</v>
          </cell>
          <cell r="B1800">
            <v>1326.82</v>
          </cell>
          <cell r="C1800">
            <v>1340.76</v>
          </cell>
          <cell r="D1800">
            <v>127.41</v>
          </cell>
          <cell r="E1800">
            <v>129.59</v>
          </cell>
          <cell r="F1800">
            <v>132.82</v>
          </cell>
          <cell r="G1800">
            <v>125.41</v>
          </cell>
          <cell r="H1800">
            <v>1263.51</v>
          </cell>
          <cell r="I1800">
            <v>120.5</v>
          </cell>
        </row>
        <row r="1801">
          <cell r="A1801">
            <v>34295</v>
          </cell>
          <cell r="B1801">
            <v>1300.6500000000001</v>
          </cell>
          <cell r="C1801">
            <v>1310.32</v>
          </cell>
          <cell r="D1801">
            <v>125.17</v>
          </cell>
          <cell r="E1801">
            <v>126.81</v>
          </cell>
          <cell r="F1801">
            <v>130.22999999999999</v>
          </cell>
          <cell r="G1801">
            <v>123.66</v>
          </cell>
          <cell r="H1801">
            <v>1239.52</v>
          </cell>
          <cell r="I1801">
            <v>118.33</v>
          </cell>
        </row>
        <row r="1802">
          <cell r="A1802">
            <v>34296</v>
          </cell>
          <cell r="B1802">
            <v>1298.98</v>
          </cell>
          <cell r="C1802">
            <v>1303.98</v>
          </cell>
          <cell r="D1802">
            <v>125.05</v>
          </cell>
          <cell r="E1802">
            <v>126.07</v>
          </cell>
          <cell r="F1802">
            <v>129.56</v>
          </cell>
          <cell r="G1802">
            <v>124.09</v>
          </cell>
          <cell r="H1802">
            <v>1222.6099999999999</v>
          </cell>
          <cell r="I1802">
            <v>116.6</v>
          </cell>
        </row>
        <row r="1803">
          <cell r="A1803">
            <v>34297</v>
          </cell>
          <cell r="B1803">
            <v>1300.52</v>
          </cell>
          <cell r="C1803">
            <v>1304.92</v>
          </cell>
          <cell r="D1803">
            <v>125.13</v>
          </cell>
          <cell r="E1803">
            <v>126.2</v>
          </cell>
          <cell r="F1803">
            <v>129.66999999999999</v>
          </cell>
          <cell r="G1803">
            <v>124.13</v>
          </cell>
          <cell r="H1803">
            <v>1217.46</v>
          </cell>
          <cell r="I1803">
            <v>116.15</v>
          </cell>
        </row>
        <row r="1804">
          <cell r="A1804">
            <v>34298</v>
          </cell>
          <cell r="B1804">
            <v>1313.7</v>
          </cell>
          <cell r="C1804">
            <v>1319.41</v>
          </cell>
          <cell r="D1804">
            <v>126.19</v>
          </cell>
          <cell r="E1804">
            <v>127.51</v>
          </cell>
          <cell r="F1804">
            <v>130.71</v>
          </cell>
          <cell r="G1804">
            <v>124.96</v>
          </cell>
          <cell r="H1804">
            <v>1215.73</v>
          </cell>
          <cell r="I1804">
            <v>115.89</v>
          </cell>
        </row>
        <row r="1805">
          <cell r="A1805">
            <v>34299</v>
          </cell>
          <cell r="B1805">
            <v>1318.97</v>
          </cell>
          <cell r="C1805">
            <v>1324.02</v>
          </cell>
          <cell r="D1805">
            <v>126.51</v>
          </cell>
          <cell r="E1805">
            <v>127.8</v>
          </cell>
          <cell r="F1805">
            <v>131.05000000000001</v>
          </cell>
          <cell r="G1805">
            <v>125.31</v>
          </cell>
          <cell r="H1805">
            <v>1213.79</v>
          </cell>
          <cell r="I1805">
            <v>115.71</v>
          </cell>
        </row>
        <row r="1806">
          <cell r="A1806">
            <v>34302</v>
          </cell>
          <cell r="B1806">
            <v>1323.83</v>
          </cell>
          <cell r="C1806">
            <v>1322.54</v>
          </cell>
          <cell r="D1806">
            <v>126.83</v>
          </cell>
          <cell r="E1806">
            <v>127.44</v>
          </cell>
          <cell r="F1806">
            <v>130.61000000000001</v>
          </cell>
          <cell r="G1806">
            <v>126.24</v>
          </cell>
          <cell r="H1806">
            <v>1193.8599999999999</v>
          </cell>
          <cell r="I1806">
            <v>113.72</v>
          </cell>
        </row>
        <row r="1807">
          <cell r="A1807">
            <v>34303</v>
          </cell>
          <cell r="B1807">
            <v>1332.15</v>
          </cell>
          <cell r="C1807">
            <v>1326.28</v>
          </cell>
          <cell r="D1807">
            <v>127.57</v>
          </cell>
          <cell r="E1807">
            <v>127.7</v>
          </cell>
          <cell r="F1807">
            <v>130.97</v>
          </cell>
          <cell r="G1807">
            <v>127.42</v>
          </cell>
          <cell r="H1807">
            <v>1209.4100000000001</v>
          </cell>
          <cell r="I1807">
            <v>115.18</v>
          </cell>
        </row>
        <row r="1808">
          <cell r="A1808">
            <v>34304</v>
          </cell>
          <cell r="B1808">
            <v>1354.12</v>
          </cell>
          <cell r="C1808">
            <v>1347.38</v>
          </cell>
          <cell r="D1808">
            <v>129.65</v>
          </cell>
          <cell r="E1808">
            <v>129.41</v>
          </cell>
          <cell r="F1808">
            <v>132.80000000000001</v>
          </cell>
          <cell r="G1808">
            <v>129.82</v>
          </cell>
          <cell r="H1808">
            <v>1235.26</v>
          </cell>
          <cell r="I1808">
            <v>117.34</v>
          </cell>
        </row>
        <row r="1809">
          <cell r="A1809">
            <v>34305</v>
          </cell>
          <cell r="B1809">
            <v>1360.36</v>
          </cell>
          <cell r="C1809">
            <v>1356.17</v>
          </cell>
          <cell r="D1809">
            <v>130.19</v>
          </cell>
          <cell r="E1809">
            <v>130.13999999999999</v>
          </cell>
          <cell r="F1809">
            <v>133.58000000000001</v>
          </cell>
          <cell r="G1809">
            <v>130.19</v>
          </cell>
          <cell r="H1809">
            <v>1244.52</v>
          </cell>
          <cell r="I1809">
            <v>118.35</v>
          </cell>
        </row>
        <row r="1810">
          <cell r="A1810">
            <v>34306</v>
          </cell>
          <cell r="B1810">
            <v>1366.57</v>
          </cell>
          <cell r="C1810">
            <v>1363.86</v>
          </cell>
          <cell r="D1810">
            <v>130.87</v>
          </cell>
          <cell r="E1810">
            <v>130.94999999999999</v>
          </cell>
          <cell r="F1810">
            <v>134.38999999999999</v>
          </cell>
          <cell r="G1810">
            <v>130.74</v>
          </cell>
          <cell r="H1810">
            <v>1238.51</v>
          </cell>
          <cell r="I1810">
            <v>117.92</v>
          </cell>
        </row>
        <row r="1811">
          <cell r="A1811">
            <v>34309</v>
          </cell>
          <cell r="B1811">
            <v>1367.92</v>
          </cell>
          <cell r="C1811">
            <v>1368.98</v>
          </cell>
          <cell r="D1811">
            <v>131.05000000000001</v>
          </cell>
          <cell r="E1811">
            <v>131.47999999999999</v>
          </cell>
          <cell r="F1811">
            <v>135.06</v>
          </cell>
          <cell r="G1811">
            <v>130.61000000000001</v>
          </cell>
          <cell r="H1811">
            <v>1239.1600000000001</v>
          </cell>
          <cell r="I1811">
            <v>118.01</v>
          </cell>
        </row>
        <row r="1812">
          <cell r="A1812">
            <v>34310</v>
          </cell>
          <cell r="B1812">
            <v>1367.66</v>
          </cell>
          <cell r="C1812">
            <v>1371.06</v>
          </cell>
          <cell r="D1812">
            <v>130.97999999999999</v>
          </cell>
          <cell r="E1812">
            <v>131.74</v>
          </cell>
          <cell r="F1812">
            <v>135.44999999999999</v>
          </cell>
          <cell r="G1812">
            <v>130.25</v>
          </cell>
          <cell r="H1812">
            <v>1257.3800000000001</v>
          </cell>
          <cell r="I1812">
            <v>119.41</v>
          </cell>
        </row>
        <row r="1813">
          <cell r="A1813">
            <v>34311</v>
          </cell>
          <cell r="B1813">
            <v>1379</v>
          </cell>
          <cell r="C1813">
            <v>1385.54</v>
          </cell>
          <cell r="D1813">
            <v>132.13999999999999</v>
          </cell>
          <cell r="E1813">
            <v>132.91</v>
          </cell>
          <cell r="F1813">
            <v>136.34</v>
          </cell>
          <cell r="G1813">
            <v>131.38999999999999</v>
          </cell>
          <cell r="H1813">
            <v>1259.54</v>
          </cell>
          <cell r="I1813">
            <v>119.71</v>
          </cell>
        </row>
        <row r="1814">
          <cell r="A1814">
            <v>34312</v>
          </cell>
          <cell r="B1814">
            <v>1382.82</v>
          </cell>
          <cell r="C1814">
            <v>1395.19</v>
          </cell>
          <cell r="D1814">
            <v>132.63999999999999</v>
          </cell>
          <cell r="E1814">
            <v>133.88</v>
          </cell>
          <cell r="F1814">
            <v>137.29</v>
          </cell>
          <cell r="G1814">
            <v>131.47</v>
          </cell>
          <cell r="H1814">
            <v>1262.6600000000001</v>
          </cell>
          <cell r="I1814">
            <v>120.03</v>
          </cell>
        </row>
        <row r="1815">
          <cell r="A1815">
            <v>34313</v>
          </cell>
          <cell r="B1815">
            <v>1369.38</v>
          </cell>
          <cell r="C1815">
            <v>1385.03</v>
          </cell>
          <cell r="D1815">
            <v>131.81</v>
          </cell>
          <cell r="E1815">
            <v>133.12</v>
          </cell>
          <cell r="F1815">
            <v>136.62</v>
          </cell>
          <cell r="G1815">
            <v>130.59</v>
          </cell>
          <cell r="H1815">
            <v>1247.33</v>
          </cell>
          <cell r="I1815">
            <v>118.49</v>
          </cell>
        </row>
        <row r="1816">
          <cell r="A1816">
            <v>34316</v>
          </cell>
          <cell r="B1816">
            <v>1372.72</v>
          </cell>
          <cell r="C1816">
            <v>1388.06</v>
          </cell>
          <cell r="D1816">
            <v>132.11000000000001</v>
          </cell>
          <cell r="E1816">
            <v>133.52000000000001</v>
          </cell>
          <cell r="F1816">
            <v>136.96</v>
          </cell>
          <cell r="G1816">
            <v>130.80000000000001</v>
          </cell>
          <cell r="H1816">
            <v>1247.6199999999999</v>
          </cell>
          <cell r="I1816">
            <v>118.26</v>
          </cell>
        </row>
        <row r="1817">
          <cell r="A1817">
            <v>34317</v>
          </cell>
          <cell r="B1817">
            <v>1364.65</v>
          </cell>
          <cell r="C1817">
            <v>1371.28</v>
          </cell>
          <cell r="D1817">
            <v>131.52000000000001</v>
          </cell>
          <cell r="E1817">
            <v>132.29</v>
          </cell>
          <cell r="F1817">
            <v>135.96</v>
          </cell>
          <cell r="G1817">
            <v>130.77000000000001</v>
          </cell>
          <cell r="H1817">
            <v>1236.6099999999999</v>
          </cell>
          <cell r="I1817">
            <v>117.16</v>
          </cell>
        </row>
        <row r="1818">
          <cell r="A1818">
            <v>34318</v>
          </cell>
          <cell r="B1818">
            <v>1362.34</v>
          </cell>
          <cell r="C1818">
            <v>1364.39</v>
          </cell>
          <cell r="D1818">
            <v>131.44</v>
          </cell>
          <cell r="E1818">
            <v>131.74</v>
          </cell>
          <cell r="F1818">
            <v>135.47999999999999</v>
          </cell>
          <cell r="G1818">
            <v>131.13</v>
          </cell>
          <cell r="H1818">
            <v>1243.3</v>
          </cell>
          <cell r="I1818">
            <v>117.69</v>
          </cell>
        </row>
        <row r="1819">
          <cell r="A1819">
            <v>34319</v>
          </cell>
          <cell r="B1819">
            <v>1372.57</v>
          </cell>
          <cell r="C1819">
            <v>1374.58</v>
          </cell>
          <cell r="D1819">
            <v>132.49</v>
          </cell>
          <cell r="E1819">
            <v>132.62</v>
          </cell>
          <cell r="F1819">
            <v>136.32</v>
          </cell>
          <cell r="G1819">
            <v>132.31</v>
          </cell>
          <cell r="H1819">
            <v>1243.53</v>
          </cell>
          <cell r="I1819">
            <v>117.91</v>
          </cell>
        </row>
        <row r="1820">
          <cell r="A1820">
            <v>34320</v>
          </cell>
          <cell r="B1820">
            <v>1381.65</v>
          </cell>
          <cell r="C1820">
            <v>1385.53</v>
          </cell>
          <cell r="D1820">
            <v>133.4</v>
          </cell>
          <cell r="E1820">
            <v>133.68</v>
          </cell>
          <cell r="F1820">
            <v>137.27000000000001</v>
          </cell>
          <cell r="G1820">
            <v>133.1</v>
          </cell>
          <cell r="H1820">
            <v>1242.94</v>
          </cell>
          <cell r="I1820">
            <v>118.07</v>
          </cell>
        </row>
        <row r="1821">
          <cell r="A1821">
            <v>34323</v>
          </cell>
          <cell r="B1821">
            <v>1394.55</v>
          </cell>
          <cell r="C1821">
            <v>1398.71</v>
          </cell>
          <cell r="D1821">
            <v>134.4</v>
          </cell>
          <cell r="E1821">
            <v>134.80000000000001</v>
          </cell>
          <cell r="F1821">
            <v>138.4</v>
          </cell>
          <cell r="G1821">
            <v>133.99</v>
          </cell>
          <cell r="H1821">
            <v>1252.6099999999999</v>
          </cell>
          <cell r="I1821">
            <v>118.83</v>
          </cell>
        </row>
        <row r="1822">
          <cell r="A1822">
            <v>34324</v>
          </cell>
          <cell r="B1822">
            <v>1394.59</v>
          </cell>
          <cell r="C1822">
            <v>1402.55</v>
          </cell>
          <cell r="D1822">
            <v>134.65</v>
          </cell>
          <cell r="E1822">
            <v>135.27000000000001</v>
          </cell>
          <cell r="F1822">
            <v>139.04</v>
          </cell>
          <cell r="G1822">
            <v>134.03</v>
          </cell>
          <cell r="H1822">
            <v>1265.54</v>
          </cell>
          <cell r="I1822">
            <v>119.94</v>
          </cell>
        </row>
        <row r="1823">
          <cell r="A1823">
            <v>34325</v>
          </cell>
          <cell r="B1823">
            <v>1403.05</v>
          </cell>
          <cell r="C1823">
            <v>1410.18</v>
          </cell>
          <cell r="D1823">
            <v>135.47999999999999</v>
          </cell>
          <cell r="E1823">
            <v>135.91</v>
          </cell>
          <cell r="F1823">
            <v>139.96</v>
          </cell>
          <cell r="G1823">
            <v>135.04</v>
          </cell>
          <cell r="H1823">
            <v>1282.6600000000001</v>
          </cell>
          <cell r="I1823">
            <v>121.51</v>
          </cell>
        </row>
        <row r="1824">
          <cell r="A1824">
            <v>34326</v>
          </cell>
          <cell r="B1824">
            <v>1416.68</v>
          </cell>
          <cell r="C1824">
            <v>1421.32</v>
          </cell>
          <cell r="D1824">
            <v>136.63</v>
          </cell>
          <cell r="E1824">
            <v>136.97</v>
          </cell>
          <cell r="F1824">
            <v>140.99</v>
          </cell>
          <cell r="G1824">
            <v>136.27000000000001</v>
          </cell>
          <cell r="H1824">
            <v>1290.22</v>
          </cell>
          <cell r="I1824">
            <v>122.23</v>
          </cell>
        </row>
        <row r="1825">
          <cell r="A1825">
            <v>34327</v>
          </cell>
          <cell r="B1825">
            <v>1419.85</v>
          </cell>
          <cell r="C1825">
            <v>1421.46</v>
          </cell>
          <cell r="D1825">
            <v>136.97999999999999</v>
          </cell>
          <cell r="E1825">
            <v>137.07</v>
          </cell>
          <cell r="F1825">
            <v>141.08000000000001</v>
          </cell>
          <cell r="G1825">
            <v>136.84</v>
          </cell>
          <cell r="H1825">
            <v>1291.74</v>
          </cell>
          <cell r="I1825">
            <v>122.38</v>
          </cell>
        </row>
        <row r="1826">
          <cell r="A1826">
            <v>34330</v>
          </cell>
          <cell r="B1826">
            <v>1426.8</v>
          </cell>
          <cell r="C1826">
            <v>1433.22</v>
          </cell>
          <cell r="D1826">
            <v>137.66</v>
          </cell>
          <cell r="E1826">
            <v>138.13999999999999</v>
          </cell>
          <cell r="F1826">
            <v>141.96</v>
          </cell>
          <cell r="G1826">
            <v>137.18</v>
          </cell>
          <cell r="H1826">
            <v>1291.46</v>
          </cell>
          <cell r="I1826">
            <v>122.41</v>
          </cell>
        </row>
        <row r="1827">
          <cell r="A1827">
            <v>34331</v>
          </cell>
          <cell r="B1827">
            <v>1422.04</v>
          </cell>
          <cell r="C1827">
            <v>1425.08</v>
          </cell>
          <cell r="D1827">
            <v>137.38999999999999</v>
          </cell>
          <cell r="E1827">
            <v>137.56</v>
          </cell>
          <cell r="F1827">
            <v>141.41</v>
          </cell>
          <cell r="G1827">
            <v>137.19</v>
          </cell>
          <cell r="H1827">
            <v>1298.33</v>
          </cell>
          <cell r="I1827">
            <v>123.11</v>
          </cell>
        </row>
        <row r="1828">
          <cell r="A1828">
            <v>34332</v>
          </cell>
          <cell r="B1828">
            <v>1425.37</v>
          </cell>
          <cell r="C1828">
            <v>1420.37</v>
          </cell>
          <cell r="D1828">
            <v>137.82</v>
          </cell>
          <cell r="E1828">
            <v>137.37</v>
          </cell>
          <cell r="F1828">
            <v>141.44999999999999</v>
          </cell>
          <cell r="G1828">
            <v>138.16999999999999</v>
          </cell>
          <cell r="H1828">
            <v>1324.9</v>
          </cell>
          <cell r="I1828">
            <v>125.48</v>
          </cell>
        </row>
        <row r="1829">
          <cell r="A1829">
            <v>34333</v>
          </cell>
          <cell r="B1829">
            <v>1428.79</v>
          </cell>
          <cell r="C1829">
            <v>1431.63</v>
          </cell>
          <cell r="D1829">
            <v>137.82</v>
          </cell>
          <cell r="E1829">
            <v>138.19</v>
          </cell>
          <cell r="F1829">
            <v>142.07</v>
          </cell>
          <cell r="G1829">
            <v>137.43</v>
          </cell>
          <cell r="H1829">
            <v>1316.63</v>
          </cell>
          <cell r="I1829">
            <v>124.92</v>
          </cell>
        </row>
        <row r="1830">
          <cell r="A1830">
            <v>34334</v>
          </cell>
          <cell r="B1830">
            <v>1429.1</v>
          </cell>
          <cell r="C1830">
            <v>1433.34</v>
          </cell>
          <cell r="D1830">
            <v>138.03</v>
          </cell>
          <cell r="E1830">
            <v>138.41</v>
          </cell>
          <cell r="F1830">
            <v>142.35</v>
          </cell>
          <cell r="G1830">
            <v>137.63999999999999</v>
          </cell>
          <cell r="H1830">
            <v>1318.3</v>
          </cell>
          <cell r="I1830">
            <v>125.05</v>
          </cell>
        </row>
        <row r="1831">
          <cell r="A1831">
            <v>34337</v>
          </cell>
          <cell r="B1831">
            <v>1431.5</v>
          </cell>
          <cell r="C1831">
            <v>1440.91</v>
          </cell>
          <cell r="D1831">
            <v>138.47999999999999</v>
          </cell>
          <cell r="E1831">
            <v>139.13999999999999</v>
          </cell>
          <cell r="F1831">
            <v>143.16999999999999</v>
          </cell>
          <cell r="G1831">
            <v>137.84</v>
          </cell>
          <cell r="H1831">
            <v>1335.83</v>
          </cell>
          <cell r="I1831">
            <v>126.51</v>
          </cell>
        </row>
        <row r="1832">
          <cell r="A1832">
            <v>34338</v>
          </cell>
          <cell r="B1832">
            <v>1426.87</v>
          </cell>
          <cell r="C1832">
            <v>1436.03</v>
          </cell>
          <cell r="D1832">
            <v>138.57</v>
          </cell>
          <cell r="E1832">
            <v>138.84</v>
          </cell>
          <cell r="F1832">
            <v>143.21</v>
          </cell>
          <cell r="G1832">
            <v>138.28</v>
          </cell>
          <cell r="H1832">
            <v>1354.16</v>
          </cell>
          <cell r="I1832">
            <v>128.88</v>
          </cell>
        </row>
        <row r="1833">
          <cell r="A1833">
            <v>34339</v>
          </cell>
          <cell r="B1833">
            <v>1415.52</v>
          </cell>
          <cell r="C1833">
            <v>1424.89</v>
          </cell>
          <cell r="D1833">
            <v>137.99</v>
          </cell>
          <cell r="E1833">
            <v>137.9</v>
          </cell>
          <cell r="F1833">
            <v>142.68</v>
          </cell>
          <cell r="G1833">
            <v>138.02000000000001</v>
          </cell>
          <cell r="H1833">
            <v>1362.99</v>
          </cell>
          <cell r="I1833">
            <v>129.72</v>
          </cell>
        </row>
        <row r="1834">
          <cell r="A1834">
            <v>34340</v>
          </cell>
          <cell r="B1834">
            <v>1424.38</v>
          </cell>
          <cell r="C1834">
            <v>1429.78</v>
          </cell>
          <cell r="D1834">
            <v>138.91</v>
          </cell>
          <cell r="E1834">
            <v>138.44999999999999</v>
          </cell>
          <cell r="F1834">
            <v>143.33000000000001</v>
          </cell>
          <cell r="G1834">
            <v>139.27000000000001</v>
          </cell>
          <cell r="H1834">
            <v>1365.99</v>
          </cell>
          <cell r="I1834">
            <v>130.07</v>
          </cell>
        </row>
        <row r="1835">
          <cell r="A1835">
            <v>34341</v>
          </cell>
          <cell r="B1835">
            <v>1434.72</v>
          </cell>
          <cell r="C1835">
            <v>1433.71</v>
          </cell>
          <cell r="D1835">
            <v>139.97</v>
          </cell>
          <cell r="E1835">
            <v>138.71</v>
          </cell>
          <cell r="F1835">
            <v>143.94999999999999</v>
          </cell>
          <cell r="G1835">
            <v>141.04</v>
          </cell>
          <cell r="H1835">
            <v>1387.31</v>
          </cell>
          <cell r="I1835">
            <v>131.80000000000001</v>
          </cell>
        </row>
        <row r="1836">
          <cell r="A1836">
            <v>34344</v>
          </cell>
          <cell r="B1836">
            <v>1435.49</v>
          </cell>
          <cell r="C1836">
            <v>1438.03</v>
          </cell>
          <cell r="D1836">
            <v>140.32</v>
          </cell>
          <cell r="E1836">
            <v>139.19</v>
          </cell>
          <cell r="F1836">
            <v>144.33000000000001</v>
          </cell>
          <cell r="G1836">
            <v>141.27000000000001</v>
          </cell>
          <cell r="H1836">
            <v>1410.61</v>
          </cell>
          <cell r="I1836">
            <v>133.63</v>
          </cell>
        </row>
        <row r="1837">
          <cell r="A1837">
            <v>34345</v>
          </cell>
          <cell r="B1837">
            <v>1431.69</v>
          </cell>
          <cell r="C1837">
            <v>1440.3</v>
          </cell>
          <cell r="D1837">
            <v>140.41999999999999</v>
          </cell>
          <cell r="E1837">
            <v>140.05000000000001</v>
          </cell>
          <cell r="F1837">
            <v>145.03</v>
          </cell>
          <cell r="G1837">
            <v>140.71</v>
          </cell>
          <cell r="H1837">
            <v>1418.45</v>
          </cell>
          <cell r="I1837">
            <v>134.08000000000001</v>
          </cell>
        </row>
        <row r="1838">
          <cell r="A1838">
            <v>34346</v>
          </cell>
          <cell r="B1838">
            <v>1415.15</v>
          </cell>
          <cell r="C1838">
            <v>1420.37</v>
          </cell>
          <cell r="D1838">
            <v>139.36000000000001</v>
          </cell>
          <cell r="E1838">
            <v>138.65</v>
          </cell>
          <cell r="F1838">
            <v>143.83000000000001</v>
          </cell>
          <cell r="G1838">
            <v>139.94999999999999</v>
          </cell>
          <cell r="H1838">
            <v>1418.21</v>
          </cell>
          <cell r="I1838">
            <v>133.91</v>
          </cell>
        </row>
        <row r="1839">
          <cell r="A1839">
            <v>34347</v>
          </cell>
          <cell r="B1839">
            <v>1401.78</v>
          </cell>
          <cell r="C1839">
            <v>1401.53</v>
          </cell>
          <cell r="D1839">
            <v>138.47999999999999</v>
          </cell>
          <cell r="E1839">
            <v>137.09</v>
          </cell>
          <cell r="F1839">
            <v>142.29</v>
          </cell>
          <cell r="G1839">
            <v>139.66999999999999</v>
          </cell>
          <cell r="H1839">
            <v>1433.84</v>
          </cell>
          <cell r="I1839">
            <v>134.91</v>
          </cell>
        </row>
        <row r="1840">
          <cell r="A1840">
            <v>34348</v>
          </cell>
          <cell r="B1840">
            <v>1411.21</v>
          </cell>
          <cell r="C1840">
            <v>1406.11</v>
          </cell>
          <cell r="D1840">
            <v>139.43</v>
          </cell>
          <cell r="E1840">
            <v>137.53</v>
          </cell>
          <cell r="F1840">
            <v>143.02000000000001</v>
          </cell>
          <cell r="G1840">
            <v>141.07</v>
          </cell>
          <cell r="H1840">
            <v>1445.17</v>
          </cell>
          <cell r="I1840">
            <v>136.05000000000001</v>
          </cell>
        </row>
        <row r="1841">
          <cell r="A1841">
            <v>34351</v>
          </cell>
          <cell r="B1841">
            <v>1413.25</v>
          </cell>
          <cell r="C1841">
            <v>1403.61</v>
          </cell>
          <cell r="D1841">
            <v>139.9</v>
          </cell>
          <cell r="E1841">
            <v>137.47</v>
          </cell>
          <cell r="F1841">
            <v>143.47999999999999</v>
          </cell>
          <cell r="G1841">
            <v>142.02000000000001</v>
          </cell>
          <cell r="H1841">
            <v>1486.82</v>
          </cell>
          <cell r="I1841">
            <v>139.13999999999999</v>
          </cell>
        </row>
        <row r="1842">
          <cell r="A1842">
            <v>34352</v>
          </cell>
          <cell r="B1842">
            <v>1419.89</v>
          </cell>
          <cell r="C1842">
            <v>1408.49</v>
          </cell>
          <cell r="D1842">
            <v>140.66</v>
          </cell>
          <cell r="E1842">
            <v>137.71</v>
          </cell>
          <cell r="F1842">
            <v>144.11000000000001</v>
          </cell>
          <cell r="G1842">
            <v>143.22</v>
          </cell>
          <cell r="H1842">
            <v>1496.97</v>
          </cell>
          <cell r="I1842">
            <v>139.78</v>
          </cell>
        </row>
        <row r="1843">
          <cell r="A1843">
            <v>34353</v>
          </cell>
          <cell r="B1843">
            <v>1429.69</v>
          </cell>
          <cell r="C1843">
            <v>1421.76</v>
          </cell>
          <cell r="D1843">
            <v>142.03</v>
          </cell>
          <cell r="E1843">
            <v>139</v>
          </cell>
          <cell r="F1843">
            <v>145.30000000000001</v>
          </cell>
          <cell r="G1843">
            <v>144.66999999999999</v>
          </cell>
          <cell r="H1843">
            <v>1504.73</v>
          </cell>
          <cell r="I1843">
            <v>140.66</v>
          </cell>
        </row>
        <row r="1844">
          <cell r="A1844">
            <v>34354</v>
          </cell>
          <cell r="B1844">
            <v>1425.37</v>
          </cell>
          <cell r="C1844">
            <v>1413.34</v>
          </cell>
          <cell r="D1844">
            <v>141.33000000000001</v>
          </cell>
          <cell r="E1844">
            <v>138.18</v>
          </cell>
          <cell r="F1844">
            <v>144.47999999999999</v>
          </cell>
          <cell r="G1844">
            <v>144.08000000000001</v>
          </cell>
          <cell r="H1844">
            <v>1485.05</v>
          </cell>
          <cell r="I1844">
            <v>139.22</v>
          </cell>
        </row>
        <row r="1845">
          <cell r="A1845">
            <v>34355</v>
          </cell>
          <cell r="B1845">
            <v>1423.13</v>
          </cell>
          <cell r="C1845">
            <v>1403.16</v>
          </cell>
          <cell r="D1845">
            <v>141.28</v>
          </cell>
          <cell r="E1845">
            <v>137.19999999999999</v>
          </cell>
          <cell r="F1845">
            <v>143.72</v>
          </cell>
          <cell r="G1845">
            <v>144.85</v>
          </cell>
          <cell r="H1845">
            <v>1490.43</v>
          </cell>
          <cell r="I1845">
            <v>139.65</v>
          </cell>
        </row>
        <row r="1846">
          <cell r="A1846">
            <v>34358</v>
          </cell>
          <cell r="B1846">
            <v>1424.3</v>
          </cell>
          <cell r="C1846">
            <v>1409.51</v>
          </cell>
          <cell r="D1846">
            <v>141.24</v>
          </cell>
          <cell r="E1846">
            <v>137.54</v>
          </cell>
          <cell r="F1846">
            <v>143.91</v>
          </cell>
          <cell r="G1846">
            <v>144.47</v>
          </cell>
          <cell r="H1846">
            <v>1489.44</v>
          </cell>
          <cell r="I1846">
            <v>139.47</v>
          </cell>
        </row>
        <row r="1847">
          <cell r="A1847">
            <v>34359</v>
          </cell>
          <cell r="B1847">
            <v>1421.98</v>
          </cell>
          <cell r="C1847">
            <v>1418.52</v>
          </cell>
          <cell r="D1847">
            <v>141.22</v>
          </cell>
          <cell r="E1847">
            <v>138.68</v>
          </cell>
          <cell r="F1847">
            <v>144.84</v>
          </cell>
          <cell r="G1847">
            <v>143.41999999999999</v>
          </cell>
          <cell r="H1847">
            <v>1476.75</v>
          </cell>
          <cell r="I1847">
            <v>138.88</v>
          </cell>
        </row>
        <row r="1848">
          <cell r="A1848">
            <v>34360</v>
          </cell>
          <cell r="B1848">
            <v>1425.44</v>
          </cell>
          <cell r="C1848">
            <v>1421.35</v>
          </cell>
          <cell r="D1848">
            <v>141.33000000000001</v>
          </cell>
          <cell r="E1848">
            <v>138.99</v>
          </cell>
          <cell r="F1848">
            <v>145.28</v>
          </cell>
          <cell r="G1848">
            <v>143.36000000000001</v>
          </cell>
          <cell r="H1848">
            <v>1488.08</v>
          </cell>
          <cell r="I1848">
            <v>140.07</v>
          </cell>
        </row>
        <row r="1849">
          <cell r="A1849">
            <v>34361</v>
          </cell>
          <cell r="B1849">
            <v>1424.45</v>
          </cell>
          <cell r="C1849">
            <v>1422.43</v>
          </cell>
          <cell r="D1849">
            <v>141.34</v>
          </cell>
          <cell r="E1849">
            <v>139.35</v>
          </cell>
          <cell r="F1849">
            <v>145.63</v>
          </cell>
          <cell r="G1849">
            <v>143.06</v>
          </cell>
          <cell r="H1849">
            <v>1495.51</v>
          </cell>
          <cell r="I1849">
            <v>140.51</v>
          </cell>
        </row>
        <row r="1850">
          <cell r="A1850">
            <v>34362</v>
          </cell>
          <cell r="B1850">
            <v>1439.96</v>
          </cell>
          <cell r="C1850">
            <v>1436.71</v>
          </cell>
          <cell r="D1850">
            <v>142.43</v>
          </cell>
          <cell r="E1850">
            <v>140.72</v>
          </cell>
          <cell r="F1850">
            <v>147.13999999999999</v>
          </cell>
          <cell r="G1850">
            <v>143.88999999999999</v>
          </cell>
          <cell r="H1850">
            <v>1508.19</v>
          </cell>
          <cell r="I1850">
            <v>141.63</v>
          </cell>
        </row>
        <row r="1851">
          <cell r="A1851">
            <v>34365</v>
          </cell>
          <cell r="B1851">
            <v>1463.33</v>
          </cell>
          <cell r="C1851">
            <v>1456.88</v>
          </cell>
          <cell r="D1851">
            <v>144.44</v>
          </cell>
          <cell r="E1851">
            <v>142.75</v>
          </cell>
          <cell r="F1851">
            <v>149.33000000000001</v>
          </cell>
          <cell r="G1851">
            <v>145.88</v>
          </cell>
          <cell r="H1851">
            <v>1538.35</v>
          </cell>
          <cell r="I1851">
            <v>144.6</v>
          </cell>
        </row>
        <row r="1852">
          <cell r="A1852">
            <v>34366</v>
          </cell>
          <cell r="B1852">
            <v>1453.53</v>
          </cell>
          <cell r="C1852">
            <v>1453.55</v>
          </cell>
          <cell r="D1852">
            <v>143.87</v>
          </cell>
          <cell r="E1852">
            <v>142.6</v>
          </cell>
          <cell r="F1852">
            <v>149.02000000000001</v>
          </cell>
          <cell r="G1852">
            <v>144.94</v>
          </cell>
          <cell r="H1852">
            <v>1532.11</v>
          </cell>
          <cell r="I1852">
            <v>144.35</v>
          </cell>
        </row>
        <row r="1853">
          <cell r="A1853">
            <v>34367</v>
          </cell>
          <cell r="B1853">
            <v>1460.55</v>
          </cell>
          <cell r="C1853">
            <v>1459.27</v>
          </cell>
          <cell r="D1853">
            <v>144.68</v>
          </cell>
          <cell r="E1853">
            <v>143.24</v>
          </cell>
          <cell r="F1853">
            <v>149.69999999999999</v>
          </cell>
          <cell r="G1853">
            <v>145.91</v>
          </cell>
          <cell r="H1853">
            <v>1539.73</v>
          </cell>
          <cell r="I1853">
            <v>144.94</v>
          </cell>
        </row>
        <row r="1854">
          <cell r="A1854">
            <v>34368</v>
          </cell>
          <cell r="B1854">
            <v>1448.4</v>
          </cell>
          <cell r="C1854">
            <v>1447.44</v>
          </cell>
          <cell r="D1854">
            <v>143.68</v>
          </cell>
          <cell r="E1854">
            <v>142.27000000000001</v>
          </cell>
          <cell r="F1854">
            <v>148.88999999999999</v>
          </cell>
          <cell r="G1854">
            <v>144.88</v>
          </cell>
          <cell r="H1854">
            <v>1537.11</v>
          </cell>
          <cell r="I1854">
            <v>144.86000000000001</v>
          </cell>
        </row>
        <row r="1855">
          <cell r="A1855">
            <v>34369</v>
          </cell>
          <cell r="B1855">
            <v>1443.64</v>
          </cell>
          <cell r="C1855">
            <v>1444.99</v>
          </cell>
          <cell r="D1855">
            <v>143.44999999999999</v>
          </cell>
          <cell r="E1855">
            <v>142.19</v>
          </cell>
          <cell r="F1855">
            <v>148.85</v>
          </cell>
          <cell r="G1855">
            <v>144.52000000000001</v>
          </cell>
          <cell r="H1855">
            <v>1533.56</v>
          </cell>
          <cell r="I1855">
            <v>145.09</v>
          </cell>
        </row>
        <row r="1856">
          <cell r="A1856">
            <v>34372</v>
          </cell>
          <cell r="B1856">
            <v>1420.9</v>
          </cell>
          <cell r="C1856">
            <v>1415.52</v>
          </cell>
          <cell r="D1856">
            <v>141.16</v>
          </cell>
          <cell r="E1856">
            <v>139.53</v>
          </cell>
          <cell r="F1856">
            <v>145.9</v>
          </cell>
          <cell r="G1856">
            <v>142.56</v>
          </cell>
          <cell r="H1856">
            <v>1496.05</v>
          </cell>
          <cell r="I1856">
            <v>141.58000000000001</v>
          </cell>
        </row>
        <row r="1857">
          <cell r="A1857">
            <v>34373</v>
          </cell>
          <cell r="B1857">
            <v>1429.76</v>
          </cell>
          <cell r="C1857">
            <v>1433.9</v>
          </cell>
          <cell r="D1857">
            <v>142.06</v>
          </cell>
          <cell r="E1857">
            <v>141.36000000000001</v>
          </cell>
          <cell r="F1857">
            <v>147.4</v>
          </cell>
          <cell r="G1857">
            <v>142.63</v>
          </cell>
          <cell r="H1857">
            <v>1512.25</v>
          </cell>
          <cell r="I1857">
            <v>142.94</v>
          </cell>
        </row>
        <row r="1858">
          <cell r="A1858">
            <v>34374</v>
          </cell>
          <cell r="B1858">
            <v>1420.74</v>
          </cell>
          <cell r="C1858">
            <v>1429.25</v>
          </cell>
          <cell r="D1858">
            <v>141.09</v>
          </cell>
          <cell r="E1858">
            <v>141</v>
          </cell>
          <cell r="F1858">
            <v>146.69999999999999</v>
          </cell>
          <cell r="G1858">
            <v>141.13</v>
          </cell>
          <cell r="H1858">
            <v>1504.89</v>
          </cell>
          <cell r="I1858">
            <v>142.25</v>
          </cell>
        </row>
        <row r="1859">
          <cell r="A1859">
            <v>34375</v>
          </cell>
          <cell r="B1859">
            <v>1416.65</v>
          </cell>
          <cell r="C1859">
            <v>1433.5</v>
          </cell>
          <cell r="D1859">
            <v>140.49</v>
          </cell>
          <cell r="E1859">
            <v>141.30000000000001</v>
          </cell>
          <cell r="F1859">
            <v>146.38</v>
          </cell>
          <cell r="G1859">
            <v>139.71</v>
          </cell>
          <cell r="H1859">
            <v>1473.09</v>
          </cell>
          <cell r="I1859">
            <v>139.63</v>
          </cell>
        </row>
        <row r="1860">
          <cell r="A1860">
            <v>34376</v>
          </cell>
          <cell r="B1860">
            <v>1406.18</v>
          </cell>
          <cell r="C1860">
            <v>1422.66</v>
          </cell>
          <cell r="D1860">
            <v>139.52000000000001</v>
          </cell>
          <cell r="E1860">
            <v>140.35</v>
          </cell>
          <cell r="F1860">
            <v>145.25</v>
          </cell>
          <cell r="G1860">
            <v>138.72</v>
          </cell>
          <cell r="H1860">
            <v>1456.04</v>
          </cell>
          <cell r="I1860">
            <v>137.86000000000001</v>
          </cell>
        </row>
        <row r="1861">
          <cell r="A1861">
            <v>34379</v>
          </cell>
          <cell r="B1861">
            <v>1399.7</v>
          </cell>
          <cell r="C1861">
            <v>1418.12</v>
          </cell>
          <cell r="D1861">
            <v>138.69999999999999</v>
          </cell>
          <cell r="E1861">
            <v>139.62</v>
          </cell>
          <cell r="F1861">
            <v>144.35</v>
          </cell>
          <cell r="G1861">
            <v>137.82</v>
          </cell>
          <cell r="H1861">
            <v>1450.5</v>
          </cell>
          <cell r="I1861">
            <v>137.16</v>
          </cell>
        </row>
        <row r="1862">
          <cell r="A1862">
            <v>34380</v>
          </cell>
          <cell r="B1862">
            <v>1407.4</v>
          </cell>
          <cell r="C1862">
            <v>1422.12</v>
          </cell>
          <cell r="D1862">
            <v>139.30000000000001</v>
          </cell>
          <cell r="E1862">
            <v>139.82</v>
          </cell>
          <cell r="F1862">
            <v>145.03</v>
          </cell>
          <cell r="G1862">
            <v>138.79</v>
          </cell>
          <cell r="H1862">
            <v>1467.86</v>
          </cell>
          <cell r="I1862">
            <v>138.52000000000001</v>
          </cell>
        </row>
        <row r="1863">
          <cell r="A1863">
            <v>34381</v>
          </cell>
          <cell r="B1863">
            <v>1417.65</v>
          </cell>
          <cell r="C1863">
            <v>1428.76</v>
          </cell>
          <cell r="D1863">
            <v>140.13</v>
          </cell>
          <cell r="E1863">
            <v>140.21</v>
          </cell>
          <cell r="F1863">
            <v>145.72</v>
          </cell>
          <cell r="G1863">
            <v>140</v>
          </cell>
          <cell r="H1863">
            <v>1485</v>
          </cell>
          <cell r="I1863">
            <v>139.97</v>
          </cell>
        </row>
        <row r="1864">
          <cell r="A1864">
            <v>34382</v>
          </cell>
          <cell r="B1864">
            <v>1421.9</v>
          </cell>
          <cell r="C1864">
            <v>1433.04</v>
          </cell>
          <cell r="D1864">
            <v>140.71</v>
          </cell>
          <cell r="E1864">
            <v>140.80000000000001</v>
          </cell>
          <cell r="F1864">
            <v>146.65</v>
          </cell>
          <cell r="G1864">
            <v>140.57</v>
          </cell>
          <cell r="H1864">
            <v>1515.78</v>
          </cell>
          <cell r="I1864">
            <v>142.63999999999999</v>
          </cell>
        </row>
        <row r="1865">
          <cell r="A1865">
            <v>34383</v>
          </cell>
          <cell r="B1865">
            <v>1411.03</v>
          </cell>
          <cell r="C1865">
            <v>1432.03</v>
          </cell>
          <cell r="D1865">
            <v>139.86000000000001</v>
          </cell>
          <cell r="E1865">
            <v>140.61000000000001</v>
          </cell>
          <cell r="F1865">
            <v>146.35</v>
          </cell>
          <cell r="G1865">
            <v>139.13</v>
          </cell>
          <cell r="H1865">
            <v>1515.07</v>
          </cell>
          <cell r="I1865">
            <v>142.49</v>
          </cell>
        </row>
        <row r="1866">
          <cell r="A1866">
            <v>34386</v>
          </cell>
          <cell r="B1866">
            <v>1396.32</v>
          </cell>
          <cell r="C1866">
            <v>1412.26</v>
          </cell>
          <cell r="D1866">
            <v>138.44</v>
          </cell>
          <cell r="E1866">
            <v>138.68</v>
          </cell>
          <cell r="F1866">
            <v>144.61000000000001</v>
          </cell>
          <cell r="G1866">
            <v>138.16999999999999</v>
          </cell>
          <cell r="H1866">
            <v>1507.08</v>
          </cell>
          <cell r="I1866">
            <v>141.85</v>
          </cell>
        </row>
        <row r="1867">
          <cell r="A1867">
            <v>34387</v>
          </cell>
          <cell r="B1867">
            <v>1391.04</v>
          </cell>
          <cell r="C1867">
            <v>1406.44</v>
          </cell>
          <cell r="D1867">
            <v>137.86000000000001</v>
          </cell>
          <cell r="E1867">
            <v>138.22</v>
          </cell>
          <cell r="F1867">
            <v>144.12</v>
          </cell>
          <cell r="G1867">
            <v>137.47999999999999</v>
          </cell>
          <cell r="H1867">
            <v>1502.26</v>
          </cell>
          <cell r="I1867">
            <v>141.47999999999999</v>
          </cell>
        </row>
        <row r="1868">
          <cell r="A1868">
            <v>34388</v>
          </cell>
          <cell r="B1868">
            <v>1400.45</v>
          </cell>
          <cell r="C1868">
            <v>1419.19</v>
          </cell>
          <cell r="D1868">
            <v>138.83000000000001</v>
          </cell>
          <cell r="E1868">
            <v>139.32</v>
          </cell>
          <cell r="F1868">
            <v>145.32</v>
          </cell>
          <cell r="G1868">
            <v>138.34</v>
          </cell>
          <cell r="H1868">
            <v>1508.8</v>
          </cell>
          <cell r="I1868">
            <v>142.21</v>
          </cell>
        </row>
        <row r="1869">
          <cell r="A1869">
            <v>34389</v>
          </cell>
          <cell r="B1869">
            <v>1370.97</v>
          </cell>
          <cell r="C1869">
            <v>1390.34</v>
          </cell>
          <cell r="D1869">
            <v>136.22</v>
          </cell>
          <cell r="E1869">
            <v>136.94999999999999</v>
          </cell>
          <cell r="F1869">
            <v>142.83000000000001</v>
          </cell>
          <cell r="G1869">
            <v>135.51</v>
          </cell>
          <cell r="H1869">
            <v>1464.41</v>
          </cell>
          <cell r="I1869">
            <v>138.57</v>
          </cell>
        </row>
        <row r="1870">
          <cell r="A1870">
            <v>34390</v>
          </cell>
          <cell r="B1870">
            <v>1365.59</v>
          </cell>
          <cell r="C1870">
            <v>1381.66</v>
          </cell>
          <cell r="D1870">
            <v>135.94</v>
          </cell>
          <cell r="E1870">
            <v>136.38999999999999</v>
          </cell>
          <cell r="F1870">
            <v>142.13</v>
          </cell>
          <cell r="G1870">
            <v>135.47999999999999</v>
          </cell>
          <cell r="H1870">
            <v>1454.12</v>
          </cell>
          <cell r="I1870">
            <v>137.72</v>
          </cell>
        </row>
        <row r="1871">
          <cell r="A1871">
            <v>34393</v>
          </cell>
          <cell r="B1871">
            <v>1375.29</v>
          </cell>
          <cell r="C1871">
            <v>1396.06</v>
          </cell>
          <cell r="D1871">
            <v>136.97999999999999</v>
          </cell>
          <cell r="E1871">
            <v>137.71</v>
          </cell>
          <cell r="F1871">
            <v>143.01</v>
          </cell>
          <cell r="G1871">
            <v>136.27000000000001</v>
          </cell>
          <cell r="H1871">
            <v>1459.54</v>
          </cell>
          <cell r="I1871">
            <v>138.5</v>
          </cell>
        </row>
        <row r="1872">
          <cell r="A1872">
            <v>34394</v>
          </cell>
          <cell r="B1872">
            <v>1356.18</v>
          </cell>
          <cell r="C1872">
            <v>1374.03</v>
          </cell>
          <cell r="D1872">
            <v>135.49</v>
          </cell>
          <cell r="E1872">
            <v>135.77000000000001</v>
          </cell>
          <cell r="F1872">
            <v>141.07</v>
          </cell>
          <cell r="G1872">
            <v>135.19999999999999</v>
          </cell>
          <cell r="H1872">
            <v>1439.08</v>
          </cell>
          <cell r="I1872">
            <v>136.68</v>
          </cell>
        </row>
        <row r="1873">
          <cell r="A1873">
            <v>34395</v>
          </cell>
          <cell r="B1873">
            <v>1336.43</v>
          </cell>
          <cell r="C1873">
            <v>1347.84</v>
          </cell>
          <cell r="D1873">
            <v>133.51</v>
          </cell>
          <cell r="E1873">
            <v>133.13</v>
          </cell>
          <cell r="F1873">
            <v>138.19</v>
          </cell>
          <cell r="G1873">
            <v>133.80000000000001</v>
          </cell>
          <cell r="H1873">
            <v>1407.95</v>
          </cell>
          <cell r="I1873">
            <v>133.97</v>
          </cell>
        </row>
        <row r="1874">
          <cell r="A1874">
            <v>34396</v>
          </cell>
          <cell r="B1874">
            <v>1346.34</v>
          </cell>
          <cell r="C1874">
            <v>1360.09</v>
          </cell>
          <cell r="D1874">
            <v>134.37</v>
          </cell>
          <cell r="E1874">
            <v>134.27000000000001</v>
          </cell>
          <cell r="F1874">
            <v>139.41999999999999</v>
          </cell>
          <cell r="G1874">
            <v>134.41999999999999</v>
          </cell>
          <cell r="H1874">
            <v>1429.48</v>
          </cell>
          <cell r="I1874">
            <v>135.56</v>
          </cell>
        </row>
        <row r="1875">
          <cell r="A1875">
            <v>34397</v>
          </cell>
          <cell r="B1875">
            <v>1361.82</v>
          </cell>
          <cell r="C1875">
            <v>1372</v>
          </cell>
          <cell r="D1875">
            <v>135.71</v>
          </cell>
          <cell r="E1875">
            <v>135.31</v>
          </cell>
          <cell r="F1875">
            <v>140.91</v>
          </cell>
          <cell r="G1875">
            <v>136.01</v>
          </cell>
          <cell r="H1875">
            <v>1444.68</v>
          </cell>
          <cell r="I1875">
            <v>136.94999999999999</v>
          </cell>
        </row>
        <row r="1876">
          <cell r="A1876">
            <v>34400</v>
          </cell>
          <cell r="B1876">
            <v>1381.3</v>
          </cell>
          <cell r="C1876">
            <v>1396.36</v>
          </cell>
          <cell r="D1876">
            <v>137.4</v>
          </cell>
          <cell r="E1876">
            <v>137.57</v>
          </cell>
          <cell r="F1876">
            <v>143.22999999999999</v>
          </cell>
          <cell r="G1876">
            <v>137.19999999999999</v>
          </cell>
          <cell r="H1876">
            <v>1471.2</v>
          </cell>
          <cell r="I1876">
            <v>139.24</v>
          </cell>
        </row>
        <row r="1877">
          <cell r="A1877">
            <v>34401</v>
          </cell>
          <cell r="B1877">
            <v>1370.95</v>
          </cell>
          <cell r="C1877">
            <v>1398.47</v>
          </cell>
          <cell r="D1877">
            <v>136.69999999999999</v>
          </cell>
          <cell r="E1877">
            <v>137.87</v>
          </cell>
          <cell r="F1877">
            <v>143.26</v>
          </cell>
          <cell r="G1877">
            <v>135.61000000000001</v>
          </cell>
          <cell r="H1877">
            <v>1460.28</v>
          </cell>
          <cell r="I1877">
            <v>138.26</v>
          </cell>
        </row>
        <row r="1878">
          <cell r="A1878">
            <v>34402</v>
          </cell>
          <cell r="B1878">
            <v>1358.92</v>
          </cell>
          <cell r="C1878">
            <v>1387.76</v>
          </cell>
          <cell r="D1878">
            <v>135.75</v>
          </cell>
          <cell r="E1878">
            <v>136.91</v>
          </cell>
          <cell r="F1878">
            <v>142.19</v>
          </cell>
          <cell r="G1878">
            <v>134.65</v>
          </cell>
          <cell r="H1878">
            <v>1460.9</v>
          </cell>
          <cell r="I1878">
            <v>138.1</v>
          </cell>
        </row>
        <row r="1879">
          <cell r="A1879">
            <v>34403</v>
          </cell>
          <cell r="B1879">
            <v>1357.98</v>
          </cell>
          <cell r="C1879">
            <v>1393.91</v>
          </cell>
          <cell r="D1879">
            <v>135.59</v>
          </cell>
          <cell r="E1879">
            <v>137.29</v>
          </cell>
          <cell r="F1879">
            <v>142.57</v>
          </cell>
          <cell r="G1879">
            <v>134.01</v>
          </cell>
          <cell r="H1879">
            <v>1454.24</v>
          </cell>
          <cell r="I1879">
            <v>137.59</v>
          </cell>
        </row>
        <row r="1880">
          <cell r="A1880">
            <v>34404</v>
          </cell>
          <cell r="B1880">
            <v>1343.28</v>
          </cell>
          <cell r="C1880">
            <v>1380.04</v>
          </cell>
          <cell r="D1880">
            <v>134.08000000000001</v>
          </cell>
          <cell r="E1880">
            <v>136.16</v>
          </cell>
          <cell r="F1880">
            <v>141.28</v>
          </cell>
          <cell r="G1880">
            <v>132.18</v>
          </cell>
          <cell r="H1880">
            <v>1440</v>
          </cell>
          <cell r="I1880">
            <v>136.4</v>
          </cell>
        </row>
        <row r="1881">
          <cell r="A1881">
            <v>34407</v>
          </cell>
          <cell r="B1881">
            <v>1364.67</v>
          </cell>
          <cell r="C1881">
            <v>1402.91</v>
          </cell>
          <cell r="D1881">
            <v>135.74</v>
          </cell>
          <cell r="E1881">
            <v>138.03</v>
          </cell>
          <cell r="F1881">
            <v>143.07</v>
          </cell>
          <cell r="G1881">
            <v>133.63999999999999</v>
          </cell>
          <cell r="H1881">
            <v>1463.52</v>
          </cell>
          <cell r="I1881">
            <v>138.13999999999999</v>
          </cell>
        </row>
        <row r="1882">
          <cell r="A1882">
            <v>34408</v>
          </cell>
          <cell r="B1882">
            <v>1380.52</v>
          </cell>
          <cell r="C1882">
            <v>1418.62</v>
          </cell>
          <cell r="D1882">
            <v>136.91999999999999</v>
          </cell>
          <cell r="E1882">
            <v>139.19999999999999</v>
          </cell>
          <cell r="F1882">
            <v>144.21</v>
          </cell>
          <cell r="G1882">
            <v>134.83000000000001</v>
          </cell>
          <cell r="H1882">
            <v>1462.82</v>
          </cell>
          <cell r="I1882">
            <v>138.03</v>
          </cell>
        </row>
        <row r="1883">
          <cell r="A1883">
            <v>34409</v>
          </cell>
          <cell r="B1883">
            <v>1374.17</v>
          </cell>
          <cell r="C1883">
            <v>1414.77</v>
          </cell>
          <cell r="D1883">
            <v>136.35</v>
          </cell>
          <cell r="E1883">
            <v>138.99</v>
          </cell>
          <cell r="F1883">
            <v>143.93</v>
          </cell>
          <cell r="G1883">
            <v>133.94</v>
          </cell>
          <cell r="H1883">
            <v>1465.37</v>
          </cell>
          <cell r="I1883">
            <v>138.25</v>
          </cell>
        </row>
        <row r="1884">
          <cell r="A1884">
            <v>34410</v>
          </cell>
          <cell r="B1884">
            <v>1376.94</v>
          </cell>
          <cell r="C1884">
            <v>1417.33</v>
          </cell>
          <cell r="D1884">
            <v>136.62</v>
          </cell>
          <cell r="E1884">
            <v>139.29</v>
          </cell>
          <cell r="F1884">
            <v>144.04</v>
          </cell>
          <cell r="G1884">
            <v>134.16999999999999</v>
          </cell>
          <cell r="H1884">
            <v>1456.61</v>
          </cell>
          <cell r="I1884">
            <v>137.55000000000001</v>
          </cell>
        </row>
        <row r="1885">
          <cell r="A1885">
            <v>34411</v>
          </cell>
          <cell r="B1885">
            <v>1365.83</v>
          </cell>
          <cell r="C1885">
            <v>1404.37</v>
          </cell>
          <cell r="D1885">
            <v>135.71</v>
          </cell>
          <cell r="E1885">
            <v>138.24</v>
          </cell>
          <cell r="F1885">
            <v>142.94999999999999</v>
          </cell>
          <cell r="G1885">
            <v>133.4</v>
          </cell>
          <cell r="H1885">
            <v>1451.07</v>
          </cell>
          <cell r="I1885">
            <v>136.94999999999999</v>
          </cell>
        </row>
        <row r="1886">
          <cell r="A1886">
            <v>34414</v>
          </cell>
          <cell r="B1886">
            <v>1354.6</v>
          </cell>
          <cell r="C1886">
            <v>1391.96</v>
          </cell>
          <cell r="D1886">
            <v>134.56</v>
          </cell>
          <cell r="E1886">
            <v>137.13999999999999</v>
          </cell>
          <cell r="F1886">
            <v>141.77000000000001</v>
          </cell>
          <cell r="G1886">
            <v>132.19999999999999</v>
          </cell>
          <cell r="H1886">
            <v>1433.95</v>
          </cell>
          <cell r="I1886">
            <v>135.33000000000001</v>
          </cell>
        </row>
        <row r="1887">
          <cell r="A1887">
            <v>34415</v>
          </cell>
          <cell r="B1887">
            <v>1353.57</v>
          </cell>
          <cell r="C1887">
            <v>1390.01</v>
          </cell>
          <cell r="D1887">
            <v>134.37</v>
          </cell>
          <cell r="E1887">
            <v>136.91999999999999</v>
          </cell>
          <cell r="F1887">
            <v>141.76</v>
          </cell>
          <cell r="G1887">
            <v>132.05000000000001</v>
          </cell>
          <cell r="H1887">
            <v>1430.84</v>
          </cell>
          <cell r="I1887">
            <v>134.91999999999999</v>
          </cell>
        </row>
        <row r="1888">
          <cell r="A1888">
            <v>34416</v>
          </cell>
          <cell r="B1888">
            <v>1350.95</v>
          </cell>
          <cell r="C1888">
            <v>1397.12</v>
          </cell>
          <cell r="D1888">
            <v>134.13</v>
          </cell>
          <cell r="E1888">
            <v>137.47</v>
          </cell>
          <cell r="F1888">
            <v>142.26</v>
          </cell>
          <cell r="G1888">
            <v>131.1</v>
          </cell>
          <cell r="H1888">
            <v>1419.6</v>
          </cell>
          <cell r="I1888">
            <v>134.09</v>
          </cell>
        </row>
        <row r="1889">
          <cell r="A1889">
            <v>34417</v>
          </cell>
          <cell r="B1889">
            <v>1335.03</v>
          </cell>
          <cell r="C1889">
            <v>1383.47</v>
          </cell>
          <cell r="D1889">
            <v>132.54</v>
          </cell>
          <cell r="E1889">
            <v>136.13</v>
          </cell>
          <cell r="F1889">
            <v>140.97999999999999</v>
          </cell>
          <cell r="G1889">
            <v>129.27000000000001</v>
          </cell>
          <cell r="H1889">
            <v>1401.25</v>
          </cell>
          <cell r="I1889">
            <v>132.51</v>
          </cell>
        </row>
        <row r="1890">
          <cell r="A1890">
            <v>34418</v>
          </cell>
          <cell r="B1890">
            <v>1326.18</v>
          </cell>
          <cell r="C1890">
            <v>1369.6</v>
          </cell>
          <cell r="D1890">
            <v>131.88</v>
          </cell>
          <cell r="E1890">
            <v>135.03</v>
          </cell>
          <cell r="F1890">
            <v>139.66999999999999</v>
          </cell>
          <cell r="G1890">
            <v>129.02000000000001</v>
          </cell>
          <cell r="H1890">
            <v>1366.54</v>
          </cell>
          <cell r="I1890">
            <v>129.58000000000001</v>
          </cell>
        </row>
        <row r="1891">
          <cell r="A1891">
            <v>34421</v>
          </cell>
          <cell r="B1891">
            <v>1336.48</v>
          </cell>
          <cell r="C1891">
            <v>1385.36</v>
          </cell>
          <cell r="D1891">
            <v>132.72999999999999</v>
          </cell>
          <cell r="E1891">
            <v>136.44999999999999</v>
          </cell>
          <cell r="F1891">
            <v>140.97999999999999</v>
          </cell>
          <cell r="G1891">
            <v>129.34</v>
          </cell>
          <cell r="H1891">
            <v>1373.03</v>
          </cell>
          <cell r="I1891">
            <v>129.94999999999999</v>
          </cell>
        </row>
        <row r="1892">
          <cell r="A1892">
            <v>34422</v>
          </cell>
          <cell r="B1892">
            <v>1327.76</v>
          </cell>
          <cell r="C1892">
            <v>1383</v>
          </cell>
          <cell r="D1892">
            <v>132.21</v>
          </cell>
          <cell r="E1892">
            <v>136.38999999999999</v>
          </cell>
          <cell r="F1892">
            <v>140.74</v>
          </cell>
          <cell r="G1892">
            <v>128.41</v>
          </cell>
          <cell r="H1892">
            <v>1364.73</v>
          </cell>
          <cell r="I1892">
            <v>129.47</v>
          </cell>
        </row>
        <row r="1893">
          <cell r="A1893">
            <v>34423</v>
          </cell>
          <cell r="B1893">
            <v>1313.48</v>
          </cell>
          <cell r="C1893">
            <v>1367.86</v>
          </cell>
          <cell r="D1893">
            <v>130.97999999999999</v>
          </cell>
          <cell r="E1893">
            <v>135.16999999999999</v>
          </cell>
          <cell r="F1893">
            <v>139.72</v>
          </cell>
          <cell r="G1893">
            <v>127.19</v>
          </cell>
          <cell r="H1893">
            <v>1362.3</v>
          </cell>
          <cell r="I1893">
            <v>129.27000000000001</v>
          </cell>
        </row>
        <row r="1894">
          <cell r="A1894">
            <v>34424</v>
          </cell>
          <cell r="B1894">
            <v>1307.6099999999999</v>
          </cell>
          <cell r="C1894">
            <v>1365.74</v>
          </cell>
          <cell r="D1894">
            <v>130.82</v>
          </cell>
          <cell r="E1894">
            <v>135.35</v>
          </cell>
          <cell r="F1894">
            <v>139.71</v>
          </cell>
          <cell r="G1894">
            <v>126.72</v>
          </cell>
          <cell r="H1894">
            <v>1356.35</v>
          </cell>
          <cell r="I1894">
            <v>128.84</v>
          </cell>
        </row>
        <row r="1895">
          <cell r="A1895">
            <v>34425</v>
          </cell>
          <cell r="B1895">
            <v>1312.12</v>
          </cell>
          <cell r="C1895">
            <v>1368.12</v>
          </cell>
          <cell r="D1895">
            <v>131.37</v>
          </cell>
          <cell r="E1895">
            <v>135.76</v>
          </cell>
          <cell r="F1895">
            <v>140.13</v>
          </cell>
          <cell r="G1895">
            <v>127.39</v>
          </cell>
          <cell r="H1895">
            <v>1359.47</v>
          </cell>
          <cell r="I1895">
            <v>129.12</v>
          </cell>
        </row>
        <row r="1896">
          <cell r="A1896">
            <v>34428</v>
          </cell>
          <cell r="B1896">
            <v>1308.6300000000001</v>
          </cell>
          <cell r="C1896">
            <v>1364.65</v>
          </cell>
          <cell r="D1896">
            <v>131.02000000000001</v>
          </cell>
          <cell r="E1896">
            <v>135.44</v>
          </cell>
          <cell r="F1896">
            <v>139.86000000000001</v>
          </cell>
          <cell r="G1896">
            <v>127.02</v>
          </cell>
          <cell r="H1896">
            <v>1355.65</v>
          </cell>
          <cell r="I1896">
            <v>128.83000000000001</v>
          </cell>
        </row>
        <row r="1897">
          <cell r="A1897">
            <v>34429</v>
          </cell>
          <cell r="B1897">
            <v>1322.5</v>
          </cell>
          <cell r="C1897">
            <v>1373.5</v>
          </cell>
          <cell r="D1897">
            <v>131.93</v>
          </cell>
          <cell r="E1897">
            <v>135.79</v>
          </cell>
          <cell r="F1897">
            <v>140.16999999999999</v>
          </cell>
          <cell r="G1897">
            <v>128.43</v>
          </cell>
          <cell r="H1897">
            <v>1364.82</v>
          </cell>
          <cell r="I1897">
            <v>129.43</v>
          </cell>
        </row>
        <row r="1898">
          <cell r="A1898">
            <v>34430</v>
          </cell>
          <cell r="B1898">
            <v>1342.22</v>
          </cell>
          <cell r="C1898">
            <v>1394.06</v>
          </cell>
          <cell r="D1898">
            <v>133.38999999999999</v>
          </cell>
          <cell r="E1898">
            <v>137.49</v>
          </cell>
          <cell r="F1898">
            <v>141.99</v>
          </cell>
          <cell r="G1898">
            <v>129.66999999999999</v>
          </cell>
          <cell r="H1898">
            <v>1404.03</v>
          </cell>
          <cell r="I1898">
            <v>133.16999999999999</v>
          </cell>
        </row>
        <row r="1899">
          <cell r="A1899">
            <v>34431</v>
          </cell>
          <cell r="B1899">
            <v>1348.8</v>
          </cell>
          <cell r="C1899">
            <v>1399.86</v>
          </cell>
          <cell r="D1899">
            <v>133.75</v>
          </cell>
          <cell r="E1899">
            <v>137.93</v>
          </cell>
          <cell r="F1899">
            <v>142.49</v>
          </cell>
          <cell r="G1899">
            <v>129.96</v>
          </cell>
          <cell r="H1899">
            <v>1407.81</v>
          </cell>
          <cell r="I1899">
            <v>133.47999999999999</v>
          </cell>
        </row>
        <row r="1900">
          <cell r="A1900">
            <v>34432</v>
          </cell>
          <cell r="B1900">
            <v>1352.67</v>
          </cell>
          <cell r="C1900">
            <v>1407.45</v>
          </cell>
          <cell r="D1900">
            <v>134.12</v>
          </cell>
          <cell r="E1900">
            <v>138.61000000000001</v>
          </cell>
          <cell r="F1900">
            <v>143.16999999999999</v>
          </cell>
          <cell r="G1900">
            <v>130.05000000000001</v>
          </cell>
          <cell r="H1900">
            <v>1412.34</v>
          </cell>
          <cell r="I1900">
            <v>134.18</v>
          </cell>
        </row>
        <row r="1901">
          <cell r="A1901">
            <v>34435</v>
          </cell>
          <cell r="B1901">
            <v>1364.67</v>
          </cell>
          <cell r="C1901">
            <v>1425.69</v>
          </cell>
          <cell r="D1901">
            <v>135.09</v>
          </cell>
          <cell r="E1901">
            <v>140.19</v>
          </cell>
          <cell r="F1901">
            <v>144.51</v>
          </cell>
          <cell r="G1901">
            <v>130.47999999999999</v>
          </cell>
          <cell r="H1901">
            <v>1417.42</v>
          </cell>
          <cell r="I1901">
            <v>134.9</v>
          </cell>
        </row>
        <row r="1902">
          <cell r="A1902">
            <v>34436</v>
          </cell>
          <cell r="B1902">
            <v>1369.35</v>
          </cell>
          <cell r="C1902">
            <v>1429.36</v>
          </cell>
          <cell r="D1902">
            <v>135.85</v>
          </cell>
          <cell r="E1902">
            <v>140.77000000000001</v>
          </cell>
          <cell r="F1902">
            <v>145.02000000000001</v>
          </cell>
          <cell r="G1902">
            <v>131.4</v>
          </cell>
          <cell r="H1902">
            <v>1428.57</v>
          </cell>
          <cell r="I1902">
            <v>135.78</v>
          </cell>
        </row>
        <row r="1903">
          <cell r="A1903">
            <v>34437</v>
          </cell>
          <cell r="B1903">
            <v>1360.75</v>
          </cell>
          <cell r="C1903">
            <v>1425.17</v>
          </cell>
          <cell r="D1903">
            <v>135.16</v>
          </cell>
          <cell r="E1903">
            <v>140.25</v>
          </cell>
          <cell r="F1903">
            <v>144.51</v>
          </cell>
          <cell r="G1903">
            <v>130.56</v>
          </cell>
          <cell r="H1903">
            <v>1417.37</v>
          </cell>
          <cell r="I1903">
            <v>134.81</v>
          </cell>
        </row>
        <row r="1904">
          <cell r="A1904">
            <v>34438</v>
          </cell>
          <cell r="B1904">
            <v>1352.62</v>
          </cell>
          <cell r="C1904">
            <v>1417.49</v>
          </cell>
          <cell r="D1904">
            <v>134.49</v>
          </cell>
          <cell r="E1904">
            <v>139.63</v>
          </cell>
          <cell r="F1904">
            <v>143.55000000000001</v>
          </cell>
          <cell r="G1904">
            <v>129.85</v>
          </cell>
          <cell r="H1904">
            <v>1396.83</v>
          </cell>
          <cell r="I1904">
            <v>133.12</v>
          </cell>
        </row>
        <row r="1905">
          <cell r="A1905">
            <v>34439</v>
          </cell>
          <cell r="B1905">
            <v>1362.59</v>
          </cell>
          <cell r="C1905">
            <v>1424.74</v>
          </cell>
          <cell r="D1905">
            <v>135.36000000000001</v>
          </cell>
          <cell r="E1905">
            <v>140.26</v>
          </cell>
          <cell r="F1905">
            <v>144.15</v>
          </cell>
          <cell r="G1905">
            <v>130.94</v>
          </cell>
          <cell r="H1905">
            <v>1388.07</v>
          </cell>
          <cell r="I1905">
            <v>132.54</v>
          </cell>
        </row>
        <row r="1906">
          <cell r="A1906">
            <v>34442</v>
          </cell>
          <cell r="B1906">
            <v>1356.41</v>
          </cell>
          <cell r="C1906">
            <v>1421.75</v>
          </cell>
          <cell r="D1906">
            <v>134.80000000000001</v>
          </cell>
          <cell r="E1906">
            <v>139.81</v>
          </cell>
          <cell r="F1906">
            <v>143.83000000000001</v>
          </cell>
          <cell r="G1906">
            <v>130.27000000000001</v>
          </cell>
          <cell r="H1906">
            <v>1387.95</v>
          </cell>
          <cell r="I1906">
            <v>132.19999999999999</v>
          </cell>
        </row>
        <row r="1907">
          <cell r="A1907">
            <v>34443</v>
          </cell>
          <cell r="B1907">
            <v>1341.75</v>
          </cell>
          <cell r="C1907">
            <v>1400.29</v>
          </cell>
          <cell r="D1907">
            <v>133.49</v>
          </cell>
          <cell r="E1907">
            <v>137.81</v>
          </cell>
          <cell r="F1907">
            <v>141.88999999999999</v>
          </cell>
          <cell r="G1907">
            <v>129.57</v>
          </cell>
          <cell r="H1907">
            <v>1370.74</v>
          </cell>
          <cell r="I1907">
            <v>130.55000000000001</v>
          </cell>
        </row>
        <row r="1908">
          <cell r="A1908">
            <v>34444</v>
          </cell>
          <cell r="B1908">
            <v>1337.25</v>
          </cell>
          <cell r="C1908">
            <v>1396.54</v>
          </cell>
          <cell r="D1908">
            <v>133.04</v>
          </cell>
          <cell r="E1908">
            <v>137.47</v>
          </cell>
          <cell r="F1908">
            <v>141.54</v>
          </cell>
          <cell r="G1908">
            <v>129.03</v>
          </cell>
          <cell r="H1908">
            <v>1367.31</v>
          </cell>
          <cell r="I1908">
            <v>130.31</v>
          </cell>
        </row>
        <row r="1909">
          <cell r="A1909">
            <v>34445</v>
          </cell>
          <cell r="B1909">
            <v>1333.81</v>
          </cell>
          <cell r="C1909">
            <v>1393.58</v>
          </cell>
          <cell r="D1909">
            <v>132.62</v>
          </cell>
          <cell r="E1909">
            <v>137.18</v>
          </cell>
          <cell r="F1909">
            <v>140.94999999999999</v>
          </cell>
          <cell r="G1909">
            <v>128.5</v>
          </cell>
          <cell r="H1909">
            <v>1362.02</v>
          </cell>
          <cell r="I1909">
            <v>129.82</v>
          </cell>
        </row>
        <row r="1910">
          <cell r="A1910">
            <v>34446</v>
          </cell>
          <cell r="B1910">
            <v>1351.36</v>
          </cell>
          <cell r="C1910">
            <v>1415.98</v>
          </cell>
          <cell r="D1910">
            <v>134.07</v>
          </cell>
          <cell r="E1910">
            <v>139.12</v>
          </cell>
          <cell r="F1910">
            <v>142.72</v>
          </cell>
          <cell r="G1910">
            <v>129.51</v>
          </cell>
          <cell r="H1910">
            <v>1387.45</v>
          </cell>
          <cell r="I1910">
            <v>131.9</v>
          </cell>
        </row>
        <row r="1911">
          <cell r="A1911">
            <v>34449</v>
          </cell>
          <cell r="B1911">
            <v>1338.41</v>
          </cell>
          <cell r="C1911">
            <v>1408.35</v>
          </cell>
          <cell r="D1911">
            <v>133.01</v>
          </cell>
          <cell r="E1911">
            <v>138.4</v>
          </cell>
          <cell r="F1911">
            <v>141.88999999999999</v>
          </cell>
          <cell r="G1911">
            <v>128.13</v>
          </cell>
          <cell r="H1911">
            <v>1382.76</v>
          </cell>
          <cell r="I1911">
            <v>131.49</v>
          </cell>
        </row>
        <row r="1912">
          <cell r="A1912">
            <v>34450</v>
          </cell>
          <cell r="B1912">
            <v>1355.9</v>
          </cell>
          <cell r="C1912">
            <v>1427.08</v>
          </cell>
          <cell r="D1912">
            <v>134.62</v>
          </cell>
          <cell r="E1912">
            <v>140.21</v>
          </cell>
          <cell r="F1912">
            <v>143.49</v>
          </cell>
          <cell r="G1912">
            <v>129.57</v>
          </cell>
          <cell r="H1912">
            <v>1397.47</v>
          </cell>
          <cell r="I1912">
            <v>132.44</v>
          </cell>
        </row>
        <row r="1913">
          <cell r="A1913">
            <v>34451</v>
          </cell>
          <cell r="B1913">
            <v>1364.18</v>
          </cell>
          <cell r="C1913">
            <v>1436.48</v>
          </cell>
          <cell r="D1913">
            <v>135.44</v>
          </cell>
          <cell r="E1913">
            <v>141.19999999999999</v>
          </cell>
          <cell r="F1913">
            <v>144.53</v>
          </cell>
          <cell r="G1913">
            <v>130.24</v>
          </cell>
          <cell r="H1913">
            <v>1419.27</v>
          </cell>
          <cell r="I1913">
            <v>134.09</v>
          </cell>
        </row>
        <row r="1914">
          <cell r="A1914">
            <v>34452</v>
          </cell>
          <cell r="B1914">
            <v>1354.84</v>
          </cell>
          <cell r="C1914">
            <v>1431.79</v>
          </cell>
          <cell r="D1914">
            <v>135.16999999999999</v>
          </cell>
          <cell r="E1914">
            <v>141.07</v>
          </cell>
          <cell r="F1914">
            <v>144.44</v>
          </cell>
          <cell r="G1914">
            <v>129.84</v>
          </cell>
          <cell r="H1914">
            <v>1415.84</v>
          </cell>
          <cell r="I1914">
            <v>134.25</v>
          </cell>
        </row>
        <row r="1915">
          <cell r="A1915">
            <v>34453</v>
          </cell>
          <cell r="B1915">
            <v>1350.29</v>
          </cell>
          <cell r="C1915">
            <v>1427.37</v>
          </cell>
          <cell r="D1915">
            <v>134.74</v>
          </cell>
          <cell r="E1915">
            <v>140.79</v>
          </cell>
          <cell r="F1915">
            <v>144.05000000000001</v>
          </cell>
          <cell r="G1915">
            <v>129.27000000000001</v>
          </cell>
          <cell r="H1915">
            <v>1421.53</v>
          </cell>
          <cell r="I1915">
            <v>134.66999999999999</v>
          </cell>
        </row>
        <row r="1916">
          <cell r="A1916">
            <v>34456</v>
          </cell>
          <cell r="B1916">
            <v>1351.28</v>
          </cell>
          <cell r="C1916">
            <v>1432.21</v>
          </cell>
          <cell r="D1916">
            <v>134.91999999999999</v>
          </cell>
          <cell r="E1916">
            <v>141.24</v>
          </cell>
          <cell r="F1916">
            <v>144.66</v>
          </cell>
          <cell r="G1916">
            <v>129.22999999999999</v>
          </cell>
          <cell r="H1916">
            <v>1431.6</v>
          </cell>
          <cell r="I1916">
            <v>135.53</v>
          </cell>
        </row>
        <row r="1917">
          <cell r="A1917">
            <v>34457</v>
          </cell>
          <cell r="B1917">
            <v>1340.99</v>
          </cell>
          <cell r="C1917">
            <v>1428.69</v>
          </cell>
          <cell r="D1917">
            <v>134.15</v>
          </cell>
          <cell r="E1917">
            <v>140.85</v>
          </cell>
          <cell r="F1917">
            <v>144.38</v>
          </cell>
          <cell r="G1917">
            <v>128.12</v>
          </cell>
          <cell r="H1917">
            <v>1439.39</v>
          </cell>
          <cell r="I1917">
            <v>136.07</v>
          </cell>
        </row>
        <row r="1918">
          <cell r="A1918">
            <v>34458</v>
          </cell>
          <cell r="B1918">
            <v>1330.15</v>
          </cell>
          <cell r="C1918">
            <v>1414.59</v>
          </cell>
          <cell r="D1918">
            <v>133.05000000000001</v>
          </cell>
          <cell r="E1918">
            <v>139.44999999999999</v>
          </cell>
          <cell r="F1918">
            <v>142.96</v>
          </cell>
          <cell r="G1918">
            <v>127.28</v>
          </cell>
          <cell r="H1918">
            <v>1430.64</v>
          </cell>
          <cell r="I1918">
            <v>135.38999999999999</v>
          </cell>
        </row>
        <row r="1919">
          <cell r="A1919">
            <v>34459</v>
          </cell>
          <cell r="B1919">
            <v>1335.95</v>
          </cell>
          <cell r="C1919">
            <v>1414.68</v>
          </cell>
          <cell r="D1919">
            <v>133.46</v>
          </cell>
          <cell r="E1919">
            <v>139.30000000000001</v>
          </cell>
          <cell r="F1919">
            <v>142.69</v>
          </cell>
          <cell r="G1919">
            <v>128.19</v>
          </cell>
          <cell r="H1919">
            <v>1433.35</v>
          </cell>
          <cell r="I1919">
            <v>135.43</v>
          </cell>
        </row>
        <row r="1920">
          <cell r="A1920">
            <v>34460</v>
          </cell>
          <cell r="B1920">
            <v>1338.53</v>
          </cell>
          <cell r="C1920">
            <v>1425.01</v>
          </cell>
          <cell r="D1920">
            <v>133.63</v>
          </cell>
          <cell r="E1920">
            <v>140.32</v>
          </cell>
          <cell r="F1920">
            <v>143.25</v>
          </cell>
          <cell r="G1920">
            <v>127.6</v>
          </cell>
          <cell r="H1920">
            <v>1427.55</v>
          </cell>
          <cell r="I1920">
            <v>135.07</v>
          </cell>
        </row>
        <row r="1921">
          <cell r="A1921">
            <v>34463</v>
          </cell>
          <cell r="B1921">
            <v>1323.91</v>
          </cell>
          <cell r="C1921">
            <v>1413.35</v>
          </cell>
          <cell r="D1921">
            <v>132.38</v>
          </cell>
          <cell r="E1921">
            <v>139.34</v>
          </cell>
          <cell r="F1921">
            <v>141.65</v>
          </cell>
          <cell r="G1921">
            <v>126.12</v>
          </cell>
          <cell r="H1921">
            <v>1408.42</v>
          </cell>
          <cell r="I1921">
            <v>133.24</v>
          </cell>
        </row>
        <row r="1922">
          <cell r="A1922">
            <v>34464</v>
          </cell>
          <cell r="B1922">
            <v>1340.54</v>
          </cell>
          <cell r="C1922">
            <v>1429.21</v>
          </cell>
          <cell r="D1922">
            <v>133.81</v>
          </cell>
          <cell r="E1922">
            <v>140.65</v>
          </cell>
          <cell r="F1922">
            <v>142.99</v>
          </cell>
          <cell r="G1922">
            <v>127.64</v>
          </cell>
          <cell r="H1922">
            <v>1412.38</v>
          </cell>
          <cell r="I1922">
            <v>133.63999999999999</v>
          </cell>
        </row>
        <row r="1923">
          <cell r="A1923">
            <v>34465</v>
          </cell>
          <cell r="B1923">
            <v>1341.85</v>
          </cell>
          <cell r="C1923">
            <v>1431.48</v>
          </cell>
          <cell r="D1923">
            <v>133.99</v>
          </cell>
          <cell r="E1923">
            <v>140.9</v>
          </cell>
          <cell r="F1923">
            <v>143.35</v>
          </cell>
          <cell r="G1923">
            <v>127.77</v>
          </cell>
          <cell r="H1923">
            <v>1421.4</v>
          </cell>
          <cell r="I1923">
            <v>134.53</v>
          </cell>
        </row>
        <row r="1924">
          <cell r="A1924">
            <v>34466</v>
          </cell>
          <cell r="B1924">
            <v>1347.35</v>
          </cell>
          <cell r="C1924">
            <v>1433.57</v>
          </cell>
          <cell r="D1924">
            <v>134.28</v>
          </cell>
          <cell r="E1924">
            <v>141.09</v>
          </cell>
          <cell r="F1924">
            <v>143.51</v>
          </cell>
          <cell r="G1924">
            <v>128.15</v>
          </cell>
          <cell r="H1924">
            <v>1422.96</v>
          </cell>
          <cell r="I1924">
            <v>134.66</v>
          </cell>
        </row>
        <row r="1925">
          <cell r="A1925">
            <v>34467</v>
          </cell>
          <cell r="B1925">
            <v>1350.25</v>
          </cell>
          <cell r="C1925">
            <v>1437.29</v>
          </cell>
          <cell r="D1925">
            <v>134.51</v>
          </cell>
          <cell r="E1925">
            <v>141.55000000000001</v>
          </cell>
          <cell r="F1925">
            <v>144.28</v>
          </cell>
          <cell r="G1925">
            <v>128.16999999999999</v>
          </cell>
          <cell r="H1925">
            <v>1446.69</v>
          </cell>
          <cell r="I1925">
            <v>136.35</v>
          </cell>
        </row>
        <row r="1926">
          <cell r="A1926">
            <v>34470</v>
          </cell>
          <cell r="B1926">
            <v>1352.81</v>
          </cell>
          <cell r="C1926">
            <v>1437.63</v>
          </cell>
          <cell r="D1926">
            <v>134.58000000000001</v>
          </cell>
          <cell r="E1926">
            <v>141.27000000000001</v>
          </cell>
          <cell r="F1926">
            <v>144.31</v>
          </cell>
          <cell r="G1926">
            <v>128.56</v>
          </cell>
          <cell r="H1926">
            <v>1451.55</v>
          </cell>
          <cell r="I1926">
            <v>136.53</v>
          </cell>
        </row>
        <row r="1927">
          <cell r="A1927">
            <v>34471</v>
          </cell>
          <cell r="B1927">
            <v>1358.36</v>
          </cell>
          <cell r="C1927">
            <v>1440.05</v>
          </cell>
          <cell r="D1927">
            <v>134.88999999999999</v>
          </cell>
          <cell r="E1927">
            <v>141.47</v>
          </cell>
          <cell r="F1927">
            <v>144.66999999999999</v>
          </cell>
          <cell r="G1927">
            <v>128.97</v>
          </cell>
          <cell r="H1927">
            <v>1458.43</v>
          </cell>
          <cell r="I1927">
            <v>136.96</v>
          </cell>
        </row>
        <row r="1928">
          <cell r="A1928">
            <v>34472</v>
          </cell>
          <cell r="B1928">
            <v>1353.5</v>
          </cell>
          <cell r="C1928">
            <v>1441.33</v>
          </cell>
          <cell r="D1928">
            <v>134.57</v>
          </cell>
          <cell r="E1928">
            <v>141.76</v>
          </cell>
          <cell r="F1928">
            <v>144.84</v>
          </cell>
          <cell r="G1928">
            <v>128.1</v>
          </cell>
          <cell r="H1928">
            <v>1451.41</v>
          </cell>
          <cell r="I1928">
            <v>136.44999999999999</v>
          </cell>
        </row>
        <row r="1929">
          <cell r="A1929">
            <v>34473</v>
          </cell>
          <cell r="B1929">
            <v>1349.29</v>
          </cell>
          <cell r="C1929">
            <v>1434.04</v>
          </cell>
          <cell r="D1929">
            <v>134.37</v>
          </cell>
          <cell r="E1929">
            <v>141.08000000000001</v>
          </cell>
          <cell r="F1929">
            <v>144.19</v>
          </cell>
          <cell r="G1929">
            <v>128.32</v>
          </cell>
          <cell r="H1929">
            <v>1451.97</v>
          </cell>
          <cell r="I1929">
            <v>136.47999999999999</v>
          </cell>
        </row>
        <row r="1930">
          <cell r="A1930">
            <v>34474</v>
          </cell>
          <cell r="B1930">
            <v>1341.33</v>
          </cell>
          <cell r="C1930">
            <v>1425.53</v>
          </cell>
          <cell r="D1930">
            <v>133.65</v>
          </cell>
          <cell r="E1930">
            <v>140.4</v>
          </cell>
          <cell r="F1930">
            <v>143.6</v>
          </cell>
          <cell r="G1930">
            <v>127.57</v>
          </cell>
          <cell r="H1930">
            <v>1442.1</v>
          </cell>
          <cell r="I1930">
            <v>135.69999999999999</v>
          </cell>
        </row>
        <row r="1931">
          <cell r="A1931">
            <v>34477</v>
          </cell>
          <cell r="B1931">
            <v>1336.18</v>
          </cell>
          <cell r="C1931">
            <v>1421</v>
          </cell>
          <cell r="D1931">
            <v>133.06</v>
          </cell>
          <cell r="E1931">
            <v>139.85</v>
          </cell>
          <cell r="F1931">
            <v>143.16</v>
          </cell>
          <cell r="G1931">
            <v>126.94</v>
          </cell>
          <cell r="H1931">
            <v>1441.13</v>
          </cell>
          <cell r="I1931">
            <v>135.69999999999999</v>
          </cell>
        </row>
        <row r="1932">
          <cell r="A1932">
            <v>34478</v>
          </cell>
          <cell r="B1932">
            <v>1323.61</v>
          </cell>
          <cell r="C1932">
            <v>1400.81</v>
          </cell>
          <cell r="D1932">
            <v>131.88</v>
          </cell>
          <cell r="E1932">
            <v>138.13</v>
          </cell>
          <cell r="F1932">
            <v>141.32</v>
          </cell>
          <cell r="G1932">
            <v>126.24</v>
          </cell>
          <cell r="H1932">
            <v>1424.48</v>
          </cell>
          <cell r="I1932">
            <v>134.13</v>
          </cell>
        </row>
        <row r="1933">
          <cell r="A1933">
            <v>34479</v>
          </cell>
          <cell r="B1933">
            <v>1302.8399999999999</v>
          </cell>
          <cell r="C1933">
            <v>1381.18</v>
          </cell>
          <cell r="D1933">
            <v>129.85</v>
          </cell>
          <cell r="E1933">
            <v>136.38999999999999</v>
          </cell>
          <cell r="F1933">
            <v>139.72</v>
          </cell>
          <cell r="G1933">
            <v>123.94</v>
          </cell>
          <cell r="H1933">
            <v>1398.24</v>
          </cell>
          <cell r="I1933">
            <v>131.87</v>
          </cell>
        </row>
        <row r="1934">
          <cell r="A1934">
            <v>34480</v>
          </cell>
          <cell r="B1934">
            <v>1299.92</v>
          </cell>
          <cell r="C1934">
            <v>1371.98</v>
          </cell>
          <cell r="D1934">
            <v>129.49</v>
          </cell>
          <cell r="E1934">
            <v>135.47</v>
          </cell>
          <cell r="F1934">
            <v>139.16999999999999</v>
          </cell>
          <cell r="G1934">
            <v>124.08</v>
          </cell>
          <cell r="H1934">
            <v>1406.84</v>
          </cell>
          <cell r="I1934">
            <v>132.57</v>
          </cell>
        </row>
        <row r="1935">
          <cell r="A1935">
            <v>34481</v>
          </cell>
          <cell r="B1935">
            <v>1288.76</v>
          </cell>
          <cell r="C1935">
            <v>1365.66</v>
          </cell>
          <cell r="D1935">
            <v>128.46</v>
          </cell>
          <cell r="E1935">
            <v>134.79</v>
          </cell>
          <cell r="F1935">
            <v>138.88</v>
          </cell>
          <cell r="G1935">
            <v>122.75</v>
          </cell>
          <cell r="H1935">
            <v>1415.31</v>
          </cell>
          <cell r="I1935">
            <v>133.22999999999999</v>
          </cell>
        </row>
        <row r="1936">
          <cell r="A1936">
            <v>34484</v>
          </cell>
          <cell r="B1936">
            <v>1288.92</v>
          </cell>
          <cell r="C1936">
            <v>1363.29</v>
          </cell>
          <cell r="D1936">
            <v>128.43</v>
          </cell>
          <cell r="E1936">
            <v>134.57</v>
          </cell>
          <cell r="F1936">
            <v>138.74</v>
          </cell>
          <cell r="G1936">
            <v>122.9</v>
          </cell>
          <cell r="H1936">
            <v>1400.24</v>
          </cell>
          <cell r="I1936">
            <v>131.91</v>
          </cell>
        </row>
        <row r="1937">
          <cell r="A1937">
            <v>34485</v>
          </cell>
          <cell r="B1937">
            <v>1285.8699999999999</v>
          </cell>
          <cell r="C1937">
            <v>1358.74</v>
          </cell>
          <cell r="D1937">
            <v>127.77</v>
          </cell>
          <cell r="E1937">
            <v>133.57</v>
          </cell>
          <cell r="F1937">
            <v>137.6</v>
          </cell>
          <cell r="G1937">
            <v>122.54</v>
          </cell>
          <cell r="H1937">
            <v>1370.85</v>
          </cell>
          <cell r="I1937">
            <v>129.30000000000001</v>
          </cell>
        </row>
        <row r="1938">
          <cell r="A1938">
            <v>34486</v>
          </cell>
          <cell r="B1938">
            <v>1278.83</v>
          </cell>
          <cell r="C1938">
            <v>1348.31</v>
          </cell>
          <cell r="D1938">
            <v>127.04</v>
          </cell>
          <cell r="E1938">
            <v>132.65</v>
          </cell>
          <cell r="F1938">
            <v>136.88</v>
          </cell>
          <cell r="G1938">
            <v>121.99</v>
          </cell>
          <cell r="H1938">
            <v>1361.45</v>
          </cell>
          <cell r="I1938">
            <v>128.19999999999999</v>
          </cell>
        </row>
        <row r="1939">
          <cell r="A1939">
            <v>34487</v>
          </cell>
          <cell r="B1939">
            <v>1290.6099999999999</v>
          </cell>
          <cell r="C1939">
            <v>1355</v>
          </cell>
          <cell r="D1939">
            <v>127.82</v>
          </cell>
          <cell r="E1939">
            <v>132.97999999999999</v>
          </cell>
          <cell r="F1939">
            <v>137.13999999999999</v>
          </cell>
          <cell r="G1939">
            <v>123.17</v>
          </cell>
          <cell r="H1939">
            <v>1367.68</v>
          </cell>
          <cell r="I1939">
            <v>128.84</v>
          </cell>
        </row>
        <row r="1940">
          <cell r="A1940">
            <v>34488</v>
          </cell>
          <cell r="B1940">
            <v>1302.82</v>
          </cell>
          <cell r="C1940">
            <v>1364.1</v>
          </cell>
          <cell r="D1940">
            <v>128.77000000000001</v>
          </cell>
          <cell r="E1940">
            <v>133.82</v>
          </cell>
          <cell r="F1940">
            <v>137.82</v>
          </cell>
          <cell r="G1940">
            <v>124.21</v>
          </cell>
          <cell r="H1940">
            <v>1378.56</v>
          </cell>
          <cell r="I1940">
            <v>129.61000000000001</v>
          </cell>
        </row>
        <row r="1941">
          <cell r="A1941">
            <v>34491</v>
          </cell>
          <cell r="B1941">
            <v>1315.04</v>
          </cell>
          <cell r="C1941">
            <v>1372.67</v>
          </cell>
          <cell r="D1941">
            <v>129.55000000000001</v>
          </cell>
          <cell r="E1941">
            <v>134.41</v>
          </cell>
          <cell r="F1941">
            <v>138.69999999999999</v>
          </cell>
          <cell r="G1941">
            <v>125.17</v>
          </cell>
          <cell r="H1941">
            <v>1385.35</v>
          </cell>
          <cell r="I1941">
            <v>130.37</v>
          </cell>
        </row>
        <row r="1942">
          <cell r="A1942">
            <v>34492</v>
          </cell>
          <cell r="B1942">
            <v>1309.44</v>
          </cell>
          <cell r="C1942">
            <v>1364.9</v>
          </cell>
          <cell r="D1942">
            <v>129.11000000000001</v>
          </cell>
          <cell r="E1942">
            <v>133.88999999999999</v>
          </cell>
          <cell r="F1942">
            <v>138.09</v>
          </cell>
          <cell r="G1942">
            <v>124.79</v>
          </cell>
          <cell r="H1942">
            <v>1366.75</v>
          </cell>
          <cell r="I1942">
            <v>128.51</v>
          </cell>
        </row>
        <row r="1943">
          <cell r="A1943">
            <v>34493</v>
          </cell>
          <cell r="B1943">
            <v>1318.41</v>
          </cell>
          <cell r="C1943">
            <v>1370.33</v>
          </cell>
          <cell r="D1943">
            <v>130.11000000000001</v>
          </cell>
          <cell r="E1943">
            <v>134.68</v>
          </cell>
          <cell r="F1943">
            <v>138.9</v>
          </cell>
          <cell r="G1943">
            <v>125.99</v>
          </cell>
          <cell r="H1943">
            <v>1374.61</v>
          </cell>
          <cell r="I1943">
            <v>128.91999999999999</v>
          </cell>
        </row>
        <row r="1944">
          <cell r="A1944">
            <v>34494</v>
          </cell>
          <cell r="B1944">
            <v>1310.4000000000001</v>
          </cell>
          <cell r="C1944">
            <v>1362.82</v>
          </cell>
          <cell r="D1944">
            <v>129.54</v>
          </cell>
          <cell r="E1944">
            <v>134.05000000000001</v>
          </cell>
          <cell r="F1944">
            <v>138.24</v>
          </cell>
          <cell r="G1944">
            <v>125.45</v>
          </cell>
          <cell r="H1944">
            <v>1363.89</v>
          </cell>
          <cell r="I1944">
            <v>127.96</v>
          </cell>
        </row>
        <row r="1945">
          <cell r="A1945">
            <v>34495</v>
          </cell>
          <cell r="B1945">
            <v>1316.69</v>
          </cell>
          <cell r="C1945">
            <v>1368.07</v>
          </cell>
          <cell r="D1945">
            <v>129.93</v>
          </cell>
          <cell r="E1945">
            <v>134.31</v>
          </cell>
          <cell r="F1945">
            <v>138.37</v>
          </cell>
          <cell r="G1945">
            <v>125.96</v>
          </cell>
          <cell r="H1945">
            <v>1357.32</v>
          </cell>
          <cell r="I1945">
            <v>127.5</v>
          </cell>
        </row>
        <row r="1946">
          <cell r="A1946">
            <v>34498</v>
          </cell>
          <cell r="B1946">
            <v>1297.55</v>
          </cell>
          <cell r="C1946">
            <v>1347.58</v>
          </cell>
          <cell r="D1946">
            <v>128.19999999999999</v>
          </cell>
          <cell r="E1946">
            <v>132.32</v>
          </cell>
          <cell r="F1946">
            <v>136.66999999999999</v>
          </cell>
          <cell r="G1946">
            <v>124.47</v>
          </cell>
          <cell r="H1946">
            <v>1346.47</v>
          </cell>
          <cell r="I1946">
            <v>126.38</v>
          </cell>
        </row>
        <row r="1947">
          <cell r="A1947">
            <v>34499</v>
          </cell>
          <cell r="B1947">
            <v>1296.45</v>
          </cell>
          <cell r="C1947">
            <v>1339.28</v>
          </cell>
          <cell r="D1947">
            <v>127.83</v>
          </cell>
          <cell r="E1947">
            <v>131.31</v>
          </cell>
          <cell r="F1947">
            <v>135.78</v>
          </cell>
          <cell r="G1947">
            <v>124.66</v>
          </cell>
          <cell r="H1947">
            <v>1338.86</v>
          </cell>
          <cell r="I1947">
            <v>125.41</v>
          </cell>
        </row>
        <row r="1948">
          <cell r="A1948">
            <v>34500</v>
          </cell>
          <cell r="B1948">
            <v>1291.19</v>
          </cell>
          <cell r="C1948">
            <v>1334.64</v>
          </cell>
          <cell r="D1948">
            <v>127.45</v>
          </cell>
          <cell r="E1948">
            <v>130.80000000000001</v>
          </cell>
          <cell r="F1948">
            <v>135.33000000000001</v>
          </cell>
          <cell r="G1948">
            <v>124.4</v>
          </cell>
          <cell r="H1948">
            <v>1342.12</v>
          </cell>
          <cell r="I1948">
            <v>125.91</v>
          </cell>
        </row>
        <row r="1949">
          <cell r="A1949">
            <v>34501</v>
          </cell>
          <cell r="B1949">
            <v>1280.55</v>
          </cell>
          <cell r="C1949">
            <v>1320.83</v>
          </cell>
          <cell r="D1949">
            <v>126.41</v>
          </cell>
          <cell r="E1949">
            <v>129.52000000000001</v>
          </cell>
          <cell r="F1949">
            <v>134.04</v>
          </cell>
          <cell r="G1949">
            <v>123.59</v>
          </cell>
          <cell r="H1949">
            <v>1330.07</v>
          </cell>
          <cell r="I1949">
            <v>124.93</v>
          </cell>
        </row>
        <row r="1950">
          <cell r="A1950">
            <v>34502</v>
          </cell>
          <cell r="B1950">
            <v>1273.07</v>
          </cell>
          <cell r="C1950">
            <v>1315.61</v>
          </cell>
          <cell r="D1950">
            <v>125.51</v>
          </cell>
          <cell r="E1950">
            <v>128.91</v>
          </cell>
          <cell r="F1950">
            <v>133.18</v>
          </cell>
          <cell r="G1950">
            <v>122.42</v>
          </cell>
          <cell r="H1950">
            <v>1323.69</v>
          </cell>
          <cell r="I1950">
            <v>124.39</v>
          </cell>
        </row>
        <row r="1951">
          <cell r="A1951">
            <v>34505</v>
          </cell>
          <cell r="B1951">
            <v>1236.8599999999999</v>
          </cell>
          <cell r="C1951">
            <v>1278.3800000000001</v>
          </cell>
          <cell r="D1951">
            <v>122.46</v>
          </cell>
          <cell r="E1951">
            <v>125.59</v>
          </cell>
          <cell r="F1951">
            <v>129.6</v>
          </cell>
          <cell r="G1951">
            <v>119.62</v>
          </cell>
          <cell r="H1951">
            <v>1289.3800000000001</v>
          </cell>
          <cell r="I1951">
            <v>121.39</v>
          </cell>
        </row>
        <row r="1952">
          <cell r="A1952">
            <v>34506</v>
          </cell>
          <cell r="B1952">
            <v>1227.21</v>
          </cell>
          <cell r="C1952">
            <v>1272</v>
          </cell>
          <cell r="D1952">
            <v>121.82</v>
          </cell>
          <cell r="E1952">
            <v>125.2</v>
          </cell>
          <cell r="F1952">
            <v>129.26</v>
          </cell>
          <cell r="G1952">
            <v>118.76</v>
          </cell>
          <cell r="H1952">
            <v>1283.3399999999999</v>
          </cell>
          <cell r="I1952">
            <v>120.62</v>
          </cell>
        </row>
        <row r="1953">
          <cell r="A1953">
            <v>34507</v>
          </cell>
          <cell r="B1953">
            <v>1240.94</v>
          </cell>
          <cell r="C1953">
            <v>1285.93</v>
          </cell>
          <cell r="D1953">
            <v>122.93</v>
          </cell>
          <cell r="E1953">
            <v>126.46</v>
          </cell>
          <cell r="F1953">
            <v>130.6</v>
          </cell>
          <cell r="G1953">
            <v>119.74</v>
          </cell>
          <cell r="H1953">
            <v>1290.5899999999999</v>
          </cell>
          <cell r="I1953">
            <v>120.97</v>
          </cell>
        </row>
        <row r="1954">
          <cell r="A1954">
            <v>34508</v>
          </cell>
          <cell r="B1954">
            <v>1252.9100000000001</v>
          </cell>
          <cell r="C1954">
            <v>1306.6400000000001</v>
          </cell>
          <cell r="D1954">
            <v>123.79</v>
          </cell>
          <cell r="E1954">
            <v>128.13</v>
          </cell>
          <cell r="F1954">
            <v>132.24</v>
          </cell>
          <cell r="G1954">
            <v>119.86</v>
          </cell>
          <cell r="H1954">
            <v>1308.1300000000001</v>
          </cell>
          <cell r="I1954">
            <v>122.59</v>
          </cell>
        </row>
        <row r="1955">
          <cell r="A1955">
            <v>34509</v>
          </cell>
          <cell r="B1955">
            <v>1232.55</v>
          </cell>
          <cell r="C1955">
            <v>1290.51</v>
          </cell>
          <cell r="D1955">
            <v>122</v>
          </cell>
          <cell r="E1955">
            <v>126.74</v>
          </cell>
          <cell r="F1955">
            <v>130.94999999999999</v>
          </cell>
          <cell r="G1955">
            <v>117.72</v>
          </cell>
          <cell r="H1955">
            <v>1306.21</v>
          </cell>
          <cell r="I1955">
            <v>122.48</v>
          </cell>
        </row>
        <row r="1956">
          <cell r="A1956">
            <v>34512</v>
          </cell>
          <cell r="B1956">
            <v>1227.8399999999999</v>
          </cell>
          <cell r="C1956">
            <v>1278.8</v>
          </cell>
          <cell r="D1956">
            <v>121.56</v>
          </cell>
          <cell r="E1956">
            <v>126.09</v>
          </cell>
          <cell r="F1956">
            <v>130.15</v>
          </cell>
          <cell r="G1956">
            <v>117.45</v>
          </cell>
          <cell r="H1956">
            <v>1288.8800000000001</v>
          </cell>
          <cell r="I1956">
            <v>120.94</v>
          </cell>
        </row>
        <row r="1957">
          <cell r="A1957">
            <v>34513</v>
          </cell>
          <cell r="B1957">
            <v>1237.92</v>
          </cell>
          <cell r="C1957">
            <v>1289.22</v>
          </cell>
          <cell r="D1957">
            <v>122.5</v>
          </cell>
          <cell r="E1957">
            <v>127.18</v>
          </cell>
          <cell r="F1957">
            <v>131.35</v>
          </cell>
          <cell r="G1957">
            <v>118.27</v>
          </cell>
          <cell r="H1957">
            <v>1300.8800000000001</v>
          </cell>
          <cell r="I1957">
            <v>122.05</v>
          </cell>
        </row>
        <row r="1958">
          <cell r="A1958">
            <v>34514</v>
          </cell>
          <cell r="B1958">
            <v>1249.1400000000001</v>
          </cell>
          <cell r="C1958">
            <v>1299.5</v>
          </cell>
          <cell r="D1958">
            <v>123.66</v>
          </cell>
          <cell r="E1958">
            <v>128.1</v>
          </cell>
          <cell r="F1958">
            <v>132.29</v>
          </cell>
          <cell r="G1958">
            <v>119.64</v>
          </cell>
          <cell r="H1958">
            <v>1310.23</v>
          </cell>
          <cell r="I1958">
            <v>123.09</v>
          </cell>
        </row>
        <row r="1959">
          <cell r="A1959">
            <v>34515</v>
          </cell>
          <cell r="B1959">
            <v>1236.04</v>
          </cell>
          <cell r="C1959">
            <v>1284.5999999999999</v>
          </cell>
          <cell r="D1959">
            <v>122.59</v>
          </cell>
          <cell r="E1959">
            <v>126.73</v>
          </cell>
          <cell r="F1959">
            <v>131.19</v>
          </cell>
          <cell r="G1959">
            <v>118.85</v>
          </cell>
          <cell r="H1959">
            <v>1307.8800000000001</v>
          </cell>
          <cell r="I1959">
            <v>123.12</v>
          </cell>
        </row>
        <row r="1960">
          <cell r="A1960">
            <v>34516</v>
          </cell>
          <cell r="B1960">
            <v>1240.4000000000001</v>
          </cell>
          <cell r="C1960">
            <v>1286.27</v>
          </cell>
          <cell r="D1960">
            <v>122.71</v>
          </cell>
          <cell r="E1960">
            <v>126.63</v>
          </cell>
          <cell r="F1960">
            <v>130.75</v>
          </cell>
          <cell r="G1960">
            <v>119.15</v>
          </cell>
          <cell r="H1960">
            <v>1278.01</v>
          </cell>
          <cell r="I1960">
            <v>120.59</v>
          </cell>
        </row>
        <row r="1961">
          <cell r="A1961">
            <v>34519</v>
          </cell>
          <cell r="B1961">
            <v>1249.06</v>
          </cell>
          <cell r="C1961">
            <v>1288.94</v>
          </cell>
          <cell r="D1961">
            <v>123.58</v>
          </cell>
          <cell r="E1961">
            <v>127.1</v>
          </cell>
          <cell r="F1961">
            <v>131.41</v>
          </cell>
          <cell r="G1961">
            <v>120.38</v>
          </cell>
          <cell r="H1961">
            <v>1291.0899999999999</v>
          </cell>
          <cell r="I1961">
            <v>121.61</v>
          </cell>
        </row>
        <row r="1962">
          <cell r="A1962">
            <v>34520</v>
          </cell>
          <cell r="B1962">
            <v>1241.52</v>
          </cell>
          <cell r="C1962">
            <v>1286.05</v>
          </cell>
          <cell r="D1962">
            <v>122.79</v>
          </cell>
          <cell r="E1962">
            <v>126.71</v>
          </cell>
          <cell r="F1962">
            <v>130.69999999999999</v>
          </cell>
          <cell r="G1962">
            <v>119.23</v>
          </cell>
          <cell r="H1962">
            <v>1263.92</v>
          </cell>
          <cell r="I1962">
            <v>119.51</v>
          </cell>
        </row>
        <row r="1963">
          <cell r="A1963">
            <v>34521</v>
          </cell>
          <cell r="B1963">
            <v>1239.9100000000001</v>
          </cell>
          <cell r="C1963">
            <v>1287.28</v>
          </cell>
          <cell r="D1963">
            <v>122.74</v>
          </cell>
          <cell r="E1963">
            <v>126.95</v>
          </cell>
          <cell r="F1963">
            <v>130.81</v>
          </cell>
          <cell r="G1963">
            <v>118.94</v>
          </cell>
          <cell r="H1963">
            <v>1266.6300000000001</v>
          </cell>
          <cell r="I1963">
            <v>119.74</v>
          </cell>
        </row>
        <row r="1964">
          <cell r="A1964">
            <v>34522</v>
          </cell>
          <cell r="B1964">
            <v>1240.42</v>
          </cell>
          <cell r="C1964">
            <v>1292</v>
          </cell>
          <cell r="D1964">
            <v>122.81</v>
          </cell>
          <cell r="E1964">
            <v>127.38</v>
          </cell>
          <cell r="F1964">
            <v>131.08000000000001</v>
          </cell>
          <cell r="G1964">
            <v>118.68</v>
          </cell>
          <cell r="H1964">
            <v>1272.3399999999999</v>
          </cell>
          <cell r="I1964">
            <v>120.34</v>
          </cell>
        </row>
        <row r="1965">
          <cell r="A1965">
            <v>34523</v>
          </cell>
          <cell r="B1965">
            <v>1243.28</v>
          </cell>
          <cell r="C1965">
            <v>1297.5999999999999</v>
          </cell>
          <cell r="D1965">
            <v>123.08</v>
          </cell>
          <cell r="E1965">
            <v>127.79</v>
          </cell>
          <cell r="F1965">
            <v>131.31</v>
          </cell>
          <cell r="G1965">
            <v>118.83</v>
          </cell>
          <cell r="H1965">
            <v>1282.3900000000001</v>
          </cell>
          <cell r="I1965">
            <v>121.17</v>
          </cell>
        </row>
        <row r="1966">
          <cell r="A1966">
            <v>34526</v>
          </cell>
          <cell r="B1966">
            <v>1247.5899999999999</v>
          </cell>
          <cell r="C1966">
            <v>1307.31</v>
          </cell>
          <cell r="D1966">
            <v>123.43</v>
          </cell>
          <cell r="E1966">
            <v>128.51</v>
          </cell>
          <cell r="F1966">
            <v>131.91</v>
          </cell>
          <cell r="G1966">
            <v>118.85</v>
          </cell>
          <cell r="H1966">
            <v>1294.45</v>
          </cell>
          <cell r="I1966">
            <v>121.85</v>
          </cell>
        </row>
        <row r="1967">
          <cell r="A1967">
            <v>34527</v>
          </cell>
          <cell r="B1967">
            <v>1233.23</v>
          </cell>
          <cell r="C1967">
            <v>1297.31</v>
          </cell>
          <cell r="D1967">
            <v>122.42</v>
          </cell>
          <cell r="E1967">
            <v>127.74</v>
          </cell>
          <cell r="F1967">
            <v>130.99</v>
          </cell>
          <cell r="G1967">
            <v>117.63</v>
          </cell>
          <cell r="H1967">
            <v>1312.39</v>
          </cell>
          <cell r="I1967">
            <v>123.22</v>
          </cell>
        </row>
        <row r="1968">
          <cell r="A1968">
            <v>34528</v>
          </cell>
          <cell r="B1968">
            <v>1246.52</v>
          </cell>
          <cell r="C1968">
            <v>1310.6400000000001</v>
          </cell>
          <cell r="D1968">
            <v>123.66</v>
          </cell>
          <cell r="E1968">
            <v>129</v>
          </cell>
          <cell r="F1968">
            <v>131.81</v>
          </cell>
          <cell r="G1968">
            <v>118.85</v>
          </cell>
          <cell r="H1968">
            <v>1321.24</v>
          </cell>
          <cell r="I1968">
            <v>124.08</v>
          </cell>
        </row>
        <row r="1969">
          <cell r="A1969">
            <v>34529</v>
          </cell>
          <cell r="B1969">
            <v>1259.02</v>
          </cell>
          <cell r="C1969">
            <v>1314</v>
          </cell>
          <cell r="D1969">
            <v>124.8</v>
          </cell>
          <cell r="E1969">
            <v>129.30000000000001</v>
          </cell>
          <cell r="F1969">
            <v>132.35</v>
          </cell>
          <cell r="G1969">
            <v>120.73</v>
          </cell>
          <cell r="H1969">
            <v>1319.39</v>
          </cell>
          <cell r="I1969">
            <v>123.88</v>
          </cell>
        </row>
        <row r="1970">
          <cell r="A1970">
            <v>34530</v>
          </cell>
          <cell r="B1970">
            <v>1270.81</v>
          </cell>
          <cell r="C1970">
            <v>1327.15</v>
          </cell>
          <cell r="D1970">
            <v>125.74</v>
          </cell>
          <cell r="E1970">
            <v>130.37</v>
          </cell>
          <cell r="F1970">
            <v>133.26</v>
          </cell>
          <cell r="G1970">
            <v>121.56</v>
          </cell>
          <cell r="H1970">
            <v>1331.34</v>
          </cell>
          <cell r="I1970">
            <v>124.77</v>
          </cell>
        </row>
        <row r="1971">
          <cell r="A1971">
            <v>34533</v>
          </cell>
          <cell r="B1971">
            <v>1272.6400000000001</v>
          </cell>
          <cell r="C1971">
            <v>1338.19</v>
          </cell>
          <cell r="D1971">
            <v>126.16</v>
          </cell>
          <cell r="E1971">
            <v>131.26</v>
          </cell>
          <cell r="F1971">
            <v>133.97999999999999</v>
          </cell>
          <cell r="G1971">
            <v>121.56</v>
          </cell>
          <cell r="H1971">
            <v>1346.92</v>
          </cell>
          <cell r="I1971">
            <v>126.39</v>
          </cell>
        </row>
        <row r="1972">
          <cell r="A1972">
            <v>34534</v>
          </cell>
          <cell r="B1972">
            <v>1284.57</v>
          </cell>
          <cell r="C1972">
            <v>1354.19</v>
          </cell>
          <cell r="D1972">
            <v>127.38</v>
          </cell>
          <cell r="E1972">
            <v>132.94999999999999</v>
          </cell>
          <cell r="F1972">
            <v>135.41999999999999</v>
          </cell>
          <cell r="G1972">
            <v>122.36</v>
          </cell>
          <cell r="H1972">
            <v>1355.92</v>
          </cell>
          <cell r="I1972">
            <v>127.35</v>
          </cell>
        </row>
        <row r="1973">
          <cell r="A1973">
            <v>34535</v>
          </cell>
          <cell r="B1973">
            <v>1281.96</v>
          </cell>
          <cell r="C1973">
            <v>1353.32</v>
          </cell>
          <cell r="D1973">
            <v>127.3</v>
          </cell>
          <cell r="E1973">
            <v>133.08000000000001</v>
          </cell>
          <cell r="F1973">
            <v>135.99</v>
          </cell>
          <cell r="G1973">
            <v>122.1</v>
          </cell>
          <cell r="H1973">
            <v>1366.02</v>
          </cell>
          <cell r="I1973">
            <v>128.28</v>
          </cell>
        </row>
        <row r="1974">
          <cell r="A1974">
            <v>34536</v>
          </cell>
          <cell r="B1974">
            <v>1286.58</v>
          </cell>
          <cell r="C1974">
            <v>1354.42</v>
          </cell>
          <cell r="D1974">
            <v>127.82</v>
          </cell>
          <cell r="E1974">
            <v>133.32</v>
          </cell>
          <cell r="F1974">
            <v>136.27000000000001</v>
          </cell>
          <cell r="G1974">
            <v>122.86</v>
          </cell>
          <cell r="H1974">
            <v>1371.3</v>
          </cell>
          <cell r="I1974">
            <v>129</v>
          </cell>
        </row>
        <row r="1975">
          <cell r="A1975">
            <v>34537</v>
          </cell>
          <cell r="B1975">
            <v>1298.99</v>
          </cell>
          <cell r="C1975">
            <v>1367.05</v>
          </cell>
          <cell r="D1975">
            <v>128.91</v>
          </cell>
          <cell r="E1975">
            <v>134.19999999999999</v>
          </cell>
          <cell r="F1975">
            <v>137.19</v>
          </cell>
          <cell r="G1975">
            <v>124.14</v>
          </cell>
          <cell r="H1975">
            <v>1383.57</v>
          </cell>
          <cell r="I1975">
            <v>129.97999999999999</v>
          </cell>
        </row>
        <row r="1976">
          <cell r="A1976">
            <v>34540</v>
          </cell>
          <cell r="B1976">
            <v>1294.78</v>
          </cell>
          <cell r="C1976">
            <v>1366.36</v>
          </cell>
          <cell r="D1976">
            <v>128.63</v>
          </cell>
          <cell r="E1976">
            <v>134.15</v>
          </cell>
          <cell r="F1976">
            <v>137.19</v>
          </cell>
          <cell r="G1976">
            <v>123.65</v>
          </cell>
          <cell r="H1976">
            <v>1386.1</v>
          </cell>
          <cell r="I1976">
            <v>130.1</v>
          </cell>
        </row>
        <row r="1977">
          <cell r="A1977">
            <v>34541</v>
          </cell>
          <cell r="B1977">
            <v>1295.6500000000001</v>
          </cell>
          <cell r="C1977">
            <v>1370.81</v>
          </cell>
          <cell r="D1977">
            <v>128.76</v>
          </cell>
          <cell r="E1977">
            <v>134.56</v>
          </cell>
          <cell r="F1977">
            <v>137.55000000000001</v>
          </cell>
          <cell r="G1977">
            <v>123.53</v>
          </cell>
          <cell r="H1977">
            <v>1392.23</v>
          </cell>
          <cell r="I1977">
            <v>130.74</v>
          </cell>
        </row>
        <row r="1978">
          <cell r="A1978">
            <v>34542</v>
          </cell>
          <cell r="B1978">
            <v>1279.19</v>
          </cell>
          <cell r="C1978">
            <v>1360.05</v>
          </cell>
          <cell r="D1978">
            <v>127.56</v>
          </cell>
          <cell r="E1978">
            <v>133.57</v>
          </cell>
          <cell r="F1978">
            <v>136.38</v>
          </cell>
          <cell r="G1978">
            <v>122.14</v>
          </cell>
          <cell r="H1978">
            <v>1389</v>
          </cell>
          <cell r="I1978">
            <v>130.32</v>
          </cell>
        </row>
        <row r="1979">
          <cell r="A1979">
            <v>34543</v>
          </cell>
          <cell r="B1979">
            <v>1282.78</v>
          </cell>
          <cell r="C1979">
            <v>1357.62</v>
          </cell>
          <cell r="D1979">
            <v>127.8</v>
          </cell>
          <cell r="E1979">
            <v>133.22999999999999</v>
          </cell>
          <cell r="F1979">
            <v>136.04</v>
          </cell>
          <cell r="G1979">
            <v>122.9</v>
          </cell>
          <cell r="H1979">
            <v>1375.02</v>
          </cell>
          <cell r="I1979">
            <v>129.11000000000001</v>
          </cell>
        </row>
        <row r="1980">
          <cell r="A1980">
            <v>34544</v>
          </cell>
          <cell r="B1980">
            <v>1294.3599999999999</v>
          </cell>
          <cell r="C1980">
            <v>1373.6</v>
          </cell>
          <cell r="D1980">
            <v>128.65</v>
          </cell>
          <cell r="E1980">
            <v>134.5</v>
          </cell>
          <cell r="F1980">
            <v>137.33000000000001</v>
          </cell>
          <cell r="G1980">
            <v>123.39</v>
          </cell>
          <cell r="H1980">
            <v>1389.33</v>
          </cell>
          <cell r="I1980">
            <v>130.29</v>
          </cell>
        </row>
        <row r="1981">
          <cell r="A1981">
            <v>34547</v>
          </cell>
          <cell r="B1981">
            <v>1299.22</v>
          </cell>
          <cell r="C1981">
            <v>1380.36</v>
          </cell>
          <cell r="D1981">
            <v>128.99</v>
          </cell>
          <cell r="E1981">
            <v>135.1</v>
          </cell>
          <cell r="F1981">
            <v>138.03</v>
          </cell>
          <cell r="G1981">
            <v>123.48</v>
          </cell>
          <cell r="H1981">
            <v>1399.67</v>
          </cell>
          <cell r="I1981">
            <v>131.32</v>
          </cell>
        </row>
        <row r="1982">
          <cell r="A1982">
            <v>34548</v>
          </cell>
          <cell r="B1982">
            <v>1321.92</v>
          </cell>
          <cell r="C1982">
            <v>1398.24</v>
          </cell>
          <cell r="D1982">
            <v>130.86000000000001</v>
          </cell>
          <cell r="E1982">
            <v>136.75</v>
          </cell>
          <cell r="F1982">
            <v>139.78</v>
          </cell>
          <cell r="G1982">
            <v>125.55</v>
          </cell>
          <cell r="H1982">
            <v>1420.61</v>
          </cell>
          <cell r="I1982">
            <v>133.37</v>
          </cell>
        </row>
        <row r="1983">
          <cell r="A1983">
            <v>34549</v>
          </cell>
          <cell r="B1983">
            <v>1322.94</v>
          </cell>
          <cell r="C1983">
            <v>1401.79</v>
          </cell>
          <cell r="D1983">
            <v>131.06</v>
          </cell>
          <cell r="E1983">
            <v>137.05000000000001</v>
          </cell>
          <cell r="F1983">
            <v>140</v>
          </cell>
          <cell r="G1983">
            <v>125.67</v>
          </cell>
          <cell r="H1983">
            <v>1417.51</v>
          </cell>
          <cell r="I1983">
            <v>133.1</v>
          </cell>
        </row>
        <row r="1984">
          <cell r="A1984">
            <v>34550</v>
          </cell>
          <cell r="B1984">
            <v>1319.21</v>
          </cell>
          <cell r="C1984">
            <v>1396.72</v>
          </cell>
          <cell r="D1984">
            <v>131.04</v>
          </cell>
          <cell r="E1984">
            <v>136.69</v>
          </cell>
          <cell r="F1984">
            <v>139.74</v>
          </cell>
          <cell r="G1984">
            <v>125.94</v>
          </cell>
          <cell r="H1984">
            <v>1419.49</v>
          </cell>
          <cell r="I1984">
            <v>133.08000000000001</v>
          </cell>
        </row>
        <row r="1985">
          <cell r="A1985">
            <v>34551</v>
          </cell>
          <cell r="B1985">
            <v>1320.25</v>
          </cell>
          <cell r="C1985">
            <v>1397.49</v>
          </cell>
          <cell r="D1985">
            <v>131.24</v>
          </cell>
          <cell r="E1985">
            <v>136.87</v>
          </cell>
          <cell r="F1985">
            <v>139.78</v>
          </cell>
          <cell r="G1985">
            <v>126.15</v>
          </cell>
          <cell r="H1985">
            <v>1408.2</v>
          </cell>
          <cell r="I1985">
            <v>132.11000000000001</v>
          </cell>
        </row>
        <row r="1986">
          <cell r="A1986">
            <v>34554</v>
          </cell>
          <cell r="B1986">
            <v>1320.97</v>
          </cell>
          <cell r="C1986">
            <v>1396.94</v>
          </cell>
          <cell r="D1986">
            <v>131.26</v>
          </cell>
          <cell r="E1986">
            <v>136.58000000000001</v>
          </cell>
          <cell r="F1986">
            <v>139.72</v>
          </cell>
          <cell r="G1986">
            <v>126.46</v>
          </cell>
          <cell r="H1986">
            <v>1408.85</v>
          </cell>
          <cell r="I1986">
            <v>132.01</v>
          </cell>
        </row>
        <row r="1987">
          <cell r="A1987">
            <v>34555</v>
          </cell>
          <cell r="B1987">
            <v>1310.81</v>
          </cell>
          <cell r="C1987">
            <v>1381.63</v>
          </cell>
          <cell r="D1987">
            <v>130.35</v>
          </cell>
          <cell r="E1987">
            <v>135.25</v>
          </cell>
          <cell r="F1987">
            <v>138.33000000000001</v>
          </cell>
          <cell r="G1987">
            <v>125.93</v>
          </cell>
          <cell r="H1987">
            <v>1395.98</v>
          </cell>
          <cell r="I1987">
            <v>130.94</v>
          </cell>
        </row>
        <row r="1988">
          <cell r="A1988">
            <v>34556</v>
          </cell>
          <cell r="B1988">
            <v>1301.97</v>
          </cell>
          <cell r="C1988">
            <v>1373.03</v>
          </cell>
          <cell r="D1988">
            <v>129.46</v>
          </cell>
          <cell r="E1988">
            <v>134.30000000000001</v>
          </cell>
          <cell r="F1988">
            <v>137.44999999999999</v>
          </cell>
          <cell r="G1988">
            <v>125.08</v>
          </cell>
          <cell r="H1988">
            <v>1364.96</v>
          </cell>
          <cell r="I1988">
            <v>128.47</v>
          </cell>
        </row>
        <row r="1989">
          <cell r="A1989">
            <v>34557</v>
          </cell>
          <cell r="B1989">
            <v>1301.28</v>
          </cell>
          <cell r="C1989">
            <v>1369.94</v>
          </cell>
          <cell r="D1989">
            <v>129.4</v>
          </cell>
          <cell r="E1989">
            <v>134.08000000000001</v>
          </cell>
          <cell r="F1989">
            <v>137.22</v>
          </cell>
          <cell r="G1989">
            <v>125.17</v>
          </cell>
          <cell r="H1989">
            <v>1359.35</v>
          </cell>
          <cell r="I1989">
            <v>127.95</v>
          </cell>
        </row>
        <row r="1990">
          <cell r="A1990">
            <v>34558</v>
          </cell>
          <cell r="B1990">
            <v>1287.3599999999999</v>
          </cell>
          <cell r="C1990">
            <v>1350.68</v>
          </cell>
          <cell r="D1990">
            <v>127.91</v>
          </cell>
          <cell r="E1990">
            <v>131.99</v>
          </cell>
          <cell r="F1990">
            <v>135.4</v>
          </cell>
          <cell r="G1990">
            <v>124.22</v>
          </cell>
          <cell r="H1990">
            <v>1324.22</v>
          </cell>
          <cell r="I1990">
            <v>124.64</v>
          </cell>
        </row>
        <row r="1991">
          <cell r="A1991">
            <v>34561</v>
          </cell>
          <cell r="B1991">
            <v>1287.26</v>
          </cell>
          <cell r="C1991">
            <v>1353.01</v>
          </cell>
          <cell r="D1991">
            <v>127.8</v>
          </cell>
          <cell r="E1991">
            <v>132.12</v>
          </cell>
          <cell r="F1991">
            <v>135.43</v>
          </cell>
          <cell r="G1991">
            <v>123.89</v>
          </cell>
          <cell r="H1991">
            <v>1321.19</v>
          </cell>
          <cell r="I1991">
            <v>124.22</v>
          </cell>
        </row>
        <row r="1992">
          <cell r="A1992">
            <v>34562</v>
          </cell>
          <cell r="B1992">
            <v>1292.1199999999999</v>
          </cell>
          <cell r="C1992">
            <v>1355.39</v>
          </cell>
          <cell r="D1992">
            <v>128.22999999999999</v>
          </cell>
          <cell r="E1992">
            <v>132.6</v>
          </cell>
          <cell r="F1992">
            <v>135.85</v>
          </cell>
          <cell r="G1992">
            <v>124.27</v>
          </cell>
          <cell r="H1992">
            <v>1319.02</v>
          </cell>
          <cell r="I1992">
            <v>124.06</v>
          </cell>
        </row>
        <row r="1993">
          <cell r="A1993">
            <v>34563</v>
          </cell>
          <cell r="B1993">
            <v>1302.48</v>
          </cell>
          <cell r="C1993">
            <v>1363.02</v>
          </cell>
          <cell r="D1993">
            <v>128.97</v>
          </cell>
          <cell r="E1993">
            <v>133.09</v>
          </cell>
          <cell r="F1993">
            <v>136.24</v>
          </cell>
          <cell r="G1993">
            <v>125.23</v>
          </cell>
          <cell r="H1993">
            <v>1315.84</v>
          </cell>
          <cell r="I1993">
            <v>123.57</v>
          </cell>
        </row>
        <row r="1994">
          <cell r="A1994">
            <v>34564</v>
          </cell>
          <cell r="B1994">
            <v>1296.3599999999999</v>
          </cell>
          <cell r="C1994">
            <v>1352.49</v>
          </cell>
          <cell r="D1994">
            <v>128.36000000000001</v>
          </cell>
          <cell r="E1994">
            <v>132.16</v>
          </cell>
          <cell r="F1994">
            <v>135.52000000000001</v>
          </cell>
          <cell r="G1994">
            <v>124.91</v>
          </cell>
          <cell r="H1994">
            <v>1331.81</v>
          </cell>
          <cell r="I1994">
            <v>124.89</v>
          </cell>
        </row>
        <row r="1995">
          <cell r="A1995">
            <v>34565</v>
          </cell>
          <cell r="B1995">
            <v>1294.55</v>
          </cell>
          <cell r="C1995">
            <v>1352.22</v>
          </cell>
          <cell r="D1995">
            <v>128.34</v>
          </cell>
          <cell r="E1995">
            <v>132.41</v>
          </cell>
          <cell r="F1995">
            <v>135.54</v>
          </cell>
          <cell r="G1995">
            <v>124.66</v>
          </cell>
          <cell r="H1995">
            <v>1344.63</v>
          </cell>
          <cell r="I1995">
            <v>126.2</v>
          </cell>
        </row>
        <row r="1996">
          <cell r="A1996">
            <v>34568</v>
          </cell>
          <cell r="B1996">
            <v>1284.8900000000001</v>
          </cell>
          <cell r="C1996">
            <v>1341.66</v>
          </cell>
          <cell r="D1996">
            <v>127.41</v>
          </cell>
          <cell r="E1996">
            <v>131.52000000000001</v>
          </cell>
          <cell r="F1996">
            <v>134.66999999999999</v>
          </cell>
          <cell r="G1996">
            <v>123.7</v>
          </cell>
          <cell r="H1996">
            <v>1349.57</v>
          </cell>
          <cell r="I1996">
            <v>126.65</v>
          </cell>
        </row>
        <row r="1997">
          <cell r="A1997">
            <v>34569</v>
          </cell>
          <cell r="B1997">
            <v>1290.25</v>
          </cell>
          <cell r="C1997">
            <v>1347</v>
          </cell>
          <cell r="D1997">
            <v>127.67</v>
          </cell>
          <cell r="E1997">
            <v>131.77000000000001</v>
          </cell>
          <cell r="F1997">
            <v>134.72999999999999</v>
          </cell>
          <cell r="G1997">
            <v>123.95</v>
          </cell>
          <cell r="H1997">
            <v>1339.65</v>
          </cell>
          <cell r="I1997">
            <v>125.6</v>
          </cell>
        </row>
        <row r="1998">
          <cell r="A1998">
            <v>34570</v>
          </cell>
          <cell r="B1998">
            <v>1304.95</v>
          </cell>
          <cell r="C1998">
            <v>1356.09</v>
          </cell>
          <cell r="D1998">
            <v>128.75</v>
          </cell>
          <cell r="E1998">
            <v>132.59</v>
          </cell>
          <cell r="F1998">
            <v>135.6</v>
          </cell>
          <cell r="G1998">
            <v>125.26</v>
          </cell>
          <cell r="H1998">
            <v>1364.1</v>
          </cell>
          <cell r="I1998">
            <v>127.6</v>
          </cell>
        </row>
        <row r="1999">
          <cell r="A1999">
            <v>34571</v>
          </cell>
          <cell r="B1999">
            <v>1317.03</v>
          </cell>
          <cell r="C1999">
            <v>1369.09</v>
          </cell>
          <cell r="D1999">
            <v>129.83000000000001</v>
          </cell>
          <cell r="E1999">
            <v>133.76</v>
          </cell>
          <cell r="F1999">
            <v>136.66</v>
          </cell>
          <cell r="G1999">
            <v>126.27</v>
          </cell>
          <cell r="H1999">
            <v>1379.73</v>
          </cell>
          <cell r="I1999">
            <v>128.75</v>
          </cell>
        </row>
        <row r="2000">
          <cell r="A2000">
            <v>34572</v>
          </cell>
          <cell r="B2000">
            <v>1332.9</v>
          </cell>
          <cell r="C2000">
            <v>1383.31</v>
          </cell>
          <cell r="D2000">
            <v>131.13</v>
          </cell>
          <cell r="E2000">
            <v>135.02000000000001</v>
          </cell>
          <cell r="F2000">
            <v>137.88999999999999</v>
          </cell>
          <cell r="G2000">
            <v>127.6</v>
          </cell>
          <cell r="H2000">
            <v>1390.28</v>
          </cell>
          <cell r="I2000">
            <v>129.71</v>
          </cell>
        </row>
        <row r="2001">
          <cell r="A2001">
            <v>34575</v>
          </cell>
          <cell r="B2001">
            <v>1345.3</v>
          </cell>
          <cell r="C2001">
            <v>1397.07</v>
          </cell>
          <cell r="D2001">
            <v>132.04</v>
          </cell>
          <cell r="E2001">
            <v>136.13999999999999</v>
          </cell>
          <cell r="F2001">
            <v>139.12</v>
          </cell>
          <cell r="G2001">
            <v>128.33000000000001</v>
          </cell>
          <cell r="H2001">
            <v>1403.44</v>
          </cell>
          <cell r="I2001">
            <v>130.66999999999999</v>
          </cell>
        </row>
        <row r="2002">
          <cell r="A2002">
            <v>34576</v>
          </cell>
          <cell r="B2002">
            <v>1339.04</v>
          </cell>
          <cell r="C2002">
            <v>1394.68</v>
          </cell>
          <cell r="D2002">
            <v>131.65</v>
          </cell>
          <cell r="E2002">
            <v>135.93</v>
          </cell>
          <cell r="F2002">
            <v>138.9</v>
          </cell>
          <cell r="G2002">
            <v>127.77</v>
          </cell>
          <cell r="H2002">
            <v>1390.14</v>
          </cell>
          <cell r="I2002">
            <v>129.72</v>
          </cell>
        </row>
        <row r="2003">
          <cell r="A2003">
            <v>34577</v>
          </cell>
          <cell r="B2003">
            <v>1342.86</v>
          </cell>
          <cell r="C2003">
            <v>1397.12</v>
          </cell>
          <cell r="D2003">
            <v>131.91</v>
          </cell>
          <cell r="E2003">
            <v>136.11000000000001</v>
          </cell>
          <cell r="F2003">
            <v>139.09</v>
          </cell>
          <cell r="G2003">
            <v>128.12</v>
          </cell>
          <cell r="H2003">
            <v>1393.34</v>
          </cell>
          <cell r="I2003">
            <v>129.99</v>
          </cell>
        </row>
        <row r="2004">
          <cell r="A2004">
            <v>34578</v>
          </cell>
          <cell r="B2004">
            <v>1332</v>
          </cell>
          <cell r="C2004">
            <v>1384</v>
          </cell>
          <cell r="D2004">
            <v>131.04</v>
          </cell>
          <cell r="E2004">
            <v>134.91</v>
          </cell>
          <cell r="F2004">
            <v>138.12</v>
          </cell>
          <cell r="G2004">
            <v>127.54</v>
          </cell>
          <cell r="H2004">
            <v>1396.23</v>
          </cell>
          <cell r="I2004">
            <v>130.1</v>
          </cell>
        </row>
        <row r="2005">
          <cell r="A2005">
            <v>34579</v>
          </cell>
          <cell r="B2005">
            <v>1333.3</v>
          </cell>
          <cell r="C2005">
            <v>1383.88</v>
          </cell>
          <cell r="D2005">
            <v>130.79</v>
          </cell>
          <cell r="E2005">
            <v>134.91</v>
          </cell>
          <cell r="F2005">
            <v>138.44</v>
          </cell>
          <cell r="G2005">
            <v>127.06</v>
          </cell>
          <cell r="H2005">
            <v>1409.73</v>
          </cell>
          <cell r="I2005">
            <v>131.09</v>
          </cell>
        </row>
        <row r="2006">
          <cell r="A2006">
            <v>34582</v>
          </cell>
          <cell r="B2006">
            <v>1327.79</v>
          </cell>
          <cell r="C2006">
            <v>1368.69</v>
          </cell>
          <cell r="D2006">
            <v>130.21</v>
          </cell>
          <cell r="E2006">
            <v>133.51</v>
          </cell>
          <cell r="F2006">
            <v>137.1</v>
          </cell>
          <cell r="G2006">
            <v>127.22</v>
          </cell>
          <cell r="H2006">
            <v>1380.17</v>
          </cell>
          <cell r="I2006">
            <v>128.69999999999999</v>
          </cell>
        </row>
        <row r="2007">
          <cell r="A2007">
            <v>34583</v>
          </cell>
          <cell r="B2007">
            <v>1312.76</v>
          </cell>
          <cell r="C2007">
            <v>1354.66</v>
          </cell>
          <cell r="D2007">
            <v>128.87</v>
          </cell>
          <cell r="E2007">
            <v>132.11000000000001</v>
          </cell>
          <cell r="F2007">
            <v>135.88999999999999</v>
          </cell>
          <cell r="G2007">
            <v>125.92</v>
          </cell>
          <cell r="H2007">
            <v>1372.61</v>
          </cell>
          <cell r="I2007">
            <v>128.13</v>
          </cell>
        </row>
        <row r="2008">
          <cell r="A2008">
            <v>34584</v>
          </cell>
          <cell r="B2008">
            <v>1317.03</v>
          </cell>
          <cell r="C2008">
            <v>1359.5</v>
          </cell>
          <cell r="D2008">
            <v>129.16999999999999</v>
          </cell>
          <cell r="E2008">
            <v>132.49</v>
          </cell>
          <cell r="F2008">
            <v>136.44</v>
          </cell>
          <cell r="G2008">
            <v>126.15</v>
          </cell>
          <cell r="H2008">
            <v>1387.2</v>
          </cell>
          <cell r="I2008">
            <v>129.34</v>
          </cell>
        </row>
        <row r="2009">
          <cell r="A2009">
            <v>34585</v>
          </cell>
          <cell r="B2009">
            <v>1316.52</v>
          </cell>
          <cell r="C2009">
            <v>1367.16</v>
          </cell>
          <cell r="D2009">
            <v>129.11000000000001</v>
          </cell>
          <cell r="E2009">
            <v>133.1</v>
          </cell>
          <cell r="F2009">
            <v>136.81</v>
          </cell>
          <cell r="G2009">
            <v>125.49</v>
          </cell>
          <cell r="H2009">
            <v>1382.93</v>
          </cell>
          <cell r="I2009">
            <v>129.1</v>
          </cell>
        </row>
        <row r="2010">
          <cell r="A2010">
            <v>34586</v>
          </cell>
          <cell r="B2010">
            <v>1306.6500000000001</v>
          </cell>
          <cell r="C2010">
            <v>1362.97</v>
          </cell>
          <cell r="D2010">
            <v>128.07</v>
          </cell>
          <cell r="E2010">
            <v>132.66999999999999</v>
          </cell>
          <cell r="F2010">
            <v>136.4</v>
          </cell>
          <cell r="G2010">
            <v>123.9</v>
          </cell>
          <cell r="H2010">
            <v>1382.67</v>
          </cell>
          <cell r="I2010">
            <v>129.27000000000001</v>
          </cell>
        </row>
        <row r="2011">
          <cell r="A2011">
            <v>34589</v>
          </cell>
          <cell r="B2011">
            <v>1305.46</v>
          </cell>
          <cell r="C2011">
            <v>1352.29</v>
          </cell>
          <cell r="D2011">
            <v>128.12</v>
          </cell>
          <cell r="E2011">
            <v>131.75</v>
          </cell>
          <cell r="F2011">
            <v>135.72999999999999</v>
          </cell>
          <cell r="G2011">
            <v>124.83</v>
          </cell>
          <cell r="H2011">
            <v>1395.55</v>
          </cell>
          <cell r="I2011">
            <v>130.09</v>
          </cell>
        </row>
        <row r="2012">
          <cell r="A2012">
            <v>34590</v>
          </cell>
          <cell r="B2012">
            <v>1303.6099999999999</v>
          </cell>
          <cell r="C2012">
            <v>1350.94</v>
          </cell>
          <cell r="D2012">
            <v>127.74</v>
          </cell>
          <cell r="E2012">
            <v>131.51</v>
          </cell>
          <cell r="F2012">
            <v>135.68</v>
          </cell>
          <cell r="G2012">
            <v>124.32</v>
          </cell>
          <cell r="H2012">
            <v>1399.02</v>
          </cell>
          <cell r="I2012">
            <v>130.21</v>
          </cell>
        </row>
        <row r="2013">
          <cell r="A2013">
            <v>34591</v>
          </cell>
          <cell r="B2013">
            <v>1293.3800000000001</v>
          </cell>
          <cell r="C2013">
            <v>1343.46</v>
          </cell>
          <cell r="D2013">
            <v>126.77</v>
          </cell>
          <cell r="E2013">
            <v>130.9</v>
          </cell>
          <cell r="F2013">
            <v>135.08000000000001</v>
          </cell>
          <cell r="G2013">
            <v>123.02</v>
          </cell>
          <cell r="H2013">
            <v>1391.75</v>
          </cell>
          <cell r="I2013">
            <v>129.31</v>
          </cell>
        </row>
        <row r="2014">
          <cell r="A2014">
            <v>34592</v>
          </cell>
          <cell r="B2014">
            <v>1303.58</v>
          </cell>
          <cell r="C2014">
            <v>1351.45</v>
          </cell>
          <cell r="D2014">
            <v>127.78</v>
          </cell>
          <cell r="E2014">
            <v>131.74</v>
          </cell>
          <cell r="F2014">
            <v>135.84</v>
          </cell>
          <cell r="G2014">
            <v>124.2</v>
          </cell>
          <cell r="H2014">
            <v>1408.02</v>
          </cell>
          <cell r="I2014">
            <v>130.51</v>
          </cell>
        </row>
        <row r="2015">
          <cell r="A2015">
            <v>34593</v>
          </cell>
          <cell r="B2015">
            <v>1294.1199999999999</v>
          </cell>
          <cell r="C2015">
            <v>1342.28</v>
          </cell>
          <cell r="D2015">
            <v>127.03</v>
          </cell>
          <cell r="E2015">
            <v>131.07</v>
          </cell>
          <cell r="F2015">
            <v>135.16</v>
          </cell>
          <cell r="G2015">
            <v>123.38</v>
          </cell>
          <cell r="H2015">
            <v>1412.86</v>
          </cell>
          <cell r="I2015">
            <v>130.91</v>
          </cell>
        </row>
        <row r="2016">
          <cell r="A2016">
            <v>34596</v>
          </cell>
          <cell r="B2016">
            <v>1291.68</v>
          </cell>
          <cell r="C2016">
            <v>1332.83</v>
          </cell>
          <cell r="D2016">
            <v>126.69</v>
          </cell>
          <cell r="E2016">
            <v>130.25</v>
          </cell>
          <cell r="F2016">
            <v>134.58000000000001</v>
          </cell>
          <cell r="G2016">
            <v>123.46</v>
          </cell>
          <cell r="H2016">
            <v>1407.04</v>
          </cell>
          <cell r="I2016">
            <v>130.31</v>
          </cell>
        </row>
        <row r="2017">
          <cell r="A2017">
            <v>34597</v>
          </cell>
          <cell r="B2017">
            <v>1278.08</v>
          </cell>
          <cell r="C2017">
            <v>1321.61</v>
          </cell>
          <cell r="D2017">
            <v>125.63</v>
          </cell>
          <cell r="E2017">
            <v>129.28</v>
          </cell>
          <cell r="F2017">
            <v>133.56</v>
          </cell>
          <cell r="G2017">
            <v>122.31</v>
          </cell>
          <cell r="H2017">
            <v>1393.93</v>
          </cell>
          <cell r="I2017">
            <v>129.19999999999999</v>
          </cell>
        </row>
        <row r="2018">
          <cell r="A2018">
            <v>34598</v>
          </cell>
          <cell r="B2018">
            <v>1274.78</v>
          </cell>
          <cell r="C2018">
            <v>1319.69</v>
          </cell>
          <cell r="D2018">
            <v>125.04</v>
          </cell>
          <cell r="E2018">
            <v>128.85</v>
          </cell>
          <cell r="F2018">
            <v>133.1</v>
          </cell>
          <cell r="G2018">
            <v>121.58</v>
          </cell>
          <cell r="H2018">
            <v>1380.95</v>
          </cell>
          <cell r="I2018">
            <v>128</v>
          </cell>
        </row>
        <row r="2019">
          <cell r="A2019">
            <v>34599</v>
          </cell>
          <cell r="B2019">
            <v>1272.31</v>
          </cell>
          <cell r="C2019">
            <v>1314.59</v>
          </cell>
          <cell r="D2019">
            <v>124.79</v>
          </cell>
          <cell r="E2019">
            <v>128.30000000000001</v>
          </cell>
          <cell r="F2019">
            <v>132.68</v>
          </cell>
          <cell r="G2019">
            <v>121.6</v>
          </cell>
          <cell r="H2019">
            <v>1375.85</v>
          </cell>
          <cell r="I2019">
            <v>127.51</v>
          </cell>
        </row>
        <row r="2020">
          <cell r="A2020">
            <v>34600</v>
          </cell>
          <cell r="B2020">
            <v>1280.0899999999999</v>
          </cell>
          <cell r="C2020">
            <v>1327.59</v>
          </cell>
          <cell r="D2020">
            <v>125.41</v>
          </cell>
          <cell r="E2020">
            <v>129.19</v>
          </cell>
          <cell r="F2020">
            <v>133.43</v>
          </cell>
          <cell r="G2020">
            <v>121.98</v>
          </cell>
          <cell r="H2020">
            <v>1383.22</v>
          </cell>
          <cell r="I2020">
            <v>128.18</v>
          </cell>
        </row>
        <row r="2021">
          <cell r="A2021">
            <v>34603</v>
          </cell>
          <cell r="B2021">
            <v>1271.71</v>
          </cell>
          <cell r="C2021">
            <v>1319.29</v>
          </cell>
          <cell r="D2021">
            <v>124.65</v>
          </cell>
          <cell r="E2021">
            <v>128.59</v>
          </cell>
          <cell r="F2021">
            <v>132.83000000000001</v>
          </cell>
          <cell r="G2021">
            <v>121.08</v>
          </cell>
          <cell r="H2021">
            <v>1383.98</v>
          </cell>
          <cell r="I2021">
            <v>128.38</v>
          </cell>
        </row>
        <row r="2022">
          <cell r="A2022">
            <v>34604</v>
          </cell>
          <cell r="B2022">
            <v>1271.51</v>
          </cell>
          <cell r="C2022">
            <v>1317.98</v>
          </cell>
          <cell r="D2022">
            <v>124.59</v>
          </cell>
          <cell r="E2022">
            <v>128.47</v>
          </cell>
          <cell r="F2022">
            <v>132.69999999999999</v>
          </cell>
          <cell r="G2022">
            <v>121.09</v>
          </cell>
          <cell r="H2022">
            <v>1381.73</v>
          </cell>
          <cell r="I2022">
            <v>128.22999999999999</v>
          </cell>
        </row>
        <row r="2023">
          <cell r="A2023">
            <v>34605</v>
          </cell>
          <cell r="B2023">
            <v>1283.55</v>
          </cell>
          <cell r="C2023">
            <v>1329.13</v>
          </cell>
          <cell r="D2023">
            <v>125.56</v>
          </cell>
          <cell r="E2023">
            <v>129.37</v>
          </cell>
          <cell r="F2023">
            <v>133.5</v>
          </cell>
          <cell r="G2023">
            <v>122.11</v>
          </cell>
          <cell r="H2023">
            <v>1388.04</v>
          </cell>
          <cell r="I2023">
            <v>128.72999999999999</v>
          </cell>
        </row>
        <row r="2024">
          <cell r="A2024">
            <v>34606</v>
          </cell>
          <cell r="B2024">
            <v>1265.71</v>
          </cell>
          <cell r="C2024">
            <v>1312.49</v>
          </cell>
          <cell r="D2024">
            <v>123.99</v>
          </cell>
          <cell r="E2024">
            <v>128</v>
          </cell>
          <cell r="F2024">
            <v>131.97</v>
          </cell>
          <cell r="G2024">
            <v>120.36</v>
          </cell>
          <cell r="H2024">
            <v>1370.2</v>
          </cell>
          <cell r="I2024">
            <v>127.14</v>
          </cell>
        </row>
        <row r="2025">
          <cell r="A2025">
            <v>34607</v>
          </cell>
          <cell r="B2025">
            <v>1265.3800000000001</v>
          </cell>
          <cell r="C2025">
            <v>1302.53</v>
          </cell>
          <cell r="D2025">
            <v>124.09</v>
          </cell>
          <cell r="E2025">
            <v>127.35</v>
          </cell>
          <cell r="F2025">
            <v>131.30000000000001</v>
          </cell>
          <cell r="G2025">
            <v>121.12</v>
          </cell>
          <cell r="H2025">
            <v>1371.67</v>
          </cell>
          <cell r="I2025">
            <v>127.51</v>
          </cell>
        </row>
        <row r="2026">
          <cell r="A2026">
            <v>34610</v>
          </cell>
          <cell r="B2026">
            <v>1251.5899999999999</v>
          </cell>
          <cell r="C2026">
            <v>1292.05</v>
          </cell>
          <cell r="D2026">
            <v>122.79</v>
          </cell>
          <cell r="E2026">
            <v>126.2</v>
          </cell>
          <cell r="F2026">
            <v>130.01</v>
          </cell>
          <cell r="G2026">
            <v>119.69</v>
          </cell>
          <cell r="H2026">
            <v>1367.91</v>
          </cell>
          <cell r="I2026">
            <v>127.16</v>
          </cell>
        </row>
        <row r="2027">
          <cell r="A2027">
            <v>34611</v>
          </cell>
          <cell r="B2027">
            <v>1255.69</v>
          </cell>
          <cell r="C2027">
            <v>1291.81</v>
          </cell>
          <cell r="D2027">
            <v>123.06</v>
          </cell>
          <cell r="E2027">
            <v>126.17</v>
          </cell>
          <cell r="F2027">
            <v>130.29</v>
          </cell>
          <cell r="G2027">
            <v>120.23</v>
          </cell>
          <cell r="H2027">
            <v>1378.28</v>
          </cell>
          <cell r="I2027">
            <v>127.96</v>
          </cell>
        </row>
        <row r="2028">
          <cell r="A2028">
            <v>34612</v>
          </cell>
          <cell r="B2028">
            <v>1235.92</v>
          </cell>
          <cell r="C2028">
            <v>1268.6199999999999</v>
          </cell>
          <cell r="D2028">
            <v>121.18</v>
          </cell>
          <cell r="E2028">
            <v>123.9</v>
          </cell>
          <cell r="F2028">
            <v>128.07</v>
          </cell>
          <cell r="G2028">
            <v>118.71</v>
          </cell>
          <cell r="H2028">
            <v>1353.37</v>
          </cell>
          <cell r="I2028">
            <v>125.96</v>
          </cell>
        </row>
        <row r="2029">
          <cell r="A2029">
            <v>34613</v>
          </cell>
          <cell r="B2029">
            <v>1244.1199999999999</v>
          </cell>
          <cell r="C2029">
            <v>1269.74</v>
          </cell>
          <cell r="D2029">
            <v>121.88</v>
          </cell>
          <cell r="E2029">
            <v>124.06</v>
          </cell>
          <cell r="F2029">
            <v>128.30000000000001</v>
          </cell>
          <cell r="G2029">
            <v>119.9</v>
          </cell>
          <cell r="H2029">
            <v>1357.13</v>
          </cell>
          <cell r="I2029">
            <v>126.19</v>
          </cell>
        </row>
        <row r="2030">
          <cell r="A2030">
            <v>34614</v>
          </cell>
          <cell r="B2030">
            <v>1246.48</v>
          </cell>
          <cell r="C2030">
            <v>1268.8699999999999</v>
          </cell>
          <cell r="D2030">
            <v>121.83</v>
          </cell>
          <cell r="E2030">
            <v>123.71</v>
          </cell>
          <cell r="F2030">
            <v>128.01</v>
          </cell>
          <cell r="G2030">
            <v>120.11</v>
          </cell>
          <cell r="H2030">
            <v>1344.3</v>
          </cell>
          <cell r="I2030">
            <v>125.13</v>
          </cell>
        </row>
        <row r="2031">
          <cell r="A2031">
            <v>34617</v>
          </cell>
          <cell r="B2031">
            <v>1269.3399999999999</v>
          </cell>
          <cell r="C2031">
            <v>1296.6099999999999</v>
          </cell>
          <cell r="D2031">
            <v>123.63</v>
          </cell>
          <cell r="E2031">
            <v>126.12</v>
          </cell>
          <cell r="F2031">
            <v>130.34</v>
          </cell>
          <cell r="G2031">
            <v>121.36</v>
          </cell>
          <cell r="H2031">
            <v>1360.75</v>
          </cell>
          <cell r="I2031">
            <v>126.35</v>
          </cell>
        </row>
        <row r="2032">
          <cell r="A2032">
            <v>34618</v>
          </cell>
          <cell r="B2032">
            <v>1287.69</v>
          </cell>
          <cell r="C2032">
            <v>1316.56</v>
          </cell>
          <cell r="D2032">
            <v>124.92</v>
          </cell>
          <cell r="E2032">
            <v>127.57</v>
          </cell>
          <cell r="F2032">
            <v>131.69</v>
          </cell>
          <cell r="G2032">
            <v>122.51</v>
          </cell>
          <cell r="H2032">
            <v>1381.31</v>
          </cell>
          <cell r="I2032">
            <v>127.94</v>
          </cell>
        </row>
        <row r="2033">
          <cell r="A2033">
            <v>34619</v>
          </cell>
          <cell r="B2033">
            <v>1291.48</v>
          </cell>
          <cell r="C2033">
            <v>1319.51</v>
          </cell>
          <cell r="D2033">
            <v>125.52</v>
          </cell>
          <cell r="E2033">
            <v>127.98</v>
          </cell>
          <cell r="F2033">
            <v>132.04</v>
          </cell>
          <cell r="G2033">
            <v>123.28</v>
          </cell>
          <cell r="H2033">
            <v>1392.78</v>
          </cell>
          <cell r="I2033">
            <v>129.06</v>
          </cell>
        </row>
        <row r="2034">
          <cell r="A2034">
            <v>34620</v>
          </cell>
          <cell r="B2034">
            <v>1304.67</v>
          </cell>
          <cell r="C2034">
            <v>1333.21</v>
          </cell>
          <cell r="D2034">
            <v>126.61</v>
          </cell>
          <cell r="E2034">
            <v>128.96</v>
          </cell>
          <cell r="F2034">
            <v>133.13999999999999</v>
          </cell>
          <cell r="G2034">
            <v>124.46</v>
          </cell>
          <cell r="H2034">
            <v>1406.85</v>
          </cell>
          <cell r="I2034">
            <v>130.38</v>
          </cell>
        </row>
        <row r="2035">
          <cell r="A2035">
            <v>34621</v>
          </cell>
          <cell r="B2035">
            <v>1300.05</v>
          </cell>
          <cell r="C2035">
            <v>1334.83</v>
          </cell>
          <cell r="D2035">
            <v>126.16</v>
          </cell>
          <cell r="E2035">
            <v>129.21</v>
          </cell>
          <cell r="F2035">
            <v>133.35</v>
          </cell>
          <cell r="G2035">
            <v>123.39</v>
          </cell>
          <cell r="H2035">
            <v>1417.01</v>
          </cell>
          <cell r="I2035">
            <v>131.57</v>
          </cell>
        </row>
        <row r="2036">
          <cell r="A2036">
            <v>34624</v>
          </cell>
          <cell r="B2036">
            <v>1295.44</v>
          </cell>
          <cell r="C2036">
            <v>1326.1</v>
          </cell>
          <cell r="D2036">
            <v>125.91</v>
          </cell>
          <cell r="E2036">
            <v>128.6</v>
          </cell>
          <cell r="F2036">
            <v>132.88999999999999</v>
          </cell>
          <cell r="G2036">
            <v>123.47</v>
          </cell>
          <cell r="H2036">
            <v>1434.3</v>
          </cell>
          <cell r="I2036">
            <v>133.15</v>
          </cell>
        </row>
        <row r="2037">
          <cell r="A2037">
            <v>34625</v>
          </cell>
          <cell r="B2037">
            <v>1283.6300000000001</v>
          </cell>
          <cell r="C2037">
            <v>1317.49</v>
          </cell>
          <cell r="D2037">
            <v>124.96</v>
          </cell>
          <cell r="E2037">
            <v>127.72</v>
          </cell>
          <cell r="F2037">
            <v>131.9</v>
          </cell>
          <cell r="G2037">
            <v>122.46</v>
          </cell>
          <cell r="H2037">
            <v>1424.27</v>
          </cell>
          <cell r="I2037">
            <v>132.15</v>
          </cell>
        </row>
        <row r="2038">
          <cell r="A2038">
            <v>34626</v>
          </cell>
          <cell r="B2038">
            <v>1275.04</v>
          </cell>
          <cell r="C2038">
            <v>1304.8800000000001</v>
          </cell>
          <cell r="D2038">
            <v>124.44</v>
          </cell>
          <cell r="E2038">
            <v>126.77</v>
          </cell>
          <cell r="F2038">
            <v>131.09</v>
          </cell>
          <cell r="G2038">
            <v>122.32</v>
          </cell>
          <cell r="H2038">
            <v>1424.86</v>
          </cell>
          <cell r="I2038">
            <v>132.37</v>
          </cell>
        </row>
        <row r="2039">
          <cell r="A2039">
            <v>34627</v>
          </cell>
          <cell r="B2039">
            <v>1278.98</v>
          </cell>
          <cell r="C2039">
            <v>1308.1500000000001</v>
          </cell>
          <cell r="D2039">
            <v>124.81</v>
          </cell>
          <cell r="E2039">
            <v>127.03</v>
          </cell>
          <cell r="F2039">
            <v>131.54</v>
          </cell>
          <cell r="G2039">
            <v>122.8</v>
          </cell>
          <cell r="H2039">
            <v>1441.8</v>
          </cell>
          <cell r="I2039">
            <v>133.35</v>
          </cell>
        </row>
        <row r="2040">
          <cell r="A2040">
            <v>34628</v>
          </cell>
          <cell r="B2040">
            <v>1262.76</v>
          </cell>
          <cell r="C2040">
            <v>1289.3399999999999</v>
          </cell>
          <cell r="D2040">
            <v>123.38</v>
          </cell>
          <cell r="E2040">
            <v>125.41</v>
          </cell>
          <cell r="F2040">
            <v>129.88</v>
          </cell>
          <cell r="G2040">
            <v>121.53</v>
          </cell>
          <cell r="H2040">
            <v>1434.67</v>
          </cell>
          <cell r="I2040">
            <v>133.09</v>
          </cell>
        </row>
        <row r="2041">
          <cell r="A2041">
            <v>34631</v>
          </cell>
          <cell r="B2041">
            <v>1264.4000000000001</v>
          </cell>
          <cell r="C2041">
            <v>1291.24</v>
          </cell>
          <cell r="D2041">
            <v>123.4</v>
          </cell>
          <cell r="E2041">
            <v>125.58</v>
          </cell>
          <cell r="F2041">
            <v>130.1</v>
          </cell>
          <cell r="G2041">
            <v>121.41</v>
          </cell>
          <cell r="H2041">
            <v>1435.48</v>
          </cell>
          <cell r="I2041">
            <v>133.12</v>
          </cell>
        </row>
        <row r="2042">
          <cell r="A2042">
            <v>34632</v>
          </cell>
          <cell r="B2042">
            <v>1250.98</v>
          </cell>
          <cell r="C2042">
            <v>1275.3599999999999</v>
          </cell>
          <cell r="D2042">
            <v>122.25</v>
          </cell>
          <cell r="E2042">
            <v>123.96</v>
          </cell>
          <cell r="F2042">
            <v>128.51</v>
          </cell>
          <cell r="G2042">
            <v>120.69</v>
          </cell>
          <cell r="H2042">
            <v>1425.33</v>
          </cell>
          <cell r="I2042">
            <v>132.16999999999999</v>
          </cell>
        </row>
        <row r="2043">
          <cell r="A2043">
            <v>34633</v>
          </cell>
          <cell r="B2043">
            <v>1254.6199999999999</v>
          </cell>
          <cell r="C2043">
            <v>1285.21</v>
          </cell>
          <cell r="D2043">
            <v>122.29</v>
          </cell>
          <cell r="E2043">
            <v>124.57</v>
          </cell>
          <cell r="F2043">
            <v>128.9</v>
          </cell>
          <cell r="G2043">
            <v>120.23</v>
          </cell>
          <cell r="H2043">
            <v>1429.27</v>
          </cell>
          <cell r="I2043">
            <v>132.52000000000001</v>
          </cell>
        </row>
        <row r="2044">
          <cell r="A2044">
            <v>34634</v>
          </cell>
          <cell r="B2044">
            <v>1259.6199999999999</v>
          </cell>
          <cell r="C2044">
            <v>1289.75</v>
          </cell>
          <cell r="D2044">
            <v>122.91</v>
          </cell>
          <cell r="E2044">
            <v>125.09</v>
          </cell>
          <cell r="F2044">
            <v>129.09</v>
          </cell>
          <cell r="G2044">
            <v>120.94</v>
          </cell>
          <cell r="H2044">
            <v>1433.56</v>
          </cell>
          <cell r="I2044">
            <v>132.88999999999999</v>
          </cell>
        </row>
        <row r="2045">
          <cell r="A2045">
            <v>34635</v>
          </cell>
          <cell r="B2045">
            <v>1282.68</v>
          </cell>
          <cell r="C2045">
            <v>1312.51</v>
          </cell>
          <cell r="D2045">
            <v>124.69</v>
          </cell>
          <cell r="E2045">
            <v>127.01</v>
          </cell>
          <cell r="F2045">
            <v>130.87</v>
          </cell>
          <cell r="G2045">
            <v>122.58</v>
          </cell>
          <cell r="H2045">
            <v>1427.41</v>
          </cell>
          <cell r="I2045">
            <v>132.51</v>
          </cell>
        </row>
        <row r="2046">
          <cell r="A2046">
            <v>34638</v>
          </cell>
          <cell r="B2046">
            <v>1297.5899999999999</v>
          </cell>
          <cell r="C2046">
            <v>1327.67</v>
          </cell>
          <cell r="D2046">
            <v>125.92</v>
          </cell>
          <cell r="E2046">
            <v>128.25</v>
          </cell>
          <cell r="F2046">
            <v>132.25</v>
          </cell>
          <cell r="G2046">
            <v>123.79</v>
          </cell>
          <cell r="H2046">
            <v>1444.14</v>
          </cell>
          <cell r="I2046">
            <v>134.12</v>
          </cell>
        </row>
        <row r="2047">
          <cell r="A2047">
            <v>34639</v>
          </cell>
          <cell r="B2047">
            <v>1292.6199999999999</v>
          </cell>
          <cell r="C2047">
            <v>1321.83</v>
          </cell>
          <cell r="D2047">
            <v>125.46</v>
          </cell>
          <cell r="E2047">
            <v>127.86</v>
          </cell>
          <cell r="F2047">
            <v>131.96</v>
          </cell>
          <cell r="G2047">
            <v>123.28</v>
          </cell>
          <cell r="H2047">
            <v>1423.36</v>
          </cell>
          <cell r="I2047">
            <v>132.34</v>
          </cell>
        </row>
        <row r="2048">
          <cell r="A2048">
            <v>34640</v>
          </cell>
          <cell r="B2048">
            <v>1284.69</v>
          </cell>
          <cell r="C2048">
            <v>1304.8</v>
          </cell>
          <cell r="D2048">
            <v>124.95</v>
          </cell>
          <cell r="E2048">
            <v>126.59</v>
          </cell>
          <cell r="F2048">
            <v>130.88</v>
          </cell>
          <cell r="G2048">
            <v>123.47</v>
          </cell>
          <cell r="H2048">
            <v>1420.9</v>
          </cell>
          <cell r="I2048">
            <v>132.29</v>
          </cell>
        </row>
        <row r="2049">
          <cell r="A2049">
            <v>34641</v>
          </cell>
          <cell r="B2049">
            <v>1294.08</v>
          </cell>
          <cell r="C2049">
            <v>1315.17</v>
          </cell>
          <cell r="D2049">
            <v>125.63</v>
          </cell>
          <cell r="E2049">
            <v>127.52</v>
          </cell>
          <cell r="F2049">
            <v>131.58000000000001</v>
          </cell>
          <cell r="G2049">
            <v>123.91</v>
          </cell>
          <cell r="H2049">
            <v>1392.63</v>
          </cell>
          <cell r="I2049">
            <v>130.02000000000001</v>
          </cell>
        </row>
        <row r="2050">
          <cell r="A2050">
            <v>34642</v>
          </cell>
          <cell r="B2050">
            <v>1292.74</v>
          </cell>
          <cell r="C2050">
            <v>1321.16</v>
          </cell>
          <cell r="D2050">
            <v>125.65</v>
          </cell>
          <cell r="E2050">
            <v>128.18</v>
          </cell>
          <cell r="F2050">
            <v>132.08000000000001</v>
          </cell>
          <cell r="G2050">
            <v>123.35</v>
          </cell>
          <cell r="H2050">
            <v>1388.33</v>
          </cell>
          <cell r="I2050">
            <v>129.56</v>
          </cell>
        </row>
        <row r="2051">
          <cell r="A2051">
            <v>34645</v>
          </cell>
          <cell r="B2051">
            <v>1277.97</v>
          </cell>
          <cell r="C2051">
            <v>1305.8699999999999</v>
          </cell>
          <cell r="D2051">
            <v>124.52</v>
          </cell>
          <cell r="E2051">
            <v>126.92</v>
          </cell>
          <cell r="F2051">
            <v>130.94</v>
          </cell>
          <cell r="G2051">
            <v>122.34</v>
          </cell>
          <cell r="H2051">
            <v>1370.51</v>
          </cell>
          <cell r="I2051">
            <v>127.89</v>
          </cell>
        </row>
        <row r="2052">
          <cell r="A2052">
            <v>34646</v>
          </cell>
          <cell r="B2052">
            <v>1280.82</v>
          </cell>
          <cell r="C2052">
            <v>1312.15</v>
          </cell>
          <cell r="D2052">
            <v>124.89</v>
          </cell>
          <cell r="E2052">
            <v>127.4</v>
          </cell>
          <cell r="F2052">
            <v>131.47</v>
          </cell>
          <cell r="G2052">
            <v>122.6</v>
          </cell>
          <cell r="H2052">
            <v>1388.85</v>
          </cell>
          <cell r="I2052">
            <v>129.35</v>
          </cell>
        </row>
        <row r="2053">
          <cell r="A2053">
            <v>34647</v>
          </cell>
          <cell r="B2053">
            <v>1302.0999999999999</v>
          </cell>
          <cell r="C2053">
            <v>1331.69</v>
          </cell>
          <cell r="D2053">
            <v>126.47</v>
          </cell>
          <cell r="E2053">
            <v>129.05000000000001</v>
          </cell>
          <cell r="F2053">
            <v>133.09</v>
          </cell>
          <cell r="G2053">
            <v>124.12</v>
          </cell>
          <cell r="H2053">
            <v>1406.11</v>
          </cell>
          <cell r="I2053">
            <v>130.91</v>
          </cell>
        </row>
        <row r="2054">
          <cell r="A2054">
            <v>34648</v>
          </cell>
          <cell r="B2054">
            <v>1299.67</v>
          </cell>
          <cell r="C2054">
            <v>1328.05</v>
          </cell>
          <cell r="D2054">
            <v>126.45</v>
          </cell>
          <cell r="E2054">
            <v>128.94</v>
          </cell>
          <cell r="F2054">
            <v>133.13999999999999</v>
          </cell>
          <cell r="G2054">
            <v>124.19</v>
          </cell>
          <cell r="H2054">
            <v>1417.96</v>
          </cell>
          <cell r="I2054">
            <v>131.86000000000001</v>
          </cell>
        </row>
        <row r="2055">
          <cell r="A2055">
            <v>34649</v>
          </cell>
          <cell r="B2055">
            <v>1292.43</v>
          </cell>
          <cell r="C2055">
            <v>1326</v>
          </cell>
          <cell r="D2055">
            <v>126</v>
          </cell>
          <cell r="E2055">
            <v>128.88999999999999</v>
          </cell>
          <cell r="F2055">
            <v>133.16999999999999</v>
          </cell>
          <cell r="G2055">
            <v>123.37</v>
          </cell>
          <cell r="H2055">
            <v>1426.88</v>
          </cell>
          <cell r="I2055">
            <v>132.62</v>
          </cell>
        </row>
        <row r="2056">
          <cell r="A2056">
            <v>34652</v>
          </cell>
          <cell r="B2056">
            <v>1299.68</v>
          </cell>
          <cell r="C2056">
            <v>1329.47</v>
          </cell>
          <cell r="D2056">
            <v>126.54</v>
          </cell>
          <cell r="E2056">
            <v>129.04</v>
          </cell>
          <cell r="F2056">
            <v>133.44</v>
          </cell>
          <cell r="G2056">
            <v>124.27</v>
          </cell>
          <cell r="H2056">
            <v>1456.38</v>
          </cell>
          <cell r="I2056">
            <v>134.91999999999999</v>
          </cell>
        </row>
        <row r="2057">
          <cell r="A2057">
            <v>34653</v>
          </cell>
          <cell r="B2057">
            <v>1312.53</v>
          </cell>
          <cell r="C2057">
            <v>1344.61</v>
          </cell>
          <cell r="D2057">
            <v>127.55</v>
          </cell>
          <cell r="E2057">
            <v>130.33000000000001</v>
          </cell>
          <cell r="F2057">
            <v>134.47999999999999</v>
          </cell>
          <cell r="G2057">
            <v>125.02</v>
          </cell>
          <cell r="H2057">
            <v>1466.61</v>
          </cell>
          <cell r="I2057">
            <v>135.74</v>
          </cell>
        </row>
        <row r="2058">
          <cell r="A2058">
            <v>34654</v>
          </cell>
          <cell r="B2058">
            <v>1311.79</v>
          </cell>
          <cell r="C2058">
            <v>1337.76</v>
          </cell>
          <cell r="D2058">
            <v>127.5</v>
          </cell>
          <cell r="E2058">
            <v>129.83000000000001</v>
          </cell>
          <cell r="F2058">
            <v>134.32</v>
          </cell>
          <cell r="G2058">
            <v>125.39</v>
          </cell>
          <cell r="H2058">
            <v>1469.94</v>
          </cell>
          <cell r="I2058">
            <v>136.12</v>
          </cell>
        </row>
        <row r="2059">
          <cell r="A2059">
            <v>34655</v>
          </cell>
          <cell r="B2059">
            <v>1304.58</v>
          </cell>
          <cell r="C2059">
            <v>1330.84</v>
          </cell>
          <cell r="D2059">
            <v>126.98</v>
          </cell>
          <cell r="E2059">
            <v>129.24</v>
          </cell>
          <cell r="F2059">
            <v>133.76</v>
          </cell>
          <cell r="G2059">
            <v>124.91</v>
          </cell>
          <cell r="H2059">
            <v>1460.34</v>
          </cell>
          <cell r="I2059">
            <v>135.47</v>
          </cell>
        </row>
        <row r="2060">
          <cell r="A2060">
            <v>34656</v>
          </cell>
          <cell r="B2060">
            <v>1302.74</v>
          </cell>
          <cell r="C2060">
            <v>1328.5</v>
          </cell>
          <cell r="D2060">
            <v>126.87</v>
          </cell>
          <cell r="E2060">
            <v>129.16999999999999</v>
          </cell>
          <cell r="F2060">
            <v>133.63</v>
          </cell>
          <cell r="G2060">
            <v>124.79</v>
          </cell>
          <cell r="H2060">
            <v>1463.99</v>
          </cell>
          <cell r="I2060">
            <v>135.68</v>
          </cell>
        </row>
        <row r="2061">
          <cell r="A2061">
            <v>34659</v>
          </cell>
          <cell r="B2061">
            <v>1303.81</v>
          </cell>
          <cell r="C2061">
            <v>1332.02</v>
          </cell>
          <cell r="D2061">
            <v>126.93</v>
          </cell>
          <cell r="E2061">
            <v>129.38</v>
          </cell>
          <cell r="F2061">
            <v>133.88999999999999</v>
          </cell>
          <cell r="G2061">
            <v>124.71</v>
          </cell>
          <cell r="H2061">
            <v>1471.13</v>
          </cell>
          <cell r="I2061">
            <v>136.15</v>
          </cell>
        </row>
        <row r="2062">
          <cell r="A2062">
            <v>34660</v>
          </cell>
          <cell r="B2062">
            <v>1283.95</v>
          </cell>
          <cell r="C2062">
            <v>1314.21</v>
          </cell>
          <cell r="D2062">
            <v>125.4</v>
          </cell>
          <cell r="E2062">
            <v>127.78</v>
          </cell>
          <cell r="F2062">
            <v>132.19999999999999</v>
          </cell>
          <cell r="G2062">
            <v>123.24</v>
          </cell>
          <cell r="H2062">
            <v>1444.05</v>
          </cell>
          <cell r="I2062">
            <v>133.88</v>
          </cell>
        </row>
        <row r="2063">
          <cell r="A2063">
            <v>34661</v>
          </cell>
          <cell r="B2063">
            <v>1263.08</v>
          </cell>
          <cell r="C2063">
            <v>1295.05</v>
          </cell>
          <cell r="D2063">
            <v>123.57</v>
          </cell>
          <cell r="E2063">
            <v>126.04</v>
          </cell>
          <cell r="F2063">
            <v>130.44</v>
          </cell>
          <cell r="G2063">
            <v>121.32</v>
          </cell>
          <cell r="H2063">
            <v>1417.68</v>
          </cell>
          <cell r="I2063">
            <v>131.59</v>
          </cell>
        </row>
        <row r="2064">
          <cell r="A2064">
            <v>34662</v>
          </cell>
          <cell r="B2064">
            <v>1274.92</v>
          </cell>
          <cell r="C2064">
            <v>1312.35</v>
          </cell>
          <cell r="D2064">
            <v>124.47</v>
          </cell>
          <cell r="E2064">
            <v>127.51</v>
          </cell>
          <cell r="F2064">
            <v>131.97</v>
          </cell>
          <cell r="G2064">
            <v>121.71</v>
          </cell>
          <cell r="H2064">
            <v>1434.58</v>
          </cell>
          <cell r="I2064">
            <v>132.91999999999999</v>
          </cell>
        </row>
        <row r="2065">
          <cell r="A2065">
            <v>34663</v>
          </cell>
          <cell r="B2065">
            <v>1275.42</v>
          </cell>
          <cell r="C2065">
            <v>1313.97</v>
          </cell>
          <cell r="D2065">
            <v>124.55</v>
          </cell>
          <cell r="E2065">
            <v>127.62</v>
          </cell>
          <cell r="F2065">
            <v>132.05000000000001</v>
          </cell>
          <cell r="G2065">
            <v>121.76</v>
          </cell>
          <cell r="H2065">
            <v>1428.41</v>
          </cell>
          <cell r="I2065">
            <v>132.36000000000001</v>
          </cell>
        </row>
        <row r="2066">
          <cell r="A2066">
            <v>34666</v>
          </cell>
          <cell r="B2066">
            <v>1281.8800000000001</v>
          </cell>
          <cell r="C2066">
            <v>1319.31</v>
          </cell>
          <cell r="D2066">
            <v>125.14</v>
          </cell>
          <cell r="E2066">
            <v>128.1</v>
          </cell>
          <cell r="F2066">
            <v>132.49</v>
          </cell>
          <cell r="G2066">
            <v>122.46</v>
          </cell>
          <cell r="H2066">
            <v>1430.92</v>
          </cell>
          <cell r="I2066">
            <v>132.59</v>
          </cell>
        </row>
        <row r="2067">
          <cell r="A2067">
            <v>34667</v>
          </cell>
          <cell r="B2067">
            <v>1284.49</v>
          </cell>
          <cell r="C2067">
            <v>1313.83</v>
          </cell>
          <cell r="D2067">
            <v>125.1</v>
          </cell>
          <cell r="E2067">
            <v>127.47</v>
          </cell>
          <cell r="F2067">
            <v>131.99</v>
          </cell>
          <cell r="G2067">
            <v>122.95</v>
          </cell>
          <cell r="H2067">
            <v>1423.9</v>
          </cell>
          <cell r="I2067">
            <v>131.88</v>
          </cell>
        </row>
        <row r="2068">
          <cell r="A2068">
            <v>34668</v>
          </cell>
          <cell r="B2068">
            <v>1295.05</v>
          </cell>
          <cell r="C2068">
            <v>1323.35</v>
          </cell>
          <cell r="D2068">
            <v>125.93</v>
          </cell>
          <cell r="E2068">
            <v>128.32</v>
          </cell>
          <cell r="F2068">
            <v>132.85</v>
          </cell>
          <cell r="G2068">
            <v>123.75</v>
          </cell>
          <cell r="H2068">
            <v>1432.28</v>
          </cell>
          <cell r="I2068">
            <v>132.6</v>
          </cell>
        </row>
        <row r="2069">
          <cell r="A2069">
            <v>34669</v>
          </cell>
          <cell r="B2069">
            <v>1288.33</v>
          </cell>
          <cell r="C2069">
            <v>1321.32</v>
          </cell>
          <cell r="D2069">
            <v>125.2</v>
          </cell>
          <cell r="E2069">
            <v>128.08000000000001</v>
          </cell>
          <cell r="F2069">
            <v>132.43</v>
          </cell>
          <cell r="G2069">
            <v>122.59</v>
          </cell>
          <cell r="H2069">
            <v>1428.66</v>
          </cell>
          <cell r="I2069">
            <v>132.38999999999999</v>
          </cell>
        </row>
        <row r="2070">
          <cell r="A2070">
            <v>34670</v>
          </cell>
          <cell r="B2070">
            <v>1286.3900000000001</v>
          </cell>
          <cell r="C2070">
            <v>1325.7</v>
          </cell>
          <cell r="D2070">
            <v>125.13</v>
          </cell>
          <cell r="E2070">
            <v>128.47999999999999</v>
          </cell>
          <cell r="F2070">
            <v>132.80000000000001</v>
          </cell>
          <cell r="G2070">
            <v>122.1</v>
          </cell>
          <cell r="H2070">
            <v>1426.42</v>
          </cell>
          <cell r="I2070">
            <v>132.38999999999999</v>
          </cell>
        </row>
        <row r="2071">
          <cell r="A2071">
            <v>34673</v>
          </cell>
          <cell r="B2071">
            <v>1293.82</v>
          </cell>
          <cell r="C2071">
            <v>1334.17</v>
          </cell>
          <cell r="D2071">
            <v>125.48</v>
          </cell>
          <cell r="E2071">
            <v>129</v>
          </cell>
          <cell r="F2071">
            <v>133.55000000000001</v>
          </cell>
          <cell r="G2071">
            <v>122.3</v>
          </cell>
          <cell r="H2071">
            <v>1436.85</v>
          </cell>
          <cell r="I2071">
            <v>133.31</v>
          </cell>
        </row>
        <row r="2072">
          <cell r="A2072">
            <v>34674</v>
          </cell>
          <cell r="B2072">
            <v>1283.77</v>
          </cell>
          <cell r="C2072">
            <v>1322.52</v>
          </cell>
          <cell r="D2072">
            <v>124.57</v>
          </cell>
          <cell r="E2072">
            <v>127.85</v>
          </cell>
          <cell r="F2072">
            <v>132.26</v>
          </cell>
          <cell r="G2072">
            <v>121.61</v>
          </cell>
          <cell r="H2072">
            <v>1413.73</v>
          </cell>
          <cell r="I2072">
            <v>131.22999999999999</v>
          </cell>
        </row>
        <row r="2073">
          <cell r="A2073">
            <v>34675</v>
          </cell>
          <cell r="B2073">
            <v>1283.3900000000001</v>
          </cell>
          <cell r="C2073">
            <v>1322.22</v>
          </cell>
          <cell r="D2073">
            <v>124.44</v>
          </cell>
          <cell r="E2073">
            <v>127.81</v>
          </cell>
          <cell r="F2073">
            <v>132.13999999999999</v>
          </cell>
          <cell r="G2073">
            <v>121.39</v>
          </cell>
          <cell r="H2073">
            <v>1407.16</v>
          </cell>
          <cell r="I2073">
            <v>130.99</v>
          </cell>
        </row>
        <row r="2074">
          <cell r="A2074">
            <v>34676</v>
          </cell>
          <cell r="B2074">
            <v>1284.0999999999999</v>
          </cell>
          <cell r="C2074">
            <v>1316.92</v>
          </cell>
          <cell r="D2074">
            <v>124.37</v>
          </cell>
          <cell r="E2074">
            <v>127.2</v>
          </cell>
          <cell r="F2074">
            <v>131.69999999999999</v>
          </cell>
          <cell r="G2074">
            <v>121.8</v>
          </cell>
          <cell r="H2074">
            <v>1412.87</v>
          </cell>
          <cell r="I2074">
            <v>131.37</v>
          </cell>
        </row>
        <row r="2075">
          <cell r="A2075">
            <v>34677</v>
          </cell>
          <cell r="B2075">
            <v>1270.9000000000001</v>
          </cell>
          <cell r="C2075">
            <v>1305.1300000000001</v>
          </cell>
          <cell r="D2075">
            <v>123.23</v>
          </cell>
          <cell r="E2075">
            <v>126.16</v>
          </cell>
          <cell r="F2075">
            <v>130.72</v>
          </cell>
          <cell r="G2075">
            <v>120.58</v>
          </cell>
          <cell r="H2075">
            <v>1400.51</v>
          </cell>
          <cell r="I2075">
            <v>130.26</v>
          </cell>
        </row>
        <row r="2076">
          <cell r="A2076">
            <v>34680</v>
          </cell>
          <cell r="B2076">
            <v>1259.98</v>
          </cell>
          <cell r="C2076">
            <v>1296.02</v>
          </cell>
          <cell r="D2076">
            <v>122.2</v>
          </cell>
          <cell r="E2076">
            <v>125.16</v>
          </cell>
          <cell r="F2076">
            <v>129.75</v>
          </cell>
          <cell r="G2076">
            <v>119.53</v>
          </cell>
          <cell r="H2076">
            <v>1382.8</v>
          </cell>
          <cell r="I2076">
            <v>128.71</v>
          </cell>
        </row>
        <row r="2077">
          <cell r="A2077">
            <v>34681</v>
          </cell>
          <cell r="B2077">
            <v>1259.9000000000001</v>
          </cell>
          <cell r="C2077">
            <v>1293.5</v>
          </cell>
          <cell r="D2077">
            <v>122.03</v>
          </cell>
          <cell r="E2077">
            <v>124.91</v>
          </cell>
          <cell r="F2077">
            <v>129.68</v>
          </cell>
          <cell r="G2077">
            <v>119.43</v>
          </cell>
          <cell r="H2077">
            <v>1389.07</v>
          </cell>
          <cell r="I2077">
            <v>129.27000000000001</v>
          </cell>
        </row>
        <row r="2078">
          <cell r="A2078">
            <v>34682</v>
          </cell>
          <cell r="B2078">
            <v>1270.97</v>
          </cell>
          <cell r="C2078">
            <v>1299.74</v>
          </cell>
          <cell r="D2078">
            <v>122.75</v>
          </cell>
          <cell r="E2078">
            <v>125.32</v>
          </cell>
          <cell r="F2078">
            <v>130.09</v>
          </cell>
          <cell r="G2078">
            <v>120.41</v>
          </cell>
          <cell r="H2078">
            <v>1386.19</v>
          </cell>
          <cell r="I2078">
            <v>129</v>
          </cell>
        </row>
        <row r="2079">
          <cell r="A2079">
            <v>34683</v>
          </cell>
          <cell r="B2079">
            <v>1276.8800000000001</v>
          </cell>
          <cell r="C2079">
            <v>1306.21</v>
          </cell>
          <cell r="D2079">
            <v>123.07</v>
          </cell>
          <cell r="E2079">
            <v>125.9</v>
          </cell>
          <cell r="F2079">
            <v>130.75</v>
          </cell>
          <cell r="G2079">
            <v>120.5</v>
          </cell>
          <cell r="H2079">
            <v>1398.6</v>
          </cell>
          <cell r="I2079">
            <v>129.96</v>
          </cell>
        </row>
        <row r="2080">
          <cell r="A2080">
            <v>34684</v>
          </cell>
          <cell r="B2080">
            <v>1285.69</v>
          </cell>
          <cell r="C2080">
            <v>1312.17</v>
          </cell>
          <cell r="D2080">
            <v>123.8</v>
          </cell>
          <cell r="E2080">
            <v>126.37</v>
          </cell>
          <cell r="F2080">
            <v>131.06</v>
          </cell>
          <cell r="G2080">
            <v>121.47</v>
          </cell>
          <cell r="H2080">
            <v>1394.97</v>
          </cell>
          <cell r="I2080">
            <v>129.72999999999999</v>
          </cell>
        </row>
        <row r="2081">
          <cell r="A2081">
            <v>34687</v>
          </cell>
          <cell r="B2081">
            <v>1289.3</v>
          </cell>
          <cell r="C2081">
            <v>1314.24</v>
          </cell>
          <cell r="D2081">
            <v>124.22</v>
          </cell>
          <cell r="E2081">
            <v>126.57</v>
          </cell>
          <cell r="F2081">
            <v>131.16</v>
          </cell>
          <cell r="G2081">
            <v>122.08</v>
          </cell>
          <cell r="H2081">
            <v>1391.18</v>
          </cell>
          <cell r="I2081">
            <v>129.29</v>
          </cell>
        </row>
        <row r="2082">
          <cell r="A2082">
            <v>34688</v>
          </cell>
          <cell r="B2082">
            <v>1296.49</v>
          </cell>
          <cell r="C2082">
            <v>1315.12</v>
          </cell>
          <cell r="D2082">
            <v>124.61</v>
          </cell>
          <cell r="E2082">
            <v>126.63</v>
          </cell>
          <cell r="F2082">
            <v>131.38999999999999</v>
          </cell>
          <cell r="G2082">
            <v>122.76</v>
          </cell>
          <cell r="H2082">
            <v>1398.01</v>
          </cell>
          <cell r="I2082">
            <v>129.82</v>
          </cell>
        </row>
        <row r="2083">
          <cell r="A2083">
            <v>34689</v>
          </cell>
          <cell r="B2083">
            <v>1303.99</v>
          </cell>
          <cell r="C2083">
            <v>1325.52</v>
          </cell>
          <cell r="D2083">
            <v>125.12</v>
          </cell>
          <cell r="E2083">
            <v>127.61</v>
          </cell>
          <cell r="F2083">
            <v>132.36000000000001</v>
          </cell>
          <cell r="G2083">
            <v>122.85</v>
          </cell>
          <cell r="H2083">
            <v>1402.44</v>
          </cell>
          <cell r="I2083">
            <v>130.28</v>
          </cell>
        </row>
        <row r="2084">
          <cell r="A2084">
            <v>34690</v>
          </cell>
          <cell r="B2084">
            <v>1310.04</v>
          </cell>
          <cell r="C2084">
            <v>1330.99</v>
          </cell>
          <cell r="D2084">
            <v>125.79</v>
          </cell>
          <cell r="E2084">
            <v>128.11000000000001</v>
          </cell>
          <cell r="F2084">
            <v>133.01</v>
          </cell>
          <cell r="G2084">
            <v>123.68</v>
          </cell>
          <cell r="H2084">
            <v>1420.92</v>
          </cell>
          <cell r="I2084">
            <v>131.91999999999999</v>
          </cell>
        </row>
        <row r="2085">
          <cell r="A2085">
            <v>34691</v>
          </cell>
          <cell r="B2085">
            <v>1310.6199999999999</v>
          </cell>
          <cell r="C2085">
            <v>1331.54</v>
          </cell>
          <cell r="D2085">
            <v>125.98</v>
          </cell>
          <cell r="E2085">
            <v>128.29</v>
          </cell>
          <cell r="F2085">
            <v>133.24</v>
          </cell>
          <cell r="G2085">
            <v>123.88</v>
          </cell>
          <cell r="H2085">
            <v>1426.22</v>
          </cell>
          <cell r="I2085">
            <v>132.66</v>
          </cell>
        </row>
        <row r="2086">
          <cell r="A2086">
            <v>34694</v>
          </cell>
          <cell r="B2086">
            <v>1311.46</v>
          </cell>
          <cell r="C2086">
            <v>1334.14</v>
          </cell>
          <cell r="D2086">
            <v>126.07</v>
          </cell>
          <cell r="E2086">
            <v>128.57</v>
          </cell>
          <cell r="F2086">
            <v>133.47</v>
          </cell>
          <cell r="G2086">
            <v>123.81</v>
          </cell>
          <cell r="H2086">
            <v>1427.66</v>
          </cell>
          <cell r="I2086">
            <v>132.79</v>
          </cell>
        </row>
        <row r="2087">
          <cell r="A2087">
            <v>34695</v>
          </cell>
          <cell r="B2087">
            <v>1315.83</v>
          </cell>
          <cell r="C2087">
            <v>1337.81</v>
          </cell>
          <cell r="D2087">
            <v>126.25</v>
          </cell>
          <cell r="E2087">
            <v>128.78</v>
          </cell>
          <cell r="F2087">
            <v>133.82</v>
          </cell>
          <cell r="G2087">
            <v>123.95</v>
          </cell>
          <cell r="H2087">
            <v>1431.26</v>
          </cell>
          <cell r="I2087">
            <v>133.16</v>
          </cell>
        </row>
        <row r="2088">
          <cell r="A2088">
            <v>34696</v>
          </cell>
          <cell r="B2088">
            <v>1316.92</v>
          </cell>
          <cell r="C2088">
            <v>1341.66</v>
          </cell>
          <cell r="D2088">
            <v>126.45</v>
          </cell>
          <cell r="E2088">
            <v>129.13999999999999</v>
          </cell>
          <cell r="F2088">
            <v>133.86000000000001</v>
          </cell>
          <cell r="G2088">
            <v>124.01</v>
          </cell>
          <cell r="H2088">
            <v>1421.75</v>
          </cell>
          <cell r="I2088">
            <v>132.33000000000001</v>
          </cell>
        </row>
        <row r="2089">
          <cell r="A2089">
            <v>34697</v>
          </cell>
          <cell r="B2089">
            <v>1293.55</v>
          </cell>
          <cell r="C2089">
            <v>1312.9</v>
          </cell>
          <cell r="D2089">
            <v>124.57</v>
          </cell>
          <cell r="E2089">
            <v>126.54</v>
          </cell>
          <cell r="F2089">
            <v>131.65</v>
          </cell>
          <cell r="G2089">
            <v>122.78</v>
          </cell>
          <cell r="H2089">
            <v>1414.13</v>
          </cell>
          <cell r="I2089">
            <v>131.91</v>
          </cell>
        </row>
        <row r="2090">
          <cell r="A2090">
            <v>34698</v>
          </cell>
          <cell r="B2090">
            <v>1298.78</v>
          </cell>
          <cell r="C2090">
            <v>1320.59</v>
          </cell>
          <cell r="D2090">
            <v>125.06</v>
          </cell>
          <cell r="E2090">
            <v>127.33</v>
          </cell>
          <cell r="F2090">
            <v>132.35</v>
          </cell>
          <cell r="G2090">
            <v>123</v>
          </cell>
          <cell r="H2090">
            <v>1422.11</v>
          </cell>
          <cell r="I2090">
            <v>132.49</v>
          </cell>
        </row>
        <row r="2091">
          <cell r="A2091">
            <v>34701</v>
          </cell>
          <cell r="B2091">
            <v>1295.73</v>
          </cell>
          <cell r="C2091">
            <v>1315.75</v>
          </cell>
          <cell r="D2091">
            <v>124.84</v>
          </cell>
          <cell r="E2091">
            <v>126.91</v>
          </cell>
          <cell r="F2091">
            <v>132.03</v>
          </cell>
          <cell r="G2091">
            <v>122.95</v>
          </cell>
          <cell r="H2091">
            <v>1427.93</v>
          </cell>
          <cell r="I2091">
            <v>133.27000000000001</v>
          </cell>
        </row>
        <row r="2092">
          <cell r="A2092">
            <v>34702</v>
          </cell>
          <cell r="B2092">
            <v>1295.43</v>
          </cell>
          <cell r="C2092">
            <v>1317.34</v>
          </cell>
          <cell r="D2092">
            <v>124.89</v>
          </cell>
          <cell r="E2092">
            <v>127.03</v>
          </cell>
          <cell r="F2092">
            <v>132.06</v>
          </cell>
          <cell r="G2092">
            <v>122.94</v>
          </cell>
          <cell r="H2092">
            <v>1439.98</v>
          </cell>
          <cell r="I2092">
            <v>134.4</v>
          </cell>
        </row>
        <row r="2093">
          <cell r="A2093">
            <v>34703</v>
          </cell>
          <cell r="B2093">
            <v>1296.1600000000001</v>
          </cell>
          <cell r="C2093">
            <v>1318.64</v>
          </cell>
          <cell r="D2093">
            <v>124.96</v>
          </cell>
          <cell r="E2093">
            <v>127.11</v>
          </cell>
          <cell r="F2093">
            <v>132.47</v>
          </cell>
          <cell r="G2093">
            <v>123</v>
          </cell>
          <cell r="H2093">
            <v>1446.02</v>
          </cell>
          <cell r="I2093">
            <v>135</v>
          </cell>
        </row>
        <row r="2094">
          <cell r="A2094">
            <v>34704</v>
          </cell>
          <cell r="B2094">
            <v>1287.48</v>
          </cell>
          <cell r="C2094">
            <v>1308.53</v>
          </cell>
          <cell r="D2094">
            <v>124.18</v>
          </cell>
          <cell r="E2094">
            <v>126.27</v>
          </cell>
          <cell r="F2094">
            <v>131.75</v>
          </cell>
          <cell r="G2094">
            <v>122.27</v>
          </cell>
          <cell r="H2094">
            <v>1445.76</v>
          </cell>
          <cell r="I2094">
            <v>134.82</v>
          </cell>
        </row>
        <row r="2095">
          <cell r="A2095">
            <v>34705</v>
          </cell>
          <cell r="B2095">
            <v>1293.9100000000001</v>
          </cell>
          <cell r="C2095">
            <v>1310.1500000000001</v>
          </cell>
          <cell r="D2095">
            <v>124.71</v>
          </cell>
          <cell r="E2095">
            <v>126.45</v>
          </cell>
          <cell r="F2095">
            <v>131.88</v>
          </cell>
          <cell r="G2095">
            <v>123.12</v>
          </cell>
          <cell r="H2095">
            <v>1439.38</v>
          </cell>
          <cell r="I2095">
            <v>134.27000000000001</v>
          </cell>
        </row>
        <row r="2096">
          <cell r="A2096">
            <v>34708</v>
          </cell>
          <cell r="B2096">
            <v>1287.52</v>
          </cell>
          <cell r="C2096">
            <v>1304.48</v>
          </cell>
          <cell r="D2096">
            <v>123.92</v>
          </cell>
          <cell r="E2096">
            <v>125.75</v>
          </cell>
          <cell r="F2096">
            <v>131.22999999999999</v>
          </cell>
          <cell r="G2096">
            <v>122.25</v>
          </cell>
          <cell r="H2096">
            <v>1433.11</v>
          </cell>
          <cell r="I2096">
            <v>133.87</v>
          </cell>
        </row>
        <row r="2097">
          <cell r="A2097">
            <v>34709</v>
          </cell>
          <cell r="B2097">
            <v>1287.07</v>
          </cell>
          <cell r="C2097">
            <v>1301.75</v>
          </cell>
          <cell r="D2097">
            <v>123.7</v>
          </cell>
          <cell r="E2097">
            <v>125.33</v>
          </cell>
          <cell r="F2097">
            <v>130.83000000000001</v>
          </cell>
          <cell r="G2097">
            <v>122.21</v>
          </cell>
          <cell r="H2097">
            <v>1433.79</v>
          </cell>
          <cell r="I2097">
            <v>133.91</v>
          </cell>
        </row>
        <row r="2098">
          <cell r="A2098">
            <v>34710</v>
          </cell>
          <cell r="B2098">
            <v>1282.6199999999999</v>
          </cell>
          <cell r="C2098">
            <v>1298.69</v>
          </cell>
          <cell r="D2098">
            <v>123.52</v>
          </cell>
          <cell r="E2098">
            <v>125.19</v>
          </cell>
          <cell r="F2098">
            <v>130.71</v>
          </cell>
          <cell r="G2098">
            <v>121.98</v>
          </cell>
          <cell r="H2098">
            <v>1439.58</v>
          </cell>
          <cell r="I2098">
            <v>134.41</v>
          </cell>
        </row>
        <row r="2099">
          <cell r="A2099">
            <v>34711</v>
          </cell>
          <cell r="B2099">
            <v>1285.29</v>
          </cell>
          <cell r="C2099">
            <v>1300.27</v>
          </cell>
          <cell r="D2099">
            <v>123.61</v>
          </cell>
          <cell r="E2099">
            <v>125.19</v>
          </cell>
          <cell r="F2099">
            <v>130.66999999999999</v>
          </cell>
          <cell r="G2099">
            <v>122.16</v>
          </cell>
          <cell r="H2099">
            <v>1424.33</v>
          </cell>
          <cell r="I2099">
            <v>133.18</v>
          </cell>
        </row>
        <row r="2100">
          <cell r="A2100">
            <v>34712</v>
          </cell>
          <cell r="B2100">
            <v>1287.53</v>
          </cell>
          <cell r="C2100">
            <v>1303.1300000000001</v>
          </cell>
          <cell r="D2100">
            <v>123.79</v>
          </cell>
          <cell r="E2100">
            <v>125.48</v>
          </cell>
          <cell r="F2100">
            <v>130.78</v>
          </cell>
          <cell r="G2100">
            <v>122.23</v>
          </cell>
          <cell r="H2100">
            <v>1423.48</v>
          </cell>
          <cell r="I2100">
            <v>133.15</v>
          </cell>
        </row>
        <row r="2101">
          <cell r="A2101">
            <v>34715</v>
          </cell>
          <cell r="B2101">
            <v>1300.27</v>
          </cell>
          <cell r="C2101">
            <v>1322.54</v>
          </cell>
          <cell r="D2101">
            <v>124.88</v>
          </cell>
          <cell r="E2101">
            <v>127.21</v>
          </cell>
          <cell r="F2101">
            <v>132.22</v>
          </cell>
          <cell r="G2101">
            <v>122.76</v>
          </cell>
          <cell r="H2101">
            <v>1437.75</v>
          </cell>
          <cell r="I2101">
            <v>134.24</v>
          </cell>
        </row>
        <row r="2102">
          <cell r="A2102">
            <v>34716</v>
          </cell>
          <cell r="B2102">
            <v>1292.9100000000001</v>
          </cell>
          <cell r="C2102">
            <v>1317.97</v>
          </cell>
          <cell r="D2102">
            <v>124.42</v>
          </cell>
          <cell r="E2102">
            <v>126.83</v>
          </cell>
          <cell r="F2102">
            <v>131.83000000000001</v>
          </cell>
          <cell r="G2102">
            <v>122.23</v>
          </cell>
          <cell r="H2102">
            <v>1431.74</v>
          </cell>
          <cell r="I2102">
            <v>133.76</v>
          </cell>
        </row>
        <row r="2103">
          <cell r="A2103">
            <v>34717</v>
          </cell>
          <cell r="B2103">
            <v>1292.9000000000001</v>
          </cell>
          <cell r="C2103">
            <v>1315.89</v>
          </cell>
          <cell r="D2103">
            <v>124.43</v>
          </cell>
          <cell r="E2103">
            <v>126.48</v>
          </cell>
          <cell r="F2103">
            <v>131.63</v>
          </cell>
          <cell r="G2103">
            <v>122.57</v>
          </cell>
          <cell r="H2103">
            <v>1438.44</v>
          </cell>
          <cell r="I2103">
            <v>134.27000000000001</v>
          </cell>
        </row>
        <row r="2104">
          <cell r="A2104">
            <v>34718</v>
          </cell>
          <cell r="B2104">
            <v>1290.72</v>
          </cell>
          <cell r="C2104">
            <v>1319.01</v>
          </cell>
          <cell r="D2104">
            <v>124.01</v>
          </cell>
          <cell r="E2104">
            <v>126.63</v>
          </cell>
          <cell r="F2104">
            <v>131.56</v>
          </cell>
          <cell r="G2104">
            <v>121.64</v>
          </cell>
          <cell r="H2104">
            <v>1414.44</v>
          </cell>
          <cell r="I2104">
            <v>132.25</v>
          </cell>
        </row>
        <row r="2105">
          <cell r="A2105">
            <v>34719</v>
          </cell>
          <cell r="B2105">
            <v>1276.06</v>
          </cell>
          <cell r="C2105">
            <v>1305.78</v>
          </cell>
          <cell r="D2105">
            <v>122.88</v>
          </cell>
          <cell r="E2105">
            <v>125.42</v>
          </cell>
          <cell r="F2105">
            <v>130.52000000000001</v>
          </cell>
          <cell r="G2105">
            <v>120.58</v>
          </cell>
          <cell r="H2105">
            <v>1417.06</v>
          </cell>
          <cell r="I2105">
            <v>132.49</v>
          </cell>
        </row>
        <row r="2106">
          <cell r="A2106">
            <v>34722</v>
          </cell>
          <cell r="B2106">
            <v>1258.3</v>
          </cell>
          <cell r="C2106">
            <v>1288.9100000000001</v>
          </cell>
          <cell r="D2106">
            <v>121.52</v>
          </cell>
          <cell r="E2106">
            <v>123.95</v>
          </cell>
          <cell r="F2106">
            <v>128.84</v>
          </cell>
          <cell r="G2106">
            <v>119.31</v>
          </cell>
          <cell r="H2106">
            <v>1390.54</v>
          </cell>
          <cell r="I2106">
            <v>130.1</v>
          </cell>
        </row>
        <row r="2107">
          <cell r="A2107">
            <v>34723</v>
          </cell>
          <cell r="B2107">
            <v>1262.51</v>
          </cell>
          <cell r="C2107">
            <v>1292.01</v>
          </cell>
          <cell r="D2107">
            <v>121.85</v>
          </cell>
          <cell r="E2107">
            <v>124</v>
          </cell>
          <cell r="F2107">
            <v>129.03</v>
          </cell>
          <cell r="G2107">
            <v>119.9</v>
          </cell>
          <cell r="H2107">
            <v>1402</v>
          </cell>
          <cell r="I2107">
            <v>131.07</v>
          </cell>
        </row>
        <row r="2108">
          <cell r="A2108">
            <v>34724</v>
          </cell>
          <cell r="B2108">
            <v>1262.56</v>
          </cell>
          <cell r="C2108">
            <v>1294.99</v>
          </cell>
          <cell r="D2108">
            <v>122.01</v>
          </cell>
          <cell r="E2108">
            <v>124.29</v>
          </cell>
          <cell r="F2108">
            <v>129.12</v>
          </cell>
          <cell r="G2108">
            <v>119.94</v>
          </cell>
          <cell r="H2108">
            <v>1398.96</v>
          </cell>
          <cell r="I2108">
            <v>130.88999999999999</v>
          </cell>
        </row>
        <row r="2109">
          <cell r="A2109">
            <v>34725</v>
          </cell>
          <cell r="B2109">
            <v>1275.02</v>
          </cell>
          <cell r="C2109">
            <v>1305.3900000000001</v>
          </cell>
          <cell r="D2109">
            <v>122.87</v>
          </cell>
          <cell r="E2109">
            <v>124.98</v>
          </cell>
          <cell r="F2109">
            <v>129.97</v>
          </cell>
          <cell r="G2109">
            <v>120.94</v>
          </cell>
          <cell r="H2109">
            <v>1405.98</v>
          </cell>
          <cell r="I2109">
            <v>131.37</v>
          </cell>
        </row>
        <row r="2110">
          <cell r="A2110">
            <v>34726</v>
          </cell>
          <cell r="B2110">
            <v>1277.78</v>
          </cell>
          <cell r="C2110">
            <v>1306.55</v>
          </cell>
          <cell r="D2110">
            <v>122.97</v>
          </cell>
          <cell r="E2110">
            <v>124.95</v>
          </cell>
          <cell r="F2110">
            <v>129.94</v>
          </cell>
          <cell r="G2110">
            <v>121.15</v>
          </cell>
          <cell r="H2110">
            <v>1413.97</v>
          </cell>
          <cell r="I2110">
            <v>132.05000000000001</v>
          </cell>
        </row>
        <row r="2111">
          <cell r="A2111">
            <v>34729</v>
          </cell>
          <cell r="B2111">
            <v>1272.56</v>
          </cell>
          <cell r="C2111">
            <v>1306.73</v>
          </cell>
          <cell r="D2111">
            <v>122.36</v>
          </cell>
          <cell r="E2111">
            <v>124.83</v>
          </cell>
          <cell r="F2111">
            <v>129.72999999999999</v>
          </cell>
          <cell r="G2111">
            <v>120.12</v>
          </cell>
          <cell r="H2111">
            <v>1407.41</v>
          </cell>
          <cell r="I2111">
            <v>131.59</v>
          </cell>
        </row>
        <row r="2112">
          <cell r="A2112">
            <v>34730</v>
          </cell>
          <cell r="B2112">
            <v>1268.3900000000001</v>
          </cell>
          <cell r="C2112">
            <v>1296.71</v>
          </cell>
          <cell r="D2112">
            <v>121.92</v>
          </cell>
          <cell r="E2112">
            <v>124.01</v>
          </cell>
          <cell r="F2112">
            <v>129.03</v>
          </cell>
          <cell r="G2112">
            <v>120.02</v>
          </cell>
          <cell r="H2112">
            <v>1407.9</v>
          </cell>
          <cell r="I2112">
            <v>131.83000000000001</v>
          </cell>
        </row>
        <row r="2113">
          <cell r="A2113">
            <v>34731</v>
          </cell>
          <cell r="B2113">
            <v>1284.07</v>
          </cell>
          <cell r="C2113">
            <v>1314.58</v>
          </cell>
          <cell r="D2113">
            <v>123.32</v>
          </cell>
          <cell r="E2113">
            <v>125.75</v>
          </cell>
          <cell r="F2113">
            <v>130.78</v>
          </cell>
          <cell r="G2113">
            <v>121.12</v>
          </cell>
          <cell r="H2113">
            <v>1428.79</v>
          </cell>
          <cell r="I2113">
            <v>133.69</v>
          </cell>
        </row>
        <row r="2114">
          <cell r="A2114">
            <v>34732</v>
          </cell>
          <cell r="B2114">
            <v>1286.92</v>
          </cell>
          <cell r="C2114">
            <v>1314.11</v>
          </cell>
          <cell r="D2114">
            <v>123.55</v>
          </cell>
          <cell r="E2114">
            <v>125.67</v>
          </cell>
          <cell r="F2114">
            <v>130.76</v>
          </cell>
          <cell r="G2114">
            <v>121.63</v>
          </cell>
          <cell r="H2114">
            <v>1430.42</v>
          </cell>
          <cell r="I2114">
            <v>133.86000000000001</v>
          </cell>
        </row>
        <row r="2115">
          <cell r="A2115">
            <v>34733</v>
          </cell>
          <cell r="B2115">
            <v>1296.26</v>
          </cell>
          <cell r="C2115">
            <v>1325.2</v>
          </cell>
          <cell r="D2115">
            <v>124.27</v>
          </cell>
          <cell r="E2115">
            <v>126.72</v>
          </cell>
          <cell r="F2115">
            <v>131.81</v>
          </cell>
          <cell r="G2115">
            <v>122.04</v>
          </cell>
          <cell r="H2115">
            <v>1437.76</v>
          </cell>
          <cell r="I2115">
            <v>134.78</v>
          </cell>
        </row>
        <row r="2116">
          <cell r="A2116">
            <v>34736</v>
          </cell>
          <cell r="B2116">
            <v>1305.01</v>
          </cell>
          <cell r="C2116">
            <v>1339.4</v>
          </cell>
          <cell r="D2116">
            <v>125.15</v>
          </cell>
          <cell r="E2116">
            <v>128.12</v>
          </cell>
          <cell r="F2116">
            <v>133.31</v>
          </cell>
          <cell r="G2116">
            <v>122.47</v>
          </cell>
          <cell r="H2116">
            <v>1459.59</v>
          </cell>
          <cell r="I2116">
            <v>136.6</v>
          </cell>
        </row>
        <row r="2117">
          <cell r="A2117">
            <v>34737</v>
          </cell>
          <cell r="B2117">
            <v>1304.95</v>
          </cell>
          <cell r="C2117">
            <v>1337.86</v>
          </cell>
          <cell r="D2117">
            <v>125.16</v>
          </cell>
          <cell r="E2117">
            <v>127.94</v>
          </cell>
          <cell r="F2117">
            <v>133.08000000000001</v>
          </cell>
          <cell r="G2117">
            <v>122.65</v>
          </cell>
          <cell r="H2117">
            <v>1453.07</v>
          </cell>
          <cell r="I2117">
            <v>135.85</v>
          </cell>
        </row>
        <row r="2118">
          <cell r="A2118">
            <v>34738</v>
          </cell>
          <cell r="B2118">
            <v>1299.73</v>
          </cell>
          <cell r="C2118">
            <v>1334.62</v>
          </cell>
          <cell r="D2118">
            <v>124.75</v>
          </cell>
          <cell r="E2118">
            <v>127.59</v>
          </cell>
          <cell r="F2118">
            <v>132.69</v>
          </cell>
          <cell r="G2118">
            <v>122.18</v>
          </cell>
          <cell r="H2118">
            <v>1440.24</v>
          </cell>
          <cell r="I2118">
            <v>134.91</v>
          </cell>
        </row>
        <row r="2119">
          <cell r="A2119">
            <v>34739</v>
          </cell>
          <cell r="B2119">
            <v>1309.0899999999999</v>
          </cell>
          <cell r="C2119">
            <v>1343.66</v>
          </cell>
          <cell r="D2119">
            <v>125.76</v>
          </cell>
          <cell r="E2119">
            <v>128.53</v>
          </cell>
          <cell r="F2119">
            <v>133.68</v>
          </cell>
          <cell r="G2119">
            <v>123.24</v>
          </cell>
          <cell r="H2119">
            <v>1452.72</v>
          </cell>
          <cell r="I2119">
            <v>135.97999999999999</v>
          </cell>
        </row>
        <row r="2120">
          <cell r="A2120">
            <v>34740</v>
          </cell>
          <cell r="B2120">
            <v>1312.65</v>
          </cell>
          <cell r="C2120">
            <v>1348.1</v>
          </cell>
          <cell r="D2120">
            <v>126.01</v>
          </cell>
          <cell r="E2120">
            <v>128.82</v>
          </cell>
          <cell r="F2120">
            <v>134.01</v>
          </cell>
          <cell r="G2120">
            <v>123.46</v>
          </cell>
          <cell r="H2120">
            <v>1457.35</v>
          </cell>
          <cell r="I2120">
            <v>136.38999999999999</v>
          </cell>
        </row>
        <row r="2121">
          <cell r="A2121">
            <v>34743</v>
          </cell>
          <cell r="B2121">
            <v>1304.56</v>
          </cell>
          <cell r="C2121">
            <v>1340.69</v>
          </cell>
          <cell r="D2121">
            <v>125.36</v>
          </cell>
          <cell r="E2121">
            <v>128.11000000000001</v>
          </cell>
          <cell r="F2121">
            <v>133.41</v>
          </cell>
          <cell r="G2121">
            <v>122.86</v>
          </cell>
          <cell r="H2121">
            <v>1451.05</v>
          </cell>
          <cell r="I2121">
            <v>135.97999999999999</v>
          </cell>
        </row>
        <row r="2122">
          <cell r="A2122">
            <v>34744</v>
          </cell>
          <cell r="B2122">
            <v>1301.32</v>
          </cell>
          <cell r="C2122">
            <v>1344.6</v>
          </cell>
          <cell r="D2122">
            <v>125.08</v>
          </cell>
          <cell r="E2122">
            <v>128.44</v>
          </cell>
          <cell r="F2122">
            <v>133.79</v>
          </cell>
          <cell r="G2122">
            <v>122.04</v>
          </cell>
          <cell r="H2122">
            <v>1456.19</v>
          </cell>
          <cell r="I2122">
            <v>136.33000000000001</v>
          </cell>
        </row>
        <row r="2123">
          <cell r="A2123">
            <v>34745</v>
          </cell>
          <cell r="B2123">
            <v>1302.2</v>
          </cell>
          <cell r="C2123">
            <v>1346.27</v>
          </cell>
          <cell r="D2123">
            <v>125.09</v>
          </cell>
          <cell r="E2123">
            <v>128.56</v>
          </cell>
          <cell r="F2123">
            <v>133.82</v>
          </cell>
          <cell r="G2123">
            <v>121.96</v>
          </cell>
          <cell r="H2123">
            <v>1453.34</v>
          </cell>
          <cell r="I2123">
            <v>136.13999999999999</v>
          </cell>
        </row>
        <row r="2124">
          <cell r="A2124">
            <v>34746</v>
          </cell>
          <cell r="B2124">
            <v>1290.06</v>
          </cell>
          <cell r="C2124">
            <v>1331.42</v>
          </cell>
          <cell r="D2124">
            <v>123.87</v>
          </cell>
          <cell r="E2124">
            <v>127.06</v>
          </cell>
          <cell r="F2124">
            <v>132.36000000000001</v>
          </cell>
          <cell r="G2124">
            <v>120.99</v>
          </cell>
          <cell r="H2124">
            <v>1433.7</v>
          </cell>
          <cell r="I2124">
            <v>134.22999999999999</v>
          </cell>
        </row>
        <row r="2125">
          <cell r="A2125">
            <v>34747</v>
          </cell>
          <cell r="B2125">
            <v>1286.07</v>
          </cell>
          <cell r="C2125">
            <v>1329.81</v>
          </cell>
          <cell r="D2125">
            <v>123.48</v>
          </cell>
          <cell r="E2125">
            <v>126.83</v>
          </cell>
          <cell r="F2125">
            <v>131.97999999999999</v>
          </cell>
          <cell r="G2125">
            <v>120.45</v>
          </cell>
          <cell r="H2125">
            <v>1418.92</v>
          </cell>
          <cell r="I2125">
            <v>133.27000000000001</v>
          </cell>
        </row>
        <row r="2126">
          <cell r="A2126">
            <v>34750</v>
          </cell>
          <cell r="B2126">
            <v>1274.95</v>
          </cell>
          <cell r="C2126">
            <v>1319.1</v>
          </cell>
          <cell r="D2126">
            <v>122.27</v>
          </cell>
          <cell r="E2126">
            <v>125.68</v>
          </cell>
          <cell r="F2126">
            <v>131.01</v>
          </cell>
          <cell r="G2126">
            <v>119.19</v>
          </cell>
          <cell r="H2126">
            <v>1411.55</v>
          </cell>
          <cell r="I2126">
            <v>132.34</v>
          </cell>
        </row>
        <row r="2127">
          <cell r="A2127">
            <v>34751</v>
          </cell>
          <cell r="B2127">
            <v>1278.55</v>
          </cell>
          <cell r="C2127">
            <v>1319.05</v>
          </cell>
          <cell r="D2127">
            <v>122.63</v>
          </cell>
          <cell r="E2127">
            <v>125.57</v>
          </cell>
          <cell r="F2127">
            <v>131.15</v>
          </cell>
          <cell r="G2127">
            <v>119.97</v>
          </cell>
          <cell r="H2127">
            <v>1411.36</v>
          </cell>
          <cell r="I2127">
            <v>132.28</v>
          </cell>
        </row>
        <row r="2128">
          <cell r="A2128">
            <v>34752</v>
          </cell>
          <cell r="B2128">
            <v>1275.52</v>
          </cell>
          <cell r="C2128">
            <v>1314.36</v>
          </cell>
          <cell r="D2128">
            <v>122.34</v>
          </cell>
          <cell r="E2128">
            <v>125.05</v>
          </cell>
          <cell r="F2128">
            <v>130.59</v>
          </cell>
          <cell r="G2128">
            <v>119.89</v>
          </cell>
          <cell r="H2128">
            <v>1401.26</v>
          </cell>
          <cell r="I2128">
            <v>131.57</v>
          </cell>
        </row>
        <row r="2129">
          <cell r="A2129">
            <v>34753</v>
          </cell>
          <cell r="B2129">
            <v>1285.83</v>
          </cell>
          <cell r="C2129">
            <v>1325.85</v>
          </cell>
          <cell r="D2129">
            <v>123.3</v>
          </cell>
          <cell r="E2129">
            <v>126.03</v>
          </cell>
          <cell r="F2129">
            <v>131.5</v>
          </cell>
          <cell r="G2129">
            <v>120.83</v>
          </cell>
          <cell r="H2129">
            <v>1407.86</v>
          </cell>
          <cell r="I2129">
            <v>131.91999999999999</v>
          </cell>
        </row>
        <row r="2130">
          <cell r="A2130">
            <v>34754</v>
          </cell>
          <cell r="B2130">
            <v>1280.71</v>
          </cell>
          <cell r="C2130">
            <v>1321.92</v>
          </cell>
          <cell r="D2130">
            <v>122.88</v>
          </cell>
          <cell r="E2130">
            <v>125.64</v>
          </cell>
          <cell r="F2130">
            <v>131.27000000000001</v>
          </cell>
          <cell r="G2130">
            <v>120.39</v>
          </cell>
          <cell r="H2130">
            <v>1416.35</v>
          </cell>
          <cell r="I2130">
            <v>132.88</v>
          </cell>
        </row>
        <row r="2131">
          <cell r="A2131">
            <v>34757</v>
          </cell>
          <cell r="B2131">
            <v>1272.53</v>
          </cell>
          <cell r="C2131">
            <v>1313.54</v>
          </cell>
          <cell r="D2131">
            <v>122.09</v>
          </cell>
          <cell r="E2131">
            <v>124.75</v>
          </cell>
          <cell r="F2131">
            <v>130.38999999999999</v>
          </cell>
          <cell r="G2131">
            <v>119.67</v>
          </cell>
          <cell r="H2131">
            <v>1397.03</v>
          </cell>
          <cell r="I2131">
            <v>131.12</v>
          </cell>
        </row>
        <row r="2132">
          <cell r="A2132">
            <v>34758</v>
          </cell>
          <cell r="B2132">
            <v>1269.1300000000001</v>
          </cell>
          <cell r="C2132">
            <v>1312.78</v>
          </cell>
          <cell r="D2132">
            <v>121.82</v>
          </cell>
          <cell r="E2132">
            <v>124.7</v>
          </cell>
          <cell r="F2132">
            <v>130.38</v>
          </cell>
          <cell r="G2132">
            <v>119.22</v>
          </cell>
          <cell r="H2132">
            <v>1399</v>
          </cell>
          <cell r="I2132">
            <v>131.13</v>
          </cell>
        </row>
        <row r="2133">
          <cell r="A2133">
            <v>34759</v>
          </cell>
          <cell r="B2133">
            <v>1281.3599999999999</v>
          </cell>
          <cell r="C2133">
            <v>1322.62</v>
          </cell>
          <cell r="D2133">
            <v>122.72</v>
          </cell>
          <cell r="E2133">
            <v>125.58</v>
          </cell>
          <cell r="F2133">
            <v>131.16999999999999</v>
          </cell>
          <cell r="G2133">
            <v>120.13</v>
          </cell>
          <cell r="H2133">
            <v>1404.43</v>
          </cell>
          <cell r="I2133">
            <v>131.9</v>
          </cell>
        </row>
        <row r="2134">
          <cell r="A2134">
            <v>34760</v>
          </cell>
          <cell r="B2134">
            <v>1284</v>
          </cell>
          <cell r="C2134">
            <v>1321.78</v>
          </cell>
          <cell r="D2134">
            <v>122.9</v>
          </cell>
          <cell r="E2134">
            <v>125.56</v>
          </cell>
          <cell r="F2134">
            <v>131.05000000000001</v>
          </cell>
          <cell r="G2134">
            <v>120.49</v>
          </cell>
          <cell r="H2134">
            <v>1379.89</v>
          </cell>
          <cell r="I2134">
            <v>129.77000000000001</v>
          </cell>
        </row>
        <row r="2135">
          <cell r="A2135">
            <v>34761</v>
          </cell>
          <cell r="B2135">
            <v>1277.95</v>
          </cell>
          <cell r="C2135">
            <v>1316.19</v>
          </cell>
          <cell r="D2135">
            <v>122.25</v>
          </cell>
          <cell r="E2135">
            <v>124.8</v>
          </cell>
          <cell r="F2135">
            <v>130.22999999999999</v>
          </cell>
          <cell r="G2135">
            <v>119.94</v>
          </cell>
          <cell r="H2135">
            <v>1361.58</v>
          </cell>
          <cell r="I2135">
            <v>128.38</v>
          </cell>
        </row>
        <row r="2136">
          <cell r="A2136">
            <v>34764</v>
          </cell>
          <cell r="B2136">
            <v>1263.4100000000001</v>
          </cell>
          <cell r="C2136">
            <v>1304.05</v>
          </cell>
          <cell r="D2136">
            <v>120.82</v>
          </cell>
          <cell r="E2136">
            <v>123.69</v>
          </cell>
          <cell r="F2136">
            <v>129.11000000000001</v>
          </cell>
          <cell r="G2136">
            <v>118.22</v>
          </cell>
          <cell r="H2136">
            <v>1328.5</v>
          </cell>
          <cell r="I2136">
            <v>125.4</v>
          </cell>
        </row>
        <row r="2137">
          <cell r="A2137">
            <v>34765</v>
          </cell>
          <cell r="B2137">
            <v>1258.76</v>
          </cell>
          <cell r="C2137">
            <v>1296.32</v>
          </cell>
          <cell r="D2137">
            <v>120.11</v>
          </cell>
          <cell r="E2137">
            <v>123.01</v>
          </cell>
          <cell r="F2137">
            <v>128.69999999999999</v>
          </cell>
          <cell r="G2137">
            <v>117.48</v>
          </cell>
          <cell r="H2137">
            <v>1309.2</v>
          </cell>
          <cell r="I2137">
            <v>123.69</v>
          </cell>
        </row>
        <row r="2138">
          <cell r="A2138">
            <v>34766</v>
          </cell>
          <cell r="B2138">
            <v>1246.78</v>
          </cell>
          <cell r="C2138">
            <v>1282.3499999999999</v>
          </cell>
          <cell r="D2138">
            <v>119.06</v>
          </cell>
          <cell r="E2138">
            <v>121.62</v>
          </cell>
          <cell r="F2138">
            <v>127.33</v>
          </cell>
          <cell r="G2138">
            <v>116.74</v>
          </cell>
          <cell r="H2138">
            <v>1327.73</v>
          </cell>
          <cell r="I2138">
            <v>125.3</v>
          </cell>
        </row>
        <row r="2139">
          <cell r="A2139">
            <v>34767</v>
          </cell>
          <cell r="B2139">
            <v>1240.56</v>
          </cell>
          <cell r="C2139">
            <v>1274.57</v>
          </cell>
          <cell r="D2139">
            <v>118.38</v>
          </cell>
          <cell r="E2139">
            <v>120.78</v>
          </cell>
          <cell r="F2139">
            <v>126.12</v>
          </cell>
          <cell r="G2139">
            <v>116.21</v>
          </cell>
          <cell r="H2139">
            <v>1316.55</v>
          </cell>
          <cell r="I2139">
            <v>124.02</v>
          </cell>
        </row>
        <row r="2140">
          <cell r="A2140">
            <v>34768</v>
          </cell>
          <cell r="B2140">
            <v>1249.4100000000001</v>
          </cell>
          <cell r="C2140">
            <v>1282.26</v>
          </cell>
          <cell r="D2140">
            <v>119</v>
          </cell>
          <cell r="E2140">
            <v>121.22</v>
          </cell>
          <cell r="F2140">
            <v>126.91</v>
          </cell>
          <cell r="G2140">
            <v>116.99</v>
          </cell>
          <cell r="H2140">
            <v>1345.96</v>
          </cell>
          <cell r="I2140">
            <v>126.57</v>
          </cell>
        </row>
        <row r="2141">
          <cell r="A2141">
            <v>34771</v>
          </cell>
          <cell r="B2141">
            <v>1245</v>
          </cell>
          <cell r="C2141">
            <v>1275.46</v>
          </cell>
          <cell r="D2141">
            <v>118.53</v>
          </cell>
          <cell r="E2141">
            <v>120.52</v>
          </cell>
          <cell r="F2141">
            <v>126.06</v>
          </cell>
          <cell r="G2141">
            <v>116.73</v>
          </cell>
          <cell r="H2141">
            <v>1327.03</v>
          </cell>
          <cell r="I2141">
            <v>125.08</v>
          </cell>
        </row>
        <row r="2142">
          <cell r="A2142">
            <v>34772</v>
          </cell>
          <cell r="B2142">
            <v>1257.48</v>
          </cell>
          <cell r="C2142">
            <v>1287.8499999999999</v>
          </cell>
          <cell r="D2142">
            <v>119.7</v>
          </cell>
          <cell r="E2142">
            <v>121.55</v>
          </cell>
          <cell r="F2142">
            <v>127.25</v>
          </cell>
          <cell r="G2142">
            <v>118.04</v>
          </cell>
          <cell r="H2142">
            <v>1358.14</v>
          </cell>
          <cell r="I2142">
            <v>127.77</v>
          </cell>
        </row>
        <row r="2143">
          <cell r="A2143">
            <v>34773</v>
          </cell>
          <cell r="B2143">
            <v>1255.27</v>
          </cell>
          <cell r="C2143">
            <v>1285.04</v>
          </cell>
          <cell r="D2143">
            <v>119.35</v>
          </cell>
          <cell r="E2143">
            <v>121.09</v>
          </cell>
          <cell r="F2143">
            <v>127.03</v>
          </cell>
          <cell r="G2143">
            <v>117.78</v>
          </cell>
          <cell r="H2143">
            <v>1355.75</v>
          </cell>
          <cell r="I2143">
            <v>127.4</v>
          </cell>
        </row>
        <row r="2144">
          <cell r="A2144">
            <v>34774</v>
          </cell>
          <cell r="B2144">
            <v>1261.42</v>
          </cell>
          <cell r="C2144">
            <v>1289.06</v>
          </cell>
          <cell r="D2144">
            <v>120</v>
          </cell>
          <cell r="E2144">
            <v>121.51</v>
          </cell>
          <cell r="F2144">
            <v>127.33</v>
          </cell>
          <cell r="G2144">
            <v>118.64</v>
          </cell>
          <cell r="H2144">
            <v>1352.92</v>
          </cell>
          <cell r="I2144">
            <v>127.15</v>
          </cell>
        </row>
        <row r="2145">
          <cell r="A2145">
            <v>34775</v>
          </cell>
          <cell r="B2145">
            <v>1271.72</v>
          </cell>
          <cell r="C2145">
            <v>1305.29</v>
          </cell>
          <cell r="D2145">
            <v>120.75</v>
          </cell>
          <cell r="E2145">
            <v>122.61</v>
          </cell>
          <cell r="F2145">
            <v>128.58000000000001</v>
          </cell>
          <cell r="G2145">
            <v>119.08</v>
          </cell>
          <cell r="H2145">
            <v>1358.17</v>
          </cell>
          <cell r="I2145">
            <v>127.88</v>
          </cell>
        </row>
        <row r="2146">
          <cell r="A2146">
            <v>34778</v>
          </cell>
          <cell r="B2146">
            <v>1274.3499999999999</v>
          </cell>
          <cell r="C2146">
            <v>1303.9100000000001</v>
          </cell>
          <cell r="D2146">
            <v>121.23</v>
          </cell>
          <cell r="E2146">
            <v>122.56</v>
          </cell>
          <cell r="F2146">
            <v>128.65</v>
          </cell>
          <cell r="G2146">
            <v>120.04</v>
          </cell>
          <cell r="H2146">
            <v>1366.68</v>
          </cell>
          <cell r="I2146">
            <v>128.57</v>
          </cell>
        </row>
        <row r="2147">
          <cell r="A2147">
            <v>34779</v>
          </cell>
          <cell r="B2147">
            <v>1277.8399999999999</v>
          </cell>
          <cell r="C2147">
            <v>1301.4100000000001</v>
          </cell>
          <cell r="D2147">
            <v>121.51</v>
          </cell>
          <cell r="E2147">
            <v>122.34</v>
          </cell>
          <cell r="F2147">
            <v>128.28</v>
          </cell>
          <cell r="G2147">
            <v>120.78</v>
          </cell>
          <cell r="H2147">
            <v>1360.22</v>
          </cell>
          <cell r="I2147">
            <v>128.04</v>
          </cell>
        </row>
        <row r="2148">
          <cell r="A2148">
            <v>34780</v>
          </cell>
          <cell r="B2148">
            <v>1281.71</v>
          </cell>
          <cell r="C2148">
            <v>1303.8</v>
          </cell>
          <cell r="D2148">
            <v>121.59</v>
          </cell>
          <cell r="E2148">
            <v>122.41</v>
          </cell>
          <cell r="F2148">
            <v>128.36000000000001</v>
          </cell>
          <cell r="G2148">
            <v>120.87</v>
          </cell>
          <cell r="H2148">
            <v>1351.05</v>
          </cell>
          <cell r="I2148">
            <v>126.86</v>
          </cell>
        </row>
        <row r="2149">
          <cell r="A2149">
            <v>34781</v>
          </cell>
          <cell r="B2149">
            <v>1267.54</v>
          </cell>
          <cell r="C2149">
            <v>1280.0899999999999</v>
          </cell>
          <cell r="D2149">
            <v>120.4</v>
          </cell>
          <cell r="E2149">
            <v>120.28</v>
          </cell>
          <cell r="F2149">
            <v>126.32</v>
          </cell>
          <cell r="G2149">
            <v>120.54</v>
          </cell>
          <cell r="H2149">
            <v>1324.48</v>
          </cell>
          <cell r="I2149">
            <v>124.4</v>
          </cell>
        </row>
        <row r="2150">
          <cell r="A2150">
            <v>34782</v>
          </cell>
          <cell r="B2150">
            <v>1277.18</v>
          </cell>
          <cell r="C2150">
            <v>1284.27</v>
          </cell>
          <cell r="D2150">
            <v>121.3</v>
          </cell>
          <cell r="E2150">
            <v>120.64</v>
          </cell>
          <cell r="F2150">
            <v>127</v>
          </cell>
          <cell r="G2150">
            <v>121.94</v>
          </cell>
          <cell r="H2150">
            <v>1336.99</v>
          </cell>
          <cell r="I2150">
            <v>125.59</v>
          </cell>
        </row>
        <row r="2151">
          <cell r="A2151">
            <v>34785</v>
          </cell>
          <cell r="B2151">
            <v>1281.28</v>
          </cell>
          <cell r="C2151">
            <v>1295.5</v>
          </cell>
          <cell r="D2151">
            <v>121.62</v>
          </cell>
          <cell r="E2151">
            <v>121.8</v>
          </cell>
          <cell r="F2151">
            <v>127.93</v>
          </cell>
          <cell r="G2151">
            <v>121.5</v>
          </cell>
          <cell r="H2151">
            <v>1339.24</v>
          </cell>
          <cell r="I2151">
            <v>125.59</v>
          </cell>
        </row>
        <row r="2152">
          <cell r="A2152">
            <v>34786</v>
          </cell>
          <cell r="B2152">
            <v>1270.2</v>
          </cell>
          <cell r="C2152">
            <v>1285.68</v>
          </cell>
          <cell r="D2152">
            <v>120.71</v>
          </cell>
          <cell r="E2152">
            <v>120.98</v>
          </cell>
          <cell r="F2152">
            <v>126.91</v>
          </cell>
          <cell r="G2152">
            <v>120.5</v>
          </cell>
          <cell r="H2152">
            <v>1313.82</v>
          </cell>
          <cell r="I2152">
            <v>123.34</v>
          </cell>
        </row>
        <row r="2153">
          <cell r="A2153">
            <v>34787</v>
          </cell>
          <cell r="B2153">
            <v>1272.02</v>
          </cell>
          <cell r="C2153">
            <v>1288.75</v>
          </cell>
          <cell r="D2153">
            <v>120.55</v>
          </cell>
          <cell r="E2153">
            <v>121.13</v>
          </cell>
          <cell r="F2153">
            <v>126.8</v>
          </cell>
          <cell r="G2153">
            <v>120.06</v>
          </cell>
          <cell r="H2153">
            <v>1291.95</v>
          </cell>
          <cell r="I2153">
            <v>121.41</v>
          </cell>
        </row>
        <row r="2154">
          <cell r="A2154">
            <v>34788</v>
          </cell>
          <cell r="B2154">
            <v>1292.98</v>
          </cell>
          <cell r="C2154">
            <v>1307.45</v>
          </cell>
          <cell r="D2154">
            <v>122.42</v>
          </cell>
          <cell r="E2154">
            <v>122.78</v>
          </cell>
          <cell r="F2154">
            <v>128.4</v>
          </cell>
          <cell r="G2154">
            <v>122.13</v>
          </cell>
          <cell r="H2154">
            <v>1318.28</v>
          </cell>
          <cell r="I2154">
            <v>123.55</v>
          </cell>
        </row>
        <row r="2155">
          <cell r="A2155">
            <v>34789</v>
          </cell>
          <cell r="B2155">
            <v>1279.4100000000001</v>
          </cell>
          <cell r="C2155">
            <v>1300.1300000000001</v>
          </cell>
          <cell r="D2155">
            <v>121.27</v>
          </cell>
          <cell r="E2155">
            <v>122.12</v>
          </cell>
          <cell r="F2155">
            <v>127.91</v>
          </cell>
          <cell r="G2155">
            <v>120.52</v>
          </cell>
          <cell r="H2155">
            <v>1310.55</v>
          </cell>
          <cell r="I2155">
            <v>122.9</v>
          </cell>
        </row>
        <row r="2156">
          <cell r="A2156">
            <v>34792</v>
          </cell>
          <cell r="B2156">
            <v>1279.06</v>
          </cell>
          <cell r="C2156">
            <v>1298.18</v>
          </cell>
          <cell r="D2156">
            <v>121.27</v>
          </cell>
          <cell r="E2156">
            <v>122</v>
          </cell>
          <cell r="F2156">
            <v>127.94</v>
          </cell>
          <cell r="G2156">
            <v>120.64</v>
          </cell>
          <cell r="H2156">
            <v>1312.93</v>
          </cell>
          <cell r="I2156">
            <v>123.25</v>
          </cell>
        </row>
        <row r="2157">
          <cell r="A2157">
            <v>34793</v>
          </cell>
          <cell r="B2157">
            <v>1292.1600000000001</v>
          </cell>
          <cell r="C2157">
            <v>1312.51</v>
          </cell>
          <cell r="D2157">
            <v>122.43</v>
          </cell>
          <cell r="E2157">
            <v>123.42</v>
          </cell>
          <cell r="F2157">
            <v>129.29</v>
          </cell>
          <cell r="G2157">
            <v>121.54</v>
          </cell>
          <cell r="H2157">
            <v>1339.86</v>
          </cell>
          <cell r="I2157">
            <v>125.68</v>
          </cell>
        </row>
        <row r="2158">
          <cell r="A2158">
            <v>34794</v>
          </cell>
          <cell r="B2158">
            <v>1293.4100000000001</v>
          </cell>
          <cell r="C2158">
            <v>1314.91</v>
          </cell>
          <cell r="D2158">
            <v>122.73</v>
          </cell>
          <cell r="E2158">
            <v>123.76</v>
          </cell>
          <cell r="F2158">
            <v>129.66999999999999</v>
          </cell>
          <cell r="G2158">
            <v>121.83</v>
          </cell>
          <cell r="H2158">
            <v>1338.85</v>
          </cell>
          <cell r="I2158">
            <v>125.67</v>
          </cell>
        </row>
        <row r="2159">
          <cell r="A2159">
            <v>34795</v>
          </cell>
          <cell r="B2159">
            <v>1296.22</v>
          </cell>
          <cell r="C2159">
            <v>1322.25</v>
          </cell>
          <cell r="D2159">
            <v>123.1</v>
          </cell>
          <cell r="E2159">
            <v>124.5</v>
          </cell>
          <cell r="F2159">
            <v>130.35</v>
          </cell>
          <cell r="G2159">
            <v>121.85</v>
          </cell>
          <cell r="H2159">
            <v>1347.76</v>
          </cell>
          <cell r="I2159">
            <v>126.76</v>
          </cell>
        </row>
        <row r="2160">
          <cell r="A2160">
            <v>34796</v>
          </cell>
          <cell r="B2160">
            <v>1293.67</v>
          </cell>
          <cell r="C2160">
            <v>1318.14</v>
          </cell>
          <cell r="D2160">
            <v>122.97</v>
          </cell>
          <cell r="E2160">
            <v>124.27</v>
          </cell>
          <cell r="F2160">
            <v>130</v>
          </cell>
          <cell r="G2160">
            <v>121.81</v>
          </cell>
          <cell r="H2160">
            <v>1335</v>
          </cell>
          <cell r="I2160">
            <v>125.68</v>
          </cell>
        </row>
        <row r="2161">
          <cell r="A2161">
            <v>34799</v>
          </cell>
          <cell r="B2161">
            <v>1295.06</v>
          </cell>
          <cell r="C2161">
            <v>1313.45</v>
          </cell>
          <cell r="D2161">
            <v>123.05</v>
          </cell>
          <cell r="E2161">
            <v>123.84</v>
          </cell>
          <cell r="F2161">
            <v>129.76</v>
          </cell>
          <cell r="G2161">
            <v>122.36</v>
          </cell>
          <cell r="H2161">
            <v>1357.75</v>
          </cell>
          <cell r="I2161">
            <v>127.52</v>
          </cell>
        </row>
        <row r="2162">
          <cell r="A2162">
            <v>34800</v>
          </cell>
          <cell r="B2162">
            <v>1291.95</v>
          </cell>
          <cell r="C2162">
            <v>1316.22</v>
          </cell>
          <cell r="D2162">
            <v>122.66</v>
          </cell>
          <cell r="E2162">
            <v>123.92</v>
          </cell>
          <cell r="F2162">
            <v>129.81</v>
          </cell>
          <cell r="G2162">
            <v>121.53</v>
          </cell>
          <cell r="H2162">
            <v>1355.34</v>
          </cell>
          <cell r="I2162">
            <v>127.26</v>
          </cell>
        </row>
        <row r="2163">
          <cell r="A2163">
            <v>34801</v>
          </cell>
          <cell r="B2163">
            <v>1296.3800000000001</v>
          </cell>
          <cell r="C2163">
            <v>1319.31</v>
          </cell>
          <cell r="D2163">
            <v>123</v>
          </cell>
          <cell r="E2163">
            <v>124.06</v>
          </cell>
          <cell r="F2163">
            <v>129.96</v>
          </cell>
          <cell r="G2163">
            <v>122.06</v>
          </cell>
          <cell r="H2163">
            <v>1356.39</v>
          </cell>
          <cell r="I2163">
            <v>127.29</v>
          </cell>
        </row>
        <row r="2164">
          <cell r="A2164">
            <v>34802</v>
          </cell>
          <cell r="B2164">
            <v>1293.69</v>
          </cell>
          <cell r="C2164">
            <v>1319.39</v>
          </cell>
          <cell r="D2164">
            <v>122.99</v>
          </cell>
          <cell r="E2164">
            <v>124.32</v>
          </cell>
          <cell r="F2164">
            <v>130.03</v>
          </cell>
          <cell r="G2164">
            <v>121.81</v>
          </cell>
          <cell r="H2164">
            <v>1352.82</v>
          </cell>
          <cell r="I2164">
            <v>126.93</v>
          </cell>
        </row>
        <row r="2165">
          <cell r="A2165">
            <v>34803</v>
          </cell>
          <cell r="B2165">
            <v>1294.92</v>
          </cell>
          <cell r="C2165">
            <v>1321</v>
          </cell>
          <cell r="D2165">
            <v>123.13</v>
          </cell>
          <cell r="E2165">
            <v>124.5</v>
          </cell>
          <cell r="F2165">
            <v>130.21</v>
          </cell>
          <cell r="G2165">
            <v>121.91</v>
          </cell>
          <cell r="H2165">
            <v>1357.98</v>
          </cell>
          <cell r="I2165">
            <v>127.41</v>
          </cell>
        </row>
        <row r="2166">
          <cell r="A2166">
            <v>34806</v>
          </cell>
          <cell r="B2166">
            <v>1294.57</v>
          </cell>
          <cell r="C2166">
            <v>1322.13</v>
          </cell>
          <cell r="D2166">
            <v>122.98</v>
          </cell>
          <cell r="E2166">
            <v>124.58</v>
          </cell>
          <cell r="F2166">
            <v>130.21</v>
          </cell>
          <cell r="G2166">
            <v>121.55</v>
          </cell>
          <cell r="H2166">
            <v>1342.55</v>
          </cell>
          <cell r="I2166">
            <v>126.03</v>
          </cell>
        </row>
        <row r="2167">
          <cell r="A2167">
            <v>34807</v>
          </cell>
          <cell r="B2167">
            <v>1285.29</v>
          </cell>
          <cell r="C2167">
            <v>1313.99</v>
          </cell>
          <cell r="D2167">
            <v>122.06</v>
          </cell>
          <cell r="E2167">
            <v>123.82</v>
          </cell>
          <cell r="F2167">
            <v>129.63999999999999</v>
          </cell>
          <cell r="G2167">
            <v>120.48</v>
          </cell>
          <cell r="H2167">
            <v>1341.3</v>
          </cell>
          <cell r="I2167">
            <v>125.85</v>
          </cell>
        </row>
        <row r="2168">
          <cell r="A2168">
            <v>34808</v>
          </cell>
          <cell r="B2168">
            <v>1285.1300000000001</v>
          </cell>
          <cell r="C2168">
            <v>1314.07</v>
          </cell>
          <cell r="D2168">
            <v>122.4</v>
          </cell>
          <cell r="E2168">
            <v>124.1</v>
          </cell>
          <cell r="F2168">
            <v>129.87</v>
          </cell>
          <cell r="G2168">
            <v>120.88</v>
          </cell>
          <cell r="H2168">
            <v>1364.88</v>
          </cell>
          <cell r="I2168">
            <v>128.22</v>
          </cell>
        </row>
        <row r="2169">
          <cell r="A2169">
            <v>34809</v>
          </cell>
          <cell r="B2169">
            <v>1290.99</v>
          </cell>
          <cell r="C2169">
            <v>1315.96</v>
          </cell>
          <cell r="D2169">
            <v>122.84</v>
          </cell>
          <cell r="E2169">
            <v>124.16</v>
          </cell>
          <cell r="F2169">
            <v>130.06</v>
          </cell>
          <cell r="G2169">
            <v>121.66</v>
          </cell>
          <cell r="H2169">
            <v>1352.07</v>
          </cell>
          <cell r="I2169">
            <v>127.17</v>
          </cell>
        </row>
        <row r="2170">
          <cell r="A2170">
            <v>34810</v>
          </cell>
          <cell r="B2170">
            <v>1302.82</v>
          </cell>
          <cell r="C2170">
            <v>1333.56</v>
          </cell>
          <cell r="D2170">
            <v>123.71</v>
          </cell>
          <cell r="E2170">
            <v>125.67</v>
          </cell>
          <cell r="F2170">
            <v>131.34</v>
          </cell>
          <cell r="G2170">
            <v>121.94</v>
          </cell>
          <cell r="H2170">
            <v>1351.91</v>
          </cell>
          <cell r="I2170">
            <v>127.02</v>
          </cell>
        </row>
        <row r="2171">
          <cell r="A2171">
            <v>34813</v>
          </cell>
          <cell r="B2171">
            <v>1300.57</v>
          </cell>
          <cell r="C2171">
            <v>1331.78</v>
          </cell>
          <cell r="D2171">
            <v>123.46</v>
          </cell>
          <cell r="E2171">
            <v>125.57</v>
          </cell>
          <cell r="F2171">
            <v>131.09</v>
          </cell>
          <cell r="G2171">
            <v>121.56</v>
          </cell>
          <cell r="H2171">
            <v>1359.17</v>
          </cell>
          <cell r="I2171">
            <v>127.68</v>
          </cell>
        </row>
        <row r="2172">
          <cell r="A2172">
            <v>34814</v>
          </cell>
          <cell r="B2172">
            <v>1308.1300000000001</v>
          </cell>
          <cell r="C2172">
            <v>1343.63</v>
          </cell>
          <cell r="D2172">
            <v>124.51</v>
          </cell>
          <cell r="E2172">
            <v>126.97</v>
          </cell>
          <cell r="F2172">
            <v>132.55000000000001</v>
          </cell>
          <cell r="G2172">
            <v>122.28</v>
          </cell>
          <cell r="H2172">
            <v>1381.58</v>
          </cell>
          <cell r="I2172">
            <v>129.94999999999999</v>
          </cell>
        </row>
        <row r="2173">
          <cell r="A2173">
            <v>34815</v>
          </cell>
          <cell r="B2173">
            <v>1317.52</v>
          </cell>
          <cell r="C2173">
            <v>1352.99</v>
          </cell>
          <cell r="D2173">
            <v>125.12</v>
          </cell>
          <cell r="E2173">
            <v>127.55</v>
          </cell>
          <cell r="F2173">
            <v>133.09</v>
          </cell>
          <cell r="G2173">
            <v>122.93</v>
          </cell>
          <cell r="H2173">
            <v>1389</v>
          </cell>
          <cell r="I2173">
            <v>130.63999999999999</v>
          </cell>
        </row>
        <row r="2174">
          <cell r="A2174">
            <v>34816</v>
          </cell>
          <cell r="B2174">
            <v>1319.47</v>
          </cell>
          <cell r="C2174">
            <v>1352.3</v>
          </cell>
          <cell r="D2174">
            <v>125.46</v>
          </cell>
          <cell r="E2174">
            <v>127.67</v>
          </cell>
          <cell r="F2174">
            <v>133.43</v>
          </cell>
          <cell r="G2174">
            <v>123.47</v>
          </cell>
          <cell r="H2174">
            <v>1413.51</v>
          </cell>
          <cell r="I2174">
            <v>132.91</v>
          </cell>
        </row>
        <row r="2175">
          <cell r="A2175">
            <v>34817</v>
          </cell>
          <cell r="B2175">
            <v>1316.24</v>
          </cell>
          <cell r="C2175">
            <v>1346.68</v>
          </cell>
          <cell r="D2175">
            <v>125.25</v>
          </cell>
          <cell r="E2175">
            <v>127.21</v>
          </cell>
          <cell r="F2175">
            <v>133.21</v>
          </cell>
          <cell r="G2175">
            <v>123.48</v>
          </cell>
          <cell r="H2175">
            <v>1419.8</v>
          </cell>
          <cell r="I2175">
            <v>133.41</v>
          </cell>
        </row>
        <row r="2176">
          <cell r="A2176">
            <v>34820</v>
          </cell>
          <cell r="B2176">
            <v>1325.2</v>
          </cell>
          <cell r="C2176">
            <v>1353.12</v>
          </cell>
          <cell r="D2176">
            <v>125.93</v>
          </cell>
          <cell r="E2176">
            <v>127.67</v>
          </cell>
          <cell r="F2176">
            <v>133.72</v>
          </cell>
          <cell r="G2176">
            <v>124.37</v>
          </cell>
          <cell r="H2176">
            <v>1427.41</v>
          </cell>
          <cell r="I2176">
            <v>134.1</v>
          </cell>
        </row>
        <row r="2177">
          <cell r="A2177">
            <v>34821</v>
          </cell>
          <cell r="B2177">
            <v>1336.44</v>
          </cell>
          <cell r="C2177">
            <v>1366.09</v>
          </cell>
          <cell r="D2177">
            <v>126.84</v>
          </cell>
          <cell r="E2177">
            <v>128.94</v>
          </cell>
          <cell r="F2177">
            <v>134.97</v>
          </cell>
          <cell r="G2177">
            <v>124.95</v>
          </cell>
          <cell r="H2177">
            <v>1429.44</v>
          </cell>
          <cell r="I2177">
            <v>134.28</v>
          </cell>
        </row>
        <row r="2178">
          <cell r="A2178">
            <v>34822</v>
          </cell>
          <cell r="B2178">
            <v>1339.51</v>
          </cell>
          <cell r="C2178">
            <v>1372.6</v>
          </cell>
          <cell r="D2178">
            <v>127.17</v>
          </cell>
          <cell r="E2178">
            <v>129.57</v>
          </cell>
          <cell r="F2178">
            <v>135.41</v>
          </cell>
          <cell r="G2178">
            <v>125</v>
          </cell>
          <cell r="H2178">
            <v>1429.59</v>
          </cell>
          <cell r="I2178">
            <v>134.06</v>
          </cell>
        </row>
        <row r="2179">
          <cell r="A2179">
            <v>34823</v>
          </cell>
          <cell r="B2179">
            <v>1343.47</v>
          </cell>
          <cell r="C2179">
            <v>1374.59</v>
          </cell>
          <cell r="D2179">
            <v>127.6</v>
          </cell>
          <cell r="E2179">
            <v>130.01</v>
          </cell>
          <cell r="F2179">
            <v>136.07</v>
          </cell>
          <cell r="G2179">
            <v>125.42</v>
          </cell>
          <cell r="H2179">
            <v>1442.36</v>
          </cell>
          <cell r="I2179">
            <v>135.21</v>
          </cell>
        </row>
        <row r="2180">
          <cell r="A2180">
            <v>34824</v>
          </cell>
          <cell r="B2180">
            <v>1335.25</v>
          </cell>
          <cell r="C2180">
            <v>1369.95</v>
          </cell>
          <cell r="D2180">
            <v>126.9</v>
          </cell>
          <cell r="E2180">
            <v>129.59</v>
          </cell>
          <cell r="F2180">
            <v>135.86000000000001</v>
          </cell>
          <cell r="G2180">
            <v>124.45</v>
          </cell>
          <cell r="H2180">
            <v>1437.41</v>
          </cell>
          <cell r="I2180">
            <v>134.66</v>
          </cell>
        </row>
        <row r="2181">
          <cell r="A2181">
            <v>34827</v>
          </cell>
          <cell r="B2181">
            <v>1332.57</v>
          </cell>
          <cell r="C2181">
            <v>1369.38</v>
          </cell>
          <cell r="D2181">
            <v>126.69</v>
          </cell>
          <cell r="E2181">
            <v>129.5</v>
          </cell>
          <cell r="F2181">
            <v>135.81</v>
          </cell>
          <cell r="G2181">
            <v>124.14</v>
          </cell>
          <cell r="H2181">
            <v>1435.02</v>
          </cell>
          <cell r="I2181">
            <v>134.33000000000001</v>
          </cell>
        </row>
        <row r="2182">
          <cell r="A2182">
            <v>34828</v>
          </cell>
          <cell r="B2182">
            <v>1334.01</v>
          </cell>
          <cell r="C2182">
            <v>1382.59</v>
          </cell>
          <cell r="D2182">
            <v>127.37</v>
          </cell>
          <cell r="E2182">
            <v>131.05000000000001</v>
          </cell>
          <cell r="F2182">
            <v>137.03</v>
          </cell>
          <cell r="G2182">
            <v>124.02</v>
          </cell>
          <cell r="H2182">
            <v>1450.8</v>
          </cell>
          <cell r="I2182">
            <v>136</v>
          </cell>
        </row>
        <row r="2183">
          <cell r="A2183">
            <v>34829</v>
          </cell>
          <cell r="B2183">
            <v>1340.6</v>
          </cell>
          <cell r="C2183">
            <v>1390.37</v>
          </cell>
          <cell r="D2183">
            <v>128.25</v>
          </cell>
          <cell r="E2183">
            <v>132.06</v>
          </cell>
          <cell r="F2183">
            <v>137.74</v>
          </cell>
          <cell r="G2183">
            <v>124.8</v>
          </cell>
          <cell r="H2183">
            <v>1449.87</v>
          </cell>
          <cell r="I2183">
            <v>135.71</v>
          </cell>
        </row>
        <row r="2184">
          <cell r="A2184">
            <v>34830</v>
          </cell>
          <cell r="B2184">
            <v>1354.8</v>
          </cell>
          <cell r="C2184">
            <v>1394.78</v>
          </cell>
          <cell r="D2184">
            <v>129.72999999999999</v>
          </cell>
          <cell r="E2184">
            <v>132.69</v>
          </cell>
          <cell r="F2184">
            <v>138.51</v>
          </cell>
          <cell r="G2184">
            <v>127.04</v>
          </cell>
          <cell r="H2184">
            <v>1479.11</v>
          </cell>
          <cell r="I2184">
            <v>137.97</v>
          </cell>
        </row>
        <row r="2185">
          <cell r="A2185">
            <v>34831</v>
          </cell>
          <cell r="B2185">
            <v>1361.75</v>
          </cell>
          <cell r="C2185">
            <v>1397.85</v>
          </cell>
          <cell r="D2185">
            <v>130.22</v>
          </cell>
          <cell r="E2185">
            <v>132.88</v>
          </cell>
          <cell r="F2185">
            <v>138.82</v>
          </cell>
          <cell r="G2185">
            <v>127.81</v>
          </cell>
          <cell r="H2185">
            <v>1479.65</v>
          </cell>
          <cell r="I2185">
            <v>137.96</v>
          </cell>
        </row>
        <row r="2186">
          <cell r="A2186">
            <v>34834</v>
          </cell>
          <cell r="B2186">
            <v>1355.71</v>
          </cell>
          <cell r="C2186">
            <v>1390.14</v>
          </cell>
          <cell r="D2186">
            <v>129.65</v>
          </cell>
          <cell r="E2186">
            <v>132.13</v>
          </cell>
          <cell r="F2186">
            <v>138.22999999999999</v>
          </cell>
          <cell r="G2186">
            <v>127.4</v>
          </cell>
          <cell r="H2186">
            <v>1477.61</v>
          </cell>
          <cell r="I2186">
            <v>137.59</v>
          </cell>
        </row>
        <row r="2187">
          <cell r="A2187">
            <v>34835</v>
          </cell>
          <cell r="B2187">
            <v>1362.43</v>
          </cell>
          <cell r="C2187">
            <v>1400.6</v>
          </cell>
          <cell r="D2187">
            <v>130.29</v>
          </cell>
          <cell r="E2187">
            <v>133.05000000000001</v>
          </cell>
          <cell r="F2187">
            <v>139.30000000000001</v>
          </cell>
          <cell r="G2187">
            <v>127.79</v>
          </cell>
          <cell r="H2187">
            <v>1505.95</v>
          </cell>
          <cell r="I2187">
            <v>140.16999999999999</v>
          </cell>
        </row>
        <row r="2188">
          <cell r="A2188">
            <v>34836</v>
          </cell>
          <cell r="B2188">
            <v>1363.71</v>
          </cell>
          <cell r="C2188">
            <v>1395.11</v>
          </cell>
          <cell r="D2188">
            <v>130.41</v>
          </cell>
          <cell r="E2188">
            <v>132.75</v>
          </cell>
          <cell r="F2188">
            <v>139.01</v>
          </cell>
          <cell r="G2188">
            <v>128.29</v>
          </cell>
          <cell r="H2188">
            <v>1497.11</v>
          </cell>
          <cell r="I2188">
            <v>139.47</v>
          </cell>
        </row>
        <row r="2189">
          <cell r="A2189">
            <v>34837</v>
          </cell>
          <cell r="B2189">
            <v>1355.68</v>
          </cell>
          <cell r="C2189">
            <v>1384.17</v>
          </cell>
          <cell r="D2189">
            <v>129.58000000000001</v>
          </cell>
          <cell r="E2189">
            <v>131.59</v>
          </cell>
          <cell r="F2189">
            <v>137.78</v>
          </cell>
          <cell r="G2189">
            <v>127.76</v>
          </cell>
          <cell r="H2189">
            <v>1469.1</v>
          </cell>
          <cell r="I2189">
            <v>136.83000000000001</v>
          </cell>
        </row>
        <row r="2190">
          <cell r="A2190">
            <v>34838</v>
          </cell>
          <cell r="B2190">
            <v>1338.86</v>
          </cell>
          <cell r="C2190">
            <v>1368.56</v>
          </cell>
          <cell r="D2190">
            <v>128.5</v>
          </cell>
          <cell r="E2190">
            <v>130.37</v>
          </cell>
          <cell r="F2190">
            <v>136.71</v>
          </cell>
          <cell r="G2190">
            <v>126.81</v>
          </cell>
          <cell r="H2190">
            <v>1476.52</v>
          </cell>
          <cell r="I2190">
            <v>137.47</v>
          </cell>
        </row>
        <row r="2191">
          <cell r="A2191">
            <v>34841</v>
          </cell>
          <cell r="B2191">
            <v>1351.79</v>
          </cell>
          <cell r="C2191">
            <v>1379.26</v>
          </cell>
          <cell r="D2191">
            <v>129.44</v>
          </cell>
          <cell r="E2191">
            <v>131.04</v>
          </cell>
          <cell r="F2191">
            <v>137.69</v>
          </cell>
          <cell r="G2191">
            <v>128</v>
          </cell>
          <cell r="H2191">
            <v>1490.19</v>
          </cell>
          <cell r="I2191">
            <v>138.47999999999999</v>
          </cell>
        </row>
        <row r="2192">
          <cell r="A2192">
            <v>34842</v>
          </cell>
          <cell r="B2192">
            <v>1352.69</v>
          </cell>
          <cell r="C2192">
            <v>1377.25</v>
          </cell>
          <cell r="D2192">
            <v>129.37</v>
          </cell>
          <cell r="E2192">
            <v>130.75</v>
          </cell>
          <cell r="F2192">
            <v>137.59</v>
          </cell>
          <cell r="G2192">
            <v>128.13</v>
          </cell>
          <cell r="H2192">
            <v>1502.96</v>
          </cell>
          <cell r="I2192">
            <v>139.86000000000001</v>
          </cell>
        </row>
        <row r="2193">
          <cell r="A2193">
            <v>34843</v>
          </cell>
          <cell r="B2193">
            <v>1366.22</v>
          </cell>
          <cell r="C2193">
            <v>1389.13</v>
          </cell>
          <cell r="D2193">
            <v>130.43</v>
          </cell>
          <cell r="E2193">
            <v>131.72</v>
          </cell>
          <cell r="F2193">
            <v>138.59</v>
          </cell>
          <cell r="G2193">
            <v>129.27000000000001</v>
          </cell>
          <cell r="H2193">
            <v>1508.19</v>
          </cell>
          <cell r="I2193">
            <v>140.18</v>
          </cell>
        </row>
        <row r="2194">
          <cell r="A2194">
            <v>34844</v>
          </cell>
          <cell r="B2194">
            <v>1363.24</v>
          </cell>
          <cell r="C2194">
            <v>1386.57</v>
          </cell>
          <cell r="D2194">
            <v>130.19</v>
          </cell>
          <cell r="E2194">
            <v>131.41</v>
          </cell>
          <cell r="F2194">
            <v>138.44999999999999</v>
          </cell>
          <cell r="G2194">
            <v>129.1</v>
          </cell>
          <cell r="H2194">
            <v>1496.71</v>
          </cell>
          <cell r="I2194">
            <v>139.13</v>
          </cell>
        </row>
        <row r="2195">
          <cell r="A2195">
            <v>34845</v>
          </cell>
          <cell r="B2195">
            <v>1339.56</v>
          </cell>
          <cell r="C2195">
            <v>1366.49</v>
          </cell>
          <cell r="D2195">
            <v>128.19999999999999</v>
          </cell>
          <cell r="E2195">
            <v>129.81</v>
          </cell>
          <cell r="F2195">
            <v>136.87</v>
          </cell>
          <cell r="G2195">
            <v>126.75</v>
          </cell>
          <cell r="H2195">
            <v>1472.95</v>
          </cell>
          <cell r="I2195">
            <v>137.09</v>
          </cell>
        </row>
        <row r="2196">
          <cell r="A2196">
            <v>34848</v>
          </cell>
          <cell r="B2196">
            <v>1337.75</v>
          </cell>
          <cell r="C2196">
            <v>1360</v>
          </cell>
          <cell r="D2196">
            <v>128.03</v>
          </cell>
          <cell r="E2196">
            <v>129.28</v>
          </cell>
          <cell r="F2196">
            <v>136.41</v>
          </cell>
          <cell r="G2196">
            <v>126.91</v>
          </cell>
          <cell r="H2196">
            <v>1467.17</v>
          </cell>
          <cell r="I2196">
            <v>136.6</v>
          </cell>
        </row>
        <row r="2197">
          <cell r="A2197">
            <v>34849</v>
          </cell>
          <cell r="B2197">
            <v>1345.23</v>
          </cell>
          <cell r="C2197">
            <v>1371.27</v>
          </cell>
          <cell r="D2197">
            <v>128.72999999999999</v>
          </cell>
          <cell r="E2197">
            <v>130.31</v>
          </cell>
          <cell r="F2197">
            <v>137.41999999999999</v>
          </cell>
          <cell r="G2197">
            <v>127.3</v>
          </cell>
          <cell r="H2197">
            <v>1482.23</v>
          </cell>
          <cell r="I2197">
            <v>137.83000000000001</v>
          </cell>
        </row>
        <row r="2198">
          <cell r="A2198">
            <v>34850</v>
          </cell>
          <cell r="B2198">
            <v>1350.12</v>
          </cell>
          <cell r="C2198">
            <v>1377.67</v>
          </cell>
          <cell r="D2198">
            <v>129.27000000000001</v>
          </cell>
          <cell r="E2198">
            <v>130.79</v>
          </cell>
          <cell r="F2198">
            <v>137.76</v>
          </cell>
          <cell r="G2198">
            <v>127.9</v>
          </cell>
          <cell r="H2198">
            <v>1479.27</v>
          </cell>
          <cell r="I2198">
            <v>137.59</v>
          </cell>
        </row>
        <row r="2199">
          <cell r="A2199">
            <v>34851</v>
          </cell>
          <cell r="B2199">
            <v>1367.21</v>
          </cell>
          <cell r="C2199">
            <v>1394.26</v>
          </cell>
          <cell r="D2199">
            <v>130.55000000000001</v>
          </cell>
          <cell r="E2199">
            <v>132.02000000000001</v>
          </cell>
          <cell r="F2199">
            <v>139.07</v>
          </cell>
          <cell r="G2199">
            <v>129.24</v>
          </cell>
          <cell r="H2199">
            <v>1496.24</v>
          </cell>
          <cell r="I2199">
            <v>138.94999999999999</v>
          </cell>
        </row>
        <row r="2200">
          <cell r="A2200">
            <v>34852</v>
          </cell>
          <cell r="B2200">
            <v>1366.45</v>
          </cell>
          <cell r="C2200">
            <v>1395.04</v>
          </cell>
          <cell r="D2200">
            <v>130.38</v>
          </cell>
          <cell r="E2200">
            <v>132.08000000000001</v>
          </cell>
          <cell r="F2200">
            <v>139.19999999999999</v>
          </cell>
          <cell r="G2200">
            <v>128.85</v>
          </cell>
          <cell r="H2200">
            <v>1505.45</v>
          </cell>
          <cell r="I2200">
            <v>139.72999999999999</v>
          </cell>
        </row>
        <row r="2201">
          <cell r="A2201">
            <v>34855</v>
          </cell>
          <cell r="B2201">
            <v>1371.47</v>
          </cell>
          <cell r="C2201">
            <v>1394.93</v>
          </cell>
          <cell r="D2201">
            <v>130.94</v>
          </cell>
          <cell r="E2201">
            <v>132.22</v>
          </cell>
          <cell r="F2201">
            <v>139.25</v>
          </cell>
          <cell r="G2201">
            <v>129.79</v>
          </cell>
          <cell r="H2201">
            <v>1504.57</v>
          </cell>
          <cell r="I2201">
            <v>139.77000000000001</v>
          </cell>
        </row>
        <row r="2202">
          <cell r="A2202">
            <v>34856</v>
          </cell>
          <cell r="B2202">
            <v>1371.95</v>
          </cell>
          <cell r="C2202">
            <v>1394.92</v>
          </cell>
          <cell r="D2202">
            <v>131.1</v>
          </cell>
          <cell r="E2202">
            <v>132.37</v>
          </cell>
          <cell r="F2202">
            <v>139.41999999999999</v>
          </cell>
          <cell r="G2202">
            <v>129.96</v>
          </cell>
          <cell r="H2202">
            <v>1511.4</v>
          </cell>
          <cell r="I2202">
            <v>140.16999999999999</v>
          </cell>
        </row>
        <row r="2203">
          <cell r="A2203">
            <v>34857</v>
          </cell>
          <cell r="B2203">
            <v>1372.32</v>
          </cell>
          <cell r="C2203">
            <v>1397.06</v>
          </cell>
          <cell r="D2203">
            <v>131.16</v>
          </cell>
          <cell r="E2203">
            <v>132.5</v>
          </cell>
          <cell r="F2203">
            <v>139.69</v>
          </cell>
          <cell r="G2203">
            <v>129.96</v>
          </cell>
          <cell r="H2203">
            <v>1519.95</v>
          </cell>
          <cell r="I2203">
            <v>140.85</v>
          </cell>
        </row>
        <row r="2204">
          <cell r="A2204">
            <v>34858</v>
          </cell>
          <cell r="B2204">
            <v>1369.99</v>
          </cell>
          <cell r="C2204">
            <v>1390.89</v>
          </cell>
          <cell r="D2204">
            <v>130.68</v>
          </cell>
          <cell r="E2204">
            <v>131.59</v>
          </cell>
          <cell r="F2204">
            <v>138.76</v>
          </cell>
          <cell r="G2204">
            <v>129.88</v>
          </cell>
          <cell r="H2204">
            <v>1510.03</v>
          </cell>
          <cell r="I2204">
            <v>140.12</v>
          </cell>
        </row>
        <row r="2205">
          <cell r="A2205">
            <v>34859</v>
          </cell>
          <cell r="B2205">
            <v>1356.48</v>
          </cell>
          <cell r="C2205">
            <v>1377.42</v>
          </cell>
          <cell r="D2205">
            <v>129.6</v>
          </cell>
          <cell r="E2205">
            <v>130.56</v>
          </cell>
          <cell r="F2205">
            <v>137.94</v>
          </cell>
          <cell r="G2205">
            <v>128.75</v>
          </cell>
          <cell r="H2205">
            <v>1515.2</v>
          </cell>
          <cell r="I2205">
            <v>140.72</v>
          </cell>
        </row>
        <row r="2206">
          <cell r="A2206">
            <v>34862</v>
          </cell>
          <cell r="B2206">
            <v>1358.88</v>
          </cell>
          <cell r="C2206">
            <v>1375.53</v>
          </cell>
          <cell r="D2206">
            <v>129.4</v>
          </cell>
          <cell r="E2206">
            <v>130.06</v>
          </cell>
          <cell r="F2206">
            <v>137.63999999999999</v>
          </cell>
          <cell r="G2206">
            <v>128.83000000000001</v>
          </cell>
          <cell r="H2206">
            <v>1507.62</v>
          </cell>
          <cell r="I2206">
            <v>140.22999999999999</v>
          </cell>
        </row>
        <row r="2207">
          <cell r="A2207">
            <v>34863</v>
          </cell>
          <cell r="B2207">
            <v>1358.22</v>
          </cell>
          <cell r="C2207">
            <v>1376.66</v>
          </cell>
          <cell r="D2207">
            <v>129.43</v>
          </cell>
          <cell r="E2207">
            <v>129.99</v>
          </cell>
          <cell r="F2207">
            <v>137.44999999999999</v>
          </cell>
          <cell r="G2207">
            <v>128.93</v>
          </cell>
          <cell r="H2207">
            <v>1505.66</v>
          </cell>
          <cell r="I2207">
            <v>140.07</v>
          </cell>
        </row>
        <row r="2208">
          <cell r="A2208">
            <v>34864</v>
          </cell>
          <cell r="B2208">
            <v>1357.91</v>
          </cell>
          <cell r="C2208">
            <v>1373.44</v>
          </cell>
          <cell r="D2208">
            <v>129.34</v>
          </cell>
          <cell r="E2208">
            <v>129.74</v>
          </cell>
          <cell r="F2208">
            <v>137.15</v>
          </cell>
          <cell r="G2208">
            <v>129.01</v>
          </cell>
          <cell r="H2208">
            <v>1489.94</v>
          </cell>
          <cell r="I2208">
            <v>138.69999999999999</v>
          </cell>
        </row>
        <row r="2209">
          <cell r="A2209">
            <v>34865</v>
          </cell>
          <cell r="B2209">
            <v>1363.52</v>
          </cell>
          <cell r="C2209">
            <v>1381.04</v>
          </cell>
          <cell r="D2209">
            <v>129.76</v>
          </cell>
          <cell r="E2209">
            <v>130.36000000000001</v>
          </cell>
          <cell r="F2209">
            <v>137.51</v>
          </cell>
          <cell r="G2209">
            <v>129.22999999999999</v>
          </cell>
          <cell r="H2209">
            <v>1480.54</v>
          </cell>
          <cell r="I2209">
            <v>137.79</v>
          </cell>
        </row>
        <row r="2210">
          <cell r="A2210">
            <v>34866</v>
          </cell>
          <cell r="B2210">
            <v>1358.39</v>
          </cell>
          <cell r="C2210">
            <v>1373.41</v>
          </cell>
          <cell r="D2210">
            <v>129.38</v>
          </cell>
          <cell r="E2210">
            <v>129.78</v>
          </cell>
          <cell r="F2210">
            <v>136.94</v>
          </cell>
          <cell r="G2210">
            <v>129.05000000000001</v>
          </cell>
          <cell r="H2210">
            <v>1498.56</v>
          </cell>
          <cell r="I2210">
            <v>139.28</v>
          </cell>
        </row>
        <row r="2211">
          <cell r="A2211">
            <v>34869</v>
          </cell>
          <cell r="B2211">
            <v>1367.95</v>
          </cell>
          <cell r="C2211">
            <v>1385.22</v>
          </cell>
          <cell r="D2211">
            <v>130.07</v>
          </cell>
          <cell r="E2211">
            <v>130.81</v>
          </cell>
          <cell r="F2211">
            <v>138.06</v>
          </cell>
          <cell r="G2211">
            <v>129.41</v>
          </cell>
          <cell r="H2211">
            <v>1517.2</v>
          </cell>
          <cell r="I2211">
            <v>140.91999999999999</v>
          </cell>
        </row>
        <row r="2212">
          <cell r="A2212">
            <v>34870</v>
          </cell>
          <cell r="B2212">
            <v>1365.51</v>
          </cell>
          <cell r="C2212">
            <v>1382.7</v>
          </cell>
          <cell r="D2212">
            <v>129.88999999999999</v>
          </cell>
          <cell r="E2212">
            <v>130.58000000000001</v>
          </cell>
          <cell r="F2212">
            <v>137.9</v>
          </cell>
          <cell r="G2212">
            <v>129.29</v>
          </cell>
          <cell r="H2212">
            <v>1513.67</v>
          </cell>
          <cell r="I2212">
            <v>140.81</v>
          </cell>
        </row>
        <row r="2213">
          <cell r="A2213">
            <v>34871</v>
          </cell>
          <cell r="B2213">
            <v>1365.88</v>
          </cell>
          <cell r="C2213">
            <v>1383.11</v>
          </cell>
          <cell r="D2213">
            <v>129.87</v>
          </cell>
          <cell r="E2213">
            <v>130.71</v>
          </cell>
          <cell r="F2213">
            <v>138.12</v>
          </cell>
          <cell r="G2213">
            <v>129.13</v>
          </cell>
          <cell r="H2213">
            <v>1517.92</v>
          </cell>
          <cell r="I2213">
            <v>141.19</v>
          </cell>
        </row>
        <row r="2214">
          <cell r="A2214">
            <v>34872</v>
          </cell>
          <cell r="B2214">
            <v>1379.84</v>
          </cell>
          <cell r="C2214">
            <v>1395.21</v>
          </cell>
          <cell r="D2214">
            <v>131.08000000000001</v>
          </cell>
          <cell r="E2214">
            <v>131.97999999999999</v>
          </cell>
          <cell r="F2214">
            <v>139.41</v>
          </cell>
          <cell r="G2214">
            <v>130.28</v>
          </cell>
          <cell r="H2214">
            <v>1540.21</v>
          </cell>
          <cell r="I2214">
            <v>143.21</v>
          </cell>
        </row>
        <row r="2215">
          <cell r="A2215">
            <v>34873</v>
          </cell>
          <cell r="B2215">
            <v>1374.97</v>
          </cell>
          <cell r="C2215">
            <v>1390.06</v>
          </cell>
          <cell r="D2215">
            <v>130.38999999999999</v>
          </cell>
          <cell r="E2215">
            <v>131.44999999999999</v>
          </cell>
          <cell r="F2215">
            <v>138.96</v>
          </cell>
          <cell r="G2215">
            <v>129.44999999999999</v>
          </cell>
          <cell r="H2215">
            <v>1530.28</v>
          </cell>
          <cell r="I2215">
            <v>142.29</v>
          </cell>
        </row>
        <row r="2216">
          <cell r="A2216">
            <v>34876</v>
          </cell>
          <cell r="B2216">
            <v>1360.95</v>
          </cell>
          <cell r="C2216">
            <v>1390.96</v>
          </cell>
          <cell r="D2216">
            <v>129.25</v>
          </cell>
          <cell r="E2216">
            <v>131.61000000000001</v>
          </cell>
          <cell r="F2216">
            <v>139.12</v>
          </cell>
          <cell r="G2216">
            <v>127.1</v>
          </cell>
          <cell r="H2216">
            <v>1537.96</v>
          </cell>
          <cell r="I2216">
            <v>142.96</v>
          </cell>
        </row>
        <row r="2217">
          <cell r="A2217">
            <v>34877</v>
          </cell>
          <cell r="B2217">
            <v>1356.77</v>
          </cell>
          <cell r="C2217">
            <v>1383.23</v>
          </cell>
          <cell r="D2217">
            <v>128.80000000000001</v>
          </cell>
          <cell r="E2217">
            <v>130.83000000000001</v>
          </cell>
          <cell r="F2217">
            <v>138.59</v>
          </cell>
          <cell r="G2217">
            <v>126.97</v>
          </cell>
          <cell r="H2217">
            <v>1530.87</v>
          </cell>
          <cell r="I2217">
            <v>142.30000000000001</v>
          </cell>
        </row>
        <row r="2218">
          <cell r="A2218">
            <v>34878</v>
          </cell>
          <cell r="B2218">
            <v>1343.39</v>
          </cell>
          <cell r="C2218">
            <v>1369.96</v>
          </cell>
          <cell r="D2218">
            <v>127.82</v>
          </cell>
          <cell r="E2218">
            <v>129.82</v>
          </cell>
          <cell r="F2218">
            <v>137.6</v>
          </cell>
          <cell r="G2218">
            <v>126.01</v>
          </cell>
          <cell r="H2218">
            <v>1522.84</v>
          </cell>
          <cell r="I2218">
            <v>141.77000000000001</v>
          </cell>
        </row>
        <row r="2219">
          <cell r="A2219">
            <v>34879</v>
          </cell>
          <cell r="B2219">
            <v>1347.18</v>
          </cell>
          <cell r="C2219">
            <v>1369.88</v>
          </cell>
          <cell r="D2219">
            <v>128.07</v>
          </cell>
          <cell r="E2219">
            <v>129.71</v>
          </cell>
          <cell r="F2219">
            <v>137.56</v>
          </cell>
          <cell r="G2219">
            <v>126.6</v>
          </cell>
          <cell r="H2219">
            <v>1525.17</v>
          </cell>
          <cell r="I2219">
            <v>141.84</v>
          </cell>
        </row>
        <row r="2220">
          <cell r="A2220">
            <v>34880</v>
          </cell>
          <cell r="B2220">
            <v>1343.59</v>
          </cell>
          <cell r="C2220">
            <v>1362.52</v>
          </cell>
          <cell r="D2220">
            <v>127.88</v>
          </cell>
          <cell r="E2220">
            <v>129.18</v>
          </cell>
          <cell r="F2220">
            <v>137</v>
          </cell>
          <cell r="G2220">
            <v>126.71</v>
          </cell>
          <cell r="H2220">
            <v>1525.46</v>
          </cell>
          <cell r="I2220">
            <v>142.07</v>
          </cell>
        </row>
        <row r="2221">
          <cell r="A2221">
            <v>34883</v>
          </cell>
          <cell r="B2221">
            <v>1351.42</v>
          </cell>
          <cell r="C2221">
            <v>1371.32</v>
          </cell>
          <cell r="D2221">
            <v>128.47999999999999</v>
          </cell>
          <cell r="E2221">
            <v>129.84</v>
          </cell>
          <cell r="F2221">
            <v>137.68</v>
          </cell>
          <cell r="G2221">
            <v>127.27</v>
          </cell>
          <cell r="H2221">
            <v>1543.22</v>
          </cell>
          <cell r="I2221">
            <v>143.43</v>
          </cell>
        </row>
        <row r="2222">
          <cell r="A2222">
            <v>34884</v>
          </cell>
          <cell r="B2222">
            <v>1364.67</v>
          </cell>
          <cell r="C2222">
            <v>1381.8</v>
          </cell>
          <cell r="D2222">
            <v>129.69999999999999</v>
          </cell>
          <cell r="E2222">
            <v>130.84</v>
          </cell>
          <cell r="F2222">
            <v>138.78</v>
          </cell>
          <cell r="G2222">
            <v>128.68</v>
          </cell>
          <cell r="H2222">
            <v>1553.06</v>
          </cell>
          <cell r="I2222">
            <v>144.41</v>
          </cell>
        </row>
        <row r="2223">
          <cell r="A2223">
            <v>34885</v>
          </cell>
          <cell r="B2223">
            <v>1366.45</v>
          </cell>
          <cell r="C2223">
            <v>1383.98</v>
          </cell>
          <cell r="D2223">
            <v>130.05000000000001</v>
          </cell>
          <cell r="E2223">
            <v>131.16999999999999</v>
          </cell>
          <cell r="F2223">
            <v>138.97</v>
          </cell>
          <cell r="G2223">
            <v>129.04</v>
          </cell>
          <cell r="H2223">
            <v>1557.34</v>
          </cell>
          <cell r="I2223">
            <v>144.74</v>
          </cell>
        </row>
        <row r="2224">
          <cell r="A2224">
            <v>34886</v>
          </cell>
          <cell r="B2224">
            <v>1364.69</v>
          </cell>
          <cell r="C2224">
            <v>1382.42</v>
          </cell>
          <cell r="D2224">
            <v>129.83000000000001</v>
          </cell>
          <cell r="E2224">
            <v>130.87</v>
          </cell>
          <cell r="F2224">
            <v>138.68</v>
          </cell>
          <cell r="G2224">
            <v>128.9</v>
          </cell>
          <cell r="H2224">
            <v>1564.76</v>
          </cell>
          <cell r="I2224">
            <v>145.43</v>
          </cell>
        </row>
        <row r="2225">
          <cell r="A2225">
            <v>34887</v>
          </cell>
          <cell r="B2225">
            <v>1389.85</v>
          </cell>
          <cell r="C2225">
            <v>1409.15</v>
          </cell>
          <cell r="D2225">
            <v>132.33000000000001</v>
          </cell>
          <cell r="E2225">
            <v>133.4</v>
          </cell>
          <cell r="F2225">
            <v>140.9</v>
          </cell>
          <cell r="G2225">
            <v>131.37</v>
          </cell>
          <cell r="H2225">
            <v>1594.56</v>
          </cell>
          <cell r="I2225">
            <v>147.79</v>
          </cell>
        </row>
        <row r="2226">
          <cell r="A2226">
            <v>34890</v>
          </cell>
          <cell r="B2226">
            <v>1394.38</v>
          </cell>
          <cell r="C2226">
            <v>1422.24</v>
          </cell>
          <cell r="D2226">
            <v>132.85</v>
          </cell>
          <cell r="E2226">
            <v>134.44</v>
          </cell>
          <cell r="F2226">
            <v>141.9</v>
          </cell>
          <cell r="G2226">
            <v>131.41999999999999</v>
          </cell>
          <cell r="H2226">
            <v>1617.67</v>
          </cell>
          <cell r="I2226">
            <v>149.66</v>
          </cell>
        </row>
        <row r="2227">
          <cell r="A2227">
            <v>34891</v>
          </cell>
          <cell r="B2227">
            <v>1397.05</v>
          </cell>
          <cell r="C2227">
            <v>1427.72</v>
          </cell>
          <cell r="D2227">
            <v>133.36000000000001</v>
          </cell>
          <cell r="E2227">
            <v>134.99</v>
          </cell>
          <cell r="F2227">
            <v>142.30000000000001</v>
          </cell>
          <cell r="G2227">
            <v>131.88</v>
          </cell>
          <cell r="H2227">
            <v>1620.73</v>
          </cell>
          <cell r="I2227">
            <v>149.69999999999999</v>
          </cell>
        </row>
        <row r="2228">
          <cell r="A2228">
            <v>34892</v>
          </cell>
          <cell r="B2228">
            <v>1401.05</v>
          </cell>
          <cell r="C2228">
            <v>1433.24</v>
          </cell>
          <cell r="D2228">
            <v>133.52000000000001</v>
          </cell>
          <cell r="E2228">
            <v>135.22</v>
          </cell>
          <cell r="F2228">
            <v>142.77000000000001</v>
          </cell>
          <cell r="G2228">
            <v>131.97999999999999</v>
          </cell>
          <cell r="H2228">
            <v>1641.53</v>
          </cell>
          <cell r="I2228">
            <v>151.46</v>
          </cell>
        </row>
        <row r="2229">
          <cell r="A2229">
            <v>34893</v>
          </cell>
          <cell r="B2229">
            <v>1399.4</v>
          </cell>
          <cell r="C2229">
            <v>1436.53</v>
          </cell>
          <cell r="D2229">
            <v>133.46</v>
          </cell>
          <cell r="E2229">
            <v>135.5</v>
          </cell>
          <cell r="F2229">
            <v>142.97999999999999</v>
          </cell>
          <cell r="G2229">
            <v>131.62</v>
          </cell>
          <cell r="H2229">
            <v>1648.83</v>
          </cell>
          <cell r="I2229">
            <v>152.34</v>
          </cell>
        </row>
        <row r="2230">
          <cell r="A2230">
            <v>34894</v>
          </cell>
          <cell r="B2230">
            <v>1388.82</v>
          </cell>
          <cell r="C2230">
            <v>1427.71</v>
          </cell>
          <cell r="D2230">
            <v>132.66999999999999</v>
          </cell>
          <cell r="E2230">
            <v>134.69999999999999</v>
          </cell>
          <cell r="F2230">
            <v>142.15</v>
          </cell>
          <cell r="G2230">
            <v>130.84</v>
          </cell>
          <cell r="H2230">
            <v>1630.39</v>
          </cell>
          <cell r="I2230">
            <v>150.77000000000001</v>
          </cell>
        </row>
        <row r="2231">
          <cell r="A2231">
            <v>34897</v>
          </cell>
          <cell r="B2231">
            <v>1396.3</v>
          </cell>
          <cell r="C2231">
            <v>1432.5</v>
          </cell>
          <cell r="D2231">
            <v>133.22999999999999</v>
          </cell>
          <cell r="E2231">
            <v>135.03</v>
          </cell>
          <cell r="F2231">
            <v>142.66999999999999</v>
          </cell>
          <cell r="G2231">
            <v>131.61000000000001</v>
          </cell>
          <cell r="H2231">
            <v>1640.46</v>
          </cell>
          <cell r="I2231">
            <v>151.66999999999999</v>
          </cell>
        </row>
        <row r="2232">
          <cell r="A2232">
            <v>34898</v>
          </cell>
          <cell r="B2232">
            <v>1392.95</v>
          </cell>
          <cell r="C2232">
            <v>1429.64</v>
          </cell>
          <cell r="D2232">
            <v>133.01</v>
          </cell>
          <cell r="E2232">
            <v>134.91999999999999</v>
          </cell>
          <cell r="F2232">
            <v>142.63999999999999</v>
          </cell>
          <cell r="G2232">
            <v>131.29</v>
          </cell>
          <cell r="H2232">
            <v>1629.22</v>
          </cell>
          <cell r="I2232">
            <v>150.88999999999999</v>
          </cell>
        </row>
        <row r="2233">
          <cell r="A2233">
            <v>34899</v>
          </cell>
          <cell r="B2233">
            <v>1379.12</v>
          </cell>
          <cell r="C2233">
            <v>1417.83</v>
          </cell>
          <cell r="D2233">
            <v>131.61000000000001</v>
          </cell>
          <cell r="E2233">
            <v>133.72</v>
          </cell>
          <cell r="F2233">
            <v>141.28</v>
          </cell>
          <cell r="G2233">
            <v>129.69999999999999</v>
          </cell>
          <cell r="H2233">
            <v>1599.34</v>
          </cell>
          <cell r="I2233">
            <v>148.08000000000001</v>
          </cell>
        </row>
        <row r="2234">
          <cell r="A2234">
            <v>34900</v>
          </cell>
          <cell r="B2234">
            <v>1375.58</v>
          </cell>
          <cell r="C2234">
            <v>1412.99</v>
          </cell>
          <cell r="D2234">
            <v>131.19999999999999</v>
          </cell>
          <cell r="E2234">
            <v>133.16999999999999</v>
          </cell>
          <cell r="F2234">
            <v>140.63999999999999</v>
          </cell>
          <cell r="G2234">
            <v>129.41999999999999</v>
          </cell>
          <cell r="H2234">
            <v>1602.9</v>
          </cell>
          <cell r="I2234">
            <v>148.66</v>
          </cell>
        </row>
        <row r="2235">
          <cell r="A2235">
            <v>34901</v>
          </cell>
          <cell r="B2235">
            <v>1379.2</v>
          </cell>
          <cell r="C2235">
            <v>1418.79</v>
          </cell>
          <cell r="D2235">
            <v>131.56</v>
          </cell>
          <cell r="E2235">
            <v>133.61000000000001</v>
          </cell>
          <cell r="F2235">
            <v>140.94</v>
          </cell>
          <cell r="G2235">
            <v>129.71</v>
          </cell>
          <cell r="H2235">
            <v>1591.3</v>
          </cell>
          <cell r="I2235">
            <v>147.76</v>
          </cell>
        </row>
        <row r="2236">
          <cell r="A2236">
            <v>34904</v>
          </cell>
          <cell r="B2236">
            <v>1390.65</v>
          </cell>
          <cell r="C2236">
            <v>1431.84</v>
          </cell>
          <cell r="D2236">
            <v>132.41</v>
          </cell>
          <cell r="E2236">
            <v>134.57</v>
          </cell>
          <cell r="F2236">
            <v>141.9</v>
          </cell>
          <cell r="G2236">
            <v>130.46</v>
          </cell>
          <cell r="H2236">
            <v>1610.39</v>
          </cell>
          <cell r="I2236">
            <v>149.29</v>
          </cell>
        </row>
        <row r="2237">
          <cell r="A2237">
            <v>34905</v>
          </cell>
          <cell r="B2237">
            <v>1399.07</v>
          </cell>
          <cell r="C2237">
            <v>1443.23</v>
          </cell>
          <cell r="D2237">
            <v>133.15</v>
          </cell>
          <cell r="E2237">
            <v>135.63</v>
          </cell>
          <cell r="F2237">
            <v>142.85</v>
          </cell>
          <cell r="G2237">
            <v>130.91</v>
          </cell>
          <cell r="H2237">
            <v>1634.53</v>
          </cell>
          <cell r="I2237">
            <v>151.32</v>
          </cell>
        </row>
        <row r="2238">
          <cell r="A2238">
            <v>34906</v>
          </cell>
          <cell r="B2238">
            <v>1400.17</v>
          </cell>
          <cell r="C2238">
            <v>1446.81</v>
          </cell>
          <cell r="D2238">
            <v>133.31</v>
          </cell>
          <cell r="E2238">
            <v>135.80000000000001</v>
          </cell>
          <cell r="F2238">
            <v>143</v>
          </cell>
          <cell r="G2238">
            <v>131.06</v>
          </cell>
          <cell r="H2238">
            <v>1642.86</v>
          </cell>
          <cell r="I2238">
            <v>152</v>
          </cell>
        </row>
        <row r="2239">
          <cell r="A2239">
            <v>34907</v>
          </cell>
          <cell r="B2239">
            <v>1400.57</v>
          </cell>
          <cell r="C2239">
            <v>1446.46</v>
          </cell>
          <cell r="D2239">
            <v>133.37</v>
          </cell>
          <cell r="E2239">
            <v>135.82</v>
          </cell>
          <cell r="F2239">
            <v>143.1</v>
          </cell>
          <cell r="G2239">
            <v>131.15</v>
          </cell>
          <cell r="H2239">
            <v>1652.1</v>
          </cell>
          <cell r="I2239">
            <v>153.09</v>
          </cell>
        </row>
        <row r="2240">
          <cell r="A2240">
            <v>34908</v>
          </cell>
          <cell r="B2240">
            <v>1398.12</v>
          </cell>
          <cell r="C2240">
            <v>1440.2</v>
          </cell>
          <cell r="D2240">
            <v>133.32</v>
          </cell>
          <cell r="E2240">
            <v>135.38</v>
          </cell>
          <cell r="F2240">
            <v>142.76</v>
          </cell>
          <cell r="G2240">
            <v>131.44999999999999</v>
          </cell>
          <cell r="H2240">
            <v>1648.51</v>
          </cell>
          <cell r="I2240">
            <v>152.91</v>
          </cell>
        </row>
        <row r="2241">
          <cell r="A2241">
            <v>34911</v>
          </cell>
          <cell r="B2241">
            <v>1393.56</v>
          </cell>
          <cell r="C2241">
            <v>1435.52</v>
          </cell>
          <cell r="D2241">
            <v>132.94999999999999</v>
          </cell>
          <cell r="E2241">
            <v>134.94999999999999</v>
          </cell>
          <cell r="F2241">
            <v>142.28</v>
          </cell>
          <cell r="G2241">
            <v>131.13999999999999</v>
          </cell>
          <cell r="H2241">
            <v>1629.83</v>
          </cell>
          <cell r="I2241">
            <v>151.31</v>
          </cell>
        </row>
        <row r="2242">
          <cell r="A2242">
            <v>34912</v>
          </cell>
          <cell r="B2242">
            <v>1392.44</v>
          </cell>
          <cell r="C2242">
            <v>1435.56</v>
          </cell>
          <cell r="D2242">
            <v>132.85</v>
          </cell>
          <cell r="E2242">
            <v>135.11000000000001</v>
          </cell>
          <cell r="F2242">
            <v>142.36000000000001</v>
          </cell>
          <cell r="G2242">
            <v>130.81</v>
          </cell>
          <cell r="H2242">
            <v>1607.3</v>
          </cell>
          <cell r="I2242">
            <v>149.66999999999999</v>
          </cell>
        </row>
        <row r="2243">
          <cell r="A2243">
            <v>34913</v>
          </cell>
          <cell r="B2243">
            <v>1414.37</v>
          </cell>
          <cell r="C2243">
            <v>1455.38</v>
          </cell>
          <cell r="D2243">
            <v>134.94999999999999</v>
          </cell>
          <cell r="E2243">
            <v>136.9</v>
          </cell>
          <cell r="F2243">
            <v>144.13999999999999</v>
          </cell>
          <cell r="G2243">
            <v>133.19999999999999</v>
          </cell>
          <cell r="H2243">
            <v>1639.55</v>
          </cell>
          <cell r="I2243">
            <v>152.32</v>
          </cell>
        </row>
        <row r="2244">
          <cell r="A2244">
            <v>34914</v>
          </cell>
          <cell r="B2244">
            <v>1403.28</v>
          </cell>
          <cell r="C2244">
            <v>1447.58</v>
          </cell>
          <cell r="D2244">
            <v>134.15</v>
          </cell>
          <cell r="E2244">
            <v>136.44</v>
          </cell>
          <cell r="F2244">
            <v>143.44</v>
          </cell>
          <cell r="G2244">
            <v>132.08000000000001</v>
          </cell>
          <cell r="H2244">
            <v>1628.31</v>
          </cell>
          <cell r="I2244">
            <v>151.27000000000001</v>
          </cell>
        </row>
        <row r="2245">
          <cell r="A2245">
            <v>34915</v>
          </cell>
          <cell r="B2245">
            <v>1406.94</v>
          </cell>
          <cell r="C2245">
            <v>1448.35</v>
          </cell>
          <cell r="D2245">
            <v>134.56</v>
          </cell>
          <cell r="E2245">
            <v>136.6</v>
          </cell>
          <cell r="F2245">
            <v>143.66999999999999</v>
          </cell>
          <cell r="G2245">
            <v>132.71</v>
          </cell>
          <cell r="H2245">
            <v>1639.92</v>
          </cell>
          <cell r="I2245">
            <v>152.19999999999999</v>
          </cell>
        </row>
        <row r="2246">
          <cell r="A2246">
            <v>34918</v>
          </cell>
          <cell r="B2246">
            <v>1407.86</v>
          </cell>
          <cell r="C2246">
            <v>1451.33</v>
          </cell>
          <cell r="D2246">
            <v>134.74</v>
          </cell>
          <cell r="E2246">
            <v>136.72999999999999</v>
          </cell>
          <cell r="F2246">
            <v>143.57</v>
          </cell>
          <cell r="G2246">
            <v>132.94</v>
          </cell>
          <cell r="H2246">
            <v>1632.86</v>
          </cell>
          <cell r="I2246">
            <v>151.65</v>
          </cell>
        </row>
        <row r="2247">
          <cell r="A2247">
            <v>34919</v>
          </cell>
          <cell r="B2247">
            <v>1405.5</v>
          </cell>
          <cell r="C2247">
            <v>1451.31</v>
          </cell>
          <cell r="D2247">
            <v>134.44999999999999</v>
          </cell>
          <cell r="E2247">
            <v>136.56</v>
          </cell>
          <cell r="F2247">
            <v>143.33000000000001</v>
          </cell>
          <cell r="G2247">
            <v>132.53</v>
          </cell>
          <cell r="H2247">
            <v>1623.7</v>
          </cell>
          <cell r="I2247">
            <v>150.76</v>
          </cell>
        </row>
        <row r="2248">
          <cell r="A2248">
            <v>34920</v>
          </cell>
          <cell r="B2248">
            <v>1399.51</v>
          </cell>
          <cell r="C2248">
            <v>1445.04</v>
          </cell>
          <cell r="D2248">
            <v>133.88</v>
          </cell>
          <cell r="E2248">
            <v>136.02000000000001</v>
          </cell>
          <cell r="F2248">
            <v>142.75</v>
          </cell>
          <cell r="G2248">
            <v>131.94999999999999</v>
          </cell>
          <cell r="H2248">
            <v>1616.57</v>
          </cell>
          <cell r="I2248">
            <v>150.07</v>
          </cell>
        </row>
        <row r="2249">
          <cell r="A2249">
            <v>34921</v>
          </cell>
          <cell r="B2249">
            <v>1405.8</v>
          </cell>
          <cell r="C2249">
            <v>1446.24</v>
          </cell>
          <cell r="D2249">
            <v>134.24</v>
          </cell>
          <cell r="E2249">
            <v>136.05000000000001</v>
          </cell>
          <cell r="F2249">
            <v>143.05000000000001</v>
          </cell>
          <cell r="G2249">
            <v>132.61000000000001</v>
          </cell>
          <cell r="H2249">
            <v>1641.27</v>
          </cell>
          <cell r="I2249">
            <v>152.09</v>
          </cell>
        </row>
        <row r="2250">
          <cell r="A2250">
            <v>34922</v>
          </cell>
          <cell r="B2250">
            <v>1404.34</v>
          </cell>
          <cell r="C2250">
            <v>1448.09</v>
          </cell>
          <cell r="D2250">
            <v>134.08000000000001</v>
          </cell>
          <cell r="E2250">
            <v>136.04</v>
          </cell>
          <cell r="F2250">
            <v>143.09</v>
          </cell>
          <cell r="G2250">
            <v>132.32</v>
          </cell>
          <cell r="H2250">
            <v>1649.59</v>
          </cell>
          <cell r="I2250">
            <v>152.94999999999999</v>
          </cell>
        </row>
        <row r="2251">
          <cell r="A2251">
            <v>34925</v>
          </cell>
          <cell r="B2251">
            <v>1394.37</v>
          </cell>
          <cell r="C2251">
            <v>1442.91</v>
          </cell>
          <cell r="D2251">
            <v>133.27000000000001</v>
          </cell>
          <cell r="E2251">
            <v>135.44999999999999</v>
          </cell>
          <cell r="F2251">
            <v>142.41999999999999</v>
          </cell>
          <cell r="G2251">
            <v>131.29</v>
          </cell>
          <cell r="H2251">
            <v>1630.28</v>
          </cell>
          <cell r="I2251">
            <v>151.25</v>
          </cell>
        </row>
        <row r="2252">
          <cell r="A2252">
            <v>34926</v>
          </cell>
          <cell r="B2252">
            <v>1406.93</v>
          </cell>
          <cell r="C2252">
            <v>1448.51</v>
          </cell>
          <cell r="D2252">
            <v>134.4</v>
          </cell>
          <cell r="E2252">
            <v>136.04</v>
          </cell>
          <cell r="F2252">
            <v>143.25</v>
          </cell>
          <cell r="G2252">
            <v>132.91</v>
          </cell>
          <cell r="H2252">
            <v>1663.07</v>
          </cell>
          <cell r="I2252">
            <v>154.15</v>
          </cell>
        </row>
        <row r="2253">
          <cell r="A2253">
            <v>34927</v>
          </cell>
          <cell r="B2253">
            <v>1411.54</v>
          </cell>
          <cell r="C2253">
            <v>1453.87</v>
          </cell>
          <cell r="D2253">
            <v>134.83000000000001</v>
          </cell>
          <cell r="E2253">
            <v>136.61000000000001</v>
          </cell>
          <cell r="F2253">
            <v>144.01</v>
          </cell>
          <cell r="G2253">
            <v>133.21</v>
          </cell>
          <cell r="H2253">
            <v>1664.79</v>
          </cell>
          <cell r="I2253">
            <v>154.16</v>
          </cell>
        </row>
        <row r="2254">
          <cell r="A2254">
            <v>34928</v>
          </cell>
          <cell r="B2254">
            <v>1415.04</v>
          </cell>
          <cell r="C2254">
            <v>1452.71</v>
          </cell>
          <cell r="D2254">
            <v>134.94999999999999</v>
          </cell>
          <cell r="E2254">
            <v>136.47</v>
          </cell>
          <cell r="F2254">
            <v>143.96</v>
          </cell>
          <cell r="G2254">
            <v>133.58000000000001</v>
          </cell>
          <cell r="H2254">
            <v>1655.43</v>
          </cell>
          <cell r="I2254">
            <v>153.36000000000001</v>
          </cell>
        </row>
        <row r="2255">
          <cell r="A2255">
            <v>34929</v>
          </cell>
          <cell r="B2255">
            <v>1424.74</v>
          </cell>
          <cell r="C2255">
            <v>1459.19</v>
          </cell>
          <cell r="D2255">
            <v>135.69999999999999</v>
          </cell>
          <cell r="E2255">
            <v>137.07</v>
          </cell>
          <cell r="F2255">
            <v>144.63</v>
          </cell>
          <cell r="G2255">
            <v>134.47</v>
          </cell>
          <cell r="H2255">
            <v>1679.53</v>
          </cell>
          <cell r="I2255">
            <v>155.43</v>
          </cell>
        </row>
        <row r="2256">
          <cell r="A2256">
            <v>34932</v>
          </cell>
          <cell r="B2256">
            <v>1434.67</v>
          </cell>
          <cell r="C2256">
            <v>1466.2</v>
          </cell>
          <cell r="D2256">
            <v>136.47999999999999</v>
          </cell>
          <cell r="E2256">
            <v>137.77000000000001</v>
          </cell>
          <cell r="F2256">
            <v>145.22999999999999</v>
          </cell>
          <cell r="G2256">
            <v>135.31</v>
          </cell>
          <cell r="H2256">
            <v>1689.77</v>
          </cell>
          <cell r="I2256">
            <v>156.37</v>
          </cell>
        </row>
        <row r="2257">
          <cell r="A2257">
            <v>34933</v>
          </cell>
          <cell r="B2257">
            <v>1430.71</v>
          </cell>
          <cell r="C2257">
            <v>1458.76</v>
          </cell>
          <cell r="D2257">
            <v>136.18</v>
          </cell>
          <cell r="E2257">
            <v>137.12</v>
          </cell>
          <cell r="F2257">
            <v>144.88999999999999</v>
          </cell>
          <cell r="G2257">
            <v>135.32</v>
          </cell>
          <cell r="H2257">
            <v>1695.14</v>
          </cell>
          <cell r="I2257">
            <v>156.77000000000001</v>
          </cell>
        </row>
        <row r="2258">
          <cell r="A2258">
            <v>34934</v>
          </cell>
          <cell r="B2258">
            <v>1429.34</v>
          </cell>
          <cell r="C2258">
            <v>1456.82</v>
          </cell>
          <cell r="D2258">
            <v>136.09</v>
          </cell>
          <cell r="E2258">
            <v>136.87</v>
          </cell>
          <cell r="F2258">
            <v>144.76</v>
          </cell>
          <cell r="G2258">
            <v>135.38999999999999</v>
          </cell>
          <cell r="H2258">
            <v>1694.6</v>
          </cell>
          <cell r="I2258">
            <v>156.88999999999999</v>
          </cell>
        </row>
        <row r="2259">
          <cell r="A2259">
            <v>34935</v>
          </cell>
          <cell r="B2259">
            <v>1426.85</v>
          </cell>
          <cell r="C2259">
            <v>1453.06</v>
          </cell>
          <cell r="D2259">
            <v>135.58000000000001</v>
          </cell>
          <cell r="E2259">
            <v>136.29</v>
          </cell>
          <cell r="F2259">
            <v>144.15</v>
          </cell>
          <cell r="G2259">
            <v>134.94</v>
          </cell>
          <cell r="H2259">
            <v>1689.35</v>
          </cell>
          <cell r="I2259">
            <v>156.33000000000001</v>
          </cell>
        </row>
        <row r="2260">
          <cell r="A2260">
            <v>34936</v>
          </cell>
          <cell r="B2260">
            <v>1428.12</v>
          </cell>
          <cell r="C2260">
            <v>1448.77</v>
          </cell>
          <cell r="D2260">
            <v>135.69999999999999</v>
          </cell>
          <cell r="E2260">
            <v>135.87</v>
          </cell>
          <cell r="F2260">
            <v>144.03</v>
          </cell>
          <cell r="G2260">
            <v>135.55000000000001</v>
          </cell>
          <cell r="H2260">
            <v>1687.63</v>
          </cell>
          <cell r="I2260">
            <v>156.01</v>
          </cell>
        </row>
        <row r="2261">
          <cell r="A2261">
            <v>34939</v>
          </cell>
          <cell r="B2261">
            <v>1421.56</v>
          </cell>
          <cell r="C2261">
            <v>1438.38</v>
          </cell>
          <cell r="D2261">
            <v>135</v>
          </cell>
          <cell r="E2261">
            <v>134.74</v>
          </cell>
          <cell r="F2261">
            <v>143.1</v>
          </cell>
          <cell r="G2261">
            <v>135.25</v>
          </cell>
          <cell r="H2261">
            <v>1690.46</v>
          </cell>
          <cell r="I2261">
            <v>156.26</v>
          </cell>
        </row>
        <row r="2262">
          <cell r="A2262">
            <v>34940</v>
          </cell>
          <cell r="B2262">
            <v>1416.85</v>
          </cell>
          <cell r="C2262">
            <v>1435.2</v>
          </cell>
          <cell r="D2262">
            <v>134.79</v>
          </cell>
          <cell r="E2262">
            <v>134.6</v>
          </cell>
          <cell r="F2262">
            <v>142.93</v>
          </cell>
          <cell r="G2262">
            <v>134.97</v>
          </cell>
          <cell r="H2262">
            <v>1684.05</v>
          </cell>
          <cell r="I2262">
            <v>155.77000000000001</v>
          </cell>
        </row>
        <row r="2263">
          <cell r="A2263">
            <v>34941</v>
          </cell>
          <cell r="B2263">
            <v>1420.82</v>
          </cell>
          <cell r="C2263">
            <v>1440.17</v>
          </cell>
          <cell r="D2263">
            <v>135.06</v>
          </cell>
          <cell r="E2263">
            <v>135.02000000000001</v>
          </cell>
          <cell r="F2263">
            <v>143.4</v>
          </cell>
          <cell r="G2263">
            <v>135.1</v>
          </cell>
          <cell r="H2263">
            <v>1673.91</v>
          </cell>
          <cell r="I2263">
            <v>154.84</v>
          </cell>
        </row>
        <row r="2264">
          <cell r="A2264">
            <v>34942</v>
          </cell>
          <cell r="B2264">
            <v>1414.67</v>
          </cell>
          <cell r="C2264">
            <v>1432.86</v>
          </cell>
          <cell r="D2264">
            <v>134.33000000000001</v>
          </cell>
          <cell r="E2264">
            <v>134.31</v>
          </cell>
          <cell r="F2264">
            <v>142.83000000000001</v>
          </cell>
          <cell r="G2264">
            <v>134.36000000000001</v>
          </cell>
          <cell r="H2264">
            <v>1671.05</v>
          </cell>
          <cell r="I2264">
            <v>154.44999999999999</v>
          </cell>
        </row>
        <row r="2265">
          <cell r="A2265">
            <v>34943</v>
          </cell>
          <cell r="B2265">
            <v>1419.32</v>
          </cell>
          <cell r="C2265">
            <v>1432.19</v>
          </cell>
          <cell r="D2265">
            <v>134.79</v>
          </cell>
          <cell r="E2265">
            <v>134.35</v>
          </cell>
          <cell r="F2265">
            <v>142.91</v>
          </cell>
          <cell r="G2265">
            <v>135.19999999999999</v>
          </cell>
          <cell r="H2265">
            <v>1663.82</v>
          </cell>
          <cell r="I2265">
            <v>153.9</v>
          </cell>
        </row>
        <row r="2266">
          <cell r="A2266">
            <v>34946</v>
          </cell>
          <cell r="B2266">
            <v>1430.04</v>
          </cell>
          <cell r="C2266">
            <v>1443</v>
          </cell>
          <cell r="D2266">
            <v>135.51</v>
          </cell>
          <cell r="E2266">
            <v>135.1</v>
          </cell>
          <cell r="F2266">
            <v>143.86000000000001</v>
          </cell>
          <cell r="G2266">
            <v>135.88999999999999</v>
          </cell>
          <cell r="H2266">
            <v>1677.16</v>
          </cell>
          <cell r="I2266">
            <v>155.08000000000001</v>
          </cell>
        </row>
        <row r="2267">
          <cell r="A2267">
            <v>34947</v>
          </cell>
          <cell r="B2267">
            <v>1435.81</v>
          </cell>
          <cell r="C2267">
            <v>1446.49</v>
          </cell>
          <cell r="D2267">
            <v>136.06</v>
          </cell>
          <cell r="E2267">
            <v>135.4</v>
          </cell>
          <cell r="F2267">
            <v>144.31</v>
          </cell>
          <cell r="G2267">
            <v>136.66999999999999</v>
          </cell>
          <cell r="H2267">
            <v>1693.72</v>
          </cell>
          <cell r="I2267">
            <v>156.52000000000001</v>
          </cell>
        </row>
        <row r="2268">
          <cell r="A2268">
            <v>34948</v>
          </cell>
          <cell r="B2268">
            <v>1445.69</v>
          </cell>
          <cell r="C2268">
            <v>1450.19</v>
          </cell>
          <cell r="D2268">
            <v>136.91999999999999</v>
          </cell>
          <cell r="E2268">
            <v>135.79</v>
          </cell>
          <cell r="F2268">
            <v>145.07</v>
          </cell>
          <cell r="G2268">
            <v>137.94999999999999</v>
          </cell>
          <cell r="H2268">
            <v>1731.19</v>
          </cell>
          <cell r="I2268">
            <v>159.80000000000001</v>
          </cell>
        </row>
        <row r="2269">
          <cell r="A2269">
            <v>34949</v>
          </cell>
          <cell r="B2269">
            <v>1443.11</v>
          </cell>
          <cell r="C2269">
            <v>1447.03</v>
          </cell>
          <cell r="D2269">
            <v>136.72</v>
          </cell>
          <cell r="E2269">
            <v>135.53</v>
          </cell>
          <cell r="F2269">
            <v>144.94</v>
          </cell>
          <cell r="G2269">
            <v>137.81</v>
          </cell>
          <cell r="H2269">
            <v>1761.28</v>
          </cell>
          <cell r="I2269">
            <v>162.30000000000001</v>
          </cell>
        </row>
        <row r="2270">
          <cell r="A2270">
            <v>34950</v>
          </cell>
          <cell r="B2270">
            <v>1445.25</v>
          </cell>
          <cell r="C2270">
            <v>1449.53</v>
          </cell>
          <cell r="D2270">
            <v>136.99</v>
          </cell>
          <cell r="E2270">
            <v>135.66999999999999</v>
          </cell>
          <cell r="F2270">
            <v>145.25</v>
          </cell>
          <cell r="G2270">
            <v>138.19</v>
          </cell>
          <cell r="H2270">
            <v>1779.08</v>
          </cell>
          <cell r="I2270">
            <v>163.65</v>
          </cell>
        </row>
        <row r="2271">
          <cell r="A2271">
            <v>34953</v>
          </cell>
          <cell r="B2271">
            <v>1443.23</v>
          </cell>
          <cell r="C2271">
            <v>1448.65</v>
          </cell>
          <cell r="D2271">
            <v>136.80000000000001</v>
          </cell>
          <cell r="E2271">
            <v>135.54</v>
          </cell>
          <cell r="F2271">
            <v>145.37</v>
          </cell>
          <cell r="G2271">
            <v>137.94999999999999</v>
          </cell>
          <cell r="H2271">
            <v>1799.31</v>
          </cell>
          <cell r="I2271">
            <v>165</v>
          </cell>
        </row>
        <row r="2272">
          <cell r="A2272">
            <v>34954</v>
          </cell>
          <cell r="B2272">
            <v>1446.08</v>
          </cell>
          <cell r="C2272">
            <v>1452.99</v>
          </cell>
          <cell r="D2272">
            <v>137.1</v>
          </cell>
          <cell r="E2272">
            <v>136.03</v>
          </cell>
          <cell r="F2272">
            <v>145.83000000000001</v>
          </cell>
          <cell r="G2272">
            <v>138.09</v>
          </cell>
          <cell r="H2272">
            <v>1810.06</v>
          </cell>
          <cell r="I2272">
            <v>165.89</v>
          </cell>
        </row>
        <row r="2273">
          <cell r="A2273">
            <v>34955</v>
          </cell>
          <cell r="B2273">
            <v>1462.17</v>
          </cell>
          <cell r="C2273">
            <v>1464.6</v>
          </cell>
          <cell r="D2273">
            <v>138.47999999999999</v>
          </cell>
          <cell r="E2273">
            <v>137.05000000000001</v>
          </cell>
          <cell r="F2273">
            <v>146.94999999999999</v>
          </cell>
          <cell r="G2273">
            <v>139.78</v>
          </cell>
          <cell r="H2273">
            <v>1820.31</v>
          </cell>
          <cell r="I2273">
            <v>166.64</v>
          </cell>
        </row>
        <row r="2274">
          <cell r="A2274">
            <v>34956</v>
          </cell>
          <cell r="B2274">
            <v>1461.25</v>
          </cell>
          <cell r="C2274">
            <v>1467.5</v>
          </cell>
          <cell r="D2274">
            <v>138.24</v>
          </cell>
          <cell r="E2274">
            <v>137.22</v>
          </cell>
          <cell r="F2274">
            <v>147.02000000000001</v>
          </cell>
          <cell r="G2274">
            <v>139.18</v>
          </cell>
          <cell r="H2274">
            <v>1825.66</v>
          </cell>
          <cell r="I2274">
            <v>166.85</v>
          </cell>
        </row>
        <row r="2275">
          <cell r="A2275">
            <v>34957</v>
          </cell>
          <cell r="B2275">
            <v>1465.71</v>
          </cell>
          <cell r="C2275">
            <v>1469.19</v>
          </cell>
          <cell r="D2275">
            <v>138.63</v>
          </cell>
          <cell r="E2275">
            <v>137.41</v>
          </cell>
          <cell r="F2275">
            <v>147.54</v>
          </cell>
          <cell r="G2275">
            <v>139.74</v>
          </cell>
          <cell r="H2275">
            <v>1832.96</v>
          </cell>
          <cell r="I2275">
            <v>167.77</v>
          </cell>
        </row>
        <row r="2276">
          <cell r="A2276">
            <v>34960</v>
          </cell>
          <cell r="B2276">
            <v>1451.32</v>
          </cell>
          <cell r="C2276">
            <v>1459.76</v>
          </cell>
          <cell r="D2276">
            <v>137.49</v>
          </cell>
          <cell r="E2276">
            <v>136.69999999999999</v>
          </cell>
          <cell r="F2276">
            <v>146.68</v>
          </cell>
          <cell r="G2276">
            <v>138.22</v>
          </cell>
          <cell r="H2276">
            <v>1801.35</v>
          </cell>
          <cell r="I2276">
            <v>165.06</v>
          </cell>
        </row>
        <row r="2277">
          <cell r="A2277">
            <v>34961</v>
          </cell>
          <cell r="B2277">
            <v>1461.28</v>
          </cell>
          <cell r="C2277">
            <v>1466.58</v>
          </cell>
          <cell r="D2277">
            <v>138.27000000000001</v>
          </cell>
          <cell r="E2277">
            <v>137.12</v>
          </cell>
          <cell r="F2277">
            <v>147.63999999999999</v>
          </cell>
          <cell r="G2277">
            <v>139.31</v>
          </cell>
          <cell r="H2277">
            <v>1838.03</v>
          </cell>
          <cell r="I2277">
            <v>167.97</v>
          </cell>
        </row>
        <row r="2278">
          <cell r="A2278">
            <v>34962</v>
          </cell>
          <cell r="B2278">
            <v>1462.51</v>
          </cell>
          <cell r="C2278">
            <v>1465.6</v>
          </cell>
          <cell r="D2278">
            <v>137.91999999999999</v>
          </cell>
          <cell r="E2278">
            <v>136.72999999999999</v>
          </cell>
          <cell r="F2278">
            <v>147.37</v>
          </cell>
          <cell r="G2278">
            <v>139.01</v>
          </cell>
          <cell r="H2278">
            <v>1804.58</v>
          </cell>
          <cell r="I2278">
            <v>165.28</v>
          </cell>
        </row>
        <row r="2279">
          <cell r="A2279">
            <v>34963</v>
          </cell>
          <cell r="B2279">
            <v>1463.45</v>
          </cell>
          <cell r="C2279">
            <v>1460.87</v>
          </cell>
          <cell r="D2279">
            <v>137.63</v>
          </cell>
          <cell r="E2279">
            <v>136.1</v>
          </cell>
          <cell r="F2279">
            <v>146.72</v>
          </cell>
          <cell r="G2279">
            <v>139.03</v>
          </cell>
          <cell r="H2279">
            <v>1766.15</v>
          </cell>
          <cell r="I2279">
            <v>162.06</v>
          </cell>
        </row>
        <row r="2280">
          <cell r="A2280">
            <v>34964</v>
          </cell>
          <cell r="B2280">
            <v>1433.04</v>
          </cell>
          <cell r="C2280">
            <v>1427.68</v>
          </cell>
          <cell r="D2280">
            <v>135</v>
          </cell>
          <cell r="E2280">
            <v>133</v>
          </cell>
          <cell r="F2280">
            <v>143.85</v>
          </cell>
          <cell r="G2280">
            <v>136.81</v>
          </cell>
          <cell r="H2280">
            <v>1754.51</v>
          </cell>
          <cell r="I2280">
            <v>161.16</v>
          </cell>
        </row>
        <row r="2281">
          <cell r="A2281">
            <v>34967</v>
          </cell>
          <cell r="B2281">
            <v>1433.4</v>
          </cell>
          <cell r="C2281">
            <v>1425.73</v>
          </cell>
          <cell r="D2281">
            <v>135.16</v>
          </cell>
          <cell r="E2281">
            <v>132.88</v>
          </cell>
          <cell r="F2281">
            <v>144</v>
          </cell>
          <cell r="G2281">
            <v>137.22999999999999</v>
          </cell>
          <cell r="H2281">
            <v>1773.65</v>
          </cell>
          <cell r="I2281">
            <v>162.63999999999999</v>
          </cell>
        </row>
        <row r="2282">
          <cell r="A2282">
            <v>34968</v>
          </cell>
          <cell r="B2282">
            <v>1441.07</v>
          </cell>
          <cell r="C2282">
            <v>1437.57</v>
          </cell>
          <cell r="D2282">
            <v>135.97</v>
          </cell>
          <cell r="E2282">
            <v>134.1</v>
          </cell>
          <cell r="F2282">
            <v>145.1</v>
          </cell>
          <cell r="G2282">
            <v>137.66999999999999</v>
          </cell>
          <cell r="H2282">
            <v>1781.45</v>
          </cell>
          <cell r="I2282">
            <v>163.4</v>
          </cell>
        </row>
        <row r="2283">
          <cell r="A2283">
            <v>34969</v>
          </cell>
          <cell r="B2283">
            <v>1426.26</v>
          </cell>
          <cell r="C2283">
            <v>1422.01</v>
          </cell>
          <cell r="D2283">
            <v>134.5</v>
          </cell>
          <cell r="E2283">
            <v>132.57</v>
          </cell>
          <cell r="F2283">
            <v>143.61000000000001</v>
          </cell>
          <cell r="G2283">
            <v>136.26</v>
          </cell>
          <cell r="H2283">
            <v>1751.58</v>
          </cell>
          <cell r="I2283">
            <v>160.88</v>
          </cell>
        </row>
        <row r="2284">
          <cell r="A2284">
            <v>34970</v>
          </cell>
          <cell r="B2284">
            <v>1420.35</v>
          </cell>
          <cell r="C2284">
            <v>1407.34</v>
          </cell>
          <cell r="D2284">
            <v>133.85</v>
          </cell>
          <cell r="E2284">
            <v>131.36000000000001</v>
          </cell>
          <cell r="F2284">
            <v>142.6</v>
          </cell>
          <cell r="G2284">
            <v>136.11000000000001</v>
          </cell>
          <cell r="H2284">
            <v>1751.36</v>
          </cell>
          <cell r="I2284">
            <v>160.99</v>
          </cell>
        </row>
        <row r="2285">
          <cell r="A2285">
            <v>34971</v>
          </cell>
          <cell r="B2285">
            <v>1434.58</v>
          </cell>
          <cell r="C2285">
            <v>1419.6</v>
          </cell>
          <cell r="D2285">
            <v>135.28</v>
          </cell>
          <cell r="E2285">
            <v>132.52000000000001</v>
          </cell>
          <cell r="F2285">
            <v>143.86000000000001</v>
          </cell>
          <cell r="G2285">
            <v>137.79</v>
          </cell>
          <cell r="H2285">
            <v>1791.26</v>
          </cell>
          <cell r="I2285">
            <v>164.48</v>
          </cell>
        </row>
        <row r="2286">
          <cell r="A2286">
            <v>34974</v>
          </cell>
          <cell r="B2286">
            <v>1439.8</v>
          </cell>
          <cell r="C2286">
            <v>1422.45</v>
          </cell>
          <cell r="D2286">
            <v>135.76</v>
          </cell>
          <cell r="E2286">
            <v>132.63</v>
          </cell>
          <cell r="F2286">
            <v>144.04</v>
          </cell>
          <cell r="G2286">
            <v>138.59</v>
          </cell>
          <cell r="H2286">
            <v>1777.37</v>
          </cell>
          <cell r="I2286">
            <v>163.27000000000001</v>
          </cell>
        </row>
        <row r="2287">
          <cell r="A2287">
            <v>34975</v>
          </cell>
          <cell r="B2287">
            <v>1442.71</v>
          </cell>
          <cell r="C2287">
            <v>1423.05</v>
          </cell>
          <cell r="D2287">
            <v>135.91</v>
          </cell>
          <cell r="E2287">
            <v>132.55000000000001</v>
          </cell>
          <cell r="F2287">
            <v>144.08000000000001</v>
          </cell>
          <cell r="G2287">
            <v>138.96</v>
          </cell>
          <cell r="H2287">
            <v>1766.12</v>
          </cell>
          <cell r="I2287">
            <v>162.03</v>
          </cell>
        </row>
        <row r="2288">
          <cell r="A2288">
            <v>34976</v>
          </cell>
          <cell r="B2288">
            <v>1447.77</v>
          </cell>
          <cell r="C2288">
            <v>1427.18</v>
          </cell>
          <cell r="D2288">
            <v>136.21</v>
          </cell>
          <cell r="E2288">
            <v>132.94</v>
          </cell>
          <cell r="F2288">
            <v>144.29</v>
          </cell>
          <cell r="G2288">
            <v>139.18</v>
          </cell>
          <cell r="H2288">
            <v>1761.25</v>
          </cell>
          <cell r="I2288">
            <v>161.75</v>
          </cell>
        </row>
        <row r="2289">
          <cell r="A2289">
            <v>34977</v>
          </cell>
          <cell r="B2289">
            <v>1449.25</v>
          </cell>
          <cell r="C2289">
            <v>1428.26</v>
          </cell>
          <cell r="D2289">
            <v>136.18</v>
          </cell>
          <cell r="E2289">
            <v>133.02000000000001</v>
          </cell>
          <cell r="F2289">
            <v>144.38999999999999</v>
          </cell>
          <cell r="G2289">
            <v>139.06</v>
          </cell>
          <cell r="H2289">
            <v>1736.31</v>
          </cell>
          <cell r="I2289">
            <v>159.80000000000001</v>
          </cell>
        </row>
        <row r="2290">
          <cell r="A2290">
            <v>34978</v>
          </cell>
          <cell r="B2290">
            <v>1441.64</v>
          </cell>
          <cell r="C2290">
            <v>1417.28</v>
          </cell>
          <cell r="D2290">
            <v>135.65</v>
          </cell>
          <cell r="E2290">
            <v>132.11000000000001</v>
          </cell>
          <cell r="F2290">
            <v>143.75</v>
          </cell>
          <cell r="G2290">
            <v>138.87</v>
          </cell>
          <cell r="H2290">
            <v>1737.64</v>
          </cell>
          <cell r="I2290">
            <v>160.32</v>
          </cell>
        </row>
        <row r="2291">
          <cell r="A2291">
            <v>34981</v>
          </cell>
          <cell r="B2291">
            <v>1433.69</v>
          </cell>
          <cell r="C2291">
            <v>1409.74</v>
          </cell>
          <cell r="D2291">
            <v>134.88999999999999</v>
          </cell>
          <cell r="E2291">
            <v>131.37</v>
          </cell>
          <cell r="F2291">
            <v>143.13999999999999</v>
          </cell>
          <cell r="G2291">
            <v>138.08000000000001</v>
          </cell>
          <cell r="H2291">
            <v>1721.14</v>
          </cell>
          <cell r="I2291">
            <v>158.69</v>
          </cell>
        </row>
        <row r="2292">
          <cell r="A2292">
            <v>34982</v>
          </cell>
          <cell r="B2292">
            <v>1415.68</v>
          </cell>
          <cell r="C2292">
            <v>1395.99</v>
          </cell>
          <cell r="D2292">
            <v>133.21</v>
          </cell>
          <cell r="E2292">
            <v>130.1</v>
          </cell>
          <cell r="F2292">
            <v>141.71</v>
          </cell>
          <cell r="G2292">
            <v>136.03</v>
          </cell>
          <cell r="H2292">
            <v>1686.69</v>
          </cell>
          <cell r="I2292">
            <v>155.15</v>
          </cell>
        </row>
        <row r="2293">
          <cell r="A2293">
            <v>34983</v>
          </cell>
          <cell r="B2293">
            <v>1423.74</v>
          </cell>
          <cell r="C2293">
            <v>1403.18</v>
          </cell>
          <cell r="D2293">
            <v>133.94999999999999</v>
          </cell>
          <cell r="E2293">
            <v>130.81</v>
          </cell>
          <cell r="F2293">
            <v>142.62</v>
          </cell>
          <cell r="G2293">
            <v>136.81</v>
          </cell>
          <cell r="H2293">
            <v>1721.6</v>
          </cell>
          <cell r="I2293">
            <v>158.32</v>
          </cell>
        </row>
        <row r="2294">
          <cell r="A2294">
            <v>34984</v>
          </cell>
          <cell r="B2294">
            <v>1432.78</v>
          </cell>
          <cell r="C2294">
            <v>1408.5</v>
          </cell>
          <cell r="D2294">
            <v>134.72</v>
          </cell>
          <cell r="E2294">
            <v>131.21</v>
          </cell>
          <cell r="F2294">
            <v>143.15</v>
          </cell>
          <cell r="G2294">
            <v>137.9</v>
          </cell>
          <cell r="H2294">
            <v>1742.58</v>
          </cell>
          <cell r="I2294">
            <v>159.94</v>
          </cell>
        </row>
        <row r="2295">
          <cell r="A2295">
            <v>34985</v>
          </cell>
          <cell r="B2295">
            <v>1445.93</v>
          </cell>
          <cell r="C2295">
            <v>1418.95</v>
          </cell>
          <cell r="D2295">
            <v>135.82</v>
          </cell>
          <cell r="E2295">
            <v>132.15</v>
          </cell>
          <cell r="F2295">
            <v>144.09</v>
          </cell>
          <cell r="G2295">
            <v>139.16</v>
          </cell>
          <cell r="H2295">
            <v>1760.78</v>
          </cell>
          <cell r="I2295">
            <v>161.44</v>
          </cell>
        </row>
        <row r="2296">
          <cell r="A2296">
            <v>34988</v>
          </cell>
          <cell r="B2296">
            <v>1441.14</v>
          </cell>
          <cell r="C2296">
            <v>1413.06</v>
          </cell>
          <cell r="D2296">
            <v>135.35</v>
          </cell>
          <cell r="E2296">
            <v>131.44</v>
          </cell>
          <cell r="F2296">
            <v>143.63</v>
          </cell>
          <cell r="G2296">
            <v>138.9</v>
          </cell>
          <cell r="H2296">
            <v>1755.91</v>
          </cell>
          <cell r="I2296">
            <v>161.21</v>
          </cell>
        </row>
        <row r="2297">
          <cell r="A2297">
            <v>34989</v>
          </cell>
          <cell r="B2297">
            <v>1442.24</v>
          </cell>
          <cell r="C2297">
            <v>1412.95</v>
          </cell>
          <cell r="D2297">
            <v>135.30000000000001</v>
          </cell>
          <cell r="E2297">
            <v>131.24</v>
          </cell>
          <cell r="F2297">
            <v>143.54</v>
          </cell>
          <cell r="G2297">
            <v>138.97999999999999</v>
          </cell>
          <cell r="H2297">
            <v>1750.45</v>
          </cell>
          <cell r="I2297">
            <v>160.74</v>
          </cell>
        </row>
        <row r="2298">
          <cell r="A2298">
            <v>34990</v>
          </cell>
          <cell r="B2298">
            <v>1448.91</v>
          </cell>
          <cell r="C2298">
            <v>1412.09</v>
          </cell>
          <cell r="D2298">
            <v>135.76</v>
          </cell>
          <cell r="E2298">
            <v>131.04</v>
          </cell>
          <cell r="F2298">
            <v>143.74</v>
          </cell>
          <cell r="G2298">
            <v>140.05000000000001</v>
          </cell>
          <cell r="H2298">
            <v>1778.12</v>
          </cell>
          <cell r="I2298">
            <v>163.4</v>
          </cell>
        </row>
        <row r="2299">
          <cell r="A2299">
            <v>34991</v>
          </cell>
          <cell r="B2299">
            <v>1441.4</v>
          </cell>
          <cell r="C2299">
            <v>1405.78</v>
          </cell>
          <cell r="D2299">
            <v>135.12</v>
          </cell>
          <cell r="E2299">
            <v>130.54</v>
          </cell>
          <cell r="F2299">
            <v>143.16</v>
          </cell>
          <cell r="G2299">
            <v>139.27000000000001</v>
          </cell>
          <cell r="H2299">
            <v>1758.48</v>
          </cell>
          <cell r="I2299">
            <v>161.22999999999999</v>
          </cell>
        </row>
        <row r="2300">
          <cell r="A2300">
            <v>34992</v>
          </cell>
          <cell r="B2300">
            <v>1428.46</v>
          </cell>
          <cell r="C2300">
            <v>1394.95</v>
          </cell>
          <cell r="D2300">
            <v>133.84</v>
          </cell>
          <cell r="E2300">
            <v>129.43</v>
          </cell>
          <cell r="F2300">
            <v>142.18</v>
          </cell>
          <cell r="G2300">
            <v>137.85</v>
          </cell>
          <cell r="H2300">
            <v>1746.23</v>
          </cell>
          <cell r="I2300">
            <v>159.91999999999999</v>
          </cell>
        </row>
        <row r="2301">
          <cell r="A2301">
            <v>34995</v>
          </cell>
          <cell r="B2301">
            <v>1412.08</v>
          </cell>
          <cell r="C2301">
            <v>1370.71</v>
          </cell>
          <cell r="D2301">
            <v>132.12</v>
          </cell>
          <cell r="E2301">
            <v>127.24</v>
          </cell>
          <cell r="F2301">
            <v>139.84</v>
          </cell>
          <cell r="G2301">
            <v>136.55000000000001</v>
          </cell>
          <cell r="H2301">
            <v>1708.19</v>
          </cell>
          <cell r="I2301">
            <v>156.82</v>
          </cell>
        </row>
        <row r="2302">
          <cell r="A2302">
            <v>34996</v>
          </cell>
          <cell r="B2302">
            <v>1418.23</v>
          </cell>
          <cell r="C2302">
            <v>1376.41</v>
          </cell>
          <cell r="D2302">
            <v>132.59</v>
          </cell>
          <cell r="E2302">
            <v>127.69</v>
          </cell>
          <cell r="F2302">
            <v>140.36000000000001</v>
          </cell>
          <cell r="G2302">
            <v>137.03</v>
          </cell>
          <cell r="H2302">
            <v>1725.11</v>
          </cell>
          <cell r="I2302">
            <v>157.96</v>
          </cell>
        </row>
        <row r="2303">
          <cell r="A2303">
            <v>34997</v>
          </cell>
          <cell r="B2303">
            <v>1426.42</v>
          </cell>
          <cell r="C2303">
            <v>1393.82</v>
          </cell>
          <cell r="D2303">
            <v>133.51</v>
          </cell>
          <cell r="E2303">
            <v>129.38</v>
          </cell>
          <cell r="F2303">
            <v>141.87</v>
          </cell>
          <cell r="G2303">
            <v>137.26</v>
          </cell>
          <cell r="H2303">
            <v>1725.9</v>
          </cell>
          <cell r="I2303">
            <v>157.77000000000001</v>
          </cell>
        </row>
        <row r="2304">
          <cell r="A2304">
            <v>34998</v>
          </cell>
          <cell r="B2304">
            <v>1419.17</v>
          </cell>
          <cell r="C2304">
            <v>1385.92</v>
          </cell>
          <cell r="D2304">
            <v>132.94</v>
          </cell>
          <cell r="E2304">
            <v>128.82</v>
          </cell>
          <cell r="F2304">
            <v>141.16</v>
          </cell>
          <cell r="G2304">
            <v>136.68</v>
          </cell>
          <cell r="H2304">
            <v>1699.05</v>
          </cell>
          <cell r="I2304">
            <v>155.19999999999999</v>
          </cell>
        </row>
        <row r="2305">
          <cell r="A2305">
            <v>34999</v>
          </cell>
          <cell r="B2305">
            <v>1402.1</v>
          </cell>
          <cell r="C2305">
            <v>1367.15</v>
          </cell>
          <cell r="D2305">
            <v>131.78</v>
          </cell>
          <cell r="E2305">
            <v>127.5</v>
          </cell>
          <cell r="F2305">
            <v>139.6</v>
          </cell>
          <cell r="G2305">
            <v>135.66999999999999</v>
          </cell>
          <cell r="H2305">
            <v>1685.79</v>
          </cell>
          <cell r="I2305">
            <v>154.19</v>
          </cell>
        </row>
        <row r="2306">
          <cell r="A2306">
            <v>35002</v>
          </cell>
          <cell r="B2306">
            <v>1420.57</v>
          </cell>
          <cell r="C2306">
            <v>1391.12</v>
          </cell>
          <cell r="D2306">
            <v>133.41</v>
          </cell>
          <cell r="E2306">
            <v>129.68</v>
          </cell>
          <cell r="F2306">
            <v>141.9</v>
          </cell>
          <cell r="G2306">
            <v>136.79</v>
          </cell>
          <cell r="H2306">
            <v>1724.9</v>
          </cell>
          <cell r="I2306">
            <v>157.41999999999999</v>
          </cell>
        </row>
        <row r="2307">
          <cell r="A2307">
            <v>35003</v>
          </cell>
          <cell r="B2307">
            <v>1435.2</v>
          </cell>
          <cell r="C2307">
            <v>1407.17</v>
          </cell>
          <cell r="D2307">
            <v>134.51</v>
          </cell>
          <cell r="E2307">
            <v>130.88999999999999</v>
          </cell>
          <cell r="F2307">
            <v>143.15</v>
          </cell>
          <cell r="G2307">
            <v>137.80000000000001</v>
          </cell>
          <cell r="H2307">
            <v>1715.76</v>
          </cell>
          <cell r="I2307">
            <v>156.5</v>
          </cell>
        </row>
        <row r="2308">
          <cell r="A2308">
            <v>35004</v>
          </cell>
          <cell r="B2308">
            <v>1438.21</v>
          </cell>
          <cell r="C2308">
            <v>1406.86</v>
          </cell>
          <cell r="D2308">
            <v>134.63999999999999</v>
          </cell>
          <cell r="E2308">
            <v>130.86000000000001</v>
          </cell>
          <cell r="F2308">
            <v>143.22999999999999</v>
          </cell>
          <cell r="G2308">
            <v>138.08000000000001</v>
          </cell>
          <cell r="H2308">
            <v>1710.01</v>
          </cell>
          <cell r="I2308">
            <v>156.05000000000001</v>
          </cell>
        </row>
        <row r="2309">
          <cell r="A2309">
            <v>35005</v>
          </cell>
          <cell r="B2309">
            <v>1445.33</v>
          </cell>
          <cell r="C2309">
            <v>1414.24</v>
          </cell>
          <cell r="D2309">
            <v>135.43</v>
          </cell>
          <cell r="E2309">
            <v>131.85</v>
          </cell>
          <cell r="F2309">
            <v>144.02000000000001</v>
          </cell>
          <cell r="G2309">
            <v>138.66999999999999</v>
          </cell>
          <cell r="H2309">
            <v>1708.97</v>
          </cell>
          <cell r="I2309">
            <v>155.94</v>
          </cell>
        </row>
        <row r="2310">
          <cell r="A2310">
            <v>35006</v>
          </cell>
          <cell r="B2310">
            <v>1445.29</v>
          </cell>
          <cell r="C2310">
            <v>1420.17</v>
          </cell>
          <cell r="D2310">
            <v>135.44</v>
          </cell>
          <cell r="E2310">
            <v>132.22999999999999</v>
          </cell>
          <cell r="F2310">
            <v>144.68</v>
          </cell>
          <cell r="G2310">
            <v>138.35</v>
          </cell>
          <cell r="H2310">
            <v>1735.46</v>
          </cell>
          <cell r="I2310">
            <v>158.03</v>
          </cell>
        </row>
        <row r="2311">
          <cell r="A2311">
            <v>35009</v>
          </cell>
          <cell r="B2311">
            <v>1440.47</v>
          </cell>
          <cell r="C2311">
            <v>1410.78</v>
          </cell>
          <cell r="D2311">
            <v>134.88</v>
          </cell>
          <cell r="E2311">
            <v>131.35</v>
          </cell>
          <cell r="F2311">
            <v>143.61000000000001</v>
          </cell>
          <cell r="G2311">
            <v>138.08000000000001</v>
          </cell>
          <cell r="H2311">
            <v>1711.89</v>
          </cell>
          <cell r="I2311">
            <v>156.13999999999999</v>
          </cell>
        </row>
        <row r="2312">
          <cell r="A2312">
            <v>35010</v>
          </cell>
          <cell r="B2312">
            <v>1445.87</v>
          </cell>
          <cell r="C2312">
            <v>1416.33</v>
          </cell>
          <cell r="D2312">
            <v>135.30000000000001</v>
          </cell>
          <cell r="E2312">
            <v>131.88</v>
          </cell>
          <cell r="F2312">
            <v>144.16</v>
          </cell>
          <cell r="G2312">
            <v>138.4</v>
          </cell>
          <cell r="H2312">
            <v>1718.42</v>
          </cell>
          <cell r="I2312">
            <v>156.58000000000001</v>
          </cell>
        </row>
        <row r="2313">
          <cell r="A2313">
            <v>35011</v>
          </cell>
          <cell r="B2313">
            <v>1447.44</v>
          </cell>
          <cell r="C2313">
            <v>1415.68</v>
          </cell>
          <cell r="D2313">
            <v>135.57</v>
          </cell>
          <cell r="E2313">
            <v>132.13999999999999</v>
          </cell>
          <cell r="F2313">
            <v>144.21</v>
          </cell>
          <cell r="G2313">
            <v>138.69</v>
          </cell>
          <cell r="H2313">
            <v>1709.36</v>
          </cell>
          <cell r="I2313">
            <v>155.68</v>
          </cell>
        </row>
        <row r="2314">
          <cell r="A2314">
            <v>35012</v>
          </cell>
          <cell r="B2314">
            <v>1455.6</v>
          </cell>
          <cell r="C2314">
            <v>1424.28</v>
          </cell>
          <cell r="D2314">
            <v>135.97</v>
          </cell>
          <cell r="E2314">
            <v>132.63</v>
          </cell>
          <cell r="F2314">
            <v>144.91999999999999</v>
          </cell>
          <cell r="G2314">
            <v>139.01</v>
          </cell>
          <cell r="H2314">
            <v>1718.57</v>
          </cell>
          <cell r="I2314">
            <v>156.44999999999999</v>
          </cell>
        </row>
        <row r="2315">
          <cell r="A2315">
            <v>35013</v>
          </cell>
          <cell r="B2315">
            <v>1447.02</v>
          </cell>
          <cell r="C2315">
            <v>1417.32</v>
          </cell>
          <cell r="D2315">
            <v>135.16999999999999</v>
          </cell>
          <cell r="E2315">
            <v>131.97</v>
          </cell>
          <cell r="F2315">
            <v>144.29</v>
          </cell>
          <cell r="G2315">
            <v>138.07</v>
          </cell>
          <cell r="H2315">
            <v>1712.66</v>
          </cell>
          <cell r="I2315">
            <v>156.19</v>
          </cell>
        </row>
        <row r="2316">
          <cell r="A2316">
            <v>35016</v>
          </cell>
          <cell r="B2316">
            <v>1444.25</v>
          </cell>
          <cell r="C2316">
            <v>1416.54</v>
          </cell>
          <cell r="D2316">
            <v>134.69999999999999</v>
          </cell>
          <cell r="E2316">
            <v>131.72</v>
          </cell>
          <cell r="F2316">
            <v>143.86000000000001</v>
          </cell>
          <cell r="G2316">
            <v>137.38999999999999</v>
          </cell>
          <cell r="H2316">
            <v>1707.67</v>
          </cell>
          <cell r="I2316">
            <v>155.75</v>
          </cell>
        </row>
        <row r="2317">
          <cell r="A2317">
            <v>35017</v>
          </cell>
          <cell r="B2317">
            <v>1448.99</v>
          </cell>
          <cell r="C2317">
            <v>1421.71</v>
          </cell>
          <cell r="D2317">
            <v>134.94</v>
          </cell>
          <cell r="E2317">
            <v>132.02000000000001</v>
          </cell>
          <cell r="F2317">
            <v>144.05000000000001</v>
          </cell>
          <cell r="G2317">
            <v>137.59</v>
          </cell>
          <cell r="H2317">
            <v>1693.57</v>
          </cell>
          <cell r="I2317">
            <v>154.36000000000001</v>
          </cell>
        </row>
        <row r="2318">
          <cell r="A2318">
            <v>35018</v>
          </cell>
          <cell r="B2318">
            <v>1451.27</v>
          </cell>
          <cell r="C2318">
            <v>1426.58</v>
          </cell>
          <cell r="D2318">
            <v>135.19999999999999</v>
          </cell>
          <cell r="E2318">
            <v>132.49</v>
          </cell>
          <cell r="F2318">
            <v>144.4</v>
          </cell>
          <cell r="G2318">
            <v>137.66</v>
          </cell>
          <cell r="H2318">
            <v>1702.58</v>
          </cell>
          <cell r="I2318">
            <v>155.16</v>
          </cell>
        </row>
        <row r="2319">
          <cell r="A2319">
            <v>35019</v>
          </cell>
          <cell r="B2319">
            <v>1464.03</v>
          </cell>
          <cell r="C2319">
            <v>1439.55</v>
          </cell>
          <cell r="D2319">
            <v>136.32</v>
          </cell>
          <cell r="E2319">
            <v>133.69</v>
          </cell>
          <cell r="F2319">
            <v>145.47999999999999</v>
          </cell>
          <cell r="G2319">
            <v>138.71</v>
          </cell>
          <cell r="H2319">
            <v>1703.15</v>
          </cell>
          <cell r="I2319">
            <v>154.69999999999999</v>
          </cell>
        </row>
        <row r="2320">
          <cell r="A2320">
            <v>35020</v>
          </cell>
          <cell r="B2320">
            <v>1462.93</v>
          </cell>
          <cell r="C2320">
            <v>1440.88</v>
          </cell>
          <cell r="D2320">
            <v>136.13999999999999</v>
          </cell>
          <cell r="E2320">
            <v>133.76</v>
          </cell>
          <cell r="F2320">
            <v>145.78</v>
          </cell>
          <cell r="G2320">
            <v>138.30000000000001</v>
          </cell>
          <cell r="H2320">
            <v>1721.36</v>
          </cell>
          <cell r="I2320">
            <v>155.91999999999999</v>
          </cell>
        </row>
        <row r="2321">
          <cell r="A2321">
            <v>35023</v>
          </cell>
          <cell r="B2321">
            <v>1474.15</v>
          </cell>
          <cell r="C2321">
            <v>1449.35</v>
          </cell>
          <cell r="D2321">
            <v>136.93</v>
          </cell>
          <cell r="E2321">
            <v>134.24</v>
          </cell>
          <cell r="F2321">
            <v>146.47</v>
          </cell>
          <cell r="G2321">
            <v>139.37</v>
          </cell>
          <cell r="H2321">
            <v>1743.47</v>
          </cell>
          <cell r="I2321">
            <v>157.44</v>
          </cell>
        </row>
        <row r="2322">
          <cell r="A2322">
            <v>35024</v>
          </cell>
          <cell r="B2322">
            <v>1472.19</v>
          </cell>
          <cell r="C2322">
            <v>1442.92</v>
          </cell>
          <cell r="D2322">
            <v>136.56</v>
          </cell>
          <cell r="E2322">
            <v>133.52000000000001</v>
          </cell>
          <cell r="F2322">
            <v>146</v>
          </cell>
          <cell r="G2322">
            <v>139.32</v>
          </cell>
          <cell r="H2322">
            <v>1751.65</v>
          </cell>
          <cell r="I2322">
            <v>157.88</v>
          </cell>
        </row>
        <row r="2323">
          <cell r="A2323">
            <v>35025</v>
          </cell>
          <cell r="B2323">
            <v>1477.57</v>
          </cell>
          <cell r="C2323">
            <v>1444.01</v>
          </cell>
          <cell r="D2323">
            <v>137.19999999999999</v>
          </cell>
          <cell r="E2323">
            <v>133.55000000000001</v>
          </cell>
          <cell r="F2323">
            <v>146.18</v>
          </cell>
          <cell r="G2323">
            <v>140.52000000000001</v>
          </cell>
          <cell r="H2323">
            <v>1750.32</v>
          </cell>
          <cell r="I2323">
            <v>157.47999999999999</v>
          </cell>
        </row>
        <row r="2324">
          <cell r="A2324">
            <v>35026</v>
          </cell>
          <cell r="B2324">
            <v>1471.75</v>
          </cell>
          <cell r="C2324">
            <v>1440.97</v>
          </cell>
          <cell r="D2324">
            <v>136.83000000000001</v>
          </cell>
          <cell r="E2324">
            <v>133.38999999999999</v>
          </cell>
          <cell r="F2324">
            <v>146.12</v>
          </cell>
          <cell r="G2324">
            <v>139.96</v>
          </cell>
          <cell r="H2324">
            <v>1751.98</v>
          </cell>
          <cell r="I2324">
            <v>157.66999999999999</v>
          </cell>
        </row>
        <row r="2325">
          <cell r="A2325">
            <v>35027</v>
          </cell>
          <cell r="B2325">
            <v>1479.25</v>
          </cell>
          <cell r="C2325">
            <v>1448.04</v>
          </cell>
          <cell r="D2325">
            <v>137.38999999999999</v>
          </cell>
          <cell r="E2325">
            <v>133.93</v>
          </cell>
          <cell r="F2325">
            <v>146.65</v>
          </cell>
          <cell r="G2325">
            <v>140.53</v>
          </cell>
          <cell r="H2325">
            <v>1765.14</v>
          </cell>
          <cell r="I2325">
            <v>158.72999999999999</v>
          </cell>
        </row>
        <row r="2326">
          <cell r="A2326">
            <v>35030</v>
          </cell>
          <cell r="B2326">
            <v>1491.4</v>
          </cell>
          <cell r="C2326">
            <v>1459.12</v>
          </cell>
          <cell r="D2326">
            <v>138.13</v>
          </cell>
          <cell r="E2326">
            <v>134.52000000000001</v>
          </cell>
          <cell r="F2326">
            <v>147.26</v>
          </cell>
          <cell r="G2326">
            <v>141.4</v>
          </cell>
          <cell r="H2326">
            <v>1779.66</v>
          </cell>
          <cell r="I2326">
            <v>159.27000000000001</v>
          </cell>
        </row>
        <row r="2327">
          <cell r="A2327">
            <v>35031</v>
          </cell>
          <cell r="B2327">
            <v>1483.69</v>
          </cell>
          <cell r="C2327">
            <v>1455.17</v>
          </cell>
          <cell r="D2327">
            <v>137.37</v>
          </cell>
          <cell r="E2327">
            <v>134.13999999999999</v>
          </cell>
          <cell r="F2327">
            <v>146.68</v>
          </cell>
          <cell r="G2327">
            <v>140.31</v>
          </cell>
          <cell r="H2327">
            <v>1768.84</v>
          </cell>
          <cell r="I2327">
            <v>158.55000000000001</v>
          </cell>
        </row>
        <row r="2328">
          <cell r="A2328">
            <v>35032</v>
          </cell>
          <cell r="B2328">
            <v>1485.01</v>
          </cell>
          <cell r="C2328">
            <v>1459.1</v>
          </cell>
          <cell r="D2328">
            <v>137.58000000000001</v>
          </cell>
          <cell r="E2328">
            <v>134.34</v>
          </cell>
          <cell r="F2328">
            <v>147.01</v>
          </cell>
          <cell r="G2328">
            <v>140.52000000000001</v>
          </cell>
          <cell r="H2328">
            <v>1794.18</v>
          </cell>
          <cell r="I2328">
            <v>160.72999999999999</v>
          </cell>
        </row>
        <row r="2329">
          <cell r="A2329">
            <v>35033</v>
          </cell>
          <cell r="B2329">
            <v>1488.64</v>
          </cell>
          <cell r="C2329">
            <v>1455.1</v>
          </cell>
          <cell r="D2329">
            <v>137.85</v>
          </cell>
          <cell r="E2329">
            <v>133.94</v>
          </cell>
          <cell r="F2329">
            <v>146.80000000000001</v>
          </cell>
          <cell r="G2329">
            <v>141.41</v>
          </cell>
          <cell r="H2329">
            <v>1795.62</v>
          </cell>
          <cell r="I2329">
            <v>161.07</v>
          </cell>
        </row>
        <row r="2330">
          <cell r="A2330">
            <v>35034</v>
          </cell>
          <cell r="B2330">
            <v>1493.84</v>
          </cell>
          <cell r="C2330">
            <v>1461.04</v>
          </cell>
          <cell r="D2330">
            <v>138.29</v>
          </cell>
          <cell r="E2330">
            <v>134.41999999999999</v>
          </cell>
          <cell r="F2330">
            <v>147.37</v>
          </cell>
          <cell r="G2330">
            <v>141.82</v>
          </cell>
          <cell r="H2330">
            <v>1809.61</v>
          </cell>
          <cell r="I2330">
            <v>162.02000000000001</v>
          </cell>
        </row>
        <row r="2331">
          <cell r="A2331">
            <v>35037</v>
          </cell>
          <cell r="B2331">
            <v>1488.14</v>
          </cell>
          <cell r="C2331">
            <v>1450.38</v>
          </cell>
          <cell r="D2331">
            <v>137.65</v>
          </cell>
          <cell r="E2331">
            <v>133.32</v>
          </cell>
          <cell r="F2331">
            <v>146.6</v>
          </cell>
          <cell r="G2331">
            <v>141.58000000000001</v>
          </cell>
          <cell r="H2331">
            <v>1785.81</v>
          </cell>
          <cell r="I2331">
            <v>159.52000000000001</v>
          </cell>
        </row>
        <row r="2332">
          <cell r="A2332">
            <v>35038</v>
          </cell>
          <cell r="B2332">
            <v>1494.31</v>
          </cell>
          <cell r="C2332">
            <v>1461.55</v>
          </cell>
          <cell r="D2332">
            <v>138.18</v>
          </cell>
          <cell r="E2332">
            <v>134.34</v>
          </cell>
          <cell r="F2332">
            <v>147.35</v>
          </cell>
          <cell r="G2332">
            <v>141.66999999999999</v>
          </cell>
          <cell r="H2332">
            <v>1781.2</v>
          </cell>
          <cell r="I2332">
            <v>159.24</v>
          </cell>
        </row>
        <row r="2333">
          <cell r="A2333">
            <v>35039</v>
          </cell>
          <cell r="B2333">
            <v>1501.15</v>
          </cell>
          <cell r="C2333">
            <v>1467.33</v>
          </cell>
          <cell r="D2333">
            <v>138.72</v>
          </cell>
          <cell r="E2333">
            <v>134.88</v>
          </cell>
          <cell r="F2333">
            <v>147.97</v>
          </cell>
          <cell r="G2333">
            <v>142.19999999999999</v>
          </cell>
          <cell r="H2333">
            <v>1786.19</v>
          </cell>
          <cell r="I2333">
            <v>160.02000000000001</v>
          </cell>
        </row>
        <row r="2334">
          <cell r="A2334">
            <v>35040</v>
          </cell>
          <cell r="B2334">
            <v>1493.46</v>
          </cell>
          <cell r="C2334">
            <v>1467.5</v>
          </cell>
          <cell r="D2334">
            <v>138.16999999999999</v>
          </cell>
          <cell r="E2334">
            <v>135.16</v>
          </cell>
          <cell r="F2334">
            <v>147.79</v>
          </cell>
          <cell r="G2334">
            <v>140.88999999999999</v>
          </cell>
          <cell r="H2334">
            <v>1767.69</v>
          </cell>
          <cell r="I2334">
            <v>158.94</v>
          </cell>
        </row>
        <row r="2335">
          <cell r="A2335">
            <v>35041</v>
          </cell>
          <cell r="B2335">
            <v>1496.02</v>
          </cell>
          <cell r="C2335">
            <v>1474.15</v>
          </cell>
          <cell r="D2335">
            <v>138.33000000000001</v>
          </cell>
          <cell r="E2335">
            <v>135.65</v>
          </cell>
          <cell r="F2335">
            <v>148.22</v>
          </cell>
          <cell r="G2335">
            <v>140.76</v>
          </cell>
          <cell r="H2335">
            <v>1756.85</v>
          </cell>
          <cell r="I2335">
            <v>157.72999999999999</v>
          </cell>
        </row>
        <row r="2336">
          <cell r="A2336">
            <v>35044</v>
          </cell>
          <cell r="B2336">
            <v>1503.62</v>
          </cell>
          <cell r="C2336">
            <v>1481.72</v>
          </cell>
          <cell r="D2336">
            <v>138.85</v>
          </cell>
          <cell r="E2336">
            <v>136.16</v>
          </cell>
          <cell r="F2336">
            <v>148.59</v>
          </cell>
          <cell r="G2336">
            <v>141.29</v>
          </cell>
          <cell r="H2336">
            <v>1745.92</v>
          </cell>
          <cell r="I2336">
            <v>157.01</v>
          </cell>
        </row>
        <row r="2337">
          <cell r="A2337">
            <v>35045</v>
          </cell>
          <cell r="B2337">
            <v>1512.43</v>
          </cell>
          <cell r="C2337">
            <v>1493.92</v>
          </cell>
          <cell r="D2337">
            <v>139.61000000000001</v>
          </cell>
          <cell r="E2337">
            <v>137.1</v>
          </cell>
          <cell r="F2337">
            <v>149.52000000000001</v>
          </cell>
          <cell r="G2337">
            <v>141.87</v>
          </cell>
          <cell r="H2337">
            <v>1757.85</v>
          </cell>
          <cell r="I2337">
            <v>157.72999999999999</v>
          </cell>
        </row>
        <row r="2338">
          <cell r="A2338">
            <v>35046</v>
          </cell>
          <cell r="B2338">
            <v>1513.13</v>
          </cell>
          <cell r="C2338">
            <v>1487.9</v>
          </cell>
          <cell r="D2338">
            <v>139.4</v>
          </cell>
          <cell r="E2338">
            <v>136.31</v>
          </cell>
          <cell r="F2338">
            <v>148.86000000000001</v>
          </cell>
          <cell r="G2338">
            <v>142.19</v>
          </cell>
          <cell r="H2338">
            <v>1752.41</v>
          </cell>
          <cell r="I2338">
            <v>156.91999999999999</v>
          </cell>
        </row>
        <row r="2339">
          <cell r="A2339">
            <v>35047</v>
          </cell>
          <cell r="B2339">
            <v>1520.82</v>
          </cell>
          <cell r="C2339">
            <v>1501.94</v>
          </cell>
          <cell r="D2339">
            <v>140.12</v>
          </cell>
          <cell r="E2339">
            <v>137.63</v>
          </cell>
          <cell r="F2339">
            <v>150.03</v>
          </cell>
          <cell r="G2339">
            <v>142.37</v>
          </cell>
          <cell r="H2339">
            <v>1742.34</v>
          </cell>
          <cell r="I2339">
            <v>155.75</v>
          </cell>
        </row>
        <row r="2340">
          <cell r="A2340">
            <v>35048</v>
          </cell>
          <cell r="B2340">
            <v>1512.19</v>
          </cell>
          <cell r="C2340">
            <v>1491.1</v>
          </cell>
          <cell r="D2340">
            <v>139.36000000000001</v>
          </cell>
          <cell r="E2340">
            <v>136.84</v>
          </cell>
          <cell r="F2340">
            <v>149.46</v>
          </cell>
          <cell r="G2340">
            <v>141.65</v>
          </cell>
          <cell r="H2340">
            <v>1710.54</v>
          </cell>
          <cell r="I2340">
            <v>152.63999999999999</v>
          </cell>
        </row>
        <row r="2341">
          <cell r="A2341">
            <v>35051</v>
          </cell>
          <cell r="B2341">
            <v>1499.52</v>
          </cell>
          <cell r="C2341">
            <v>1481.58</v>
          </cell>
          <cell r="D2341">
            <v>137.99</v>
          </cell>
          <cell r="E2341">
            <v>135.79</v>
          </cell>
          <cell r="F2341">
            <v>148.38</v>
          </cell>
          <cell r="G2341">
            <v>139.97</v>
          </cell>
          <cell r="H2341">
            <v>1691.66</v>
          </cell>
          <cell r="I2341">
            <v>150.94</v>
          </cell>
        </row>
        <row r="2342">
          <cell r="A2342">
            <v>35052</v>
          </cell>
          <cell r="B2342">
            <v>1490.85</v>
          </cell>
          <cell r="C2342">
            <v>1469.93</v>
          </cell>
          <cell r="D2342">
            <v>137.34</v>
          </cell>
          <cell r="E2342">
            <v>134.77000000000001</v>
          </cell>
          <cell r="F2342">
            <v>147</v>
          </cell>
          <cell r="G2342">
            <v>139.66</v>
          </cell>
          <cell r="H2342">
            <v>1655.85</v>
          </cell>
          <cell r="I2342">
            <v>148.03</v>
          </cell>
        </row>
        <row r="2343">
          <cell r="A2343">
            <v>35053</v>
          </cell>
          <cell r="B2343">
            <v>1504.14</v>
          </cell>
          <cell r="C2343">
            <v>1484.09</v>
          </cell>
          <cell r="D2343">
            <v>138.31</v>
          </cell>
          <cell r="E2343">
            <v>135.86000000000001</v>
          </cell>
          <cell r="F2343">
            <v>148.24</v>
          </cell>
          <cell r="G2343">
            <v>140.51</v>
          </cell>
          <cell r="H2343">
            <v>1674.63</v>
          </cell>
          <cell r="I2343">
            <v>149.49</v>
          </cell>
        </row>
        <row r="2344">
          <cell r="A2344">
            <v>35054</v>
          </cell>
          <cell r="B2344">
            <v>1512.34</v>
          </cell>
          <cell r="C2344">
            <v>1490.43</v>
          </cell>
          <cell r="D2344">
            <v>138.99</v>
          </cell>
          <cell r="E2344">
            <v>136.47</v>
          </cell>
          <cell r="F2344">
            <v>148.82</v>
          </cell>
          <cell r="G2344">
            <v>141.27000000000001</v>
          </cell>
          <cell r="H2344">
            <v>1692.99</v>
          </cell>
          <cell r="I2344">
            <v>151.47999999999999</v>
          </cell>
        </row>
        <row r="2345">
          <cell r="A2345">
            <v>35055</v>
          </cell>
          <cell r="B2345">
            <v>1526.05</v>
          </cell>
          <cell r="C2345">
            <v>1507.08</v>
          </cell>
          <cell r="D2345">
            <v>140.35</v>
          </cell>
          <cell r="E2345">
            <v>138.02000000000001</v>
          </cell>
          <cell r="F2345">
            <v>150.4</v>
          </cell>
          <cell r="G2345">
            <v>142.44999999999999</v>
          </cell>
          <cell r="H2345">
            <v>1720.28</v>
          </cell>
          <cell r="I2345">
            <v>153.58000000000001</v>
          </cell>
        </row>
        <row r="2346">
          <cell r="A2346">
            <v>35058</v>
          </cell>
          <cell r="B2346">
            <v>1527.79</v>
          </cell>
          <cell r="C2346">
            <v>1508.48</v>
          </cell>
          <cell r="D2346">
            <v>140.54</v>
          </cell>
          <cell r="E2346">
            <v>138.16</v>
          </cell>
          <cell r="F2346">
            <v>150.58000000000001</v>
          </cell>
          <cell r="G2346">
            <v>142.68</v>
          </cell>
          <cell r="H2346">
            <v>1724.05</v>
          </cell>
          <cell r="I2346">
            <v>153.97</v>
          </cell>
        </row>
        <row r="2347">
          <cell r="A2347">
            <v>35059</v>
          </cell>
          <cell r="B2347">
            <v>1534.93</v>
          </cell>
          <cell r="C2347">
            <v>1509.91</v>
          </cell>
          <cell r="D2347">
            <v>141.19999999999999</v>
          </cell>
          <cell r="E2347">
            <v>138.29</v>
          </cell>
          <cell r="F2347">
            <v>150.78</v>
          </cell>
          <cell r="G2347">
            <v>143.84</v>
          </cell>
          <cell r="H2347">
            <v>1728.71</v>
          </cell>
          <cell r="I2347">
            <v>154.33000000000001</v>
          </cell>
        </row>
        <row r="2348">
          <cell r="A2348">
            <v>35060</v>
          </cell>
          <cell r="B2348">
            <v>1536.3</v>
          </cell>
          <cell r="C2348">
            <v>1508.09</v>
          </cell>
          <cell r="D2348">
            <v>141.4</v>
          </cell>
          <cell r="E2348">
            <v>138.33000000000001</v>
          </cell>
          <cell r="F2348">
            <v>151.07</v>
          </cell>
          <cell r="G2348">
            <v>144.16999999999999</v>
          </cell>
          <cell r="H2348">
            <v>1736.94</v>
          </cell>
          <cell r="I2348">
            <v>155.47</v>
          </cell>
        </row>
        <row r="2349">
          <cell r="A2349">
            <v>35061</v>
          </cell>
          <cell r="B2349">
            <v>1535.36</v>
          </cell>
          <cell r="C2349">
            <v>1507.52</v>
          </cell>
          <cell r="D2349">
            <v>141.16</v>
          </cell>
          <cell r="E2349">
            <v>138.19</v>
          </cell>
          <cell r="F2349">
            <v>150.97</v>
          </cell>
          <cell r="G2349">
            <v>143.85</v>
          </cell>
          <cell r="H2349">
            <v>1733.73</v>
          </cell>
          <cell r="I2349">
            <v>155.08000000000001</v>
          </cell>
        </row>
        <row r="2350">
          <cell r="A2350">
            <v>35062</v>
          </cell>
          <cell r="B2350">
            <v>1538.23</v>
          </cell>
          <cell r="C2350">
            <v>1506.82</v>
          </cell>
          <cell r="D2350">
            <v>141.69</v>
          </cell>
          <cell r="E2350">
            <v>138.37</v>
          </cell>
          <cell r="F2350">
            <v>151.30000000000001</v>
          </cell>
          <cell r="G2350">
            <v>144.71</v>
          </cell>
          <cell r="H2350">
            <v>1748.25</v>
          </cell>
          <cell r="I2350">
            <v>156.22</v>
          </cell>
        </row>
        <row r="2351">
          <cell r="A2351">
            <v>35066</v>
          </cell>
          <cell r="B2351">
            <v>1543.33</v>
          </cell>
          <cell r="C2351">
            <v>1526.58</v>
          </cell>
          <cell r="D2351">
            <v>142.36000000000001</v>
          </cell>
          <cell r="E2351">
            <v>139.91</v>
          </cell>
          <cell r="F2351">
            <v>152.46</v>
          </cell>
          <cell r="G2351">
            <v>144.57</v>
          </cell>
          <cell r="H2351">
            <v>1772.77</v>
          </cell>
          <cell r="I2351">
            <v>158.41999999999999</v>
          </cell>
        </row>
        <row r="2352">
          <cell r="A2352">
            <v>35067</v>
          </cell>
          <cell r="B2352">
            <v>1560.43</v>
          </cell>
          <cell r="C2352">
            <v>1544.07</v>
          </cell>
          <cell r="D2352">
            <v>144.12</v>
          </cell>
          <cell r="E2352">
            <v>141.66</v>
          </cell>
          <cell r="F2352">
            <v>154.72</v>
          </cell>
          <cell r="G2352">
            <v>146.33000000000001</v>
          </cell>
          <cell r="H2352">
            <v>1813.03</v>
          </cell>
          <cell r="I2352">
            <v>162.12</v>
          </cell>
        </row>
        <row r="2353">
          <cell r="A2353">
            <v>35068</v>
          </cell>
          <cell r="B2353">
            <v>1554.26</v>
          </cell>
          <cell r="C2353">
            <v>1535.23</v>
          </cell>
          <cell r="D2353">
            <v>143.51</v>
          </cell>
          <cell r="E2353">
            <v>140.84</v>
          </cell>
          <cell r="F2353">
            <v>154.01</v>
          </cell>
          <cell r="G2353">
            <v>145.91999999999999</v>
          </cell>
          <cell r="H2353">
            <v>1777.37</v>
          </cell>
          <cell r="I2353">
            <v>159.24</v>
          </cell>
        </row>
        <row r="2354">
          <cell r="A2354">
            <v>35069</v>
          </cell>
          <cell r="B2354">
            <v>1544.42</v>
          </cell>
          <cell r="C2354">
            <v>1527.9</v>
          </cell>
          <cell r="D2354">
            <v>142.88</v>
          </cell>
          <cell r="E2354">
            <v>140.32</v>
          </cell>
          <cell r="F2354">
            <v>153.33000000000001</v>
          </cell>
          <cell r="G2354">
            <v>145.19</v>
          </cell>
          <cell r="H2354">
            <v>1759.88</v>
          </cell>
          <cell r="I2354">
            <v>158.11000000000001</v>
          </cell>
        </row>
        <row r="2355">
          <cell r="A2355">
            <v>35072</v>
          </cell>
          <cell r="B2355">
            <v>1546.01</v>
          </cell>
          <cell r="C2355">
            <v>1526.41</v>
          </cell>
          <cell r="D2355">
            <v>142.75</v>
          </cell>
          <cell r="E2355">
            <v>140.07</v>
          </cell>
          <cell r="F2355">
            <v>152.96</v>
          </cell>
          <cell r="G2355">
            <v>145.16</v>
          </cell>
          <cell r="H2355">
            <v>1744.96</v>
          </cell>
          <cell r="I2355">
            <v>156.75</v>
          </cell>
        </row>
        <row r="2356">
          <cell r="A2356">
            <v>35073</v>
          </cell>
          <cell r="B2356">
            <v>1543.25</v>
          </cell>
          <cell r="C2356">
            <v>1530.44</v>
          </cell>
          <cell r="D2356">
            <v>142.32</v>
          </cell>
          <cell r="E2356">
            <v>140.41999999999999</v>
          </cell>
          <cell r="F2356">
            <v>152.97999999999999</v>
          </cell>
          <cell r="G2356">
            <v>144.04</v>
          </cell>
          <cell r="H2356">
            <v>1735.58</v>
          </cell>
          <cell r="I2356">
            <v>155.76</v>
          </cell>
        </row>
        <row r="2357">
          <cell r="A2357">
            <v>35074</v>
          </cell>
          <cell r="B2357">
            <v>1528.58</v>
          </cell>
          <cell r="C2357">
            <v>1523.43</v>
          </cell>
          <cell r="D2357">
            <v>141.03</v>
          </cell>
          <cell r="E2357">
            <v>139.58000000000001</v>
          </cell>
          <cell r="F2357">
            <v>151.72999999999999</v>
          </cell>
          <cell r="G2357">
            <v>142.33000000000001</v>
          </cell>
          <cell r="H2357">
            <v>1704.62</v>
          </cell>
          <cell r="I2357">
            <v>152.91</v>
          </cell>
        </row>
        <row r="2358">
          <cell r="A2358">
            <v>35075</v>
          </cell>
          <cell r="B2358">
            <v>1520.29</v>
          </cell>
          <cell r="C2358">
            <v>1513.85</v>
          </cell>
          <cell r="D2358">
            <v>140.46</v>
          </cell>
          <cell r="E2358">
            <v>138.81</v>
          </cell>
          <cell r="F2358">
            <v>151.08000000000001</v>
          </cell>
          <cell r="G2358">
            <v>141.94</v>
          </cell>
          <cell r="H2358">
            <v>1719.06</v>
          </cell>
          <cell r="I2358">
            <v>154.22</v>
          </cell>
        </row>
        <row r="2359">
          <cell r="A2359">
            <v>35076</v>
          </cell>
          <cell r="B2359">
            <v>1539.37</v>
          </cell>
          <cell r="C2359">
            <v>1535.02</v>
          </cell>
          <cell r="D2359">
            <v>142.05000000000001</v>
          </cell>
          <cell r="E2359">
            <v>140.69999999999999</v>
          </cell>
          <cell r="F2359">
            <v>152.94999999999999</v>
          </cell>
          <cell r="G2359">
            <v>143.25</v>
          </cell>
          <cell r="H2359">
            <v>1745.57</v>
          </cell>
          <cell r="I2359">
            <v>156.35</v>
          </cell>
        </row>
        <row r="2360">
          <cell r="A2360">
            <v>35079</v>
          </cell>
          <cell r="B2360">
            <v>1536.58</v>
          </cell>
          <cell r="C2360">
            <v>1533.84</v>
          </cell>
          <cell r="D2360">
            <v>141.9</v>
          </cell>
          <cell r="E2360">
            <v>140.66</v>
          </cell>
          <cell r="F2360">
            <v>152.38</v>
          </cell>
          <cell r="G2360">
            <v>143</v>
          </cell>
          <cell r="H2360">
            <v>1732.85</v>
          </cell>
          <cell r="I2360">
            <v>154.91</v>
          </cell>
        </row>
        <row r="2361">
          <cell r="A2361">
            <v>35080</v>
          </cell>
          <cell r="B2361">
            <v>1554.6</v>
          </cell>
          <cell r="C2361">
            <v>1549.09</v>
          </cell>
          <cell r="D2361">
            <v>143.49</v>
          </cell>
          <cell r="E2361">
            <v>141.91999999999999</v>
          </cell>
          <cell r="F2361">
            <v>153.69</v>
          </cell>
          <cell r="G2361">
            <v>144.9</v>
          </cell>
          <cell r="H2361">
            <v>1756.49</v>
          </cell>
          <cell r="I2361">
            <v>156.88999999999999</v>
          </cell>
        </row>
        <row r="2362">
          <cell r="A2362">
            <v>35081</v>
          </cell>
          <cell r="B2362">
            <v>1553.22</v>
          </cell>
          <cell r="C2362">
            <v>1558.37</v>
          </cell>
          <cell r="D2362">
            <v>143.29</v>
          </cell>
          <cell r="E2362">
            <v>142.5</v>
          </cell>
          <cell r="F2362">
            <v>153.84</v>
          </cell>
          <cell r="G2362">
            <v>143.97999999999999</v>
          </cell>
          <cell r="H2362">
            <v>1744.7</v>
          </cell>
          <cell r="I2362">
            <v>156.29</v>
          </cell>
        </row>
        <row r="2363">
          <cell r="A2363">
            <v>35082</v>
          </cell>
          <cell r="B2363">
            <v>1564.53</v>
          </cell>
          <cell r="C2363">
            <v>1563.18</v>
          </cell>
          <cell r="D2363">
            <v>144.27000000000001</v>
          </cell>
          <cell r="E2363">
            <v>143</v>
          </cell>
          <cell r="F2363">
            <v>154.62</v>
          </cell>
          <cell r="G2363">
            <v>145.41</v>
          </cell>
          <cell r="H2363">
            <v>1752.64</v>
          </cell>
          <cell r="I2363">
            <v>157.32</v>
          </cell>
        </row>
        <row r="2364">
          <cell r="A2364">
            <v>35083</v>
          </cell>
          <cell r="B2364">
            <v>1570.28</v>
          </cell>
          <cell r="C2364">
            <v>1577.92</v>
          </cell>
          <cell r="D2364">
            <v>145.08000000000001</v>
          </cell>
          <cell r="E2364">
            <v>144.5</v>
          </cell>
          <cell r="F2364">
            <v>155.91999999999999</v>
          </cell>
          <cell r="G2364">
            <v>145.58000000000001</v>
          </cell>
          <cell r="H2364">
            <v>1761.22</v>
          </cell>
          <cell r="I2364">
            <v>157.97</v>
          </cell>
        </row>
        <row r="2365">
          <cell r="A2365">
            <v>35086</v>
          </cell>
          <cell r="B2365">
            <v>1569.74</v>
          </cell>
          <cell r="C2365">
            <v>1576.04</v>
          </cell>
          <cell r="D2365">
            <v>145.02000000000001</v>
          </cell>
          <cell r="E2365">
            <v>144.27000000000001</v>
          </cell>
          <cell r="F2365">
            <v>155.63999999999999</v>
          </cell>
          <cell r="G2365">
            <v>145.68</v>
          </cell>
          <cell r="H2365">
            <v>1724.13</v>
          </cell>
          <cell r="I2365">
            <v>155.44999999999999</v>
          </cell>
        </row>
        <row r="2366">
          <cell r="A2366">
            <v>35087</v>
          </cell>
          <cell r="B2366">
            <v>1562.96</v>
          </cell>
          <cell r="C2366">
            <v>1565.5</v>
          </cell>
          <cell r="D2366">
            <v>144.4</v>
          </cell>
          <cell r="E2366">
            <v>143.35</v>
          </cell>
          <cell r="F2366">
            <v>154.68</v>
          </cell>
          <cell r="G2366">
            <v>145.33000000000001</v>
          </cell>
          <cell r="H2366">
            <v>1722.76</v>
          </cell>
          <cell r="I2366">
            <v>155.33000000000001</v>
          </cell>
        </row>
        <row r="2367">
          <cell r="A2367">
            <v>35088</v>
          </cell>
          <cell r="B2367">
            <v>1578.52</v>
          </cell>
          <cell r="C2367">
            <v>1586.43</v>
          </cell>
          <cell r="D2367">
            <v>145.65</v>
          </cell>
          <cell r="E2367">
            <v>144.97999999999999</v>
          </cell>
          <cell r="F2367">
            <v>156.16</v>
          </cell>
          <cell r="G2367">
            <v>146.22</v>
          </cell>
          <cell r="H2367">
            <v>1738.23</v>
          </cell>
          <cell r="I2367">
            <v>157.16</v>
          </cell>
        </row>
        <row r="2368">
          <cell r="A2368">
            <v>35089</v>
          </cell>
          <cell r="B2368">
            <v>1579.5</v>
          </cell>
          <cell r="C2368">
            <v>1593.03</v>
          </cell>
          <cell r="D2368">
            <v>145.63</v>
          </cell>
          <cell r="E2368">
            <v>145.32</v>
          </cell>
          <cell r="F2368">
            <v>156.41999999999999</v>
          </cell>
          <cell r="G2368">
            <v>145.87</v>
          </cell>
          <cell r="H2368">
            <v>1742.31</v>
          </cell>
          <cell r="I2368">
            <v>157.81</v>
          </cell>
        </row>
        <row r="2369">
          <cell r="A2369">
            <v>35090</v>
          </cell>
          <cell r="B2369">
            <v>1582</v>
          </cell>
          <cell r="C2369">
            <v>1599.87</v>
          </cell>
          <cell r="D2369">
            <v>145.78</v>
          </cell>
          <cell r="E2369">
            <v>145.69</v>
          </cell>
          <cell r="F2369">
            <v>156.38999999999999</v>
          </cell>
          <cell r="G2369">
            <v>145.83000000000001</v>
          </cell>
          <cell r="H2369">
            <v>1731.97</v>
          </cell>
          <cell r="I2369">
            <v>157.15</v>
          </cell>
        </row>
        <row r="2370">
          <cell r="A2370">
            <v>35093</v>
          </cell>
          <cell r="B2370">
            <v>1580.47</v>
          </cell>
          <cell r="C2370">
            <v>1605.08</v>
          </cell>
          <cell r="D2370">
            <v>145.80000000000001</v>
          </cell>
          <cell r="E2370">
            <v>146.19999999999999</v>
          </cell>
          <cell r="F2370">
            <v>156.68</v>
          </cell>
          <cell r="G2370">
            <v>145.41</v>
          </cell>
          <cell r="H2370">
            <v>1723.75</v>
          </cell>
          <cell r="I2370">
            <v>156.30000000000001</v>
          </cell>
        </row>
        <row r="2371">
          <cell r="A2371">
            <v>35094</v>
          </cell>
          <cell r="B2371">
            <v>1581.88</v>
          </cell>
          <cell r="C2371">
            <v>1603.77</v>
          </cell>
          <cell r="D2371">
            <v>146.06</v>
          </cell>
          <cell r="E2371">
            <v>146.34</v>
          </cell>
          <cell r="F2371">
            <v>157.08000000000001</v>
          </cell>
          <cell r="G2371">
            <v>145.77000000000001</v>
          </cell>
          <cell r="H2371">
            <v>1751</v>
          </cell>
          <cell r="I2371">
            <v>158.32</v>
          </cell>
        </row>
        <row r="2372">
          <cell r="A2372">
            <v>35095</v>
          </cell>
          <cell r="B2372">
            <v>1590.7</v>
          </cell>
          <cell r="C2372">
            <v>1611.05</v>
          </cell>
          <cell r="D2372">
            <v>147.1</v>
          </cell>
          <cell r="E2372">
            <v>147.51</v>
          </cell>
          <cell r="F2372">
            <v>158.16999999999999</v>
          </cell>
          <cell r="G2372">
            <v>146.68</v>
          </cell>
          <cell r="H2372">
            <v>1765.04</v>
          </cell>
          <cell r="I2372">
            <v>159.69999999999999</v>
          </cell>
        </row>
        <row r="2373">
          <cell r="A2373">
            <v>35096</v>
          </cell>
          <cell r="B2373">
            <v>1593.38</v>
          </cell>
          <cell r="C2373">
            <v>1608.78</v>
          </cell>
          <cell r="D2373">
            <v>147.47999999999999</v>
          </cell>
          <cell r="E2373">
            <v>147.66999999999999</v>
          </cell>
          <cell r="F2373">
            <v>158.53</v>
          </cell>
          <cell r="G2373">
            <v>147.27000000000001</v>
          </cell>
          <cell r="H2373">
            <v>1765.94</v>
          </cell>
          <cell r="I2373">
            <v>159.76</v>
          </cell>
        </row>
        <row r="2374">
          <cell r="A2374">
            <v>35097</v>
          </cell>
          <cell r="B2374">
            <v>1600.88</v>
          </cell>
          <cell r="C2374">
            <v>1610.54</v>
          </cell>
          <cell r="D2374">
            <v>147.97</v>
          </cell>
          <cell r="E2374">
            <v>147.82</v>
          </cell>
          <cell r="F2374">
            <v>158.62</v>
          </cell>
          <cell r="G2374">
            <v>148.07</v>
          </cell>
          <cell r="H2374">
            <v>1779.85</v>
          </cell>
          <cell r="I2374">
            <v>161.11000000000001</v>
          </cell>
        </row>
        <row r="2375">
          <cell r="A2375">
            <v>35100</v>
          </cell>
          <cell r="B2375">
            <v>1583.73</v>
          </cell>
          <cell r="C2375">
            <v>1590.69</v>
          </cell>
          <cell r="D2375">
            <v>146.55000000000001</v>
          </cell>
          <cell r="E2375">
            <v>146.15</v>
          </cell>
          <cell r="F2375">
            <v>156.91</v>
          </cell>
          <cell r="G2375">
            <v>146.88</v>
          </cell>
          <cell r="H2375">
            <v>1756.46</v>
          </cell>
          <cell r="I2375">
            <v>159.35</v>
          </cell>
        </row>
        <row r="2376">
          <cell r="A2376">
            <v>35101</v>
          </cell>
          <cell r="B2376">
            <v>1589.24</v>
          </cell>
          <cell r="C2376">
            <v>1594.11</v>
          </cell>
          <cell r="D2376">
            <v>147.07</v>
          </cell>
          <cell r="E2376">
            <v>146.44999999999999</v>
          </cell>
          <cell r="F2376">
            <v>157.36000000000001</v>
          </cell>
          <cell r="G2376">
            <v>147.6</v>
          </cell>
          <cell r="H2376">
            <v>1756.04</v>
          </cell>
          <cell r="I2376">
            <v>159.44999999999999</v>
          </cell>
        </row>
        <row r="2377">
          <cell r="A2377">
            <v>35102</v>
          </cell>
          <cell r="B2377">
            <v>1584.23</v>
          </cell>
          <cell r="C2377">
            <v>1594.51</v>
          </cell>
          <cell r="D2377">
            <v>146.94</v>
          </cell>
          <cell r="E2377">
            <v>146.59</v>
          </cell>
          <cell r="F2377">
            <v>157.57</v>
          </cell>
          <cell r="G2377">
            <v>147.22999999999999</v>
          </cell>
          <cell r="H2377">
            <v>1770.29</v>
          </cell>
          <cell r="I2377">
            <v>160.5</v>
          </cell>
        </row>
        <row r="2378">
          <cell r="A2378">
            <v>35103</v>
          </cell>
          <cell r="B2378">
            <v>1577.21</v>
          </cell>
          <cell r="C2378">
            <v>1586.24</v>
          </cell>
          <cell r="D2378">
            <v>146.26</v>
          </cell>
          <cell r="E2378">
            <v>145.76</v>
          </cell>
          <cell r="F2378">
            <v>156.85</v>
          </cell>
          <cell r="G2378">
            <v>146.68</v>
          </cell>
          <cell r="H2378">
            <v>1766.28</v>
          </cell>
          <cell r="I2378">
            <v>160.30000000000001</v>
          </cell>
        </row>
        <row r="2379">
          <cell r="A2379">
            <v>35104</v>
          </cell>
          <cell r="B2379">
            <v>1576.82</v>
          </cell>
          <cell r="C2379">
            <v>1583.29</v>
          </cell>
          <cell r="D2379">
            <v>146.16</v>
          </cell>
          <cell r="E2379">
            <v>145.68</v>
          </cell>
          <cell r="F2379">
            <v>156.87</v>
          </cell>
          <cell r="G2379">
            <v>146.56</v>
          </cell>
          <cell r="H2379">
            <v>1781.09</v>
          </cell>
          <cell r="I2379">
            <v>161.63999999999999</v>
          </cell>
        </row>
        <row r="2380">
          <cell r="A2380">
            <v>35107</v>
          </cell>
          <cell r="B2380">
            <v>1583.01</v>
          </cell>
          <cell r="C2380">
            <v>1589.01</v>
          </cell>
          <cell r="D2380">
            <v>146.30000000000001</v>
          </cell>
          <cell r="E2380">
            <v>145.78</v>
          </cell>
          <cell r="F2380">
            <v>157.05000000000001</v>
          </cell>
          <cell r="G2380">
            <v>146.75</v>
          </cell>
          <cell r="H2380">
            <v>1788.64</v>
          </cell>
          <cell r="I2380">
            <v>162.16999999999999</v>
          </cell>
        </row>
        <row r="2381">
          <cell r="A2381">
            <v>35108</v>
          </cell>
          <cell r="B2381">
            <v>1595.29</v>
          </cell>
          <cell r="C2381">
            <v>1599.64</v>
          </cell>
          <cell r="D2381">
            <v>147.22999999999999</v>
          </cell>
          <cell r="E2381">
            <v>146.56</v>
          </cell>
          <cell r="F2381">
            <v>157.72999999999999</v>
          </cell>
          <cell r="G2381">
            <v>147.80000000000001</v>
          </cell>
          <cell r="H2381">
            <v>1788.13</v>
          </cell>
          <cell r="I2381">
            <v>162.16999999999999</v>
          </cell>
        </row>
        <row r="2382">
          <cell r="A2382">
            <v>35109</v>
          </cell>
          <cell r="B2382">
            <v>1593.11</v>
          </cell>
          <cell r="C2382">
            <v>1593.17</v>
          </cell>
          <cell r="D2382">
            <v>146.86000000000001</v>
          </cell>
          <cell r="E2382">
            <v>145.82</v>
          </cell>
          <cell r="F2382">
            <v>157.22999999999999</v>
          </cell>
          <cell r="G2382">
            <v>147.79</v>
          </cell>
          <cell r="H2382">
            <v>1778.3</v>
          </cell>
          <cell r="I2382">
            <v>161.85</v>
          </cell>
        </row>
        <row r="2383">
          <cell r="A2383">
            <v>35110</v>
          </cell>
          <cell r="B2383">
            <v>1591.99</v>
          </cell>
          <cell r="C2383">
            <v>1587.69</v>
          </cell>
          <cell r="D2383">
            <v>147.04</v>
          </cell>
          <cell r="E2383">
            <v>145.49</v>
          </cell>
          <cell r="F2383">
            <v>156.94999999999999</v>
          </cell>
          <cell r="G2383">
            <v>148.43</v>
          </cell>
          <cell r="H2383">
            <v>1772.64</v>
          </cell>
          <cell r="I2383">
            <v>161.22999999999999</v>
          </cell>
        </row>
        <row r="2384">
          <cell r="A2384">
            <v>35111</v>
          </cell>
          <cell r="B2384">
            <v>1590.67</v>
          </cell>
          <cell r="C2384">
            <v>1586.81</v>
          </cell>
          <cell r="D2384">
            <v>146.94</v>
          </cell>
          <cell r="E2384">
            <v>145.34</v>
          </cell>
          <cell r="F2384">
            <v>156.84</v>
          </cell>
          <cell r="G2384">
            <v>148.37</v>
          </cell>
          <cell r="H2384">
            <v>1750.63</v>
          </cell>
          <cell r="I2384">
            <v>159.49</v>
          </cell>
        </row>
        <row r="2385">
          <cell r="A2385">
            <v>35114</v>
          </cell>
          <cell r="B2385">
            <v>1573.41</v>
          </cell>
          <cell r="C2385">
            <v>1572.32</v>
          </cell>
          <cell r="D2385">
            <v>145.55000000000001</v>
          </cell>
          <cell r="E2385">
            <v>144.05000000000001</v>
          </cell>
          <cell r="F2385">
            <v>155.75</v>
          </cell>
          <cell r="G2385">
            <v>146.9</v>
          </cell>
          <cell r="H2385">
            <v>1743.42</v>
          </cell>
          <cell r="I2385">
            <v>159.11000000000001</v>
          </cell>
        </row>
        <row r="2386">
          <cell r="A2386">
            <v>35115</v>
          </cell>
          <cell r="B2386">
            <v>1556.23</v>
          </cell>
          <cell r="C2386">
            <v>1556.36</v>
          </cell>
          <cell r="D2386">
            <v>144.11000000000001</v>
          </cell>
          <cell r="E2386">
            <v>142.56</v>
          </cell>
          <cell r="F2386">
            <v>154.16999999999999</v>
          </cell>
          <cell r="G2386">
            <v>145.5</v>
          </cell>
          <cell r="H2386">
            <v>1724.68</v>
          </cell>
          <cell r="I2386">
            <v>157.46</v>
          </cell>
        </row>
        <row r="2387">
          <cell r="A2387">
            <v>35116</v>
          </cell>
          <cell r="B2387">
            <v>1562.49</v>
          </cell>
          <cell r="C2387">
            <v>1563.72</v>
          </cell>
          <cell r="D2387">
            <v>144.72999999999999</v>
          </cell>
          <cell r="E2387">
            <v>143.27000000000001</v>
          </cell>
          <cell r="F2387">
            <v>154.93</v>
          </cell>
          <cell r="G2387">
            <v>146.04</v>
          </cell>
          <cell r="H2387">
            <v>1768.5</v>
          </cell>
          <cell r="I2387">
            <v>160.87</v>
          </cell>
        </row>
        <row r="2388">
          <cell r="A2388">
            <v>35117</v>
          </cell>
          <cell r="B2388">
            <v>1575.65</v>
          </cell>
          <cell r="C2388">
            <v>1579.31</v>
          </cell>
          <cell r="D2388">
            <v>146.01</v>
          </cell>
          <cell r="E2388">
            <v>144.65</v>
          </cell>
          <cell r="F2388">
            <v>156.59</v>
          </cell>
          <cell r="G2388">
            <v>147.22999999999999</v>
          </cell>
          <cell r="H2388">
            <v>1812.66</v>
          </cell>
          <cell r="I2388">
            <v>164.42</v>
          </cell>
        </row>
        <row r="2389">
          <cell r="A2389">
            <v>35118</v>
          </cell>
          <cell r="B2389">
            <v>1585.66</v>
          </cell>
          <cell r="C2389">
            <v>1594.36</v>
          </cell>
          <cell r="D2389">
            <v>146.97</v>
          </cell>
          <cell r="E2389">
            <v>146.26</v>
          </cell>
          <cell r="F2389">
            <v>158.41999999999999</v>
          </cell>
          <cell r="G2389">
            <v>147.6</v>
          </cell>
          <cell r="H2389">
            <v>1843.67</v>
          </cell>
          <cell r="I2389">
            <v>167.32</v>
          </cell>
        </row>
        <row r="2390">
          <cell r="A2390">
            <v>35121</v>
          </cell>
          <cell r="B2390">
            <v>1571.55</v>
          </cell>
          <cell r="C2390">
            <v>1581.35</v>
          </cell>
          <cell r="D2390">
            <v>145.91</v>
          </cell>
          <cell r="E2390">
            <v>145.38</v>
          </cell>
          <cell r="F2390">
            <v>157.4</v>
          </cell>
          <cell r="G2390">
            <v>146.36000000000001</v>
          </cell>
          <cell r="H2390">
            <v>1829.82</v>
          </cell>
          <cell r="I2390">
            <v>166.24</v>
          </cell>
        </row>
        <row r="2391">
          <cell r="A2391">
            <v>35122</v>
          </cell>
          <cell r="B2391">
            <v>1572.6</v>
          </cell>
          <cell r="C2391">
            <v>1577.78</v>
          </cell>
          <cell r="D2391">
            <v>146.08000000000001</v>
          </cell>
          <cell r="E2391">
            <v>145.24</v>
          </cell>
          <cell r="F2391">
            <v>157.63999999999999</v>
          </cell>
          <cell r="G2391">
            <v>146.82</v>
          </cell>
          <cell r="H2391">
            <v>1846.97</v>
          </cell>
          <cell r="I2391">
            <v>167.57</v>
          </cell>
        </row>
        <row r="2392">
          <cell r="A2392">
            <v>35123</v>
          </cell>
          <cell r="B2392">
            <v>1588.55</v>
          </cell>
          <cell r="C2392">
            <v>1593.88</v>
          </cell>
          <cell r="D2392">
            <v>147.25</v>
          </cell>
          <cell r="E2392">
            <v>146.55000000000001</v>
          </cell>
          <cell r="F2392">
            <v>159.03</v>
          </cell>
          <cell r="G2392">
            <v>147.87</v>
          </cell>
          <cell r="H2392">
            <v>1855.02</v>
          </cell>
          <cell r="I2392">
            <v>168.02</v>
          </cell>
        </row>
        <row r="2393">
          <cell r="A2393">
            <v>35124</v>
          </cell>
          <cell r="B2393">
            <v>1589.79</v>
          </cell>
          <cell r="C2393">
            <v>1595.64</v>
          </cell>
          <cell r="D2393">
            <v>147.44999999999999</v>
          </cell>
          <cell r="E2393">
            <v>146.84</v>
          </cell>
          <cell r="F2393">
            <v>159.11000000000001</v>
          </cell>
          <cell r="G2393">
            <v>147.97</v>
          </cell>
          <cell r="H2393">
            <v>1837.45</v>
          </cell>
          <cell r="I2393">
            <v>166.95</v>
          </cell>
        </row>
        <row r="2394">
          <cell r="A2394">
            <v>35125</v>
          </cell>
          <cell r="B2394">
            <v>1601.94</v>
          </cell>
          <cell r="C2394">
            <v>1609.59</v>
          </cell>
          <cell r="D2394">
            <v>148.49</v>
          </cell>
          <cell r="E2394">
            <v>147.97</v>
          </cell>
          <cell r="F2394">
            <v>160.36000000000001</v>
          </cell>
          <cell r="G2394">
            <v>148.94</v>
          </cell>
          <cell r="H2394">
            <v>1855.13</v>
          </cell>
          <cell r="I2394">
            <v>168.39</v>
          </cell>
        </row>
        <row r="2395">
          <cell r="A2395">
            <v>35128</v>
          </cell>
          <cell r="B2395">
            <v>1605.16</v>
          </cell>
          <cell r="C2395">
            <v>1604.76</v>
          </cell>
          <cell r="D2395">
            <v>148.82</v>
          </cell>
          <cell r="E2395">
            <v>147.59</v>
          </cell>
          <cell r="F2395">
            <v>160.29</v>
          </cell>
          <cell r="G2395">
            <v>149.91</v>
          </cell>
          <cell r="H2395">
            <v>1857.81</v>
          </cell>
          <cell r="I2395">
            <v>168.6</v>
          </cell>
        </row>
        <row r="2396">
          <cell r="A2396">
            <v>35129</v>
          </cell>
          <cell r="B2396">
            <v>1592.04</v>
          </cell>
          <cell r="C2396">
            <v>1593.18</v>
          </cell>
          <cell r="D2396">
            <v>147.63999999999999</v>
          </cell>
          <cell r="E2396">
            <v>146.41</v>
          </cell>
          <cell r="F2396">
            <v>158.72</v>
          </cell>
          <cell r="G2396">
            <v>148.74</v>
          </cell>
          <cell r="H2396">
            <v>1822.43</v>
          </cell>
          <cell r="I2396">
            <v>165.93</v>
          </cell>
        </row>
        <row r="2397">
          <cell r="A2397">
            <v>35130</v>
          </cell>
          <cell r="B2397">
            <v>1587.46</v>
          </cell>
          <cell r="C2397">
            <v>1592.6</v>
          </cell>
          <cell r="D2397">
            <v>147.63999999999999</v>
          </cell>
          <cell r="E2397">
            <v>146.38</v>
          </cell>
          <cell r="F2397">
            <v>158.93</v>
          </cell>
          <cell r="G2397">
            <v>148.77000000000001</v>
          </cell>
          <cell r="H2397">
            <v>1823.61</v>
          </cell>
          <cell r="I2397">
            <v>165.81</v>
          </cell>
        </row>
        <row r="2398">
          <cell r="A2398">
            <v>35131</v>
          </cell>
          <cell r="B2398">
            <v>1587.28</v>
          </cell>
          <cell r="C2398">
            <v>1599.87</v>
          </cell>
          <cell r="D2398">
            <v>148.6</v>
          </cell>
          <cell r="E2398">
            <v>146.78</v>
          </cell>
          <cell r="F2398">
            <v>160.47999999999999</v>
          </cell>
          <cell r="G2398">
            <v>150.24</v>
          </cell>
          <cell r="H2398">
            <v>1824.71</v>
          </cell>
          <cell r="I2398">
            <v>165.76</v>
          </cell>
        </row>
        <row r="2399">
          <cell r="A2399">
            <v>35132</v>
          </cell>
          <cell r="B2399">
            <v>1571.76</v>
          </cell>
          <cell r="C2399">
            <v>1585.61</v>
          </cell>
          <cell r="D2399">
            <v>147.13</v>
          </cell>
          <cell r="E2399">
            <v>145.43</v>
          </cell>
          <cell r="F2399">
            <v>158.99</v>
          </cell>
          <cell r="G2399">
            <v>148.63999999999999</v>
          </cell>
          <cell r="H2399">
            <v>1795.44</v>
          </cell>
          <cell r="I2399">
            <v>163.46</v>
          </cell>
        </row>
        <row r="2400">
          <cell r="A2400">
            <v>35135</v>
          </cell>
          <cell r="B2400">
            <v>1553.21</v>
          </cell>
          <cell r="C2400">
            <v>1563.31</v>
          </cell>
          <cell r="D2400">
            <v>145.75</v>
          </cell>
          <cell r="E2400">
            <v>143.57</v>
          </cell>
          <cell r="F2400">
            <v>157.19999999999999</v>
          </cell>
          <cell r="G2400">
            <v>147.71</v>
          </cell>
          <cell r="H2400">
            <v>1796.1</v>
          </cell>
          <cell r="I2400">
            <v>163.54</v>
          </cell>
        </row>
        <row r="2401">
          <cell r="A2401">
            <v>35136</v>
          </cell>
          <cell r="B2401">
            <v>1552.11</v>
          </cell>
          <cell r="C2401">
            <v>1566.72</v>
          </cell>
          <cell r="D2401">
            <v>145.71</v>
          </cell>
          <cell r="E2401">
            <v>143.91999999999999</v>
          </cell>
          <cell r="F2401">
            <v>158.04</v>
          </cell>
          <cell r="G2401">
            <v>147.32</v>
          </cell>
          <cell r="H2401">
            <v>1811.27</v>
          </cell>
          <cell r="I2401">
            <v>164.89</v>
          </cell>
        </row>
        <row r="2402">
          <cell r="A2402">
            <v>35137</v>
          </cell>
          <cell r="B2402">
            <v>1553.02</v>
          </cell>
          <cell r="C2402">
            <v>1568.97</v>
          </cell>
          <cell r="D2402">
            <v>145.97</v>
          </cell>
          <cell r="E2402">
            <v>144.19</v>
          </cell>
          <cell r="F2402">
            <v>158.54</v>
          </cell>
          <cell r="G2402">
            <v>147.57</v>
          </cell>
          <cell r="H2402">
            <v>1821.19</v>
          </cell>
          <cell r="I2402">
            <v>165.68</v>
          </cell>
        </row>
        <row r="2403">
          <cell r="A2403">
            <v>35138</v>
          </cell>
          <cell r="B2403">
            <v>1566.88</v>
          </cell>
          <cell r="C2403">
            <v>1576.33</v>
          </cell>
          <cell r="D2403">
            <v>146.88</v>
          </cell>
          <cell r="E2403">
            <v>144.59</v>
          </cell>
          <cell r="F2403">
            <v>159.06</v>
          </cell>
          <cell r="G2403">
            <v>148.94999999999999</v>
          </cell>
          <cell r="H2403">
            <v>1832.92</v>
          </cell>
          <cell r="I2403">
            <v>166.57</v>
          </cell>
        </row>
        <row r="2404">
          <cell r="A2404">
            <v>35139</v>
          </cell>
          <cell r="B2404">
            <v>1559.34</v>
          </cell>
          <cell r="C2404">
            <v>1578.08</v>
          </cell>
          <cell r="D2404">
            <v>146.16999999999999</v>
          </cell>
          <cell r="E2404">
            <v>144.55000000000001</v>
          </cell>
          <cell r="F2404">
            <v>158.76</v>
          </cell>
          <cell r="G2404">
            <v>147.63</v>
          </cell>
          <cell r="H2404">
            <v>1824.17</v>
          </cell>
          <cell r="I2404">
            <v>165.58</v>
          </cell>
        </row>
        <row r="2405">
          <cell r="A2405">
            <v>35142</v>
          </cell>
          <cell r="B2405">
            <v>1575.98</v>
          </cell>
          <cell r="C2405">
            <v>1589.2</v>
          </cell>
          <cell r="D2405">
            <v>147.66999999999999</v>
          </cell>
          <cell r="E2405">
            <v>145.63</v>
          </cell>
          <cell r="F2405">
            <v>160.16999999999999</v>
          </cell>
          <cell r="G2405">
            <v>149.51</v>
          </cell>
          <cell r="H2405">
            <v>1870.54</v>
          </cell>
          <cell r="I2405">
            <v>169.29</v>
          </cell>
        </row>
        <row r="2406">
          <cell r="A2406">
            <v>35143</v>
          </cell>
          <cell r="B2406">
            <v>1588.32</v>
          </cell>
          <cell r="C2406">
            <v>1601.27</v>
          </cell>
          <cell r="D2406">
            <v>148.44</v>
          </cell>
          <cell r="E2406">
            <v>146.44999999999999</v>
          </cell>
          <cell r="F2406">
            <v>161.08000000000001</v>
          </cell>
          <cell r="G2406">
            <v>150.22</v>
          </cell>
          <cell r="H2406">
            <v>1882.97</v>
          </cell>
          <cell r="I2406">
            <v>170.58</v>
          </cell>
        </row>
        <row r="2407">
          <cell r="A2407">
            <v>35144</v>
          </cell>
          <cell r="B2407">
            <v>1586.85</v>
          </cell>
          <cell r="C2407">
            <v>1600.39</v>
          </cell>
          <cell r="D2407">
            <v>148.57</v>
          </cell>
          <cell r="E2407">
            <v>146.33000000000001</v>
          </cell>
          <cell r="F2407">
            <v>161.06</v>
          </cell>
          <cell r="G2407">
            <v>150.59</v>
          </cell>
          <cell r="H2407">
            <v>1893.44</v>
          </cell>
          <cell r="I2407">
            <v>171.04</v>
          </cell>
        </row>
        <row r="2408">
          <cell r="A2408">
            <v>35145</v>
          </cell>
          <cell r="B2408">
            <v>1589.88</v>
          </cell>
          <cell r="C2408">
            <v>1603.15</v>
          </cell>
          <cell r="D2408">
            <v>148.99</v>
          </cell>
          <cell r="E2408">
            <v>146.66</v>
          </cell>
          <cell r="F2408">
            <v>161.35</v>
          </cell>
          <cell r="G2408">
            <v>151.09</v>
          </cell>
          <cell r="H2408">
            <v>1872.4</v>
          </cell>
          <cell r="I2408">
            <v>169.73</v>
          </cell>
        </row>
        <row r="2409">
          <cell r="A2409">
            <v>35146</v>
          </cell>
          <cell r="B2409">
            <v>1590.68</v>
          </cell>
          <cell r="C2409">
            <v>1604.06</v>
          </cell>
          <cell r="D2409">
            <v>149.16999999999999</v>
          </cell>
          <cell r="E2409">
            <v>146.63999999999999</v>
          </cell>
          <cell r="F2409">
            <v>161.66</v>
          </cell>
          <cell r="G2409">
            <v>151.47</v>
          </cell>
          <cell r="H2409">
            <v>1882.97</v>
          </cell>
          <cell r="I2409">
            <v>170.57</v>
          </cell>
        </row>
        <row r="2410">
          <cell r="A2410">
            <v>35149</v>
          </cell>
          <cell r="B2410">
            <v>1583.56</v>
          </cell>
          <cell r="C2410">
            <v>1606.1</v>
          </cell>
          <cell r="D2410">
            <v>148.66</v>
          </cell>
          <cell r="E2410">
            <v>147</v>
          </cell>
          <cell r="F2410">
            <v>162.19999999999999</v>
          </cell>
          <cell r="G2410">
            <v>150.13999999999999</v>
          </cell>
          <cell r="H2410">
            <v>1888.21</v>
          </cell>
          <cell r="I2410">
            <v>171.1</v>
          </cell>
        </row>
        <row r="2411">
          <cell r="A2411">
            <v>35150</v>
          </cell>
          <cell r="B2411">
            <v>1581.11</v>
          </cell>
          <cell r="C2411">
            <v>1602.44</v>
          </cell>
          <cell r="D2411">
            <v>148.09</v>
          </cell>
          <cell r="E2411">
            <v>146.49</v>
          </cell>
          <cell r="F2411">
            <v>161.53</v>
          </cell>
          <cell r="G2411">
            <v>149.51</v>
          </cell>
          <cell r="H2411">
            <v>1873.3</v>
          </cell>
          <cell r="I2411">
            <v>169.99</v>
          </cell>
        </row>
        <row r="2412">
          <cell r="A2412">
            <v>35151</v>
          </cell>
          <cell r="B2412">
            <v>1589.73</v>
          </cell>
          <cell r="C2412">
            <v>1611.44</v>
          </cell>
          <cell r="D2412">
            <v>148.97</v>
          </cell>
          <cell r="E2412">
            <v>147.51</v>
          </cell>
          <cell r="F2412">
            <v>162.58000000000001</v>
          </cell>
          <cell r="G2412">
            <v>150.27000000000001</v>
          </cell>
          <cell r="H2412">
            <v>1880.34</v>
          </cell>
          <cell r="I2412">
            <v>170.79</v>
          </cell>
        </row>
        <row r="2413">
          <cell r="A2413">
            <v>35152</v>
          </cell>
          <cell r="B2413">
            <v>1581.21</v>
          </cell>
          <cell r="C2413">
            <v>1604.96</v>
          </cell>
          <cell r="D2413">
            <v>148.22</v>
          </cell>
          <cell r="E2413">
            <v>146.9</v>
          </cell>
          <cell r="F2413">
            <v>161.61000000000001</v>
          </cell>
          <cell r="G2413">
            <v>149.38999999999999</v>
          </cell>
          <cell r="H2413">
            <v>1854.5</v>
          </cell>
          <cell r="I2413">
            <v>168.5</v>
          </cell>
        </row>
        <row r="2414">
          <cell r="A2414">
            <v>35153</v>
          </cell>
          <cell r="B2414">
            <v>1591.05</v>
          </cell>
          <cell r="C2414">
            <v>1612.24</v>
          </cell>
          <cell r="D2414">
            <v>149.02000000000001</v>
          </cell>
          <cell r="E2414">
            <v>147.54</v>
          </cell>
          <cell r="F2414">
            <v>162.16</v>
          </cell>
          <cell r="G2414">
            <v>150.33000000000001</v>
          </cell>
          <cell r="H2414">
            <v>1848.59</v>
          </cell>
          <cell r="I2414">
            <v>168.65</v>
          </cell>
        </row>
        <row r="2415">
          <cell r="A2415">
            <v>35156</v>
          </cell>
          <cell r="B2415">
            <v>1598</v>
          </cell>
          <cell r="C2415">
            <v>1619.33</v>
          </cell>
          <cell r="D2415">
            <v>149.72</v>
          </cell>
          <cell r="E2415">
            <v>148.38</v>
          </cell>
          <cell r="F2415">
            <v>162.74</v>
          </cell>
          <cell r="G2415">
            <v>150.91</v>
          </cell>
          <cell r="H2415">
            <v>1844.08</v>
          </cell>
          <cell r="I2415">
            <v>168.3</v>
          </cell>
        </row>
        <row r="2416">
          <cell r="A2416">
            <v>35157</v>
          </cell>
          <cell r="B2416">
            <v>1594.8</v>
          </cell>
          <cell r="C2416">
            <v>1620.88</v>
          </cell>
          <cell r="D2416">
            <v>149.59</v>
          </cell>
          <cell r="E2416">
            <v>148.36000000000001</v>
          </cell>
          <cell r="F2416">
            <v>162.61000000000001</v>
          </cell>
          <cell r="G2416">
            <v>150.68</v>
          </cell>
          <cell r="H2416">
            <v>1831.31</v>
          </cell>
          <cell r="I2416">
            <v>167</v>
          </cell>
        </row>
        <row r="2417">
          <cell r="A2417">
            <v>35158</v>
          </cell>
          <cell r="B2417">
            <v>1592.97</v>
          </cell>
          <cell r="C2417">
            <v>1622.79</v>
          </cell>
          <cell r="D2417">
            <v>149.56</v>
          </cell>
          <cell r="E2417">
            <v>148.51</v>
          </cell>
          <cell r="F2417">
            <v>162.41999999999999</v>
          </cell>
          <cell r="G2417">
            <v>150.47999999999999</v>
          </cell>
          <cell r="H2417">
            <v>1829.14</v>
          </cell>
          <cell r="I2417">
            <v>166.99</v>
          </cell>
        </row>
        <row r="2418">
          <cell r="A2418">
            <v>35159</v>
          </cell>
          <cell r="B2418">
            <v>1600.57</v>
          </cell>
          <cell r="C2418">
            <v>1627.37</v>
          </cell>
          <cell r="D2418">
            <v>150.16999999999999</v>
          </cell>
          <cell r="E2418">
            <v>148.9</v>
          </cell>
          <cell r="F2418">
            <v>162.66999999999999</v>
          </cell>
          <cell r="G2418">
            <v>151.31</v>
          </cell>
          <cell r="H2418">
            <v>1813.99</v>
          </cell>
          <cell r="I2418">
            <v>165.72</v>
          </cell>
        </row>
        <row r="2419">
          <cell r="A2419">
            <v>35160</v>
          </cell>
          <cell r="B2419">
            <v>1599.96</v>
          </cell>
          <cell r="C2419">
            <v>1625.74</v>
          </cell>
          <cell r="D2419">
            <v>150.11000000000001</v>
          </cell>
          <cell r="E2419">
            <v>148.76</v>
          </cell>
          <cell r="F2419">
            <v>162.54</v>
          </cell>
          <cell r="G2419">
            <v>151.32</v>
          </cell>
          <cell r="H2419">
            <v>1817.89</v>
          </cell>
          <cell r="I2419">
            <v>166.02</v>
          </cell>
        </row>
        <row r="2420">
          <cell r="A2420">
            <v>35163</v>
          </cell>
          <cell r="B2420">
            <v>1601.07</v>
          </cell>
          <cell r="C2420">
            <v>1626.08</v>
          </cell>
          <cell r="D2420">
            <v>150.22</v>
          </cell>
          <cell r="E2420">
            <v>148.79</v>
          </cell>
          <cell r="F2420">
            <v>162.63</v>
          </cell>
          <cell r="G2420">
            <v>151.49</v>
          </cell>
          <cell r="H2420">
            <v>1822.29</v>
          </cell>
          <cell r="I2420">
            <v>166.45</v>
          </cell>
        </row>
        <row r="2421">
          <cell r="A2421">
            <v>35164</v>
          </cell>
          <cell r="B2421">
            <v>1602.89</v>
          </cell>
          <cell r="C2421">
            <v>1627.77</v>
          </cell>
          <cell r="D2421">
            <v>150.13</v>
          </cell>
          <cell r="E2421">
            <v>148.87</v>
          </cell>
          <cell r="F2421">
            <v>162.36000000000001</v>
          </cell>
          <cell r="G2421">
            <v>151.26</v>
          </cell>
          <cell r="H2421">
            <v>1817.99</v>
          </cell>
          <cell r="I2421">
            <v>166.27</v>
          </cell>
        </row>
        <row r="2422">
          <cell r="A2422">
            <v>35165</v>
          </cell>
          <cell r="B2422">
            <v>1608.02</v>
          </cell>
          <cell r="C2422">
            <v>1644.85</v>
          </cell>
          <cell r="D2422">
            <v>150.72</v>
          </cell>
          <cell r="E2422">
            <v>150.30000000000001</v>
          </cell>
          <cell r="F2422">
            <v>163.5</v>
          </cell>
          <cell r="G2422">
            <v>151.06</v>
          </cell>
          <cell r="H2422">
            <v>1830.66</v>
          </cell>
          <cell r="I2422">
            <v>167.3</v>
          </cell>
        </row>
        <row r="2423">
          <cell r="A2423">
            <v>35166</v>
          </cell>
          <cell r="B2423">
            <v>1599</v>
          </cell>
          <cell r="C2423">
            <v>1633.45</v>
          </cell>
          <cell r="D2423">
            <v>149.97</v>
          </cell>
          <cell r="E2423">
            <v>149.41999999999999</v>
          </cell>
          <cell r="F2423">
            <v>162.6</v>
          </cell>
          <cell r="G2423">
            <v>150.44</v>
          </cell>
          <cell r="H2423">
            <v>1842.59</v>
          </cell>
          <cell r="I2423">
            <v>168.33</v>
          </cell>
        </row>
        <row r="2424">
          <cell r="A2424">
            <v>35167</v>
          </cell>
          <cell r="B2424">
            <v>1599.99</v>
          </cell>
          <cell r="C2424">
            <v>1632.71</v>
          </cell>
          <cell r="D2424">
            <v>150.29</v>
          </cell>
          <cell r="E2424">
            <v>149.38999999999999</v>
          </cell>
          <cell r="F2424">
            <v>162.44</v>
          </cell>
          <cell r="G2424">
            <v>151.07</v>
          </cell>
          <cell r="H2424">
            <v>1837.93</v>
          </cell>
          <cell r="I2424">
            <v>167.68</v>
          </cell>
        </row>
        <row r="2425">
          <cell r="A2425">
            <v>35170</v>
          </cell>
          <cell r="B2425">
            <v>1610.93</v>
          </cell>
          <cell r="C2425">
            <v>1647.87</v>
          </cell>
          <cell r="D2425">
            <v>151.16</v>
          </cell>
          <cell r="E2425">
            <v>150.6</v>
          </cell>
          <cell r="F2425">
            <v>163.47999999999999</v>
          </cell>
          <cell r="G2425">
            <v>151.63999999999999</v>
          </cell>
          <cell r="H2425">
            <v>1857.77</v>
          </cell>
          <cell r="I2425">
            <v>169.25</v>
          </cell>
        </row>
        <row r="2426">
          <cell r="A2426">
            <v>35171</v>
          </cell>
          <cell r="B2426">
            <v>1617.65</v>
          </cell>
          <cell r="C2426">
            <v>1651.56</v>
          </cell>
          <cell r="D2426">
            <v>151.86000000000001</v>
          </cell>
          <cell r="E2426">
            <v>150.71</v>
          </cell>
          <cell r="F2426">
            <v>163.89</v>
          </cell>
          <cell r="G2426">
            <v>152.88999999999999</v>
          </cell>
          <cell r="H2426">
            <v>1849.68</v>
          </cell>
          <cell r="I2426">
            <v>168.51</v>
          </cell>
        </row>
        <row r="2427">
          <cell r="A2427">
            <v>35172</v>
          </cell>
          <cell r="B2427">
            <v>1605.8</v>
          </cell>
          <cell r="C2427">
            <v>1639.99</v>
          </cell>
          <cell r="D2427">
            <v>151.1</v>
          </cell>
          <cell r="E2427">
            <v>149.86000000000001</v>
          </cell>
          <cell r="F2427">
            <v>163.1</v>
          </cell>
          <cell r="G2427">
            <v>152.21</v>
          </cell>
          <cell r="H2427">
            <v>1843.12</v>
          </cell>
          <cell r="I2427">
            <v>168.16</v>
          </cell>
        </row>
        <row r="2428">
          <cell r="A2428">
            <v>35173</v>
          </cell>
          <cell r="B2428">
            <v>1612.47</v>
          </cell>
          <cell r="C2428">
            <v>1645.28</v>
          </cell>
          <cell r="D2428">
            <v>151.99</v>
          </cell>
          <cell r="E2428">
            <v>150.47999999999999</v>
          </cell>
          <cell r="F2428">
            <v>163.88</v>
          </cell>
          <cell r="G2428">
            <v>153.34</v>
          </cell>
          <cell r="H2428">
            <v>1859</v>
          </cell>
          <cell r="I2428">
            <v>169.51</v>
          </cell>
        </row>
        <row r="2429">
          <cell r="A2429">
            <v>35174</v>
          </cell>
          <cell r="B2429">
            <v>1625.46</v>
          </cell>
          <cell r="C2429">
            <v>1651.43</v>
          </cell>
          <cell r="D2429">
            <v>153.22999999999999</v>
          </cell>
          <cell r="E2429">
            <v>151.04</v>
          </cell>
          <cell r="F2429">
            <v>164.65</v>
          </cell>
          <cell r="G2429">
            <v>155.22999999999999</v>
          </cell>
          <cell r="H2429">
            <v>1890.28</v>
          </cell>
          <cell r="I2429">
            <v>172.08</v>
          </cell>
        </row>
        <row r="2430">
          <cell r="A2430">
            <v>35177</v>
          </cell>
          <cell r="B2430">
            <v>1634.19</v>
          </cell>
          <cell r="C2430">
            <v>1666.3</v>
          </cell>
          <cell r="D2430">
            <v>153.88999999999999</v>
          </cell>
          <cell r="E2430">
            <v>152.37</v>
          </cell>
          <cell r="F2430">
            <v>166.26</v>
          </cell>
          <cell r="G2430">
            <v>155.27000000000001</v>
          </cell>
          <cell r="H2430">
            <v>1912.41</v>
          </cell>
          <cell r="I2430">
            <v>173.99</v>
          </cell>
        </row>
        <row r="2431">
          <cell r="A2431">
            <v>35178</v>
          </cell>
          <cell r="B2431">
            <v>1630.51</v>
          </cell>
          <cell r="C2431">
            <v>1665.07</v>
          </cell>
          <cell r="D2431">
            <v>153.68</v>
          </cell>
          <cell r="E2431">
            <v>152.37</v>
          </cell>
          <cell r="F2431">
            <v>165.96</v>
          </cell>
          <cell r="G2431">
            <v>154.86000000000001</v>
          </cell>
          <cell r="H2431">
            <v>1909.14</v>
          </cell>
          <cell r="I2431">
            <v>173.77</v>
          </cell>
        </row>
        <row r="2432">
          <cell r="A2432">
            <v>35179</v>
          </cell>
          <cell r="B2432">
            <v>1627.16</v>
          </cell>
          <cell r="C2432">
            <v>1666.47</v>
          </cell>
          <cell r="D2432">
            <v>153.43</v>
          </cell>
          <cell r="E2432">
            <v>152.34</v>
          </cell>
          <cell r="F2432">
            <v>166.02</v>
          </cell>
          <cell r="G2432">
            <v>154.41</v>
          </cell>
          <cell r="H2432">
            <v>1898.85</v>
          </cell>
          <cell r="I2432">
            <v>172.88</v>
          </cell>
        </row>
        <row r="2433">
          <cell r="A2433">
            <v>35180</v>
          </cell>
          <cell r="B2433">
            <v>1632.35</v>
          </cell>
          <cell r="C2433">
            <v>1670.37</v>
          </cell>
          <cell r="D2433">
            <v>153.91999999999999</v>
          </cell>
          <cell r="E2433">
            <v>152.62</v>
          </cell>
          <cell r="F2433">
            <v>166.34</v>
          </cell>
          <cell r="G2433">
            <v>155.09</v>
          </cell>
          <cell r="H2433">
            <v>1900.36</v>
          </cell>
          <cell r="I2433">
            <v>173.05</v>
          </cell>
        </row>
        <row r="2434">
          <cell r="A2434">
            <v>35181</v>
          </cell>
          <cell r="B2434">
            <v>1636.25</v>
          </cell>
          <cell r="C2434">
            <v>1674.5</v>
          </cell>
          <cell r="D2434">
            <v>154.41</v>
          </cell>
          <cell r="E2434">
            <v>153.21</v>
          </cell>
          <cell r="F2434">
            <v>166.97</v>
          </cell>
          <cell r="G2434">
            <v>155.5</v>
          </cell>
          <cell r="H2434">
            <v>1903.8</v>
          </cell>
          <cell r="I2434">
            <v>173.88</v>
          </cell>
        </row>
        <row r="2435">
          <cell r="A2435">
            <v>35184</v>
          </cell>
          <cell r="B2435">
            <v>1626.27</v>
          </cell>
          <cell r="C2435">
            <v>1669.09</v>
          </cell>
          <cell r="D2435">
            <v>153.43</v>
          </cell>
          <cell r="E2435">
            <v>152.59</v>
          </cell>
          <cell r="F2435">
            <v>166.15</v>
          </cell>
          <cell r="G2435">
            <v>154.16</v>
          </cell>
          <cell r="H2435">
            <v>1899.86</v>
          </cell>
          <cell r="I2435">
            <v>173.23</v>
          </cell>
        </row>
        <row r="2436">
          <cell r="A2436">
            <v>35185</v>
          </cell>
          <cell r="B2436">
            <v>1630.73</v>
          </cell>
          <cell r="C2436">
            <v>1671.13</v>
          </cell>
          <cell r="D2436">
            <v>153.63</v>
          </cell>
          <cell r="E2436">
            <v>152.79</v>
          </cell>
          <cell r="F2436">
            <v>166.16</v>
          </cell>
          <cell r="G2436">
            <v>154.37</v>
          </cell>
          <cell r="H2436">
            <v>1892.87</v>
          </cell>
          <cell r="I2436">
            <v>172.88</v>
          </cell>
        </row>
        <row r="2437">
          <cell r="A2437">
            <v>35186</v>
          </cell>
          <cell r="B2437">
            <v>1629.02</v>
          </cell>
          <cell r="C2437">
            <v>1675.67</v>
          </cell>
          <cell r="D2437">
            <v>153.34</v>
          </cell>
          <cell r="E2437">
            <v>153.1</v>
          </cell>
          <cell r="F2437">
            <v>166.4</v>
          </cell>
          <cell r="G2437">
            <v>153.53</v>
          </cell>
          <cell r="H2437">
            <v>1892.56</v>
          </cell>
          <cell r="I2437">
            <v>173.07</v>
          </cell>
        </row>
        <row r="2438">
          <cell r="A2438">
            <v>35187</v>
          </cell>
          <cell r="B2438">
            <v>1626.62</v>
          </cell>
          <cell r="C2438">
            <v>1673.12</v>
          </cell>
          <cell r="D2438">
            <v>152.91999999999999</v>
          </cell>
          <cell r="E2438">
            <v>152.91999999999999</v>
          </cell>
          <cell r="F2438">
            <v>166.15</v>
          </cell>
          <cell r="G2438">
            <v>152.88999999999999</v>
          </cell>
          <cell r="H2438">
            <v>1897.95</v>
          </cell>
          <cell r="I2438">
            <v>173.35</v>
          </cell>
        </row>
        <row r="2439">
          <cell r="A2439">
            <v>35188</v>
          </cell>
          <cell r="B2439">
            <v>1609.03</v>
          </cell>
          <cell r="C2439">
            <v>1653.2</v>
          </cell>
          <cell r="D2439">
            <v>151.65</v>
          </cell>
          <cell r="E2439">
            <v>151.28</v>
          </cell>
          <cell r="F2439">
            <v>164.46</v>
          </cell>
          <cell r="G2439">
            <v>151.96</v>
          </cell>
          <cell r="H2439">
            <v>1892.25</v>
          </cell>
          <cell r="I2439">
            <v>172.94</v>
          </cell>
        </row>
        <row r="2440">
          <cell r="A2440">
            <v>35191</v>
          </cell>
          <cell r="B2440">
            <v>1612.59</v>
          </cell>
          <cell r="C2440">
            <v>1655.77</v>
          </cell>
          <cell r="D2440">
            <v>151.87</v>
          </cell>
          <cell r="E2440">
            <v>151.47</v>
          </cell>
          <cell r="F2440">
            <v>164.62</v>
          </cell>
          <cell r="G2440">
            <v>152.19999999999999</v>
          </cell>
          <cell r="H2440">
            <v>1907.58</v>
          </cell>
          <cell r="I2440">
            <v>174.31</v>
          </cell>
        </row>
        <row r="2441">
          <cell r="A2441">
            <v>35192</v>
          </cell>
          <cell r="B2441">
            <v>1605.24</v>
          </cell>
          <cell r="C2441">
            <v>1655.23</v>
          </cell>
          <cell r="D2441">
            <v>151.51</v>
          </cell>
          <cell r="E2441">
            <v>151.51</v>
          </cell>
          <cell r="F2441">
            <v>164.51</v>
          </cell>
          <cell r="G2441">
            <v>151.47</v>
          </cell>
          <cell r="H2441">
            <v>1899.27</v>
          </cell>
          <cell r="I2441">
            <v>173.59</v>
          </cell>
        </row>
        <row r="2442">
          <cell r="A2442">
            <v>35193</v>
          </cell>
          <cell r="B2442">
            <v>1598.58</v>
          </cell>
          <cell r="C2442">
            <v>1645.41</v>
          </cell>
          <cell r="D2442">
            <v>150.96</v>
          </cell>
          <cell r="E2442">
            <v>150.69999999999999</v>
          </cell>
          <cell r="F2442">
            <v>163.5</v>
          </cell>
          <cell r="G2442">
            <v>151.16</v>
          </cell>
          <cell r="H2442">
            <v>1885.31</v>
          </cell>
          <cell r="I2442">
            <v>172.34</v>
          </cell>
        </row>
        <row r="2443">
          <cell r="A2443">
            <v>35194</v>
          </cell>
          <cell r="B2443">
            <v>1605.61</v>
          </cell>
          <cell r="C2443">
            <v>1651.74</v>
          </cell>
          <cell r="D2443">
            <v>151.28</v>
          </cell>
          <cell r="E2443">
            <v>150.91</v>
          </cell>
          <cell r="F2443">
            <v>163.38999999999999</v>
          </cell>
          <cell r="G2443">
            <v>151.58000000000001</v>
          </cell>
          <cell r="H2443">
            <v>1877.49</v>
          </cell>
          <cell r="I2443">
            <v>171.04</v>
          </cell>
        </row>
        <row r="2444">
          <cell r="A2444">
            <v>35195</v>
          </cell>
          <cell r="B2444">
            <v>1615.09</v>
          </cell>
          <cell r="C2444">
            <v>1658.16</v>
          </cell>
          <cell r="D2444">
            <v>152.19</v>
          </cell>
          <cell r="E2444">
            <v>151.38</v>
          </cell>
          <cell r="F2444">
            <v>164.17</v>
          </cell>
          <cell r="G2444">
            <v>152.88999999999999</v>
          </cell>
          <cell r="H2444">
            <v>1905.2</v>
          </cell>
          <cell r="I2444">
            <v>173.33</v>
          </cell>
        </row>
        <row r="2445">
          <cell r="A2445">
            <v>35198</v>
          </cell>
          <cell r="B2445">
            <v>1610.06</v>
          </cell>
          <cell r="C2445">
            <v>1660.23</v>
          </cell>
          <cell r="D2445">
            <v>151.83000000000001</v>
          </cell>
          <cell r="E2445">
            <v>151.51</v>
          </cell>
          <cell r="F2445">
            <v>164.2</v>
          </cell>
          <cell r="G2445">
            <v>152.08000000000001</v>
          </cell>
          <cell r="H2445">
            <v>1898.46</v>
          </cell>
          <cell r="I2445">
            <v>172.67</v>
          </cell>
        </row>
        <row r="2446">
          <cell r="A2446">
            <v>35199</v>
          </cell>
          <cell r="B2446">
            <v>1623.07</v>
          </cell>
          <cell r="C2446">
            <v>1676.5</v>
          </cell>
          <cell r="D2446">
            <v>152.84</v>
          </cell>
          <cell r="E2446">
            <v>152.66999999999999</v>
          </cell>
          <cell r="F2446">
            <v>165.37</v>
          </cell>
          <cell r="G2446">
            <v>152.96</v>
          </cell>
          <cell r="H2446">
            <v>1912.28</v>
          </cell>
          <cell r="I2446">
            <v>173.53</v>
          </cell>
        </row>
        <row r="2447">
          <cell r="A2447">
            <v>35200</v>
          </cell>
          <cell r="B2447">
            <v>1632.19</v>
          </cell>
          <cell r="C2447">
            <v>1687.45</v>
          </cell>
          <cell r="D2447">
            <v>153.44</v>
          </cell>
          <cell r="E2447">
            <v>153.44999999999999</v>
          </cell>
          <cell r="F2447">
            <v>165.97</v>
          </cell>
          <cell r="G2447">
            <v>153.38999999999999</v>
          </cell>
          <cell r="H2447">
            <v>1920.69</v>
          </cell>
          <cell r="I2447">
            <v>174.37</v>
          </cell>
        </row>
        <row r="2448">
          <cell r="A2448">
            <v>35201</v>
          </cell>
          <cell r="B2448">
            <v>1628.24</v>
          </cell>
          <cell r="C2448">
            <v>1684.09</v>
          </cell>
          <cell r="D2448">
            <v>152.88999999999999</v>
          </cell>
          <cell r="E2448">
            <v>153.16999999999999</v>
          </cell>
          <cell r="F2448">
            <v>165.65</v>
          </cell>
          <cell r="G2448">
            <v>152.58000000000001</v>
          </cell>
          <cell r="H2448">
            <v>1918.42</v>
          </cell>
          <cell r="I2448">
            <v>174.15</v>
          </cell>
        </row>
        <row r="2449">
          <cell r="A2449">
            <v>35202</v>
          </cell>
          <cell r="B2449">
            <v>1628.5</v>
          </cell>
          <cell r="C2449">
            <v>1678.32</v>
          </cell>
          <cell r="D2449">
            <v>153.33000000000001</v>
          </cell>
          <cell r="E2449">
            <v>153.22</v>
          </cell>
          <cell r="F2449">
            <v>165.75</v>
          </cell>
          <cell r="G2449">
            <v>153.38999999999999</v>
          </cell>
          <cell r="H2449">
            <v>1930.69</v>
          </cell>
          <cell r="I2449">
            <v>175.22</v>
          </cell>
        </row>
        <row r="2450">
          <cell r="A2450">
            <v>35205</v>
          </cell>
          <cell r="B2450">
            <v>1632.12</v>
          </cell>
          <cell r="C2450">
            <v>1685.34</v>
          </cell>
          <cell r="D2450">
            <v>153.62</v>
          </cell>
          <cell r="E2450">
            <v>153.85</v>
          </cell>
          <cell r="F2450">
            <v>166.34</v>
          </cell>
          <cell r="G2450">
            <v>153.37</v>
          </cell>
          <cell r="H2450">
            <v>1949.59</v>
          </cell>
          <cell r="I2450">
            <v>177.21</v>
          </cell>
        </row>
        <row r="2451">
          <cell r="A2451">
            <v>35206</v>
          </cell>
          <cell r="B2451">
            <v>1638</v>
          </cell>
          <cell r="C2451">
            <v>1691.04</v>
          </cell>
          <cell r="D2451">
            <v>153.93</v>
          </cell>
          <cell r="E2451">
            <v>154.28</v>
          </cell>
          <cell r="F2451">
            <v>166.49</v>
          </cell>
          <cell r="G2451">
            <v>153.57</v>
          </cell>
          <cell r="H2451">
            <v>1935.83</v>
          </cell>
          <cell r="I2451">
            <v>176.08</v>
          </cell>
        </row>
        <row r="2452">
          <cell r="A2452">
            <v>35207</v>
          </cell>
          <cell r="B2452">
            <v>1624.73</v>
          </cell>
          <cell r="C2452">
            <v>1681.22</v>
          </cell>
          <cell r="D2452">
            <v>152.88999999999999</v>
          </cell>
          <cell r="E2452">
            <v>153.53</v>
          </cell>
          <cell r="F2452">
            <v>165.57</v>
          </cell>
          <cell r="G2452">
            <v>152.27000000000001</v>
          </cell>
          <cell r="H2452">
            <v>1929.06</v>
          </cell>
          <cell r="I2452">
            <v>175.55</v>
          </cell>
        </row>
        <row r="2453">
          <cell r="A2453">
            <v>35208</v>
          </cell>
          <cell r="B2453">
            <v>1624.24</v>
          </cell>
          <cell r="C2453">
            <v>1682.84</v>
          </cell>
          <cell r="D2453">
            <v>152.80000000000001</v>
          </cell>
          <cell r="E2453">
            <v>153.54</v>
          </cell>
          <cell r="F2453">
            <v>165.69</v>
          </cell>
          <cell r="G2453">
            <v>152.08000000000001</v>
          </cell>
          <cell r="H2453">
            <v>1940.04</v>
          </cell>
          <cell r="I2453">
            <v>176.68</v>
          </cell>
        </row>
        <row r="2454">
          <cell r="A2454">
            <v>35209</v>
          </cell>
          <cell r="B2454">
            <v>1623.57</v>
          </cell>
          <cell r="C2454">
            <v>1678.46</v>
          </cell>
          <cell r="D2454">
            <v>152.78</v>
          </cell>
          <cell r="E2454">
            <v>153.34</v>
          </cell>
          <cell r="F2454">
            <v>165.54</v>
          </cell>
          <cell r="G2454">
            <v>152.22999999999999</v>
          </cell>
          <cell r="H2454">
            <v>1927.47</v>
          </cell>
          <cell r="I2454">
            <v>175.16</v>
          </cell>
        </row>
        <row r="2455">
          <cell r="A2455">
            <v>35212</v>
          </cell>
          <cell r="B2455">
            <v>1623.2</v>
          </cell>
          <cell r="C2455">
            <v>1680.44</v>
          </cell>
          <cell r="D2455">
            <v>152.76</v>
          </cell>
          <cell r="E2455">
            <v>153.47</v>
          </cell>
          <cell r="F2455">
            <v>165.66</v>
          </cell>
          <cell r="G2455">
            <v>152.06</v>
          </cell>
          <cell r="H2455">
            <v>1929.37</v>
          </cell>
          <cell r="I2455">
            <v>175.48</v>
          </cell>
        </row>
        <row r="2456">
          <cell r="A2456">
            <v>35213</v>
          </cell>
          <cell r="B2456">
            <v>1630.97</v>
          </cell>
          <cell r="C2456">
            <v>1686.86</v>
          </cell>
          <cell r="D2456">
            <v>153.41</v>
          </cell>
          <cell r="E2456">
            <v>154.02000000000001</v>
          </cell>
          <cell r="F2456">
            <v>166.17</v>
          </cell>
          <cell r="G2456">
            <v>152.81</v>
          </cell>
          <cell r="H2456">
            <v>1939</v>
          </cell>
          <cell r="I2456">
            <v>176.2</v>
          </cell>
        </row>
        <row r="2457">
          <cell r="A2457">
            <v>35214</v>
          </cell>
          <cell r="B2457">
            <v>1632.04</v>
          </cell>
          <cell r="C2457">
            <v>1678.81</v>
          </cell>
          <cell r="D2457">
            <v>153.51</v>
          </cell>
          <cell r="E2457">
            <v>153.37</v>
          </cell>
          <cell r="F2457">
            <v>165.45</v>
          </cell>
          <cell r="G2457">
            <v>153.6</v>
          </cell>
          <cell r="H2457">
            <v>1921.93</v>
          </cell>
          <cell r="I2457">
            <v>174.68</v>
          </cell>
        </row>
        <row r="2458">
          <cell r="A2458">
            <v>35215</v>
          </cell>
          <cell r="B2458">
            <v>1620.78</v>
          </cell>
          <cell r="C2458">
            <v>1668.58</v>
          </cell>
          <cell r="D2458">
            <v>152.69999999999999</v>
          </cell>
          <cell r="E2458">
            <v>152.55000000000001</v>
          </cell>
          <cell r="F2458">
            <v>164.65</v>
          </cell>
          <cell r="G2458">
            <v>152.80000000000001</v>
          </cell>
          <cell r="H2458">
            <v>1924.8</v>
          </cell>
          <cell r="I2458">
            <v>174.72</v>
          </cell>
        </row>
        <row r="2459">
          <cell r="A2459">
            <v>35216</v>
          </cell>
          <cell r="B2459">
            <v>1626.68</v>
          </cell>
          <cell r="C2459">
            <v>1673.76</v>
          </cell>
          <cell r="D2459">
            <v>153.30000000000001</v>
          </cell>
          <cell r="E2459">
            <v>153.16</v>
          </cell>
          <cell r="F2459">
            <v>165.37</v>
          </cell>
          <cell r="G2459">
            <v>153.38999999999999</v>
          </cell>
          <cell r="H2459">
            <v>1935.08</v>
          </cell>
          <cell r="I2459">
            <v>175.82</v>
          </cell>
        </row>
        <row r="2460">
          <cell r="A2460">
            <v>35219</v>
          </cell>
          <cell r="B2460">
            <v>1620.92</v>
          </cell>
          <cell r="C2460">
            <v>1662.58</v>
          </cell>
          <cell r="D2460">
            <v>152.66999999999999</v>
          </cell>
          <cell r="E2460">
            <v>152.18</v>
          </cell>
          <cell r="F2460">
            <v>164.36</v>
          </cell>
          <cell r="G2460">
            <v>153.08000000000001</v>
          </cell>
          <cell r="H2460">
            <v>1936.38</v>
          </cell>
          <cell r="I2460">
            <v>175.42</v>
          </cell>
        </row>
        <row r="2461">
          <cell r="A2461">
            <v>35220</v>
          </cell>
          <cell r="B2461">
            <v>1628.81</v>
          </cell>
          <cell r="C2461">
            <v>1665.87</v>
          </cell>
          <cell r="D2461">
            <v>153.46</v>
          </cell>
          <cell r="E2461">
            <v>152.82</v>
          </cell>
          <cell r="F2461">
            <v>165.35</v>
          </cell>
          <cell r="G2461">
            <v>154.01</v>
          </cell>
          <cell r="H2461">
            <v>1970.64</v>
          </cell>
          <cell r="I2461">
            <v>178.05</v>
          </cell>
        </row>
        <row r="2462">
          <cell r="A2462">
            <v>35221</v>
          </cell>
          <cell r="B2462">
            <v>1633.06</v>
          </cell>
          <cell r="C2462">
            <v>1673.71</v>
          </cell>
          <cell r="D2462">
            <v>153.88</v>
          </cell>
          <cell r="E2462">
            <v>153.52000000000001</v>
          </cell>
          <cell r="F2462">
            <v>166.03</v>
          </cell>
          <cell r="G2462">
            <v>154.16</v>
          </cell>
          <cell r="H2462">
            <v>1969.26</v>
          </cell>
          <cell r="I2462">
            <v>178.02</v>
          </cell>
        </row>
        <row r="2463">
          <cell r="A2463">
            <v>35222</v>
          </cell>
          <cell r="B2463">
            <v>1628.33</v>
          </cell>
          <cell r="C2463">
            <v>1674.43</v>
          </cell>
          <cell r="D2463">
            <v>153.47999999999999</v>
          </cell>
          <cell r="E2463">
            <v>153.52000000000001</v>
          </cell>
          <cell r="F2463">
            <v>165.96</v>
          </cell>
          <cell r="G2463">
            <v>153.41</v>
          </cell>
          <cell r="H2463">
            <v>1964.38</v>
          </cell>
          <cell r="I2463">
            <v>177.5</v>
          </cell>
        </row>
        <row r="2464">
          <cell r="A2464">
            <v>35223</v>
          </cell>
          <cell r="B2464">
            <v>1613.88</v>
          </cell>
          <cell r="C2464">
            <v>1666.66</v>
          </cell>
          <cell r="D2464">
            <v>152.18</v>
          </cell>
          <cell r="E2464">
            <v>152.71</v>
          </cell>
          <cell r="F2464">
            <v>164.82</v>
          </cell>
          <cell r="G2464">
            <v>151.66</v>
          </cell>
          <cell r="H2464">
            <v>1942.87</v>
          </cell>
          <cell r="I2464">
            <v>175.77</v>
          </cell>
        </row>
        <row r="2465">
          <cell r="A2465">
            <v>35226</v>
          </cell>
          <cell r="B2465">
            <v>1624.1</v>
          </cell>
          <cell r="C2465">
            <v>1676.01</v>
          </cell>
          <cell r="D2465">
            <v>152.96</v>
          </cell>
          <cell r="E2465">
            <v>153.4</v>
          </cell>
          <cell r="F2465">
            <v>165.83</v>
          </cell>
          <cell r="G2465">
            <v>152.52000000000001</v>
          </cell>
          <cell r="H2465">
            <v>1967.19</v>
          </cell>
          <cell r="I2465">
            <v>178.13</v>
          </cell>
        </row>
        <row r="2466">
          <cell r="A2466">
            <v>35227</v>
          </cell>
          <cell r="B2466">
            <v>1630.28</v>
          </cell>
          <cell r="C2466">
            <v>1680.02</v>
          </cell>
          <cell r="D2466">
            <v>153.47999999999999</v>
          </cell>
          <cell r="E2466">
            <v>153.57</v>
          </cell>
          <cell r="F2466">
            <v>166.07</v>
          </cell>
          <cell r="G2466">
            <v>153.35</v>
          </cell>
          <cell r="H2466">
            <v>1975.62</v>
          </cell>
          <cell r="I2466">
            <v>178.76</v>
          </cell>
        </row>
        <row r="2467">
          <cell r="A2467">
            <v>35228</v>
          </cell>
          <cell r="B2467">
            <v>1633.93</v>
          </cell>
          <cell r="C2467">
            <v>1685.21</v>
          </cell>
          <cell r="D2467">
            <v>153.63</v>
          </cell>
          <cell r="E2467">
            <v>153.81</v>
          </cell>
          <cell r="F2467">
            <v>166.18</v>
          </cell>
          <cell r="G2467">
            <v>153.43</v>
          </cell>
          <cell r="H2467">
            <v>1957.22</v>
          </cell>
          <cell r="I2467">
            <v>176.94</v>
          </cell>
        </row>
        <row r="2468">
          <cell r="A2468">
            <v>35229</v>
          </cell>
          <cell r="B2468">
            <v>1627.83</v>
          </cell>
          <cell r="C2468">
            <v>1675.32</v>
          </cell>
          <cell r="D2468">
            <v>153.24</v>
          </cell>
          <cell r="E2468">
            <v>153.24</v>
          </cell>
          <cell r="F2468">
            <v>165.8</v>
          </cell>
          <cell r="G2468">
            <v>153.21</v>
          </cell>
          <cell r="H2468">
            <v>1948.91</v>
          </cell>
          <cell r="I2468">
            <v>176.13</v>
          </cell>
        </row>
        <row r="2469">
          <cell r="A2469">
            <v>35230</v>
          </cell>
          <cell r="B2469">
            <v>1620.13</v>
          </cell>
          <cell r="C2469">
            <v>1665.96</v>
          </cell>
          <cell r="D2469">
            <v>152.80000000000001</v>
          </cell>
          <cell r="E2469">
            <v>152.65</v>
          </cell>
          <cell r="F2469">
            <v>165.23</v>
          </cell>
          <cell r="G2469">
            <v>152.9</v>
          </cell>
          <cell r="H2469">
            <v>1945.94</v>
          </cell>
          <cell r="I2469">
            <v>176.17</v>
          </cell>
        </row>
        <row r="2470">
          <cell r="A2470">
            <v>35233</v>
          </cell>
          <cell r="B2470">
            <v>1621.76</v>
          </cell>
          <cell r="C2470">
            <v>1665.98</v>
          </cell>
          <cell r="D2470">
            <v>152.81</v>
          </cell>
          <cell r="E2470">
            <v>152.66999999999999</v>
          </cell>
          <cell r="F2470">
            <v>165.18</v>
          </cell>
          <cell r="G2470">
            <v>152.91</v>
          </cell>
          <cell r="H2470">
            <v>1940.37</v>
          </cell>
          <cell r="I2470">
            <v>175.39</v>
          </cell>
        </row>
        <row r="2471">
          <cell r="A2471">
            <v>35234</v>
          </cell>
          <cell r="B2471">
            <v>1624.54</v>
          </cell>
          <cell r="C2471">
            <v>1672.31</v>
          </cell>
          <cell r="D2471">
            <v>153.03</v>
          </cell>
          <cell r="E2471">
            <v>153.19</v>
          </cell>
          <cell r="F2471">
            <v>165.87</v>
          </cell>
          <cell r="G2471">
            <v>152.85</v>
          </cell>
          <cell r="H2471">
            <v>1944.25</v>
          </cell>
          <cell r="I2471">
            <v>175.79</v>
          </cell>
        </row>
        <row r="2472">
          <cell r="A2472">
            <v>35235</v>
          </cell>
          <cell r="B2472">
            <v>1617.32</v>
          </cell>
          <cell r="C2472">
            <v>1661.97</v>
          </cell>
          <cell r="D2472">
            <v>152.86000000000001</v>
          </cell>
          <cell r="E2472">
            <v>152.54</v>
          </cell>
          <cell r="F2472">
            <v>165.41</v>
          </cell>
          <cell r="G2472">
            <v>153.12</v>
          </cell>
          <cell r="H2472">
            <v>1952.13</v>
          </cell>
          <cell r="I2472">
            <v>175.91</v>
          </cell>
        </row>
        <row r="2473">
          <cell r="A2473">
            <v>35236</v>
          </cell>
          <cell r="B2473">
            <v>1608.4</v>
          </cell>
          <cell r="C2473">
            <v>1651.82</v>
          </cell>
          <cell r="D2473">
            <v>152.27000000000001</v>
          </cell>
          <cell r="E2473">
            <v>151.72</v>
          </cell>
          <cell r="F2473">
            <v>164.94</v>
          </cell>
          <cell r="G2473">
            <v>152.75</v>
          </cell>
          <cell r="H2473">
            <v>1965.47</v>
          </cell>
          <cell r="I2473">
            <v>176.87</v>
          </cell>
        </row>
        <row r="2474">
          <cell r="A2474">
            <v>35237</v>
          </cell>
          <cell r="B2474">
            <v>1607.41</v>
          </cell>
          <cell r="C2474">
            <v>1649.54</v>
          </cell>
          <cell r="D2474">
            <v>152.36000000000001</v>
          </cell>
          <cell r="E2474">
            <v>151.72</v>
          </cell>
          <cell r="F2474">
            <v>165.04</v>
          </cell>
          <cell r="G2474">
            <v>152.91999999999999</v>
          </cell>
          <cell r="H2474">
            <v>1970.17</v>
          </cell>
          <cell r="I2474">
            <v>177.19</v>
          </cell>
        </row>
        <row r="2475">
          <cell r="A2475">
            <v>35240</v>
          </cell>
          <cell r="B2475">
            <v>1611.09</v>
          </cell>
          <cell r="C2475">
            <v>1658.69</v>
          </cell>
          <cell r="D2475">
            <v>152.78</v>
          </cell>
          <cell r="E2475">
            <v>152.44999999999999</v>
          </cell>
          <cell r="F2475">
            <v>165.82</v>
          </cell>
          <cell r="G2475">
            <v>153.05000000000001</v>
          </cell>
          <cell r="H2475">
            <v>1970.87</v>
          </cell>
          <cell r="I2475">
            <v>177.04</v>
          </cell>
        </row>
        <row r="2476">
          <cell r="A2476">
            <v>35241</v>
          </cell>
          <cell r="B2476">
            <v>1610.84</v>
          </cell>
          <cell r="C2476">
            <v>1667.28</v>
          </cell>
          <cell r="D2476">
            <v>152.49</v>
          </cell>
          <cell r="E2476">
            <v>153.07</v>
          </cell>
          <cell r="F2476">
            <v>166.17</v>
          </cell>
          <cell r="G2476">
            <v>151.91</v>
          </cell>
          <cell r="H2476">
            <v>1958.83</v>
          </cell>
          <cell r="I2476">
            <v>175.52</v>
          </cell>
        </row>
        <row r="2477">
          <cell r="A2477">
            <v>35242</v>
          </cell>
          <cell r="B2477">
            <v>1615.79</v>
          </cell>
          <cell r="C2477">
            <v>1667.4</v>
          </cell>
          <cell r="D2477">
            <v>152.77000000000001</v>
          </cell>
          <cell r="E2477">
            <v>153.1</v>
          </cell>
          <cell r="F2477">
            <v>166.45</v>
          </cell>
          <cell r="G2477">
            <v>152.41999999999999</v>
          </cell>
          <cell r="H2477">
            <v>1961.59</v>
          </cell>
          <cell r="I2477">
            <v>175.78</v>
          </cell>
        </row>
        <row r="2478">
          <cell r="A2478">
            <v>35243</v>
          </cell>
          <cell r="B2478">
            <v>1607.5</v>
          </cell>
          <cell r="C2478">
            <v>1657.51</v>
          </cell>
          <cell r="D2478">
            <v>152.03</v>
          </cell>
          <cell r="E2478">
            <v>152.19</v>
          </cell>
          <cell r="F2478">
            <v>165.55</v>
          </cell>
          <cell r="G2478">
            <v>151.85</v>
          </cell>
          <cell r="H2478">
            <v>1936.32</v>
          </cell>
          <cell r="I2478">
            <v>173.47</v>
          </cell>
        </row>
        <row r="2479">
          <cell r="A2479">
            <v>35244</v>
          </cell>
          <cell r="B2479">
            <v>1621.99</v>
          </cell>
          <cell r="C2479">
            <v>1665.9</v>
          </cell>
          <cell r="D2479">
            <v>153.22999999999999</v>
          </cell>
          <cell r="E2479">
            <v>153.04</v>
          </cell>
          <cell r="F2479">
            <v>166.49</v>
          </cell>
          <cell r="G2479">
            <v>153.37</v>
          </cell>
          <cell r="H2479">
            <v>1961.42</v>
          </cell>
          <cell r="I2479">
            <v>175.45</v>
          </cell>
        </row>
        <row r="2480">
          <cell r="A2480">
            <v>35247</v>
          </cell>
          <cell r="B2480">
            <v>1625.46</v>
          </cell>
          <cell r="C2480">
            <v>1663.44</v>
          </cell>
          <cell r="D2480">
            <v>153.58000000000001</v>
          </cell>
          <cell r="E2480">
            <v>152.88</v>
          </cell>
          <cell r="F2480">
            <v>166.47</v>
          </cell>
          <cell r="G2480">
            <v>154.18</v>
          </cell>
          <cell r="H2480">
            <v>1971.6</v>
          </cell>
          <cell r="I2480">
            <v>176.37</v>
          </cell>
        </row>
        <row r="2481">
          <cell r="A2481">
            <v>35248</v>
          </cell>
          <cell r="B2481">
            <v>1628.97</v>
          </cell>
          <cell r="C2481">
            <v>1662.17</v>
          </cell>
          <cell r="D2481">
            <v>153.72</v>
          </cell>
          <cell r="E2481">
            <v>152.85</v>
          </cell>
          <cell r="F2481">
            <v>166.62</v>
          </cell>
          <cell r="G2481">
            <v>154.49</v>
          </cell>
          <cell r="H2481">
            <v>1970.49</v>
          </cell>
          <cell r="I2481">
            <v>176.33</v>
          </cell>
        </row>
        <row r="2482">
          <cell r="A2482">
            <v>35249</v>
          </cell>
          <cell r="B2482">
            <v>1628.28</v>
          </cell>
          <cell r="C2482">
            <v>1662.39</v>
          </cell>
          <cell r="D2482">
            <v>153.43</v>
          </cell>
          <cell r="E2482">
            <v>152.87</v>
          </cell>
          <cell r="F2482">
            <v>166.45</v>
          </cell>
          <cell r="G2482">
            <v>153.91</v>
          </cell>
          <cell r="H2482">
            <v>1963.83</v>
          </cell>
          <cell r="I2482">
            <v>175.52</v>
          </cell>
        </row>
        <row r="2483">
          <cell r="A2483">
            <v>35250</v>
          </cell>
          <cell r="B2483">
            <v>1639.52</v>
          </cell>
          <cell r="C2483">
            <v>1668.86</v>
          </cell>
          <cell r="D2483">
            <v>154.32</v>
          </cell>
          <cell r="E2483">
            <v>153.55000000000001</v>
          </cell>
          <cell r="F2483">
            <v>167.14</v>
          </cell>
          <cell r="G2483">
            <v>155</v>
          </cell>
          <cell r="H2483">
            <v>1969.58</v>
          </cell>
          <cell r="I2483">
            <v>175.84</v>
          </cell>
        </row>
        <row r="2484">
          <cell r="A2484">
            <v>35251</v>
          </cell>
          <cell r="B2484">
            <v>1626.73</v>
          </cell>
          <cell r="C2484">
            <v>1657.4</v>
          </cell>
          <cell r="D2484">
            <v>153.34</v>
          </cell>
          <cell r="E2484">
            <v>152.63999999999999</v>
          </cell>
          <cell r="F2484">
            <v>165.85</v>
          </cell>
          <cell r="G2484">
            <v>153.94999999999999</v>
          </cell>
          <cell r="H2484">
            <v>1947.57</v>
          </cell>
          <cell r="I2484">
            <v>174</v>
          </cell>
        </row>
        <row r="2485">
          <cell r="A2485">
            <v>35254</v>
          </cell>
          <cell r="B2485">
            <v>1621.02</v>
          </cell>
          <cell r="C2485">
            <v>1643.72</v>
          </cell>
          <cell r="D2485">
            <v>152.62</v>
          </cell>
          <cell r="E2485">
            <v>151.43</v>
          </cell>
          <cell r="F2485">
            <v>164.81</v>
          </cell>
          <cell r="G2485">
            <v>153.69</v>
          </cell>
          <cell r="H2485">
            <v>1937.59</v>
          </cell>
          <cell r="I2485">
            <v>173.23</v>
          </cell>
        </row>
        <row r="2486">
          <cell r="A2486">
            <v>35255</v>
          </cell>
          <cell r="B2486">
            <v>1626.66</v>
          </cell>
          <cell r="C2486">
            <v>1649.9</v>
          </cell>
          <cell r="D2486">
            <v>153.06</v>
          </cell>
          <cell r="E2486">
            <v>151.85</v>
          </cell>
          <cell r="F2486">
            <v>165.58</v>
          </cell>
          <cell r="G2486">
            <v>154.15</v>
          </cell>
          <cell r="H2486">
            <v>1958.65</v>
          </cell>
          <cell r="I2486">
            <v>174.99</v>
          </cell>
        </row>
        <row r="2487">
          <cell r="A2487">
            <v>35256</v>
          </cell>
          <cell r="B2487">
            <v>1627.78</v>
          </cell>
          <cell r="C2487">
            <v>1644.54</v>
          </cell>
          <cell r="D2487">
            <v>153.29</v>
          </cell>
          <cell r="E2487">
            <v>151.65</v>
          </cell>
          <cell r="F2487">
            <v>165.48</v>
          </cell>
          <cell r="G2487">
            <v>154.78</v>
          </cell>
          <cell r="H2487">
            <v>1948.45</v>
          </cell>
          <cell r="I2487">
            <v>173.75</v>
          </cell>
        </row>
        <row r="2488">
          <cell r="A2488">
            <v>35257</v>
          </cell>
          <cell r="B2488">
            <v>1621.87</v>
          </cell>
          <cell r="C2488">
            <v>1637.84</v>
          </cell>
          <cell r="D2488">
            <v>152.72</v>
          </cell>
          <cell r="E2488">
            <v>151.15</v>
          </cell>
          <cell r="F2488">
            <v>165.07</v>
          </cell>
          <cell r="G2488">
            <v>154.15</v>
          </cell>
          <cell r="H2488">
            <v>1927.69</v>
          </cell>
          <cell r="I2488">
            <v>171.99</v>
          </cell>
        </row>
        <row r="2489">
          <cell r="A2489">
            <v>35258</v>
          </cell>
          <cell r="B2489">
            <v>1609.97</v>
          </cell>
          <cell r="C2489">
            <v>1624.01</v>
          </cell>
          <cell r="D2489">
            <v>151.54</v>
          </cell>
          <cell r="E2489">
            <v>149.80000000000001</v>
          </cell>
          <cell r="F2489">
            <v>163.68</v>
          </cell>
          <cell r="G2489">
            <v>153.11000000000001</v>
          </cell>
          <cell r="H2489">
            <v>1912.63</v>
          </cell>
          <cell r="I2489">
            <v>170.7</v>
          </cell>
        </row>
        <row r="2490">
          <cell r="A2490">
            <v>35261</v>
          </cell>
          <cell r="B2490">
            <v>1602.34</v>
          </cell>
          <cell r="C2490">
            <v>1614.81</v>
          </cell>
          <cell r="D2490">
            <v>150.56</v>
          </cell>
          <cell r="E2490">
            <v>148.72999999999999</v>
          </cell>
          <cell r="F2490">
            <v>162.69999999999999</v>
          </cell>
          <cell r="G2490">
            <v>152.21</v>
          </cell>
          <cell r="H2490">
            <v>1903.99</v>
          </cell>
          <cell r="I2490">
            <v>170.08</v>
          </cell>
        </row>
        <row r="2491">
          <cell r="A2491">
            <v>35262</v>
          </cell>
          <cell r="B2491">
            <v>1564</v>
          </cell>
          <cell r="C2491">
            <v>1578.26</v>
          </cell>
          <cell r="D2491">
            <v>146.82</v>
          </cell>
          <cell r="E2491">
            <v>145.29</v>
          </cell>
          <cell r="F2491">
            <v>159.22999999999999</v>
          </cell>
          <cell r="G2491">
            <v>148.21</v>
          </cell>
          <cell r="H2491">
            <v>1861.68</v>
          </cell>
          <cell r="I2491">
            <v>166.27</v>
          </cell>
        </row>
        <row r="2492">
          <cell r="A2492">
            <v>35263</v>
          </cell>
          <cell r="B2492">
            <v>1571.78</v>
          </cell>
          <cell r="C2492">
            <v>1589.28</v>
          </cell>
          <cell r="D2492">
            <v>147.52000000000001</v>
          </cell>
          <cell r="E2492">
            <v>146.43</v>
          </cell>
          <cell r="F2492">
            <v>160.28</v>
          </cell>
          <cell r="G2492">
            <v>148.49</v>
          </cell>
          <cell r="H2492">
            <v>1875.83</v>
          </cell>
          <cell r="I2492">
            <v>167.35</v>
          </cell>
        </row>
        <row r="2493">
          <cell r="A2493">
            <v>35264</v>
          </cell>
          <cell r="B2493">
            <v>1582.54</v>
          </cell>
          <cell r="C2493">
            <v>1599.28</v>
          </cell>
          <cell r="D2493">
            <v>148.4</v>
          </cell>
          <cell r="E2493">
            <v>147.28</v>
          </cell>
          <cell r="F2493">
            <v>160.79</v>
          </cell>
          <cell r="G2493">
            <v>149.41</v>
          </cell>
          <cell r="H2493">
            <v>1872.59</v>
          </cell>
          <cell r="I2493">
            <v>167</v>
          </cell>
        </row>
        <row r="2494">
          <cell r="A2494">
            <v>35265</v>
          </cell>
          <cell r="B2494">
            <v>1584.86</v>
          </cell>
          <cell r="C2494">
            <v>1602.75</v>
          </cell>
          <cell r="D2494">
            <v>148.72999999999999</v>
          </cell>
          <cell r="E2494">
            <v>147.54</v>
          </cell>
          <cell r="F2494">
            <v>161.25</v>
          </cell>
          <cell r="G2494">
            <v>149.80000000000001</v>
          </cell>
          <cell r="H2494">
            <v>1883.4</v>
          </cell>
          <cell r="I2494">
            <v>168.19</v>
          </cell>
        </row>
        <row r="2495">
          <cell r="A2495">
            <v>35268</v>
          </cell>
          <cell r="B2495">
            <v>1563.21</v>
          </cell>
          <cell r="C2495">
            <v>1578</v>
          </cell>
          <cell r="D2495">
            <v>146.86000000000001</v>
          </cell>
          <cell r="E2495">
            <v>145.51</v>
          </cell>
          <cell r="F2495">
            <v>158.78</v>
          </cell>
          <cell r="G2495">
            <v>148.07</v>
          </cell>
          <cell r="H2495">
            <v>1860.91</v>
          </cell>
          <cell r="I2495">
            <v>166.41</v>
          </cell>
        </row>
        <row r="2496">
          <cell r="A2496">
            <v>35269</v>
          </cell>
          <cell r="B2496">
            <v>1576.53</v>
          </cell>
          <cell r="C2496">
            <v>1586</v>
          </cell>
          <cell r="D2496">
            <v>147.72</v>
          </cell>
          <cell r="E2496">
            <v>146.04</v>
          </cell>
          <cell r="F2496">
            <v>159.38999999999999</v>
          </cell>
          <cell r="G2496">
            <v>149.25</v>
          </cell>
          <cell r="H2496">
            <v>1866.15</v>
          </cell>
          <cell r="I2496">
            <v>166.85</v>
          </cell>
        </row>
        <row r="2497">
          <cell r="A2497">
            <v>35270</v>
          </cell>
          <cell r="B2497">
            <v>1553.38</v>
          </cell>
          <cell r="C2497">
            <v>1563.32</v>
          </cell>
          <cell r="D2497">
            <v>145.68</v>
          </cell>
          <cell r="E2497">
            <v>144.13</v>
          </cell>
          <cell r="F2497">
            <v>156.77000000000001</v>
          </cell>
          <cell r="G2497">
            <v>147.08000000000001</v>
          </cell>
          <cell r="H2497">
            <v>1840.66</v>
          </cell>
          <cell r="I2497">
            <v>164.51</v>
          </cell>
        </row>
        <row r="2498">
          <cell r="A2498">
            <v>35271</v>
          </cell>
          <cell r="B2498">
            <v>1565.99</v>
          </cell>
          <cell r="C2498">
            <v>1578.7</v>
          </cell>
          <cell r="D2498">
            <v>146.57</v>
          </cell>
          <cell r="E2498">
            <v>145.31</v>
          </cell>
          <cell r="F2498">
            <v>158.19</v>
          </cell>
          <cell r="G2498">
            <v>147.69999999999999</v>
          </cell>
          <cell r="H2498">
            <v>1848.76</v>
          </cell>
          <cell r="I2498">
            <v>164.99</v>
          </cell>
        </row>
        <row r="2499">
          <cell r="A2499">
            <v>35272</v>
          </cell>
          <cell r="B2499">
            <v>1561.37</v>
          </cell>
          <cell r="C2499">
            <v>1571.31</v>
          </cell>
          <cell r="D2499">
            <v>146.41999999999999</v>
          </cell>
          <cell r="E2499">
            <v>144.88999999999999</v>
          </cell>
          <cell r="F2499">
            <v>157.96</v>
          </cell>
          <cell r="G2499">
            <v>147.80000000000001</v>
          </cell>
          <cell r="H2499">
            <v>1853.04</v>
          </cell>
          <cell r="I2499">
            <v>165.53</v>
          </cell>
        </row>
        <row r="2500">
          <cell r="A2500">
            <v>35275</v>
          </cell>
          <cell r="B2500">
            <v>1564.5</v>
          </cell>
          <cell r="C2500">
            <v>1573.74</v>
          </cell>
          <cell r="D2500">
            <v>146.6</v>
          </cell>
          <cell r="E2500">
            <v>144.91999999999999</v>
          </cell>
          <cell r="F2500">
            <v>158.15</v>
          </cell>
          <cell r="G2500">
            <v>148.13</v>
          </cell>
          <cell r="H2500">
            <v>1858.93</v>
          </cell>
          <cell r="I2500">
            <v>166.27</v>
          </cell>
        </row>
        <row r="2501">
          <cell r="A2501">
            <v>35276</v>
          </cell>
          <cell r="B2501">
            <v>1562.24</v>
          </cell>
          <cell r="C2501">
            <v>1574.73</v>
          </cell>
          <cell r="D2501">
            <v>146.21</v>
          </cell>
          <cell r="E2501">
            <v>144.81</v>
          </cell>
          <cell r="F2501">
            <v>157.79</v>
          </cell>
          <cell r="G2501">
            <v>147.47999999999999</v>
          </cell>
          <cell r="H2501">
            <v>1845.05</v>
          </cell>
          <cell r="I2501">
            <v>165.26</v>
          </cell>
        </row>
        <row r="2502">
          <cell r="A2502">
            <v>35277</v>
          </cell>
          <cell r="B2502">
            <v>1573.84</v>
          </cell>
          <cell r="C2502">
            <v>1590.93</v>
          </cell>
          <cell r="D2502">
            <v>147.05000000000001</v>
          </cell>
          <cell r="E2502">
            <v>146.19999999999999</v>
          </cell>
          <cell r="F2502">
            <v>158.79</v>
          </cell>
          <cell r="G2502">
            <v>147.80000000000001</v>
          </cell>
          <cell r="H2502">
            <v>1849.58</v>
          </cell>
          <cell r="I2502">
            <v>165.79</v>
          </cell>
        </row>
        <row r="2503">
          <cell r="A2503">
            <v>35278</v>
          </cell>
          <cell r="B2503">
            <v>1583.63</v>
          </cell>
          <cell r="C2503">
            <v>1601.71</v>
          </cell>
          <cell r="D2503">
            <v>147.97999999999999</v>
          </cell>
          <cell r="E2503">
            <v>147.28</v>
          </cell>
          <cell r="F2503">
            <v>159.81</v>
          </cell>
          <cell r="G2503">
            <v>148.6</v>
          </cell>
          <cell r="H2503">
            <v>1875.28</v>
          </cell>
          <cell r="I2503">
            <v>167.99</v>
          </cell>
        </row>
        <row r="2504">
          <cell r="A2504">
            <v>35279</v>
          </cell>
          <cell r="B2504">
            <v>1600.43</v>
          </cell>
          <cell r="C2504">
            <v>1616.43</v>
          </cell>
          <cell r="D2504">
            <v>149.36000000000001</v>
          </cell>
          <cell r="E2504">
            <v>148.51</v>
          </cell>
          <cell r="F2504">
            <v>161.86000000000001</v>
          </cell>
          <cell r="G2504">
            <v>150.11000000000001</v>
          </cell>
          <cell r="H2504">
            <v>1906.52</v>
          </cell>
          <cell r="I2504">
            <v>170.53</v>
          </cell>
        </row>
        <row r="2505">
          <cell r="A2505">
            <v>35282</v>
          </cell>
          <cell r="B2505">
            <v>1605.98</v>
          </cell>
          <cell r="C2505">
            <v>1620.54</v>
          </cell>
          <cell r="D2505">
            <v>150.03</v>
          </cell>
          <cell r="E2505">
            <v>148.88999999999999</v>
          </cell>
          <cell r="F2505">
            <v>162.38</v>
          </cell>
          <cell r="G2505">
            <v>151.06</v>
          </cell>
          <cell r="H2505">
            <v>1915.79</v>
          </cell>
          <cell r="I2505">
            <v>170.77</v>
          </cell>
        </row>
        <row r="2506">
          <cell r="A2506">
            <v>35283</v>
          </cell>
          <cell r="B2506">
            <v>1608.44</v>
          </cell>
          <cell r="C2506">
            <v>1617.66</v>
          </cell>
          <cell r="D2506">
            <v>150.30000000000001</v>
          </cell>
          <cell r="E2506">
            <v>148.66</v>
          </cell>
          <cell r="F2506">
            <v>162.21</v>
          </cell>
          <cell r="G2506">
            <v>151.79</v>
          </cell>
          <cell r="H2506">
            <v>1910.84</v>
          </cell>
          <cell r="I2506">
            <v>170.21</v>
          </cell>
        </row>
        <row r="2507">
          <cell r="A2507">
            <v>35284</v>
          </cell>
          <cell r="B2507">
            <v>1614.38</v>
          </cell>
          <cell r="C2507">
            <v>1621.59</v>
          </cell>
          <cell r="D2507">
            <v>150.76</v>
          </cell>
          <cell r="E2507">
            <v>148.91999999999999</v>
          </cell>
          <cell r="F2507">
            <v>162.71</v>
          </cell>
          <cell r="G2507">
            <v>152.43</v>
          </cell>
          <cell r="H2507">
            <v>1922.05</v>
          </cell>
          <cell r="I2507">
            <v>171.26</v>
          </cell>
        </row>
        <row r="2508">
          <cell r="A2508">
            <v>35285</v>
          </cell>
          <cell r="B2508">
            <v>1613.49</v>
          </cell>
          <cell r="C2508">
            <v>1620.71</v>
          </cell>
          <cell r="D2508">
            <v>151.02000000000001</v>
          </cell>
          <cell r="E2508">
            <v>149.07</v>
          </cell>
          <cell r="F2508">
            <v>162.83000000000001</v>
          </cell>
          <cell r="G2508">
            <v>152.78</v>
          </cell>
          <cell r="H2508">
            <v>1940.23</v>
          </cell>
          <cell r="I2508">
            <v>172.99</v>
          </cell>
        </row>
        <row r="2509">
          <cell r="A2509">
            <v>35286</v>
          </cell>
          <cell r="B2509">
            <v>1607.81</v>
          </cell>
          <cell r="C2509">
            <v>1612.64</v>
          </cell>
          <cell r="D2509">
            <v>150.46</v>
          </cell>
          <cell r="E2509">
            <v>148.34</v>
          </cell>
          <cell r="F2509">
            <v>162.18</v>
          </cell>
          <cell r="G2509">
            <v>152.38999999999999</v>
          </cell>
          <cell r="H2509">
            <v>1937.03</v>
          </cell>
          <cell r="I2509">
            <v>172.08</v>
          </cell>
        </row>
        <row r="2510">
          <cell r="A2510">
            <v>35289</v>
          </cell>
          <cell r="B2510">
            <v>1602.28</v>
          </cell>
          <cell r="C2510">
            <v>1610.67</v>
          </cell>
          <cell r="D2510">
            <v>150.24</v>
          </cell>
          <cell r="E2510">
            <v>148.16</v>
          </cell>
          <cell r="F2510">
            <v>161.88999999999999</v>
          </cell>
          <cell r="G2510">
            <v>152.13999999999999</v>
          </cell>
          <cell r="H2510">
            <v>1941.38</v>
          </cell>
          <cell r="I2510">
            <v>172.27</v>
          </cell>
        </row>
        <row r="2511">
          <cell r="A2511">
            <v>35290</v>
          </cell>
          <cell r="B2511">
            <v>1607.11</v>
          </cell>
          <cell r="C2511">
            <v>1614.26</v>
          </cell>
          <cell r="D2511">
            <v>150.69</v>
          </cell>
          <cell r="E2511">
            <v>148.43</v>
          </cell>
          <cell r="F2511">
            <v>162.29</v>
          </cell>
          <cell r="G2511">
            <v>152.75</v>
          </cell>
          <cell r="H2511">
            <v>1949.58</v>
          </cell>
          <cell r="I2511">
            <v>172.97</v>
          </cell>
        </row>
        <row r="2512">
          <cell r="A2512">
            <v>35291</v>
          </cell>
          <cell r="B2512">
            <v>1609.77</v>
          </cell>
          <cell r="C2512">
            <v>1612.07</v>
          </cell>
          <cell r="D2512">
            <v>151.03</v>
          </cell>
          <cell r="E2512">
            <v>148.18</v>
          </cell>
          <cell r="F2512">
            <v>162.27000000000001</v>
          </cell>
          <cell r="G2512">
            <v>153.63999999999999</v>
          </cell>
          <cell r="H2512">
            <v>1959.85</v>
          </cell>
          <cell r="I2512">
            <v>173.98</v>
          </cell>
        </row>
        <row r="2513">
          <cell r="A2513">
            <v>35292</v>
          </cell>
          <cell r="B2513">
            <v>1611.5</v>
          </cell>
          <cell r="C2513">
            <v>1615.67</v>
          </cell>
          <cell r="D2513">
            <v>150.96</v>
          </cell>
          <cell r="E2513">
            <v>148.30000000000001</v>
          </cell>
          <cell r="F2513">
            <v>162.27000000000001</v>
          </cell>
          <cell r="G2513">
            <v>153.38999999999999</v>
          </cell>
          <cell r="H2513">
            <v>1957.32</v>
          </cell>
          <cell r="I2513">
            <v>173.67</v>
          </cell>
        </row>
        <row r="2514">
          <cell r="A2514">
            <v>35293</v>
          </cell>
          <cell r="B2514">
            <v>1622.4</v>
          </cell>
          <cell r="C2514">
            <v>1620.22</v>
          </cell>
          <cell r="D2514">
            <v>151.77000000000001</v>
          </cell>
          <cell r="E2514">
            <v>148.66</v>
          </cell>
          <cell r="F2514">
            <v>162.74</v>
          </cell>
          <cell r="G2514">
            <v>154.63</v>
          </cell>
          <cell r="H2514">
            <v>1959.21</v>
          </cell>
          <cell r="I2514">
            <v>173.75</v>
          </cell>
        </row>
        <row r="2515">
          <cell r="A2515">
            <v>35296</v>
          </cell>
          <cell r="B2515">
            <v>1619.67</v>
          </cell>
          <cell r="C2515">
            <v>1627.45</v>
          </cell>
          <cell r="D2515">
            <v>151.59</v>
          </cell>
          <cell r="E2515">
            <v>148.94999999999999</v>
          </cell>
          <cell r="F2515">
            <v>162.86000000000001</v>
          </cell>
          <cell r="G2515">
            <v>154.01</v>
          </cell>
          <cell r="H2515">
            <v>1952.86</v>
          </cell>
          <cell r="I2515">
            <v>173.1</v>
          </cell>
        </row>
        <row r="2516">
          <cell r="A2516">
            <v>35297</v>
          </cell>
          <cell r="B2516">
            <v>1632.85</v>
          </cell>
          <cell r="C2516">
            <v>1638.17</v>
          </cell>
          <cell r="D2516">
            <v>152.59</v>
          </cell>
          <cell r="E2516">
            <v>149.76</v>
          </cell>
          <cell r="F2516">
            <v>163.92</v>
          </cell>
          <cell r="G2516">
            <v>155.19</v>
          </cell>
          <cell r="H2516">
            <v>1972.4</v>
          </cell>
          <cell r="I2516">
            <v>174.78</v>
          </cell>
        </row>
        <row r="2517">
          <cell r="A2517">
            <v>35298</v>
          </cell>
          <cell r="B2517">
            <v>1623.88</v>
          </cell>
          <cell r="C2517">
            <v>1625.95</v>
          </cell>
          <cell r="D2517">
            <v>151.85</v>
          </cell>
          <cell r="E2517">
            <v>148.87</v>
          </cell>
          <cell r="F2517">
            <v>163.19999999999999</v>
          </cell>
          <cell r="G2517">
            <v>154.59</v>
          </cell>
          <cell r="H2517">
            <v>1964.96</v>
          </cell>
          <cell r="I2517">
            <v>174.39</v>
          </cell>
        </row>
        <row r="2518">
          <cell r="A2518">
            <v>35299</v>
          </cell>
          <cell r="B2518">
            <v>1637.47</v>
          </cell>
          <cell r="C2518">
            <v>1637.33</v>
          </cell>
          <cell r="D2518">
            <v>153.18</v>
          </cell>
          <cell r="E2518">
            <v>150</v>
          </cell>
          <cell r="F2518">
            <v>164.48</v>
          </cell>
          <cell r="G2518">
            <v>156.11000000000001</v>
          </cell>
          <cell r="H2518">
            <v>1989.49</v>
          </cell>
          <cell r="I2518">
            <v>176.27</v>
          </cell>
        </row>
        <row r="2519">
          <cell r="A2519">
            <v>35300</v>
          </cell>
          <cell r="B2519">
            <v>1636.12</v>
          </cell>
          <cell r="C2519">
            <v>1633.28</v>
          </cell>
          <cell r="D2519">
            <v>153.22999999999999</v>
          </cell>
          <cell r="E2519">
            <v>149.96</v>
          </cell>
          <cell r="F2519">
            <v>164.54</v>
          </cell>
          <cell r="G2519">
            <v>156.24</v>
          </cell>
          <cell r="H2519">
            <v>1978.03</v>
          </cell>
          <cell r="I2519">
            <v>175.18</v>
          </cell>
        </row>
        <row r="2520">
          <cell r="A2520">
            <v>35303</v>
          </cell>
          <cell r="B2520">
            <v>1631</v>
          </cell>
          <cell r="C2520">
            <v>1625.81</v>
          </cell>
          <cell r="D2520">
            <v>152.96</v>
          </cell>
          <cell r="E2520">
            <v>149.5</v>
          </cell>
          <cell r="F2520">
            <v>164.09</v>
          </cell>
          <cell r="G2520">
            <v>156.15</v>
          </cell>
          <cell r="H2520">
            <v>1981.83</v>
          </cell>
          <cell r="I2520">
            <v>175.58</v>
          </cell>
        </row>
        <row r="2521">
          <cell r="A2521">
            <v>35304</v>
          </cell>
          <cell r="B2521">
            <v>1631.07</v>
          </cell>
          <cell r="C2521">
            <v>1628.32</v>
          </cell>
          <cell r="D2521">
            <v>153.04</v>
          </cell>
          <cell r="E2521">
            <v>149.79</v>
          </cell>
          <cell r="F2521">
            <v>164.46</v>
          </cell>
          <cell r="G2521">
            <v>156.03</v>
          </cell>
          <cell r="H2521">
            <v>1989.64</v>
          </cell>
          <cell r="I2521">
            <v>176.43</v>
          </cell>
        </row>
        <row r="2522">
          <cell r="A2522">
            <v>35305</v>
          </cell>
          <cell r="B2522">
            <v>1634.4</v>
          </cell>
          <cell r="C2522">
            <v>1627.22</v>
          </cell>
          <cell r="D2522">
            <v>153.13999999999999</v>
          </cell>
          <cell r="E2522">
            <v>149.63</v>
          </cell>
          <cell r="F2522">
            <v>164.11</v>
          </cell>
          <cell r="G2522">
            <v>156.38999999999999</v>
          </cell>
          <cell r="H2522">
            <v>1985.08</v>
          </cell>
          <cell r="I2522">
            <v>176.32</v>
          </cell>
        </row>
        <row r="2523">
          <cell r="A2523">
            <v>35306</v>
          </cell>
          <cell r="B2523">
            <v>1620.3</v>
          </cell>
          <cell r="C2523">
            <v>1615.32</v>
          </cell>
          <cell r="D2523">
            <v>152.07</v>
          </cell>
          <cell r="E2523">
            <v>148.62</v>
          </cell>
          <cell r="F2523">
            <v>163.13999999999999</v>
          </cell>
          <cell r="G2523">
            <v>155.25</v>
          </cell>
          <cell r="H2523">
            <v>1976.9</v>
          </cell>
          <cell r="I2523">
            <v>175.83</v>
          </cell>
        </row>
        <row r="2524">
          <cell r="A2524">
            <v>35307</v>
          </cell>
          <cell r="B2524">
            <v>1608.98</v>
          </cell>
          <cell r="C2524">
            <v>1601.43</v>
          </cell>
          <cell r="D2524">
            <v>151.31</v>
          </cell>
          <cell r="E2524">
            <v>147.58000000000001</v>
          </cell>
          <cell r="F2524">
            <v>161.91</v>
          </cell>
          <cell r="G2524">
            <v>154.77000000000001</v>
          </cell>
          <cell r="H2524">
            <v>1974.61</v>
          </cell>
          <cell r="I2524">
            <v>175.78</v>
          </cell>
        </row>
        <row r="2525">
          <cell r="A2525">
            <v>35310</v>
          </cell>
          <cell r="B2525">
            <v>1613.21</v>
          </cell>
          <cell r="C2525">
            <v>1602.57</v>
          </cell>
          <cell r="D2525">
            <v>151.56</v>
          </cell>
          <cell r="E2525">
            <v>147.51</v>
          </cell>
          <cell r="F2525">
            <v>161.79</v>
          </cell>
          <cell r="G2525">
            <v>155.33000000000001</v>
          </cell>
          <cell r="H2525">
            <v>1971.55</v>
          </cell>
          <cell r="I2525">
            <v>175.56</v>
          </cell>
        </row>
        <row r="2526">
          <cell r="A2526">
            <v>35311</v>
          </cell>
          <cell r="B2526">
            <v>1604.9</v>
          </cell>
          <cell r="C2526">
            <v>1595.17</v>
          </cell>
          <cell r="D2526">
            <v>150.79</v>
          </cell>
          <cell r="E2526">
            <v>146.72999999999999</v>
          </cell>
          <cell r="F2526">
            <v>160.83000000000001</v>
          </cell>
          <cell r="G2526">
            <v>154.55000000000001</v>
          </cell>
          <cell r="H2526">
            <v>1956.43</v>
          </cell>
          <cell r="I2526">
            <v>174.31</v>
          </cell>
        </row>
        <row r="2527">
          <cell r="A2527">
            <v>35312</v>
          </cell>
          <cell r="B2527">
            <v>1611.16</v>
          </cell>
          <cell r="C2527">
            <v>1604.53</v>
          </cell>
          <cell r="D2527">
            <v>151.30000000000001</v>
          </cell>
          <cell r="E2527">
            <v>147.38</v>
          </cell>
          <cell r="F2527">
            <v>161.55000000000001</v>
          </cell>
          <cell r="G2527">
            <v>154.94</v>
          </cell>
          <cell r="H2527">
            <v>1968.24</v>
          </cell>
          <cell r="I2527">
            <v>175.23</v>
          </cell>
        </row>
        <row r="2528">
          <cell r="A2528">
            <v>35313</v>
          </cell>
          <cell r="B2528">
            <v>1614.99</v>
          </cell>
          <cell r="C2528">
            <v>1605.33</v>
          </cell>
          <cell r="D2528">
            <v>151.80000000000001</v>
          </cell>
          <cell r="E2528">
            <v>147.63</v>
          </cell>
          <cell r="F2528">
            <v>161.81</v>
          </cell>
          <cell r="G2528">
            <v>155.66999999999999</v>
          </cell>
          <cell r="H2528">
            <v>1976.72</v>
          </cell>
          <cell r="I2528">
            <v>175.92</v>
          </cell>
        </row>
        <row r="2529">
          <cell r="A2529">
            <v>35314</v>
          </cell>
          <cell r="B2529">
            <v>1613.92</v>
          </cell>
          <cell r="C2529">
            <v>1605.98</v>
          </cell>
          <cell r="D2529">
            <v>151.85</v>
          </cell>
          <cell r="E2529">
            <v>147.71</v>
          </cell>
          <cell r="F2529">
            <v>161.88</v>
          </cell>
          <cell r="G2529">
            <v>155.69</v>
          </cell>
          <cell r="H2529">
            <v>1985.37</v>
          </cell>
          <cell r="I2529">
            <v>176.76</v>
          </cell>
        </row>
        <row r="2530">
          <cell r="A2530">
            <v>35317</v>
          </cell>
          <cell r="B2530">
            <v>1630.63</v>
          </cell>
          <cell r="C2530">
            <v>1623.19</v>
          </cell>
          <cell r="D2530">
            <v>153.11000000000001</v>
          </cell>
          <cell r="E2530">
            <v>149.16</v>
          </cell>
          <cell r="F2530">
            <v>163.5</v>
          </cell>
          <cell r="G2530">
            <v>156.77000000000001</v>
          </cell>
          <cell r="H2530">
            <v>2005.92</v>
          </cell>
          <cell r="I2530">
            <v>178.45</v>
          </cell>
        </row>
        <row r="2531">
          <cell r="A2531">
            <v>35318</v>
          </cell>
          <cell r="B2531">
            <v>1639.26</v>
          </cell>
          <cell r="C2531">
            <v>1630.62</v>
          </cell>
          <cell r="D2531">
            <v>153.97999999999999</v>
          </cell>
          <cell r="E2531">
            <v>150.03</v>
          </cell>
          <cell r="F2531">
            <v>164.18</v>
          </cell>
          <cell r="G2531">
            <v>157.63999999999999</v>
          </cell>
          <cell r="H2531">
            <v>2005.37</v>
          </cell>
          <cell r="I2531">
            <v>178.42</v>
          </cell>
        </row>
        <row r="2532">
          <cell r="A2532">
            <v>35319</v>
          </cell>
          <cell r="B2532">
            <v>1635.34</v>
          </cell>
          <cell r="C2532">
            <v>1626.79</v>
          </cell>
          <cell r="D2532">
            <v>153.52000000000001</v>
          </cell>
          <cell r="E2532">
            <v>149.66999999999999</v>
          </cell>
          <cell r="F2532">
            <v>163.80000000000001</v>
          </cell>
          <cell r="G2532">
            <v>157.08000000000001</v>
          </cell>
          <cell r="H2532">
            <v>2006.81</v>
          </cell>
          <cell r="I2532">
            <v>178.46</v>
          </cell>
        </row>
        <row r="2533">
          <cell r="A2533">
            <v>35320</v>
          </cell>
          <cell r="B2533">
            <v>1645.31</v>
          </cell>
          <cell r="C2533">
            <v>1635.45</v>
          </cell>
          <cell r="D2533">
            <v>154.36000000000001</v>
          </cell>
          <cell r="E2533">
            <v>150.27000000000001</v>
          </cell>
          <cell r="F2533">
            <v>164.48</v>
          </cell>
          <cell r="G2533">
            <v>158.15</v>
          </cell>
          <cell r="H2533">
            <v>2026.64</v>
          </cell>
          <cell r="I2533">
            <v>179.93</v>
          </cell>
        </row>
        <row r="2534">
          <cell r="A2534">
            <v>35321</v>
          </cell>
          <cell r="B2534">
            <v>1664.41</v>
          </cell>
          <cell r="C2534">
            <v>1656.08</v>
          </cell>
          <cell r="D2534">
            <v>155.79</v>
          </cell>
          <cell r="E2534">
            <v>151.77000000000001</v>
          </cell>
          <cell r="F2534">
            <v>165.99</v>
          </cell>
          <cell r="G2534">
            <v>159.51</v>
          </cell>
          <cell r="H2534">
            <v>2049.91</v>
          </cell>
          <cell r="I2534">
            <v>182.04</v>
          </cell>
        </row>
        <row r="2535">
          <cell r="A2535">
            <v>35324</v>
          </cell>
          <cell r="B2535">
            <v>1668.46</v>
          </cell>
          <cell r="C2535">
            <v>1665.71</v>
          </cell>
          <cell r="D2535">
            <v>156.1</v>
          </cell>
          <cell r="E2535">
            <v>152.4</v>
          </cell>
          <cell r="F2535">
            <v>166.54</v>
          </cell>
          <cell r="G2535">
            <v>159.53</v>
          </cell>
          <cell r="H2535">
            <v>2056.7800000000002</v>
          </cell>
          <cell r="I2535">
            <v>182.53</v>
          </cell>
        </row>
        <row r="2536">
          <cell r="A2536">
            <v>35325</v>
          </cell>
          <cell r="B2536">
            <v>1663.35</v>
          </cell>
          <cell r="C2536">
            <v>1659.79</v>
          </cell>
          <cell r="D2536">
            <v>155.72</v>
          </cell>
          <cell r="E2536">
            <v>151.94</v>
          </cell>
          <cell r="F2536">
            <v>165.92</v>
          </cell>
          <cell r="G2536">
            <v>159.22</v>
          </cell>
          <cell r="H2536">
            <v>2053.16</v>
          </cell>
          <cell r="I2536">
            <v>182.33</v>
          </cell>
        </row>
        <row r="2537">
          <cell r="A2537">
            <v>35326</v>
          </cell>
          <cell r="B2537">
            <v>1658.22</v>
          </cell>
          <cell r="C2537">
            <v>1655.95</v>
          </cell>
          <cell r="D2537">
            <v>155.34</v>
          </cell>
          <cell r="E2537">
            <v>151.69</v>
          </cell>
          <cell r="F2537">
            <v>165.59</v>
          </cell>
          <cell r="G2537">
            <v>158.71</v>
          </cell>
          <cell r="H2537">
            <v>2038.41</v>
          </cell>
          <cell r="I2537">
            <v>181.13</v>
          </cell>
        </row>
        <row r="2538">
          <cell r="A2538">
            <v>35327</v>
          </cell>
          <cell r="B2538">
            <v>1660.61</v>
          </cell>
          <cell r="C2538">
            <v>1658.05</v>
          </cell>
          <cell r="D2538">
            <v>155.57</v>
          </cell>
          <cell r="E2538">
            <v>151.97</v>
          </cell>
          <cell r="F2538">
            <v>165.89</v>
          </cell>
          <cell r="G2538">
            <v>158.9</v>
          </cell>
          <cell r="H2538">
            <v>2038.72</v>
          </cell>
          <cell r="I2538">
            <v>181.21</v>
          </cell>
        </row>
        <row r="2539">
          <cell r="A2539">
            <v>35328</v>
          </cell>
          <cell r="B2539">
            <v>1662.92</v>
          </cell>
          <cell r="C2539">
            <v>1665.15</v>
          </cell>
          <cell r="D2539">
            <v>155.69</v>
          </cell>
          <cell r="E2539">
            <v>152.28</v>
          </cell>
          <cell r="F2539">
            <v>166.28</v>
          </cell>
          <cell r="G2539">
            <v>158.83000000000001</v>
          </cell>
          <cell r="H2539">
            <v>2052.02</v>
          </cell>
          <cell r="I2539">
            <v>182.17</v>
          </cell>
        </row>
        <row r="2540">
          <cell r="A2540">
            <v>35331</v>
          </cell>
          <cell r="B2540">
            <v>1647.27</v>
          </cell>
          <cell r="C2540">
            <v>1655.69</v>
          </cell>
          <cell r="D2540">
            <v>154.16999999999999</v>
          </cell>
          <cell r="E2540">
            <v>151.37</v>
          </cell>
          <cell r="F2540">
            <v>164.95</v>
          </cell>
          <cell r="G2540">
            <v>156.72999999999999</v>
          </cell>
          <cell r="H2540">
            <v>2035.13</v>
          </cell>
          <cell r="I2540">
            <v>180.5</v>
          </cell>
        </row>
        <row r="2541">
          <cell r="A2541">
            <v>35332</v>
          </cell>
          <cell r="B2541">
            <v>1646.91</v>
          </cell>
          <cell r="C2541">
            <v>1652.97</v>
          </cell>
          <cell r="D2541">
            <v>154.03</v>
          </cell>
          <cell r="E2541">
            <v>151.15</v>
          </cell>
          <cell r="F2541">
            <v>165.03</v>
          </cell>
          <cell r="G2541">
            <v>156.68</v>
          </cell>
          <cell r="H2541">
            <v>2035.2</v>
          </cell>
          <cell r="I2541">
            <v>180.65</v>
          </cell>
        </row>
        <row r="2542">
          <cell r="A2542">
            <v>35333</v>
          </cell>
          <cell r="B2542">
            <v>1659.64</v>
          </cell>
          <cell r="C2542">
            <v>1672.15</v>
          </cell>
          <cell r="D2542">
            <v>155.53</v>
          </cell>
          <cell r="E2542">
            <v>153.1</v>
          </cell>
          <cell r="F2542">
            <v>166.75</v>
          </cell>
          <cell r="G2542">
            <v>157.74</v>
          </cell>
          <cell r="H2542">
            <v>2050.88</v>
          </cell>
          <cell r="I2542">
            <v>181.81</v>
          </cell>
        </row>
        <row r="2543">
          <cell r="A2543">
            <v>35334</v>
          </cell>
          <cell r="B2543">
            <v>1665.77</v>
          </cell>
          <cell r="C2543">
            <v>1678.28</v>
          </cell>
          <cell r="D2543">
            <v>156.04</v>
          </cell>
          <cell r="E2543">
            <v>153.66</v>
          </cell>
          <cell r="F2543">
            <v>167.17</v>
          </cell>
          <cell r="G2543">
            <v>158.19999999999999</v>
          </cell>
          <cell r="H2543">
            <v>2065.9699999999998</v>
          </cell>
          <cell r="I2543">
            <v>182.65</v>
          </cell>
        </row>
        <row r="2544">
          <cell r="A2544">
            <v>35335</v>
          </cell>
          <cell r="B2544">
            <v>1676.45</v>
          </cell>
          <cell r="C2544">
            <v>1689.69</v>
          </cell>
          <cell r="D2544">
            <v>156.94999999999999</v>
          </cell>
          <cell r="E2544">
            <v>154.6</v>
          </cell>
          <cell r="F2544">
            <v>168.05</v>
          </cell>
          <cell r="G2544">
            <v>159.08000000000001</v>
          </cell>
          <cell r="H2544">
            <v>2083.71</v>
          </cell>
          <cell r="I2544">
            <v>184.05</v>
          </cell>
        </row>
        <row r="2545">
          <cell r="A2545">
            <v>35338</v>
          </cell>
          <cell r="B2545">
            <v>1682.84</v>
          </cell>
          <cell r="C2545">
            <v>1694.51</v>
          </cell>
          <cell r="D2545">
            <v>157.4</v>
          </cell>
          <cell r="E2545">
            <v>154.99</v>
          </cell>
          <cell r="F2545">
            <v>168.61</v>
          </cell>
          <cell r="G2545">
            <v>159.59</v>
          </cell>
          <cell r="H2545">
            <v>2078.87</v>
          </cell>
          <cell r="I2545">
            <v>183.99</v>
          </cell>
        </row>
        <row r="2546">
          <cell r="A2546">
            <v>35339</v>
          </cell>
          <cell r="B2546">
            <v>1690.27</v>
          </cell>
          <cell r="C2546">
            <v>1693.99</v>
          </cell>
          <cell r="D2546">
            <v>158.13</v>
          </cell>
          <cell r="E2546">
            <v>155.03</v>
          </cell>
          <cell r="F2546">
            <v>168.9</v>
          </cell>
          <cell r="G2546">
            <v>160.97</v>
          </cell>
          <cell r="H2546">
            <v>2103.14</v>
          </cell>
          <cell r="I2546">
            <v>186.04</v>
          </cell>
        </row>
        <row r="2547">
          <cell r="A2547">
            <v>35340</v>
          </cell>
          <cell r="B2547">
            <v>1704.32</v>
          </cell>
          <cell r="C2547">
            <v>1705.92</v>
          </cell>
          <cell r="D2547">
            <v>159.25</v>
          </cell>
          <cell r="E2547">
            <v>156.13</v>
          </cell>
          <cell r="F2547">
            <v>170.02</v>
          </cell>
          <cell r="G2547">
            <v>162.11000000000001</v>
          </cell>
          <cell r="H2547">
            <v>2113.0100000000002</v>
          </cell>
          <cell r="I2547">
            <v>186.9</v>
          </cell>
        </row>
        <row r="2548">
          <cell r="A2548">
            <v>35341</v>
          </cell>
          <cell r="B2548">
            <v>1702.97</v>
          </cell>
          <cell r="C2548">
            <v>1708.95</v>
          </cell>
          <cell r="D2548">
            <v>159.16999999999999</v>
          </cell>
          <cell r="E2548">
            <v>156.43</v>
          </cell>
          <cell r="F2548">
            <v>170.38</v>
          </cell>
          <cell r="G2548">
            <v>161.68</v>
          </cell>
          <cell r="H2548">
            <v>2113.89</v>
          </cell>
          <cell r="I2548">
            <v>186.97</v>
          </cell>
        </row>
        <row r="2549">
          <cell r="A2549">
            <v>35342</v>
          </cell>
          <cell r="B2549">
            <v>1711</v>
          </cell>
          <cell r="C2549">
            <v>1710.79</v>
          </cell>
          <cell r="D2549">
            <v>159.93</v>
          </cell>
          <cell r="E2549">
            <v>156.66999999999999</v>
          </cell>
          <cell r="F2549">
            <v>170.96</v>
          </cell>
          <cell r="G2549">
            <v>162.94</v>
          </cell>
          <cell r="H2549">
            <v>2143.16</v>
          </cell>
          <cell r="I2549">
            <v>189.2</v>
          </cell>
        </row>
        <row r="2550">
          <cell r="A2550">
            <v>35345</v>
          </cell>
          <cell r="B2550">
            <v>1712.25</v>
          </cell>
          <cell r="C2550">
            <v>1712.03</v>
          </cell>
          <cell r="D2550">
            <v>159.72999999999999</v>
          </cell>
          <cell r="E2550">
            <v>156.57</v>
          </cell>
          <cell r="F2550">
            <v>170.93</v>
          </cell>
          <cell r="G2550">
            <v>162.63999999999999</v>
          </cell>
          <cell r="H2550">
            <v>2140.9899999999998</v>
          </cell>
          <cell r="I2550">
            <v>188.8</v>
          </cell>
        </row>
        <row r="2551">
          <cell r="A2551">
            <v>35346</v>
          </cell>
          <cell r="B2551">
            <v>1714.06</v>
          </cell>
          <cell r="C2551">
            <v>1714.22</v>
          </cell>
          <cell r="D2551">
            <v>159.88999999999999</v>
          </cell>
          <cell r="E2551">
            <v>156.69999999999999</v>
          </cell>
          <cell r="F2551">
            <v>171.26</v>
          </cell>
          <cell r="G2551">
            <v>162.81</v>
          </cell>
          <cell r="H2551">
            <v>2165.4899999999998</v>
          </cell>
          <cell r="I2551">
            <v>190.83</v>
          </cell>
        </row>
        <row r="2552">
          <cell r="A2552">
            <v>35347</v>
          </cell>
          <cell r="B2552">
            <v>1708</v>
          </cell>
          <cell r="C2552">
            <v>1710.64</v>
          </cell>
          <cell r="D2552">
            <v>159.33000000000001</v>
          </cell>
          <cell r="E2552">
            <v>156.33000000000001</v>
          </cell>
          <cell r="F2552">
            <v>170.81</v>
          </cell>
          <cell r="G2552">
            <v>162.08000000000001</v>
          </cell>
          <cell r="H2552">
            <v>2150.54</v>
          </cell>
          <cell r="I2552">
            <v>189.71</v>
          </cell>
        </row>
        <row r="2553">
          <cell r="A2553">
            <v>35348</v>
          </cell>
          <cell r="B2553">
            <v>1701.26</v>
          </cell>
          <cell r="C2553">
            <v>1700.19</v>
          </cell>
          <cell r="D2553">
            <v>158.76</v>
          </cell>
          <cell r="E2553">
            <v>155.35</v>
          </cell>
          <cell r="F2553">
            <v>170.06</v>
          </cell>
          <cell r="G2553">
            <v>161.9</v>
          </cell>
          <cell r="H2553">
            <v>2143.04</v>
          </cell>
          <cell r="I2553">
            <v>188.94</v>
          </cell>
        </row>
        <row r="2554">
          <cell r="A2554">
            <v>35349</v>
          </cell>
          <cell r="B2554">
            <v>1708.27</v>
          </cell>
          <cell r="C2554">
            <v>1701.25</v>
          </cell>
          <cell r="D2554">
            <v>159.46</v>
          </cell>
          <cell r="E2554">
            <v>155.37</v>
          </cell>
          <cell r="F2554">
            <v>170.02</v>
          </cell>
          <cell r="G2554">
            <v>163.24</v>
          </cell>
          <cell r="H2554">
            <v>2151.67</v>
          </cell>
          <cell r="I2554">
            <v>189.52</v>
          </cell>
        </row>
        <row r="2555">
          <cell r="A2555">
            <v>35352</v>
          </cell>
          <cell r="B2555">
            <v>1714.78</v>
          </cell>
          <cell r="C2555">
            <v>1704.06</v>
          </cell>
          <cell r="D2555">
            <v>159.82</v>
          </cell>
          <cell r="E2555">
            <v>155.49</v>
          </cell>
          <cell r="F2555">
            <v>170.23</v>
          </cell>
          <cell r="G2555">
            <v>163.84</v>
          </cell>
          <cell r="H2555">
            <v>2159.39</v>
          </cell>
          <cell r="I2555">
            <v>190.17</v>
          </cell>
        </row>
        <row r="2556">
          <cell r="A2556">
            <v>35353</v>
          </cell>
          <cell r="B2556">
            <v>1730.88</v>
          </cell>
          <cell r="C2556">
            <v>1723.12</v>
          </cell>
          <cell r="D2556">
            <v>161.47</v>
          </cell>
          <cell r="E2556">
            <v>157.22999999999999</v>
          </cell>
          <cell r="F2556">
            <v>171.69</v>
          </cell>
          <cell r="G2556">
            <v>165.39</v>
          </cell>
          <cell r="H2556">
            <v>2181.2199999999998</v>
          </cell>
          <cell r="I2556">
            <v>192.29</v>
          </cell>
        </row>
        <row r="2557">
          <cell r="A2557">
            <v>35354</v>
          </cell>
          <cell r="B2557">
            <v>1717.35</v>
          </cell>
          <cell r="C2557">
            <v>1714.92</v>
          </cell>
          <cell r="D2557">
            <v>160.27000000000001</v>
          </cell>
          <cell r="E2557">
            <v>156.33000000000001</v>
          </cell>
          <cell r="F2557">
            <v>170.63</v>
          </cell>
          <cell r="G2557">
            <v>163.91</v>
          </cell>
          <cell r="H2557">
            <v>2160.59</v>
          </cell>
          <cell r="I2557">
            <v>190.93</v>
          </cell>
        </row>
        <row r="2558">
          <cell r="A2558">
            <v>35355</v>
          </cell>
          <cell r="B2558">
            <v>1723.24</v>
          </cell>
          <cell r="C2558">
            <v>1718.44</v>
          </cell>
          <cell r="D2558">
            <v>160.71</v>
          </cell>
          <cell r="E2558">
            <v>156.58000000000001</v>
          </cell>
          <cell r="F2558">
            <v>170.8</v>
          </cell>
          <cell r="G2558">
            <v>164.53</v>
          </cell>
          <cell r="H2558">
            <v>2159.56</v>
          </cell>
          <cell r="I2558">
            <v>190.8</v>
          </cell>
        </row>
        <row r="2559">
          <cell r="A2559">
            <v>35356</v>
          </cell>
          <cell r="B2559">
            <v>1737.2</v>
          </cell>
          <cell r="C2559">
            <v>1734.83</v>
          </cell>
          <cell r="D2559">
            <v>161.61000000000001</v>
          </cell>
          <cell r="E2559">
            <v>157.77000000000001</v>
          </cell>
          <cell r="F2559">
            <v>171.98</v>
          </cell>
          <cell r="G2559">
            <v>165.16</v>
          </cell>
          <cell r="H2559">
            <v>2183.8200000000002</v>
          </cell>
          <cell r="I2559">
            <v>192.85</v>
          </cell>
        </row>
        <row r="2560">
          <cell r="A2560">
            <v>35359</v>
          </cell>
          <cell r="B2560">
            <v>1737.11</v>
          </cell>
          <cell r="C2560">
            <v>1734.44</v>
          </cell>
          <cell r="D2560">
            <v>161.81</v>
          </cell>
          <cell r="E2560">
            <v>157.84</v>
          </cell>
          <cell r="F2560">
            <v>172.03</v>
          </cell>
          <cell r="G2560">
            <v>165.47</v>
          </cell>
          <cell r="H2560">
            <v>2188.81</v>
          </cell>
          <cell r="I2560">
            <v>193.22</v>
          </cell>
        </row>
        <row r="2561">
          <cell r="A2561">
            <v>35360</v>
          </cell>
          <cell r="B2561">
            <v>1741.29</v>
          </cell>
          <cell r="C2561">
            <v>1741.5</v>
          </cell>
          <cell r="D2561">
            <v>162.06</v>
          </cell>
          <cell r="E2561">
            <v>158.27000000000001</v>
          </cell>
          <cell r="F2561">
            <v>172.52</v>
          </cell>
          <cell r="G2561">
            <v>165.56</v>
          </cell>
          <cell r="H2561">
            <v>2188.94</v>
          </cell>
          <cell r="I2561">
            <v>193.33</v>
          </cell>
        </row>
        <row r="2562">
          <cell r="A2562">
            <v>35361</v>
          </cell>
          <cell r="B2562">
            <v>1721.21</v>
          </cell>
          <cell r="C2562">
            <v>1724.32</v>
          </cell>
          <cell r="D2562">
            <v>159.94999999999999</v>
          </cell>
          <cell r="E2562">
            <v>156.4</v>
          </cell>
          <cell r="F2562">
            <v>170.34</v>
          </cell>
          <cell r="G2562">
            <v>163.22999999999999</v>
          </cell>
          <cell r="H2562">
            <v>2155.54</v>
          </cell>
          <cell r="I2562">
            <v>190.43</v>
          </cell>
        </row>
        <row r="2563">
          <cell r="A2563">
            <v>35362</v>
          </cell>
          <cell r="B2563">
            <v>1712.42</v>
          </cell>
          <cell r="C2563">
            <v>1720.07</v>
          </cell>
          <cell r="D2563">
            <v>159.25</v>
          </cell>
          <cell r="E2563">
            <v>156.16999999999999</v>
          </cell>
          <cell r="F2563">
            <v>170.1</v>
          </cell>
          <cell r="G2563">
            <v>162.07</v>
          </cell>
          <cell r="H2563">
            <v>2153.5</v>
          </cell>
          <cell r="I2563">
            <v>190.29</v>
          </cell>
        </row>
        <row r="2564">
          <cell r="A2564">
            <v>35363</v>
          </cell>
          <cell r="B2564">
            <v>1718.82</v>
          </cell>
          <cell r="C2564">
            <v>1719.42</v>
          </cell>
          <cell r="D2564">
            <v>160.02000000000001</v>
          </cell>
          <cell r="E2564">
            <v>156.32</v>
          </cell>
          <cell r="F2564">
            <v>170.24</v>
          </cell>
          <cell r="G2564">
            <v>163.44</v>
          </cell>
          <cell r="H2564">
            <v>2159.9</v>
          </cell>
          <cell r="I2564">
            <v>190.75</v>
          </cell>
        </row>
        <row r="2565">
          <cell r="A2565">
            <v>35366</v>
          </cell>
          <cell r="B2565">
            <v>1726.78</v>
          </cell>
          <cell r="C2565">
            <v>1725.65</v>
          </cell>
          <cell r="D2565">
            <v>160.59</v>
          </cell>
          <cell r="E2565">
            <v>156.72999999999999</v>
          </cell>
          <cell r="F2565">
            <v>170.69</v>
          </cell>
          <cell r="G2565">
            <v>164.14</v>
          </cell>
          <cell r="H2565">
            <v>2173.77</v>
          </cell>
          <cell r="I2565">
            <v>191.79</v>
          </cell>
        </row>
        <row r="2566">
          <cell r="A2566">
            <v>35367</v>
          </cell>
          <cell r="B2566">
            <v>1703.48</v>
          </cell>
          <cell r="C2566">
            <v>1704.83</v>
          </cell>
          <cell r="D2566">
            <v>158.75</v>
          </cell>
          <cell r="E2566">
            <v>155.06</v>
          </cell>
          <cell r="F2566">
            <v>168.87</v>
          </cell>
          <cell r="G2566">
            <v>162.16</v>
          </cell>
          <cell r="H2566">
            <v>2136.5300000000002</v>
          </cell>
          <cell r="I2566">
            <v>188.76</v>
          </cell>
        </row>
        <row r="2567">
          <cell r="A2567">
            <v>35368</v>
          </cell>
          <cell r="B2567">
            <v>1699.77</v>
          </cell>
          <cell r="C2567">
            <v>1698.65</v>
          </cell>
          <cell r="D2567">
            <v>158.62</v>
          </cell>
          <cell r="E2567">
            <v>154.51</v>
          </cell>
          <cell r="F2567">
            <v>168.2</v>
          </cell>
          <cell r="G2567">
            <v>162.41</v>
          </cell>
          <cell r="H2567">
            <v>2120.1999999999998</v>
          </cell>
          <cell r="I2567">
            <v>187.36</v>
          </cell>
        </row>
        <row r="2568">
          <cell r="A2568">
            <v>35369</v>
          </cell>
          <cell r="B2568">
            <v>1703.85</v>
          </cell>
          <cell r="C2568">
            <v>1700.54</v>
          </cell>
          <cell r="D2568">
            <v>158.94999999999999</v>
          </cell>
          <cell r="E2568">
            <v>154.69</v>
          </cell>
          <cell r="F2568">
            <v>168.32</v>
          </cell>
          <cell r="G2568">
            <v>162.9</v>
          </cell>
          <cell r="H2568">
            <v>2134.5100000000002</v>
          </cell>
          <cell r="I2568">
            <v>188.73</v>
          </cell>
        </row>
        <row r="2569">
          <cell r="A2569">
            <v>35370</v>
          </cell>
          <cell r="B2569">
            <v>1701.04</v>
          </cell>
          <cell r="C2569">
            <v>1702.07</v>
          </cell>
          <cell r="D2569">
            <v>158.63</v>
          </cell>
          <cell r="E2569">
            <v>154.66999999999999</v>
          </cell>
          <cell r="F2569">
            <v>168.31</v>
          </cell>
          <cell r="G2569">
            <v>162.28</v>
          </cell>
          <cell r="H2569">
            <v>2124.31</v>
          </cell>
          <cell r="I2569">
            <v>188.1</v>
          </cell>
        </row>
        <row r="2570">
          <cell r="A2570">
            <v>35373</v>
          </cell>
          <cell r="B2570">
            <v>1700.95</v>
          </cell>
          <cell r="C2570">
            <v>1697.24</v>
          </cell>
          <cell r="D2570">
            <v>158.46</v>
          </cell>
          <cell r="E2570">
            <v>154.52000000000001</v>
          </cell>
          <cell r="F2570">
            <v>168.19</v>
          </cell>
          <cell r="G2570">
            <v>162.1</v>
          </cell>
          <cell r="H2570">
            <v>2121.4499999999998</v>
          </cell>
          <cell r="I2570">
            <v>187.84</v>
          </cell>
        </row>
        <row r="2571">
          <cell r="A2571">
            <v>35374</v>
          </cell>
          <cell r="B2571">
            <v>1714.73</v>
          </cell>
          <cell r="C2571">
            <v>1720.3</v>
          </cell>
          <cell r="D2571">
            <v>159.83000000000001</v>
          </cell>
          <cell r="E2571">
            <v>156.53</v>
          </cell>
          <cell r="F2571">
            <v>170.06</v>
          </cell>
          <cell r="G2571">
            <v>162.87</v>
          </cell>
          <cell r="H2571">
            <v>2145.1</v>
          </cell>
          <cell r="I2571">
            <v>189.66</v>
          </cell>
        </row>
        <row r="2572">
          <cell r="A2572">
            <v>35375</v>
          </cell>
          <cell r="B2572">
            <v>1724.98</v>
          </cell>
          <cell r="C2572">
            <v>1738.32</v>
          </cell>
          <cell r="D2572">
            <v>160.69</v>
          </cell>
          <cell r="E2572">
            <v>158.08000000000001</v>
          </cell>
          <cell r="F2572">
            <v>171.58</v>
          </cell>
          <cell r="G2572">
            <v>163.06</v>
          </cell>
          <cell r="H2572">
            <v>2156.7800000000002</v>
          </cell>
          <cell r="I2572">
            <v>190.64</v>
          </cell>
        </row>
        <row r="2573">
          <cell r="A2573">
            <v>35376</v>
          </cell>
          <cell r="B2573">
            <v>1720.05</v>
          </cell>
          <cell r="C2573">
            <v>1735.62</v>
          </cell>
          <cell r="D2573">
            <v>160.41</v>
          </cell>
          <cell r="E2573">
            <v>158.21</v>
          </cell>
          <cell r="F2573">
            <v>171.61</v>
          </cell>
          <cell r="G2573">
            <v>162.41</v>
          </cell>
          <cell r="H2573">
            <v>2159.39</v>
          </cell>
          <cell r="I2573">
            <v>190.36</v>
          </cell>
        </row>
        <row r="2574">
          <cell r="A2574">
            <v>35377</v>
          </cell>
          <cell r="B2574">
            <v>1725.64</v>
          </cell>
          <cell r="C2574">
            <v>1742.08</v>
          </cell>
          <cell r="D2574">
            <v>160.57</v>
          </cell>
          <cell r="E2574">
            <v>158.59</v>
          </cell>
          <cell r="F2574">
            <v>171.98</v>
          </cell>
          <cell r="G2574">
            <v>162.35</v>
          </cell>
          <cell r="H2574">
            <v>2157.3000000000002</v>
          </cell>
          <cell r="I2574">
            <v>190.18</v>
          </cell>
        </row>
        <row r="2575">
          <cell r="A2575">
            <v>35380</v>
          </cell>
          <cell r="B2575">
            <v>1719.08</v>
          </cell>
          <cell r="C2575">
            <v>1737.84</v>
          </cell>
          <cell r="D2575">
            <v>159.80000000000001</v>
          </cell>
          <cell r="E2575">
            <v>158.1</v>
          </cell>
          <cell r="F2575">
            <v>171.37</v>
          </cell>
          <cell r="G2575">
            <v>161.32</v>
          </cell>
          <cell r="H2575">
            <v>2143.86</v>
          </cell>
          <cell r="I2575">
            <v>188.98</v>
          </cell>
        </row>
        <row r="2576">
          <cell r="A2576">
            <v>35381</v>
          </cell>
          <cell r="B2576">
            <v>1731.97</v>
          </cell>
          <cell r="C2576">
            <v>1749.75</v>
          </cell>
          <cell r="D2576">
            <v>161.31</v>
          </cell>
          <cell r="E2576">
            <v>159.54</v>
          </cell>
          <cell r="F2576">
            <v>172.75</v>
          </cell>
          <cell r="G2576">
            <v>162.88999999999999</v>
          </cell>
          <cell r="H2576">
            <v>2164.9899999999998</v>
          </cell>
          <cell r="I2576">
            <v>190.9</v>
          </cell>
        </row>
        <row r="2577">
          <cell r="A2577">
            <v>35382</v>
          </cell>
          <cell r="B2577">
            <v>1737.67</v>
          </cell>
          <cell r="C2577">
            <v>1756.94</v>
          </cell>
          <cell r="D2577">
            <v>161.44</v>
          </cell>
          <cell r="E2577">
            <v>159.66999999999999</v>
          </cell>
          <cell r="F2577">
            <v>172.62</v>
          </cell>
          <cell r="G2577">
            <v>163.01</v>
          </cell>
          <cell r="H2577">
            <v>2154.84</v>
          </cell>
          <cell r="I2577">
            <v>190.01</v>
          </cell>
        </row>
        <row r="2578">
          <cell r="A2578">
            <v>35383</v>
          </cell>
          <cell r="B2578">
            <v>1749.83</v>
          </cell>
          <cell r="C2578">
            <v>1764.12</v>
          </cell>
          <cell r="D2578">
            <v>162.41</v>
          </cell>
          <cell r="E2578">
            <v>160.52000000000001</v>
          </cell>
          <cell r="F2578">
            <v>173.81</v>
          </cell>
          <cell r="G2578">
            <v>164.11</v>
          </cell>
          <cell r="H2578">
            <v>2207.73</v>
          </cell>
          <cell r="I2578">
            <v>194.18</v>
          </cell>
        </row>
        <row r="2579">
          <cell r="A2579">
            <v>35384</v>
          </cell>
          <cell r="B2579">
            <v>1762.07</v>
          </cell>
          <cell r="C2579">
            <v>1774.15</v>
          </cell>
          <cell r="D2579">
            <v>163.41999999999999</v>
          </cell>
          <cell r="E2579">
            <v>161.36000000000001</v>
          </cell>
          <cell r="F2579">
            <v>174.88</v>
          </cell>
          <cell r="G2579">
            <v>165.28</v>
          </cell>
          <cell r="H2579">
            <v>2237.86</v>
          </cell>
          <cell r="I2579">
            <v>196.39</v>
          </cell>
        </row>
        <row r="2580">
          <cell r="A2580">
            <v>35387</v>
          </cell>
          <cell r="B2580">
            <v>1758.41</v>
          </cell>
          <cell r="C2580">
            <v>1768.38</v>
          </cell>
          <cell r="D2580">
            <v>162.99</v>
          </cell>
          <cell r="E2580">
            <v>160.61000000000001</v>
          </cell>
          <cell r="F2580">
            <v>174.25</v>
          </cell>
          <cell r="G2580">
            <v>165.15</v>
          </cell>
          <cell r="H2580">
            <v>2232.88</v>
          </cell>
          <cell r="I2580">
            <v>195.51</v>
          </cell>
        </row>
        <row r="2581">
          <cell r="A2581">
            <v>35388</v>
          </cell>
          <cell r="B2581">
            <v>1766.99</v>
          </cell>
          <cell r="C2581">
            <v>1773.49</v>
          </cell>
          <cell r="D2581">
            <v>163.83000000000001</v>
          </cell>
          <cell r="E2581">
            <v>161.19999999999999</v>
          </cell>
          <cell r="F2581">
            <v>174.72</v>
          </cell>
          <cell r="G2581">
            <v>166.21</v>
          </cell>
          <cell r="H2581">
            <v>2219.25</v>
          </cell>
          <cell r="I2581">
            <v>194.96</v>
          </cell>
        </row>
        <row r="2582">
          <cell r="A2582">
            <v>35389</v>
          </cell>
          <cell r="B2582">
            <v>1759.71</v>
          </cell>
          <cell r="C2582">
            <v>1773</v>
          </cell>
          <cell r="D2582">
            <v>163.27000000000001</v>
          </cell>
          <cell r="E2582">
            <v>161.19999999999999</v>
          </cell>
          <cell r="F2582">
            <v>174.51</v>
          </cell>
          <cell r="G2582">
            <v>165.13</v>
          </cell>
          <cell r="H2582">
            <v>2215.1999999999998</v>
          </cell>
          <cell r="I2582">
            <v>194.71</v>
          </cell>
        </row>
        <row r="2583">
          <cell r="A2583">
            <v>35390</v>
          </cell>
          <cell r="B2583">
            <v>1760.87</v>
          </cell>
          <cell r="C2583">
            <v>1770.72</v>
          </cell>
          <cell r="D2583">
            <v>163.43</v>
          </cell>
          <cell r="E2583">
            <v>161.02000000000001</v>
          </cell>
          <cell r="F2583">
            <v>174.3</v>
          </cell>
          <cell r="G2583">
            <v>165.63</v>
          </cell>
          <cell r="H2583">
            <v>2226.69</v>
          </cell>
          <cell r="I2583">
            <v>195.37</v>
          </cell>
        </row>
        <row r="2584">
          <cell r="A2584">
            <v>35391</v>
          </cell>
          <cell r="B2584">
            <v>1781.18</v>
          </cell>
          <cell r="C2584">
            <v>1783.62</v>
          </cell>
          <cell r="D2584">
            <v>164.92</v>
          </cell>
          <cell r="E2584">
            <v>161.85</v>
          </cell>
          <cell r="F2584">
            <v>175.44</v>
          </cell>
          <cell r="G2584">
            <v>167.73</v>
          </cell>
          <cell r="H2584">
            <v>2265.5</v>
          </cell>
          <cell r="I2584">
            <v>198.36</v>
          </cell>
        </row>
        <row r="2585">
          <cell r="A2585">
            <v>35394</v>
          </cell>
          <cell r="B2585">
            <v>1786.85</v>
          </cell>
          <cell r="C2585">
            <v>1788.27</v>
          </cell>
          <cell r="D2585">
            <v>165.1</v>
          </cell>
          <cell r="E2585">
            <v>162.04</v>
          </cell>
          <cell r="F2585">
            <v>175.39</v>
          </cell>
          <cell r="G2585">
            <v>167.9</v>
          </cell>
          <cell r="H2585">
            <v>2269.4299999999998</v>
          </cell>
          <cell r="I2585">
            <v>198.66</v>
          </cell>
        </row>
        <row r="2586">
          <cell r="A2586">
            <v>35395</v>
          </cell>
          <cell r="B2586">
            <v>1801.25</v>
          </cell>
          <cell r="C2586">
            <v>1798.65</v>
          </cell>
          <cell r="D2586">
            <v>166.4</v>
          </cell>
          <cell r="E2586">
            <v>163.07</v>
          </cell>
          <cell r="F2586">
            <v>176.34</v>
          </cell>
          <cell r="G2586">
            <v>169.46</v>
          </cell>
          <cell r="H2586">
            <v>2267.6999999999998</v>
          </cell>
          <cell r="I2586">
            <v>198.78</v>
          </cell>
        </row>
        <row r="2587">
          <cell r="A2587">
            <v>35396</v>
          </cell>
          <cell r="B2587">
            <v>1788.79</v>
          </cell>
          <cell r="C2587">
            <v>1784.3</v>
          </cell>
          <cell r="D2587">
            <v>165.42</v>
          </cell>
          <cell r="E2587">
            <v>161.71</v>
          </cell>
          <cell r="F2587">
            <v>174.82</v>
          </cell>
          <cell r="G2587">
            <v>168.85</v>
          </cell>
          <cell r="H2587">
            <v>2236.5100000000002</v>
          </cell>
          <cell r="I2587">
            <v>196.51</v>
          </cell>
        </row>
        <row r="2588">
          <cell r="A2588">
            <v>35397</v>
          </cell>
          <cell r="B2588">
            <v>1800.67</v>
          </cell>
          <cell r="C2588">
            <v>1799.9</v>
          </cell>
          <cell r="D2588">
            <v>166.44</v>
          </cell>
          <cell r="E2588">
            <v>162.91999999999999</v>
          </cell>
          <cell r="F2588">
            <v>176.18</v>
          </cell>
          <cell r="G2588">
            <v>169.67</v>
          </cell>
          <cell r="H2588">
            <v>2259.86</v>
          </cell>
          <cell r="I2588">
            <v>198.54</v>
          </cell>
        </row>
        <row r="2589">
          <cell r="A2589">
            <v>35398</v>
          </cell>
          <cell r="B2589">
            <v>1817.31</v>
          </cell>
          <cell r="C2589">
            <v>1817.95</v>
          </cell>
          <cell r="D2589">
            <v>167.89</v>
          </cell>
          <cell r="E2589">
            <v>164.44</v>
          </cell>
          <cell r="F2589">
            <v>177.71</v>
          </cell>
          <cell r="G2589">
            <v>171.05</v>
          </cell>
          <cell r="H2589">
            <v>2287.04</v>
          </cell>
          <cell r="I2589">
            <v>200.81</v>
          </cell>
        </row>
        <row r="2590">
          <cell r="A2590">
            <v>35401</v>
          </cell>
          <cell r="B2590">
            <v>1820.02</v>
          </cell>
          <cell r="C2590">
            <v>1825.15</v>
          </cell>
          <cell r="D2590">
            <v>168.41</v>
          </cell>
          <cell r="E2590">
            <v>165.29</v>
          </cell>
          <cell r="F2590">
            <v>178.23</v>
          </cell>
          <cell r="G2590">
            <v>171.26</v>
          </cell>
          <cell r="H2590">
            <v>2305.12</v>
          </cell>
          <cell r="I2590">
            <v>202.67</v>
          </cell>
        </row>
        <row r="2591">
          <cell r="A2591">
            <v>35402</v>
          </cell>
          <cell r="B2591">
            <v>1821.77</v>
          </cell>
          <cell r="C2591">
            <v>1836.59</v>
          </cell>
          <cell r="D2591">
            <v>167.97</v>
          </cell>
          <cell r="E2591">
            <v>166</v>
          </cell>
          <cell r="F2591">
            <v>179.15</v>
          </cell>
          <cell r="G2591">
            <v>169.72</v>
          </cell>
          <cell r="H2591">
            <v>2314.86</v>
          </cell>
          <cell r="I2591">
            <v>203.49</v>
          </cell>
        </row>
        <row r="2592">
          <cell r="A2592">
            <v>35403</v>
          </cell>
          <cell r="B2592">
            <v>1811.09</v>
          </cell>
          <cell r="C2592">
            <v>1823.51</v>
          </cell>
          <cell r="D2592">
            <v>167.45</v>
          </cell>
          <cell r="E2592">
            <v>165.12</v>
          </cell>
          <cell r="F2592">
            <v>178.42</v>
          </cell>
          <cell r="G2592">
            <v>169.54</v>
          </cell>
          <cell r="H2592">
            <v>2301.52</v>
          </cell>
          <cell r="I2592">
            <v>202.55</v>
          </cell>
        </row>
        <row r="2593">
          <cell r="A2593">
            <v>35404</v>
          </cell>
          <cell r="B2593">
            <v>1812.59</v>
          </cell>
          <cell r="C2593">
            <v>1830.76</v>
          </cell>
          <cell r="D2593">
            <v>167.62</v>
          </cell>
          <cell r="E2593">
            <v>166.07</v>
          </cell>
          <cell r="F2593">
            <v>179.38</v>
          </cell>
          <cell r="G2593">
            <v>168.98</v>
          </cell>
          <cell r="H2593">
            <v>2314.83</v>
          </cell>
          <cell r="I2593">
            <v>203.75</v>
          </cell>
        </row>
        <row r="2594">
          <cell r="A2594">
            <v>35405</v>
          </cell>
          <cell r="B2594">
            <v>1770.44</v>
          </cell>
          <cell r="C2594">
            <v>1780.95</v>
          </cell>
          <cell r="D2594">
            <v>163.92</v>
          </cell>
          <cell r="E2594">
            <v>161.85</v>
          </cell>
          <cell r="F2594">
            <v>175.01</v>
          </cell>
          <cell r="G2594">
            <v>165.77</v>
          </cell>
          <cell r="H2594">
            <v>2281.52</v>
          </cell>
          <cell r="I2594">
            <v>200.77</v>
          </cell>
        </row>
        <row r="2595">
          <cell r="A2595">
            <v>35408</v>
          </cell>
          <cell r="B2595">
            <v>1799.14</v>
          </cell>
          <cell r="C2595">
            <v>1804.8</v>
          </cell>
          <cell r="D2595">
            <v>166.15</v>
          </cell>
          <cell r="E2595">
            <v>163.78</v>
          </cell>
          <cell r="F2595">
            <v>176.9</v>
          </cell>
          <cell r="G2595">
            <v>168.28</v>
          </cell>
          <cell r="H2595">
            <v>2291.5500000000002</v>
          </cell>
          <cell r="I2595">
            <v>201.8</v>
          </cell>
        </row>
        <row r="2596">
          <cell r="A2596">
            <v>35409</v>
          </cell>
          <cell r="B2596">
            <v>1806.25</v>
          </cell>
          <cell r="C2596">
            <v>1810.43</v>
          </cell>
          <cell r="D2596">
            <v>167.11</v>
          </cell>
          <cell r="E2596">
            <v>164.51</v>
          </cell>
          <cell r="F2596">
            <v>177.72</v>
          </cell>
          <cell r="G2596">
            <v>169.47</v>
          </cell>
          <cell r="H2596">
            <v>2321.7399999999998</v>
          </cell>
          <cell r="I2596">
            <v>204.06</v>
          </cell>
        </row>
        <row r="2597">
          <cell r="A2597">
            <v>35410</v>
          </cell>
          <cell r="B2597">
            <v>1776.44</v>
          </cell>
          <cell r="C2597">
            <v>1781.06</v>
          </cell>
          <cell r="D2597">
            <v>164.54</v>
          </cell>
          <cell r="E2597">
            <v>162.13</v>
          </cell>
          <cell r="F2597">
            <v>175.42</v>
          </cell>
          <cell r="G2597">
            <v>166.71</v>
          </cell>
          <cell r="H2597">
            <v>2279.56</v>
          </cell>
          <cell r="I2597">
            <v>200.54</v>
          </cell>
        </row>
        <row r="2598">
          <cell r="A2598">
            <v>35411</v>
          </cell>
          <cell r="B2598">
            <v>1781.13</v>
          </cell>
          <cell r="C2598">
            <v>1784.2</v>
          </cell>
          <cell r="D2598">
            <v>164.92</v>
          </cell>
          <cell r="E2598">
            <v>162.18</v>
          </cell>
          <cell r="F2598">
            <v>175.45</v>
          </cell>
          <cell r="G2598">
            <v>167.42</v>
          </cell>
          <cell r="H2598">
            <v>2278.6</v>
          </cell>
          <cell r="I2598">
            <v>200.39</v>
          </cell>
        </row>
        <row r="2599">
          <cell r="A2599">
            <v>35412</v>
          </cell>
          <cell r="B2599">
            <v>1764.63</v>
          </cell>
          <cell r="C2599">
            <v>1761.6</v>
          </cell>
          <cell r="D2599">
            <v>163.71</v>
          </cell>
          <cell r="E2599">
            <v>160.44999999999999</v>
          </cell>
          <cell r="F2599">
            <v>173.73</v>
          </cell>
          <cell r="G2599">
            <v>166.71</v>
          </cell>
          <cell r="H2599">
            <v>2263.2199999999998</v>
          </cell>
          <cell r="I2599">
            <v>199.23</v>
          </cell>
        </row>
        <row r="2600">
          <cell r="A2600">
            <v>35415</v>
          </cell>
          <cell r="B2600">
            <v>1789.79</v>
          </cell>
          <cell r="C2600">
            <v>1791.28</v>
          </cell>
          <cell r="D2600">
            <v>165.71</v>
          </cell>
          <cell r="E2600">
            <v>163.04</v>
          </cell>
          <cell r="F2600">
            <v>176.09</v>
          </cell>
          <cell r="G2600">
            <v>168.14</v>
          </cell>
          <cell r="H2600">
            <v>2275.34</v>
          </cell>
          <cell r="I2600">
            <v>199.86</v>
          </cell>
        </row>
        <row r="2601">
          <cell r="A2601">
            <v>35416</v>
          </cell>
          <cell r="B2601">
            <v>1778.17</v>
          </cell>
          <cell r="C2601">
            <v>1778.59</v>
          </cell>
          <cell r="D2601">
            <v>165.14</v>
          </cell>
          <cell r="E2601">
            <v>162.06</v>
          </cell>
          <cell r="F2601">
            <v>175.08</v>
          </cell>
          <cell r="G2601">
            <v>167.96</v>
          </cell>
          <cell r="H2601">
            <v>2251.41</v>
          </cell>
          <cell r="I2601">
            <v>198</v>
          </cell>
        </row>
        <row r="2602">
          <cell r="A2602">
            <v>35417</v>
          </cell>
          <cell r="B2602">
            <v>1800.34</v>
          </cell>
          <cell r="C2602">
            <v>1795.03</v>
          </cell>
          <cell r="D2602">
            <v>166.89</v>
          </cell>
          <cell r="E2602">
            <v>163.38999999999999</v>
          </cell>
          <cell r="F2602">
            <v>176.46</v>
          </cell>
          <cell r="G2602">
            <v>170.11</v>
          </cell>
          <cell r="H2602">
            <v>2287.63</v>
          </cell>
          <cell r="I2602">
            <v>200.86</v>
          </cell>
        </row>
        <row r="2603">
          <cell r="A2603">
            <v>35418</v>
          </cell>
          <cell r="B2603">
            <v>1818.82</v>
          </cell>
          <cell r="C2603">
            <v>1816.01</v>
          </cell>
          <cell r="D2603">
            <v>168.06</v>
          </cell>
          <cell r="E2603">
            <v>164.65</v>
          </cell>
          <cell r="F2603">
            <v>177.68</v>
          </cell>
          <cell r="G2603">
            <v>171.2</v>
          </cell>
          <cell r="H2603">
            <v>2305.7600000000002</v>
          </cell>
          <cell r="I2603">
            <v>202.94</v>
          </cell>
        </row>
        <row r="2604">
          <cell r="A2604">
            <v>35419</v>
          </cell>
          <cell r="B2604">
            <v>1832.82</v>
          </cell>
          <cell r="C2604">
            <v>1833.99</v>
          </cell>
          <cell r="D2604">
            <v>169.15</v>
          </cell>
          <cell r="E2604">
            <v>166.12</v>
          </cell>
          <cell r="F2604">
            <v>179.01</v>
          </cell>
          <cell r="G2604">
            <v>171.92</v>
          </cell>
          <cell r="H2604">
            <v>2320.7199999999998</v>
          </cell>
          <cell r="I2604">
            <v>204.33</v>
          </cell>
        </row>
        <row r="2605">
          <cell r="A2605">
            <v>35422</v>
          </cell>
          <cell r="B2605">
            <v>1833.96</v>
          </cell>
          <cell r="C2605">
            <v>1836.26</v>
          </cell>
          <cell r="D2605">
            <v>169.56</v>
          </cell>
          <cell r="E2605">
            <v>166.35</v>
          </cell>
          <cell r="F2605">
            <v>179.06</v>
          </cell>
          <cell r="G2605">
            <v>172.51</v>
          </cell>
          <cell r="H2605">
            <v>2311.8200000000002</v>
          </cell>
          <cell r="I2605">
            <v>204.01</v>
          </cell>
        </row>
        <row r="2606">
          <cell r="A2606">
            <v>35423</v>
          </cell>
          <cell r="B2606">
            <v>1833.82</v>
          </cell>
          <cell r="C2606">
            <v>1836.31</v>
          </cell>
          <cell r="D2606">
            <v>169.66</v>
          </cell>
          <cell r="E2606">
            <v>166.46</v>
          </cell>
          <cell r="F2606">
            <v>179.08</v>
          </cell>
          <cell r="G2606">
            <v>172.58</v>
          </cell>
          <cell r="H2606">
            <v>2315.09</v>
          </cell>
          <cell r="I2606">
            <v>204.3</v>
          </cell>
        </row>
        <row r="2607">
          <cell r="A2607">
            <v>35424</v>
          </cell>
          <cell r="B2607">
            <v>1831.23</v>
          </cell>
          <cell r="C2607">
            <v>1833.04</v>
          </cell>
          <cell r="D2607">
            <v>169.44</v>
          </cell>
          <cell r="E2607">
            <v>166.18</v>
          </cell>
          <cell r="F2607">
            <v>178.81</v>
          </cell>
          <cell r="G2607">
            <v>172.43</v>
          </cell>
          <cell r="H2607">
            <v>2313.08</v>
          </cell>
          <cell r="I2607">
            <v>204.13</v>
          </cell>
        </row>
        <row r="2608">
          <cell r="A2608">
            <v>35425</v>
          </cell>
          <cell r="B2608">
            <v>1833.77</v>
          </cell>
          <cell r="C2608">
            <v>1839.58</v>
          </cell>
          <cell r="D2608">
            <v>169.69</v>
          </cell>
          <cell r="E2608">
            <v>166.79</v>
          </cell>
          <cell r="F2608">
            <v>179.24</v>
          </cell>
          <cell r="G2608">
            <v>172.34</v>
          </cell>
          <cell r="H2608">
            <v>2311.2199999999998</v>
          </cell>
          <cell r="I2608">
            <v>203.96</v>
          </cell>
        </row>
        <row r="2609">
          <cell r="A2609">
            <v>35426</v>
          </cell>
          <cell r="B2609">
            <v>1845.17</v>
          </cell>
          <cell r="C2609">
            <v>1845.66</v>
          </cell>
          <cell r="D2609">
            <v>170.68</v>
          </cell>
          <cell r="E2609">
            <v>167.15</v>
          </cell>
          <cell r="F2609">
            <v>179.87</v>
          </cell>
          <cell r="G2609">
            <v>173.94</v>
          </cell>
          <cell r="H2609">
            <v>2331.56</v>
          </cell>
          <cell r="I2609">
            <v>205.51</v>
          </cell>
        </row>
        <row r="2610">
          <cell r="A2610">
            <v>35429</v>
          </cell>
          <cell r="B2610">
            <v>1856.45</v>
          </cell>
          <cell r="C2610">
            <v>1859.1</v>
          </cell>
          <cell r="D2610">
            <v>171.61</v>
          </cell>
          <cell r="E2610">
            <v>168.27</v>
          </cell>
          <cell r="F2610">
            <v>181.05</v>
          </cell>
          <cell r="G2610">
            <v>174.69</v>
          </cell>
          <cell r="H2610">
            <v>2349.83</v>
          </cell>
          <cell r="I2610">
            <v>206.95</v>
          </cell>
        </row>
        <row r="2611">
          <cell r="A2611">
            <v>35430</v>
          </cell>
          <cell r="B2611">
            <v>1850.1</v>
          </cell>
          <cell r="C2611">
            <v>1850.32</v>
          </cell>
          <cell r="D2611">
            <v>171.31</v>
          </cell>
          <cell r="E2611">
            <v>167.75</v>
          </cell>
          <cell r="F2611">
            <v>180.25</v>
          </cell>
          <cell r="G2611">
            <v>174.6</v>
          </cell>
          <cell r="H2611">
            <v>2327.4899999999998</v>
          </cell>
          <cell r="I2611">
            <v>205.01</v>
          </cell>
        </row>
        <row r="2612">
          <cell r="A2612">
            <v>35432</v>
          </cell>
          <cell r="B2612">
            <v>1823.55</v>
          </cell>
          <cell r="C2612">
            <v>1824.52</v>
          </cell>
          <cell r="D2612">
            <v>168.81</v>
          </cell>
          <cell r="E2612">
            <v>165.28</v>
          </cell>
          <cell r="F2612">
            <v>178.27</v>
          </cell>
          <cell r="G2612">
            <v>172.05</v>
          </cell>
          <cell r="H2612">
            <v>2324.15</v>
          </cell>
          <cell r="I2612">
            <v>204.99</v>
          </cell>
        </row>
        <row r="2613">
          <cell r="A2613">
            <v>35433</v>
          </cell>
          <cell r="B2613">
            <v>1844.87</v>
          </cell>
          <cell r="C2613">
            <v>1845.79</v>
          </cell>
          <cell r="D2613">
            <v>170.86</v>
          </cell>
          <cell r="E2613">
            <v>166.92</v>
          </cell>
          <cell r="F2613">
            <v>180.05</v>
          </cell>
          <cell r="G2613">
            <v>174.5</v>
          </cell>
          <cell r="H2613">
            <v>2364.9</v>
          </cell>
          <cell r="I2613">
            <v>208.35</v>
          </cell>
        </row>
        <row r="2614">
          <cell r="A2614">
            <v>35436</v>
          </cell>
          <cell r="B2614">
            <v>1848.68</v>
          </cell>
          <cell r="C2614">
            <v>1853.82</v>
          </cell>
          <cell r="D2614">
            <v>171.34</v>
          </cell>
          <cell r="E2614">
            <v>167.52</v>
          </cell>
          <cell r="F2614">
            <v>180.36</v>
          </cell>
          <cell r="G2614">
            <v>174.87</v>
          </cell>
          <cell r="H2614">
            <v>2350.9899999999998</v>
          </cell>
          <cell r="I2614">
            <v>207.36</v>
          </cell>
        </row>
        <row r="2615">
          <cell r="A2615">
            <v>35437</v>
          </cell>
          <cell r="B2615">
            <v>1844.77</v>
          </cell>
          <cell r="C2615">
            <v>1854.75</v>
          </cell>
          <cell r="D2615">
            <v>171.2</v>
          </cell>
          <cell r="E2615">
            <v>167.7</v>
          </cell>
          <cell r="F2615">
            <v>180.63</v>
          </cell>
          <cell r="G2615">
            <v>174.42</v>
          </cell>
          <cell r="H2615">
            <v>2357.83</v>
          </cell>
          <cell r="I2615">
            <v>208.18</v>
          </cell>
        </row>
        <row r="2616">
          <cell r="A2616">
            <v>35438</v>
          </cell>
          <cell r="B2616">
            <v>1862.73</v>
          </cell>
          <cell r="C2616">
            <v>1874.47</v>
          </cell>
          <cell r="D2616">
            <v>172.53</v>
          </cell>
          <cell r="E2616">
            <v>169.24</v>
          </cell>
          <cell r="F2616">
            <v>182.38</v>
          </cell>
          <cell r="G2616">
            <v>175.56</v>
          </cell>
          <cell r="H2616">
            <v>2404.94</v>
          </cell>
          <cell r="I2616">
            <v>212.52</v>
          </cell>
        </row>
        <row r="2617">
          <cell r="A2617">
            <v>35439</v>
          </cell>
          <cell r="B2617">
            <v>1866.91</v>
          </cell>
          <cell r="C2617">
            <v>1880.96</v>
          </cell>
          <cell r="D2617">
            <v>173.16</v>
          </cell>
          <cell r="E2617">
            <v>169.91</v>
          </cell>
          <cell r="F2617">
            <v>183.09</v>
          </cell>
          <cell r="G2617">
            <v>176.13</v>
          </cell>
          <cell r="H2617">
            <v>2420.58</v>
          </cell>
          <cell r="I2617">
            <v>214.21</v>
          </cell>
        </row>
        <row r="2618">
          <cell r="A2618">
            <v>35440</v>
          </cell>
          <cell r="B2618">
            <v>1868.18</v>
          </cell>
          <cell r="C2618">
            <v>1898.34</v>
          </cell>
          <cell r="D2618">
            <v>172.88</v>
          </cell>
          <cell r="E2618">
            <v>171.18</v>
          </cell>
          <cell r="F2618">
            <v>183.88</v>
          </cell>
          <cell r="G2618">
            <v>174.36</v>
          </cell>
          <cell r="H2618">
            <v>2412.64</v>
          </cell>
          <cell r="I2618">
            <v>213.48</v>
          </cell>
        </row>
        <row r="2619">
          <cell r="A2619">
            <v>35443</v>
          </cell>
          <cell r="B2619">
            <v>1895.82</v>
          </cell>
          <cell r="C2619">
            <v>1923.44</v>
          </cell>
          <cell r="D2619">
            <v>175.3</v>
          </cell>
          <cell r="E2619">
            <v>173.62</v>
          </cell>
          <cell r="F2619">
            <v>186.56</v>
          </cell>
          <cell r="G2619">
            <v>176.76</v>
          </cell>
          <cell r="H2619">
            <v>2463.39</v>
          </cell>
          <cell r="I2619">
            <v>217.37</v>
          </cell>
        </row>
        <row r="2620">
          <cell r="A2620">
            <v>35444</v>
          </cell>
          <cell r="B2620">
            <v>1919.29</v>
          </cell>
          <cell r="C2620">
            <v>1941.9</v>
          </cell>
          <cell r="D2620">
            <v>177.15</v>
          </cell>
          <cell r="E2620">
            <v>175.28</v>
          </cell>
          <cell r="F2620">
            <v>188.25</v>
          </cell>
          <cell r="G2620">
            <v>178.79</v>
          </cell>
          <cell r="H2620">
            <v>2494.12</v>
          </cell>
          <cell r="I2620">
            <v>219.23</v>
          </cell>
        </row>
        <row r="2621">
          <cell r="A2621">
            <v>35445</v>
          </cell>
          <cell r="B2621">
            <v>1916.55</v>
          </cell>
          <cell r="C2621">
            <v>1943.9</v>
          </cell>
          <cell r="D2621">
            <v>177.21</v>
          </cell>
          <cell r="E2621">
            <v>175.51</v>
          </cell>
          <cell r="F2621">
            <v>188.34</v>
          </cell>
          <cell r="G2621">
            <v>178.69</v>
          </cell>
          <cell r="H2621">
            <v>2485.1</v>
          </cell>
          <cell r="I2621">
            <v>218.79</v>
          </cell>
        </row>
        <row r="2622">
          <cell r="A2622">
            <v>35446</v>
          </cell>
          <cell r="B2622">
            <v>1932.05</v>
          </cell>
          <cell r="C2622">
            <v>1959.29</v>
          </cell>
          <cell r="D2622">
            <v>178.56</v>
          </cell>
          <cell r="E2622">
            <v>176.82</v>
          </cell>
          <cell r="F2622">
            <v>189.68</v>
          </cell>
          <cell r="G2622">
            <v>180.09</v>
          </cell>
          <cell r="H2622">
            <v>2505.0300000000002</v>
          </cell>
          <cell r="I2622">
            <v>220.43</v>
          </cell>
        </row>
        <row r="2623">
          <cell r="A2623">
            <v>35447</v>
          </cell>
          <cell r="B2623">
            <v>1939.45</v>
          </cell>
          <cell r="C2623">
            <v>1967.86</v>
          </cell>
          <cell r="D2623">
            <v>179.57</v>
          </cell>
          <cell r="E2623">
            <v>177.89</v>
          </cell>
          <cell r="F2623">
            <v>190.61</v>
          </cell>
          <cell r="G2623">
            <v>181.03</v>
          </cell>
          <cell r="H2623">
            <v>2509.33</v>
          </cell>
          <cell r="I2623">
            <v>221.11</v>
          </cell>
        </row>
        <row r="2624">
          <cell r="A2624">
            <v>35450</v>
          </cell>
          <cell r="B2624">
            <v>1939.06</v>
          </cell>
          <cell r="C2624">
            <v>1972.72</v>
          </cell>
          <cell r="D2624">
            <v>179.65</v>
          </cell>
          <cell r="E2624">
            <v>178.35</v>
          </cell>
          <cell r="F2624">
            <v>190.8</v>
          </cell>
          <cell r="G2624">
            <v>180.76</v>
          </cell>
          <cell r="H2624">
            <v>2513.4699999999998</v>
          </cell>
          <cell r="I2624">
            <v>221.6</v>
          </cell>
        </row>
        <row r="2625">
          <cell r="A2625">
            <v>35451</v>
          </cell>
          <cell r="B2625">
            <v>1934.58</v>
          </cell>
          <cell r="C2625">
            <v>1961.12</v>
          </cell>
          <cell r="D2625">
            <v>179.49</v>
          </cell>
          <cell r="E2625">
            <v>177.44</v>
          </cell>
          <cell r="F2625">
            <v>190.12</v>
          </cell>
          <cell r="G2625">
            <v>181.32</v>
          </cell>
          <cell r="H2625">
            <v>2511.33</v>
          </cell>
          <cell r="I2625">
            <v>221.02</v>
          </cell>
        </row>
        <row r="2626">
          <cell r="A2626">
            <v>35452</v>
          </cell>
          <cell r="B2626">
            <v>1951.82</v>
          </cell>
          <cell r="C2626">
            <v>1991.18</v>
          </cell>
          <cell r="D2626">
            <v>181.03</v>
          </cell>
          <cell r="E2626">
            <v>179.8</v>
          </cell>
          <cell r="F2626">
            <v>192.88</v>
          </cell>
          <cell r="G2626">
            <v>182.06</v>
          </cell>
          <cell r="H2626">
            <v>2539.06</v>
          </cell>
          <cell r="I2626">
            <v>223.2</v>
          </cell>
        </row>
        <row r="2627">
          <cell r="A2627">
            <v>35453</v>
          </cell>
          <cell r="B2627">
            <v>1964.89</v>
          </cell>
          <cell r="C2627">
            <v>2000.68</v>
          </cell>
          <cell r="D2627">
            <v>181.86</v>
          </cell>
          <cell r="E2627">
            <v>180.62</v>
          </cell>
          <cell r="F2627">
            <v>193.68</v>
          </cell>
          <cell r="G2627">
            <v>182.91</v>
          </cell>
          <cell r="H2627">
            <v>2525.08</v>
          </cell>
          <cell r="I2627">
            <v>222</v>
          </cell>
        </row>
        <row r="2628">
          <cell r="A2628">
            <v>35454</v>
          </cell>
          <cell r="B2628">
            <v>1941.51</v>
          </cell>
          <cell r="C2628">
            <v>1977</v>
          </cell>
          <cell r="D2628">
            <v>180.31</v>
          </cell>
          <cell r="E2628">
            <v>178.99</v>
          </cell>
          <cell r="F2628">
            <v>192.47</v>
          </cell>
          <cell r="G2628">
            <v>181.43</v>
          </cell>
          <cell r="H2628">
            <v>2526.5300000000002</v>
          </cell>
          <cell r="I2628">
            <v>221.96</v>
          </cell>
        </row>
        <row r="2629">
          <cell r="A2629">
            <v>35457</v>
          </cell>
          <cell r="B2629">
            <v>1942.2</v>
          </cell>
          <cell r="C2629">
            <v>1975.98</v>
          </cell>
          <cell r="D2629">
            <v>180.41</v>
          </cell>
          <cell r="E2629">
            <v>178.79</v>
          </cell>
          <cell r="F2629">
            <v>192.19</v>
          </cell>
          <cell r="G2629">
            <v>181.83</v>
          </cell>
          <cell r="H2629">
            <v>2524.87</v>
          </cell>
          <cell r="I2629">
            <v>221.74</v>
          </cell>
        </row>
        <row r="2630">
          <cell r="A2630">
            <v>35458</v>
          </cell>
          <cell r="B2630">
            <v>1954.09</v>
          </cell>
          <cell r="C2630">
            <v>1983.83</v>
          </cell>
          <cell r="D2630">
            <v>181.22</v>
          </cell>
          <cell r="E2630">
            <v>179.64</v>
          </cell>
          <cell r="F2630">
            <v>193.37</v>
          </cell>
          <cell r="G2630">
            <v>182.6</v>
          </cell>
          <cell r="H2630">
            <v>2537.29</v>
          </cell>
          <cell r="I2630">
            <v>222.6</v>
          </cell>
        </row>
        <row r="2631">
          <cell r="A2631">
            <v>35459</v>
          </cell>
          <cell r="B2631">
            <v>1937.99</v>
          </cell>
          <cell r="C2631">
            <v>1969.12</v>
          </cell>
          <cell r="D2631">
            <v>179.95</v>
          </cell>
          <cell r="E2631">
            <v>178.42</v>
          </cell>
          <cell r="F2631">
            <v>192.1</v>
          </cell>
          <cell r="G2631">
            <v>181.28</v>
          </cell>
          <cell r="H2631">
            <v>2505.3200000000002</v>
          </cell>
          <cell r="I2631">
            <v>220.35</v>
          </cell>
        </row>
        <row r="2632">
          <cell r="A2632">
            <v>35460</v>
          </cell>
          <cell r="B2632">
            <v>1950.93</v>
          </cell>
          <cell r="C2632">
            <v>1987.84</v>
          </cell>
          <cell r="D2632">
            <v>180.88</v>
          </cell>
          <cell r="E2632">
            <v>179.67</v>
          </cell>
          <cell r="F2632">
            <v>193.46</v>
          </cell>
          <cell r="G2632">
            <v>181.89</v>
          </cell>
          <cell r="H2632">
            <v>2523.88</v>
          </cell>
          <cell r="I2632">
            <v>221.91</v>
          </cell>
        </row>
        <row r="2633">
          <cell r="A2633">
            <v>35461</v>
          </cell>
          <cell r="B2633">
            <v>1967.48</v>
          </cell>
          <cell r="C2633">
            <v>2005.36</v>
          </cell>
          <cell r="D2633">
            <v>182.44</v>
          </cell>
          <cell r="E2633">
            <v>181.38</v>
          </cell>
          <cell r="F2633">
            <v>195.72</v>
          </cell>
          <cell r="G2633">
            <v>183.3</v>
          </cell>
          <cell r="H2633">
            <v>2572.2399999999998</v>
          </cell>
          <cell r="I2633">
            <v>226.01</v>
          </cell>
        </row>
        <row r="2634">
          <cell r="A2634">
            <v>35464</v>
          </cell>
          <cell r="B2634">
            <v>1973.44</v>
          </cell>
          <cell r="C2634">
            <v>2004.32</v>
          </cell>
          <cell r="D2634">
            <v>182.85</v>
          </cell>
          <cell r="E2634">
            <v>181.15</v>
          </cell>
          <cell r="F2634">
            <v>195.62</v>
          </cell>
          <cell r="G2634">
            <v>184.32</v>
          </cell>
          <cell r="H2634">
            <v>2557.9499999999998</v>
          </cell>
          <cell r="I2634">
            <v>225.07</v>
          </cell>
        </row>
        <row r="2635">
          <cell r="A2635">
            <v>35465</v>
          </cell>
          <cell r="B2635">
            <v>1977.51</v>
          </cell>
          <cell r="C2635">
            <v>2006.61</v>
          </cell>
          <cell r="D2635">
            <v>183.21</v>
          </cell>
          <cell r="E2635">
            <v>181.48</v>
          </cell>
          <cell r="F2635">
            <v>195.87</v>
          </cell>
          <cell r="G2635">
            <v>184.72</v>
          </cell>
          <cell r="H2635">
            <v>2560.88</v>
          </cell>
          <cell r="I2635">
            <v>225.48</v>
          </cell>
        </row>
        <row r="2636">
          <cell r="A2636">
            <v>35466</v>
          </cell>
          <cell r="B2636">
            <v>2005.92</v>
          </cell>
          <cell r="C2636">
            <v>2035.49</v>
          </cell>
          <cell r="D2636">
            <v>185.27</v>
          </cell>
          <cell r="E2636">
            <v>183.54</v>
          </cell>
          <cell r="F2636">
            <v>197.57</v>
          </cell>
          <cell r="G2636">
            <v>186.77</v>
          </cell>
          <cell r="H2636">
            <v>2559.11</v>
          </cell>
          <cell r="I2636">
            <v>225.3</v>
          </cell>
        </row>
        <row r="2637">
          <cell r="A2637">
            <v>35467</v>
          </cell>
          <cell r="B2637">
            <v>2006.39</v>
          </cell>
          <cell r="C2637">
            <v>2038.2</v>
          </cell>
          <cell r="D2637">
            <v>185.26</v>
          </cell>
          <cell r="E2637">
            <v>183.88</v>
          </cell>
          <cell r="F2637">
            <v>198.03</v>
          </cell>
          <cell r="G2637">
            <v>186.43</v>
          </cell>
          <cell r="H2637">
            <v>2564.9299999999998</v>
          </cell>
          <cell r="I2637">
            <v>226.12</v>
          </cell>
        </row>
        <row r="2638">
          <cell r="A2638">
            <v>35468</v>
          </cell>
          <cell r="B2638">
            <v>2021.95</v>
          </cell>
          <cell r="C2638">
            <v>2056.83</v>
          </cell>
          <cell r="D2638">
            <v>186.54</v>
          </cell>
          <cell r="E2638">
            <v>185.44</v>
          </cell>
          <cell r="F2638">
            <v>199.59</v>
          </cell>
          <cell r="G2638">
            <v>187.45</v>
          </cell>
          <cell r="H2638">
            <v>2564.5</v>
          </cell>
          <cell r="I2638">
            <v>226.28</v>
          </cell>
        </row>
        <row r="2639">
          <cell r="A2639">
            <v>35471</v>
          </cell>
          <cell r="B2639">
            <v>2033.02</v>
          </cell>
          <cell r="C2639">
            <v>2064.9899999999998</v>
          </cell>
          <cell r="D2639">
            <v>187.88</v>
          </cell>
          <cell r="E2639">
            <v>186.41</v>
          </cell>
          <cell r="F2639">
            <v>201.01</v>
          </cell>
          <cell r="G2639">
            <v>189.14</v>
          </cell>
          <cell r="H2639">
            <v>2609.38</v>
          </cell>
          <cell r="I2639">
            <v>230</v>
          </cell>
        </row>
        <row r="2640">
          <cell r="A2640">
            <v>35472</v>
          </cell>
          <cell r="B2640">
            <v>2037.58</v>
          </cell>
          <cell r="C2640">
            <v>2057.73</v>
          </cell>
          <cell r="D2640">
            <v>188.16</v>
          </cell>
          <cell r="E2640">
            <v>185.85</v>
          </cell>
          <cell r="F2640">
            <v>200.72</v>
          </cell>
          <cell r="G2640">
            <v>190.22</v>
          </cell>
          <cell r="H2640">
            <v>2603.73</v>
          </cell>
          <cell r="I2640">
            <v>229.62</v>
          </cell>
        </row>
        <row r="2641">
          <cell r="A2641">
            <v>35473</v>
          </cell>
          <cell r="B2641">
            <v>2050.12</v>
          </cell>
          <cell r="C2641">
            <v>2071.1</v>
          </cell>
          <cell r="D2641">
            <v>189.13</v>
          </cell>
          <cell r="E2641">
            <v>187.06</v>
          </cell>
          <cell r="F2641">
            <v>202.01</v>
          </cell>
          <cell r="G2641">
            <v>190.96</v>
          </cell>
          <cell r="H2641">
            <v>2625.25</v>
          </cell>
          <cell r="I2641">
            <v>231.59</v>
          </cell>
        </row>
        <row r="2642">
          <cell r="A2642">
            <v>35474</v>
          </cell>
          <cell r="B2642">
            <v>2055.96</v>
          </cell>
          <cell r="C2642">
            <v>2088.21</v>
          </cell>
          <cell r="D2642">
            <v>189.55</v>
          </cell>
          <cell r="E2642">
            <v>188.27</v>
          </cell>
          <cell r="F2642">
            <v>202.9</v>
          </cell>
          <cell r="G2642">
            <v>190.59</v>
          </cell>
          <cell r="H2642">
            <v>2625.92</v>
          </cell>
          <cell r="I2642">
            <v>231.95</v>
          </cell>
        </row>
        <row r="2643">
          <cell r="A2643">
            <v>35475</v>
          </cell>
          <cell r="B2643">
            <v>2066.3200000000002</v>
          </cell>
          <cell r="C2643">
            <v>2097.42</v>
          </cell>
          <cell r="D2643">
            <v>190.48</v>
          </cell>
          <cell r="E2643">
            <v>188.95</v>
          </cell>
          <cell r="F2643">
            <v>203.69</v>
          </cell>
          <cell r="G2643">
            <v>191.77</v>
          </cell>
          <cell r="H2643">
            <v>2643.83</v>
          </cell>
          <cell r="I2643">
            <v>233.22</v>
          </cell>
        </row>
        <row r="2644">
          <cell r="A2644">
            <v>35478</v>
          </cell>
          <cell r="B2644">
            <v>2077.7600000000002</v>
          </cell>
          <cell r="C2644">
            <v>2102.12</v>
          </cell>
          <cell r="D2644">
            <v>190.8</v>
          </cell>
          <cell r="E2644">
            <v>188.93</v>
          </cell>
          <cell r="F2644">
            <v>204.02</v>
          </cell>
          <cell r="G2644">
            <v>192.44</v>
          </cell>
          <cell r="H2644">
            <v>2664.01</v>
          </cell>
          <cell r="I2644">
            <v>234.9</v>
          </cell>
        </row>
        <row r="2645">
          <cell r="A2645">
            <v>35479</v>
          </cell>
          <cell r="B2645">
            <v>2073.92</v>
          </cell>
          <cell r="C2645">
            <v>2107.17</v>
          </cell>
          <cell r="D2645">
            <v>190.21</v>
          </cell>
          <cell r="E2645">
            <v>189.33</v>
          </cell>
          <cell r="F2645">
            <v>204.27</v>
          </cell>
          <cell r="G2645">
            <v>190.86</v>
          </cell>
          <cell r="H2645">
            <v>2667.21</v>
          </cell>
          <cell r="I2645">
            <v>234.72</v>
          </cell>
        </row>
        <row r="2646">
          <cell r="A2646">
            <v>35480</v>
          </cell>
          <cell r="B2646">
            <v>2079.1</v>
          </cell>
          <cell r="C2646">
            <v>2098.1</v>
          </cell>
          <cell r="D2646">
            <v>191.17</v>
          </cell>
          <cell r="E2646">
            <v>188.4</v>
          </cell>
          <cell r="F2646">
            <v>203.87</v>
          </cell>
          <cell r="G2646">
            <v>193.69</v>
          </cell>
          <cell r="H2646">
            <v>2702.17</v>
          </cell>
          <cell r="I2646">
            <v>236.62</v>
          </cell>
        </row>
        <row r="2647">
          <cell r="A2647">
            <v>35481</v>
          </cell>
          <cell r="B2647">
            <v>2063.9299999999998</v>
          </cell>
          <cell r="C2647">
            <v>2086.06</v>
          </cell>
          <cell r="D2647">
            <v>189.92</v>
          </cell>
          <cell r="E2647">
            <v>187.48</v>
          </cell>
          <cell r="F2647">
            <v>203.03</v>
          </cell>
          <cell r="G2647">
            <v>192.11</v>
          </cell>
          <cell r="H2647">
            <v>2695.36</v>
          </cell>
          <cell r="I2647">
            <v>235.6</v>
          </cell>
        </row>
        <row r="2648">
          <cell r="A2648">
            <v>35482</v>
          </cell>
          <cell r="B2648">
            <v>2053.75</v>
          </cell>
          <cell r="C2648">
            <v>2070.4499999999998</v>
          </cell>
          <cell r="D2648">
            <v>189.47</v>
          </cell>
          <cell r="E2648">
            <v>186.49</v>
          </cell>
          <cell r="F2648">
            <v>202.31</v>
          </cell>
          <cell r="G2648">
            <v>192.19</v>
          </cell>
          <cell r="H2648">
            <v>2689.56</v>
          </cell>
          <cell r="I2648">
            <v>235.31</v>
          </cell>
        </row>
        <row r="2649">
          <cell r="A2649">
            <v>35485</v>
          </cell>
          <cell r="B2649">
            <v>2046.24</v>
          </cell>
          <cell r="C2649">
            <v>2069.4299999999998</v>
          </cell>
          <cell r="D2649">
            <v>188.94</v>
          </cell>
          <cell r="E2649">
            <v>186.25</v>
          </cell>
          <cell r="F2649">
            <v>201.5</v>
          </cell>
          <cell r="G2649">
            <v>191.38</v>
          </cell>
          <cell r="H2649">
            <v>2652.06</v>
          </cell>
          <cell r="I2649">
            <v>232.38</v>
          </cell>
        </row>
        <row r="2650">
          <cell r="A2650">
            <v>35486</v>
          </cell>
          <cell r="B2650">
            <v>2067.7199999999998</v>
          </cell>
          <cell r="C2650">
            <v>2096.81</v>
          </cell>
          <cell r="D2650">
            <v>190.39</v>
          </cell>
          <cell r="E2650">
            <v>188.49</v>
          </cell>
          <cell r="F2650">
            <v>203.51</v>
          </cell>
          <cell r="G2650">
            <v>192.05</v>
          </cell>
          <cell r="H2650">
            <v>2659.25</v>
          </cell>
          <cell r="I2650">
            <v>233.18</v>
          </cell>
        </row>
        <row r="2651">
          <cell r="A2651">
            <v>35487</v>
          </cell>
          <cell r="B2651">
            <v>2065.4699999999998</v>
          </cell>
          <cell r="C2651">
            <v>2088.77</v>
          </cell>
          <cell r="D2651">
            <v>190.28</v>
          </cell>
          <cell r="E2651">
            <v>187.89</v>
          </cell>
          <cell r="F2651">
            <v>202.82</v>
          </cell>
          <cell r="G2651">
            <v>192.42</v>
          </cell>
          <cell r="H2651">
            <v>2667.2</v>
          </cell>
          <cell r="I2651">
            <v>233.92</v>
          </cell>
        </row>
        <row r="2652">
          <cell r="A2652">
            <v>35488</v>
          </cell>
          <cell r="B2652">
            <v>2071.61</v>
          </cell>
          <cell r="C2652">
            <v>2099.8000000000002</v>
          </cell>
          <cell r="D2652">
            <v>190.57</v>
          </cell>
          <cell r="E2652">
            <v>188.81</v>
          </cell>
          <cell r="F2652">
            <v>203.42</v>
          </cell>
          <cell r="G2652">
            <v>192.1</v>
          </cell>
          <cell r="H2652">
            <v>2654.4</v>
          </cell>
          <cell r="I2652">
            <v>232.74</v>
          </cell>
        </row>
        <row r="2653">
          <cell r="A2653">
            <v>35489</v>
          </cell>
          <cell r="B2653">
            <v>2050.98</v>
          </cell>
          <cell r="C2653">
            <v>2077.2199999999998</v>
          </cell>
          <cell r="D2653">
            <v>189.29</v>
          </cell>
          <cell r="E2653">
            <v>187.24</v>
          </cell>
          <cell r="F2653">
            <v>201.76</v>
          </cell>
          <cell r="G2653">
            <v>191.09</v>
          </cell>
          <cell r="H2653">
            <v>2643.6</v>
          </cell>
          <cell r="I2653">
            <v>231.68</v>
          </cell>
        </row>
        <row r="2654">
          <cell r="A2654">
            <v>35492</v>
          </cell>
          <cell r="B2654">
            <v>2050.7600000000002</v>
          </cell>
          <cell r="C2654">
            <v>2080.42</v>
          </cell>
          <cell r="D2654">
            <v>189.02</v>
          </cell>
          <cell r="E2654">
            <v>187.37</v>
          </cell>
          <cell r="F2654">
            <v>201.63</v>
          </cell>
          <cell r="G2654">
            <v>190.43</v>
          </cell>
          <cell r="H2654">
            <v>2629.92</v>
          </cell>
          <cell r="I2654">
            <v>229.99</v>
          </cell>
        </row>
        <row r="2655">
          <cell r="A2655">
            <v>35493</v>
          </cell>
          <cell r="B2655">
            <v>2081.42</v>
          </cell>
          <cell r="C2655">
            <v>2111.36</v>
          </cell>
          <cell r="D2655">
            <v>191.6</v>
          </cell>
          <cell r="E2655">
            <v>189.89</v>
          </cell>
          <cell r="F2655">
            <v>204.2</v>
          </cell>
          <cell r="G2655">
            <v>193.07</v>
          </cell>
          <cell r="H2655">
            <v>2668.71</v>
          </cell>
          <cell r="I2655">
            <v>232.56</v>
          </cell>
        </row>
        <row r="2656">
          <cell r="A2656">
            <v>35494</v>
          </cell>
          <cell r="B2656">
            <v>2090.23</v>
          </cell>
          <cell r="C2656">
            <v>2122.98</v>
          </cell>
          <cell r="D2656">
            <v>192.47</v>
          </cell>
          <cell r="E2656">
            <v>190.89</v>
          </cell>
          <cell r="F2656">
            <v>205.51</v>
          </cell>
          <cell r="G2656">
            <v>193.81</v>
          </cell>
          <cell r="H2656">
            <v>2686.77</v>
          </cell>
          <cell r="I2656">
            <v>234.26</v>
          </cell>
        </row>
        <row r="2657">
          <cell r="A2657">
            <v>35495</v>
          </cell>
          <cell r="B2657">
            <v>2117.5100000000002</v>
          </cell>
          <cell r="C2657">
            <v>2150.21</v>
          </cell>
          <cell r="D2657">
            <v>194.83</v>
          </cell>
          <cell r="E2657">
            <v>193.28</v>
          </cell>
          <cell r="F2657">
            <v>208.18</v>
          </cell>
          <cell r="G2657">
            <v>196.14</v>
          </cell>
          <cell r="H2657">
            <v>2722.57</v>
          </cell>
          <cell r="I2657">
            <v>237.11</v>
          </cell>
        </row>
        <row r="2658">
          <cell r="A2658">
            <v>35496</v>
          </cell>
          <cell r="B2658">
            <v>2116.58</v>
          </cell>
          <cell r="C2658">
            <v>2142.9899999999998</v>
          </cell>
          <cell r="D2658">
            <v>194.62</v>
          </cell>
          <cell r="E2658">
            <v>193.18</v>
          </cell>
          <cell r="F2658">
            <v>208.28</v>
          </cell>
          <cell r="G2658">
            <v>195.83</v>
          </cell>
          <cell r="H2658">
            <v>2736.39</v>
          </cell>
          <cell r="I2658">
            <v>237.89</v>
          </cell>
        </row>
        <row r="2659">
          <cell r="A2659">
            <v>35499</v>
          </cell>
          <cell r="B2659">
            <v>2133.9699999999998</v>
          </cell>
          <cell r="C2659">
            <v>2162.1999999999998</v>
          </cell>
          <cell r="D2659">
            <v>195.69</v>
          </cell>
          <cell r="E2659">
            <v>194.86</v>
          </cell>
          <cell r="F2659">
            <v>210.09</v>
          </cell>
          <cell r="G2659">
            <v>196.28</v>
          </cell>
          <cell r="H2659">
            <v>2757.84</v>
          </cell>
          <cell r="I2659">
            <v>240.48</v>
          </cell>
        </row>
        <row r="2660">
          <cell r="A2660">
            <v>35500</v>
          </cell>
          <cell r="B2660">
            <v>2141.8000000000002</v>
          </cell>
          <cell r="C2660">
            <v>2169.71</v>
          </cell>
          <cell r="D2660">
            <v>196.24</v>
          </cell>
          <cell r="E2660">
            <v>195.28</v>
          </cell>
          <cell r="F2660">
            <v>210.47</v>
          </cell>
          <cell r="G2660">
            <v>196.97</v>
          </cell>
          <cell r="H2660">
            <v>2769.09</v>
          </cell>
          <cell r="I2660">
            <v>241.37</v>
          </cell>
        </row>
        <row r="2661">
          <cell r="A2661">
            <v>35501</v>
          </cell>
          <cell r="B2661">
            <v>2119.91</v>
          </cell>
          <cell r="C2661">
            <v>2143.17</v>
          </cell>
          <cell r="D2661">
            <v>193.81</v>
          </cell>
          <cell r="E2661">
            <v>192.77</v>
          </cell>
          <cell r="F2661">
            <v>208.12</v>
          </cell>
          <cell r="G2661">
            <v>194.61</v>
          </cell>
          <cell r="H2661">
            <v>2710.62</v>
          </cell>
          <cell r="I2661">
            <v>236.96</v>
          </cell>
        </row>
        <row r="2662">
          <cell r="A2662">
            <v>35502</v>
          </cell>
          <cell r="B2662">
            <v>2112.41</v>
          </cell>
          <cell r="C2662">
            <v>2133.9499999999998</v>
          </cell>
          <cell r="D2662">
            <v>193.39</v>
          </cell>
          <cell r="E2662">
            <v>191.91</v>
          </cell>
          <cell r="F2662">
            <v>207.23</v>
          </cell>
          <cell r="G2662">
            <v>194.63</v>
          </cell>
          <cell r="H2662">
            <v>2725.97</v>
          </cell>
          <cell r="I2662">
            <v>237.81</v>
          </cell>
        </row>
        <row r="2663">
          <cell r="A2663">
            <v>35503</v>
          </cell>
          <cell r="B2663">
            <v>2116.88</v>
          </cell>
          <cell r="C2663">
            <v>2139.65</v>
          </cell>
          <cell r="D2663">
            <v>193.59</v>
          </cell>
          <cell r="E2663">
            <v>192.34</v>
          </cell>
          <cell r="F2663">
            <v>207.43</v>
          </cell>
          <cell r="G2663">
            <v>194.59</v>
          </cell>
          <cell r="H2663">
            <v>2709.7</v>
          </cell>
          <cell r="I2663">
            <v>236.21</v>
          </cell>
        </row>
        <row r="2664">
          <cell r="A2664">
            <v>35506</v>
          </cell>
          <cell r="B2664">
            <v>2095.02</v>
          </cell>
          <cell r="C2664">
            <v>2124.5500000000002</v>
          </cell>
          <cell r="D2664">
            <v>191.57</v>
          </cell>
          <cell r="E2664">
            <v>190.86</v>
          </cell>
          <cell r="F2664">
            <v>205.72</v>
          </cell>
          <cell r="G2664">
            <v>192.05</v>
          </cell>
          <cell r="H2664">
            <v>2690.76</v>
          </cell>
          <cell r="I2664">
            <v>234.76</v>
          </cell>
        </row>
        <row r="2665">
          <cell r="A2665">
            <v>35507</v>
          </cell>
          <cell r="B2665">
            <v>2070.4699999999998</v>
          </cell>
          <cell r="C2665">
            <v>2095.4899999999998</v>
          </cell>
          <cell r="D2665">
            <v>189.01</v>
          </cell>
          <cell r="E2665">
            <v>188.25</v>
          </cell>
          <cell r="F2665">
            <v>203.06</v>
          </cell>
          <cell r="G2665">
            <v>189.53</v>
          </cell>
          <cell r="H2665">
            <v>2637.3</v>
          </cell>
          <cell r="I2665">
            <v>230.23</v>
          </cell>
        </row>
        <row r="2666">
          <cell r="A2666">
            <v>35508</v>
          </cell>
          <cell r="B2666">
            <v>2077.2800000000002</v>
          </cell>
          <cell r="C2666">
            <v>2099.91</v>
          </cell>
          <cell r="D2666">
            <v>189.54</v>
          </cell>
          <cell r="E2666">
            <v>188.76</v>
          </cell>
          <cell r="F2666">
            <v>203.53</v>
          </cell>
          <cell r="G2666">
            <v>190.09</v>
          </cell>
          <cell r="H2666">
            <v>2625.49</v>
          </cell>
          <cell r="I2666">
            <v>229.64</v>
          </cell>
        </row>
        <row r="2667">
          <cell r="A2667">
            <v>35509</v>
          </cell>
          <cell r="B2667">
            <v>2044.08</v>
          </cell>
          <cell r="C2667">
            <v>2068</v>
          </cell>
          <cell r="D2667">
            <v>186.81</v>
          </cell>
          <cell r="E2667">
            <v>186.01</v>
          </cell>
          <cell r="F2667">
            <v>200.45</v>
          </cell>
          <cell r="G2667">
            <v>187.4</v>
          </cell>
          <cell r="H2667">
            <v>2590.52</v>
          </cell>
          <cell r="I2667">
            <v>226.54</v>
          </cell>
        </row>
        <row r="2668">
          <cell r="A2668">
            <v>35510</v>
          </cell>
          <cell r="B2668">
            <v>2055.2600000000002</v>
          </cell>
          <cell r="C2668">
            <v>2090.88</v>
          </cell>
          <cell r="D2668">
            <v>187.74</v>
          </cell>
          <cell r="E2668">
            <v>187.58</v>
          </cell>
          <cell r="F2668">
            <v>201.88</v>
          </cell>
          <cell r="G2668">
            <v>187.68</v>
          </cell>
          <cell r="H2668">
            <v>2616.17</v>
          </cell>
          <cell r="I2668">
            <v>228.4</v>
          </cell>
        </row>
        <row r="2669">
          <cell r="A2669">
            <v>35513</v>
          </cell>
          <cell r="B2669">
            <v>2049.3000000000002</v>
          </cell>
          <cell r="C2669">
            <v>2080.9299999999998</v>
          </cell>
          <cell r="D2669">
            <v>187.44</v>
          </cell>
          <cell r="E2669">
            <v>186.97</v>
          </cell>
          <cell r="F2669">
            <v>201.43</v>
          </cell>
          <cell r="G2669">
            <v>187.68</v>
          </cell>
          <cell r="H2669">
            <v>2610.0100000000002</v>
          </cell>
          <cell r="I2669">
            <v>228.28</v>
          </cell>
        </row>
        <row r="2670">
          <cell r="A2670">
            <v>35514</v>
          </cell>
          <cell r="B2670">
            <v>2079.37</v>
          </cell>
          <cell r="C2670">
            <v>2108.6799999999998</v>
          </cell>
          <cell r="D2670">
            <v>189.63</v>
          </cell>
          <cell r="E2670">
            <v>189.4</v>
          </cell>
          <cell r="F2670">
            <v>203.84</v>
          </cell>
          <cell r="G2670">
            <v>189.64</v>
          </cell>
          <cell r="H2670">
            <v>2633.63</v>
          </cell>
          <cell r="I2670">
            <v>230.68</v>
          </cell>
        </row>
        <row r="2671">
          <cell r="A2671">
            <v>35515</v>
          </cell>
          <cell r="B2671">
            <v>2109.9</v>
          </cell>
          <cell r="C2671">
            <v>2133.6</v>
          </cell>
          <cell r="D2671">
            <v>191.91</v>
          </cell>
          <cell r="E2671">
            <v>191.65</v>
          </cell>
          <cell r="F2671">
            <v>206.23</v>
          </cell>
          <cell r="G2671">
            <v>191.96</v>
          </cell>
          <cell r="H2671">
            <v>2655.84</v>
          </cell>
          <cell r="I2671">
            <v>232.78</v>
          </cell>
        </row>
        <row r="2672">
          <cell r="A2672">
            <v>35516</v>
          </cell>
          <cell r="B2672">
            <v>2114.9</v>
          </cell>
          <cell r="C2672">
            <v>2141.5100000000002</v>
          </cell>
          <cell r="D2672">
            <v>192.2</v>
          </cell>
          <cell r="E2672">
            <v>192.23</v>
          </cell>
          <cell r="F2672">
            <v>207.15</v>
          </cell>
          <cell r="G2672">
            <v>191.95</v>
          </cell>
          <cell r="H2672">
            <v>2672.64</v>
          </cell>
          <cell r="I2672">
            <v>234.25</v>
          </cell>
        </row>
        <row r="2673">
          <cell r="A2673">
            <v>35517</v>
          </cell>
          <cell r="B2673">
            <v>2118.56</v>
          </cell>
          <cell r="C2673">
            <v>2142.4499999999998</v>
          </cell>
          <cell r="D2673">
            <v>192.63</v>
          </cell>
          <cell r="E2673">
            <v>192.33</v>
          </cell>
          <cell r="F2673">
            <v>207.42</v>
          </cell>
          <cell r="G2673">
            <v>192.71</v>
          </cell>
          <cell r="H2673">
            <v>2680.24</v>
          </cell>
          <cell r="I2673">
            <v>234.9</v>
          </cell>
        </row>
        <row r="2674">
          <cell r="A2674">
            <v>35520</v>
          </cell>
          <cell r="B2674">
            <v>2116.5700000000002</v>
          </cell>
          <cell r="C2674">
            <v>2137.2800000000002</v>
          </cell>
          <cell r="D2674">
            <v>192.54</v>
          </cell>
          <cell r="E2674">
            <v>191.87</v>
          </cell>
          <cell r="F2674">
            <v>207.15</v>
          </cell>
          <cell r="G2674">
            <v>192.98</v>
          </cell>
          <cell r="H2674">
            <v>2689.57</v>
          </cell>
          <cell r="I2674">
            <v>235.72</v>
          </cell>
        </row>
        <row r="2675">
          <cell r="A2675">
            <v>35521</v>
          </cell>
          <cell r="B2675">
            <v>2052.4299999999998</v>
          </cell>
          <cell r="C2675">
            <v>2063.2199999999998</v>
          </cell>
          <cell r="D2675">
            <v>187.51</v>
          </cell>
          <cell r="E2675">
            <v>186.09</v>
          </cell>
          <cell r="F2675">
            <v>200.38</v>
          </cell>
          <cell r="G2675">
            <v>188.71</v>
          </cell>
          <cell r="H2675">
            <v>2556.9</v>
          </cell>
          <cell r="I2675">
            <v>224.26</v>
          </cell>
        </row>
        <row r="2676">
          <cell r="A2676">
            <v>35522</v>
          </cell>
          <cell r="B2676">
            <v>2046.83</v>
          </cell>
          <cell r="C2676">
            <v>2056.63</v>
          </cell>
          <cell r="D2676">
            <v>187.03</v>
          </cell>
          <cell r="E2676">
            <v>185.52</v>
          </cell>
          <cell r="F2676">
            <v>199.76</v>
          </cell>
          <cell r="G2676">
            <v>188.31</v>
          </cell>
          <cell r="H2676">
            <v>2525.27</v>
          </cell>
          <cell r="I2676">
            <v>221.88</v>
          </cell>
        </row>
        <row r="2677">
          <cell r="A2677">
            <v>35523</v>
          </cell>
          <cell r="B2677">
            <v>2023.3</v>
          </cell>
          <cell r="C2677">
            <v>2026.91</v>
          </cell>
          <cell r="D2677">
            <v>185.33</v>
          </cell>
          <cell r="E2677">
            <v>183.22</v>
          </cell>
          <cell r="F2677">
            <v>197.76</v>
          </cell>
          <cell r="G2677">
            <v>187.19</v>
          </cell>
          <cell r="H2677">
            <v>2523.4499999999998</v>
          </cell>
          <cell r="I2677">
            <v>221.66</v>
          </cell>
        </row>
        <row r="2678">
          <cell r="A2678">
            <v>35524</v>
          </cell>
          <cell r="B2678">
            <v>2028.63</v>
          </cell>
          <cell r="C2678">
            <v>2031.61</v>
          </cell>
          <cell r="D2678">
            <v>186.34</v>
          </cell>
          <cell r="E2678">
            <v>184.12</v>
          </cell>
          <cell r="F2678">
            <v>198.72</v>
          </cell>
          <cell r="G2678">
            <v>188.31</v>
          </cell>
          <cell r="H2678">
            <v>2531.83</v>
          </cell>
          <cell r="I2678">
            <v>222.51</v>
          </cell>
        </row>
        <row r="2679">
          <cell r="A2679">
            <v>35527</v>
          </cell>
          <cell r="B2679">
            <v>2065.37</v>
          </cell>
          <cell r="C2679">
            <v>2072.15</v>
          </cell>
          <cell r="D2679">
            <v>189.42</v>
          </cell>
          <cell r="E2679">
            <v>187.31</v>
          </cell>
          <cell r="F2679">
            <v>202.28</v>
          </cell>
          <cell r="G2679">
            <v>191.3</v>
          </cell>
          <cell r="H2679">
            <v>2596.83</v>
          </cell>
          <cell r="I2679">
            <v>227.44</v>
          </cell>
        </row>
        <row r="2680">
          <cell r="A2680">
            <v>35528</v>
          </cell>
          <cell r="B2680">
            <v>2067.46</v>
          </cell>
          <cell r="C2680">
            <v>2077.81</v>
          </cell>
          <cell r="D2680">
            <v>189.7</v>
          </cell>
          <cell r="E2680">
            <v>187.92</v>
          </cell>
          <cell r="F2680">
            <v>202.7</v>
          </cell>
          <cell r="G2680">
            <v>191.25</v>
          </cell>
          <cell r="H2680">
            <v>2604.0300000000002</v>
          </cell>
          <cell r="I2680">
            <v>227.92</v>
          </cell>
        </row>
        <row r="2681">
          <cell r="A2681">
            <v>35529</v>
          </cell>
          <cell r="B2681">
            <v>2087.63</v>
          </cell>
          <cell r="C2681">
            <v>2100.6999999999998</v>
          </cell>
          <cell r="D2681">
            <v>191.37</v>
          </cell>
          <cell r="E2681">
            <v>189.93</v>
          </cell>
          <cell r="F2681">
            <v>204.62</v>
          </cell>
          <cell r="G2681">
            <v>192.57</v>
          </cell>
          <cell r="H2681">
            <v>2606.15</v>
          </cell>
          <cell r="I2681">
            <v>227.63</v>
          </cell>
        </row>
        <row r="2682">
          <cell r="A2682">
            <v>35530</v>
          </cell>
          <cell r="B2682">
            <v>2086.3200000000002</v>
          </cell>
          <cell r="C2682">
            <v>2091.17</v>
          </cell>
          <cell r="D2682">
            <v>191.32</v>
          </cell>
          <cell r="E2682">
            <v>189.26</v>
          </cell>
          <cell r="F2682">
            <v>204.21</v>
          </cell>
          <cell r="G2682">
            <v>193.14</v>
          </cell>
          <cell r="H2682">
            <v>2609.41</v>
          </cell>
          <cell r="I2682">
            <v>227.87</v>
          </cell>
        </row>
        <row r="2683">
          <cell r="A2683">
            <v>35531</v>
          </cell>
          <cell r="B2683">
            <v>2078.4699999999998</v>
          </cell>
          <cell r="C2683">
            <v>2080.8200000000002</v>
          </cell>
          <cell r="D2683">
            <v>190.82</v>
          </cell>
          <cell r="E2683">
            <v>188.59</v>
          </cell>
          <cell r="F2683">
            <v>203.77</v>
          </cell>
          <cell r="G2683">
            <v>192.8</v>
          </cell>
          <cell r="H2683">
            <v>2598.19</v>
          </cell>
          <cell r="I2683">
            <v>227.23</v>
          </cell>
        </row>
        <row r="2684">
          <cell r="A2684">
            <v>35534</v>
          </cell>
          <cell r="B2684">
            <v>2062.64</v>
          </cell>
          <cell r="C2684">
            <v>2059.0700000000002</v>
          </cell>
          <cell r="D2684">
            <v>189.4</v>
          </cell>
          <cell r="E2684">
            <v>186.91</v>
          </cell>
          <cell r="F2684">
            <v>202.09</v>
          </cell>
          <cell r="G2684">
            <v>191.65</v>
          </cell>
          <cell r="H2684">
            <v>2587.83</v>
          </cell>
          <cell r="I2684">
            <v>226.21</v>
          </cell>
        </row>
        <row r="2685">
          <cell r="A2685">
            <v>35535</v>
          </cell>
          <cell r="B2685">
            <v>2100.92</v>
          </cell>
          <cell r="C2685">
            <v>2100.96</v>
          </cell>
          <cell r="D2685">
            <v>191.89</v>
          </cell>
          <cell r="E2685">
            <v>189.99</v>
          </cell>
          <cell r="F2685">
            <v>205.12</v>
          </cell>
          <cell r="G2685">
            <v>193.55</v>
          </cell>
          <cell r="H2685">
            <v>2617.0700000000002</v>
          </cell>
          <cell r="I2685">
            <v>228.28</v>
          </cell>
        </row>
        <row r="2686">
          <cell r="A2686">
            <v>35536</v>
          </cell>
          <cell r="B2686">
            <v>2106.1799999999998</v>
          </cell>
          <cell r="C2686">
            <v>2108.2399999999998</v>
          </cell>
          <cell r="D2686">
            <v>192.17</v>
          </cell>
          <cell r="E2686">
            <v>190.51</v>
          </cell>
          <cell r="F2686">
            <v>205.4</v>
          </cell>
          <cell r="G2686">
            <v>193.59</v>
          </cell>
          <cell r="H2686">
            <v>2618.66</v>
          </cell>
          <cell r="I2686">
            <v>228.17</v>
          </cell>
        </row>
        <row r="2687">
          <cell r="A2687">
            <v>35537</v>
          </cell>
          <cell r="B2687">
            <v>2119.29</v>
          </cell>
          <cell r="C2687">
            <v>2120.31</v>
          </cell>
          <cell r="D2687">
            <v>192.57</v>
          </cell>
          <cell r="E2687">
            <v>191.02</v>
          </cell>
          <cell r="F2687">
            <v>206</v>
          </cell>
          <cell r="G2687">
            <v>193.88</v>
          </cell>
          <cell r="H2687">
            <v>2610.6799999999998</v>
          </cell>
          <cell r="I2687">
            <v>227.04</v>
          </cell>
        </row>
        <row r="2688">
          <cell r="A2688">
            <v>35538</v>
          </cell>
          <cell r="B2688">
            <v>2114.3200000000002</v>
          </cell>
          <cell r="C2688">
            <v>2104.84</v>
          </cell>
          <cell r="D2688">
            <v>191.49</v>
          </cell>
          <cell r="E2688">
            <v>189.34</v>
          </cell>
          <cell r="F2688">
            <v>204.64</v>
          </cell>
          <cell r="G2688">
            <v>193.4</v>
          </cell>
          <cell r="H2688">
            <v>2605.85</v>
          </cell>
          <cell r="I2688">
            <v>226.73</v>
          </cell>
        </row>
        <row r="2689">
          <cell r="A2689">
            <v>35541</v>
          </cell>
          <cell r="B2689">
            <v>2119.92</v>
          </cell>
          <cell r="C2689">
            <v>2108.25</v>
          </cell>
          <cell r="D2689">
            <v>192.14</v>
          </cell>
          <cell r="E2689">
            <v>189.79</v>
          </cell>
          <cell r="F2689">
            <v>205.5</v>
          </cell>
          <cell r="G2689">
            <v>194.24</v>
          </cell>
          <cell r="H2689">
            <v>2609.9</v>
          </cell>
          <cell r="I2689">
            <v>226.69</v>
          </cell>
        </row>
        <row r="2690">
          <cell r="A2690">
            <v>35542</v>
          </cell>
          <cell r="B2690">
            <v>2122.8200000000002</v>
          </cell>
          <cell r="C2690">
            <v>2108.48</v>
          </cell>
          <cell r="D2690">
            <v>192.61</v>
          </cell>
          <cell r="E2690">
            <v>189.51</v>
          </cell>
          <cell r="F2690">
            <v>205.2</v>
          </cell>
          <cell r="G2690">
            <v>195.46</v>
          </cell>
          <cell r="H2690">
            <v>2609.65</v>
          </cell>
          <cell r="I2690">
            <v>226.89</v>
          </cell>
        </row>
        <row r="2691">
          <cell r="A2691">
            <v>35543</v>
          </cell>
          <cell r="B2691">
            <v>2141.9499999999998</v>
          </cell>
          <cell r="C2691">
            <v>2134.7600000000002</v>
          </cell>
          <cell r="D2691">
            <v>194.18</v>
          </cell>
          <cell r="E2691">
            <v>191.89</v>
          </cell>
          <cell r="F2691">
            <v>207.34</v>
          </cell>
          <cell r="G2691">
            <v>196.21</v>
          </cell>
          <cell r="H2691">
            <v>2618.7600000000002</v>
          </cell>
          <cell r="I2691">
            <v>227.48</v>
          </cell>
        </row>
        <row r="2692">
          <cell r="A2692">
            <v>35544</v>
          </cell>
          <cell r="B2692">
            <v>2149.9899999999998</v>
          </cell>
          <cell r="C2692">
            <v>2135.0100000000002</v>
          </cell>
          <cell r="D2692">
            <v>194.68</v>
          </cell>
          <cell r="E2692">
            <v>191.95</v>
          </cell>
          <cell r="F2692">
            <v>207.96</v>
          </cell>
          <cell r="G2692">
            <v>197.16</v>
          </cell>
          <cell r="H2692">
            <v>2646.05</v>
          </cell>
          <cell r="I2692">
            <v>229.36</v>
          </cell>
        </row>
        <row r="2693">
          <cell r="A2693">
            <v>35545</v>
          </cell>
          <cell r="B2693">
            <v>2140.86</v>
          </cell>
          <cell r="C2693">
            <v>2123.9899999999998</v>
          </cell>
          <cell r="D2693">
            <v>193.97</v>
          </cell>
          <cell r="E2693">
            <v>191.07</v>
          </cell>
          <cell r="F2693">
            <v>206.69</v>
          </cell>
          <cell r="G2693">
            <v>196.62</v>
          </cell>
          <cell r="H2693">
            <v>2611.41</v>
          </cell>
          <cell r="I2693">
            <v>227.11</v>
          </cell>
        </row>
        <row r="2694">
          <cell r="A2694">
            <v>35548</v>
          </cell>
          <cell r="B2694">
            <v>2135.1</v>
          </cell>
          <cell r="C2694">
            <v>2111.6</v>
          </cell>
          <cell r="D2694">
            <v>193.81</v>
          </cell>
          <cell r="E2694">
            <v>190.39</v>
          </cell>
          <cell r="F2694">
            <v>205.92</v>
          </cell>
          <cell r="G2694">
            <v>196.98</v>
          </cell>
          <cell r="H2694">
            <v>2578.67</v>
          </cell>
          <cell r="I2694">
            <v>224.5</v>
          </cell>
        </row>
        <row r="2695">
          <cell r="A2695">
            <v>35549</v>
          </cell>
          <cell r="B2695">
            <v>2164.19</v>
          </cell>
          <cell r="C2695">
            <v>2142.84</v>
          </cell>
          <cell r="D2695">
            <v>195.91</v>
          </cell>
          <cell r="E2695">
            <v>192.73</v>
          </cell>
          <cell r="F2695">
            <v>208.36</v>
          </cell>
          <cell r="G2695">
            <v>198.84</v>
          </cell>
          <cell r="H2695">
            <v>2612.81</v>
          </cell>
          <cell r="I2695">
            <v>226.98</v>
          </cell>
        </row>
        <row r="2696">
          <cell r="A2696">
            <v>35550</v>
          </cell>
          <cell r="B2696">
            <v>2179.41</v>
          </cell>
          <cell r="C2696">
            <v>2164.6799999999998</v>
          </cell>
          <cell r="D2696">
            <v>196.99</v>
          </cell>
          <cell r="E2696">
            <v>194.63</v>
          </cell>
          <cell r="F2696">
            <v>210.21</v>
          </cell>
          <cell r="G2696">
            <v>199.1</v>
          </cell>
          <cell r="H2696">
            <v>2624.43</v>
          </cell>
          <cell r="I2696">
            <v>227.98</v>
          </cell>
        </row>
        <row r="2697">
          <cell r="A2697">
            <v>35551</v>
          </cell>
          <cell r="B2697">
            <v>2185.63</v>
          </cell>
          <cell r="C2697">
            <v>2175.5</v>
          </cell>
          <cell r="D2697">
            <v>197.54</v>
          </cell>
          <cell r="E2697">
            <v>195.45</v>
          </cell>
          <cell r="F2697">
            <v>210.97</v>
          </cell>
          <cell r="G2697">
            <v>199.37</v>
          </cell>
          <cell r="H2697">
            <v>2635.75</v>
          </cell>
          <cell r="I2697">
            <v>228.81</v>
          </cell>
        </row>
        <row r="2698">
          <cell r="A2698">
            <v>35552</v>
          </cell>
          <cell r="B2698">
            <v>2190.9499999999998</v>
          </cell>
          <cell r="C2698">
            <v>2175.52</v>
          </cell>
          <cell r="D2698">
            <v>198.01</v>
          </cell>
          <cell r="E2698">
            <v>195.86</v>
          </cell>
          <cell r="F2698">
            <v>211.84</v>
          </cell>
          <cell r="G2698">
            <v>199.92</v>
          </cell>
          <cell r="H2698">
            <v>2668.13</v>
          </cell>
          <cell r="I2698">
            <v>231.12</v>
          </cell>
        </row>
        <row r="2699">
          <cell r="A2699">
            <v>35555</v>
          </cell>
          <cell r="B2699">
            <v>2217.15</v>
          </cell>
          <cell r="C2699">
            <v>2204.66</v>
          </cell>
          <cell r="D2699">
            <v>199.89</v>
          </cell>
          <cell r="E2699">
            <v>198.25</v>
          </cell>
          <cell r="F2699">
            <v>214.48</v>
          </cell>
          <cell r="G2699">
            <v>201.29</v>
          </cell>
          <cell r="H2699">
            <v>2689.4</v>
          </cell>
          <cell r="I2699">
            <v>233.38</v>
          </cell>
        </row>
        <row r="2700">
          <cell r="A2700">
            <v>35556</v>
          </cell>
          <cell r="B2700">
            <v>2228.44</v>
          </cell>
          <cell r="C2700">
            <v>2213.29</v>
          </cell>
          <cell r="D2700">
            <v>201.27</v>
          </cell>
          <cell r="E2700">
            <v>198.94</v>
          </cell>
          <cell r="F2700">
            <v>215.17</v>
          </cell>
          <cell r="G2700">
            <v>203.35</v>
          </cell>
          <cell r="H2700">
            <v>2714.1</v>
          </cell>
          <cell r="I2700">
            <v>235.67</v>
          </cell>
        </row>
        <row r="2701">
          <cell r="A2701">
            <v>35557</v>
          </cell>
          <cell r="B2701">
            <v>2219.86</v>
          </cell>
          <cell r="C2701">
            <v>2205.71</v>
          </cell>
          <cell r="D2701">
            <v>200.65</v>
          </cell>
          <cell r="E2701">
            <v>198.29</v>
          </cell>
          <cell r="F2701">
            <v>215.09</v>
          </cell>
          <cell r="G2701">
            <v>202.74</v>
          </cell>
          <cell r="H2701">
            <v>2727.74</v>
          </cell>
          <cell r="I2701">
            <v>236.76</v>
          </cell>
        </row>
        <row r="2702">
          <cell r="A2702">
            <v>35558</v>
          </cell>
          <cell r="B2702">
            <v>2221.81</v>
          </cell>
          <cell r="C2702">
            <v>2206.7800000000002</v>
          </cell>
          <cell r="D2702">
            <v>200.65</v>
          </cell>
          <cell r="E2702">
            <v>198.3</v>
          </cell>
          <cell r="F2702">
            <v>215.03</v>
          </cell>
          <cell r="G2702">
            <v>202.74</v>
          </cell>
          <cell r="H2702">
            <v>2715.51</v>
          </cell>
          <cell r="I2702">
            <v>235.78</v>
          </cell>
        </row>
        <row r="2703">
          <cell r="A2703">
            <v>35559</v>
          </cell>
          <cell r="B2703">
            <v>2232.31</v>
          </cell>
          <cell r="C2703">
            <v>2218.9899999999998</v>
          </cell>
          <cell r="D2703">
            <v>201.27</v>
          </cell>
          <cell r="E2703">
            <v>199.03</v>
          </cell>
          <cell r="F2703">
            <v>215.82</v>
          </cell>
          <cell r="G2703">
            <v>203.26</v>
          </cell>
          <cell r="H2703">
            <v>2717.65</v>
          </cell>
          <cell r="I2703">
            <v>236.18</v>
          </cell>
        </row>
        <row r="2704">
          <cell r="A2704">
            <v>35562</v>
          </cell>
          <cell r="B2704">
            <v>2261.64</v>
          </cell>
          <cell r="C2704">
            <v>2243.84</v>
          </cell>
          <cell r="D2704">
            <v>203.66</v>
          </cell>
          <cell r="E2704">
            <v>200.92</v>
          </cell>
          <cell r="F2704">
            <v>217.68</v>
          </cell>
          <cell r="G2704">
            <v>206.14</v>
          </cell>
          <cell r="H2704">
            <v>2736.13</v>
          </cell>
          <cell r="I2704">
            <v>237.73</v>
          </cell>
        </row>
        <row r="2705">
          <cell r="A2705">
            <v>35563</v>
          </cell>
          <cell r="B2705">
            <v>2268.37</v>
          </cell>
          <cell r="C2705">
            <v>2252.52</v>
          </cell>
          <cell r="D2705">
            <v>204.1</v>
          </cell>
          <cell r="E2705">
            <v>201.58</v>
          </cell>
          <cell r="F2705">
            <v>218.27</v>
          </cell>
          <cell r="G2705">
            <v>206.36</v>
          </cell>
          <cell r="H2705">
            <v>2734.64</v>
          </cell>
          <cell r="I2705">
            <v>237.63</v>
          </cell>
        </row>
        <row r="2706">
          <cell r="A2706">
            <v>35564</v>
          </cell>
          <cell r="B2706">
            <v>2281.44</v>
          </cell>
          <cell r="C2706">
            <v>2264.2800000000002</v>
          </cell>
          <cell r="D2706">
            <v>205.41</v>
          </cell>
          <cell r="E2706">
            <v>202.58</v>
          </cell>
          <cell r="F2706">
            <v>219.61</v>
          </cell>
          <cell r="G2706">
            <v>207.98</v>
          </cell>
          <cell r="H2706">
            <v>2766.23</v>
          </cell>
          <cell r="I2706">
            <v>239.97</v>
          </cell>
        </row>
        <row r="2707">
          <cell r="A2707">
            <v>35565</v>
          </cell>
          <cell r="B2707">
            <v>2278.23</v>
          </cell>
          <cell r="C2707">
            <v>2260.64</v>
          </cell>
          <cell r="D2707">
            <v>205.52</v>
          </cell>
          <cell r="E2707">
            <v>202.31</v>
          </cell>
          <cell r="F2707">
            <v>219.92</v>
          </cell>
          <cell r="G2707">
            <v>208.47</v>
          </cell>
          <cell r="H2707">
            <v>2800.01</v>
          </cell>
          <cell r="I2707">
            <v>242.41</v>
          </cell>
        </row>
        <row r="2708">
          <cell r="A2708">
            <v>35566</v>
          </cell>
          <cell r="B2708">
            <v>2282.2199999999998</v>
          </cell>
          <cell r="C2708">
            <v>2267.46</v>
          </cell>
          <cell r="D2708">
            <v>205.59</v>
          </cell>
          <cell r="E2708">
            <v>202.99</v>
          </cell>
          <cell r="F2708">
            <v>220.57</v>
          </cell>
          <cell r="G2708">
            <v>207.93</v>
          </cell>
          <cell r="H2708">
            <v>2789.78</v>
          </cell>
          <cell r="I2708">
            <v>242.04</v>
          </cell>
        </row>
        <row r="2709">
          <cell r="A2709">
            <v>35569</v>
          </cell>
          <cell r="B2709">
            <v>2284.44</v>
          </cell>
          <cell r="C2709">
            <v>2266.3000000000002</v>
          </cell>
          <cell r="D2709">
            <v>205.77</v>
          </cell>
          <cell r="E2709">
            <v>202.83</v>
          </cell>
          <cell r="F2709">
            <v>220.62</v>
          </cell>
          <cell r="G2709">
            <v>208.43</v>
          </cell>
          <cell r="H2709">
            <v>2783.37</v>
          </cell>
          <cell r="I2709">
            <v>241.57</v>
          </cell>
        </row>
        <row r="2710">
          <cell r="A2710">
            <v>35570</v>
          </cell>
          <cell r="B2710">
            <v>2243.73</v>
          </cell>
          <cell r="C2710">
            <v>2228.67</v>
          </cell>
          <cell r="D2710">
            <v>202.4</v>
          </cell>
          <cell r="E2710">
            <v>199.68</v>
          </cell>
          <cell r="F2710">
            <v>217.26</v>
          </cell>
          <cell r="G2710">
            <v>204.86</v>
          </cell>
          <cell r="H2710">
            <v>2773.86</v>
          </cell>
          <cell r="I2710">
            <v>240.32</v>
          </cell>
        </row>
        <row r="2711">
          <cell r="A2711">
            <v>35571</v>
          </cell>
          <cell r="B2711">
            <v>2294.4899999999998</v>
          </cell>
          <cell r="C2711">
            <v>2281.58</v>
          </cell>
          <cell r="D2711">
            <v>206.34</v>
          </cell>
          <cell r="E2711">
            <v>204.08</v>
          </cell>
          <cell r="F2711">
            <v>222.38</v>
          </cell>
          <cell r="G2711">
            <v>208.34</v>
          </cell>
          <cell r="H2711">
            <v>2850.25</v>
          </cell>
          <cell r="I2711">
            <v>247.18</v>
          </cell>
        </row>
        <row r="2712">
          <cell r="A2712">
            <v>35572</v>
          </cell>
          <cell r="B2712">
            <v>2284.34</v>
          </cell>
          <cell r="C2712">
            <v>2267.1799999999998</v>
          </cell>
          <cell r="D2712">
            <v>204.89</v>
          </cell>
          <cell r="E2712">
            <v>202.66</v>
          </cell>
          <cell r="F2712">
            <v>221.03</v>
          </cell>
          <cell r="G2712">
            <v>206.86</v>
          </cell>
          <cell r="H2712">
            <v>2831.91</v>
          </cell>
          <cell r="I2712">
            <v>245.8</v>
          </cell>
        </row>
        <row r="2713">
          <cell r="A2713">
            <v>35573</v>
          </cell>
          <cell r="B2713">
            <v>2293.19</v>
          </cell>
          <cell r="C2713">
            <v>2274.9499999999998</v>
          </cell>
          <cell r="D2713">
            <v>205.99</v>
          </cell>
          <cell r="E2713">
            <v>203.41</v>
          </cell>
          <cell r="F2713">
            <v>222.1</v>
          </cell>
          <cell r="G2713">
            <v>208.29</v>
          </cell>
          <cell r="H2713">
            <v>2857.27</v>
          </cell>
          <cell r="I2713">
            <v>248.17</v>
          </cell>
        </row>
        <row r="2714">
          <cell r="A2714">
            <v>35576</v>
          </cell>
          <cell r="B2714">
            <v>2304.3200000000002</v>
          </cell>
          <cell r="C2714">
            <v>2280.7600000000002</v>
          </cell>
          <cell r="D2714">
            <v>206.14</v>
          </cell>
          <cell r="E2714">
            <v>203.24</v>
          </cell>
          <cell r="F2714">
            <v>222.13</v>
          </cell>
          <cell r="G2714">
            <v>208.77</v>
          </cell>
          <cell r="H2714">
            <v>2856.02</v>
          </cell>
          <cell r="I2714">
            <v>248.26</v>
          </cell>
        </row>
        <row r="2715">
          <cell r="A2715">
            <v>35577</v>
          </cell>
          <cell r="B2715">
            <v>2307.69</v>
          </cell>
          <cell r="C2715">
            <v>2288.31</v>
          </cell>
          <cell r="D2715">
            <v>206.74</v>
          </cell>
          <cell r="E2715">
            <v>204.09</v>
          </cell>
          <cell r="F2715">
            <v>222.45</v>
          </cell>
          <cell r="G2715">
            <v>209.13</v>
          </cell>
          <cell r="H2715">
            <v>2835.99</v>
          </cell>
          <cell r="I2715">
            <v>247.1</v>
          </cell>
        </row>
        <row r="2716">
          <cell r="A2716">
            <v>35578</v>
          </cell>
          <cell r="B2716">
            <v>2294.61</v>
          </cell>
          <cell r="C2716">
            <v>2262.02</v>
          </cell>
          <cell r="D2716">
            <v>205.42</v>
          </cell>
          <cell r="E2716">
            <v>201.44</v>
          </cell>
          <cell r="F2716">
            <v>219.95</v>
          </cell>
          <cell r="G2716">
            <v>209.13</v>
          </cell>
          <cell r="H2716">
            <v>2818.4</v>
          </cell>
          <cell r="I2716">
            <v>245.67</v>
          </cell>
        </row>
        <row r="2717">
          <cell r="A2717">
            <v>35579</v>
          </cell>
          <cell r="B2717">
            <v>2287.96</v>
          </cell>
          <cell r="C2717">
            <v>2256.0700000000002</v>
          </cell>
          <cell r="D2717">
            <v>204.89</v>
          </cell>
          <cell r="E2717">
            <v>200.93</v>
          </cell>
          <cell r="F2717">
            <v>219.31</v>
          </cell>
          <cell r="G2717">
            <v>208.57</v>
          </cell>
          <cell r="H2717">
            <v>2796.54</v>
          </cell>
          <cell r="I2717">
            <v>244.01</v>
          </cell>
        </row>
        <row r="2718">
          <cell r="A2718">
            <v>35580</v>
          </cell>
          <cell r="B2718">
            <v>2255.19</v>
          </cell>
          <cell r="C2718">
            <v>2220.86</v>
          </cell>
          <cell r="D2718">
            <v>202.77</v>
          </cell>
          <cell r="E2718">
            <v>198.08</v>
          </cell>
          <cell r="F2718">
            <v>216.4</v>
          </cell>
          <cell r="G2718">
            <v>207.18</v>
          </cell>
          <cell r="H2718">
            <v>2772.12</v>
          </cell>
          <cell r="I2718">
            <v>241.91</v>
          </cell>
        </row>
        <row r="2719">
          <cell r="A2719">
            <v>35583</v>
          </cell>
          <cell r="B2719">
            <v>2276.88</v>
          </cell>
          <cell r="C2719">
            <v>2250.77</v>
          </cell>
          <cell r="D2719">
            <v>204.03</v>
          </cell>
          <cell r="E2719">
            <v>200.13</v>
          </cell>
          <cell r="F2719">
            <v>218.96</v>
          </cell>
          <cell r="G2719">
            <v>207.65</v>
          </cell>
          <cell r="H2719">
            <v>2813.15</v>
          </cell>
          <cell r="I2719">
            <v>245.22</v>
          </cell>
        </row>
        <row r="2720">
          <cell r="A2720">
            <v>35584</v>
          </cell>
          <cell r="B2720">
            <v>2287.31</v>
          </cell>
          <cell r="C2720">
            <v>2262.7199999999998</v>
          </cell>
          <cell r="D2720">
            <v>204.85</v>
          </cell>
          <cell r="E2720">
            <v>201.52</v>
          </cell>
          <cell r="F2720">
            <v>220.56</v>
          </cell>
          <cell r="G2720">
            <v>207.92</v>
          </cell>
          <cell r="H2720">
            <v>2836.98</v>
          </cell>
          <cell r="I2720">
            <v>247.08</v>
          </cell>
        </row>
        <row r="2721">
          <cell r="A2721">
            <v>35585</v>
          </cell>
          <cell r="B2721">
            <v>2294.06</v>
          </cell>
          <cell r="C2721">
            <v>2275.62</v>
          </cell>
          <cell r="D2721">
            <v>205.24</v>
          </cell>
          <cell r="E2721">
            <v>202.49</v>
          </cell>
          <cell r="F2721">
            <v>221.4</v>
          </cell>
          <cell r="G2721">
            <v>207.73</v>
          </cell>
          <cell r="H2721">
            <v>2844.05</v>
          </cell>
          <cell r="I2721">
            <v>247.5</v>
          </cell>
        </row>
        <row r="2722">
          <cell r="A2722">
            <v>35586</v>
          </cell>
          <cell r="B2722">
            <v>2302.4899999999998</v>
          </cell>
          <cell r="C2722">
            <v>2288.6</v>
          </cell>
          <cell r="D2722">
            <v>206.22</v>
          </cell>
          <cell r="E2722">
            <v>203.95</v>
          </cell>
          <cell r="F2722">
            <v>222.56</v>
          </cell>
          <cell r="G2722">
            <v>208.24</v>
          </cell>
          <cell r="H2722">
            <v>2835.75</v>
          </cell>
          <cell r="I2722">
            <v>246.77</v>
          </cell>
        </row>
        <row r="2723">
          <cell r="A2723">
            <v>35587</v>
          </cell>
          <cell r="B2723">
            <v>2325.98</v>
          </cell>
          <cell r="C2723">
            <v>2310.5500000000002</v>
          </cell>
          <cell r="D2723">
            <v>208.16</v>
          </cell>
          <cell r="E2723">
            <v>205.65</v>
          </cell>
          <cell r="F2723">
            <v>224.31</v>
          </cell>
          <cell r="G2723">
            <v>210.4</v>
          </cell>
          <cell r="H2723">
            <v>2857.4</v>
          </cell>
          <cell r="I2723">
            <v>248.21</v>
          </cell>
        </row>
        <row r="2724">
          <cell r="A2724">
            <v>35590</v>
          </cell>
          <cell r="B2724">
            <v>2340.17</v>
          </cell>
          <cell r="C2724">
            <v>2314.58</v>
          </cell>
          <cell r="D2724">
            <v>208.7</v>
          </cell>
          <cell r="E2724">
            <v>205.47</v>
          </cell>
          <cell r="F2724">
            <v>224.67</v>
          </cell>
          <cell r="G2724">
            <v>211.66</v>
          </cell>
          <cell r="H2724">
            <v>2881.66</v>
          </cell>
          <cell r="I2724">
            <v>250.34</v>
          </cell>
        </row>
        <row r="2725">
          <cell r="A2725">
            <v>35591</v>
          </cell>
          <cell r="B2725">
            <v>2349.34</v>
          </cell>
          <cell r="C2725">
            <v>2305.0100000000002</v>
          </cell>
          <cell r="D2725">
            <v>209.26</v>
          </cell>
          <cell r="E2725">
            <v>204.58</v>
          </cell>
          <cell r="F2725">
            <v>223.9</v>
          </cell>
          <cell r="G2725">
            <v>213.65</v>
          </cell>
          <cell r="H2725">
            <v>2882.21</v>
          </cell>
          <cell r="I2725">
            <v>249.86</v>
          </cell>
        </row>
        <row r="2726">
          <cell r="A2726">
            <v>35592</v>
          </cell>
          <cell r="B2726">
            <v>2348.61</v>
          </cell>
          <cell r="C2726">
            <v>2316.5300000000002</v>
          </cell>
          <cell r="D2726">
            <v>209.43</v>
          </cell>
          <cell r="E2726">
            <v>205.6</v>
          </cell>
          <cell r="F2726">
            <v>224.52</v>
          </cell>
          <cell r="G2726">
            <v>212.98</v>
          </cell>
          <cell r="H2726">
            <v>2901.19</v>
          </cell>
          <cell r="I2726">
            <v>250.74</v>
          </cell>
        </row>
        <row r="2727">
          <cell r="A2727">
            <v>35593</v>
          </cell>
          <cell r="B2727">
            <v>2377.06</v>
          </cell>
          <cell r="C2727">
            <v>2346.73</v>
          </cell>
          <cell r="D2727">
            <v>211.7</v>
          </cell>
          <cell r="E2727">
            <v>208.19</v>
          </cell>
          <cell r="F2727">
            <v>227.07</v>
          </cell>
          <cell r="G2727">
            <v>214.92</v>
          </cell>
          <cell r="H2727">
            <v>2917.13</v>
          </cell>
          <cell r="I2727">
            <v>251.83</v>
          </cell>
        </row>
        <row r="2728">
          <cell r="A2728">
            <v>35594</v>
          </cell>
          <cell r="B2728">
            <v>2400.52</v>
          </cell>
          <cell r="C2728">
            <v>2369.86</v>
          </cell>
          <cell r="D2728">
            <v>213.79</v>
          </cell>
          <cell r="E2728">
            <v>210.05</v>
          </cell>
          <cell r="F2728">
            <v>229.04</v>
          </cell>
          <cell r="G2728">
            <v>217.24</v>
          </cell>
          <cell r="H2728">
            <v>2946.96</v>
          </cell>
          <cell r="I2728">
            <v>253.84</v>
          </cell>
        </row>
        <row r="2729">
          <cell r="A2729">
            <v>35597</v>
          </cell>
          <cell r="B2729">
            <v>2393.73</v>
          </cell>
          <cell r="C2729">
            <v>2373.3200000000002</v>
          </cell>
          <cell r="D2729">
            <v>212.73</v>
          </cell>
          <cell r="E2729">
            <v>210.13</v>
          </cell>
          <cell r="F2729">
            <v>228.76</v>
          </cell>
          <cell r="G2729">
            <v>215.07</v>
          </cell>
          <cell r="H2729">
            <v>2941.66</v>
          </cell>
          <cell r="I2729">
            <v>253.22</v>
          </cell>
        </row>
        <row r="2730">
          <cell r="A2730">
            <v>35598</v>
          </cell>
          <cell r="B2730">
            <v>2375.5100000000002</v>
          </cell>
          <cell r="C2730">
            <v>2355.6799999999998</v>
          </cell>
          <cell r="D2730">
            <v>210.85</v>
          </cell>
          <cell r="E2730">
            <v>208.44</v>
          </cell>
          <cell r="F2730">
            <v>227.02</v>
          </cell>
          <cell r="G2730">
            <v>212.98</v>
          </cell>
          <cell r="H2730">
            <v>2915.98</v>
          </cell>
          <cell r="I2730">
            <v>251.61</v>
          </cell>
        </row>
        <row r="2731">
          <cell r="A2731">
            <v>35599</v>
          </cell>
          <cell r="B2731">
            <v>2383.14</v>
          </cell>
          <cell r="C2731">
            <v>2359.91</v>
          </cell>
          <cell r="D2731">
            <v>211.23</v>
          </cell>
          <cell r="E2731">
            <v>209.06</v>
          </cell>
          <cell r="F2731">
            <v>227.91</v>
          </cell>
          <cell r="G2731">
            <v>213.13</v>
          </cell>
          <cell r="H2731">
            <v>2924.24</v>
          </cell>
          <cell r="I2731">
            <v>252.22</v>
          </cell>
        </row>
        <row r="2732">
          <cell r="A2732">
            <v>35600</v>
          </cell>
          <cell r="B2732">
            <v>2398.16</v>
          </cell>
          <cell r="C2732">
            <v>2370</v>
          </cell>
          <cell r="D2732">
            <v>211.95</v>
          </cell>
          <cell r="E2732">
            <v>209.73</v>
          </cell>
          <cell r="F2732">
            <v>229.22</v>
          </cell>
          <cell r="G2732">
            <v>213.91</v>
          </cell>
          <cell r="H2732">
            <v>2944.2</v>
          </cell>
          <cell r="I2732">
            <v>253.41</v>
          </cell>
        </row>
        <row r="2733">
          <cell r="A2733">
            <v>35601</v>
          </cell>
          <cell r="B2733">
            <v>2405.5500000000002</v>
          </cell>
          <cell r="C2733">
            <v>2386.13</v>
          </cell>
          <cell r="D2733">
            <v>212.24</v>
          </cell>
          <cell r="E2733">
            <v>211.08</v>
          </cell>
          <cell r="F2733">
            <v>230.59</v>
          </cell>
          <cell r="G2733">
            <v>213.14</v>
          </cell>
          <cell r="H2733">
            <v>2941.85</v>
          </cell>
          <cell r="I2733">
            <v>253.25</v>
          </cell>
        </row>
        <row r="2734">
          <cell r="A2734">
            <v>35604</v>
          </cell>
          <cell r="B2734">
            <v>2404.2399999999998</v>
          </cell>
          <cell r="C2734">
            <v>2384.7199999999998</v>
          </cell>
          <cell r="D2734">
            <v>212.18</v>
          </cell>
          <cell r="E2734">
            <v>210.96</v>
          </cell>
          <cell r="F2734">
            <v>230.59</v>
          </cell>
          <cell r="G2734">
            <v>213.14</v>
          </cell>
          <cell r="H2734">
            <v>2954.01</v>
          </cell>
          <cell r="I2734">
            <v>254.07</v>
          </cell>
        </row>
        <row r="2735">
          <cell r="A2735">
            <v>35605</v>
          </cell>
          <cell r="B2735">
            <v>2410.15</v>
          </cell>
          <cell r="C2735">
            <v>2389.2800000000002</v>
          </cell>
          <cell r="D2735">
            <v>212.87</v>
          </cell>
          <cell r="E2735">
            <v>211.47</v>
          </cell>
          <cell r="F2735">
            <v>231.08</v>
          </cell>
          <cell r="G2735">
            <v>214.02</v>
          </cell>
          <cell r="H2735">
            <v>2970.84</v>
          </cell>
          <cell r="I2735">
            <v>255.38</v>
          </cell>
        </row>
        <row r="2736">
          <cell r="A2736">
            <v>35606</v>
          </cell>
          <cell r="B2736">
            <v>2445.4699999999998</v>
          </cell>
          <cell r="C2736">
            <v>2426.34</v>
          </cell>
          <cell r="D2736">
            <v>215.28</v>
          </cell>
          <cell r="E2736">
            <v>214.64</v>
          </cell>
          <cell r="F2736">
            <v>234.49</v>
          </cell>
          <cell r="G2736">
            <v>215.67</v>
          </cell>
          <cell r="H2736">
            <v>3014.45</v>
          </cell>
          <cell r="I2736">
            <v>258.93</v>
          </cell>
        </row>
        <row r="2737">
          <cell r="A2737">
            <v>35607</v>
          </cell>
          <cell r="B2737">
            <v>2456.7399999999998</v>
          </cell>
          <cell r="C2737">
            <v>2438.38</v>
          </cell>
          <cell r="D2737">
            <v>216.07</v>
          </cell>
          <cell r="E2737">
            <v>215.22</v>
          </cell>
          <cell r="F2737">
            <v>235.1</v>
          </cell>
          <cell r="G2737">
            <v>216.65</v>
          </cell>
          <cell r="H2737">
            <v>3012.1</v>
          </cell>
          <cell r="I2737">
            <v>258.87</v>
          </cell>
        </row>
        <row r="2738">
          <cell r="A2738">
            <v>35608</v>
          </cell>
          <cell r="B2738">
            <v>2454.12</v>
          </cell>
          <cell r="C2738">
            <v>2431.73</v>
          </cell>
          <cell r="D2738">
            <v>216.14</v>
          </cell>
          <cell r="E2738">
            <v>214.92</v>
          </cell>
          <cell r="F2738">
            <v>234.97</v>
          </cell>
          <cell r="G2738">
            <v>217.09</v>
          </cell>
          <cell r="H2738">
            <v>3033.32</v>
          </cell>
          <cell r="I2738">
            <v>260.45999999999998</v>
          </cell>
        </row>
        <row r="2739">
          <cell r="A2739">
            <v>35611</v>
          </cell>
          <cell r="B2739">
            <v>2425.08</v>
          </cell>
          <cell r="C2739">
            <v>2398.41</v>
          </cell>
          <cell r="D2739">
            <v>214.15</v>
          </cell>
          <cell r="E2739">
            <v>212.64</v>
          </cell>
          <cell r="F2739">
            <v>232.42</v>
          </cell>
          <cell r="G2739">
            <v>215.39</v>
          </cell>
          <cell r="H2739">
            <v>3022.87</v>
          </cell>
          <cell r="I2739">
            <v>259.64</v>
          </cell>
        </row>
        <row r="2740">
          <cell r="A2740">
            <v>35612</v>
          </cell>
          <cell r="B2740">
            <v>2472.0500000000002</v>
          </cell>
          <cell r="C2740">
            <v>2445.8000000000002</v>
          </cell>
          <cell r="D2740">
            <v>217.73</v>
          </cell>
          <cell r="E2740">
            <v>216.19</v>
          </cell>
          <cell r="F2740">
            <v>235.68</v>
          </cell>
          <cell r="G2740">
            <v>219.01</v>
          </cell>
          <cell r="H2740">
            <v>3047</v>
          </cell>
          <cell r="I2740">
            <v>261.79000000000002</v>
          </cell>
        </row>
        <row r="2741">
          <cell r="A2741">
            <v>35613</v>
          </cell>
          <cell r="B2741">
            <v>2487.59</v>
          </cell>
          <cell r="C2741">
            <v>2452.79</v>
          </cell>
          <cell r="D2741">
            <v>219.53</v>
          </cell>
          <cell r="E2741">
            <v>217.07</v>
          </cell>
          <cell r="F2741">
            <v>236.55</v>
          </cell>
          <cell r="G2741">
            <v>221.72</v>
          </cell>
          <cell r="H2741">
            <v>3056.49</v>
          </cell>
          <cell r="I2741">
            <v>262.55</v>
          </cell>
        </row>
        <row r="2742">
          <cell r="A2742">
            <v>35614</v>
          </cell>
          <cell r="B2742">
            <v>2542.85</v>
          </cell>
          <cell r="C2742">
            <v>2491.58</v>
          </cell>
          <cell r="D2742">
            <v>223.09</v>
          </cell>
          <cell r="E2742">
            <v>219.67</v>
          </cell>
          <cell r="F2742">
            <v>239.71</v>
          </cell>
          <cell r="G2742">
            <v>226.21</v>
          </cell>
          <cell r="H2742">
            <v>3096.12</v>
          </cell>
          <cell r="I2742">
            <v>265.91000000000003</v>
          </cell>
        </row>
        <row r="2743">
          <cell r="A2743">
            <v>35615</v>
          </cell>
          <cell r="B2743">
            <v>2560.1</v>
          </cell>
          <cell r="C2743">
            <v>2509.09</v>
          </cell>
          <cell r="D2743">
            <v>223.33</v>
          </cell>
          <cell r="E2743">
            <v>220.8</v>
          </cell>
          <cell r="F2743">
            <v>241.09</v>
          </cell>
          <cell r="G2743">
            <v>225.58</v>
          </cell>
          <cell r="H2743">
            <v>3127.55</v>
          </cell>
          <cell r="I2743">
            <v>268.27999999999997</v>
          </cell>
        </row>
        <row r="2744">
          <cell r="A2744">
            <v>35618</v>
          </cell>
          <cell r="B2744">
            <v>2580</v>
          </cell>
          <cell r="C2744">
            <v>2531.84</v>
          </cell>
          <cell r="D2744">
            <v>224.95</v>
          </cell>
          <cell r="E2744">
            <v>222.69</v>
          </cell>
          <cell r="F2744">
            <v>243.65</v>
          </cell>
          <cell r="G2744">
            <v>226.92</v>
          </cell>
          <cell r="H2744">
            <v>3163.89</v>
          </cell>
          <cell r="I2744">
            <v>270.82</v>
          </cell>
        </row>
        <row r="2745">
          <cell r="A2745">
            <v>35619</v>
          </cell>
          <cell r="B2745">
            <v>2569.39</v>
          </cell>
          <cell r="C2745">
            <v>2520.46</v>
          </cell>
          <cell r="D2745">
            <v>224.49</v>
          </cell>
          <cell r="E2745">
            <v>222.32</v>
          </cell>
          <cell r="F2745">
            <v>243.85</v>
          </cell>
          <cell r="G2745">
            <v>226.37</v>
          </cell>
          <cell r="H2745">
            <v>3171.97</v>
          </cell>
          <cell r="I2745">
            <v>271.64</v>
          </cell>
        </row>
        <row r="2746">
          <cell r="A2746">
            <v>35620</v>
          </cell>
          <cell r="B2746">
            <v>2583.64</v>
          </cell>
          <cell r="C2746">
            <v>2544.62</v>
          </cell>
          <cell r="D2746">
            <v>225.87</v>
          </cell>
          <cell r="E2746">
            <v>224.58</v>
          </cell>
          <cell r="F2746">
            <v>245.97</v>
          </cell>
          <cell r="G2746">
            <v>226.88</v>
          </cell>
          <cell r="H2746">
            <v>3221.09</v>
          </cell>
          <cell r="I2746">
            <v>275.16000000000003</v>
          </cell>
        </row>
        <row r="2747">
          <cell r="A2747">
            <v>35621</v>
          </cell>
          <cell r="B2747">
            <v>2551.21</v>
          </cell>
          <cell r="C2747">
            <v>2512.98</v>
          </cell>
          <cell r="D2747">
            <v>223.88</v>
          </cell>
          <cell r="E2747">
            <v>222.18</v>
          </cell>
          <cell r="F2747">
            <v>243.28</v>
          </cell>
          <cell r="G2747">
            <v>225.3</v>
          </cell>
          <cell r="H2747">
            <v>3183.86</v>
          </cell>
          <cell r="I2747">
            <v>272.2</v>
          </cell>
        </row>
        <row r="2748">
          <cell r="A2748">
            <v>35622</v>
          </cell>
          <cell r="B2748">
            <v>2577.77</v>
          </cell>
          <cell r="C2748">
            <v>2542.17</v>
          </cell>
          <cell r="D2748">
            <v>226.82</v>
          </cell>
          <cell r="E2748">
            <v>224.42</v>
          </cell>
          <cell r="F2748">
            <v>245.31</v>
          </cell>
          <cell r="G2748">
            <v>228.94</v>
          </cell>
          <cell r="H2748">
            <v>3255.3</v>
          </cell>
          <cell r="I2748">
            <v>277.85000000000002</v>
          </cell>
        </row>
        <row r="2749">
          <cell r="A2749">
            <v>35625</v>
          </cell>
          <cell r="B2749">
            <v>2602.83</v>
          </cell>
          <cell r="C2749">
            <v>2554.0500000000002</v>
          </cell>
          <cell r="D2749">
            <v>228.5</v>
          </cell>
          <cell r="E2749">
            <v>225.31</v>
          </cell>
          <cell r="F2749">
            <v>246.21</v>
          </cell>
          <cell r="G2749">
            <v>231.38</v>
          </cell>
          <cell r="H2749">
            <v>3265.04</v>
          </cell>
          <cell r="I2749">
            <v>278.3</v>
          </cell>
        </row>
        <row r="2750">
          <cell r="A2750">
            <v>35626</v>
          </cell>
          <cell r="B2750">
            <v>2599.19</v>
          </cell>
          <cell r="C2750">
            <v>2546.5700000000002</v>
          </cell>
          <cell r="D2750">
            <v>228.34</v>
          </cell>
          <cell r="E2750">
            <v>224.85</v>
          </cell>
          <cell r="F2750">
            <v>245.85</v>
          </cell>
          <cell r="G2750">
            <v>231.52</v>
          </cell>
          <cell r="H2750">
            <v>3257.73</v>
          </cell>
          <cell r="I2750">
            <v>277.39999999999998</v>
          </cell>
        </row>
        <row r="2751">
          <cell r="A2751">
            <v>35627</v>
          </cell>
          <cell r="B2751">
            <v>2643.28</v>
          </cell>
          <cell r="C2751">
            <v>2598.19</v>
          </cell>
          <cell r="D2751">
            <v>231.82</v>
          </cell>
          <cell r="E2751">
            <v>228.9</v>
          </cell>
          <cell r="F2751">
            <v>250.08</v>
          </cell>
          <cell r="G2751">
            <v>234.44</v>
          </cell>
          <cell r="H2751">
            <v>3327.42</v>
          </cell>
          <cell r="I2751">
            <v>283.20999999999998</v>
          </cell>
        </row>
        <row r="2752">
          <cell r="A2752">
            <v>35628</v>
          </cell>
          <cell r="B2752">
            <v>2630.24</v>
          </cell>
          <cell r="C2752">
            <v>2601.8000000000002</v>
          </cell>
          <cell r="D2752">
            <v>231.39</v>
          </cell>
          <cell r="E2752">
            <v>229.46</v>
          </cell>
          <cell r="F2752">
            <v>250.15</v>
          </cell>
          <cell r="G2752">
            <v>233.02</v>
          </cell>
          <cell r="H2752">
            <v>3331.95</v>
          </cell>
          <cell r="I2752">
            <v>284.19</v>
          </cell>
        </row>
        <row r="2753">
          <cell r="A2753">
            <v>35629</v>
          </cell>
          <cell r="B2753">
            <v>2587.0700000000002</v>
          </cell>
          <cell r="C2753">
            <v>2558.56</v>
          </cell>
          <cell r="D2753">
            <v>228.35</v>
          </cell>
          <cell r="E2753">
            <v>225.81</v>
          </cell>
          <cell r="F2753">
            <v>246.21</v>
          </cell>
          <cell r="G2753">
            <v>230.6</v>
          </cell>
          <cell r="H2753">
            <v>3282.75</v>
          </cell>
          <cell r="I2753">
            <v>280.17</v>
          </cell>
        </row>
        <row r="2754">
          <cell r="A2754">
            <v>35632</v>
          </cell>
          <cell r="B2754">
            <v>2542.12</v>
          </cell>
          <cell r="C2754">
            <v>2516.79</v>
          </cell>
          <cell r="D2754">
            <v>225.52</v>
          </cell>
          <cell r="E2754">
            <v>223.17</v>
          </cell>
          <cell r="F2754">
            <v>243.12</v>
          </cell>
          <cell r="G2754">
            <v>227.58</v>
          </cell>
          <cell r="H2754">
            <v>3229.19</v>
          </cell>
          <cell r="I2754">
            <v>276.27</v>
          </cell>
        </row>
        <row r="2755">
          <cell r="A2755">
            <v>35633</v>
          </cell>
          <cell r="B2755">
            <v>2603.86</v>
          </cell>
          <cell r="C2755">
            <v>2578.77</v>
          </cell>
          <cell r="D2755">
            <v>230.46</v>
          </cell>
          <cell r="E2755">
            <v>228.28</v>
          </cell>
          <cell r="F2755">
            <v>248.47</v>
          </cell>
          <cell r="G2755">
            <v>232.35</v>
          </cell>
          <cell r="H2755">
            <v>3307.76</v>
          </cell>
          <cell r="I2755">
            <v>282.23</v>
          </cell>
        </row>
        <row r="2756">
          <cell r="A2756">
            <v>35634</v>
          </cell>
          <cell r="B2756">
            <v>2662.52</v>
          </cell>
          <cell r="C2756">
            <v>2645.05</v>
          </cell>
          <cell r="D2756">
            <v>234.1</v>
          </cell>
          <cell r="E2756">
            <v>233.46</v>
          </cell>
          <cell r="F2756">
            <v>253.84</v>
          </cell>
          <cell r="G2756">
            <v>234.46</v>
          </cell>
          <cell r="H2756">
            <v>3337.44</v>
          </cell>
          <cell r="I2756">
            <v>284.62</v>
          </cell>
        </row>
        <row r="2757">
          <cell r="A2757">
            <v>35635</v>
          </cell>
          <cell r="B2757">
            <v>2639.6</v>
          </cell>
          <cell r="C2757">
            <v>2619.17</v>
          </cell>
          <cell r="D2757">
            <v>232.62</v>
          </cell>
          <cell r="E2757">
            <v>230.97</v>
          </cell>
          <cell r="F2757">
            <v>251.33</v>
          </cell>
          <cell r="G2757">
            <v>233.99</v>
          </cell>
          <cell r="H2757">
            <v>3320.7</v>
          </cell>
          <cell r="I2757">
            <v>283.91000000000003</v>
          </cell>
        </row>
        <row r="2758">
          <cell r="A2758">
            <v>35636</v>
          </cell>
          <cell r="B2758">
            <v>2646.19</v>
          </cell>
          <cell r="C2758">
            <v>2640.14</v>
          </cell>
          <cell r="D2758">
            <v>233.02</v>
          </cell>
          <cell r="E2758">
            <v>232.52</v>
          </cell>
          <cell r="F2758">
            <v>252.66</v>
          </cell>
          <cell r="G2758">
            <v>233.26</v>
          </cell>
          <cell r="H2758">
            <v>3333.76</v>
          </cell>
          <cell r="I2758">
            <v>285.23</v>
          </cell>
        </row>
        <row r="2759">
          <cell r="A2759">
            <v>35639</v>
          </cell>
          <cell r="B2759">
            <v>2651.91</v>
          </cell>
          <cell r="C2759">
            <v>2660.13</v>
          </cell>
          <cell r="D2759">
            <v>232.93</v>
          </cell>
          <cell r="E2759">
            <v>233.98</v>
          </cell>
          <cell r="F2759">
            <v>254.17</v>
          </cell>
          <cell r="G2759">
            <v>231.64</v>
          </cell>
          <cell r="H2759">
            <v>3329.43</v>
          </cell>
          <cell r="I2759">
            <v>284.72000000000003</v>
          </cell>
        </row>
        <row r="2760">
          <cell r="A2760">
            <v>35640</v>
          </cell>
          <cell r="B2760">
            <v>2634.12</v>
          </cell>
          <cell r="C2760">
            <v>2638.05</v>
          </cell>
          <cell r="D2760">
            <v>231.86</v>
          </cell>
          <cell r="E2760">
            <v>232.52</v>
          </cell>
          <cell r="F2760">
            <v>252.51</v>
          </cell>
          <cell r="G2760">
            <v>230.96</v>
          </cell>
          <cell r="H2760">
            <v>3315.07</v>
          </cell>
          <cell r="I2760">
            <v>283.49</v>
          </cell>
        </row>
        <row r="2761">
          <cell r="A2761">
            <v>35641</v>
          </cell>
          <cell r="B2761">
            <v>2671.5</v>
          </cell>
          <cell r="C2761">
            <v>2674.56</v>
          </cell>
          <cell r="D2761">
            <v>234.33</v>
          </cell>
          <cell r="E2761">
            <v>235.17</v>
          </cell>
          <cell r="F2761">
            <v>255.42</v>
          </cell>
          <cell r="G2761">
            <v>233.26</v>
          </cell>
          <cell r="H2761">
            <v>3339.22</v>
          </cell>
          <cell r="I2761">
            <v>285.74</v>
          </cell>
        </row>
        <row r="2762">
          <cell r="A2762">
            <v>35642</v>
          </cell>
          <cell r="B2762">
            <v>2664.28</v>
          </cell>
          <cell r="C2762">
            <v>2674.83</v>
          </cell>
          <cell r="D2762">
            <v>234.04</v>
          </cell>
          <cell r="E2762">
            <v>235.14</v>
          </cell>
          <cell r="F2762">
            <v>254.88</v>
          </cell>
          <cell r="G2762">
            <v>232.71</v>
          </cell>
          <cell r="H2762">
            <v>3307.35</v>
          </cell>
          <cell r="I2762">
            <v>283.33</v>
          </cell>
        </row>
        <row r="2763">
          <cell r="A2763">
            <v>35643</v>
          </cell>
          <cell r="B2763">
            <v>2667.05</v>
          </cell>
          <cell r="C2763">
            <v>2656.32</v>
          </cell>
          <cell r="D2763">
            <v>233.87</v>
          </cell>
          <cell r="E2763">
            <v>233.53</v>
          </cell>
          <cell r="F2763">
            <v>253.92</v>
          </cell>
          <cell r="G2763">
            <v>233.95</v>
          </cell>
          <cell r="H2763">
            <v>3326.7</v>
          </cell>
          <cell r="I2763">
            <v>284.83999999999997</v>
          </cell>
        </row>
        <row r="2764">
          <cell r="A2764">
            <v>35646</v>
          </cell>
          <cell r="B2764">
            <v>2634.69</v>
          </cell>
          <cell r="C2764">
            <v>2614.8200000000002</v>
          </cell>
          <cell r="D2764">
            <v>231.61</v>
          </cell>
          <cell r="E2764">
            <v>229.97</v>
          </cell>
          <cell r="F2764">
            <v>250.14</v>
          </cell>
          <cell r="G2764">
            <v>232.96</v>
          </cell>
          <cell r="H2764">
            <v>3307.16</v>
          </cell>
          <cell r="I2764">
            <v>283.10000000000002</v>
          </cell>
        </row>
        <row r="2765">
          <cell r="A2765">
            <v>35647</v>
          </cell>
          <cell r="B2765">
            <v>2656.26</v>
          </cell>
          <cell r="C2765">
            <v>2618.3000000000002</v>
          </cell>
          <cell r="D2765">
            <v>233.08</v>
          </cell>
          <cell r="E2765">
            <v>230.08</v>
          </cell>
          <cell r="F2765">
            <v>250.51</v>
          </cell>
          <cell r="G2765">
            <v>235.76</v>
          </cell>
          <cell r="H2765">
            <v>3322.63</v>
          </cell>
          <cell r="I2765">
            <v>284.58999999999997</v>
          </cell>
        </row>
        <row r="2766">
          <cell r="A2766">
            <v>35648</v>
          </cell>
          <cell r="B2766">
            <v>2696.62</v>
          </cell>
          <cell r="C2766">
            <v>2667.77</v>
          </cell>
          <cell r="D2766">
            <v>235.74</v>
          </cell>
          <cell r="E2766">
            <v>233.81</v>
          </cell>
          <cell r="F2766">
            <v>254.5</v>
          </cell>
          <cell r="G2766">
            <v>237.36</v>
          </cell>
          <cell r="H2766">
            <v>3387.9</v>
          </cell>
          <cell r="I2766">
            <v>290.32</v>
          </cell>
        </row>
        <row r="2767">
          <cell r="A2767">
            <v>35649</v>
          </cell>
          <cell r="B2767">
            <v>2719.92</v>
          </cell>
          <cell r="C2767">
            <v>2699.78</v>
          </cell>
          <cell r="D2767">
            <v>237.49</v>
          </cell>
          <cell r="E2767">
            <v>236.48</v>
          </cell>
          <cell r="F2767">
            <v>257.54000000000002</v>
          </cell>
          <cell r="G2767">
            <v>238.22</v>
          </cell>
          <cell r="H2767">
            <v>3438.61</v>
          </cell>
          <cell r="I2767">
            <v>293.94</v>
          </cell>
        </row>
        <row r="2768">
          <cell r="A2768">
            <v>35650</v>
          </cell>
          <cell r="B2768">
            <v>2670.91</v>
          </cell>
          <cell r="C2768">
            <v>2654.07</v>
          </cell>
          <cell r="D2768">
            <v>234.05</v>
          </cell>
          <cell r="E2768">
            <v>232.98</v>
          </cell>
          <cell r="F2768">
            <v>254.28</v>
          </cell>
          <cell r="G2768">
            <v>234.84</v>
          </cell>
          <cell r="H2768">
            <v>3403.49</v>
          </cell>
          <cell r="I2768">
            <v>290.92</v>
          </cell>
        </row>
        <row r="2769">
          <cell r="A2769">
            <v>35653</v>
          </cell>
          <cell r="B2769">
            <v>2657.54</v>
          </cell>
          <cell r="C2769">
            <v>2625.86</v>
          </cell>
          <cell r="D2769">
            <v>233.85</v>
          </cell>
          <cell r="E2769">
            <v>231.14</v>
          </cell>
          <cell r="F2769">
            <v>252.5</v>
          </cell>
          <cell r="G2769">
            <v>236.26</v>
          </cell>
          <cell r="H2769">
            <v>3413.04</v>
          </cell>
          <cell r="I2769">
            <v>291.08</v>
          </cell>
        </row>
        <row r="2770">
          <cell r="A2770">
            <v>35654</v>
          </cell>
          <cell r="B2770">
            <v>2669.58</v>
          </cell>
          <cell r="C2770">
            <v>2645.81</v>
          </cell>
          <cell r="D2770">
            <v>234.77</v>
          </cell>
          <cell r="E2770">
            <v>232.76</v>
          </cell>
          <cell r="F2770">
            <v>253.75</v>
          </cell>
          <cell r="G2770">
            <v>236.47</v>
          </cell>
          <cell r="H2770">
            <v>3414</v>
          </cell>
          <cell r="I2770">
            <v>291.20999999999998</v>
          </cell>
        </row>
        <row r="2771">
          <cell r="A2771">
            <v>35655</v>
          </cell>
          <cell r="B2771">
            <v>2596.0700000000002</v>
          </cell>
          <cell r="C2771">
            <v>2578.11</v>
          </cell>
          <cell r="D2771">
            <v>229.39</v>
          </cell>
          <cell r="E2771">
            <v>227.84</v>
          </cell>
          <cell r="F2771">
            <v>248.17</v>
          </cell>
          <cell r="G2771">
            <v>230.64</v>
          </cell>
          <cell r="H2771">
            <v>3332.5</v>
          </cell>
          <cell r="I2771">
            <v>284.98</v>
          </cell>
        </row>
        <row r="2772">
          <cell r="A2772">
            <v>35656</v>
          </cell>
          <cell r="B2772">
            <v>2577.42</v>
          </cell>
          <cell r="C2772">
            <v>2558.3000000000002</v>
          </cell>
          <cell r="D2772">
            <v>228.45</v>
          </cell>
          <cell r="E2772">
            <v>226.36</v>
          </cell>
          <cell r="F2772">
            <v>246.35</v>
          </cell>
          <cell r="G2772">
            <v>230.24</v>
          </cell>
          <cell r="H2772">
            <v>3310.12</v>
          </cell>
          <cell r="I2772">
            <v>283.52</v>
          </cell>
        </row>
        <row r="2773">
          <cell r="A2773">
            <v>35657</v>
          </cell>
          <cell r="B2773">
            <v>2516.62</v>
          </cell>
          <cell r="C2773">
            <v>2503.46</v>
          </cell>
          <cell r="D2773">
            <v>224.44</v>
          </cell>
          <cell r="E2773">
            <v>222.84</v>
          </cell>
          <cell r="F2773">
            <v>242.33</v>
          </cell>
          <cell r="G2773">
            <v>225.76</v>
          </cell>
          <cell r="H2773">
            <v>3236.88</v>
          </cell>
          <cell r="I2773">
            <v>278.02</v>
          </cell>
        </row>
        <row r="2774">
          <cell r="A2774">
            <v>35660</v>
          </cell>
          <cell r="B2774">
            <v>2512.04</v>
          </cell>
          <cell r="C2774">
            <v>2508.04</v>
          </cell>
          <cell r="D2774">
            <v>223.74</v>
          </cell>
          <cell r="E2774">
            <v>221.82</v>
          </cell>
          <cell r="F2774">
            <v>240.9</v>
          </cell>
          <cell r="G2774">
            <v>225.37</v>
          </cell>
          <cell r="H2774">
            <v>3225.64</v>
          </cell>
          <cell r="I2774">
            <v>277.08</v>
          </cell>
        </row>
        <row r="2775">
          <cell r="A2775">
            <v>35661</v>
          </cell>
          <cell r="B2775">
            <v>2564.17</v>
          </cell>
          <cell r="C2775">
            <v>2549.7399999999998</v>
          </cell>
          <cell r="D2775">
            <v>227.35</v>
          </cell>
          <cell r="E2775">
            <v>225.38</v>
          </cell>
          <cell r="F2775">
            <v>245.07</v>
          </cell>
          <cell r="G2775">
            <v>229.04</v>
          </cell>
          <cell r="H2775">
            <v>3262.61</v>
          </cell>
          <cell r="I2775">
            <v>279.11</v>
          </cell>
        </row>
        <row r="2776">
          <cell r="A2776">
            <v>35662</v>
          </cell>
          <cell r="B2776">
            <v>2605.9699999999998</v>
          </cell>
          <cell r="C2776">
            <v>2589.14</v>
          </cell>
          <cell r="D2776">
            <v>230.33</v>
          </cell>
          <cell r="E2776">
            <v>228.6</v>
          </cell>
          <cell r="F2776">
            <v>248.77</v>
          </cell>
          <cell r="G2776">
            <v>231.76</v>
          </cell>
          <cell r="H2776">
            <v>3325.01</v>
          </cell>
          <cell r="I2776">
            <v>283.68</v>
          </cell>
        </row>
        <row r="2777">
          <cell r="A2777">
            <v>35663</v>
          </cell>
          <cell r="B2777">
            <v>2597.39</v>
          </cell>
          <cell r="C2777">
            <v>2581.9299999999998</v>
          </cell>
          <cell r="D2777">
            <v>229.25</v>
          </cell>
          <cell r="E2777">
            <v>227.85</v>
          </cell>
          <cell r="F2777">
            <v>247.74</v>
          </cell>
          <cell r="G2777">
            <v>230.37</v>
          </cell>
          <cell r="H2777">
            <v>3290.96</v>
          </cell>
          <cell r="I2777">
            <v>281.32</v>
          </cell>
        </row>
        <row r="2778">
          <cell r="A2778">
            <v>35664</v>
          </cell>
          <cell r="B2778">
            <v>2535.84</v>
          </cell>
          <cell r="C2778">
            <v>2515.62</v>
          </cell>
          <cell r="D2778">
            <v>224.92</v>
          </cell>
          <cell r="E2778">
            <v>222.49</v>
          </cell>
          <cell r="F2778">
            <v>241.9</v>
          </cell>
          <cell r="G2778">
            <v>227.05</v>
          </cell>
          <cell r="H2778">
            <v>3224.52</v>
          </cell>
          <cell r="I2778">
            <v>276.36</v>
          </cell>
        </row>
        <row r="2779">
          <cell r="A2779">
            <v>35667</v>
          </cell>
          <cell r="B2779">
            <v>2532.6999999999998</v>
          </cell>
          <cell r="C2779">
            <v>2513.5300000000002</v>
          </cell>
          <cell r="D2779">
            <v>224.33</v>
          </cell>
          <cell r="E2779">
            <v>222.18</v>
          </cell>
          <cell r="F2779">
            <v>241.4</v>
          </cell>
          <cell r="G2779">
            <v>226.19</v>
          </cell>
          <cell r="H2779">
            <v>3186.23</v>
          </cell>
          <cell r="I2779">
            <v>273.76</v>
          </cell>
        </row>
        <row r="2780">
          <cell r="A2780">
            <v>35668</v>
          </cell>
          <cell r="B2780">
            <v>2486.64</v>
          </cell>
          <cell r="C2780">
            <v>2466.54</v>
          </cell>
          <cell r="D2780">
            <v>221.2</v>
          </cell>
          <cell r="E2780">
            <v>218.59</v>
          </cell>
          <cell r="F2780">
            <v>237.62</v>
          </cell>
          <cell r="G2780">
            <v>223.51</v>
          </cell>
          <cell r="H2780">
            <v>3163.94</v>
          </cell>
          <cell r="I2780">
            <v>271.77999999999997</v>
          </cell>
        </row>
        <row r="2781">
          <cell r="A2781">
            <v>35669</v>
          </cell>
          <cell r="B2781">
            <v>2494.94</v>
          </cell>
          <cell r="C2781">
            <v>2467.04</v>
          </cell>
          <cell r="D2781">
            <v>221.72</v>
          </cell>
          <cell r="E2781">
            <v>218.54</v>
          </cell>
          <cell r="F2781">
            <v>237.66</v>
          </cell>
          <cell r="G2781">
            <v>224.59</v>
          </cell>
          <cell r="H2781">
            <v>3162.34</v>
          </cell>
          <cell r="I2781">
            <v>271.98</v>
          </cell>
        </row>
        <row r="2782">
          <cell r="A2782">
            <v>35670</v>
          </cell>
          <cell r="B2782">
            <v>2461.77</v>
          </cell>
          <cell r="C2782">
            <v>2438.6</v>
          </cell>
          <cell r="D2782">
            <v>219.38</v>
          </cell>
          <cell r="E2782">
            <v>216.65</v>
          </cell>
          <cell r="F2782">
            <v>234.98</v>
          </cell>
          <cell r="G2782">
            <v>221.81</v>
          </cell>
          <cell r="H2782">
            <v>3143</v>
          </cell>
          <cell r="I2782">
            <v>270.32</v>
          </cell>
        </row>
        <row r="2783">
          <cell r="A2783">
            <v>35671</v>
          </cell>
          <cell r="B2783">
            <v>2444.21</v>
          </cell>
          <cell r="C2783">
            <v>2407.58</v>
          </cell>
          <cell r="D2783">
            <v>218.31</v>
          </cell>
          <cell r="E2783">
            <v>214.29</v>
          </cell>
          <cell r="F2783">
            <v>232.79</v>
          </cell>
          <cell r="G2783">
            <v>222.03</v>
          </cell>
          <cell r="H2783">
            <v>3102.07</v>
          </cell>
          <cell r="I2783">
            <v>267.2</v>
          </cell>
        </row>
        <row r="2784">
          <cell r="A2784">
            <v>35674</v>
          </cell>
          <cell r="B2784">
            <v>2477.46</v>
          </cell>
          <cell r="C2784">
            <v>2439.92</v>
          </cell>
          <cell r="D2784">
            <v>220.65</v>
          </cell>
          <cell r="E2784">
            <v>216.98</v>
          </cell>
          <cell r="F2784">
            <v>235.65</v>
          </cell>
          <cell r="G2784">
            <v>224.01</v>
          </cell>
          <cell r="H2784">
            <v>3149.4</v>
          </cell>
          <cell r="I2784">
            <v>270.70999999999998</v>
          </cell>
        </row>
        <row r="2785">
          <cell r="A2785">
            <v>35675</v>
          </cell>
          <cell r="B2785">
            <v>2545.61</v>
          </cell>
          <cell r="C2785">
            <v>2514.5300000000002</v>
          </cell>
          <cell r="D2785">
            <v>225.64</v>
          </cell>
          <cell r="E2785">
            <v>222.94</v>
          </cell>
          <cell r="F2785">
            <v>242.18</v>
          </cell>
          <cell r="G2785">
            <v>228.04</v>
          </cell>
          <cell r="H2785">
            <v>3221.18</v>
          </cell>
          <cell r="I2785">
            <v>276.18</v>
          </cell>
        </row>
        <row r="2786">
          <cell r="A2786">
            <v>35676</v>
          </cell>
          <cell r="B2786">
            <v>2560.56</v>
          </cell>
          <cell r="C2786">
            <v>2537.65</v>
          </cell>
          <cell r="D2786">
            <v>225.87</v>
          </cell>
          <cell r="E2786">
            <v>224.39</v>
          </cell>
          <cell r="F2786">
            <v>243.28</v>
          </cell>
          <cell r="G2786">
            <v>227.06</v>
          </cell>
          <cell r="H2786">
            <v>3214.34</v>
          </cell>
          <cell r="I2786">
            <v>275.57</v>
          </cell>
        </row>
        <row r="2787">
          <cell r="A2787">
            <v>35677</v>
          </cell>
          <cell r="B2787">
            <v>2552.58</v>
          </cell>
          <cell r="C2787">
            <v>2521.34</v>
          </cell>
          <cell r="D2787">
            <v>225.55</v>
          </cell>
          <cell r="E2787">
            <v>223.7</v>
          </cell>
          <cell r="F2787">
            <v>242.66</v>
          </cell>
          <cell r="G2787">
            <v>227.1</v>
          </cell>
          <cell r="H2787">
            <v>3206.24</v>
          </cell>
          <cell r="I2787">
            <v>274.61</v>
          </cell>
        </row>
        <row r="2788">
          <cell r="A2788">
            <v>35678</v>
          </cell>
          <cell r="B2788">
            <v>2562.6799999999998</v>
          </cell>
          <cell r="C2788">
            <v>2533.35</v>
          </cell>
          <cell r="D2788">
            <v>226.41</v>
          </cell>
          <cell r="E2788">
            <v>224.68</v>
          </cell>
          <cell r="F2788">
            <v>244.05</v>
          </cell>
          <cell r="G2788">
            <v>227.83</v>
          </cell>
          <cell r="H2788">
            <v>3224.21</v>
          </cell>
          <cell r="I2788">
            <v>275.85000000000002</v>
          </cell>
        </row>
        <row r="2789">
          <cell r="A2789">
            <v>35681</v>
          </cell>
          <cell r="B2789">
            <v>2552.7199999999998</v>
          </cell>
          <cell r="C2789">
            <v>2528.14</v>
          </cell>
          <cell r="D2789">
            <v>226</v>
          </cell>
          <cell r="E2789">
            <v>224.3</v>
          </cell>
          <cell r="F2789">
            <v>243.95</v>
          </cell>
          <cell r="G2789">
            <v>227.39</v>
          </cell>
          <cell r="H2789">
            <v>3261.34</v>
          </cell>
          <cell r="I2789">
            <v>278.41000000000003</v>
          </cell>
        </row>
        <row r="2790">
          <cell r="A2790">
            <v>35682</v>
          </cell>
          <cell r="B2790">
            <v>2540.56</v>
          </cell>
          <cell r="C2790">
            <v>2512.4</v>
          </cell>
          <cell r="D2790">
            <v>225.69</v>
          </cell>
          <cell r="E2790">
            <v>223.59</v>
          </cell>
          <cell r="F2790">
            <v>243.26</v>
          </cell>
          <cell r="G2790">
            <v>227.48</v>
          </cell>
          <cell r="H2790">
            <v>3277.26</v>
          </cell>
          <cell r="I2790">
            <v>279.54000000000002</v>
          </cell>
        </row>
        <row r="2791">
          <cell r="A2791">
            <v>35683</v>
          </cell>
          <cell r="B2791">
            <v>2498.67</v>
          </cell>
          <cell r="C2791">
            <v>2478.75</v>
          </cell>
          <cell r="D2791">
            <v>222.52</v>
          </cell>
          <cell r="E2791">
            <v>221</v>
          </cell>
          <cell r="F2791">
            <v>240.25</v>
          </cell>
          <cell r="G2791">
            <v>223.75</v>
          </cell>
          <cell r="H2791">
            <v>3240.92</v>
          </cell>
          <cell r="I2791">
            <v>276.76</v>
          </cell>
        </row>
        <row r="2792">
          <cell r="A2792">
            <v>35684</v>
          </cell>
          <cell r="B2792">
            <v>2452.06</v>
          </cell>
          <cell r="C2792">
            <v>2434.4899999999998</v>
          </cell>
          <cell r="D2792">
            <v>219.13</v>
          </cell>
          <cell r="E2792">
            <v>217.28</v>
          </cell>
          <cell r="F2792">
            <v>236.11</v>
          </cell>
          <cell r="G2792">
            <v>220.68</v>
          </cell>
          <cell r="H2792">
            <v>3184.04</v>
          </cell>
          <cell r="I2792">
            <v>272.58</v>
          </cell>
        </row>
        <row r="2793">
          <cell r="A2793">
            <v>35685</v>
          </cell>
          <cell r="B2793">
            <v>2433.4899999999998</v>
          </cell>
          <cell r="C2793">
            <v>2409.42</v>
          </cell>
          <cell r="D2793">
            <v>218.05</v>
          </cell>
          <cell r="E2793">
            <v>215.36</v>
          </cell>
          <cell r="F2793">
            <v>234.67</v>
          </cell>
          <cell r="G2793">
            <v>220.43</v>
          </cell>
          <cell r="H2793">
            <v>3186.63</v>
          </cell>
          <cell r="I2793">
            <v>272.41000000000003</v>
          </cell>
        </row>
        <row r="2794">
          <cell r="A2794">
            <v>35688</v>
          </cell>
          <cell r="B2794">
            <v>2454.15</v>
          </cell>
          <cell r="C2794">
            <v>2430.2399999999998</v>
          </cell>
          <cell r="D2794">
            <v>219.39</v>
          </cell>
          <cell r="E2794">
            <v>217</v>
          </cell>
          <cell r="F2794">
            <v>236.49</v>
          </cell>
          <cell r="G2794">
            <v>221.48</v>
          </cell>
          <cell r="H2794">
            <v>3205.82</v>
          </cell>
          <cell r="I2794">
            <v>273.61</v>
          </cell>
        </row>
        <row r="2795">
          <cell r="A2795">
            <v>35689</v>
          </cell>
          <cell r="B2795">
            <v>2498.2600000000002</v>
          </cell>
          <cell r="C2795">
            <v>2473.7600000000002</v>
          </cell>
          <cell r="D2795">
            <v>222.74</v>
          </cell>
          <cell r="E2795">
            <v>220.45</v>
          </cell>
          <cell r="F2795">
            <v>240.2</v>
          </cell>
          <cell r="G2795">
            <v>224.73</v>
          </cell>
          <cell r="H2795">
            <v>3241.39</v>
          </cell>
          <cell r="I2795">
            <v>276.36</v>
          </cell>
        </row>
        <row r="2796">
          <cell r="A2796">
            <v>35690</v>
          </cell>
          <cell r="B2796">
            <v>2535.0100000000002</v>
          </cell>
          <cell r="C2796">
            <v>2500.16</v>
          </cell>
          <cell r="D2796">
            <v>225.23</v>
          </cell>
          <cell r="E2796">
            <v>222.74</v>
          </cell>
          <cell r="F2796">
            <v>242.85</v>
          </cell>
          <cell r="G2796">
            <v>227.4</v>
          </cell>
          <cell r="H2796">
            <v>3260.47</v>
          </cell>
          <cell r="I2796">
            <v>278.49</v>
          </cell>
        </row>
        <row r="2797">
          <cell r="A2797">
            <v>35691</v>
          </cell>
          <cell r="B2797">
            <v>2560.81</v>
          </cell>
          <cell r="C2797">
            <v>2506.79</v>
          </cell>
          <cell r="D2797">
            <v>227.62</v>
          </cell>
          <cell r="E2797">
            <v>223.81</v>
          </cell>
          <cell r="F2797">
            <v>244.57</v>
          </cell>
          <cell r="G2797">
            <v>231.11</v>
          </cell>
          <cell r="H2797">
            <v>3309.76</v>
          </cell>
          <cell r="I2797">
            <v>282.36</v>
          </cell>
        </row>
        <row r="2798">
          <cell r="A2798">
            <v>35692</v>
          </cell>
          <cell r="B2798">
            <v>2553.5300000000002</v>
          </cell>
          <cell r="C2798">
            <v>2511.17</v>
          </cell>
          <cell r="D2798">
            <v>227.07</v>
          </cell>
          <cell r="E2798">
            <v>224.41</v>
          </cell>
          <cell r="F2798">
            <v>244.65</v>
          </cell>
          <cell r="G2798">
            <v>229.43</v>
          </cell>
          <cell r="H2798">
            <v>3275.6</v>
          </cell>
          <cell r="I2798">
            <v>280.54000000000002</v>
          </cell>
        </row>
        <row r="2799">
          <cell r="A2799">
            <v>35695</v>
          </cell>
          <cell r="B2799">
            <v>2601.39</v>
          </cell>
          <cell r="C2799">
            <v>2558.1</v>
          </cell>
          <cell r="D2799">
            <v>230.6</v>
          </cell>
          <cell r="E2799">
            <v>228.1</v>
          </cell>
          <cell r="F2799">
            <v>248.62</v>
          </cell>
          <cell r="G2799">
            <v>232.78</v>
          </cell>
          <cell r="H2799">
            <v>3318.01</v>
          </cell>
          <cell r="I2799">
            <v>283.97000000000003</v>
          </cell>
        </row>
        <row r="2800">
          <cell r="A2800">
            <v>35696</v>
          </cell>
          <cell r="B2800">
            <v>2600.1799999999998</v>
          </cell>
          <cell r="C2800">
            <v>2546.6</v>
          </cell>
          <cell r="D2800">
            <v>230.63</v>
          </cell>
          <cell r="E2800">
            <v>227.58</v>
          </cell>
          <cell r="F2800">
            <v>248.66</v>
          </cell>
          <cell r="G2800">
            <v>233.36</v>
          </cell>
          <cell r="H2800">
            <v>3347.84</v>
          </cell>
          <cell r="I2800">
            <v>286.63</v>
          </cell>
        </row>
        <row r="2801">
          <cell r="A2801">
            <v>35697</v>
          </cell>
          <cell r="B2801">
            <v>2608.2199999999998</v>
          </cell>
          <cell r="C2801">
            <v>2561.21</v>
          </cell>
          <cell r="D2801">
            <v>231.06</v>
          </cell>
          <cell r="E2801">
            <v>228.63</v>
          </cell>
          <cell r="F2801">
            <v>249.64</v>
          </cell>
          <cell r="G2801">
            <v>233.17</v>
          </cell>
          <cell r="H2801">
            <v>3378.21</v>
          </cell>
          <cell r="I2801">
            <v>288.58</v>
          </cell>
        </row>
        <row r="2802">
          <cell r="A2802">
            <v>35698</v>
          </cell>
          <cell r="B2802">
            <v>2598.33</v>
          </cell>
          <cell r="C2802">
            <v>2556.23</v>
          </cell>
          <cell r="D2802">
            <v>230.63</v>
          </cell>
          <cell r="E2802">
            <v>228.55</v>
          </cell>
          <cell r="F2802">
            <v>249.01</v>
          </cell>
          <cell r="G2802">
            <v>232.4</v>
          </cell>
          <cell r="H2802">
            <v>3358.85</v>
          </cell>
          <cell r="I2802">
            <v>286.94</v>
          </cell>
        </row>
        <row r="2803">
          <cell r="A2803">
            <v>35699</v>
          </cell>
          <cell r="B2803">
            <v>2612.36</v>
          </cell>
          <cell r="C2803">
            <v>2555.21</v>
          </cell>
          <cell r="D2803">
            <v>232.41</v>
          </cell>
          <cell r="E2803">
            <v>228.69</v>
          </cell>
          <cell r="F2803">
            <v>249.73</v>
          </cell>
          <cell r="G2803">
            <v>235.8</v>
          </cell>
          <cell r="H2803">
            <v>3404.36</v>
          </cell>
          <cell r="I2803">
            <v>290.57</v>
          </cell>
        </row>
        <row r="2804">
          <cell r="A2804">
            <v>35702</v>
          </cell>
          <cell r="B2804">
            <v>2612.87</v>
          </cell>
          <cell r="C2804">
            <v>2551.87</v>
          </cell>
          <cell r="D2804">
            <v>232.37</v>
          </cell>
          <cell r="E2804">
            <v>228.48</v>
          </cell>
          <cell r="F2804">
            <v>249.49</v>
          </cell>
          <cell r="G2804">
            <v>235.92</v>
          </cell>
          <cell r="H2804">
            <v>3420.57</v>
          </cell>
          <cell r="I2804">
            <v>291.68</v>
          </cell>
        </row>
        <row r="2805">
          <cell r="A2805">
            <v>35703</v>
          </cell>
          <cell r="B2805">
            <v>2637.42</v>
          </cell>
          <cell r="C2805">
            <v>2581.36</v>
          </cell>
          <cell r="D2805">
            <v>234.15</v>
          </cell>
          <cell r="E2805">
            <v>230.84</v>
          </cell>
          <cell r="F2805">
            <v>251.4</v>
          </cell>
          <cell r="G2805">
            <v>237.12</v>
          </cell>
          <cell r="H2805">
            <v>3440.34</v>
          </cell>
          <cell r="I2805">
            <v>293.37</v>
          </cell>
        </row>
        <row r="2806">
          <cell r="A2806">
            <v>35704</v>
          </cell>
          <cell r="B2806">
            <v>2674.02</v>
          </cell>
          <cell r="C2806">
            <v>2608.0100000000002</v>
          </cell>
          <cell r="D2806">
            <v>236.99</v>
          </cell>
          <cell r="E2806">
            <v>232.69</v>
          </cell>
          <cell r="F2806">
            <v>253.59</v>
          </cell>
          <cell r="G2806">
            <v>240.95</v>
          </cell>
          <cell r="H2806">
            <v>3465.26</v>
          </cell>
          <cell r="I2806">
            <v>295.70999999999998</v>
          </cell>
        </row>
        <row r="2807">
          <cell r="A2807">
            <v>35705</v>
          </cell>
          <cell r="B2807">
            <v>2675.34</v>
          </cell>
          <cell r="C2807">
            <v>2609.64</v>
          </cell>
          <cell r="D2807">
            <v>237.11</v>
          </cell>
          <cell r="E2807">
            <v>233.31</v>
          </cell>
          <cell r="F2807">
            <v>254.4</v>
          </cell>
          <cell r="G2807">
            <v>240.59</v>
          </cell>
          <cell r="H2807">
            <v>3466.3</v>
          </cell>
          <cell r="I2807">
            <v>294.98</v>
          </cell>
        </row>
        <row r="2808">
          <cell r="A2808">
            <v>35706</v>
          </cell>
          <cell r="B2808">
            <v>2699.38</v>
          </cell>
          <cell r="C2808">
            <v>2641.68</v>
          </cell>
          <cell r="D2808">
            <v>238.66</v>
          </cell>
          <cell r="E2808">
            <v>235.55</v>
          </cell>
          <cell r="F2808">
            <v>257.02</v>
          </cell>
          <cell r="G2808">
            <v>241.44</v>
          </cell>
          <cell r="H2808">
            <v>3514</v>
          </cell>
          <cell r="I2808">
            <v>298.77</v>
          </cell>
        </row>
        <row r="2809">
          <cell r="A2809">
            <v>35709</v>
          </cell>
          <cell r="B2809">
            <v>2692.04</v>
          </cell>
          <cell r="C2809">
            <v>2635.67</v>
          </cell>
          <cell r="D2809">
            <v>237.98</v>
          </cell>
          <cell r="E2809">
            <v>235.19</v>
          </cell>
          <cell r="F2809">
            <v>256.42</v>
          </cell>
          <cell r="G2809">
            <v>240.45</v>
          </cell>
          <cell r="H2809">
            <v>3494.21</v>
          </cell>
          <cell r="I2809">
            <v>297.47000000000003</v>
          </cell>
        </row>
        <row r="2810">
          <cell r="A2810">
            <v>35710</v>
          </cell>
          <cell r="B2810">
            <v>2684.32</v>
          </cell>
          <cell r="C2810">
            <v>2628.43</v>
          </cell>
          <cell r="D2810">
            <v>238.07</v>
          </cell>
          <cell r="E2810">
            <v>234.7</v>
          </cell>
          <cell r="F2810">
            <v>255.84</v>
          </cell>
          <cell r="G2810">
            <v>241.11</v>
          </cell>
          <cell r="H2810">
            <v>3501.93</v>
          </cell>
          <cell r="I2810">
            <v>298.20999999999998</v>
          </cell>
        </row>
        <row r="2811">
          <cell r="A2811">
            <v>35711</v>
          </cell>
          <cell r="B2811">
            <v>2670.26</v>
          </cell>
          <cell r="C2811">
            <v>2625.44</v>
          </cell>
          <cell r="D2811">
            <v>236.9</v>
          </cell>
          <cell r="E2811">
            <v>234.36</v>
          </cell>
          <cell r="F2811">
            <v>255.22</v>
          </cell>
          <cell r="G2811">
            <v>239.12</v>
          </cell>
          <cell r="H2811">
            <v>3478</v>
          </cell>
          <cell r="I2811">
            <v>296.64999999999998</v>
          </cell>
        </row>
        <row r="2812">
          <cell r="A2812">
            <v>35712</v>
          </cell>
          <cell r="B2812">
            <v>2603.3200000000002</v>
          </cell>
          <cell r="C2812">
            <v>2550.2199999999998</v>
          </cell>
          <cell r="D2812">
            <v>232.19</v>
          </cell>
          <cell r="E2812">
            <v>228.4</v>
          </cell>
          <cell r="F2812">
            <v>249.03</v>
          </cell>
          <cell r="G2812">
            <v>235.64</v>
          </cell>
          <cell r="H2812">
            <v>3430.73</v>
          </cell>
          <cell r="I2812">
            <v>292.07</v>
          </cell>
        </row>
        <row r="2813">
          <cell r="A2813">
            <v>35713</v>
          </cell>
          <cell r="B2813">
            <v>2591.12</v>
          </cell>
          <cell r="C2813">
            <v>2534.48</v>
          </cell>
          <cell r="D2813">
            <v>231.61</v>
          </cell>
          <cell r="E2813">
            <v>227.25</v>
          </cell>
          <cell r="F2813">
            <v>247.84</v>
          </cell>
          <cell r="G2813">
            <v>235.63</v>
          </cell>
          <cell r="H2813">
            <v>3401.72</v>
          </cell>
          <cell r="I2813">
            <v>291.02</v>
          </cell>
        </row>
        <row r="2814">
          <cell r="A2814">
            <v>35716</v>
          </cell>
          <cell r="B2814">
            <v>2636.62</v>
          </cell>
          <cell r="C2814">
            <v>2582.0300000000002</v>
          </cell>
          <cell r="D2814">
            <v>235.07</v>
          </cell>
          <cell r="E2814">
            <v>230.85</v>
          </cell>
          <cell r="F2814">
            <v>251.31</v>
          </cell>
          <cell r="G2814">
            <v>238.97</v>
          </cell>
          <cell r="H2814">
            <v>3431.04</v>
          </cell>
          <cell r="I2814">
            <v>293.60000000000002</v>
          </cell>
        </row>
        <row r="2815">
          <cell r="A2815">
            <v>35717</v>
          </cell>
          <cell r="B2815">
            <v>2640.92</v>
          </cell>
          <cell r="C2815">
            <v>2584.02</v>
          </cell>
          <cell r="D2815">
            <v>235.39</v>
          </cell>
          <cell r="E2815">
            <v>231.11</v>
          </cell>
          <cell r="F2815">
            <v>251.8</v>
          </cell>
          <cell r="G2815">
            <v>239.34</v>
          </cell>
          <cell r="H2815">
            <v>3427.34</v>
          </cell>
          <cell r="I2815">
            <v>293.48</v>
          </cell>
        </row>
        <row r="2816">
          <cell r="A2816">
            <v>35718</v>
          </cell>
          <cell r="B2816">
            <v>2626.97</v>
          </cell>
          <cell r="C2816">
            <v>2567.5300000000002</v>
          </cell>
          <cell r="D2816">
            <v>234.08</v>
          </cell>
          <cell r="E2816">
            <v>229.85</v>
          </cell>
          <cell r="F2816">
            <v>250.45</v>
          </cell>
          <cell r="G2816">
            <v>237.98</v>
          </cell>
          <cell r="H2816">
            <v>3392.34</v>
          </cell>
          <cell r="I2816">
            <v>291.29000000000002</v>
          </cell>
        </row>
        <row r="2817">
          <cell r="A2817">
            <v>35719</v>
          </cell>
          <cell r="B2817">
            <v>2615.1999999999998</v>
          </cell>
          <cell r="C2817">
            <v>2544.6</v>
          </cell>
          <cell r="D2817">
            <v>233.42</v>
          </cell>
          <cell r="E2817">
            <v>228.28</v>
          </cell>
          <cell r="F2817">
            <v>249.21</v>
          </cell>
          <cell r="G2817">
            <v>238.21</v>
          </cell>
          <cell r="H2817">
            <v>3388.5</v>
          </cell>
          <cell r="I2817">
            <v>291.87</v>
          </cell>
        </row>
        <row r="2818">
          <cell r="A2818">
            <v>35720</v>
          </cell>
          <cell r="B2818">
            <v>2591.42</v>
          </cell>
          <cell r="C2818">
            <v>2508.15</v>
          </cell>
          <cell r="D2818">
            <v>231.88</v>
          </cell>
          <cell r="E2818">
            <v>224.87</v>
          </cell>
          <cell r="F2818">
            <v>245.7</v>
          </cell>
          <cell r="G2818">
            <v>238.54</v>
          </cell>
          <cell r="H2818">
            <v>3329.9</v>
          </cell>
          <cell r="I2818">
            <v>287.51</v>
          </cell>
        </row>
        <row r="2819">
          <cell r="A2819">
            <v>35723</v>
          </cell>
          <cell r="B2819">
            <v>2589.4299999999998</v>
          </cell>
          <cell r="C2819">
            <v>2502.42</v>
          </cell>
          <cell r="D2819">
            <v>231.45</v>
          </cell>
          <cell r="E2819">
            <v>224.29</v>
          </cell>
          <cell r="F2819">
            <v>245.28</v>
          </cell>
          <cell r="G2819">
            <v>238.26</v>
          </cell>
          <cell r="H2819">
            <v>3323.21</v>
          </cell>
          <cell r="I2819">
            <v>286.89</v>
          </cell>
        </row>
        <row r="2820">
          <cell r="A2820">
            <v>35724</v>
          </cell>
          <cell r="B2820">
            <v>2636.19</v>
          </cell>
          <cell r="C2820">
            <v>2546.5700000000002</v>
          </cell>
          <cell r="D2820">
            <v>235.02</v>
          </cell>
          <cell r="E2820">
            <v>228.2</v>
          </cell>
          <cell r="F2820">
            <v>249.03</v>
          </cell>
          <cell r="G2820">
            <v>241.48</v>
          </cell>
          <cell r="H2820">
            <v>3374.19</v>
          </cell>
          <cell r="I2820">
            <v>290.25</v>
          </cell>
        </row>
        <row r="2821">
          <cell r="A2821">
            <v>35725</v>
          </cell>
          <cell r="B2821">
            <v>2623.51</v>
          </cell>
          <cell r="C2821">
            <v>2537.5500000000002</v>
          </cell>
          <cell r="D2821">
            <v>233.75</v>
          </cell>
          <cell r="E2821">
            <v>227.97</v>
          </cell>
          <cell r="F2821">
            <v>248.65</v>
          </cell>
          <cell r="G2821">
            <v>239.18</v>
          </cell>
          <cell r="H2821">
            <v>3375.15</v>
          </cell>
          <cell r="I2821">
            <v>290.43</v>
          </cell>
        </row>
        <row r="2822">
          <cell r="A2822">
            <v>35726</v>
          </cell>
          <cell r="B2822">
            <v>2524.29</v>
          </cell>
          <cell r="C2822">
            <v>2444.06</v>
          </cell>
          <cell r="D2822">
            <v>225.83</v>
          </cell>
          <cell r="E2822">
            <v>220.16</v>
          </cell>
          <cell r="F2822">
            <v>240.81</v>
          </cell>
          <cell r="G2822">
            <v>231.17</v>
          </cell>
          <cell r="H2822">
            <v>3286.48</v>
          </cell>
          <cell r="I2822">
            <v>282.66000000000003</v>
          </cell>
        </row>
        <row r="2823">
          <cell r="A2823">
            <v>35727</v>
          </cell>
          <cell r="B2823">
            <v>2535.31</v>
          </cell>
          <cell r="C2823">
            <v>2450.3000000000002</v>
          </cell>
          <cell r="D2823">
            <v>226.76</v>
          </cell>
          <cell r="E2823">
            <v>220.99</v>
          </cell>
          <cell r="F2823">
            <v>241.67</v>
          </cell>
          <cell r="G2823">
            <v>232.2</v>
          </cell>
          <cell r="H2823">
            <v>3273.48</v>
          </cell>
          <cell r="I2823">
            <v>282.04000000000002</v>
          </cell>
        </row>
        <row r="2824">
          <cell r="A2824">
            <v>35730</v>
          </cell>
          <cell r="B2824">
            <v>2456.6799999999998</v>
          </cell>
          <cell r="C2824">
            <v>2371.39</v>
          </cell>
          <cell r="D2824">
            <v>220.26</v>
          </cell>
          <cell r="E2824">
            <v>214.05</v>
          </cell>
          <cell r="F2824">
            <v>234.08</v>
          </cell>
          <cell r="G2824">
            <v>226.13</v>
          </cell>
          <cell r="H2824">
            <v>3119.62</v>
          </cell>
          <cell r="I2824">
            <v>269.45999999999998</v>
          </cell>
        </row>
        <row r="2825">
          <cell r="A2825">
            <v>35731</v>
          </cell>
          <cell r="B2825">
            <v>2334.84</v>
          </cell>
          <cell r="C2825">
            <v>2241.21</v>
          </cell>
          <cell r="D2825">
            <v>209.45</v>
          </cell>
          <cell r="E2825">
            <v>201.6</v>
          </cell>
          <cell r="F2825">
            <v>221.38</v>
          </cell>
          <cell r="G2825">
            <v>216.97</v>
          </cell>
          <cell r="H2825">
            <v>2979.72</v>
          </cell>
          <cell r="I2825">
            <v>256.3</v>
          </cell>
        </row>
        <row r="2826">
          <cell r="A2826">
            <v>35732</v>
          </cell>
          <cell r="B2826">
            <v>2460.4499999999998</v>
          </cell>
          <cell r="C2826">
            <v>2370.94</v>
          </cell>
          <cell r="D2826">
            <v>219.07</v>
          </cell>
          <cell r="E2826">
            <v>212.97</v>
          </cell>
          <cell r="F2826">
            <v>232.94</v>
          </cell>
          <cell r="G2826">
            <v>224.84</v>
          </cell>
          <cell r="H2826">
            <v>3155.23</v>
          </cell>
          <cell r="I2826">
            <v>269.99</v>
          </cell>
        </row>
        <row r="2827">
          <cell r="A2827">
            <v>35733</v>
          </cell>
          <cell r="B2827">
            <v>2412.84</v>
          </cell>
          <cell r="C2827">
            <v>2330.44</v>
          </cell>
          <cell r="D2827">
            <v>214.83</v>
          </cell>
          <cell r="E2827">
            <v>209.37</v>
          </cell>
          <cell r="F2827">
            <v>228.76</v>
          </cell>
          <cell r="G2827">
            <v>219.97</v>
          </cell>
          <cell r="H2827">
            <v>3041.52</v>
          </cell>
          <cell r="I2827">
            <v>260.70999999999998</v>
          </cell>
        </row>
        <row r="2828">
          <cell r="A2828">
            <v>35734</v>
          </cell>
          <cell r="B2828">
            <v>2430.4699999999998</v>
          </cell>
          <cell r="C2828">
            <v>2331.25</v>
          </cell>
          <cell r="D2828">
            <v>216.8</v>
          </cell>
          <cell r="E2828">
            <v>209.89</v>
          </cell>
          <cell r="F2828">
            <v>229.92</v>
          </cell>
          <cell r="G2828">
            <v>223.38</v>
          </cell>
          <cell r="H2828">
            <v>3065.33</v>
          </cell>
          <cell r="I2828">
            <v>262.45999999999998</v>
          </cell>
        </row>
        <row r="2829">
          <cell r="A2829">
            <v>35737</v>
          </cell>
          <cell r="B2829">
            <v>2492.56</v>
          </cell>
          <cell r="C2829">
            <v>2392.17</v>
          </cell>
          <cell r="D2829">
            <v>221.45</v>
          </cell>
          <cell r="E2829">
            <v>214.84</v>
          </cell>
          <cell r="F2829">
            <v>235.01</v>
          </cell>
          <cell r="G2829">
            <v>227.73</v>
          </cell>
          <cell r="H2829">
            <v>3158.13</v>
          </cell>
          <cell r="I2829">
            <v>268.99</v>
          </cell>
        </row>
        <row r="2830">
          <cell r="A2830">
            <v>35738</v>
          </cell>
          <cell r="B2830">
            <v>2469.62</v>
          </cell>
          <cell r="C2830">
            <v>2368.23</v>
          </cell>
          <cell r="D2830">
            <v>219.95</v>
          </cell>
          <cell r="E2830">
            <v>213.17</v>
          </cell>
          <cell r="F2830">
            <v>233.21</v>
          </cell>
          <cell r="G2830">
            <v>226.4</v>
          </cell>
          <cell r="H2830">
            <v>3116.8</v>
          </cell>
          <cell r="I2830">
            <v>266.10000000000002</v>
          </cell>
        </row>
        <row r="2831">
          <cell r="A2831">
            <v>35739</v>
          </cell>
          <cell r="B2831">
            <v>2483.33</v>
          </cell>
          <cell r="C2831">
            <v>2386.7800000000002</v>
          </cell>
          <cell r="D2831">
            <v>220.81</v>
          </cell>
          <cell r="E2831">
            <v>214.68</v>
          </cell>
          <cell r="F2831">
            <v>234.77</v>
          </cell>
          <cell r="G2831">
            <v>226.6</v>
          </cell>
          <cell r="H2831">
            <v>3144.56</v>
          </cell>
          <cell r="I2831">
            <v>268.12</v>
          </cell>
        </row>
        <row r="2832">
          <cell r="A2832">
            <v>35740</v>
          </cell>
          <cell r="B2832">
            <v>2457.88</v>
          </cell>
          <cell r="C2832">
            <v>2362.16</v>
          </cell>
          <cell r="D2832">
            <v>219.73</v>
          </cell>
          <cell r="E2832">
            <v>213.22</v>
          </cell>
          <cell r="F2832">
            <v>233.19</v>
          </cell>
          <cell r="G2832">
            <v>225.91</v>
          </cell>
          <cell r="H2832">
            <v>3133.65</v>
          </cell>
          <cell r="I2832">
            <v>267.74</v>
          </cell>
        </row>
        <row r="2833">
          <cell r="A2833">
            <v>35741</v>
          </cell>
          <cell r="B2833">
            <v>2398.31</v>
          </cell>
          <cell r="C2833">
            <v>2300.25</v>
          </cell>
          <cell r="D2833">
            <v>214.18</v>
          </cell>
          <cell r="E2833">
            <v>207.76</v>
          </cell>
          <cell r="F2833">
            <v>227.67</v>
          </cell>
          <cell r="G2833">
            <v>220.27</v>
          </cell>
          <cell r="H2833">
            <v>3058.86</v>
          </cell>
          <cell r="I2833">
            <v>261.3</v>
          </cell>
        </row>
        <row r="2834">
          <cell r="A2834">
            <v>35744</v>
          </cell>
          <cell r="B2834">
            <v>2419.88</v>
          </cell>
          <cell r="C2834">
            <v>2319.5300000000002</v>
          </cell>
          <cell r="D2834">
            <v>215.73</v>
          </cell>
          <cell r="E2834">
            <v>209.07</v>
          </cell>
          <cell r="F2834">
            <v>228.93</v>
          </cell>
          <cell r="G2834">
            <v>222.06</v>
          </cell>
          <cell r="H2834">
            <v>3075.7</v>
          </cell>
          <cell r="I2834">
            <v>262.33999999999997</v>
          </cell>
        </row>
        <row r="2835">
          <cell r="A2835">
            <v>35745</v>
          </cell>
          <cell r="B2835">
            <v>2408.46</v>
          </cell>
          <cell r="C2835">
            <v>2309.75</v>
          </cell>
          <cell r="D2835">
            <v>215.24</v>
          </cell>
          <cell r="E2835">
            <v>208.21</v>
          </cell>
          <cell r="F2835">
            <v>228.17</v>
          </cell>
          <cell r="G2835">
            <v>221.94</v>
          </cell>
          <cell r="H2835">
            <v>3064.38</v>
          </cell>
          <cell r="I2835">
            <v>260.69</v>
          </cell>
        </row>
        <row r="2836">
          <cell r="A2836">
            <v>35746</v>
          </cell>
          <cell r="B2836">
            <v>2385.94</v>
          </cell>
          <cell r="C2836">
            <v>2281.0100000000002</v>
          </cell>
          <cell r="D2836">
            <v>212.83</v>
          </cell>
          <cell r="E2836">
            <v>205.52</v>
          </cell>
          <cell r="F2836">
            <v>225.61</v>
          </cell>
          <cell r="G2836">
            <v>219.81</v>
          </cell>
          <cell r="H2836">
            <v>3048.06</v>
          </cell>
          <cell r="I2836">
            <v>258.17</v>
          </cell>
        </row>
        <row r="2837">
          <cell r="A2837">
            <v>35747</v>
          </cell>
          <cell r="B2837">
            <v>2392.4699999999998</v>
          </cell>
          <cell r="C2837">
            <v>2303.29</v>
          </cell>
          <cell r="D2837">
            <v>213.38</v>
          </cell>
          <cell r="E2837">
            <v>207.03</v>
          </cell>
          <cell r="F2837">
            <v>226.53</v>
          </cell>
          <cell r="G2837">
            <v>219.41</v>
          </cell>
          <cell r="H2837">
            <v>3033.48</v>
          </cell>
          <cell r="I2837">
            <v>257.19</v>
          </cell>
        </row>
        <row r="2838">
          <cell r="A2838">
            <v>35748</v>
          </cell>
          <cell r="B2838">
            <v>2398.16</v>
          </cell>
          <cell r="C2838">
            <v>2313.77</v>
          </cell>
          <cell r="D2838">
            <v>213.94</v>
          </cell>
          <cell r="E2838">
            <v>207.74</v>
          </cell>
          <cell r="F2838">
            <v>226.86</v>
          </cell>
          <cell r="G2838">
            <v>219.83</v>
          </cell>
          <cell r="H2838">
            <v>3003.93</v>
          </cell>
          <cell r="I2838">
            <v>254.87</v>
          </cell>
        </row>
        <row r="2839">
          <cell r="A2839">
            <v>35751</v>
          </cell>
          <cell r="B2839">
            <v>2460.64</v>
          </cell>
          <cell r="C2839">
            <v>2369.83</v>
          </cell>
          <cell r="D2839">
            <v>218.88</v>
          </cell>
          <cell r="E2839">
            <v>212.71</v>
          </cell>
          <cell r="F2839">
            <v>232.11</v>
          </cell>
          <cell r="G2839">
            <v>224.73</v>
          </cell>
          <cell r="H2839">
            <v>3078.97</v>
          </cell>
          <cell r="I2839">
            <v>261</v>
          </cell>
        </row>
        <row r="2840">
          <cell r="A2840">
            <v>35752</v>
          </cell>
          <cell r="B2840">
            <v>2470.94</v>
          </cell>
          <cell r="C2840">
            <v>2382.46</v>
          </cell>
          <cell r="D2840">
            <v>219.18</v>
          </cell>
          <cell r="E2840">
            <v>213.66</v>
          </cell>
          <cell r="F2840">
            <v>233.17</v>
          </cell>
          <cell r="G2840">
            <v>224.37</v>
          </cell>
          <cell r="H2840">
            <v>3098.71</v>
          </cell>
          <cell r="I2840">
            <v>262.77</v>
          </cell>
        </row>
        <row r="2841">
          <cell r="A2841">
            <v>35753</v>
          </cell>
          <cell r="B2841">
            <v>2460.88</v>
          </cell>
          <cell r="C2841">
            <v>2369.87</v>
          </cell>
          <cell r="D2841">
            <v>218.75</v>
          </cell>
          <cell r="E2841">
            <v>212.99</v>
          </cell>
          <cell r="F2841">
            <v>232.85</v>
          </cell>
          <cell r="G2841">
            <v>224.18</v>
          </cell>
          <cell r="H2841">
            <v>3107.73</v>
          </cell>
          <cell r="I2841">
            <v>263.08999999999997</v>
          </cell>
        </row>
        <row r="2842">
          <cell r="A2842">
            <v>35754</v>
          </cell>
          <cell r="B2842">
            <v>2510.9899999999998</v>
          </cell>
          <cell r="C2842">
            <v>2418.67</v>
          </cell>
          <cell r="D2842">
            <v>222.72</v>
          </cell>
          <cell r="E2842">
            <v>216.69</v>
          </cell>
          <cell r="F2842">
            <v>236.96</v>
          </cell>
          <cell r="G2842">
            <v>228.42</v>
          </cell>
          <cell r="H2842">
            <v>3194.98</v>
          </cell>
          <cell r="I2842">
            <v>269.39</v>
          </cell>
        </row>
        <row r="2843">
          <cell r="A2843">
            <v>35755</v>
          </cell>
          <cell r="B2843">
            <v>2542.5700000000002</v>
          </cell>
          <cell r="C2843">
            <v>2448.63</v>
          </cell>
          <cell r="D2843">
            <v>225.12</v>
          </cell>
          <cell r="E2843">
            <v>218.9</v>
          </cell>
          <cell r="F2843">
            <v>239.27</v>
          </cell>
          <cell r="G2843">
            <v>231</v>
          </cell>
          <cell r="H2843">
            <v>3228.53</v>
          </cell>
          <cell r="I2843">
            <v>271.77999999999997</v>
          </cell>
        </row>
        <row r="2844">
          <cell r="A2844">
            <v>35758</v>
          </cell>
          <cell r="B2844">
            <v>2486.44</v>
          </cell>
          <cell r="C2844">
            <v>2385.77</v>
          </cell>
          <cell r="D2844">
            <v>221.14</v>
          </cell>
          <cell r="E2844">
            <v>213.77</v>
          </cell>
          <cell r="F2844">
            <v>234.43</v>
          </cell>
          <cell r="G2844">
            <v>228.17</v>
          </cell>
          <cell r="H2844">
            <v>3167.29</v>
          </cell>
          <cell r="I2844">
            <v>266.23</v>
          </cell>
        </row>
        <row r="2845">
          <cell r="A2845">
            <v>35759</v>
          </cell>
          <cell r="B2845">
            <v>2481.65</v>
          </cell>
          <cell r="C2845">
            <v>2386.2800000000002</v>
          </cell>
          <cell r="D2845">
            <v>220.75</v>
          </cell>
          <cell r="E2845">
            <v>214.28</v>
          </cell>
          <cell r="F2845">
            <v>234.84</v>
          </cell>
          <cell r="G2845">
            <v>226.88</v>
          </cell>
          <cell r="H2845">
            <v>3145.44</v>
          </cell>
          <cell r="I2845">
            <v>264.3</v>
          </cell>
        </row>
        <row r="2846">
          <cell r="A2846">
            <v>35760</v>
          </cell>
          <cell r="B2846">
            <v>2508.85</v>
          </cell>
          <cell r="C2846">
            <v>2412.67</v>
          </cell>
          <cell r="D2846">
            <v>223.04</v>
          </cell>
          <cell r="E2846">
            <v>216.67</v>
          </cell>
          <cell r="F2846">
            <v>237.3</v>
          </cell>
          <cell r="G2846">
            <v>229.07</v>
          </cell>
          <cell r="H2846">
            <v>3150.13</v>
          </cell>
          <cell r="I2846">
            <v>264.33</v>
          </cell>
        </row>
        <row r="2847">
          <cell r="A2847">
            <v>35761</v>
          </cell>
          <cell r="B2847">
            <v>2516.0500000000002</v>
          </cell>
          <cell r="C2847">
            <v>2423.9899999999998</v>
          </cell>
          <cell r="D2847">
            <v>224.01</v>
          </cell>
          <cell r="E2847">
            <v>217.89</v>
          </cell>
          <cell r="F2847">
            <v>238.5</v>
          </cell>
          <cell r="G2847">
            <v>229.79</v>
          </cell>
          <cell r="H2847">
            <v>3165.36</v>
          </cell>
          <cell r="I2847">
            <v>265.48</v>
          </cell>
        </row>
        <row r="2848">
          <cell r="A2848">
            <v>35762</v>
          </cell>
          <cell r="B2848">
            <v>2516.3000000000002</v>
          </cell>
          <cell r="C2848">
            <v>2423.7399999999998</v>
          </cell>
          <cell r="D2848">
            <v>224.2</v>
          </cell>
          <cell r="E2848">
            <v>217.96</v>
          </cell>
          <cell r="F2848">
            <v>238.66</v>
          </cell>
          <cell r="G2848">
            <v>230.1</v>
          </cell>
          <cell r="H2848">
            <v>3181.78</v>
          </cell>
          <cell r="I2848">
            <v>266.75</v>
          </cell>
        </row>
        <row r="2849">
          <cell r="A2849">
            <v>35765</v>
          </cell>
          <cell r="B2849">
            <v>2563.9499999999998</v>
          </cell>
          <cell r="C2849">
            <v>2482.4299999999998</v>
          </cell>
          <cell r="D2849">
            <v>228.59</v>
          </cell>
          <cell r="E2849">
            <v>223.1</v>
          </cell>
          <cell r="F2849">
            <v>243.95</v>
          </cell>
          <cell r="G2849">
            <v>233.74</v>
          </cell>
          <cell r="H2849">
            <v>3232.59</v>
          </cell>
          <cell r="I2849">
            <v>270.66000000000003</v>
          </cell>
        </row>
        <row r="2850">
          <cell r="A2850">
            <v>35766</v>
          </cell>
          <cell r="B2850">
            <v>2574.33</v>
          </cell>
          <cell r="C2850">
            <v>2489.56</v>
          </cell>
          <cell r="D2850">
            <v>229.51</v>
          </cell>
          <cell r="E2850">
            <v>223.71</v>
          </cell>
          <cell r="F2850">
            <v>244.83</v>
          </cell>
          <cell r="G2850">
            <v>234.98</v>
          </cell>
          <cell r="H2850">
            <v>3247.54</v>
          </cell>
          <cell r="I2850">
            <v>271.81</v>
          </cell>
        </row>
        <row r="2851">
          <cell r="A2851">
            <v>35767</v>
          </cell>
          <cell r="B2851">
            <v>2561.25</v>
          </cell>
          <cell r="C2851">
            <v>2475.79</v>
          </cell>
          <cell r="D2851">
            <v>228.91</v>
          </cell>
          <cell r="E2851">
            <v>223.07</v>
          </cell>
          <cell r="F2851">
            <v>243.93</v>
          </cell>
          <cell r="G2851">
            <v>234.42</v>
          </cell>
          <cell r="H2851">
            <v>3195.16</v>
          </cell>
          <cell r="I2851">
            <v>267.68</v>
          </cell>
        </row>
        <row r="2852">
          <cell r="A2852">
            <v>35768</v>
          </cell>
          <cell r="B2852">
            <v>2586.7199999999998</v>
          </cell>
          <cell r="C2852">
            <v>2498.54</v>
          </cell>
          <cell r="D2852">
            <v>230.91</v>
          </cell>
          <cell r="E2852">
            <v>225.36</v>
          </cell>
          <cell r="F2852">
            <v>246.51</v>
          </cell>
          <cell r="G2852">
            <v>236.12</v>
          </cell>
          <cell r="H2852">
            <v>3255.04</v>
          </cell>
          <cell r="I2852">
            <v>272.23</v>
          </cell>
        </row>
        <row r="2853">
          <cell r="A2853">
            <v>35769</v>
          </cell>
          <cell r="B2853">
            <v>2603.71</v>
          </cell>
          <cell r="C2853">
            <v>2503.9299999999998</v>
          </cell>
          <cell r="D2853">
            <v>232.49</v>
          </cell>
          <cell r="E2853">
            <v>225.94</v>
          </cell>
          <cell r="F2853">
            <v>247.05</v>
          </cell>
          <cell r="G2853">
            <v>238.7</v>
          </cell>
          <cell r="H2853">
            <v>3235.58</v>
          </cell>
          <cell r="I2853">
            <v>271.35000000000002</v>
          </cell>
        </row>
        <row r="2854">
          <cell r="A2854">
            <v>35772</v>
          </cell>
          <cell r="B2854">
            <v>2634.03</v>
          </cell>
          <cell r="C2854">
            <v>2525.86</v>
          </cell>
          <cell r="D2854">
            <v>234.63</v>
          </cell>
          <cell r="E2854">
            <v>228.04</v>
          </cell>
          <cell r="F2854">
            <v>249.28</v>
          </cell>
          <cell r="G2854">
            <v>240.87</v>
          </cell>
          <cell r="H2854">
            <v>3286.28</v>
          </cell>
          <cell r="I2854">
            <v>275.68</v>
          </cell>
        </row>
        <row r="2855">
          <cell r="A2855">
            <v>35773</v>
          </cell>
          <cell r="B2855">
            <v>2629.3</v>
          </cell>
          <cell r="C2855">
            <v>2521.96</v>
          </cell>
          <cell r="D2855">
            <v>234.7</v>
          </cell>
          <cell r="E2855">
            <v>227.92</v>
          </cell>
          <cell r="F2855">
            <v>249.18</v>
          </cell>
          <cell r="G2855">
            <v>241.12</v>
          </cell>
          <cell r="H2855">
            <v>3264.56</v>
          </cell>
          <cell r="I2855">
            <v>274.01</v>
          </cell>
        </row>
        <row r="2856">
          <cell r="A2856">
            <v>35774</v>
          </cell>
          <cell r="B2856">
            <v>2586.48</v>
          </cell>
          <cell r="C2856">
            <v>2481.39</v>
          </cell>
          <cell r="D2856">
            <v>231.51</v>
          </cell>
          <cell r="E2856">
            <v>224.62</v>
          </cell>
          <cell r="F2856">
            <v>245.94</v>
          </cell>
          <cell r="G2856">
            <v>238.06</v>
          </cell>
          <cell r="H2856">
            <v>3231.7</v>
          </cell>
          <cell r="I2856">
            <v>270.17</v>
          </cell>
        </row>
        <row r="2857">
          <cell r="A2857">
            <v>35775</v>
          </cell>
          <cell r="B2857">
            <v>2531.09</v>
          </cell>
          <cell r="C2857">
            <v>2420.75</v>
          </cell>
          <cell r="D2857">
            <v>226.37</v>
          </cell>
          <cell r="E2857">
            <v>219.26</v>
          </cell>
          <cell r="F2857">
            <v>240.51</v>
          </cell>
          <cell r="G2857">
            <v>233.15</v>
          </cell>
          <cell r="H2857">
            <v>3120.23</v>
          </cell>
          <cell r="I2857">
            <v>261.22000000000003</v>
          </cell>
        </row>
        <row r="2858">
          <cell r="A2858">
            <v>35776</v>
          </cell>
          <cell r="B2858">
            <v>2541.7800000000002</v>
          </cell>
          <cell r="C2858">
            <v>2432.06</v>
          </cell>
          <cell r="D2858">
            <v>227.99</v>
          </cell>
          <cell r="E2858">
            <v>220.99</v>
          </cell>
          <cell r="F2858">
            <v>242.27</v>
          </cell>
          <cell r="G2858">
            <v>234.66</v>
          </cell>
          <cell r="H2858">
            <v>3146.04</v>
          </cell>
          <cell r="I2858">
            <v>263.02</v>
          </cell>
        </row>
        <row r="2859">
          <cell r="A2859">
            <v>35779</v>
          </cell>
          <cell r="B2859">
            <v>2546.16</v>
          </cell>
          <cell r="C2859">
            <v>2439.14</v>
          </cell>
          <cell r="D2859">
            <v>228.46</v>
          </cell>
          <cell r="E2859">
            <v>221.52</v>
          </cell>
          <cell r="F2859">
            <v>242.61</v>
          </cell>
          <cell r="G2859">
            <v>235.05</v>
          </cell>
          <cell r="H2859">
            <v>3148.87</v>
          </cell>
          <cell r="I2859">
            <v>262.14999999999998</v>
          </cell>
        </row>
        <row r="2860">
          <cell r="A2860">
            <v>35780</v>
          </cell>
          <cell r="B2860">
            <v>2597.1999999999998</v>
          </cell>
          <cell r="C2860">
            <v>2488.89</v>
          </cell>
          <cell r="D2860">
            <v>232.18</v>
          </cell>
          <cell r="E2860">
            <v>225.02</v>
          </cell>
          <cell r="F2860">
            <v>246.38</v>
          </cell>
          <cell r="G2860">
            <v>238.99</v>
          </cell>
          <cell r="H2860">
            <v>3211.83</v>
          </cell>
          <cell r="I2860">
            <v>266.18</v>
          </cell>
        </row>
        <row r="2861">
          <cell r="A2861">
            <v>35781</v>
          </cell>
          <cell r="B2861">
            <v>2616.89</v>
          </cell>
          <cell r="C2861">
            <v>2502.96</v>
          </cell>
          <cell r="D2861">
            <v>233.23</v>
          </cell>
          <cell r="E2861">
            <v>226.29</v>
          </cell>
          <cell r="F2861">
            <v>247.69</v>
          </cell>
          <cell r="G2861">
            <v>239.82</v>
          </cell>
          <cell r="H2861">
            <v>3229.8</v>
          </cell>
          <cell r="I2861">
            <v>268.63</v>
          </cell>
        </row>
        <row r="2862">
          <cell r="A2862">
            <v>35782</v>
          </cell>
          <cell r="B2862">
            <v>2601.14</v>
          </cell>
          <cell r="C2862">
            <v>2485.06</v>
          </cell>
          <cell r="D2862">
            <v>232.99</v>
          </cell>
          <cell r="E2862">
            <v>225.49</v>
          </cell>
          <cell r="F2862">
            <v>246.64</v>
          </cell>
          <cell r="G2862">
            <v>240.14</v>
          </cell>
          <cell r="H2862">
            <v>3182.64</v>
          </cell>
          <cell r="I2862">
            <v>265.43</v>
          </cell>
        </row>
        <row r="2863">
          <cell r="A2863">
            <v>35783</v>
          </cell>
          <cell r="B2863">
            <v>2540.6999999999998</v>
          </cell>
          <cell r="C2863">
            <v>2420.83</v>
          </cell>
          <cell r="D2863">
            <v>228.09</v>
          </cell>
          <cell r="E2863">
            <v>220.75</v>
          </cell>
          <cell r="F2863">
            <v>241.43</v>
          </cell>
          <cell r="G2863">
            <v>235.09</v>
          </cell>
          <cell r="H2863">
            <v>3082.15</v>
          </cell>
          <cell r="I2863">
            <v>258.08999999999997</v>
          </cell>
        </row>
        <row r="2864">
          <cell r="A2864">
            <v>35786</v>
          </cell>
          <cell r="B2864">
            <v>2541.3200000000002</v>
          </cell>
          <cell r="C2864">
            <v>2429.42</v>
          </cell>
          <cell r="D2864">
            <v>228.2</v>
          </cell>
          <cell r="E2864">
            <v>221.33</v>
          </cell>
          <cell r="F2864">
            <v>242.31</v>
          </cell>
          <cell r="G2864">
            <v>234.72</v>
          </cell>
          <cell r="H2864">
            <v>3107.83</v>
          </cell>
          <cell r="I2864">
            <v>259.20999999999998</v>
          </cell>
        </row>
        <row r="2865">
          <cell r="A2865">
            <v>35787</v>
          </cell>
          <cell r="B2865">
            <v>2544.92</v>
          </cell>
          <cell r="C2865">
            <v>2435.84</v>
          </cell>
          <cell r="D2865">
            <v>228.84</v>
          </cell>
          <cell r="E2865">
            <v>222.28</v>
          </cell>
          <cell r="F2865">
            <v>242.93</v>
          </cell>
          <cell r="G2865">
            <v>235.06</v>
          </cell>
          <cell r="H2865">
            <v>3089.12</v>
          </cell>
          <cell r="I2865">
            <v>258.20999999999998</v>
          </cell>
        </row>
        <row r="2866">
          <cell r="A2866">
            <v>35788</v>
          </cell>
          <cell r="B2866">
            <v>2545.64</v>
          </cell>
          <cell r="C2866">
            <v>2440.9299999999998</v>
          </cell>
          <cell r="D2866">
            <v>228.79</v>
          </cell>
          <cell r="E2866">
            <v>222.68</v>
          </cell>
          <cell r="F2866">
            <v>243.32</v>
          </cell>
          <cell r="G2866">
            <v>234.54</v>
          </cell>
          <cell r="H2866">
            <v>3091.09</v>
          </cell>
          <cell r="I2866">
            <v>258.32</v>
          </cell>
        </row>
        <row r="2867">
          <cell r="A2867">
            <v>35789</v>
          </cell>
          <cell r="B2867">
            <v>2544.38</v>
          </cell>
          <cell r="C2867">
            <v>2438.12</v>
          </cell>
          <cell r="D2867">
            <v>228.75</v>
          </cell>
          <cell r="E2867">
            <v>222.46</v>
          </cell>
          <cell r="F2867">
            <v>243.07</v>
          </cell>
          <cell r="G2867">
            <v>234.69</v>
          </cell>
          <cell r="H2867">
            <v>3086.5</v>
          </cell>
          <cell r="I2867">
            <v>258.01</v>
          </cell>
        </row>
        <row r="2868">
          <cell r="A2868">
            <v>35790</v>
          </cell>
          <cell r="B2868">
            <v>2545.65</v>
          </cell>
          <cell r="C2868">
            <v>2439.15</v>
          </cell>
          <cell r="D2868">
            <v>228.81</v>
          </cell>
          <cell r="E2868">
            <v>222.52</v>
          </cell>
          <cell r="F2868">
            <v>243.19</v>
          </cell>
          <cell r="G2868">
            <v>234.74</v>
          </cell>
          <cell r="H2868">
            <v>3090.33</v>
          </cell>
          <cell r="I2868">
            <v>258.27999999999997</v>
          </cell>
        </row>
        <row r="2869">
          <cell r="A2869">
            <v>35793</v>
          </cell>
          <cell r="B2869">
            <v>2608.35</v>
          </cell>
          <cell r="C2869">
            <v>2498.9299999999998</v>
          </cell>
          <cell r="D2869">
            <v>233.94</v>
          </cell>
          <cell r="E2869">
            <v>227.42</v>
          </cell>
          <cell r="F2869">
            <v>248.6</v>
          </cell>
          <cell r="G2869">
            <v>240.12</v>
          </cell>
          <cell r="H2869">
            <v>3186.82</v>
          </cell>
          <cell r="I2869">
            <v>265.45999999999998</v>
          </cell>
        </row>
        <row r="2870">
          <cell r="A2870">
            <v>35794</v>
          </cell>
          <cell r="B2870">
            <v>2630.21</v>
          </cell>
          <cell r="C2870">
            <v>2528.77</v>
          </cell>
          <cell r="D2870">
            <v>235.1</v>
          </cell>
          <cell r="E2870">
            <v>229.42</v>
          </cell>
          <cell r="F2870">
            <v>250.69</v>
          </cell>
          <cell r="G2870">
            <v>240.41</v>
          </cell>
          <cell r="H2870">
            <v>3206.28</v>
          </cell>
          <cell r="I2870">
            <v>267.58</v>
          </cell>
        </row>
        <row r="2871">
          <cell r="A2871">
            <v>35795</v>
          </cell>
          <cell r="B2871">
            <v>2633.63</v>
          </cell>
          <cell r="C2871">
            <v>2531.9899999999998</v>
          </cell>
          <cell r="D2871">
            <v>235.79</v>
          </cell>
          <cell r="E2871">
            <v>229.86</v>
          </cell>
          <cell r="F2871">
            <v>251.2</v>
          </cell>
          <cell r="G2871">
            <v>241.36</v>
          </cell>
          <cell r="H2871">
            <v>3212.08</v>
          </cell>
          <cell r="I2871">
            <v>268.08999999999997</v>
          </cell>
        </row>
        <row r="2872">
          <cell r="A2872">
            <v>35797</v>
          </cell>
          <cell r="B2872">
            <v>2663.51</v>
          </cell>
          <cell r="C2872">
            <v>2575</v>
          </cell>
          <cell r="D2872">
            <v>238.33</v>
          </cell>
          <cell r="E2872">
            <v>233.43</v>
          </cell>
          <cell r="F2872">
            <v>254.21</v>
          </cell>
          <cell r="G2872">
            <v>242.83</v>
          </cell>
          <cell r="H2872">
            <v>3237.52</v>
          </cell>
          <cell r="I2872">
            <v>270.67</v>
          </cell>
        </row>
        <row r="2873">
          <cell r="A2873">
            <v>35800</v>
          </cell>
          <cell r="B2873">
            <v>2713.76</v>
          </cell>
          <cell r="C2873">
            <v>2616.8000000000002</v>
          </cell>
          <cell r="D2873">
            <v>242.74</v>
          </cell>
          <cell r="E2873">
            <v>237.4</v>
          </cell>
          <cell r="F2873">
            <v>259.19</v>
          </cell>
          <cell r="G2873">
            <v>247.69</v>
          </cell>
          <cell r="H2873">
            <v>3350.05</v>
          </cell>
          <cell r="I2873">
            <v>279.08999999999997</v>
          </cell>
        </row>
        <row r="2874">
          <cell r="A2874">
            <v>35801</v>
          </cell>
          <cell r="B2874">
            <v>2692.05</v>
          </cell>
          <cell r="C2874">
            <v>2591.0500000000002</v>
          </cell>
          <cell r="D2874">
            <v>241.87</v>
          </cell>
          <cell r="E2874">
            <v>235.84</v>
          </cell>
          <cell r="F2874">
            <v>257.83999999999997</v>
          </cell>
          <cell r="G2874">
            <v>247.52</v>
          </cell>
          <cell r="H2874">
            <v>3333.45</v>
          </cell>
          <cell r="I2874">
            <v>277.86</v>
          </cell>
        </row>
        <row r="2875">
          <cell r="A2875">
            <v>35802</v>
          </cell>
          <cell r="B2875">
            <v>2695.14</v>
          </cell>
          <cell r="C2875">
            <v>2588.56</v>
          </cell>
          <cell r="D2875">
            <v>241.32</v>
          </cell>
          <cell r="E2875">
            <v>235.76</v>
          </cell>
          <cell r="F2875">
            <v>257.39999999999998</v>
          </cell>
          <cell r="G2875">
            <v>246.48</v>
          </cell>
          <cell r="H2875">
            <v>3305.69</v>
          </cell>
          <cell r="I2875">
            <v>274.87</v>
          </cell>
        </row>
        <row r="2876">
          <cell r="A2876">
            <v>35803</v>
          </cell>
          <cell r="B2876">
            <v>2673.65</v>
          </cell>
          <cell r="C2876">
            <v>2562.42</v>
          </cell>
          <cell r="D2876">
            <v>238.89</v>
          </cell>
          <cell r="E2876">
            <v>233.29</v>
          </cell>
          <cell r="F2876">
            <v>254.71</v>
          </cell>
          <cell r="G2876">
            <v>244.1</v>
          </cell>
          <cell r="H2876">
            <v>3281.79</v>
          </cell>
          <cell r="I2876">
            <v>272.33</v>
          </cell>
        </row>
        <row r="2877">
          <cell r="A2877">
            <v>35804</v>
          </cell>
          <cell r="B2877">
            <v>2640.04</v>
          </cell>
          <cell r="C2877">
            <v>2527.59</v>
          </cell>
          <cell r="D2877">
            <v>235.53</v>
          </cell>
          <cell r="E2877">
            <v>229.99</v>
          </cell>
          <cell r="F2877">
            <v>251.13</v>
          </cell>
          <cell r="G2877">
            <v>240.69</v>
          </cell>
          <cell r="H2877">
            <v>3225.64</v>
          </cell>
          <cell r="I2877">
            <v>267.44</v>
          </cell>
        </row>
        <row r="2878">
          <cell r="A2878">
            <v>35807</v>
          </cell>
          <cell r="B2878">
            <v>2574.5100000000002</v>
          </cell>
          <cell r="C2878">
            <v>2466.81</v>
          </cell>
          <cell r="D2878">
            <v>230.18</v>
          </cell>
          <cell r="E2878">
            <v>224.88</v>
          </cell>
          <cell r="F2878">
            <v>244.57</v>
          </cell>
          <cell r="G2878">
            <v>235.1</v>
          </cell>
          <cell r="H2878">
            <v>3083.36</v>
          </cell>
          <cell r="I2878">
            <v>255.61</v>
          </cell>
        </row>
        <row r="2879">
          <cell r="A2879">
            <v>35808</v>
          </cell>
          <cell r="B2879">
            <v>2621.57</v>
          </cell>
          <cell r="C2879">
            <v>2508.36</v>
          </cell>
          <cell r="D2879">
            <v>233.69</v>
          </cell>
          <cell r="E2879">
            <v>228.38</v>
          </cell>
          <cell r="F2879">
            <v>248.31</v>
          </cell>
          <cell r="G2879">
            <v>238.62</v>
          </cell>
          <cell r="H2879">
            <v>3129.71</v>
          </cell>
          <cell r="I2879">
            <v>258.97000000000003</v>
          </cell>
        </row>
        <row r="2880">
          <cell r="A2880">
            <v>35809</v>
          </cell>
          <cell r="B2880">
            <v>2614.58</v>
          </cell>
          <cell r="C2880">
            <v>2524.4699999999998</v>
          </cell>
          <cell r="D2880">
            <v>234.12</v>
          </cell>
          <cell r="E2880">
            <v>230.09</v>
          </cell>
          <cell r="F2880">
            <v>249.99</v>
          </cell>
          <cell r="G2880">
            <v>237.75</v>
          </cell>
          <cell r="H2880">
            <v>3205.77</v>
          </cell>
          <cell r="I2880">
            <v>264.73</v>
          </cell>
        </row>
        <row r="2881">
          <cell r="A2881">
            <v>35810</v>
          </cell>
          <cell r="B2881">
            <v>2640.61</v>
          </cell>
          <cell r="C2881">
            <v>2524.59</v>
          </cell>
          <cell r="D2881">
            <v>235.99</v>
          </cell>
          <cell r="E2881">
            <v>230.11</v>
          </cell>
          <cell r="F2881">
            <v>250.08</v>
          </cell>
          <cell r="G2881">
            <v>241.5</v>
          </cell>
          <cell r="H2881">
            <v>3243.47</v>
          </cell>
          <cell r="I2881">
            <v>267.91000000000003</v>
          </cell>
        </row>
        <row r="2882">
          <cell r="A2882">
            <v>35811</v>
          </cell>
          <cell r="B2882">
            <v>2683.85</v>
          </cell>
          <cell r="C2882">
            <v>2553.34</v>
          </cell>
          <cell r="D2882">
            <v>239.26</v>
          </cell>
          <cell r="E2882">
            <v>232.78</v>
          </cell>
          <cell r="F2882">
            <v>253.2</v>
          </cell>
          <cell r="G2882">
            <v>245.38</v>
          </cell>
          <cell r="H2882">
            <v>3261.09</v>
          </cell>
          <cell r="I2882">
            <v>269.74</v>
          </cell>
        </row>
        <row r="2883">
          <cell r="A2883">
            <v>35814</v>
          </cell>
          <cell r="B2883">
            <v>2709.1</v>
          </cell>
          <cell r="C2883">
            <v>2576.5300000000002</v>
          </cell>
          <cell r="D2883">
            <v>241.51</v>
          </cell>
          <cell r="E2883">
            <v>234.9</v>
          </cell>
          <cell r="F2883">
            <v>255.7</v>
          </cell>
          <cell r="G2883">
            <v>247.76</v>
          </cell>
          <cell r="H2883">
            <v>3285.37</v>
          </cell>
          <cell r="I2883">
            <v>272.39999999999998</v>
          </cell>
        </row>
        <row r="2884">
          <cell r="A2884">
            <v>35815</v>
          </cell>
          <cell r="B2884">
            <v>2722.32</v>
          </cell>
          <cell r="C2884">
            <v>2593.9499999999998</v>
          </cell>
          <cell r="D2884">
            <v>242.35</v>
          </cell>
          <cell r="E2884">
            <v>236.35</v>
          </cell>
          <cell r="F2884">
            <v>257.25</v>
          </cell>
          <cell r="G2884">
            <v>247.96</v>
          </cell>
          <cell r="H2884">
            <v>3274.85</v>
          </cell>
          <cell r="I2884">
            <v>271.95999999999998</v>
          </cell>
        </row>
        <row r="2885">
          <cell r="A2885">
            <v>35816</v>
          </cell>
          <cell r="B2885">
            <v>2709.59</v>
          </cell>
          <cell r="C2885">
            <v>2585.15</v>
          </cell>
          <cell r="D2885">
            <v>240.81</v>
          </cell>
          <cell r="E2885">
            <v>235.55</v>
          </cell>
          <cell r="F2885">
            <v>256.58999999999997</v>
          </cell>
          <cell r="G2885">
            <v>245.68</v>
          </cell>
          <cell r="H2885">
            <v>3273.97</v>
          </cell>
          <cell r="I2885">
            <v>271.42</v>
          </cell>
        </row>
        <row r="2886">
          <cell r="A2886">
            <v>35817</v>
          </cell>
          <cell r="B2886">
            <v>2686.03</v>
          </cell>
          <cell r="C2886">
            <v>2565.88</v>
          </cell>
          <cell r="D2886">
            <v>239.62</v>
          </cell>
          <cell r="E2886">
            <v>234.29</v>
          </cell>
          <cell r="F2886">
            <v>254.96</v>
          </cell>
          <cell r="G2886">
            <v>244.56</v>
          </cell>
          <cell r="H2886">
            <v>3232.46</v>
          </cell>
          <cell r="I2886">
            <v>268.24</v>
          </cell>
        </row>
        <row r="2887">
          <cell r="A2887">
            <v>35818</v>
          </cell>
          <cell r="B2887">
            <v>2662.25</v>
          </cell>
          <cell r="C2887">
            <v>2545.09</v>
          </cell>
          <cell r="D2887">
            <v>238.3</v>
          </cell>
          <cell r="E2887">
            <v>232.81</v>
          </cell>
          <cell r="F2887">
            <v>254.12</v>
          </cell>
          <cell r="G2887">
            <v>243.39</v>
          </cell>
          <cell r="H2887">
            <v>3221.78</v>
          </cell>
          <cell r="I2887">
            <v>267.08</v>
          </cell>
        </row>
        <row r="2888">
          <cell r="A2888">
            <v>35821</v>
          </cell>
          <cell r="B2888">
            <v>2688.98</v>
          </cell>
          <cell r="C2888">
            <v>2570.85</v>
          </cell>
          <cell r="D2888">
            <v>240.27</v>
          </cell>
          <cell r="E2888">
            <v>234.94</v>
          </cell>
          <cell r="F2888">
            <v>256.2</v>
          </cell>
          <cell r="G2888">
            <v>245.21</v>
          </cell>
          <cell r="H2888">
            <v>3239.7</v>
          </cell>
          <cell r="I2888">
            <v>268.82</v>
          </cell>
        </row>
        <row r="2889">
          <cell r="A2889">
            <v>35822</v>
          </cell>
          <cell r="B2889">
            <v>2717.98</v>
          </cell>
          <cell r="C2889">
            <v>2603.16</v>
          </cell>
          <cell r="D2889">
            <v>241.89</v>
          </cell>
          <cell r="E2889">
            <v>237.6</v>
          </cell>
          <cell r="F2889">
            <v>258.83</v>
          </cell>
          <cell r="G2889">
            <v>245.75</v>
          </cell>
          <cell r="H2889">
            <v>3301.89</v>
          </cell>
          <cell r="I2889">
            <v>272.70999999999998</v>
          </cell>
        </row>
        <row r="2890">
          <cell r="A2890">
            <v>35823</v>
          </cell>
          <cell r="B2890">
            <v>2765.45</v>
          </cell>
          <cell r="C2890">
            <v>2643.21</v>
          </cell>
          <cell r="D2890">
            <v>245.93</v>
          </cell>
          <cell r="E2890">
            <v>240.97</v>
          </cell>
          <cell r="F2890">
            <v>262.43</v>
          </cell>
          <cell r="G2890">
            <v>250.46</v>
          </cell>
          <cell r="H2890">
            <v>3344.67</v>
          </cell>
          <cell r="I2890">
            <v>276.08</v>
          </cell>
        </row>
        <row r="2891">
          <cell r="A2891">
            <v>35824</v>
          </cell>
          <cell r="B2891">
            <v>2791.28</v>
          </cell>
          <cell r="C2891">
            <v>2664.66</v>
          </cell>
          <cell r="D2891">
            <v>248</v>
          </cell>
          <cell r="E2891">
            <v>242.53</v>
          </cell>
          <cell r="F2891">
            <v>264.05</v>
          </cell>
          <cell r="G2891">
            <v>253.05</v>
          </cell>
          <cell r="H2891">
            <v>3357.45</v>
          </cell>
          <cell r="I2891">
            <v>277.5</v>
          </cell>
        </row>
        <row r="2892">
          <cell r="A2892">
            <v>35825</v>
          </cell>
          <cell r="B2892">
            <v>2799.84</v>
          </cell>
          <cell r="C2892">
            <v>2676.03</v>
          </cell>
          <cell r="D2892">
            <v>249.14</v>
          </cell>
          <cell r="E2892">
            <v>243.93</v>
          </cell>
          <cell r="F2892">
            <v>265.24</v>
          </cell>
          <cell r="G2892">
            <v>253.92</v>
          </cell>
          <cell r="H2892">
            <v>3331.65</v>
          </cell>
          <cell r="I2892">
            <v>275.8</v>
          </cell>
        </row>
        <row r="2893">
          <cell r="A2893">
            <v>35828</v>
          </cell>
          <cell r="B2893">
            <v>2849.23</v>
          </cell>
          <cell r="C2893">
            <v>2694.29</v>
          </cell>
          <cell r="D2893">
            <v>252.46</v>
          </cell>
          <cell r="E2893">
            <v>246.07</v>
          </cell>
          <cell r="F2893">
            <v>267.81</v>
          </cell>
          <cell r="G2893">
            <v>258.45</v>
          </cell>
          <cell r="H2893">
            <v>3386.22</v>
          </cell>
          <cell r="I2893">
            <v>280.27999999999997</v>
          </cell>
        </row>
        <row r="2894">
          <cell r="A2894">
            <v>35829</v>
          </cell>
          <cell r="B2894">
            <v>2856.02</v>
          </cell>
          <cell r="C2894">
            <v>2698.07</v>
          </cell>
          <cell r="D2894">
            <v>253.5</v>
          </cell>
          <cell r="E2894">
            <v>246.7</v>
          </cell>
          <cell r="F2894">
            <v>268.64999999999998</v>
          </cell>
          <cell r="G2894">
            <v>259.89999999999998</v>
          </cell>
          <cell r="H2894">
            <v>3363.98</v>
          </cell>
          <cell r="I2894">
            <v>279.14999999999998</v>
          </cell>
        </row>
        <row r="2895">
          <cell r="A2895">
            <v>35830</v>
          </cell>
          <cell r="B2895">
            <v>2847.59</v>
          </cell>
          <cell r="C2895">
            <v>2682.6</v>
          </cell>
          <cell r="D2895">
            <v>253.12</v>
          </cell>
          <cell r="E2895">
            <v>245.9</v>
          </cell>
          <cell r="F2895">
            <v>267.95</v>
          </cell>
          <cell r="G2895">
            <v>259.95</v>
          </cell>
          <cell r="H2895">
            <v>3351.79</v>
          </cell>
          <cell r="I2895">
            <v>278.24</v>
          </cell>
        </row>
        <row r="2896">
          <cell r="A2896">
            <v>35831</v>
          </cell>
          <cell r="B2896">
            <v>2855.06</v>
          </cell>
          <cell r="C2896">
            <v>2708.33</v>
          </cell>
          <cell r="D2896">
            <v>253.65</v>
          </cell>
          <cell r="E2896">
            <v>248.15</v>
          </cell>
          <cell r="F2896">
            <v>270.01</v>
          </cell>
          <cell r="G2896">
            <v>258.72000000000003</v>
          </cell>
          <cell r="H2896">
            <v>3373.87</v>
          </cell>
          <cell r="I2896">
            <v>279.41000000000003</v>
          </cell>
        </row>
        <row r="2897">
          <cell r="A2897">
            <v>35832</v>
          </cell>
          <cell r="B2897">
            <v>2869.38</v>
          </cell>
          <cell r="C2897">
            <v>2719.19</v>
          </cell>
          <cell r="D2897">
            <v>255.27</v>
          </cell>
          <cell r="E2897">
            <v>248.76</v>
          </cell>
          <cell r="F2897">
            <v>271.51</v>
          </cell>
          <cell r="G2897">
            <v>261.38</v>
          </cell>
          <cell r="H2897">
            <v>3413.7</v>
          </cell>
          <cell r="I2897">
            <v>282.35000000000002</v>
          </cell>
        </row>
        <row r="2898">
          <cell r="A2898">
            <v>35835</v>
          </cell>
          <cell r="B2898">
            <v>2862.39</v>
          </cell>
          <cell r="C2898">
            <v>2724.07</v>
          </cell>
          <cell r="D2898">
            <v>255.08</v>
          </cell>
          <cell r="E2898">
            <v>249.5</v>
          </cell>
          <cell r="F2898">
            <v>272.13</v>
          </cell>
          <cell r="G2898">
            <v>260.23</v>
          </cell>
          <cell r="H2898">
            <v>3408.65</v>
          </cell>
          <cell r="I2898">
            <v>281.77999999999997</v>
          </cell>
        </row>
        <row r="2899">
          <cell r="A2899">
            <v>35836</v>
          </cell>
          <cell r="B2899">
            <v>2857.77</v>
          </cell>
          <cell r="C2899">
            <v>2721.88</v>
          </cell>
          <cell r="D2899">
            <v>254.64</v>
          </cell>
          <cell r="E2899">
            <v>249.24</v>
          </cell>
          <cell r="F2899">
            <v>271.89999999999998</v>
          </cell>
          <cell r="G2899">
            <v>259.61</v>
          </cell>
          <cell r="H2899">
            <v>3398.3</v>
          </cell>
          <cell r="I2899">
            <v>280.69</v>
          </cell>
        </row>
        <row r="2900">
          <cell r="A2900">
            <v>35837</v>
          </cell>
          <cell r="B2900">
            <v>2888</v>
          </cell>
          <cell r="C2900">
            <v>2746.36</v>
          </cell>
          <cell r="D2900">
            <v>256.42</v>
          </cell>
          <cell r="E2900">
            <v>250.83</v>
          </cell>
          <cell r="F2900">
            <v>273.95</v>
          </cell>
          <cell r="G2900">
            <v>261.57</v>
          </cell>
          <cell r="H2900">
            <v>3424.71</v>
          </cell>
          <cell r="I2900">
            <v>283.2</v>
          </cell>
        </row>
        <row r="2901">
          <cell r="A2901">
            <v>35838</v>
          </cell>
          <cell r="B2901">
            <v>2855.48</v>
          </cell>
          <cell r="C2901">
            <v>2713.24</v>
          </cell>
          <cell r="D2901">
            <v>253.75</v>
          </cell>
          <cell r="E2901">
            <v>247.88</v>
          </cell>
          <cell r="F2901">
            <v>270.89</v>
          </cell>
          <cell r="G2901">
            <v>259.19</v>
          </cell>
          <cell r="H2901">
            <v>3417.21</v>
          </cell>
          <cell r="I2901">
            <v>282.18</v>
          </cell>
        </row>
        <row r="2902">
          <cell r="A2902">
            <v>35839</v>
          </cell>
          <cell r="B2902">
            <v>2878.47</v>
          </cell>
          <cell r="C2902">
            <v>2717.35</v>
          </cell>
          <cell r="D2902">
            <v>254.97</v>
          </cell>
          <cell r="E2902">
            <v>248.07</v>
          </cell>
          <cell r="F2902">
            <v>271.47000000000003</v>
          </cell>
          <cell r="G2902">
            <v>261.47000000000003</v>
          </cell>
          <cell r="H2902">
            <v>3455.06</v>
          </cell>
          <cell r="I2902">
            <v>284.76</v>
          </cell>
        </row>
        <row r="2903">
          <cell r="A2903">
            <v>35842</v>
          </cell>
          <cell r="B2903">
            <v>2898.94</v>
          </cell>
          <cell r="C2903">
            <v>2744.34</v>
          </cell>
          <cell r="D2903">
            <v>256.39</v>
          </cell>
          <cell r="E2903">
            <v>249.94</v>
          </cell>
          <cell r="F2903">
            <v>273.02</v>
          </cell>
          <cell r="G2903">
            <v>262.42</v>
          </cell>
          <cell r="H2903">
            <v>3464.33</v>
          </cell>
          <cell r="I2903">
            <v>285.62</v>
          </cell>
        </row>
        <row r="2904">
          <cell r="A2904">
            <v>35843</v>
          </cell>
          <cell r="B2904">
            <v>2944.13</v>
          </cell>
          <cell r="C2904">
            <v>2795.88</v>
          </cell>
          <cell r="D2904">
            <v>259.77999999999997</v>
          </cell>
          <cell r="E2904">
            <v>254.16</v>
          </cell>
          <cell r="F2904">
            <v>277.10000000000002</v>
          </cell>
          <cell r="G2904">
            <v>264.97000000000003</v>
          </cell>
          <cell r="H2904">
            <v>3520.95</v>
          </cell>
          <cell r="I2904">
            <v>289.31</v>
          </cell>
        </row>
        <row r="2905">
          <cell r="A2905">
            <v>35844</v>
          </cell>
          <cell r="B2905">
            <v>2949.3</v>
          </cell>
          <cell r="C2905">
            <v>2796.52</v>
          </cell>
          <cell r="D2905">
            <v>260.05</v>
          </cell>
          <cell r="E2905">
            <v>254.17</v>
          </cell>
          <cell r="F2905">
            <v>276.79000000000002</v>
          </cell>
          <cell r="G2905">
            <v>265.48</v>
          </cell>
          <cell r="H2905">
            <v>3530.45</v>
          </cell>
          <cell r="I2905">
            <v>289</v>
          </cell>
        </row>
        <row r="2906">
          <cell r="A2906">
            <v>35845</v>
          </cell>
          <cell r="B2906">
            <v>2936.2</v>
          </cell>
          <cell r="C2906">
            <v>2779.69</v>
          </cell>
          <cell r="D2906">
            <v>259.18</v>
          </cell>
          <cell r="E2906">
            <v>252.83</v>
          </cell>
          <cell r="F2906">
            <v>275.67</v>
          </cell>
          <cell r="G2906">
            <v>265.12</v>
          </cell>
          <cell r="H2906">
            <v>3542.47</v>
          </cell>
          <cell r="I2906">
            <v>289.91000000000003</v>
          </cell>
        </row>
        <row r="2907">
          <cell r="A2907">
            <v>35846</v>
          </cell>
          <cell r="B2907">
            <v>2937.94</v>
          </cell>
          <cell r="C2907">
            <v>2785.22</v>
          </cell>
          <cell r="D2907">
            <v>259.66000000000003</v>
          </cell>
          <cell r="E2907">
            <v>253.33</v>
          </cell>
          <cell r="F2907">
            <v>276.33999999999997</v>
          </cell>
          <cell r="G2907">
            <v>265.57</v>
          </cell>
          <cell r="H2907">
            <v>3551.76</v>
          </cell>
          <cell r="I2907">
            <v>290.22000000000003</v>
          </cell>
        </row>
        <row r="2908">
          <cell r="A2908">
            <v>35849</v>
          </cell>
          <cell r="B2908">
            <v>2936.04</v>
          </cell>
          <cell r="C2908">
            <v>2798.66</v>
          </cell>
          <cell r="D2908">
            <v>259.39999999999998</v>
          </cell>
          <cell r="E2908">
            <v>254.88</v>
          </cell>
          <cell r="F2908">
            <v>277.52999999999997</v>
          </cell>
          <cell r="G2908">
            <v>263.45</v>
          </cell>
          <cell r="H2908">
            <v>3565.16</v>
          </cell>
          <cell r="I2908">
            <v>291.14999999999998</v>
          </cell>
        </row>
        <row r="2909">
          <cell r="A2909">
            <v>35850</v>
          </cell>
          <cell r="B2909">
            <v>2917.93</v>
          </cell>
          <cell r="C2909">
            <v>2801.52</v>
          </cell>
          <cell r="D2909">
            <v>258.74</v>
          </cell>
          <cell r="E2909">
            <v>255.07</v>
          </cell>
          <cell r="F2909">
            <v>277.39999999999998</v>
          </cell>
          <cell r="G2909">
            <v>261.92</v>
          </cell>
          <cell r="H2909">
            <v>3550.3</v>
          </cell>
          <cell r="I2909">
            <v>289.85000000000002</v>
          </cell>
        </row>
        <row r="2910">
          <cell r="A2910">
            <v>35851</v>
          </cell>
          <cell r="B2910">
            <v>2982.82</v>
          </cell>
          <cell r="C2910">
            <v>2861.65</v>
          </cell>
          <cell r="D2910">
            <v>263.56</v>
          </cell>
          <cell r="E2910">
            <v>260.11</v>
          </cell>
          <cell r="F2910">
            <v>282.45</v>
          </cell>
          <cell r="G2910">
            <v>266.49</v>
          </cell>
          <cell r="H2910">
            <v>3598.71</v>
          </cell>
          <cell r="I2910">
            <v>293.77</v>
          </cell>
        </row>
        <row r="2911">
          <cell r="A2911">
            <v>35852</v>
          </cell>
          <cell r="B2911">
            <v>3000.35</v>
          </cell>
          <cell r="C2911">
            <v>2875.61</v>
          </cell>
          <cell r="D2911">
            <v>264.86</v>
          </cell>
          <cell r="E2911">
            <v>261.60000000000002</v>
          </cell>
          <cell r="F2911">
            <v>284.13</v>
          </cell>
          <cell r="G2911">
            <v>267.60000000000002</v>
          </cell>
          <cell r="H2911">
            <v>3614.64</v>
          </cell>
          <cell r="I2911">
            <v>296.07</v>
          </cell>
        </row>
        <row r="2912">
          <cell r="A2912">
            <v>35853</v>
          </cell>
          <cell r="B2912">
            <v>3001.93</v>
          </cell>
          <cell r="C2912">
            <v>2878.04</v>
          </cell>
          <cell r="D2912">
            <v>265.77999999999997</v>
          </cell>
          <cell r="E2912">
            <v>262.29000000000002</v>
          </cell>
          <cell r="F2912">
            <v>284.95999999999998</v>
          </cell>
          <cell r="G2912">
            <v>268.75</v>
          </cell>
          <cell r="H2912">
            <v>3631.1</v>
          </cell>
          <cell r="I2912">
            <v>297.14999999999998</v>
          </cell>
        </row>
        <row r="2913">
          <cell r="A2913">
            <v>35856</v>
          </cell>
          <cell r="B2913">
            <v>3050.85</v>
          </cell>
          <cell r="C2913">
            <v>2929.02</v>
          </cell>
          <cell r="D2913">
            <v>269.24</v>
          </cell>
          <cell r="E2913">
            <v>266.37</v>
          </cell>
          <cell r="F2913">
            <v>289.23</v>
          </cell>
          <cell r="G2913">
            <v>271.56</v>
          </cell>
          <cell r="H2913">
            <v>3689.06</v>
          </cell>
          <cell r="I2913">
            <v>301.17</v>
          </cell>
        </row>
        <row r="2914">
          <cell r="A2914">
            <v>35857</v>
          </cell>
          <cell r="B2914">
            <v>3035.1</v>
          </cell>
          <cell r="C2914">
            <v>2908.59</v>
          </cell>
          <cell r="D2914">
            <v>268.58999999999997</v>
          </cell>
          <cell r="E2914">
            <v>265.27999999999997</v>
          </cell>
          <cell r="F2914">
            <v>288.01</v>
          </cell>
          <cell r="G2914">
            <v>271.38</v>
          </cell>
          <cell r="H2914">
            <v>3656.94</v>
          </cell>
          <cell r="I2914">
            <v>299.06</v>
          </cell>
        </row>
        <row r="2915">
          <cell r="A2915">
            <v>35858</v>
          </cell>
          <cell r="B2915">
            <v>2991.4</v>
          </cell>
          <cell r="C2915">
            <v>2878.59</v>
          </cell>
          <cell r="D2915">
            <v>265.62</v>
          </cell>
          <cell r="E2915">
            <v>262.64999999999998</v>
          </cell>
          <cell r="F2915">
            <v>284.99</v>
          </cell>
          <cell r="G2915">
            <v>268.05</v>
          </cell>
          <cell r="H2915">
            <v>3634.04</v>
          </cell>
          <cell r="I2915">
            <v>297.75</v>
          </cell>
        </row>
        <row r="2916">
          <cell r="A2916">
            <v>35859</v>
          </cell>
          <cell r="B2916">
            <v>2972.24</v>
          </cell>
          <cell r="C2916">
            <v>2863.18</v>
          </cell>
          <cell r="D2916">
            <v>264.44</v>
          </cell>
          <cell r="E2916">
            <v>261.88</v>
          </cell>
          <cell r="F2916">
            <v>283.83</v>
          </cell>
          <cell r="G2916">
            <v>266.47000000000003</v>
          </cell>
          <cell r="H2916">
            <v>3607.08</v>
          </cell>
          <cell r="I2916">
            <v>295.29000000000002</v>
          </cell>
        </row>
        <row r="2917">
          <cell r="A2917">
            <v>35860</v>
          </cell>
          <cell r="B2917">
            <v>3033.41</v>
          </cell>
          <cell r="C2917">
            <v>2930.86</v>
          </cell>
          <cell r="D2917">
            <v>269.26</v>
          </cell>
          <cell r="E2917">
            <v>267.54000000000002</v>
          </cell>
          <cell r="F2917">
            <v>289.52999999999997</v>
          </cell>
          <cell r="G2917">
            <v>270.43</v>
          </cell>
          <cell r="H2917">
            <v>3668.27</v>
          </cell>
          <cell r="I2917">
            <v>300.07</v>
          </cell>
        </row>
        <row r="2918">
          <cell r="A2918">
            <v>35863</v>
          </cell>
          <cell r="B2918">
            <v>3054.57</v>
          </cell>
          <cell r="C2918">
            <v>2962.52</v>
          </cell>
          <cell r="D2918">
            <v>270.99</v>
          </cell>
          <cell r="E2918">
            <v>270.17</v>
          </cell>
          <cell r="F2918">
            <v>291.93</v>
          </cell>
          <cell r="G2918">
            <v>271.2</v>
          </cell>
          <cell r="H2918">
            <v>3711.18</v>
          </cell>
          <cell r="I2918">
            <v>303.32</v>
          </cell>
        </row>
        <row r="2919">
          <cell r="A2919">
            <v>35864</v>
          </cell>
          <cell r="B2919">
            <v>3063.43</v>
          </cell>
          <cell r="C2919">
            <v>2959.09</v>
          </cell>
          <cell r="D2919">
            <v>272.29000000000002</v>
          </cell>
          <cell r="E2919">
            <v>270.44</v>
          </cell>
          <cell r="F2919">
            <v>292.87</v>
          </cell>
          <cell r="G2919">
            <v>273.55</v>
          </cell>
          <cell r="H2919">
            <v>3746.44</v>
          </cell>
          <cell r="I2919">
            <v>305.94</v>
          </cell>
        </row>
        <row r="2920">
          <cell r="A2920">
            <v>35865</v>
          </cell>
          <cell r="B2920">
            <v>3077.44</v>
          </cell>
          <cell r="C2920">
            <v>2974.45</v>
          </cell>
          <cell r="D2920">
            <v>273.41000000000003</v>
          </cell>
          <cell r="E2920">
            <v>271.27</v>
          </cell>
          <cell r="F2920">
            <v>293.94</v>
          </cell>
          <cell r="G2920">
            <v>274.97000000000003</v>
          </cell>
          <cell r="H2920">
            <v>3773.21</v>
          </cell>
          <cell r="I2920">
            <v>308.01</v>
          </cell>
        </row>
        <row r="2921">
          <cell r="A2921">
            <v>35866</v>
          </cell>
          <cell r="B2921">
            <v>3065.96</v>
          </cell>
          <cell r="C2921">
            <v>2967.95</v>
          </cell>
          <cell r="D2921">
            <v>272.7</v>
          </cell>
          <cell r="E2921">
            <v>270.56</v>
          </cell>
          <cell r="F2921">
            <v>293.58999999999997</v>
          </cell>
          <cell r="G2921">
            <v>274.26</v>
          </cell>
          <cell r="H2921">
            <v>3801.36</v>
          </cell>
          <cell r="I2921">
            <v>310.02</v>
          </cell>
        </row>
        <row r="2922">
          <cell r="A2922">
            <v>35867</v>
          </cell>
          <cell r="B2922">
            <v>3087.76</v>
          </cell>
          <cell r="C2922">
            <v>2999.97</v>
          </cell>
          <cell r="D2922">
            <v>274.67</v>
          </cell>
          <cell r="E2922">
            <v>273.37</v>
          </cell>
          <cell r="F2922">
            <v>296.54000000000002</v>
          </cell>
          <cell r="G2922">
            <v>275.35000000000002</v>
          </cell>
          <cell r="H2922">
            <v>3841.77</v>
          </cell>
          <cell r="I2922">
            <v>313.3</v>
          </cell>
        </row>
        <row r="2923">
          <cell r="A2923">
            <v>35870</v>
          </cell>
          <cell r="B2923">
            <v>3105.39</v>
          </cell>
          <cell r="C2923">
            <v>3029.49</v>
          </cell>
          <cell r="D2923">
            <v>275.7</v>
          </cell>
          <cell r="E2923">
            <v>276.08999999999997</v>
          </cell>
          <cell r="F2923">
            <v>298.33</v>
          </cell>
          <cell r="G2923">
            <v>274.62</v>
          </cell>
          <cell r="H2923">
            <v>3871.41</v>
          </cell>
          <cell r="I2923">
            <v>315.11</v>
          </cell>
        </row>
        <row r="2924">
          <cell r="A2924">
            <v>35871</v>
          </cell>
          <cell r="B2924">
            <v>3134.12</v>
          </cell>
          <cell r="C2924">
            <v>3053.96</v>
          </cell>
          <cell r="D2924">
            <v>278.20999999999998</v>
          </cell>
          <cell r="E2924">
            <v>278.56</v>
          </cell>
          <cell r="F2924">
            <v>300.47000000000003</v>
          </cell>
          <cell r="G2924">
            <v>277.2</v>
          </cell>
          <cell r="H2924">
            <v>3899.6</v>
          </cell>
          <cell r="I2924">
            <v>316.68</v>
          </cell>
        </row>
        <row r="2925">
          <cell r="A2925">
            <v>35872</v>
          </cell>
          <cell r="B2925">
            <v>3121.39</v>
          </cell>
          <cell r="C2925">
            <v>3035.43</v>
          </cell>
          <cell r="D2925">
            <v>278.08</v>
          </cell>
          <cell r="E2925">
            <v>277.02</v>
          </cell>
          <cell r="F2925">
            <v>298.44</v>
          </cell>
          <cell r="G2925">
            <v>278.51</v>
          </cell>
          <cell r="H2925">
            <v>3882.71</v>
          </cell>
          <cell r="I2925">
            <v>315.38</v>
          </cell>
        </row>
        <row r="2926">
          <cell r="A2926">
            <v>35873</v>
          </cell>
          <cell r="B2926">
            <v>3146.79</v>
          </cell>
          <cell r="C2926">
            <v>3048.63</v>
          </cell>
          <cell r="D2926">
            <v>280.14</v>
          </cell>
          <cell r="E2926">
            <v>278.69</v>
          </cell>
          <cell r="F2926">
            <v>299.91000000000003</v>
          </cell>
          <cell r="G2926">
            <v>280.97000000000003</v>
          </cell>
          <cell r="H2926">
            <v>3899.19</v>
          </cell>
          <cell r="I2926">
            <v>316.92</v>
          </cell>
        </row>
        <row r="2927">
          <cell r="A2927">
            <v>35874</v>
          </cell>
          <cell r="B2927">
            <v>3174.96</v>
          </cell>
          <cell r="C2927">
            <v>3086.08</v>
          </cell>
          <cell r="D2927">
            <v>282.16000000000003</v>
          </cell>
          <cell r="E2927">
            <v>282.12</v>
          </cell>
          <cell r="F2927">
            <v>303.70999999999998</v>
          </cell>
          <cell r="G2927">
            <v>281.54000000000002</v>
          </cell>
          <cell r="H2927">
            <v>3915.08</v>
          </cell>
          <cell r="I2927">
            <v>318.11</v>
          </cell>
        </row>
        <row r="2928">
          <cell r="A2928">
            <v>35877</v>
          </cell>
          <cell r="B2928">
            <v>3209.33</v>
          </cell>
          <cell r="C2928">
            <v>3111.1</v>
          </cell>
          <cell r="D2928">
            <v>283.48</v>
          </cell>
          <cell r="E2928">
            <v>282.57</v>
          </cell>
          <cell r="F2928">
            <v>304.62</v>
          </cell>
          <cell r="G2928">
            <v>283.76</v>
          </cell>
          <cell r="H2928">
            <v>3924.16</v>
          </cell>
          <cell r="I2928">
            <v>319.16000000000003</v>
          </cell>
        </row>
        <row r="2929">
          <cell r="A2929">
            <v>35878</v>
          </cell>
          <cell r="B2929">
            <v>3231.13</v>
          </cell>
          <cell r="C2929">
            <v>3143.37</v>
          </cell>
          <cell r="D2929">
            <v>285.83999999999997</v>
          </cell>
          <cell r="E2929">
            <v>286.44</v>
          </cell>
          <cell r="F2929">
            <v>308.38</v>
          </cell>
          <cell r="G2929">
            <v>284.55</v>
          </cell>
          <cell r="H2929">
            <v>3954.7</v>
          </cell>
          <cell r="I2929">
            <v>320.57</v>
          </cell>
        </row>
        <row r="2930">
          <cell r="A2930">
            <v>35879</v>
          </cell>
          <cell r="B2930">
            <v>3253.08</v>
          </cell>
          <cell r="C2930">
            <v>3179.72</v>
          </cell>
          <cell r="D2930">
            <v>287.89</v>
          </cell>
          <cell r="E2930">
            <v>290.24</v>
          </cell>
          <cell r="F2930">
            <v>312.05</v>
          </cell>
          <cell r="G2930">
            <v>284.77999999999997</v>
          </cell>
          <cell r="H2930">
            <v>4012.53</v>
          </cell>
          <cell r="I2930">
            <v>324.55</v>
          </cell>
        </row>
        <row r="2931">
          <cell r="A2931">
            <v>35880</v>
          </cell>
          <cell r="B2931">
            <v>3206.11</v>
          </cell>
          <cell r="C2931">
            <v>3135.27</v>
          </cell>
          <cell r="D2931">
            <v>285.06</v>
          </cell>
          <cell r="E2931">
            <v>286.98</v>
          </cell>
          <cell r="F2931">
            <v>308.70999999999998</v>
          </cell>
          <cell r="G2931">
            <v>282.41000000000003</v>
          </cell>
          <cell r="H2931">
            <v>3965.89</v>
          </cell>
          <cell r="I2931">
            <v>321.04000000000002</v>
          </cell>
        </row>
        <row r="2932">
          <cell r="A2932">
            <v>35881</v>
          </cell>
          <cell r="B2932">
            <v>3221.62</v>
          </cell>
          <cell r="C2932">
            <v>3150.9</v>
          </cell>
          <cell r="D2932">
            <v>287.08</v>
          </cell>
          <cell r="E2932">
            <v>288.74</v>
          </cell>
          <cell r="F2932">
            <v>311.08999999999997</v>
          </cell>
          <cell r="G2932">
            <v>284.7</v>
          </cell>
          <cell r="H2932">
            <v>4009.07</v>
          </cell>
          <cell r="I2932">
            <v>323.73</v>
          </cell>
        </row>
        <row r="2933">
          <cell r="A2933">
            <v>35884</v>
          </cell>
          <cell r="B2933">
            <v>3215.32</v>
          </cell>
          <cell r="C2933">
            <v>3137.03</v>
          </cell>
          <cell r="D2933">
            <v>286.98</v>
          </cell>
          <cell r="E2933">
            <v>288</v>
          </cell>
          <cell r="F2933">
            <v>310.27</v>
          </cell>
          <cell r="G2933">
            <v>285.14999999999998</v>
          </cell>
          <cell r="H2933">
            <v>3983.23</v>
          </cell>
          <cell r="I2933">
            <v>322.25</v>
          </cell>
        </row>
        <row r="2934">
          <cell r="A2934">
            <v>35885</v>
          </cell>
          <cell r="B2934">
            <v>3229.29</v>
          </cell>
          <cell r="C2934">
            <v>3153.32</v>
          </cell>
          <cell r="D2934">
            <v>287.92</v>
          </cell>
          <cell r="E2934">
            <v>289.45999999999998</v>
          </cell>
          <cell r="F2934">
            <v>311.39</v>
          </cell>
          <cell r="G2934">
            <v>285.69</v>
          </cell>
          <cell r="H2934">
            <v>3955.45</v>
          </cell>
          <cell r="I2934">
            <v>320.36</v>
          </cell>
        </row>
        <row r="2935">
          <cell r="A2935">
            <v>35886</v>
          </cell>
          <cell r="B2935">
            <v>3271.98</v>
          </cell>
          <cell r="C2935">
            <v>3196.05</v>
          </cell>
          <cell r="D2935">
            <v>290.52</v>
          </cell>
          <cell r="E2935">
            <v>292.35000000000002</v>
          </cell>
          <cell r="F2935">
            <v>313.77999999999997</v>
          </cell>
          <cell r="G2935">
            <v>288.01</v>
          </cell>
          <cell r="H2935">
            <v>3976.99</v>
          </cell>
          <cell r="I2935">
            <v>322.04000000000002</v>
          </cell>
        </row>
        <row r="2936">
          <cell r="A2936">
            <v>35887</v>
          </cell>
          <cell r="B2936">
            <v>3301.3</v>
          </cell>
          <cell r="C2936">
            <v>3230.54</v>
          </cell>
          <cell r="D2936">
            <v>292.8</v>
          </cell>
          <cell r="E2936">
            <v>295.83999999999997</v>
          </cell>
          <cell r="F2936">
            <v>316.7</v>
          </cell>
          <cell r="G2936">
            <v>288.95999999999998</v>
          </cell>
          <cell r="H2936">
            <v>3968.98</v>
          </cell>
          <cell r="I2936">
            <v>322.37</v>
          </cell>
        </row>
        <row r="2937">
          <cell r="A2937">
            <v>35888</v>
          </cell>
          <cell r="B2937">
            <v>3340.17</v>
          </cell>
          <cell r="C2937">
            <v>3268.7</v>
          </cell>
          <cell r="D2937">
            <v>294.58</v>
          </cell>
          <cell r="E2937">
            <v>298.49</v>
          </cell>
          <cell r="F2937">
            <v>319.88</v>
          </cell>
          <cell r="G2937">
            <v>289.85000000000002</v>
          </cell>
          <cell r="H2937">
            <v>4048.28</v>
          </cell>
          <cell r="I2937">
            <v>328.11</v>
          </cell>
        </row>
        <row r="2938">
          <cell r="A2938">
            <v>35891</v>
          </cell>
          <cell r="B2938">
            <v>3396</v>
          </cell>
          <cell r="C2938">
            <v>3345.86</v>
          </cell>
          <cell r="D2938">
            <v>298.67</v>
          </cell>
          <cell r="E2938">
            <v>304.38</v>
          </cell>
          <cell r="F2938">
            <v>325.45999999999998</v>
          </cell>
          <cell r="G2938">
            <v>292.08</v>
          </cell>
          <cell r="H2938">
            <v>4112.9399999999996</v>
          </cell>
          <cell r="I2938">
            <v>332.66</v>
          </cell>
        </row>
        <row r="2939">
          <cell r="A2939">
            <v>35892</v>
          </cell>
          <cell r="B2939">
            <v>3361.24</v>
          </cell>
          <cell r="C2939">
            <v>3286.69</v>
          </cell>
          <cell r="D2939">
            <v>295.74</v>
          </cell>
          <cell r="E2939">
            <v>299.54000000000002</v>
          </cell>
          <cell r="F2939">
            <v>320.89</v>
          </cell>
          <cell r="G2939">
            <v>291.12</v>
          </cell>
          <cell r="H2939">
            <v>4055.12</v>
          </cell>
          <cell r="I2939">
            <v>329.13</v>
          </cell>
        </row>
        <row r="2940">
          <cell r="A2940">
            <v>35893</v>
          </cell>
          <cell r="B2940">
            <v>3315.68</v>
          </cell>
          <cell r="C2940">
            <v>3253.58</v>
          </cell>
          <cell r="D2940">
            <v>292.42</v>
          </cell>
          <cell r="E2940">
            <v>296.97000000000003</v>
          </cell>
          <cell r="F2940">
            <v>318.05</v>
          </cell>
          <cell r="G2940">
            <v>287.02999999999997</v>
          </cell>
          <cell r="H2940">
            <v>4048.67</v>
          </cell>
          <cell r="I2940">
            <v>328.26</v>
          </cell>
        </row>
        <row r="2941">
          <cell r="A2941">
            <v>35894</v>
          </cell>
          <cell r="B2941">
            <v>3331.7</v>
          </cell>
          <cell r="C2941">
            <v>3264.15</v>
          </cell>
          <cell r="D2941">
            <v>293.7</v>
          </cell>
          <cell r="E2941">
            <v>297.69</v>
          </cell>
          <cell r="F2941">
            <v>318.97000000000003</v>
          </cell>
          <cell r="G2941">
            <v>288.88</v>
          </cell>
          <cell r="H2941">
            <v>4065.47</v>
          </cell>
          <cell r="I2941">
            <v>329.42</v>
          </cell>
        </row>
        <row r="2942">
          <cell r="A2942">
            <v>35899</v>
          </cell>
          <cell r="B2942">
            <v>3351.91</v>
          </cell>
          <cell r="C2942">
            <v>3283.05</v>
          </cell>
          <cell r="D2942">
            <v>295.39999999999998</v>
          </cell>
          <cell r="E2942">
            <v>300.01</v>
          </cell>
          <cell r="F2942">
            <v>321.83</v>
          </cell>
          <cell r="G2942">
            <v>289.89999999999998</v>
          </cell>
          <cell r="H2942">
            <v>4155.63</v>
          </cell>
          <cell r="I2942">
            <v>335.71</v>
          </cell>
        </row>
        <row r="2943">
          <cell r="A2943">
            <v>35900</v>
          </cell>
          <cell r="B2943">
            <v>3345.55</v>
          </cell>
          <cell r="C2943">
            <v>3289.71</v>
          </cell>
          <cell r="D2943">
            <v>295.54000000000002</v>
          </cell>
          <cell r="E2943">
            <v>301.33999999999997</v>
          </cell>
          <cell r="F2943">
            <v>322.79000000000002</v>
          </cell>
          <cell r="G2943">
            <v>288.75</v>
          </cell>
          <cell r="H2943">
            <v>4203.03</v>
          </cell>
          <cell r="I2943">
            <v>339.36</v>
          </cell>
        </row>
        <row r="2944">
          <cell r="A2944">
            <v>35901</v>
          </cell>
          <cell r="B2944">
            <v>3302.8</v>
          </cell>
          <cell r="C2944">
            <v>3251.87</v>
          </cell>
          <cell r="D2944">
            <v>293.32</v>
          </cell>
          <cell r="E2944">
            <v>298.27999999999997</v>
          </cell>
          <cell r="F2944">
            <v>319.57</v>
          </cell>
          <cell r="G2944">
            <v>287.33999999999997</v>
          </cell>
          <cell r="H2944">
            <v>4182.67</v>
          </cell>
          <cell r="I2944">
            <v>337.99</v>
          </cell>
        </row>
        <row r="2945">
          <cell r="A2945">
            <v>35902</v>
          </cell>
          <cell r="B2945">
            <v>3294.96</v>
          </cell>
          <cell r="C2945">
            <v>3267.75</v>
          </cell>
          <cell r="D2945">
            <v>292.45999999999998</v>
          </cell>
          <cell r="E2945">
            <v>299.29000000000002</v>
          </cell>
          <cell r="F2945">
            <v>319.93</v>
          </cell>
          <cell r="G2945">
            <v>284.54000000000002</v>
          </cell>
          <cell r="H2945">
            <v>4155.29</v>
          </cell>
          <cell r="I2945">
            <v>336.09</v>
          </cell>
        </row>
        <row r="2946">
          <cell r="A2946">
            <v>35905</v>
          </cell>
          <cell r="B2946">
            <v>3311.89</v>
          </cell>
          <cell r="C2946">
            <v>3298.98</v>
          </cell>
          <cell r="D2946">
            <v>294.08</v>
          </cell>
          <cell r="E2946">
            <v>302.58</v>
          </cell>
          <cell r="F2946">
            <v>323.01</v>
          </cell>
          <cell r="G2946">
            <v>284.41000000000003</v>
          </cell>
          <cell r="H2946">
            <v>4192.0200000000004</v>
          </cell>
          <cell r="I2946">
            <v>339.26</v>
          </cell>
        </row>
        <row r="2947">
          <cell r="A2947">
            <v>35906</v>
          </cell>
          <cell r="B2947">
            <v>3298.72</v>
          </cell>
          <cell r="C2947">
            <v>3294.93</v>
          </cell>
          <cell r="D2947">
            <v>293.45</v>
          </cell>
          <cell r="E2947">
            <v>302.56</v>
          </cell>
          <cell r="F2947">
            <v>322.77999999999997</v>
          </cell>
          <cell r="G2947">
            <v>283.18</v>
          </cell>
          <cell r="H2947">
            <v>4231.8</v>
          </cell>
          <cell r="I2947">
            <v>341.64</v>
          </cell>
        </row>
        <row r="2948">
          <cell r="A2948">
            <v>35907</v>
          </cell>
          <cell r="B2948">
            <v>3276.85</v>
          </cell>
          <cell r="C2948">
            <v>3272.2</v>
          </cell>
          <cell r="D2948">
            <v>291.61</v>
          </cell>
          <cell r="E2948">
            <v>300.58</v>
          </cell>
          <cell r="F2948">
            <v>320.33</v>
          </cell>
          <cell r="G2948">
            <v>281.48</v>
          </cell>
          <cell r="H2948">
            <v>4142.17</v>
          </cell>
          <cell r="I2948">
            <v>335.37</v>
          </cell>
        </row>
        <row r="2949">
          <cell r="A2949">
            <v>35908</v>
          </cell>
          <cell r="B2949">
            <v>3241.59</v>
          </cell>
          <cell r="C2949">
            <v>3226.14</v>
          </cell>
          <cell r="D2949">
            <v>288.99</v>
          </cell>
          <cell r="E2949">
            <v>296.63</v>
          </cell>
          <cell r="F2949">
            <v>316.7</v>
          </cell>
          <cell r="G2949">
            <v>280.23</v>
          </cell>
          <cell r="H2949">
            <v>4126.9399999999996</v>
          </cell>
          <cell r="I2949">
            <v>333.55</v>
          </cell>
        </row>
        <row r="2950">
          <cell r="A2950">
            <v>35909</v>
          </cell>
          <cell r="B2950">
            <v>3191.26</v>
          </cell>
          <cell r="C2950">
            <v>3174.18</v>
          </cell>
          <cell r="D2950">
            <v>285.43</v>
          </cell>
          <cell r="E2950">
            <v>292.27999999999997</v>
          </cell>
          <cell r="F2950">
            <v>312.47000000000003</v>
          </cell>
          <cell r="G2950">
            <v>277.55</v>
          </cell>
          <cell r="H2950">
            <v>4089.17</v>
          </cell>
          <cell r="I2950">
            <v>330.9</v>
          </cell>
        </row>
        <row r="2951">
          <cell r="A2951">
            <v>35912</v>
          </cell>
          <cell r="B2951">
            <v>3093.85</v>
          </cell>
          <cell r="C2951">
            <v>3061.04</v>
          </cell>
          <cell r="D2951">
            <v>277.32</v>
          </cell>
          <cell r="E2951">
            <v>282.11</v>
          </cell>
          <cell r="F2951">
            <v>302.12</v>
          </cell>
          <cell r="G2951">
            <v>271.52999999999997</v>
          </cell>
          <cell r="H2951">
            <v>3961.79</v>
          </cell>
          <cell r="I2951">
            <v>321.29000000000002</v>
          </cell>
        </row>
        <row r="2952">
          <cell r="A2952">
            <v>35913</v>
          </cell>
          <cell r="B2952">
            <v>3175.49</v>
          </cell>
          <cell r="C2952">
            <v>3153.55</v>
          </cell>
          <cell r="D2952">
            <v>282.70999999999998</v>
          </cell>
          <cell r="E2952">
            <v>289.14999999999998</v>
          </cell>
          <cell r="F2952">
            <v>308.83999999999997</v>
          </cell>
          <cell r="G2952">
            <v>275.27</v>
          </cell>
          <cell r="H2952">
            <v>4022.43</v>
          </cell>
          <cell r="I2952">
            <v>325.29000000000002</v>
          </cell>
        </row>
        <row r="2953">
          <cell r="A2953">
            <v>35914</v>
          </cell>
          <cell r="B2953">
            <v>3162.65</v>
          </cell>
          <cell r="C2953">
            <v>3118.37</v>
          </cell>
          <cell r="D2953">
            <v>281.63</v>
          </cell>
          <cell r="E2953">
            <v>286.27999999999997</v>
          </cell>
          <cell r="F2953">
            <v>306.77999999999997</v>
          </cell>
          <cell r="G2953">
            <v>276.02</v>
          </cell>
          <cell r="H2953">
            <v>3986.74</v>
          </cell>
          <cell r="I2953">
            <v>322.32</v>
          </cell>
        </row>
        <row r="2954">
          <cell r="A2954">
            <v>35915</v>
          </cell>
          <cell r="B2954">
            <v>3234.27</v>
          </cell>
          <cell r="C2954">
            <v>3195.43</v>
          </cell>
          <cell r="D2954">
            <v>288.18</v>
          </cell>
          <cell r="E2954">
            <v>293.95999999999998</v>
          </cell>
          <cell r="F2954">
            <v>314.20999999999998</v>
          </cell>
          <cell r="G2954">
            <v>281.37</v>
          </cell>
          <cell r="H2954">
            <v>4068.4</v>
          </cell>
          <cell r="I2954">
            <v>328.46</v>
          </cell>
        </row>
        <row r="2955">
          <cell r="A2955">
            <v>35919</v>
          </cell>
          <cell r="B2955">
            <v>3320.83</v>
          </cell>
          <cell r="C2955">
            <v>3309.96</v>
          </cell>
          <cell r="D2955">
            <v>294.36</v>
          </cell>
          <cell r="E2955">
            <v>302.95</v>
          </cell>
          <cell r="F2955">
            <v>323.67</v>
          </cell>
          <cell r="G2955">
            <v>284.58999999999997</v>
          </cell>
          <cell r="H2955">
            <v>4184.08</v>
          </cell>
          <cell r="I2955">
            <v>336.96</v>
          </cell>
        </row>
        <row r="2956">
          <cell r="A2956">
            <v>35920</v>
          </cell>
          <cell r="B2956">
            <v>3279.45</v>
          </cell>
          <cell r="C2956">
            <v>3261.38</v>
          </cell>
          <cell r="D2956">
            <v>290.58</v>
          </cell>
          <cell r="E2956">
            <v>297.61</v>
          </cell>
          <cell r="F2956">
            <v>320.11</v>
          </cell>
          <cell r="G2956">
            <v>282.48</v>
          </cell>
          <cell r="H2956">
            <v>4144.87</v>
          </cell>
          <cell r="I2956">
            <v>334.64</v>
          </cell>
        </row>
        <row r="2957">
          <cell r="A2957">
            <v>35921</v>
          </cell>
          <cell r="B2957">
            <v>3285.73</v>
          </cell>
          <cell r="C2957">
            <v>3262.55</v>
          </cell>
          <cell r="D2957">
            <v>290.77</v>
          </cell>
          <cell r="E2957">
            <v>297.43</v>
          </cell>
          <cell r="F2957">
            <v>320.54000000000002</v>
          </cell>
          <cell r="G2957">
            <v>283.02999999999997</v>
          </cell>
          <cell r="H2957">
            <v>4190.2700000000004</v>
          </cell>
          <cell r="I2957">
            <v>338.76</v>
          </cell>
        </row>
        <row r="2958">
          <cell r="A2958">
            <v>35922</v>
          </cell>
          <cell r="B2958">
            <v>3234.62</v>
          </cell>
          <cell r="C2958">
            <v>3216.03</v>
          </cell>
          <cell r="D2958">
            <v>286.87</v>
          </cell>
          <cell r="E2958">
            <v>293.29000000000002</v>
          </cell>
          <cell r="F2958">
            <v>316.7</v>
          </cell>
          <cell r="G2958">
            <v>279.39</v>
          </cell>
          <cell r="H2958">
            <v>4166.75</v>
          </cell>
          <cell r="I2958">
            <v>336.12</v>
          </cell>
        </row>
        <row r="2959">
          <cell r="A2959">
            <v>35923</v>
          </cell>
          <cell r="B2959">
            <v>3261.91</v>
          </cell>
          <cell r="C2959">
            <v>3255.78</v>
          </cell>
          <cell r="D2959">
            <v>289.75</v>
          </cell>
          <cell r="E2959">
            <v>298.08999999999997</v>
          </cell>
          <cell r="F2959">
            <v>319.3</v>
          </cell>
          <cell r="G2959">
            <v>280.47000000000003</v>
          </cell>
          <cell r="H2959">
            <v>4174.87</v>
          </cell>
          <cell r="I2959">
            <v>336.72</v>
          </cell>
        </row>
        <row r="2960">
          <cell r="A2960">
            <v>35926</v>
          </cell>
          <cell r="B2960">
            <v>3322.24</v>
          </cell>
          <cell r="C2960">
            <v>3327.92</v>
          </cell>
          <cell r="D2960">
            <v>294.10000000000002</v>
          </cell>
          <cell r="E2960">
            <v>303.88</v>
          </cell>
          <cell r="F2960">
            <v>325.10000000000002</v>
          </cell>
          <cell r="G2960">
            <v>283.11</v>
          </cell>
          <cell r="H2960">
            <v>4238.95</v>
          </cell>
          <cell r="I2960">
            <v>342.53</v>
          </cell>
        </row>
        <row r="2961">
          <cell r="A2961">
            <v>35927</v>
          </cell>
          <cell r="B2961">
            <v>3291.93</v>
          </cell>
          <cell r="C2961">
            <v>3290.86</v>
          </cell>
          <cell r="D2961">
            <v>291.8</v>
          </cell>
          <cell r="E2961">
            <v>301.08</v>
          </cell>
          <cell r="F2961">
            <v>322.41000000000003</v>
          </cell>
          <cell r="G2961">
            <v>281.33999999999997</v>
          </cell>
          <cell r="H2961">
            <v>4196.0600000000004</v>
          </cell>
          <cell r="I2961">
            <v>339.69</v>
          </cell>
        </row>
        <row r="2962">
          <cell r="A2962">
            <v>35928</v>
          </cell>
          <cell r="B2962">
            <v>3301.94</v>
          </cell>
          <cell r="C2962">
            <v>3304.42</v>
          </cell>
          <cell r="D2962">
            <v>292.48</v>
          </cell>
          <cell r="E2962">
            <v>302.33</v>
          </cell>
          <cell r="F2962">
            <v>322.97000000000003</v>
          </cell>
          <cell r="G2962">
            <v>281.49</v>
          </cell>
          <cell r="H2962">
            <v>4140.24</v>
          </cell>
          <cell r="I2962">
            <v>336.54</v>
          </cell>
        </row>
        <row r="2963">
          <cell r="A2963">
            <v>35929</v>
          </cell>
          <cell r="B2963">
            <v>3298.97</v>
          </cell>
          <cell r="C2963">
            <v>3305.41</v>
          </cell>
          <cell r="D2963">
            <v>291.56</v>
          </cell>
          <cell r="E2963">
            <v>301.83</v>
          </cell>
          <cell r="F2963">
            <v>322.08</v>
          </cell>
          <cell r="G2963">
            <v>280.11</v>
          </cell>
          <cell r="H2963">
            <v>4091.51</v>
          </cell>
          <cell r="I2963">
            <v>333.11</v>
          </cell>
        </row>
        <row r="2964">
          <cell r="A2964">
            <v>35930</v>
          </cell>
          <cell r="B2964">
            <v>3291.24</v>
          </cell>
          <cell r="C2964">
            <v>3304.69</v>
          </cell>
          <cell r="D2964">
            <v>291.33999999999997</v>
          </cell>
          <cell r="E2964">
            <v>302.27999999999997</v>
          </cell>
          <cell r="F2964">
            <v>322.20999999999998</v>
          </cell>
          <cell r="G2964">
            <v>279.22000000000003</v>
          </cell>
          <cell r="H2964">
            <v>4087.07</v>
          </cell>
          <cell r="I2964">
            <v>332.5</v>
          </cell>
        </row>
        <row r="2965">
          <cell r="A2965">
            <v>35933</v>
          </cell>
          <cell r="B2965">
            <v>3231.71</v>
          </cell>
          <cell r="C2965">
            <v>3253.33</v>
          </cell>
          <cell r="D2965">
            <v>287.14999999999998</v>
          </cell>
          <cell r="E2965">
            <v>298.10000000000002</v>
          </cell>
          <cell r="F2965">
            <v>317.7</v>
          </cell>
          <cell r="G2965">
            <v>275.01</v>
          </cell>
          <cell r="H2965">
            <v>4052.12</v>
          </cell>
          <cell r="I2965">
            <v>328.55</v>
          </cell>
        </row>
        <row r="2966">
          <cell r="A2966">
            <v>35934</v>
          </cell>
          <cell r="B2966">
            <v>3289.62</v>
          </cell>
          <cell r="C2966">
            <v>3313.72</v>
          </cell>
          <cell r="D2966">
            <v>290.83999999999997</v>
          </cell>
          <cell r="E2966">
            <v>303</v>
          </cell>
          <cell r="F2966">
            <v>322.57</v>
          </cell>
          <cell r="G2966">
            <v>277.47000000000003</v>
          </cell>
          <cell r="H2966">
            <v>4107.6400000000003</v>
          </cell>
          <cell r="I2966">
            <v>331.3</v>
          </cell>
        </row>
        <row r="2967">
          <cell r="A2967">
            <v>35935</v>
          </cell>
          <cell r="B2967">
            <v>3316.15</v>
          </cell>
          <cell r="C2967">
            <v>3352.25</v>
          </cell>
          <cell r="D2967">
            <v>292.97000000000003</v>
          </cell>
          <cell r="E2967">
            <v>306.3</v>
          </cell>
          <cell r="F2967">
            <v>325.39999999999998</v>
          </cell>
          <cell r="G2967">
            <v>278.37</v>
          </cell>
          <cell r="H2967">
            <v>4136.7299999999996</v>
          </cell>
          <cell r="I2967">
            <v>333.6</v>
          </cell>
        </row>
        <row r="2968">
          <cell r="A2968">
            <v>35937</v>
          </cell>
          <cell r="B2968">
            <v>3329.88</v>
          </cell>
          <cell r="C2968">
            <v>3371.39</v>
          </cell>
          <cell r="D2968">
            <v>294.55</v>
          </cell>
          <cell r="E2968">
            <v>308.08</v>
          </cell>
          <cell r="F2968">
            <v>327.5</v>
          </cell>
          <cell r="G2968">
            <v>279.68</v>
          </cell>
          <cell r="H2968">
            <v>4149.16</v>
          </cell>
          <cell r="I2968">
            <v>334.84</v>
          </cell>
        </row>
        <row r="2969">
          <cell r="A2969">
            <v>35940</v>
          </cell>
          <cell r="B2969">
            <v>3369.4</v>
          </cell>
          <cell r="C2969">
            <v>3422.42</v>
          </cell>
          <cell r="D2969">
            <v>297.2</v>
          </cell>
          <cell r="E2969">
            <v>312.36</v>
          </cell>
          <cell r="F2969">
            <v>331.79</v>
          </cell>
          <cell r="G2969">
            <v>280.64999999999998</v>
          </cell>
          <cell r="H2969">
            <v>4194.82</v>
          </cell>
          <cell r="I2969">
            <v>338.15</v>
          </cell>
        </row>
        <row r="2970">
          <cell r="A2970">
            <v>35941</v>
          </cell>
          <cell r="B2970">
            <v>3388.92</v>
          </cell>
          <cell r="C2970">
            <v>3424.55</v>
          </cell>
          <cell r="D2970">
            <v>298.74</v>
          </cell>
          <cell r="E2970">
            <v>313.32</v>
          </cell>
          <cell r="F2970">
            <v>332.93</v>
          </cell>
          <cell r="G2970">
            <v>282.83999999999997</v>
          </cell>
          <cell r="H2970">
            <v>4188.7</v>
          </cell>
          <cell r="I2970">
            <v>337.8</v>
          </cell>
        </row>
        <row r="2971">
          <cell r="A2971">
            <v>35942</v>
          </cell>
          <cell r="B2971">
            <v>3326.79</v>
          </cell>
          <cell r="C2971">
            <v>3340.51</v>
          </cell>
          <cell r="D2971">
            <v>293.01</v>
          </cell>
          <cell r="E2971">
            <v>305.39999999999998</v>
          </cell>
          <cell r="F2971">
            <v>325.35000000000002</v>
          </cell>
          <cell r="G2971">
            <v>279.38</v>
          </cell>
          <cell r="H2971">
            <v>4087.7</v>
          </cell>
          <cell r="I2971">
            <v>329.35</v>
          </cell>
        </row>
        <row r="2972">
          <cell r="A2972">
            <v>35943</v>
          </cell>
          <cell r="B2972">
            <v>3314.41</v>
          </cell>
          <cell r="C2972">
            <v>3338.8</v>
          </cell>
          <cell r="D2972">
            <v>292.82</v>
          </cell>
          <cell r="E2972">
            <v>305.97000000000003</v>
          </cell>
          <cell r="F2972">
            <v>325.39999999999998</v>
          </cell>
          <cell r="G2972">
            <v>278.33999999999997</v>
          </cell>
          <cell r="H2972">
            <v>4078.54</v>
          </cell>
          <cell r="I2972">
            <v>328.74</v>
          </cell>
        </row>
        <row r="2973">
          <cell r="A2973">
            <v>35944</v>
          </cell>
          <cell r="B2973">
            <v>3322.08</v>
          </cell>
          <cell r="C2973">
            <v>3357.77</v>
          </cell>
          <cell r="D2973">
            <v>293.86</v>
          </cell>
          <cell r="E2973">
            <v>307.44</v>
          </cell>
          <cell r="F2973">
            <v>326.97000000000003</v>
          </cell>
          <cell r="G2973">
            <v>279.26</v>
          </cell>
          <cell r="H2973">
            <v>4079.63</v>
          </cell>
          <cell r="I2973">
            <v>329.68</v>
          </cell>
        </row>
        <row r="2974">
          <cell r="A2974">
            <v>35948</v>
          </cell>
          <cell r="B2974">
            <v>3332.28</v>
          </cell>
          <cell r="C2974">
            <v>3368.29</v>
          </cell>
          <cell r="D2974">
            <v>294.11</v>
          </cell>
          <cell r="E2974">
            <v>308.18</v>
          </cell>
          <cell r="F2974">
            <v>327.48</v>
          </cell>
          <cell r="G2974">
            <v>278.66000000000003</v>
          </cell>
          <cell r="H2974">
            <v>4055.1</v>
          </cell>
          <cell r="I2974">
            <v>328.06</v>
          </cell>
        </row>
        <row r="2975">
          <cell r="A2975">
            <v>35949</v>
          </cell>
          <cell r="B2975">
            <v>3344.9</v>
          </cell>
          <cell r="C2975">
            <v>3399.22</v>
          </cell>
          <cell r="D2975">
            <v>295.61</v>
          </cell>
          <cell r="E2975">
            <v>311.08</v>
          </cell>
          <cell r="F2975">
            <v>329.68</v>
          </cell>
          <cell r="G2975">
            <v>279.17</v>
          </cell>
          <cell r="H2975">
            <v>4037.94</v>
          </cell>
          <cell r="I2975">
            <v>327.2</v>
          </cell>
        </row>
        <row r="2976">
          <cell r="A2976">
            <v>35950</v>
          </cell>
          <cell r="B2976">
            <v>3327.96</v>
          </cell>
          <cell r="C2976">
            <v>3375.03</v>
          </cell>
          <cell r="D2976">
            <v>294.05</v>
          </cell>
          <cell r="E2976">
            <v>309.45999999999998</v>
          </cell>
          <cell r="F2976">
            <v>327.95</v>
          </cell>
          <cell r="G2976">
            <v>277.20999999999998</v>
          </cell>
          <cell r="H2976">
            <v>4029.35</v>
          </cell>
          <cell r="I2976">
            <v>326.22000000000003</v>
          </cell>
        </row>
        <row r="2977">
          <cell r="A2977">
            <v>35951</v>
          </cell>
          <cell r="B2977">
            <v>3379.58</v>
          </cell>
          <cell r="C2977">
            <v>3421.55</v>
          </cell>
          <cell r="D2977">
            <v>298.22000000000003</v>
          </cell>
          <cell r="E2977">
            <v>313.87</v>
          </cell>
          <cell r="F2977">
            <v>332.63</v>
          </cell>
          <cell r="G2977">
            <v>281.24</v>
          </cell>
          <cell r="H2977">
            <v>4111.37</v>
          </cell>
          <cell r="I2977">
            <v>332.15</v>
          </cell>
        </row>
        <row r="2978">
          <cell r="A2978">
            <v>35954</v>
          </cell>
          <cell r="B2978">
            <v>3420.66</v>
          </cell>
          <cell r="C2978">
            <v>3443.76</v>
          </cell>
          <cell r="D2978">
            <v>301.24</v>
          </cell>
          <cell r="E2978">
            <v>316.11</v>
          </cell>
          <cell r="F2978">
            <v>335.06</v>
          </cell>
          <cell r="G2978">
            <v>284.97000000000003</v>
          </cell>
          <cell r="H2978">
            <v>4186.92</v>
          </cell>
          <cell r="I2978">
            <v>337.78</v>
          </cell>
        </row>
        <row r="2979">
          <cell r="A2979">
            <v>35955</v>
          </cell>
          <cell r="B2979">
            <v>3403.99</v>
          </cell>
          <cell r="C2979">
            <v>3415.77</v>
          </cell>
          <cell r="D2979">
            <v>300.20999999999998</v>
          </cell>
          <cell r="E2979">
            <v>314.23</v>
          </cell>
          <cell r="F2979">
            <v>333.53</v>
          </cell>
          <cell r="G2979">
            <v>284.82</v>
          </cell>
          <cell r="H2979">
            <v>4185.22</v>
          </cell>
          <cell r="I2979">
            <v>337.49</v>
          </cell>
        </row>
        <row r="2980">
          <cell r="A2980">
            <v>35956</v>
          </cell>
          <cell r="B2980">
            <v>3406.4</v>
          </cell>
          <cell r="C2980">
            <v>3424.65</v>
          </cell>
          <cell r="D2980">
            <v>300.02</v>
          </cell>
          <cell r="E2980">
            <v>314.91000000000003</v>
          </cell>
          <cell r="F2980">
            <v>333.25</v>
          </cell>
          <cell r="G2980">
            <v>284.08999999999997</v>
          </cell>
          <cell r="H2980">
            <v>4137.88</v>
          </cell>
          <cell r="I2980">
            <v>333.61</v>
          </cell>
        </row>
        <row r="2981">
          <cell r="A2981">
            <v>35957</v>
          </cell>
          <cell r="B2981">
            <v>3359.35</v>
          </cell>
          <cell r="C2981">
            <v>3393.76</v>
          </cell>
          <cell r="D2981">
            <v>296.86</v>
          </cell>
          <cell r="E2981">
            <v>312.07</v>
          </cell>
          <cell r="F2981">
            <v>329.9</v>
          </cell>
          <cell r="G2981">
            <v>280.24</v>
          </cell>
          <cell r="H2981">
            <v>4117.42</v>
          </cell>
          <cell r="I2981">
            <v>331.38</v>
          </cell>
        </row>
        <row r="2982">
          <cell r="A2982">
            <v>35958</v>
          </cell>
          <cell r="B2982">
            <v>3282.64</v>
          </cell>
          <cell r="C2982">
            <v>3303.01</v>
          </cell>
          <cell r="D2982">
            <v>291.29000000000002</v>
          </cell>
          <cell r="E2982">
            <v>304.76</v>
          </cell>
          <cell r="F2982">
            <v>322.82</v>
          </cell>
          <cell r="G2982">
            <v>276.51</v>
          </cell>
          <cell r="H2982">
            <v>4050.25</v>
          </cell>
          <cell r="I2982">
            <v>325.70999999999998</v>
          </cell>
        </row>
        <row r="2983">
          <cell r="A2983">
            <v>35961</v>
          </cell>
          <cell r="B2983">
            <v>3238.98</v>
          </cell>
          <cell r="C2983">
            <v>3253.91</v>
          </cell>
          <cell r="D2983">
            <v>287.27</v>
          </cell>
          <cell r="E2983">
            <v>300.52999999999997</v>
          </cell>
          <cell r="F2983">
            <v>318.27999999999997</v>
          </cell>
          <cell r="G2983">
            <v>272.69</v>
          </cell>
          <cell r="H2983">
            <v>3945.9</v>
          </cell>
          <cell r="I2983">
            <v>317.10000000000002</v>
          </cell>
        </row>
        <row r="2984">
          <cell r="A2984">
            <v>35962</v>
          </cell>
          <cell r="B2984">
            <v>3252.86</v>
          </cell>
          <cell r="C2984">
            <v>3269.06</v>
          </cell>
          <cell r="D2984">
            <v>288.36</v>
          </cell>
          <cell r="E2984">
            <v>301.89999999999998</v>
          </cell>
          <cell r="F2984">
            <v>319.52</v>
          </cell>
          <cell r="G2984">
            <v>273.49</v>
          </cell>
          <cell r="H2984">
            <v>3928</v>
          </cell>
          <cell r="I2984">
            <v>315.48</v>
          </cell>
        </row>
        <row r="2985">
          <cell r="A2985">
            <v>35963</v>
          </cell>
          <cell r="B2985">
            <v>3326.35</v>
          </cell>
          <cell r="C2985">
            <v>3330.55</v>
          </cell>
          <cell r="D2985">
            <v>293.64999999999998</v>
          </cell>
          <cell r="E2985">
            <v>307.77</v>
          </cell>
          <cell r="F2985">
            <v>325.92</v>
          </cell>
          <cell r="G2985">
            <v>278.16000000000003</v>
          </cell>
          <cell r="H2985">
            <v>4051.72</v>
          </cell>
          <cell r="I2985">
            <v>323.66000000000003</v>
          </cell>
        </row>
        <row r="2986">
          <cell r="A2986">
            <v>35964</v>
          </cell>
          <cell r="B2986">
            <v>3293.52</v>
          </cell>
          <cell r="C2986">
            <v>3291.14</v>
          </cell>
          <cell r="D2986">
            <v>291.61</v>
          </cell>
          <cell r="E2986">
            <v>304.23</v>
          </cell>
          <cell r="F2986">
            <v>322.2</v>
          </cell>
          <cell r="G2986">
            <v>277.70999999999998</v>
          </cell>
          <cell r="H2986">
            <v>3982.53</v>
          </cell>
          <cell r="I2986">
            <v>319.04000000000002</v>
          </cell>
        </row>
        <row r="2987">
          <cell r="A2987">
            <v>35965</v>
          </cell>
          <cell r="B2987">
            <v>3259.88</v>
          </cell>
          <cell r="C2987">
            <v>3258.16</v>
          </cell>
          <cell r="D2987">
            <v>288.8</v>
          </cell>
          <cell r="E2987">
            <v>301.56</v>
          </cell>
          <cell r="F2987">
            <v>319.97000000000003</v>
          </cell>
          <cell r="G2987">
            <v>274.75</v>
          </cell>
          <cell r="H2987">
            <v>3969.33</v>
          </cell>
          <cell r="I2987">
            <v>317.91000000000003</v>
          </cell>
        </row>
        <row r="2988">
          <cell r="A2988">
            <v>35968</v>
          </cell>
          <cell r="B2988">
            <v>3263.98</v>
          </cell>
          <cell r="C2988">
            <v>3252.12</v>
          </cell>
          <cell r="D2988">
            <v>288.22000000000003</v>
          </cell>
          <cell r="E2988">
            <v>300.56</v>
          </cell>
          <cell r="F2988">
            <v>319.06</v>
          </cell>
          <cell r="G2988">
            <v>274.60000000000002</v>
          </cell>
          <cell r="H2988">
            <v>3947.95</v>
          </cell>
          <cell r="I2988">
            <v>316.3</v>
          </cell>
        </row>
        <row r="2989">
          <cell r="A2989">
            <v>35969</v>
          </cell>
          <cell r="B2989">
            <v>3323.31</v>
          </cell>
          <cell r="C2989">
            <v>3309.48</v>
          </cell>
          <cell r="D2989">
            <v>291.49</v>
          </cell>
          <cell r="E2989">
            <v>304.33</v>
          </cell>
          <cell r="F2989">
            <v>323.11</v>
          </cell>
          <cell r="G2989">
            <v>277.33</v>
          </cell>
          <cell r="H2989">
            <v>4016.75</v>
          </cell>
          <cell r="I2989">
            <v>321.58</v>
          </cell>
        </row>
        <row r="2990">
          <cell r="A2990">
            <v>35970</v>
          </cell>
          <cell r="B2990">
            <v>3346.84</v>
          </cell>
          <cell r="C2990">
            <v>3330.29</v>
          </cell>
          <cell r="D2990">
            <v>293.17</v>
          </cell>
          <cell r="E2990">
            <v>305.76</v>
          </cell>
          <cell r="F2990">
            <v>324.8</v>
          </cell>
          <cell r="G2990">
            <v>279.26</v>
          </cell>
          <cell r="H2990">
            <v>4061.67</v>
          </cell>
          <cell r="I2990">
            <v>325.05</v>
          </cell>
        </row>
        <row r="2991">
          <cell r="A2991">
            <v>35971</v>
          </cell>
          <cell r="B2991">
            <v>3397.15</v>
          </cell>
          <cell r="C2991">
            <v>3391.88</v>
          </cell>
          <cell r="D2991">
            <v>296.97000000000003</v>
          </cell>
          <cell r="E2991">
            <v>311.24</v>
          </cell>
          <cell r="F2991">
            <v>330.03</v>
          </cell>
          <cell r="G2991">
            <v>281.3</v>
          </cell>
          <cell r="H2991">
            <v>4128.8100000000004</v>
          </cell>
          <cell r="I2991">
            <v>330.16</v>
          </cell>
        </row>
        <row r="2992">
          <cell r="A2992">
            <v>35972</v>
          </cell>
          <cell r="B2992">
            <v>3407.76</v>
          </cell>
          <cell r="C2992">
            <v>3395.41</v>
          </cell>
          <cell r="D2992">
            <v>297.36</v>
          </cell>
          <cell r="E2992">
            <v>310.64999999999998</v>
          </cell>
          <cell r="F2992">
            <v>329.7</v>
          </cell>
          <cell r="G2992">
            <v>282.72000000000003</v>
          </cell>
          <cell r="H2992">
            <v>4136.6099999999997</v>
          </cell>
          <cell r="I2992">
            <v>330.72</v>
          </cell>
        </row>
        <row r="2993">
          <cell r="A2993">
            <v>35975</v>
          </cell>
          <cell r="B2993">
            <v>3440</v>
          </cell>
          <cell r="C2993">
            <v>3431.06</v>
          </cell>
          <cell r="D2993">
            <v>299.39</v>
          </cell>
          <cell r="E2993">
            <v>313.61</v>
          </cell>
          <cell r="F2993">
            <v>332.49</v>
          </cell>
          <cell r="G2993">
            <v>283.73</v>
          </cell>
          <cell r="H2993">
            <v>4163.0600000000004</v>
          </cell>
          <cell r="I2993">
            <v>332.69</v>
          </cell>
        </row>
        <row r="2994">
          <cell r="A2994">
            <v>35976</v>
          </cell>
          <cell r="B2994">
            <v>3417.88</v>
          </cell>
          <cell r="C2994">
            <v>3406.82</v>
          </cell>
          <cell r="D2994">
            <v>297.52</v>
          </cell>
          <cell r="E2994">
            <v>311.58</v>
          </cell>
          <cell r="F2994">
            <v>331</v>
          </cell>
          <cell r="G2994">
            <v>282.02</v>
          </cell>
          <cell r="H2994">
            <v>4166.1000000000004</v>
          </cell>
          <cell r="I2994">
            <v>333.03</v>
          </cell>
        </row>
        <row r="2995">
          <cell r="A2995">
            <v>35977</v>
          </cell>
          <cell r="B2995">
            <v>3475.12</v>
          </cell>
          <cell r="C2995">
            <v>3464.96</v>
          </cell>
          <cell r="D2995">
            <v>301.98</v>
          </cell>
          <cell r="E2995">
            <v>316.42</v>
          </cell>
          <cell r="F2995">
            <v>336.02</v>
          </cell>
          <cell r="G2995">
            <v>286.11</v>
          </cell>
          <cell r="H2995">
            <v>4195.3500000000004</v>
          </cell>
          <cell r="I2995">
            <v>334.92</v>
          </cell>
        </row>
        <row r="2996">
          <cell r="A2996">
            <v>35978</v>
          </cell>
          <cell r="B2996">
            <v>3482.12</v>
          </cell>
          <cell r="C2996">
            <v>3471.65</v>
          </cell>
          <cell r="D2996">
            <v>303.04000000000002</v>
          </cell>
          <cell r="E2996">
            <v>317.19</v>
          </cell>
          <cell r="F2996">
            <v>336.68</v>
          </cell>
          <cell r="G2996">
            <v>287.45999999999998</v>
          </cell>
          <cell r="H2996">
            <v>4211.5</v>
          </cell>
          <cell r="I2996">
            <v>335.89</v>
          </cell>
        </row>
        <row r="2997">
          <cell r="A2997">
            <v>35979</v>
          </cell>
          <cell r="B2997">
            <v>3513.92</v>
          </cell>
          <cell r="C2997">
            <v>3506.45</v>
          </cell>
          <cell r="D2997">
            <v>306.31</v>
          </cell>
          <cell r="E2997">
            <v>321.04000000000002</v>
          </cell>
          <cell r="F2997">
            <v>340.46</v>
          </cell>
          <cell r="G2997">
            <v>290.14999999999998</v>
          </cell>
          <cell r="H2997">
            <v>4258.74</v>
          </cell>
          <cell r="I2997">
            <v>339.07</v>
          </cell>
        </row>
        <row r="2998">
          <cell r="A2998">
            <v>35982</v>
          </cell>
          <cell r="B2998">
            <v>3528.51</v>
          </cell>
          <cell r="C2998">
            <v>3518.79</v>
          </cell>
          <cell r="D2998">
            <v>307.22000000000003</v>
          </cell>
          <cell r="E2998">
            <v>321.94</v>
          </cell>
          <cell r="F2998">
            <v>341.69</v>
          </cell>
          <cell r="G2998">
            <v>291.07</v>
          </cell>
          <cell r="H2998">
            <v>4272.08</v>
          </cell>
          <cell r="I2998">
            <v>339.86</v>
          </cell>
        </row>
        <row r="2999">
          <cell r="A2999">
            <v>35983</v>
          </cell>
          <cell r="B2999">
            <v>3517.41</v>
          </cell>
          <cell r="C2999">
            <v>3530.93</v>
          </cell>
          <cell r="D2999">
            <v>306.52</v>
          </cell>
          <cell r="E2999">
            <v>323.11</v>
          </cell>
          <cell r="F2999">
            <v>342.81</v>
          </cell>
          <cell r="G2999">
            <v>288.42</v>
          </cell>
          <cell r="H2999">
            <v>4294.1000000000004</v>
          </cell>
          <cell r="I2999">
            <v>341.44</v>
          </cell>
        </row>
        <row r="3000">
          <cell r="A3000">
            <v>35984</v>
          </cell>
          <cell r="B3000">
            <v>3544.6</v>
          </cell>
          <cell r="C3000">
            <v>3553.07</v>
          </cell>
          <cell r="D3000">
            <v>308.22000000000003</v>
          </cell>
          <cell r="E3000">
            <v>325.08</v>
          </cell>
          <cell r="F3000">
            <v>345.13</v>
          </cell>
          <cell r="G3000">
            <v>289.8</v>
          </cell>
          <cell r="H3000">
            <v>4326.75</v>
          </cell>
          <cell r="I3000">
            <v>343.64</v>
          </cell>
        </row>
        <row r="3001">
          <cell r="A3001">
            <v>35985</v>
          </cell>
          <cell r="B3001">
            <v>3534.83</v>
          </cell>
          <cell r="C3001">
            <v>3542.2</v>
          </cell>
          <cell r="D3001">
            <v>307.16000000000003</v>
          </cell>
          <cell r="E3001">
            <v>323.99</v>
          </cell>
          <cell r="F3001">
            <v>343.97</v>
          </cell>
          <cell r="G3001">
            <v>288.77</v>
          </cell>
          <cell r="H3001">
            <v>4318.47</v>
          </cell>
          <cell r="I3001">
            <v>342.94</v>
          </cell>
        </row>
        <row r="3002">
          <cell r="A3002">
            <v>35986</v>
          </cell>
          <cell r="B3002">
            <v>3517.18</v>
          </cell>
          <cell r="C3002">
            <v>3532.65</v>
          </cell>
          <cell r="D3002">
            <v>305.42</v>
          </cell>
          <cell r="E3002">
            <v>322.75</v>
          </cell>
          <cell r="F3002">
            <v>342.52</v>
          </cell>
          <cell r="G3002">
            <v>286.49</v>
          </cell>
          <cell r="H3002">
            <v>4282</v>
          </cell>
          <cell r="I3002">
            <v>340.68</v>
          </cell>
        </row>
        <row r="3003">
          <cell r="A3003">
            <v>35989</v>
          </cell>
          <cell r="B3003">
            <v>3524.15</v>
          </cell>
          <cell r="C3003">
            <v>3551.74</v>
          </cell>
          <cell r="D3003">
            <v>306.39999999999998</v>
          </cell>
          <cell r="E3003">
            <v>324.56</v>
          </cell>
          <cell r="F3003">
            <v>343.99</v>
          </cell>
          <cell r="G3003">
            <v>286.60000000000002</v>
          </cell>
          <cell r="H3003">
            <v>4315.45</v>
          </cell>
          <cell r="I3003">
            <v>342.72</v>
          </cell>
        </row>
        <row r="3004">
          <cell r="A3004">
            <v>35990</v>
          </cell>
          <cell r="B3004">
            <v>3562.1</v>
          </cell>
          <cell r="C3004">
            <v>3576.68</v>
          </cell>
          <cell r="D3004">
            <v>309.57</v>
          </cell>
          <cell r="E3004">
            <v>327.31</v>
          </cell>
          <cell r="F3004">
            <v>346.51</v>
          </cell>
          <cell r="G3004">
            <v>290.2</v>
          </cell>
          <cell r="H3004">
            <v>4338.3100000000004</v>
          </cell>
          <cell r="I3004">
            <v>343.9</v>
          </cell>
        </row>
        <row r="3005">
          <cell r="A3005">
            <v>35991</v>
          </cell>
          <cell r="B3005">
            <v>3587.32</v>
          </cell>
          <cell r="C3005">
            <v>3602.83</v>
          </cell>
          <cell r="D3005">
            <v>311.57</v>
          </cell>
          <cell r="E3005">
            <v>329.47</v>
          </cell>
          <cell r="F3005">
            <v>348.8</v>
          </cell>
          <cell r="G3005">
            <v>292.06</v>
          </cell>
          <cell r="H3005">
            <v>4402.75</v>
          </cell>
          <cell r="I3005">
            <v>348.51</v>
          </cell>
        </row>
        <row r="3006">
          <cell r="A3006">
            <v>35992</v>
          </cell>
          <cell r="B3006">
            <v>3585.75</v>
          </cell>
          <cell r="C3006">
            <v>3613.4</v>
          </cell>
          <cell r="D3006">
            <v>310.73</v>
          </cell>
          <cell r="E3006">
            <v>329.56</v>
          </cell>
          <cell r="F3006">
            <v>348.73</v>
          </cell>
          <cell r="G3006">
            <v>290.22000000000003</v>
          </cell>
          <cell r="H3006">
            <v>4393.8999999999996</v>
          </cell>
          <cell r="I3006">
            <v>347.96</v>
          </cell>
        </row>
        <row r="3007">
          <cell r="A3007">
            <v>35993</v>
          </cell>
          <cell r="B3007">
            <v>3632.13</v>
          </cell>
          <cell r="C3007">
            <v>3658.48</v>
          </cell>
          <cell r="D3007">
            <v>313.83</v>
          </cell>
          <cell r="E3007">
            <v>332.98</v>
          </cell>
          <cell r="F3007">
            <v>352.53</v>
          </cell>
          <cell r="G3007">
            <v>292.98</v>
          </cell>
          <cell r="H3007">
            <v>4431.54</v>
          </cell>
          <cell r="I3007">
            <v>351.41</v>
          </cell>
        </row>
        <row r="3008">
          <cell r="A3008">
            <v>35996</v>
          </cell>
          <cell r="B3008">
            <v>3646.04</v>
          </cell>
          <cell r="C3008">
            <v>3670.82</v>
          </cell>
          <cell r="D3008">
            <v>315</v>
          </cell>
          <cell r="E3008">
            <v>334.19</v>
          </cell>
          <cell r="F3008">
            <v>354.13</v>
          </cell>
          <cell r="G3008">
            <v>294.10000000000002</v>
          </cell>
          <cell r="H3008">
            <v>4458</v>
          </cell>
          <cell r="I3008">
            <v>353.28</v>
          </cell>
        </row>
        <row r="3009">
          <cell r="A3009">
            <v>35997</v>
          </cell>
          <cell r="B3009">
            <v>3628.75</v>
          </cell>
          <cell r="C3009">
            <v>3649.96</v>
          </cell>
          <cell r="D3009">
            <v>313.52</v>
          </cell>
          <cell r="E3009">
            <v>332.28</v>
          </cell>
          <cell r="F3009">
            <v>352.36</v>
          </cell>
          <cell r="G3009">
            <v>293.07</v>
          </cell>
          <cell r="H3009">
            <v>4416.34</v>
          </cell>
          <cell r="I3009">
            <v>350.32</v>
          </cell>
        </row>
        <row r="3010">
          <cell r="A3010">
            <v>35998</v>
          </cell>
          <cell r="B3010">
            <v>3561.79</v>
          </cell>
          <cell r="C3010">
            <v>3582.12</v>
          </cell>
          <cell r="D3010">
            <v>308.13</v>
          </cell>
          <cell r="E3010">
            <v>327.02999999999997</v>
          </cell>
          <cell r="F3010">
            <v>347.24</v>
          </cell>
          <cell r="G3010">
            <v>287.55</v>
          </cell>
          <cell r="H3010">
            <v>4337</v>
          </cell>
          <cell r="I3010">
            <v>344.29</v>
          </cell>
        </row>
        <row r="3011">
          <cell r="A3011">
            <v>35999</v>
          </cell>
          <cell r="B3011">
            <v>3567.55</v>
          </cell>
          <cell r="C3011">
            <v>3582.16</v>
          </cell>
          <cell r="D3011">
            <v>307.42</v>
          </cell>
          <cell r="E3011">
            <v>326.17</v>
          </cell>
          <cell r="F3011">
            <v>346.1</v>
          </cell>
          <cell r="G3011">
            <v>287</v>
          </cell>
          <cell r="H3011">
            <v>4352.3100000000004</v>
          </cell>
          <cell r="I3011">
            <v>345.25</v>
          </cell>
        </row>
        <row r="3012">
          <cell r="A3012">
            <v>36000</v>
          </cell>
          <cell r="B3012">
            <v>3551.31</v>
          </cell>
          <cell r="C3012">
            <v>3570.67</v>
          </cell>
          <cell r="D3012">
            <v>305.3</v>
          </cell>
          <cell r="E3012">
            <v>324.73</v>
          </cell>
          <cell r="F3012">
            <v>344.62</v>
          </cell>
          <cell r="G3012">
            <v>284.17</v>
          </cell>
          <cell r="H3012">
            <v>4349.8599999999997</v>
          </cell>
          <cell r="I3012">
            <v>344.67</v>
          </cell>
        </row>
        <row r="3013">
          <cell r="A3013">
            <v>36003</v>
          </cell>
          <cell r="B3013">
            <v>3486.46</v>
          </cell>
          <cell r="C3013">
            <v>3512.62</v>
          </cell>
          <cell r="D3013">
            <v>300.5</v>
          </cell>
          <cell r="E3013">
            <v>319.11</v>
          </cell>
          <cell r="F3013">
            <v>338.2</v>
          </cell>
          <cell r="G3013">
            <v>280.25</v>
          </cell>
          <cell r="H3013">
            <v>4294.2700000000004</v>
          </cell>
          <cell r="I3013">
            <v>338.65</v>
          </cell>
        </row>
        <row r="3014">
          <cell r="A3014">
            <v>36004</v>
          </cell>
          <cell r="B3014">
            <v>3478.86</v>
          </cell>
          <cell r="C3014">
            <v>3499.87</v>
          </cell>
          <cell r="D3014">
            <v>299.72000000000003</v>
          </cell>
          <cell r="E3014">
            <v>318.73</v>
          </cell>
          <cell r="F3014">
            <v>338.22</v>
          </cell>
          <cell r="G3014">
            <v>279.06</v>
          </cell>
          <cell r="H3014">
            <v>4244.6000000000004</v>
          </cell>
          <cell r="I3014">
            <v>334.34</v>
          </cell>
        </row>
        <row r="3015">
          <cell r="A3015">
            <v>36005</v>
          </cell>
          <cell r="B3015">
            <v>3488.33</v>
          </cell>
          <cell r="C3015">
            <v>3494.53</v>
          </cell>
          <cell r="D3015">
            <v>299.16000000000003</v>
          </cell>
          <cell r="E3015">
            <v>317.75</v>
          </cell>
          <cell r="F3015">
            <v>337.7</v>
          </cell>
          <cell r="G3015">
            <v>278.95</v>
          </cell>
          <cell r="H3015">
            <v>4236.58</v>
          </cell>
          <cell r="I3015">
            <v>333.87</v>
          </cell>
        </row>
        <row r="3016">
          <cell r="A3016">
            <v>36006</v>
          </cell>
          <cell r="B3016">
            <v>3535.41</v>
          </cell>
          <cell r="C3016">
            <v>3529.5</v>
          </cell>
          <cell r="D3016">
            <v>302.63</v>
          </cell>
          <cell r="E3016">
            <v>321.32</v>
          </cell>
          <cell r="F3016">
            <v>341.54</v>
          </cell>
          <cell r="G3016">
            <v>282.3</v>
          </cell>
          <cell r="H3016">
            <v>4248.72</v>
          </cell>
          <cell r="I3016">
            <v>335.39</v>
          </cell>
        </row>
        <row r="3017">
          <cell r="A3017">
            <v>36007</v>
          </cell>
          <cell r="B3017">
            <v>3486.95</v>
          </cell>
          <cell r="C3017">
            <v>3480.63</v>
          </cell>
          <cell r="D3017">
            <v>299.76</v>
          </cell>
          <cell r="E3017">
            <v>318.06</v>
          </cell>
          <cell r="F3017">
            <v>338.84</v>
          </cell>
          <cell r="G3017">
            <v>279.85000000000002</v>
          </cell>
          <cell r="H3017">
            <v>4207.01</v>
          </cell>
          <cell r="I3017">
            <v>332.91</v>
          </cell>
        </row>
        <row r="3018">
          <cell r="A3018">
            <v>36010</v>
          </cell>
          <cell r="B3018">
            <v>3439.97</v>
          </cell>
          <cell r="C3018">
            <v>3422.75</v>
          </cell>
          <cell r="D3018">
            <v>296.31</v>
          </cell>
          <cell r="E3018">
            <v>313.43</v>
          </cell>
          <cell r="F3018">
            <v>334.22</v>
          </cell>
          <cell r="G3018">
            <v>277.64</v>
          </cell>
          <cell r="H3018">
            <v>4185.68</v>
          </cell>
          <cell r="I3018">
            <v>331.26</v>
          </cell>
        </row>
        <row r="3019">
          <cell r="A3019">
            <v>36011</v>
          </cell>
          <cell r="B3019">
            <v>3427.69</v>
          </cell>
          <cell r="C3019">
            <v>3412.66</v>
          </cell>
          <cell r="D3019">
            <v>294.95</v>
          </cell>
          <cell r="E3019">
            <v>312.2</v>
          </cell>
          <cell r="F3019">
            <v>333.14</v>
          </cell>
          <cell r="G3019">
            <v>276.14999999999998</v>
          </cell>
          <cell r="H3019">
            <v>4147.5600000000004</v>
          </cell>
          <cell r="I3019">
            <v>328.45</v>
          </cell>
        </row>
        <row r="3020">
          <cell r="A3020">
            <v>36012</v>
          </cell>
          <cell r="B3020">
            <v>3345.91</v>
          </cell>
          <cell r="C3020">
            <v>3344.15</v>
          </cell>
          <cell r="D3020">
            <v>288.68</v>
          </cell>
          <cell r="E3020">
            <v>306.13</v>
          </cell>
          <cell r="F3020">
            <v>326.07</v>
          </cell>
          <cell r="G3020">
            <v>269.69</v>
          </cell>
          <cell r="H3020">
            <v>4043.59</v>
          </cell>
          <cell r="I3020">
            <v>319.60000000000002</v>
          </cell>
        </row>
        <row r="3021">
          <cell r="A3021">
            <v>36013</v>
          </cell>
          <cell r="B3021">
            <v>3292.77</v>
          </cell>
          <cell r="C3021">
            <v>3290.5</v>
          </cell>
          <cell r="D3021">
            <v>285.2</v>
          </cell>
          <cell r="E3021">
            <v>302.36</v>
          </cell>
          <cell r="F3021">
            <v>321.85000000000002</v>
          </cell>
          <cell r="G3021">
            <v>266.52</v>
          </cell>
          <cell r="H3021">
            <v>3950.67</v>
          </cell>
          <cell r="I3021">
            <v>312.62</v>
          </cell>
        </row>
        <row r="3022">
          <cell r="A3022">
            <v>36014</v>
          </cell>
          <cell r="B3022">
            <v>3350.48</v>
          </cell>
          <cell r="C3022">
            <v>3348.61</v>
          </cell>
          <cell r="D3022">
            <v>289.42</v>
          </cell>
          <cell r="E3022">
            <v>306.97000000000003</v>
          </cell>
          <cell r="F3022">
            <v>326.5</v>
          </cell>
          <cell r="G3022">
            <v>270.32</v>
          </cell>
          <cell r="H3022">
            <v>4023.61</v>
          </cell>
          <cell r="I3022">
            <v>317.45</v>
          </cell>
        </row>
        <row r="3023">
          <cell r="A3023">
            <v>36017</v>
          </cell>
          <cell r="B3023">
            <v>3274.83</v>
          </cell>
          <cell r="C3023">
            <v>3282.7</v>
          </cell>
          <cell r="D3023">
            <v>284.26</v>
          </cell>
          <cell r="E3023">
            <v>301.22000000000003</v>
          </cell>
          <cell r="F3023">
            <v>319.81</v>
          </cell>
          <cell r="G3023">
            <v>265.77999999999997</v>
          </cell>
          <cell r="H3023">
            <v>3906.72</v>
          </cell>
          <cell r="I3023">
            <v>308.76</v>
          </cell>
        </row>
        <row r="3024">
          <cell r="A3024">
            <v>36018</v>
          </cell>
          <cell r="B3024">
            <v>3187.26</v>
          </cell>
          <cell r="C3024">
            <v>3187.44</v>
          </cell>
          <cell r="D3024">
            <v>275.85000000000002</v>
          </cell>
          <cell r="E3024">
            <v>292.04000000000002</v>
          </cell>
          <cell r="F3024">
            <v>309.93</v>
          </cell>
          <cell r="G3024">
            <v>258.20999999999998</v>
          </cell>
          <cell r="H3024">
            <v>3754.39</v>
          </cell>
          <cell r="I3024">
            <v>296.41000000000003</v>
          </cell>
        </row>
        <row r="3025">
          <cell r="A3025">
            <v>36019</v>
          </cell>
          <cell r="B3025">
            <v>3236.45</v>
          </cell>
          <cell r="C3025">
            <v>3248.14</v>
          </cell>
          <cell r="D3025">
            <v>279.49</v>
          </cell>
          <cell r="E3025">
            <v>297.72000000000003</v>
          </cell>
          <cell r="F3025">
            <v>315.67</v>
          </cell>
          <cell r="G3025">
            <v>259.7</v>
          </cell>
          <cell r="H3025">
            <v>3833.02</v>
          </cell>
          <cell r="I3025">
            <v>300.75</v>
          </cell>
        </row>
        <row r="3026">
          <cell r="A3026">
            <v>36020</v>
          </cell>
          <cell r="B3026">
            <v>3229.44</v>
          </cell>
          <cell r="C3026">
            <v>3240.83</v>
          </cell>
          <cell r="D3026">
            <v>277.8</v>
          </cell>
          <cell r="E3026">
            <v>296.52999999999997</v>
          </cell>
          <cell r="F3026">
            <v>313.92</v>
          </cell>
          <cell r="G3026">
            <v>257.56</v>
          </cell>
          <cell r="H3026">
            <v>3791.7</v>
          </cell>
          <cell r="I3026">
            <v>296.75</v>
          </cell>
        </row>
        <row r="3027">
          <cell r="A3027">
            <v>36021</v>
          </cell>
          <cell r="B3027">
            <v>3291.6</v>
          </cell>
          <cell r="C3027">
            <v>3284.47</v>
          </cell>
          <cell r="D3027">
            <v>281.56</v>
          </cell>
          <cell r="E3027">
            <v>300.44</v>
          </cell>
          <cell r="F3027">
            <v>318.08999999999997</v>
          </cell>
          <cell r="G3027">
            <v>261.07</v>
          </cell>
          <cell r="H3027">
            <v>3845.9</v>
          </cell>
          <cell r="I3027">
            <v>301.39999999999998</v>
          </cell>
        </row>
        <row r="3028">
          <cell r="A3028">
            <v>36024</v>
          </cell>
          <cell r="B3028">
            <v>3280.81</v>
          </cell>
          <cell r="C3028">
            <v>3277.21</v>
          </cell>
          <cell r="D3028">
            <v>280.68</v>
          </cell>
          <cell r="E3028">
            <v>299.63</v>
          </cell>
          <cell r="F3028">
            <v>317.05</v>
          </cell>
          <cell r="G3028">
            <v>260.12</v>
          </cell>
          <cell r="H3028">
            <v>3838.26</v>
          </cell>
          <cell r="I3028">
            <v>299.39999999999998</v>
          </cell>
        </row>
        <row r="3029">
          <cell r="A3029">
            <v>36025</v>
          </cell>
          <cell r="B3029">
            <v>3396.46</v>
          </cell>
          <cell r="C3029">
            <v>3389.88</v>
          </cell>
          <cell r="D3029">
            <v>289.27</v>
          </cell>
          <cell r="E3029">
            <v>308.27</v>
          </cell>
          <cell r="F3029">
            <v>326.13</v>
          </cell>
          <cell r="G3029">
            <v>268.64999999999998</v>
          </cell>
          <cell r="H3029">
            <v>3992.91</v>
          </cell>
          <cell r="I3029">
            <v>310.24</v>
          </cell>
        </row>
        <row r="3030">
          <cell r="A3030">
            <v>36026</v>
          </cell>
          <cell r="B3030">
            <v>3398.07</v>
          </cell>
          <cell r="C3030">
            <v>3400.07</v>
          </cell>
          <cell r="D3030">
            <v>290.33999999999997</v>
          </cell>
          <cell r="E3030">
            <v>309.13</v>
          </cell>
          <cell r="F3030">
            <v>326.62</v>
          </cell>
          <cell r="G3030">
            <v>269.94</v>
          </cell>
          <cell r="H3030">
            <v>4008.13</v>
          </cell>
          <cell r="I3030">
            <v>310.64999999999998</v>
          </cell>
        </row>
        <row r="3031">
          <cell r="A3031">
            <v>36027</v>
          </cell>
          <cell r="B3031">
            <v>3353.51</v>
          </cell>
          <cell r="C3031">
            <v>3349.23</v>
          </cell>
          <cell r="D3031">
            <v>287.36</v>
          </cell>
          <cell r="E3031">
            <v>304.89</v>
          </cell>
          <cell r="F3031">
            <v>322.27</v>
          </cell>
          <cell r="G3031">
            <v>268.29000000000002</v>
          </cell>
          <cell r="H3031">
            <v>3957.06</v>
          </cell>
          <cell r="I3031">
            <v>305.72000000000003</v>
          </cell>
        </row>
        <row r="3032">
          <cell r="A3032">
            <v>36028</v>
          </cell>
          <cell r="B3032">
            <v>3213.72</v>
          </cell>
          <cell r="C3032">
            <v>3209.05</v>
          </cell>
          <cell r="D3032">
            <v>277.18</v>
          </cell>
          <cell r="E3032">
            <v>292.72000000000003</v>
          </cell>
          <cell r="F3032">
            <v>309.83</v>
          </cell>
          <cell r="G3032">
            <v>260.20999999999998</v>
          </cell>
          <cell r="H3032">
            <v>3815.02</v>
          </cell>
          <cell r="I3032">
            <v>294.3</v>
          </cell>
        </row>
        <row r="3033">
          <cell r="A3033">
            <v>36031</v>
          </cell>
          <cell r="B3033">
            <v>3219.66</v>
          </cell>
          <cell r="C3033">
            <v>3202.96</v>
          </cell>
          <cell r="D3033">
            <v>277.27999999999997</v>
          </cell>
          <cell r="E3033">
            <v>292.17</v>
          </cell>
          <cell r="F3033">
            <v>308.64</v>
          </cell>
          <cell r="G3033">
            <v>261.01</v>
          </cell>
          <cell r="H3033">
            <v>3821.39</v>
          </cell>
          <cell r="I3033">
            <v>294.89</v>
          </cell>
        </row>
        <row r="3034">
          <cell r="A3034">
            <v>36032</v>
          </cell>
          <cell r="B3034">
            <v>3294.7</v>
          </cell>
          <cell r="C3034">
            <v>3282.91</v>
          </cell>
          <cell r="D3034">
            <v>282.98</v>
          </cell>
          <cell r="E3034">
            <v>299.12</v>
          </cell>
          <cell r="F3034">
            <v>315.10000000000002</v>
          </cell>
          <cell r="G3034">
            <v>265.38</v>
          </cell>
          <cell r="H3034">
            <v>3875.15</v>
          </cell>
          <cell r="I3034">
            <v>299.22000000000003</v>
          </cell>
        </row>
        <row r="3035">
          <cell r="A3035">
            <v>36033</v>
          </cell>
          <cell r="B3035">
            <v>3212.9</v>
          </cell>
          <cell r="C3035">
            <v>3186.77</v>
          </cell>
          <cell r="D3035">
            <v>276.41000000000003</v>
          </cell>
          <cell r="E3035">
            <v>290.81</v>
          </cell>
          <cell r="F3035">
            <v>306.83</v>
          </cell>
          <cell r="G3035">
            <v>260.64999999999998</v>
          </cell>
          <cell r="H3035">
            <v>3777.43</v>
          </cell>
          <cell r="I3035">
            <v>290.88</v>
          </cell>
        </row>
        <row r="3036">
          <cell r="A3036">
            <v>36034</v>
          </cell>
          <cell r="B3036">
            <v>3100.85</v>
          </cell>
          <cell r="C3036">
            <v>3063.83</v>
          </cell>
          <cell r="D3036">
            <v>266.31</v>
          </cell>
          <cell r="E3036">
            <v>279.08999999999997</v>
          </cell>
          <cell r="F3036">
            <v>294.20999999999998</v>
          </cell>
          <cell r="G3036">
            <v>252.29</v>
          </cell>
          <cell r="H3036">
            <v>3630.77</v>
          </cell>
          <cell r="I3036">
            <v>279.02999999999997</v>
          </cell>
        </row>
        <row r="3037">
          <cell r="A3037">
            <v>36035</v>
          </cell>
          <cell r="B3037">
            <v>3044.58</v>
          </cell>
          <cell r="C3037">
            <v>3009.74</v>
          </cell>
          <cell r="D3037">
            <v>261.62</v>
          </cell>
          <cell r="E3037">
            <v>274.37</v>
          </cell>
          <cell r="F3037">
            <v>290.16000000000003</v>
          </cell>
          <cell r="G3037">
            <v>247.62</v>
          </cell>
          <cell r="H3037">
            <v>3587.44</v>
          </cell>
          <cell r="I3037">
            <v>275.98</v>
          </cell>
        </row>
        <row r="3038">
          <cell r="A3038">
            <v>36038</v>
          </cell>
          <cell r="B3038">
            <v>3016.22</v>
          </cell>
          <cell r="C3038">
            <v>2978.12</v>
          </cell>
          <cell r="D3038">
            <v>259.47000000000003</v>
          </cell>
          <cell r="E3038">
            <v>270.97000000000003</v>
          </cell>
          <cell r="F3038">
            <v>286.87</v>
          </cell>
          <cell r="G3038">
            <v>246.79</v>
          </cell>
          <cell r="H3038">
            <v>3559.48</v>
          </cell>
          <cell r="I3038">
            <v>274.62</v>
          </cell>
        </row>
        <row r="3039">
          <cell r="A3039">
            <v>36039</v>
          </cell>
          <cell r="B3039">
            <v>2976.17</v>
          </cell>
          <cell r="C3039">
            <v>2950.01</v>
          </cell>
          <cell r="D3039">
            <v>255.09</v>
          </cell>
          <cell r="E3039">
            <v>267.95</v>
          </cell>
          <cell r="F3039">
            <v>282.93</v>
          </cell>
          <cell r="G3039">
            <v>241</v>
          </cell>
          <cell r="H3039">
            <v>3481.25</v>
          </cell>
          <cell r="I3039">
            <v>267.45999999999998</v>
          </cell>
        </row>
        <row r="3040">
          <cell r="A3040">
            <v>36040</v>
          </cell>
          <cell r="B3040">
            <v>3053.52</v>
          </cell>
          <cell r="C3040">
            <v>3035.73</v>
          </cell>
          <cell r="D3040">
            <v>261.02</v>
          </cell>
          <cell r="E3040">
            <v>275.23</v>
          </cell>
          <cell r="F3040">
            <v>290.74</v>
          </cell>
          <cell r="G3040">
            <v>245.5</v>
          </cell>
          <cell r="H3040">
            <v>3544.77</v>
          </cell>
          <cell r="I3040">
            <v>273.02999999999997</v>
          </cell>
        </row>
        <row r="3041">
          <cell r="A3041">
            <v>36041</v>
          </cell>
          <cell r="B3041">
            <v>2975.02</v>
          </cell>
          <cell r="C3041">
            <v>2971.38</v>
          </cell>
          <cell r="D3041">
            <v>254.31</v>
          </cell>
          <cell r="E3041">
            <v>269.01</v>
          </cell>
          <cell r="F3041">
            <v>283.58999999999997</v>
          </cell>
          <cell r="G3041">
            <v>238.28</v>
          </cell>
          <cell r="H3041">
            <v>3429.47</v>
          </cell>
          <cell r="I3041">
            <v>263.82</v>
          </cell>
        </row>
        <row r="3042">
          <cell r="A3042">
            <v>36042</v>
          </cell>
          <cell r="B3042">
            <v>3009.66</v>
          </cell>
          <cell r="C3042">
            <v>3003.66</v>
          </cell>
          <cell r="D3042">
            <v>256.83999999999997</v>
          </cell>
          <cell r="E3042">
            <v>271.24</v>
          </cell>
          <cell r="F3042">
            <v>286.33</v>
          </cell>
          <cell r="G3042">
            <v>241.13</v>
          </cell>
          <cell r="H3042">
            <v>3508.01</v>
          </cell>
          <cell r="I3042">
            <v>269.27999999999997</v>
          </cell>
        </row>
        <row r="3043">
          <cell r="A3043">
            <v>36045</v>
          </cell>
          <cell r="B3043">
            <v>3069.99</v>
          </cell>
          <cell r="C3043">
            <v>3038.09</v>
          </cell>
          <cell r="D3043">
            <v>261.55</v>
          </cell>
          <cell r="E3043">
            <v>274.75</v>
          </cell>
          <cell r="F3043">
            <v>290.79000000000002</v>
          </cell>
          <cell r="G3043">
            <v>247.09</v>
          </cell>
          <cell r="H3043">
            <v>3571.64</v>
          </cell>
          <cell r="I3043">
            <v>273.98</v>
          </cell>
        </row>
        <row r="3044">
          <cell r="A3044">
            <v>36046</v>
          </cell>
          <cell r="B3044">
            <v>3118.87</v>
          </cell>
          <cell r="C3044">
            <v>3105.31</v>
          </cell>
          <cell r="D3044">
            <v>265.42</v>
          </cell>
          <cell r="E3044">
            <v>281.49</v>
          </cell>
          <cell r="F3044">
            <v>297.77</v>
          </cell>
          <cell r="G3044">
            <v>247.92</v>
          </cell>
          <cell r="H3044">
            <v>3669.19</v>
          </cell>
          <cell r="I3044">
            <v>281.10000000000002</v>
          </cell>
        </row>
        <row r="3045">
          <cell r="A3045">
            <v>36047</v>
          </cell>
          <cell r="B3045">
            <v>3061.69</v>
          </cell>
          <cell r="C3045">
            <v>3051.49</v>
          </cell>
          <cell r="D3045">
            <v>262.22000000000003</v>
          </cell>
          <cell r="E3045">
            <v>277.33999999999997</v>
          </cell>
          <cell r="F3045">
            <v>292.64</v>
          </cell>
          <cell r="G3045">
            <v>245.73</v>
          </cell>
          <cell r="H3045">
            <v>3622.22</v>
          </cell>
          <cell r="I3045">
            <v>277.42</v>
          </cell>
        </row>
        <row r="3046">
          <cell r="A3046">
            <v>36048</v>
          </cell>
          <cell r="B3046">
            <v>2914</v>
          </cell>
          <cell r="C3046">
            <v>2903.71</v>
          </cell>
          <cell r="D3046">
            <v>250.71</v>
          </cell>
          <cell r="E3046">
            <v>264.57</v>
          </cell>
          <cell r="F3046">
            <v>279.57</v>
          </cell>
          <cell r="G3046">
            <v>235.57</v>
          </cell>
          <cell r="H3046">
            <v>3458.74</v>
          </cell>
          <cell r="I3046">
            <v>265.02999999999997</v>
          </cell>
        </row>
        <row r="3047">
          <cell r="A3047">
            <v>36049</v>
          </cell>
          <cell r="B3047">
            <v>2900.26</v>
          </cell>
          <cell r="C3047">
            <v>2890.98</v>
          </cell>
          <cell r="D3047">
            <v>249.14</v>
          </cell>
          <cell r="E3047">
            <v>262.99</v>
          </cell>
          <cell r="F3047">
            <v>277.81</v>
          </cell>
          <cell r="G3047">
            <v>234.01</v>
          </cell>
          <cell r="H3047">
            <v>3451.81</v>
          </cell>
          <cell r="I3047">
            <v>264.37</v>
          </cell>
        </row>
        <row r="3048">
          <cell r="A3048">
            <v>36052</v>
          </cell>
          <cell r="B3048">
            <v>2989.4</v>
          </cell>
          <cell r="C3048">
            <v>2968.55</v>
          </cell>
          <cell r="D3048">
            <v>256.8</v>
          </cell>
          <cell r="E3048">
            <v>271.08</v>
          </cell>
          <cell r="F3048">
            <v>285.97000000000003</v>
          </cell>
          <cell r="G3048">
            <v>241.21</v>
          </cell>
          <cell r="H3048">
            <v>3534.16</v>
          </cell>
          <cell r="I3048">
            <v>270.58</v>
          </cell>
        </row>
        <row r="3049">
          <cell r="A3049">
            <v>36053</v>
          </cell>
          <cell r="B3049">
            <v>2966.3</v>
          </cell>
          <cell r="C3049">
            <v>2947.01</v>
          </cell>
          <cell r="D3049">
            <v>254.82</v>
          </cell>
          <cell r="E3049">
            <v>269.12</v>
          </cell>
          <cell r="F3049">
            <v>283.60000000000002</v>
          </cell>
          <cell r="G3049">
            <v>239.22</v>
          </cell>
          <cell r="H3049">
            <v>3492.01</v>
          </cell>
          <cell r="I3049">
            <v>266.94</v>
          </cell>
        </row>
        <row r="3050">
          <cell r="A3050">
            <v>36054</v>
          </cell>
          <cell r="B3050">
            <v>2996.97</v>
          </cell>
          <cell r="C3050">
            <v>2971.83</v>
          </cell>
          <cell r="D3050">
            <v>256.66000000000003</v>
          </cell>
          <cell r="E3050">
            <v>271.26</v>
          </cell>
          <cell r="F3050">
            <v>285.91000000000003</v>
          </cell>
          <cell r="G3050">
            <v>240.74</v>
          </cell>
          <cell r="H3050">
            <v>3470.06</v>
          </cell>
          <cell r="I3050">
            <v>264.23</v>
          </cell>
        </row>
        <row r="3051">
          <cell r="A3051">
            <v>36055</v>
          </cell>
          <cell r="B3051">
            <v>2864.21</v>
          </cell>
          <cell r="C3051">
            <v>2826.22</v>
          </cell>
          <cell r="D3051">
            <v>246.34</v>
          </cell>
          <cell r="E3051">
            <v>258.63</v>
          </cell>
          <cell r="F3051">
            <v>272.85000000000002</v>
          </cell>
          <cell r="G3051">
            <v>232.87</v>
          </cell>
          <cell r="H3051">
            <v>3296.14</v>
          </cell>
          <cell r="I3051">
            <v>250.39</v>
          </cell>
        </row>
        <row r="3052">
          <cell r="A3052">
            <v>36056</v>
          </cell>
          <cell r="B3052">
            <v>2821.3</v>
          </cell>
          <cell r="C3052">
            <v>2781.69</v>
          </cell>
          <cell r="D3052">
            <v>243.11</v>
          </cell>
          <cell r="E3052">
            <v>255.34</v>
          </cell>
          <cell r="F3052">
            <v>269.38</v>
          </cell>
          <cell r="G3052">
            <v>229.71</v>
          </cell>
          <cell r="H3052">
            <v>3236.05</v>
          </cell>
          <cell r="I3052">
            <v>246.65</v>
          </cell>
        </row>
        <row r="3053">
          <cell r="A3053">
            <v>36059</v>
          </cell>
          <cell r="B3053">
            <v>2709.98</v>
          </cell>
          <cell r="C3053">
            <v>2658.27</v>
          </cell>
          <cell r="D3053">
            <v>234.79</v>
          </cell>
          <cell r="E3053">
            <v>244.77</v>
          </cell>
          <cell r="F3053">
            <v>258.11</v>
          </cell>
          <cell r="G3053">
            <v>223.77</v>
          </cell>
          <cell r="H3053">
            <v>3087.23</v>
          </cell>
          <cell r="I3053">
            <v>236.63</v>
          </cell>
        </row>
        <row r="3054">
          <cell r="A3054">
            <v>36060</v>
          </cell>
          <cell r="B3054">
            <v>2782.61</v>
          </cell>
          <cell r="C3054">
            <v>2726.32</v>
          </cell>
          <cell r="D3054">
            <v>240.1</v>
          </cell>
          <cell r="E3054">
            <v>250.88</v>
          </cell>
          <cell r="F3054">
            <v>263.95</v>
          </cell>
          <cell r="G3054">
            <v>228.22</v>
          </cell>
          <cell r="H3054">
            <v>3162.96</v>
          </cell>
          <cell r="I3054">
            <v>242.32</v>
          </cell>
        </row>
        <row r="3055">
          <cell r="A3055">
            <v>36061</v>
          </cell>
          <cell r="B3055">
            <v>2871.56</v>
          </cell>
          <cell r="C3055">
            <v>2820.29</v>
          </cell>
          <cell r="D3055">
            <v>246.28</v>
          </cell>
          <cell r="E3055">
            <v>258.3</v>
          </cell>
          <cell r="F3055">
            <v>271.58999999999997</v>
          </cell>
          <cell r="G3055">
            <v>233.11</v>
          </cell>
          <cell r="H3055">
            <v>3296.17</v>
          </cell>
          <cell r="I3055">
            <v>250.54</v>
          </cell>
        </row>
        <row r="3056">
          <cell r="A3056">
            <v>36062</v>
          </cell>
          <cell r="B3056">
            <v>2824.8</v>
          </cell>
          <cell r="C3056">
            <v>2789.07</v>
          </cell>
          <cell r="D3056">
            <v>243.86</v>
          </cell>
          <cell r="E3056">
            <v>255.76</v>
          </cell>
          <cell r="F3056">
            <v>268.49</v>
          </cell>
          <cell r="G3056">
            <v>230.81</v>
          </cell>
          <cell r="H3056">
            <v>3281.14</v>
          </cell>
          <cell r="I3056">
            <v>249.24</v>
          </cell>
        </row>
        <row r="3057">
          <cell r="A3057">
            <v>36063</v>
          </cell>
          <cell r="B3057">
            <v>2777.2</v>
          </cell>
          <cell r="C3057">
            <v>2743.04</v>
          </cell>
          <cell r="D3057">
            <v>240.3</v>
          </cell>
          <cell r="E3057">
            <v>252.01</v>
          </cell>
          <cell r="F3057">
            <v>264.95</v>
          </cell>
          <cell r="G3057">
            <v>227.47</v>
          </cell>
          <cell r="H3057">
            <v>3257.37</v>
          </cell>
          <cell r="I3057">
            <v>247.23</v>
          </cell>
        </row>
        <row r="3058">
          <cell r="A3058">
            <v>36066</v>
          </cell>
          <cell r="B3058">
            <v>2812.17</v>
          </cell>
          <cell r="C3058">
            <v>2785.63</v>
          </cell>
          <cell r="D3058">
            <v>243.42</v>
          </cell>
          <cell r="E3058">
            <v>256.2</v>
          </cell>
          <cell r="F3058">
            <v>269</v>
          </cell>
          <cell r="G3058">
            <v>229.46</v>
          </cell>
          <cell r="H3058">
            <v>3343.42</v>
          </cell>
          <cell r="I3058">
            <v>253.52</v>
          </cell>
        </row>
        <row r="3059">
          <cell r="A3059">
            <v>36067</v>
          </cell>
          <cell r="B3059">
            <v>2788.52</v>
          </cell>
          <cell r="C3059">
            <v>2760.26</v>
          </cell>
          <cell r="D3059">
            <v>242.21</v>
          </cell>
          <cell r="E3059">
            <v>254.46</v>
          </cell>
          <cell r="F3059">
            <v>266.83</v>
          </cell>
          <cell r="G3059">
            <v>228.8</v>
          </cell>
          <cell r="H3059">
            <v>3325.91</v>
          </cell>
          <cell r="I3059">
            <v>253.23</v>
          </cell>
        </row>
        <row r="3060">
          <cell r="A3060">
            <v>36068</v>
          </cell>
          <cell r="B3060">
            <v>2709.61</v>
          </cell>
          <cell r="C3060">
            <v>2670.97</v>
          </cell>
          <cell r="D3060">
            <v>235.86</v>
          </cell>
          <cell r="E3060">
            <v>246.31</v>
          </cell>
          <cell r="F3060">
            <v>258.23</v>
          </cell>
          <cell r="G3060">
            <v>224.34</v>
          </cell>
          <cell r="H3060">
            <v>3227.6</v>
          </cell>
          <cell r="I3060">
            <v>245.97</v>
          </cell>
        </row>
        <row r="3061">
          <cell r="A3061">
            <v>36069</v>
          </cell>
          <cell r="B3061">
            <v>2578.4699999999998</v>
          </cell>
          <cell r="C3061">
            <v>2533.0700000000002</v>
          </cell>
          <cell r="D3061">
            <v>224.49</v>
          </cell>
          <cell r="E3061">
            <v>232.62</v>
          </cell>
          <cell r="F3061">
            <v>244.75</v>
          </cell>
          <cell r="G3061">
            <v>215.41</v>
          </cell>
          <cell r="H3061">
            <v>3084.89</v>
          </cell>
          <cell r="I3061">
            <v>236.2</v>
          </cell>
        </row>
        <row r="3062">
          <cell r="A3062">
            <v>36070</v>
          </cell>
          <cell r="B3062">
            <v>2515.34</v>
          </cell>
          <cell r="C3062">
            <v>2488.59</v>
          </cell>
          <cell r="D3062">
            <v>218.73</v>
          </cell>
          <cell r="E3062">
            <v>228.61</v>
          </cell>
          <cell r="F3062">
            <v>239.54</v>
          </cell>
          <cell r="G3062">
            <v>207.85</v>
          </cell>
          <cell r="H3062">
            <v>2984.95</v>
          </cell>
          <cell r="I3062">
            <v>229.35</v>
          </cell>
        </row>
        <row r="3063">
          <cell r="A3063">
            <v>36073</v>
          </cell>
          <cell r="B3063">
            <v>2456.41</v>
          </cell>
          <cell r="C3063">
            <v>2445.89</v>
          </cell>
          <cell r="D3063">
            <v>212.96</v>
          </cell>
          <cell r="E3063">
            <v>224.04</v>
          </cell>
          <cell r="F3063">
            <v>233.95</v>
          </cell>
          <cell r="G3063">
            <v>200.84</v>
          </cell>
          <cell r="H3063">
            <v>2860.01</v>
          </cell>
          <cell r="I3063">
            <v>220.28</v>
          </cell>
        </row>
        <row r="3064">
          <cell r="A3064">
            <v>36074</v>
          </cell>
          <cell r="B3064">
            <v>2596.59</v>
          </cell>
          <cell r="C3064">
            <v>2586.69</v>
          </cell>
          <cell r="D3064">
            <v>223.27</v>
          </cell>
          <cell r="E3064">
            <v>235.65</v>
          </cell>
          <cell r="F3064">
            <v>246.18</v>
          </cell>
          <cell r="G3064">
            <v>209.78</v>
          </cell>
          <cell r="H3064">
            <v>2937.51</v>
          </cell>
          <cell r="I3064">
            <v>225.68</v>
          </cell>
        </row>
        <row r="3065">
          <cell r="A3065">
            <v>36075</v>
          </cell>
          <cell r="B3065">
            <v>2547.2800000000002</v>
          </cell>
          <cell r="C3065">
            <v>2541.08</v>
          </cell>
          <cell r="D3065">
            <v>220.37</v>
          </cell>
          <cell r="E3065">
            <v>231.51</v>
          </cell>
          <cell r="F3065">
            <v>242.67</v>
          </cell>
          <cell r="G3065">
            <v>208.17</v>
          </cell>
          <cell r="H3065">
            <v>2908.41</v>
          </cell>
          <cell r="I3065">
            <v>222.24</v>
          </cell>
        </row>
        <row r="3066">
          <cell r="A3066">
            <v>36076</v>
          </cell>
          <cell r="B3066">
            <v>2433.0700000000002</v>
          </cell>
          <cell r="C3066">
            <v>2419.23</v>
          </cell>
          <cell r="D3066">
            <v>212.07</v>
          </cell>
          <cell r="E3066">
            <v>220.97</v>
          </cell>
          <cell r="F3066">
            <v>231.92</v>
          </cell>
          <cell r="G3066">
            <v>202.23</v>
          </cell>
          <cell r="H3066">
            <v>2688.05</v>
          </cell>
          <cell r="I3066">
            <v>205.43</v>
          </cell>
        </row>
        <row r="3067">
          <cell r="A3067">
            <v>36077</v>
          </cell>
          <cell r="B3067">
            <v>2489.39</v>
          </cell>
          <cell r="C3067">
            <v>2469.87</v>
          </cell>
          <cell r="D3067">
            <v>216.09</v>
          </cell>
          <cell r="E3067">
            <v>225.22</v>
          </cell>
          <cell r="F3067">
            <v>236.15</v>
          </cell>
          <cell r="G3067">
            <v>205.99</v>
          </cell>
          <cell r="H3067">
            <v>2760.49</v>
          </cell>
          <cell r="I3067">
            <v>210.8</v>
          </cell>
        </row>
        <row r="3068">
          <cell r="A3068">
            <v>36080</v>
          </cell>
          <cell r="B3068">
            <v>2656.75</v>
          </cell>
          <cell r="C3068">
            <v>2628.44</v>
          </cell>
          <cell r="D3068">
            <v>228.47</v>
          </cell>
          <cell r="E3068">
            <v>238.63</v>
          </cell>
          <cell r="F3068">
            <v>250.59</v>
          </cell>
          <cell r="G3068">
            <v>217.28</v>
          </cell>
          <cell r="H3068">
            <v>3054.53</v>
          </cell>
          <cell r="I3068">
            <v>231.37</v>
          </cell>
        </row>
        <row r="3069">
          <cell r="A3069">
            <v>36081</v>
          </cell>
          <cell r="B3069">
            <v>2683.16</v>
          </cell>
          <cell r="C3069">
            <v>2674.13</v>
          </cell>
          <cell r="D3069">
            <v>230.3</v>
          </cell>
          <cell r="E3069">
            <v>242.16</v>
          </cell>
          <cell r="F3069">
            <v>253.89</v>
          </cell>
          <cell r="G3069">
            <v>217.33</v>
          </cell>
          <cell r="H3069">
            <v>3057.98</v>
          </cell>
          <cell r="I3069">
            <v>232.12</v>
          </cell>
        </row>
        <row r="3070">
          <cell r="A3070">
            <v>36082</v>
          </cell>
          <cell r="B3070">
            <v>2753.71</v>
          </cell>
          <cell r="C3070">
            <v>2742.95</v>
          </cell>
          <cell r="D3070">
            <v>235.4</v>
          </cell>
          <cell r="E3070">
            <v>248.55</v>
          </cell>
          <cell r="F3070">
            <v>260.45</v>
          </cell>
          <cell r="G3070">
            <v>221.08</v>
          </cell>
          <cell r="H3070">
            <v>3111.59</v>
          </cell>
          <cell r="I3070">
            <v>234.14</v>
          </cell>
        </row>
        <row r="3071">
          <cell r="A3071">
            <v>36083</v>
          </cell>
          <cell r="B3071">
            <v>2748.93</v>
          </cell>
          <cell r="C3071">
            <v>2741.34</v>
          </cell>
          <cell r="D3071">
            <v>236.09</v>
          </cell>
          <cell r="E3071">
            <v>249.66</v>
          </cell>
          <cell r="F3071">
            <v>262.29000000000002</v>
          </cell>
          <cell r="G3071">
            <v>221.33</v>
          </cell>
          <cell r="H3071">
            <v>3186.28</v>
          </cell>
          <cell r="I3071">
            <v>238.22</v>
          </cell>
        </row>
        <row r="3072">
          <cell r="A3072">
            <v>36084</v>
          </cell>
          <cell r="B3072">
            <v>2786.7</v>
          </cell>
          <cell r="C3072">
            <v>2780.89</v>
          </cell>
          <cell r="D3072">
            <v>239.58</v>
          </cell>
          <cell r="E3072">
            <v>253.87</v>
          </cell>
          <cell r="F3072">
            <v>266.83999999999997</v>
          </cell>
          <cell r="G3072">
            <v>224.06</v>
          </cell>
          <cell r="H3072">
            <v>3317.63</v>
          </cell>
          <cell r="I3072">
            <v>247.95</v>
          </cell>
        </row>
        <row r="3073">
          <cell r="A3073">
            <v>36087</v>
          </cell>
          <cell r="B3073">
            <v>2769.57</v>
          </cell>
          <cell r="C3073">
            <v>2779.79</v>
          </cell>
          <cell r="D3073">
            <v>238.96</v>
          </cell>
          <cell r="E3073">
            <v>254.07</v>
          </cell>
          <cell r="F3073">
            <v>266.62</v>
          </cell>
          <cell r="G3073">
            <v>222.84</v>
          </cell>
          <cell r="H3073">
            <v>3304.49</v>
          </cell>
          <cell r="I3073">
            <v>249.27</v>
          </cell>
        </row>
        <row r="3074">
          <cell r="A3074">
            <v>36088</v>
          </cell>
          <cell r="B3074">
            <v>2863.98</v>
          </cell>
          <cell r="C3074">
            <v>2863.89</v>
          </cell>
          <cell r="D3074">
            <v>246.69</v>
          </cell>
          <cell r="E3074">
            <v>261.20999999999998</v>
          </cell>
          <cell r="F3074">
            <v>273.69</v>
          </cell>
          <cell r="G3074">
            <v>230.91</v>
          </cell>
          <cell r="H3074">
            <v>3400.83</v>
          </cell>
          <cell r="I3074">
            <v>255.97</v>
          </cell>
        </row>
        <row r="3075">
          <cell r="A3075">
            <v>36089</v>
          </cell>
          <cell r="B3075">
            <v>2821.5</v>
          </cell>
          <cell r="C3075">
            <v>2818.18</v>
          </cell>
          <cell r="D3075">
            <v>243.24</v>
          </cell>
          <cell r="E3075">
            <v>256.89</v>
          </cell>
          <cell r="F3075">
            <v>269.55</v>
          </cell>
          <cell r="G3075">
            <v>228.39</v>
          </cell>
          <cell r="H3075">
            <v>3325.31</v>
          </cell>
          <cell r="I3075">
            <v>251.49</v>
          </cell>
        </row>
        <row r="3076">
          <cell r="A3076">
            <v>36090</v>
          </cell>
          <cell r="B3076">
            <v>2817.61</v>
          </cell>
          <cell r="C3076">
            <v>2797.33</v>
          </cell>
          <cell r="D3076">
            <v>242.74</v>
          </cell>
          <cell r="E3076">
            <v>255.09</v>
          </cell>
          <cell r="F3076">
            <v>268.43</v>
          </cell>
          <cell r="G3076">
            <v>229.23</v>
          </cell>
          <cell r="H3076">
            <v>3286.32</v>
          </cell>
          <cell r="I3076">
            <v>250.43</v>
          </cell>
        </row>
        <row r="3077">
          <cell r="A3077">
            <v>36091</v>
          </cell>
          <cell r="B3077">
            <v>2822.16</v>
          </cell>
          <cell r="C3077">
            <v>2806.22</v>
          </cell>
          <cell r="D3077">
            <v>242.55</v>
          </cell>
          <cell r="E3077">
            <v>255.42</v>
          </cell>
          <cell r="F3077">
            <v>269.02</v>
          </cell>
          <cell r="G3077">
            <v>228.49</v>
          </cell>
          <cell r="H3077">
            <v>3339.97</v>
          </cell>
          <cell r="I3077">
            <v>253.52</v>
          </cell>
        </row>
        <row r="3078">
          <cell r="A3078">
            <v>36094</v>
          </cell>
          <cell r="B3078">
            <v>2842.89</v>
          </cell>
          <cell r="C3078">
            <v>2829.55</v>
          </cell>
          <cell r="D3078">
            <v>244.98</v>
          </cell>
          <cell r="E3078">
            <v>258.33</v>
          </cell>
          <cell r="F3078">
            <v>272.26</v>
          </cell>
          <cell r="G3078">
            <v>230.42</v>
          </cell>
          <cell r="H3078">
            <v>3367.58</v>
          </cell>
          <cell r="I3078">
            <v>255.2</v>
          </cell>
        </row>
        <row r="3079">
          <cell r="A3079">
            <v>36095</v>
          </cell>
          <cell r="B3079">
            <v>2916.66</v>
          </cell>
          <cell r="C3079">
            <v>2910.1</v>
          </cell>
          <cell r="D3079">
            <v>250.23</v>
          </cell>
          <cell r="E3079">
            <v>264.56</v>
          </cell>
          <cell r="F3079">
            <v>278.68</v>
          </cell>
          <cell r="G3079">
            <v>234.63</v>
          </cell>
          <cell r="H3079">
            <v>3452.47</v>
          </cell>
          <cell r="I3079">
            <v>261.62</v>
          </cell>
        </row>
        <row r="3080">
          <cell r="A3080">
            <v>36096</v>
          </cell>
          <cell r="B3080">
            <v>2864.14</v>
          </cell>
          <cell r="C3080">
            <v>2845.3</v>
          </cell>
          <cell r="D3080">
            <v>246.21</v>
          </cell>
          <cell r="E3080">
            <v>258.69</v>
          </cell>
          <cell r="F3080">
            <v>273.01</v>
          </cell>
          <cell r="G3080">
            <v>232.54</v>
          </cell>
          <cell r="H3080">
            <v>3350.41</v>
          </cell>
          <cell r="I3080">
            <v>253.98</v>
          </cell>
        </row>
        <row r="3081">
          <cell r="A3081">
            <v>36097</v>
          </cell>
          <cell r="B3081">
            <v>2865.58</v>
          </cell>
          <cell r="C3081">
            <v>2832.82</v>
          </cell>
          <cell r="D3081">
            <v>247.32</v>
          </cell>
          <cell r="E3081">
            <v>258.64999999999998</v>
          </cell>
          <cell r="F3081">
            <v>273.32</v>
          </cell>
          <cell r="G3081">
            <v>234.87</v>
          </cell>
          <cell r="H3081">
            <v>3369.36</v>
          </cell>
          <cell r="I3081">
            <v>256.13</v>
          </cell>
        </row>
        <row r="3082">
          <cell r="A3082">
            <v>36098</v>
          </cell>
          <cell r="B3082">
            <v>2914.87</v>
          </cell>
          <cell r="C3082">
            <v>2887.11</v>
          </cell>
          <cell r="D3082">
            <v>251.64</v>
          </cell>
          <cell r="E3082">
            <v>263.49</v>
          </cell>
          <cell r="F3082">
            <v>278.51</v>
          </cell>
          <cell r="G3082">
            <v>238.93</v>
          </cell>
          <cell r="H3082">
            <v>3475.15</v>
          </cell>
          <cell r="I3082">
            <v>263.47000000000003</v>
          </cell>
        </row>
        <row r="3083">
          <cell r="A3083">
            <v>36101</v>
          </cell>
          <cell r="B3083">
            <v>2977.5</v>
          </cell>
          <cell r="C3083">
            <v>2952.04</v>
          </cell>
          <cell r="D3083">
            <v>256.63</v>
          </cell>
          <cell r="E3083">
            <v>269.52</v>
          </cell>
          <cell r="F3083">
            <v>285.02</v>
          </cell>
          <cell r="G3083">
            <v>242.51</v>
          </cell>
          <cell r="H3083">
            <v>3601.08</v>
          </cell>
          <cell r="I3083">
            <v>271.93</v>
          </cell>
        </row>
        <row r="3084">
          <cell r="A3084">
            <v>36102</v>
          </cell>
          <cell r="B3084">
            <v>2972.82</v>
          </cell>
          <cell r="C3084">
            <v>2952.23</v>
          </cell>
          <cell r="D3084">
            <v>255.92</v>
          </cell>
          <cell r="E3084">
            <v>269.39</v>
          </cell>
          <cell r="F3084">
            <v>284.39</v>
          </cell>
          <cell r="G3084">
            <v>241.21</v>
          </cell>
          <cell r="H3084">
            <v>3559.12</v>
          </cell>
          <cell r="I3084">
            <v>268.87</v>
          </cell>
        </row>
        <row r="3085">
          <cell r="A3085">
            <v>36103</v>
          </cell>
          <cell r="B3085">
            <v>3051.54</v>
          </cell>
          <cell r="C3085">
            <v>3030.34</v>
          </cell>
          <cell r="D3085">
            <v>261.81</v>
          </cell>
          <cell r="E3085">
            <v>276.19</v>
          </cell>
          <cell r="F3085">
            <v>290.86</v>
          </cell>
          <cell r="G3085">
            <v>246.12</v>
          </cell>
          <cell r="H3085">
            <v>3598.03</v>
          </cell>
          <cell r="I3085">
            <v>271.7</v>
          </cell>
        </row>
        <row r="3086">
          <cell r="A3086">
            <v>36104</v>
          </cell>
          <cell r="B3086">
            <v>2984.6</v>
          </cell>
          <cell r="C3086">
            <v>2975.7</v>
          </cell>
          <cell r="D3086">
            <v>256.58</v>
          </cell>
          <cell r="E3086">
            <v>271.8</v>
          </cell>
          <cell r="F3086">
            <v>285.74</v>
          </cell>
          <cell r="G3086">
            <v>240.05</v>
          </cell>
          <cell r="H3086">
            <v>3514.05</v>
          </cell>
          <cell r="I3086">
            <v>266.33</v>
          </cell>
        </row>
        <row r="3087">
          <cell r="A3087">
            <v>36105</v>
          </cell>
          <cell r="B3087">
            <v>2990.18</v>
          </cell>
          <cell r="C3087">
            <v>2972.25</v>
          </cell>
          <cell r="D3087">
            <v>257.33</v>
          </cell>
          <cell r="E3087">
            <v>272.13</v>
          </cell>
          <cell r="F3087">
            <v>286.41000000000003</v>
          </cell>
          <cell r="G3087">
            <v>241.22</v>
          </cell>
          <cell r="H3087">
            <v>3528.8</v>
          </cell>
          <cell r="I3087">
            <v>267.01</v>
          </cell>
        </row>
        <row r="3088">
          <cell r="A3088">
            <v>36108</v>
          </cell>
          <cell r="B3088">
            <v>2980.49</v>
          </cell>
          <cell r="C3088">
            <v>2957.79</v>
          </cell>
          <cell r="D3088">
            <v>256.72000000000003</v>
          </cell>
          <cell r="E3088">
            <v>270.69</v>
          </cell>
          <cell r="F3088">
            <v>284.76</v>
          </cell>
          <cell r="G3088">
            <v>241.58</v>
          </cell>
          <cell r="H3088">
            <v>3510.33</v>
          </cell>
          <cell r="I3088">
            <v>265.52</v>
          </cell>
        </row>
        <row r="3089">
          <cell r="A3089">
            <v>36109</v>
          </cell>
          <cell r="B3089">
            <v>2949.31</v>
          </cell>
          <cell r="C3089">
            <v>2918.94</v>
          </cell>
          <cell r="D3089">
            <v>253.94</v>
          </cell>
          <cell r="E3089">
            <v>266.76</v>
          </cell>
          <cell r="F3089">
            <v>280.89999999999998</v>
          </cell>
          <cell r="G3089">
            <v>240.02</v>
          </cell>
          <cell r="H3089">
            <v>3465.02</v>
          </cell>
          <cell r="I3089">
            <v>261.72000000000003</v>
          </cell>
        </row>
        <row r="3090">
          <cell r="A3090">
            <v>36110</v>
          </cell>
          <cell r="B3090">
            <v>2970.94</v>
          </cell>
          <cell r="C3090">
            <v>2935.14</v>
          </cell>
          <cell r="D3090">
            <v>255.37</v>
          </cell>
          <cell r="E3090">
            <v>268.11</v>
          </cell>
          <cell r="F3090">
            <v>282.68</v>
          </cell>
          <cell r="G3090">
            <v>241.53</v>
          </cell>
          <cell r="H3090">
            <v>3497.26</v>
          </cell>
          <cell r="I3090">
            <v>264.83</v>
          </cell>
        </row>
        <row r="3091">
          <cell r="A3091">
            <v>36111</v>
          </cell>
          <cell r="B3091">
            <v>2975.98</v>
          </cell>
          <cell r="C3091">
            <v>2929.19</v>
          </cell>
          <cell r="D3091">
            <v>255.03</v>
          </cell>
          <cell r="E3091">
            <v>267.11</v>
          </cell>
          <cell r="F3091">
            <v>282.06</v>
          </cell>
          <cell r="G3091">
            <v>241.88</v>
          </cell>
          <cell r="H3091">
            <v>3441.68</v>
          </cell>
          <cell r="I3091">
            <v>260.99</v>
          </cell>
        </row>
        <row r="3092">
          <cell r="A3092">
            <v>36112</v>
          </cell>
          <cell r="B3092">
            <v>2975.51</v>
          </cell>
          <cell r="C3092">
            <v>2924.97</v>
          </cell>
          <cell r="D3092">
            <v>254.91</v>
          </cell>
          <cell r="E3092">
            <v>266.85000000000002</v>
          </cell>
          <cell r="F3092">
            <v>281.56</v>
          </cell>
          <cell r="G3092">
            <v>241.9</v>
          </cell>
          <cell r="H3092">
            <v>3436.52</v>
          </cell>
          <cell r="I3092">
            <v>260.70999999999998</v>
          </cell>
        </row>
        <row r="3093">
          <cell r="A3093">
            <v>36115</v>
          </cell>
          <cell r="B3093">
            <v>3034.8</v>
          </cell>
          <cell r="C3093">
            <v>3000.97</v>
          </cell>
          <cell r="D3093">
            <v>258.27999999999997</v>
          </cell>
          <cell r="E3093">
            <v>272.39999999999998</v>
          </cell>
          <cell r="F3093">
            <v>286.63</v>
          </cell>
          <cell r="G3093">
            <v>242.98</v>
          </cell>
          <cell r="H3093">
            <v>3472.53</v>
          </cell>
          <cell r="I3093">
            <v>262.51</v>
          </cell>
        </row>
        <row r="3094">
          <cell r="A3094">
            <v>36116</v>
          </cell>
          <cell r="B3094">
            <v>3028.94</v>
          </cell>
          <cell r="C3094">
            <v>2982.07</v>
          </cell>
          <cell r="D3094">
            <v>257.35000000000002</v>
          </cell>
          <cell r="E3094">
            <v>270.58999999999997</v>
          </cell>
          <cell r="F3094">
            <v>285.22000000000003</v>
          </cell>
          <cell r="G3094">
            <v>243</v>
          </cell>
          <cell r="H3094">
            <v>3456.16</v>
          </cell>
          <cell r="I3094">
            <v>261.75</v>
          </cell>
        </row>
        <row r="3095">
          <cell r="A3095">
            <v>36117</v>
          </cell>
          <cell r="B3095">
            <v>3029.54</v>
          </cell>
          <cell r="C3095">
            <v>2974.98</v>
          </cell>
          <cell r="D3095">
            <v>257.07</v>
          </cell>
          <cell r="E3095">
            <v>269.97000000000003</v>
          </cell>
          <cell r="F3095">
            <v>285.52</v>
          </cell>
          <cell r="G3095">
            <v>243.12</v>
          </cell>
          <cell r="H3095">
            <v>3505.85</v>
          </cell>
          <cell r="I3095">
            <v>265.58</v>
          </cell>
        </row>
        <row r="3096">
          <cell r="A3096">
            <v>36118</v>
          </cell>
          <cell r="B3096">
            <v>3109.46</v>
          </cell>
          <cell r="C3096">
            <v>3049.68</v>
          </cell>
          <cell r="D3096">
            <v>262.79000000000002</v>
          </cell>
          <cell r="E3096">
            <v>275.57</v>
          </cell>
          <cell r="F3096">
            <v>291.26</v>
          </cell>
          <cell r="G3096">
            <v>248.91</v>
          </cell>
          <cell r="H3096">
            <v>3562.03</v>
          </cell>
          <cell r="I3096">
            <v>269.81</v>
          </cell>
        </row>
        <row r="3097">
          <cell r="A3097">
            <v>36119</v>
          </cell>
          <cell r="B3097">
            <v>3184.31</v>
          </cell>
          <cell r="C3097">
            <v>3133.49</v>
          </cell>
          <cell r="D3097">
            <v>267.88</v>
          </cell>
          <cell r="E3097">
            <v>281.95999999999998</v>
          </cell>
          <cell r="F3097">
            <v>297.58</v>
          </cell>
          <cell r="G3097">
            <v>252.63</v>
          </cell>
          <cell r="H3097">
            <v>3601.99</v>
          </cell>
          <cell r="I3097">
            <v>272.61</v>
          </cell>
        </row>
        <row r="3098">
          <cell r="A3098">
            <v>36122</v>
          </cell>
          <cell r="B3098">
            <v>3260.49</v>
          </cell>
          <cell r="C3098">
            <v>3194.17</v>
          </cell>
          <cell r="D3098">
            <v>273.57</v>
          </cell>
          <cell r="E3098">
            <v>286.72000000000003</v>
          </cell>
          <cell r="F3098">
            <v>302.99</v>
          </cell>
          <cell r="G3098">
            <v>259.43</v>
          </cell>
          <cell r="H3098">
            <v>3691.2</v>
          </cell>
          <cell r="I3098">
            <v>278.13</v>
          </cell>
        </row>
        <row r="3099">
          <cell r="A3099">
            <v>36123</v>
          </cell>
          <cell r="B3099">
            <v>3223.2</v>
          </cell>
          <cell r="C3099">
            <v>3163.88</v>
          </cell>
          <cell r="D3099">
            <v>270.97000000000003</v>
          </cell>
          <cell r="E3099">
            <v>283.81</v>
          </cell>
          <cell r="F3099">
            <v>299.41000000000003</v>
          </cell>
          <cell r="G3099">
            <v>257.02</v>
          </cell>
          <cell r="H3099">
            <v>3663.55</v>
          </cell>
          <cell r="I3099">
            <v>276.44</v>
          </cell>
        </row>
        <row r="3100">
          <cell r="A3100">
            <v>36124</v>
          </cell>
          <cell r="B3100">
            <v>3201.3</v>
          </cell>
          <cell r="C3100">
            <v>3167.24</v>
          </cell>
          <cell r="D3100">
            <v>270.58</v>
          </cell>
          <cell r="E3100">
            <v>284.74</v>
          </cell>
          <cell r="F3100">
            <v>299.57</v>
          </cell>
          <cell r="G3100">
            <v>255.22</v>
          </cell>
          <cell r="H3100">
            <v>3649.92</v>
          </cell>
          <cell r="I3100">
            <v>275.81</v>
          </cell>
        </row>
        <row r="3101">
          <cell r="A3101">
            <v>36125</v>
          </cell>
          <cell r="B3101">
            <v>3257.91</v>
          </cell>
          <cell r="C3101">
            <v>3230.34</v>
          </cell>
          <cell r="D3101">
            <v>275.26</v>
          </cell>
          <cell r="E3101">
            <v>290.79000000000002</v>
          </cell>
          <cell r="F3101">
            <v>305.56</v>
          </cell>
          <cell r="G3101">
            <v>258.45999999999998</v>
          </cell>
          <cell r="H3101">
            <v>3749.56</v>
          </cell>
          <cell r="I3101">
            <v>282.64999999999998</v>
          </cell>
        </row>
        <row r="3102">
          <cell r="A3102">
            <v>36126</v>
          </cell>
          <cell r="B3102">
            <v>3294.38</v>
          </cell>
          <cell r="C3102">
            <v>3261.19</v>
          </cell>
          <cell r="D3102">
            <v>277.62</v>
          </cell>
          <cell r="E3102">
            <v>293.52</v>
          </cell>
          <cell r="F3102">
            <v>308.64</v>
          </cell>
          <cell r="G3102">
            <v>260.41000000000003</v>
          </cell>
          <cell r="H3102">
            <v>3803.45</v>
          </cell>
          <cell r="I3102">
            <v>286.81</v>
          </cell>
        </row>
        <row r="3103">
          <cell r="A3103">
            <v>36129</v>
          </cell>
          <cell r="B3103">
            <v>3203.08</v>
          </cell>
          <cell r="C3103">
            <v>3179.09</v>
          </cell>
          <cell r="D3103">
            <v>271.27</v>
          </cell>
          <cell r="E3103">
            <v>286.87</v>
          </cell>
          <cell r="F3103">
            <v>302.32</v>
          </cell>
          <cell r="G3103">
            <v>254.41</v>
          </cell>
          <cell r="H3103">
            <v>3734.79</v>
          </cell>
          <cell r="I3103">
            <v>281.77999999999997</v>
          </cell>
        </row>
        <row r="3104">
          <cell r="A3104">
            <v>36130</v>
          </cell>
          <cell r="B3104">
            <v>3071.78</v>
          </cell>
          <cell r="C3104">
            <v>3056.11</v>
          </cell>
          <cell r="D3104">
            <v>260.98</v>
          </cell>
          <cell r="E3104">
            <v>275.83999999999997</v>
          </cell>
          <cell r="F3104">
            <v>291.08999999999997</v>
          </cell>
          <cell r="G3104">
            <v>245.06</v>
          </cell>
          <cell r="H3104">
            <v>3632.41</v>
          </cell>
          <cell r="I3104">
            <v>274.01</v>
          </cell>
        </row>
        <row r="3105">
          <cell r="A3105">
            <v>36131</v>
          </cell>
          <cell r="B3105">
            <v>3037.19</v>
          </cell>
          <cell r="C3105">
            <v>3017.89</v>
          </cell>
          <cell r="D3105">
            <v>258.94</v>
          </cell>
          <cell r="E3105">
            <v>273.14</v>
          </cell>
          <cell r="F3105">
            <v>288.5</v>
          </cell>
          <cell r="G3105">
            <v>243.56</v>
          </cell>
          <cell r="H3105">
            <v>3620.69</v>
          </cell>
          <cell r="I3105">
            <v>273.43</v>
          </cell>
        </row>
        <row r="3106">
          <cell r="A3106">
            <v>36132</v>
          </cell>
          <cell r="B3106">
            <v>3080.14</v>
          </cell>
          <cell r="C3106">
            <v>3064.55</v>
          </cell>
          <cell r="D3106">
            <v>261.89</v>
          </cell>
          <cell r="E3106">
            <v>277.38</v>
          </cell>
          <cell r="F3106">
            <v>292.04000000000002</v>
          </cell>
          <cell r="G3106">
            <v>245.15</v>
          </cell>
          <cell r="H3106">
            <v>3609.45</v>
          </cell>
          <cell r="I3106">
            <v>272.86</v>
          </cell>
        </row>
        <row r="3107">
          <cell r="A3107">
            <v>36133</v>
          </cell>
          <cell r="B3107">
            <v>3094.17</v>
          </cell>
          <cell r="C3107">
            <v>3079.64</v>
          </cell>
          <cell r="D3107">
            <v>262.95</v>
          </cell>
          <cell r="E3107">
            <v>278.58999999999997</v>
          </cell>
          <cell r="F3107">
            <v>293.14999999999998</v>
          </cell>
          <cell r="G3107">
            <v>246.06</v>
          </cell>
          <cell r="H3107">
            <v>3639.7</v>
          </cell>
          <cell r="I3107">
            <v>274.47000000000003</v>
          </cell>
        </row>
        <row r="3108">
          <cell r="A3108">
            <v>36136</v>
          </cell>
          <cell r="B3108">
            <v>3108.13</v>
          </cell>
          <cell r="C3108">
            <v>3095.55</v>
          </cell>
          <cell r="D3108">
            <v>263.07</v>
          </cell>
          <cell r="E3108">
            <v>279.25</v>
          </cell>
          <cell r="F3108">
            <v>294.14999999999998</v>
          </cell>
          <cell r="G3108">
            <v>245.64</v>
          </cell>
          <cell r="H3108">
            <v>3676.26</v>
          </cell>
          <cell r="I3108">
            <v>277.14</v>
          </cell>
        </row>
        <row r="3109">
          <cell r="A3109">
            <v>36137</v>
          </cell>
          <cell r="B3109">
            <v>3118.1</v>
          </cell>
          <cell r="C3109">
            <v>3102.99</v>
          </cell>
          <cell r="D3109">
            <v>263.29000000000002</v>
          </cell>
          <cell r="E3109">
            <v>279.42</v>
          </cell>
          <cell r="F3109">
            <v>294.08</v>
          </cell>
          <cell r="G3109">
            <v>245.88</v>
          </cell>
          <cell r="H3109">
            <v>3657.28</v>
          </cell>
          <cell r="I3109">
            <v>276.19</v>
          </cell>
        </row>
        <row r="3110">
          <cell r="A3110">
            <v>36138</v>
          </cell>
          <cell r="B3110">
            <v>3145.93</v>
          </cell>
          <cell r="C3110">
            <v>3111.96</v>
          </cell>
          <cell r="D3110">
            <v>265.04000000000002</v>
          </cell>
          <cell r="E3110">
            <v>279.88</v>
          </cell>
          <cell r="F3110">
            <v>295.44</v>
          </cell>
          <cell r="G3110">
            <v>248.97</v>
          </cell>
          <cell r="H3110">
            <v>3747.11</v>
          </cell>
          <cell r="I3110">
            <v>283.91000000000003</v>
          </cell>
        </row>
        <row r="3111">
          <cell r="A3111">
            <v>36139</v>
          </cell>
          <cell r="B3111">
            <v>3118.38</v>
          </cell>
          <cell r="C3111">
            <v>3106.59</v>
          </cell>
          <cell r="D3111">
            <v>263.08</v>
          </cell>
          <cell r="E3111">
            <v>278.67</v>
          </cell>
          <cell r="F3111">
            <v>292.87</v>
          </cell>
          <cell r="G3111">
            <v>246.24</v>
          </cell>
          <cell r="H3111">
            <v>3610.66</v>
          </cell>
          <cell r="I3111">
            <v>273.22000000000003</v>
          </cell>
        </row>
        <row r="3112">
          <cell r="A3112">
            <v>36140</v>
          </cell>
          <cell r="B3112">
            <v>3064.28</v>
          </cell>
          <cell r="C3112">
            <v>3048.92</v>
          </cell>
          <cell r="D3112">
            <v>259.13</v>
          </cell>
          <cell r="E3112">
            <v>273.85000000000002</v>
          </cell>
          <cell r="F3112">
            <v>288.23</v>
          </cell>
          <cell r="G3112">
            <v>243.21</v>
          </cell>
          <cell r="H3112">
            <v>3533.79</v>
          </cell>
          <cell r="I3112">
            <v>268.29000000000002</v>
          </cell>
        </row>
        <row r="3113">
          <cell r="A3113">
            <v>36143</v>
          </cell>
          <cell r="B3113">
            <v>3061.5</v>
          </cell>
          <cell r="C3113">
            <v>3045.14</v>
          </cell>
          <cell r="D3113">
            <v>258.64999999999998</v>
          </cell>
          <cell r="E3113">
            <v>273.37</v>
          </cell>
          <cell r="F3113">
            <v>287.32</v>
          </cell>
          <cell r="G3113">
            <v>242.74</v>
          </cell>
          <cell r="H3113">
            <v>3485.12</v>
          </cell>
          <cell r="I3113">
            <v>264.44</v>
          </cell>
        </row>
        <row r="3114">
          <cell r="A3114">
            <v>36144</v>
          </cell>
          <cell r="B3114">
            <v>3086.23</v>
          </cell>
          <cell r="C3114">
            <v>3069.72</v>
          </cell>
          <cell r="D3114">
            <v>260.32</v>
          </cell>
          <cell r="E3114">
            <v>275.18</v>
          </cell>
          <cell r="F3114">
            <v>289.27</v>
          </cell>
          <cell r="G3114">
            <v>244.27</v>
          </cell>
          <cell r="H3114">
            <v>3507.25</v>
          </cell>
          <cell r="I3114">
            <v>265.66000000000003</v>
          </cell>
        </row>
        <row r="3115">
          <cell r="A3115">
            <v>36145</v>
          </cell>
          <cell r="B3115">
            <v>3133</v>
          </cell>
          <cell r="C3115">
            <v>3114.53</v>
          </cell>
          <cell r="D3115">
            <v>263.88</v>
          </cell>
          <cell r="E3115">
            <v>278.81</v>
          </cell>
          <cell r="F3115">
            <v>293.61</v>
          </cell>
          <cell r="G3115">
            <v>247.75</v>
          </cell>
          <cell r="H3115">
            <v>3590.54</v>
          </cell>
          <cell r="I3115">
            <v>272.2</v>
          </cell>
        </row>
        <row r="3116">
          <cell r="A3116">
            <v>36146</v>
          </cell>
          <cell r="B3116">
            <v>3173.34</v>
          </cell>
          <cell r="C3116">
            <v>3148.97</v>
          </cell>
          <cell r="D3116">
            <v>266.58999999999997</v>
          </cell>
          <cell r="E3116">
            <v>281.77999999999997</v>
          </cell>
          <cell r="F3116">
            <v>296.89999999999998</v>
          </cell>
          <cell r="G3116">
            <v>250.18</v>
          </cell>
          <cell r="H3116">
            <v>3640.16</v>
          </cell>
          <cell r="I3116">
            <v>274.68</v>
          </cell>
        </row>
        <row r="3117">
          <cell r="A3117">
            <v>36147</v>
          </cell>
          <cell r="B3117">
            <v>3159.58</v>
          </cell>
          <cell r="C3117">
            <v>3123.38</v>
          </cell>
          <cell r="D3117">
            <v>266.31</v>
          </cell>
          <cell r="E3117">
            <v>279.91000000000003</v>
          </cell>
          <cell r="F3117">
            <v>295.05</v>
          </cell>
          <cell r="G3117">
            <v>251.59</v>
          </cell>
          <cell r="H3117">
            <v>3625.91</v>
          </cell>
          <cell r="I3117">
            <v>273.45999999999998</v>
          </cell>
        </row>
        <row r="3118">
          <cell r="A3118">
            <v>36150</v>
          </cell>
          <cell r="B3118">
            <v>3254.88</v>
          </cell>
          <cell r="C3118">
            <v>3225.6</v>
          </cell>
          <cell r="D3118">
            <v>273.52999999999997</v>
          </cell>
          <cell r="E3118">
            <v>288.17</v>
          </cell>
          <cell r="F3118">
            <v>302.97000000000003</v>
          </cell>
          <cell r="G3118">
            <v>257.68</v>
          </cell>
          <cell r="H3118">
            <v>3696.43</v>
          </cell>
          <cell r="I3118">
            <v>278.12</v>
          </cell>
        </row>
        <row r="3119">
          <cell r="A3119">
            <v>36151</v>
          </cell>
          <cell r="B3119">
            <v>3258.67</v>
          </cell>
          <cell r="C3119">
            <v>3248.07</v>
          </cell>
          <cell r="D3119">
            <v>273.72000000000003</v>
          </cell>
          <cell r="E3119">
            <v>289.79000000000002</v>
          </cell>
          <cell r="F3119">
            <v>304.02</v>
          </cell>
          <cell r="G3119">
            <v>256.36</v>
          </cell>
          <cell r="H3119">
            <v>3748.05</v>
          </cell>
          <cell r="I3119">
            <v>281.06</v>
          </cell>
        </row>
        <row r="3120">
          <cell r="A3120">
            <v>36152</v>
          </cell>
          <cell r="B3120">
            <v>3307.79</v>
          </cell>
          <cell r="C3120">
            <v>3301.32</v>
          </cell>
          <cell r="D3120">
            <v>277.68</v>
          </cell>
          <cell r="E3120">
            <v>294.20999999999998</v>
          </cell>
          <cell r="F3120">
            <v>308.91000000000003</v>
          </cell>
          <cell r="G3120">
            <v>259.83</v>
          </cell>
          <cell r="H3120">
            <v>3858.84</v>
          </cell>
          <cell r="I3120">
            <v>289.47000000000003</v>
          </cell>
        </row>
        <row r="3121">
          <cell r="A3121">
            <v>36157</v>
          </cell>
          <cell r="B3121">
            <v>3330.39</v>
          </cell>
          <cell r="C3121">
            <v>3331.51</v>
          </cell>
          <cell r="D3121">
            <v>279.45999999999998</v>
          </cell>
          <cell r="E3121">
            <v>297.64999999999998</v>
          </cell>
          <cell r="F3121">
            <v>312.24</v>
          </cell>
          <cell r="G3121">
            <v>259.87</v>
          </cell>
          <cell r="H3121">
            <v>3887.89</v>
          </cell>
          <cell r="I3121">
            <v>292.12</v>
          </cell>
        </row>
        <row r="3122">
          <cell r="A3122">
            <v>36158</v>
          </cell>
          <cell r="B3122">
            <v>3348.48</v>
          </cell>
          <cell r="C3122">
            <v>3354.71</v>
          </cell>
          <cell r="D3122">
            <v>280.68</v>
          </cell>
          <cell r="E3122">
            <v>298.49</v>
          </cell>
          <cell r="F3122">
            <v>312.66000000000003</v>
          </cell>
          <cell r="G3122">
            <v>261.49</v>
          </cell>
          <cell r="H3122">
            <v>3859.42</v>
          </cell>
          <cell r="I3122">
            <v>290.27</v>
          </cell>
        </row>
        <row r="3123">
          <cell r="A3123">
            <v>36159</v>
          </cell>
          <cell r="B3123">
            <v>3320.25</v>
          </cell>
          <cell r="C3123">
            <v>3342.32</v>
          </cell>
          <cell r="D3123">
            <v>279.2</v>
          </cell>
          <cell r="E3123">
            <v>298.37</v>
          </cell>
          <cell r="F3123">
            <v>312.10000000000002</v>
          </cell>
          <cell r="G3123">
            <v>258.58</v>
          </cell>
          <cell r="H3123">
            <v>3834.89</v>
          </cell>
          <cell r="I3123">
            <v>288.93</v>
          </cell>
        </row>
        <row r="3124">
          <cell r="A3124">
            <v>36164</v>
          </cell>
          <cell r="B3124">
            <v>3474.14</v>
          </cell>
          <cell r="C3124">
            <v>3543.1</v>
          </cell>
          <cell r="D3124">
            <v>287.81</v>
          </cell>
          <cell r="E3124">
            <v>313.92</v>
          </cell>
          <cell r="F3124">
            <v>326.93</v>
          </cell>
          <cell r="G3124">
            <v>261.55</v>
          </cell>
          <cell r="H3124">
            <v>3968.54</v>
          </cell>
          <cell r="I3124">
            <v>300.47000000000003</v>
          </cell>
        </row>
        <row r="3125">
          <cell r="A3125">
            <v>36165</v>
          </cell>
          <cell r="B3125">
            <v>3535.3</v>
          </cell>
          <cell r="C3125">
            <v>3604.67</v>
          </cell>
          <cell r="D3125">
            <v>291.39999999999998</v>
          </cell>
          <cell r="E3125">
            <v>316.97000000000003</v>
          </cell>
          <cell r="F3125">
            <v>331</v>
          </cell>
          <cell r="G3125">
            <v>265.68</v>
          </cell>
          <cell r="H3125">
            <v>4030.95</v>
          </cell>
          <cell r="I3125">
            <v>305.37</v>
          </cell>
        </row>
        <row r="3126">
          <cell r="A3126">
            <v>36166</v>
          </cell>
          <cell r="B3126">
            <v>3615.93</v>
          </cell>
          <cell r="C3126">
            <v>3685.36</v>
          </cell>
          <cell r="D3126">
            <v>298.11</v>
          </cell>
          <cell r="E3126">
            <v>323.16000000000003</v>
          </cell>
          <cell r="F3126">
            <v>336.96</v>
          </cell>
          <cell r="G3126">
            <v>272.98</v>
          </cell>
          <cell r="H3126">
            <v>4068.85</v>
          </cell>
          <cell r="I3126">
            <v>308.33999999999997</v>
          </cell>
        </row>
        <row r="3127">
          <cell r="A3127">
            <v>36167</v>
          </cell>
          <cell r="B3127">
            <v>3566.02</v>
          </cell>
          <cell r="C3127">
            <v>3627.87</v>
          </cell>
          <cell r="D3127">
            <v>294.55</v>
          </cell>
          <cell r="E3127">
            <v>318.27</v>
          </cell>
          <cell r="F3127">
            <v>332.7</v>
          </cell>
          <cell r="G3127">
            <v>270.8</v>
          </cell>
          <cell r="H3127">
            <v>4100.7700000000004</v>
          </cell>
          <cell r="I3127">
            <v>311.57</v>
          </cell>
        </row>
        <row r="3128">
          <cell r="A3128">
            <v>36168</v>
          </cell>
          <cell r="B3128">
            <v>3569.24</v>
          </cell>
          <cell r="C3128">
            <v>3616.57</v>
          </cell>
          <cell r="D3128">
            <v>296.02999999999997</v>
          </cell>
          <cell r="E3128">
            <v>318.02</v>
          </cell>
          <cell r="F3128">
            <v>333.38</v>
          </cell>
          <cell r="G3128">
            <v>274.12</v>
          </cell>
          <cell r="H3128">
            <v>4126.04</v>
          </cell>
          <cell r="I3128">
            <v>313.56</v>
          </cell>
        </row>
        <row r="3129">
          <cell r="A3129">
            <v>36171</v>
          </cell>
          <cell r="B3129">
            <v>3504.2</v>
          </cell>
          <cell r="C3129">
            <v>3546.4</v>
          </cell>
          <cell r="D3129">
            <v>291.91000000000003</v>
          </cell>
          <cell r="E3129">
            <v>312.7</v>
          </cell>
          <cell r="F3129">
            <v>328.12</v>
          </cell>
          <cell r="G3129">
            <v>271.19</v>
          </cell>
          <cell r="H3129">
            <v>4111.38</v>
          </cell>
          <cell r="I3129">
            <v>312.12</v>
          </cell>
        </row>
        <row r="3130">
          <cell r="A3130">
            <v>36172</v>
          </cell>
          <cell r="B3130">
            <v>3468.15</v>
          </cell>
          <cell r="C3130">
            <v>3502.38</v>
          </cell>
          <cell r="D3130">
            <v>287.89999999999998</v>
          </cell>
          <cell r="E3130">
            <v>307.85000000000002</v>
          </cell>
          <cell r="F3130">
            <v>323.73</v>
          </cell>
          <cell r="G3130">
            <v>268.02999999999997</v>
          </cell>
          <cell r="H3130">
            <v>4065.69</v>
          </cell>
          <cell r="I3130">
            <v>309.63</v>
          </cell>
        </row>
        <row r="3131">
          <cell r="A3131">
            <v>36173</v>
          </cell>
          <cell r="B3131">
            <v>3315.62</v>
          </cell>
          <cell r="C3131">
            <v>3336.45</v>
          </cell>
          <cell r="D3131">
            <v>277.02</v>
          </cell>
          <cell r="E3131">
            <v>294.67</v>
          </cell>
          <cell r="F3131">
            <v>310.35000000000002</v>
          </cell>
          <cell r="G3131">
            <v>259.5</v>
          </cell>
          <cell r="H3131">
            <v>3901.27</v>
          </cell>
          <cell r="I3131">
            <v>295.83999999999997</v>
          </cell>
        </row>
        <row r="3132">
          <cell r="A3132">
            <v>36174</v>
          </cell>
          <cell r="B3132">
            <v>3314.27</v>
          </cell>
          <cell r="C3132">
            <v>3365.43</v>
          </cell>
          <cell r="D3132">
            <v>277.13</v>
          </cell>
          <cell r="E3132">
            <v>295.77</v>
          </cell>
          <cell r="F3132">
            <v>311.35000000000002</v>
          </cell>
          <cell r="G3132">
            <v>258.58</v>
          </cell>
          <cell r="H3132">
            <v>3958.72</v>
          </cell>
          <cell r="I3132">
            <v>300.07</v>
          </cell>
        </row>
        <row r="3133">
          <cell r="A3133">
            <v>36175</v>
          </cell>
          <cell r="B3133">
            <v>3379.27</v>
          </cell>
          <cell r="C3133">
            <v>3426.06</v>
          </cell>
          <cell r="D3133">
            <v>282.3</v>
          </cell>
          <cell r="E3133">
            <v>300.47000000000003</v>
          </cell>
          <cell r="F3133">
            <v>315.83</v>
          </cell>
          <cell r="G3133">
            <v>264.27</v>
          </cell>
          <cell r="H3133">
            <v>3971.65</v>
          </cell>
          <cell r="I3133">
            <v>301.70999999999998</v>
          </cell>
        </row>
        <row r="3134">
          <cell r="A3134">
            <v>36178</v>
          </cell>
          <cell r="B3134">
            <v>3462.86</v>
          </cell>
          <cell r="C3134">
            <v>3515.43</v>
          </cell>
          <cell r="D3134">
            <v>289.10000000000002</v>
          </cell>
          <cell r="E3134">
            <v>308.14</v>
          </cell>
          <cell r="F3134">
            <v>322.89999999999998</v>
          </cell>
          <cell r="G3134">
            <v>270.18</v>
          </cell>
          <cell r="H3134">
            <v>4065.41</v>
          </cell>
          <cell r="I3134">
            <v>309.20999999999998</v>
          </cell>
        </row>
        <row r="3135">
          <cell r="A3135">
            <v>36179</v>
          </cell>
          <cell r="B3135">
            <v>3456.53</v>
          </cell>
          <cell r="C3135">
            <v>3515.69</v>
          </cell>
          <cell r="D3135">
            <v>287.33999999999997</v>
          </cell>
          <cell r="E3135">
            <v>306.64</v>
          </cell>
          <cell r="F3135">
            <v>321.89999999999998</v>
          </cell>
          <cell r="G3135">
            <v>268.14</v>
          </cell>
          <cell r="H3135">
            <v>4125.07</v>
          </cell>
          <cell r="I3135">
            <v>313.56</v>
          </cell>
        </row>
        <row r="3136">
          <cell r="A3136">
            <v>36180</v>
          </cell>
          <cell r="B3136">
            <v>3522.99</v>
          </cell>
          <cell r="C3136">
            <v>3601.36</v>
          </cell>
          <cell r="D3136">
            <v>291.14999999999998</v>
          </cell>
          <cell r="E3136">
            <v>312.3</v>
          </cell>
          <cell r="F3136">
            <v>326.77999999999997</v>
          </cell>
          <cell r="G3136">
            <v>270.04000000000002</v>
          </cell>
          <cell r="H3136">
            <v>4148.41</v>
          </cell>
          <cell r="I3136">
            <v>316.02</v>
          </cell>
        </row>
        <row r="3137">
          <cell r="A3137">
            <v>36181</v>
          </cell>
          <cell r="B3137">
            <v>3469.93</v>
          </cell>
          <cell r="C3137">
            <v>3561.56</v>
          </cell>
          <cell r="D3137">
            <v>287.51</v>
          </cell>
          <cell r="E3137">
            <v>308.62</v>
          </cell>
          <cell r="F3137">
            <v>322.5</v>
          </cell>
          <cell r="G3137">
            <v>266.43</v>
          </cell>
          <cell r="H3137">
            <v>4058.64</v>
          </cell>
          <cell r="I3137">
            <v>311.10000000000002</v>
          </cell>
        </row>
        <row r="3138">
          <cell r="A3138">
            <v>36182</v>
          </cell>
          <cell r="B3138">
            <v>3360.24</v>
          </cell>
          <cell r="C3138">
            <v>3426.11</v>
          </cell>
          <cell r="D3138">
            <v>280.13</v>
          </cell>
          <cell r="E3138">
            <v>298.89999999999998</v>
          </cell>
          <cell r="F3138">
            <v>313.93</v>
          </cell>
          <cell r="G3138">
            <v>261.7</v>
          </cell>
          <cell r="H3138">
            <v>3979.33</v>
          </cell>
          <cell r="I3138">
            <v>304.94</v>
          </cell>
        </row>
        <row r="3139">
          <cell r="A3139">
            <v>36185</v>
          </cell>
          <cell r="B3139">
            <v>3375.6</v>
          </cell>
          <cell r="C3139">
            <v>3428.8</v>
          </cell>
          <cell r="D3139">
            <v>281.04000000000002</v>
          </cell>
          <cell r="E3139">
            <v>299.39</v>
          </cell>
          <cell r="F3139">
            <v>314.61</v>
          </cell>
          <cell r="G3139">
            <v>263.05</v>
          </cell>
          <cell r="H3139">
            <v>3981.54</v>
          </cell>
          <cell r="I3139">
            <v>305.89999999999998</v>
          </cell>
        </row>
        <row r="3140">
          <cell r="A3140">
            <v>36186</v>
          </cell>
          <cell r="B3140">
            <v>3368.69</v>
          </cell>
          <cell r="C3140">
            <v>3433.87</v>
          </cell>
          <cell r="D3140">
            <v>281.57</v>
          </cell>
          <cell r="E3140">
            <v>299.98</v>
          </cell>
          <cell r="F3140">
            <v>314.98</v>
          </cell>
          <cell r="G3140">
            <v>263.27</v>
          </cell>
          <cell r="H3140">
            <v>3979.82</v>
          </cell>
          <cell r="I3140">
            <v>305.33</v>
          </cell>
        </row>
        <row r="3141">
          <cell r="A3141">
            <v>36187</v>
          </cell>
          <cell r="B3141">
            <v>3370.01</v>
          </cell>
          <cell r="C3141">
            <v>3453.7</v>
          </cell>
          <cell r="D3141">
            <v>282.52999999999997</v>
          </cell>
          <cell r="E3141">
            <v>301.56</v>
          </cell>
          <cell r="F3141">
            <v>316.37</v>
          </cell>
          <cell r="G3141">
            <v>263.60000000000002</v>
          </cell>
          <cell r="H3141">
            <v>4058.02</v>
          </cell>
          <cell r="I3141">
            <v>310.75</v>
          </cell>
        </row>
        <row r="3142">
          <cell r="A3142">
            <v>36188</v>
          </cell>
          <cell r="B3142">
            <v>3416.27</v>
          </cell>
          <cell r="C3142">
            <v>3511.31</v>
          </cell>
          <cell r="D3142">
            <v>286.31</v>
          </cell>
          <cell r="E3142">
            <v>306.45</v>
          </cell>
          <cell r="F3142">
            <v>321.48</v>
          </cell>
          <cell r="G3142">
            <v>266.24</v>
          </cell>
          <cell r="H3142">
            <v>4123.29</v>
          </cell>
          <cell r="I3142">
            <v>316.04000000000002</v>
          </cell>
        </row>
        <row r="3143">
          <cell r="A3143">
            <v>36189</v>
          </cell>
          <cell r="B3143">
            <v>3446.25</v>
          </cell>
          <cell r="C3143">
            <v>3547.15</v>
          </cell>
          <cell r="D3143">
            <v>288.31</v>
          </cell>
          <cell r="E3143">
            <v>308.97000000000003</v>
          </cell>
          <cell r="F3143">
            <v>324.14999999999998</v>
          </cell>
          <cell r="G3143">
            <v>267.7</v>
          </cell>
          <cell r="H3143">
            <v>4137.63</v>
          </cell>
          <cell r="I3143">
            <v>317.27999999999997</v>
          </cell>
        </row>
        <row r="3144">
          <cell r="A3144">
            <v>36192</v>
          </cell>
          <cell r="B3144">
            <v>3510.21</v>
          </cell>
          <cell r="C3144">
            <v>3597.04</v>
          </cell>
          <cell r="D3144">
            <v>292.89</v>
          </cell>
          <cell r="E3144">
            <v>312.45999999999998</v>
          </cell>
          <cell r="F3144">
            <v>327.97</v>
          </cell>
          <cell r="G3144">
            <v>273.41000000000003</v>
          </cell>
          <cell r="H3144">
            <v>4174.8900000000003</v>
          </cell>
          <cell r="I3144">
            <v>318.58999999999997</v>
          </cell>
        </row>
        <row r="3145">
          <cell r="A3145">
            <v>36193</v>
          </cell>
          <cell r="B3145">
            <v>3465.47</v>
          </cell>
          <cell r="C3145">
            <v>3541.43</v>
          </cell>
          <cell r="D3145">
            <v>291</v>
          </cell>
          <cell r="E3145">
            <v>308.70999999999998</v>
          </cell>
          <cell r="F3145">
            <v>324.76</v>
          </cell>
          <cell r="G3145">
            <v>273.45</v>
          </cell>
          <cell r="H3145">
            <v>4140.38</v>
          </cell>
          <cell r="I3145">
            <v>314.89</v>
          </cell>
        </row>
        <row r="3146">
          <cell r="A3146">
            <v>36194</v>
          </cell>
          <cell r="B3146">
            <v>3418.62</v>
          </cell>
          <cell r="C3146">
            <v>3488.13</v>
          </cell>
          <cell r="D3146">
            <v>287.69</v>
          </cell>
          <cell r="E3146">
            <v>305.67</v>
          </cell>
          <cell r="F3146">
            <v>321.89</v>
          </cell>
          <cell r="G3146">
            <v>269.85000000000002</v>
          </cell>
          <cell r="H3146">
            <v>4136.8500000000004</v>
          </cell>
          <cell r="I3146">
            <v>314.83</v>
          </cell>
        </row>
        <row r="3147">
          <cell r="A3147">
            <v>36195</v>
          </cell>
          <cell r="B3147">
            <v>3421.42</v>
          </cell>
          <cell r="C3147">
            <v>3487.08</v>
          </cell>
          <cell r="D3147">
            <v>288.05</v>
          </cell>
          <cell r="E3147">
            <v>305.55</v>
          </cell>
          <cell r="F3147">
            <v>321.73</v>
          </cell>
          <cell r="G3147">
            <v>270.70999999999998</v>
          </cell>
          <cell r="H3147">
            <v>4181.3500000000004</v>
          </cell>
          <cell r="I3147">
            <v>317.68</v>
          </cell>
        </row>
        <row r="3148">
          <cell r="A3148">
            <v>36196</v>
          </cell>
          <cell r="B3148">
            <v>3409.05</v>
          </cell>
          <cell r="C3148">
            <v>3489.98</v>
          </cell>
          <cell r="D3148">
            <v>287.14</v>
          </cell>
          <cell r="E3148">
            <v>305.81</v>
          </cell>
          <cell r="F3148">
            <v>321.89</v>
          </cell>
          <cell r="G3148">
            <v>268.57</v>
          </cell>
          <cell r="H3148">
            <v>4166.24</v>
          </cell>
          <cell r="I3148">
            <v>315.83999999999997</v>
          </cell>
        </row>
        <row r="3149">
          <cell r="A3149">
            <v>36199</v>
          </cell>
          <cell r="B3149">
            <v>3376.24</v>
          </cell>
          <cell r="C3149">
            <v>3462.29</v>
          </cell>
          <cell r="D3149">
            <v>285.05</v>
          </cell>
          <cell r="E3149">
            <v>303.66000000000003</v>
          </cell>
          <cell r="F3149">
            <v>319.24</v>
          </cell>
          <cell r="G3149">
            <v>266.54000000000002</v>
          </cell>
          <cell r="H3149">
            <v>4129</v>
          </cell>
          <cell r="I3149">
            <v>314.42</v>
          </cell>
        </row>
        <row r="3150">
          <cell r="A3150">
            <v>36200</v>
          </cell>
          <cell r="B3150">
            <v>3283.99</v>
          </cell>
          <cell r="C3150">
            <v>3342.58</v>
          </cell>
          <cell r="D3150">
            <v>279.32</v>
          </cell>
          <cell r="E3150">
            <v>295.39</v>
          </cell>
          <cell r="F3150">
            <v>311.35000000000002</v>
          </cell>
          <cell r="G3150">
            <v>263.43</v>
          </cell>
          <cell r="H3150">
            <v>4055.7</v>
          </cell>
          <cell r="I3150">
            <v>308.29000000000002</v>
          </cell>
        </row>
        <row r="3151">
          <cell r="A3151">
            <v>36201</v>
          </cell>
          <cell r="B3151">
            <v>3260.29</v>
          </cell>
          <cell r="C3151">
            <v>3325.56</v>
          </cell>
          <cell r="D3151">
            <v>277.38</v>
          </cell>
          <cell r="E3151">
            <v>293.73</v>
          </cell>
          <cell r="F3151">
            <v>309.45</v>
          </cell>
          <cell r="G3151">
            <v>261.2</v>
          </cell>
          <cell r="H3151">
            <v>3990.3</v>
          </cell>
          <cell r="I3151">
            <v>303.23</v>
          </cell>
        </row>
        <row r="3152">
          <cell r="A3152">
            <v>36202</v>
          </cell>
          <cell r="B3152">
            <v>3321.13</v>
          </cell>
          <cell r="C3152">
            <v>3375.42</v>
          </cell>
          <cell r="D3152">
            <v>281.11</v>
          </cell>
          <cell r="E3152">
            <v>297.61</v>
          </cell>
          <cell r="F3152">
            <v>312.69</v>
          </cell>
          <cell r="G3152">
            <v>264.79000000000002</v>
          </cell>
          <cell r="H3152">
            <v>4018.61</v>
          </cell>
          <cell r="I3152">
            <v>306.02</v>
          </cell>
        </row>
        <row r="3153">
          <cell r="A3153">
            <v>36203</v>
          </cell>
          <cell r="B3153">
            <v>3359.43</v>
          </cell>
          <cell r="C3153">
            <v>3405.68</v>
          </cell>
          <cell r="D3153">
            <v>283.75</v>
          </cell>
          <cell r="E3153">
            <v>299.76</v>
          </cell>
          <cell r="F3153">
            <v>315.11</v>
          </cell>
          <cell r="G3153">
            <v>267.94</v>
          </cell>
          <cell r="H3153">
            <v>4040.01</v>
          </cell>
          <cell r="I3153">
            <v>308.8</v>
          </cell>
        </row>
        <row r="3154">
          <cell r="A3154">
            <v>36206</v>
          </cell>
          <cell r="B3154">
            <v>3381</v>
          </cell>
          <cell r="C3154">
            <v>3414.97</v>
          </cell>
          <cell r="D3154">
            <v>285.57</v>
          </cell>
          <cell r="E3154">
            <v>300.52</v>
          </cell>
          <cell r="F3154">
            <v>315.95</v>
          </cell>
          <cell r="G3154">
            <v>270.87</v>
          </cell>
          <cell r="H3154">
            <v>4048.6</v>
          </cell>
          <cell r="I3154">
            <v>308.04000000000002</v>
          </cell>
        </row>
        <row r="3155">
          <cell r="A3155">
            <v>36207</v>
          </cell>
          <cell r="B3155">
            <v>3382.1</v>
          </cell>
          <cell r="C3155">
            <v>3402.21</v>
          </cell>
          <cell r="D3155">
            <v>286.72000000000003</v>
          </cell>
          <cell r="E3155">
            <v>299.55</v>
          </cell>
          <cell r="F3155">
            <v>315.35000000000002</v>
          </cell>
          <cell r="G3155">
            <v>274.22000000000003</v>
          </cell>
          <cell r="H3155">
            <v>4074.72</v>
          </cell>
          <cell r="I3155">
            <v>310.02</v>
          </cell>
        </row>
        <row r="3156">
          <cell r="A3156">
            <v>36208</v>
          </cell>
          <cell r="B3156">
            <v>3341.41</v>
          </cell>
          <cell r="C3156">
            <v>3343.04</v>
          </cell>
          <cell r="D3156">
            <v>283.77</v>
          </cell>
          <cell r="E3156">
            <v>295.39999999999998</v>
          </cell>
          <cell r="F3156">
            <v>311.8</v>
          </cell>
          <cell r="G3156">
            <v>272.5</v>
          </cell>
          <cell r="H3156">
            <v>4020</v>
          </cell>
          <cell r="I3156">
            <v>304.51</v>
          </cell>
        </row>
        <row r="3157">
          <cell r="A3157">
            <v>36209</v>
          </cell>
          <cell r="B3157">
            <v>3365.18</v>
          </cell>
          <cell r="C3157">
            <v>3380.58</v>
          </cell>
          <cell r="D3157">
            <v>284.42</v>
          </cell>
          <cell r="E3157">
            <v>297.18</v>
          </cell>
          <cell r="F3157">
            <v>312.77999999999997</v>
          </cell>
          <cell r="G3157">
            <v>271.99</v>
          </cell>
          <cell r="H3157">
            <v>4010.65</v>
          </cell>
          <cell r="I3157">
            <v>303.91000000000003</v>
          </cell>
        </row>
        <row r="3158">
          <cell r="A3158">
            <v>36210</v>
          </cell>
          <cell r="B3158">
            <v>3387.66</v>
          </cell>
          <cell r="C3158">
            <v>3415.52</v>
          </cell>
          <cell r="D3158">
            <v>285.99</v>
          </cell>
          <cell r="E3158">
            <v>300.01</v>
          </cell>
          <cell r="F3158">
            <v>314.98</v>
          </cell>
          <cell r="G3158">
            <v>272.26</v>
          </cell>
          <cell r="H3158">
            <v>4078.09</v>
          </cell>
          <cell r="I3158">
            <v>308.69</v>
          </cell>
        </row>
        <row r="3159">
          <cell r="A3159">
            <v>36213</v>
          </cell>
          <cell r="B3159">
            <v>3441.39</v>
          </cell>
          <cell r="C3159">
            <v>3470.89</v>
          </cell>
          <cell r="D3159">
            <v>289.58999999999997</v>
          </cell>
          <cell r="E3159">
            <v>304.2</v>
          </cell>
          <cell r="F3159">
            <v>319.54000000000002</v>
          </cell>
          <cell r="G3159">
            <v>275.26</v>
          </cell>
          <cell r="H3159">
            <v>4133.47</v>
          </cell>
          <cell r="I3159">
            <v>312.45</v>
          </cell>
        </row>
        <row r="3160">
          <cell r="A3160">
            <v>36214</v>
          </cell>
          <cell r="B3160">
            <v>3501.76</v>
          </cell>
          <cell r="C3160">
            <v>3537.81</v>
          </cell>
          <cell r="D3160">
            <v>292.76</v>
          </cell>
          <cell r="E3160">
            <v>308.69</v>
          </cell>
          <cell r="F3160">
            <v>323.48</v>
          </cell>
          <cell r="G3160">
            <v>277.05</v>
          </cell>
          <cell r="H3160">
            <v>4165.2700000000004</v>
          </cell>
          <cell r="I3160">
            <v>315.70999999999998</v>
          </cell>
        </row>
        <row r="3161">
          <cell r="A3161">
            <v>36215</v>
          </cell>
          <cell r="B3161">
            <v>3547.66</v>
          </cell>
          <cell r="C3161">
            <v>3556.69</v>
          </cell>
          <cell r="D3161">
            <v>295.81</v>
          </cell>
          <cell r="E3161">
            <v>310.44</v>
          </cell>
          <cell r="F3161">
            <v>325.83999999999997</v>
          </cell>
          <cell r="G3161">
            <v>281.47000000000003</v>
          </cell>
          <cell r="H3161">
            <v>4170.04</v>
          </cell>
          <cell r="I3161">
            <v>316.77</v>
          </cell>
        </row>
        <row r="3162">
          <cell r="A3162">
            <v>36216</v>
          </cell>
          <cell r="B3162">
            <v>3475.89</v>
          </cell>
          <cell r="C3162">
            <v>3496.27</v>
          </cell>
          <cell r="D3162">
            <v>291.08999999999997</v>
          </cell>
          <cell r="E3162">
            <v>305.52999999999997</v>
          </cell>
          <cell r="F3162">
            <v>320.95999999999998</v>
          </cell>
          <cell r="G3162">
            <v>276.93</v>
          </cell>
          <cell r="H3162">
            <v>4112.22</v>
          </cell>
          <cell r="I3162">
            <v>312.69</v>
          </cell>
        </row>
        <row r="3163">
          <cell r="A3163">
            <v>36217</v>
          </cell>
          <cell r="B3163">
            <v>3456.85</v>
          </cell>
          <cell r="C3163">
            <v>3484.24</v>
          </cell>
          <cell r="D3163">
            <v>289.95999999999998</v>
          </cell>
          <cell r="E3163">
            <v>303.87</v>
          </cell>
          <cell r="F3163">
            <v>319.20999999999998</v>
          </cell>
          <cell r="G3163">
            <v>276.35000000000002</v>
          </cell>
          <cell r="H3163">
            <v>4095.72</v>
          </cell>
          <cell r="I3163">
            <v>310.83999999999997</v>
          </cell>
        </row>
        <row r="3164">
          <cell r="A3164">
            <v>36220</v>
          </cell>
          <cell r="B3164">
            <v>3416.8</v>
          </cell>
          <cell r="C3164">
            <v>3441.74</v>
          </cell>
          <cell r="D3164">
            <v>286.47000000000003</v>
          </cell>
          <cell r="E3164">
            <v>299.37</v>
          </cell>
          <cell r="F3164">
            <v>314.86</v>
          </cell>
          <cell r="G3164">
            <v>273.89999999999998</v>
          </cell>
          <cell r="H3164">
            <v>4024.95</v>
          </cell>
          <cell r="I3164">
            <v>306.83</v>
          </cell>
        </row>
        <row r="3165">
          <cell r="A3165">
            <v>36221</v>
          </cell>
          <cell r="B3165">
            <v>3430.42</v>
          </cell>
          <cell r="C3165">
            <v>3451.18</v>
          </cell>
          <cell r="D3165">
            <v>287.11</v>
          </cell>
          <cell r="E3165">
            <v>300.06</v>
          </cell>
          <cell r="F3165">
            <v>315.32</v>
          </cell>
          <cell r="G3165">
            <v>274.49</v>
          </cell>
          <cell r="H3165">
            <v>4053.56</v>
          </cell>
          <cell r="I3165">
            <v>309.32</v>
          </cell>
        </row>
        <row r="3166">
          <cell r="A3166">
            <v>36222</v>
          </cell>
          <cell r="B3166">
            <v>3396.27</v>
          </cell>
          <cell r="C3166">
            <v>3393.95</v>
          </cell>
          <cell r="D3166">
            <v>285.19</v>
          </cell>
          <cell r="E3166">
            <v>295.70999999999998</v>
          </cell>
          <cell r="F3166">
            <v>312.07</v>
          </cell>
          <cell r="G3166">
            <v>275.10000000000002</v>
          </cell>
          <cell r="H3166">
            <v>4062.42</v>
          </cell>
          <cell r="I3166">
            <v>310.52999999999997</v>
          </cell>
        </row>
        <row r="3167">
          <cell r="A3167">
            <v>36223</v>
          </cell>
          <cell r="B3167">
            <v>3441.05</v>
          </cell>
          <cell r="C3167">
            <v>3434.49</v>
          </cell>
          <cell r="D3167">
            <v>288.08999999999997</v>
          </cell>
          <cell r="E3167">
            <v>298.83999999999997</v>
          </cell>
          <cell r="F3167">
            <v>315.17</v>
          </cell>
          <cell r="G3167">
            <v>277.75</v>
          </cell>
          <cell r="H3167">
            <v>4070.69</v>
          </cell>
          <cell r="I3167">
            <v>310.54000000000002</v>
          </cell>
        </row>
        <row r="3168">
          <cell r="A3168">
            <v>36224</v>
          </cell>
          <cell r="B3168">
            <v>3527.35</v>
          </cell>
          <cell r="C3168">
            <v>3536.64</v>
          </cell>
          <cell r="D3168">
            <v>293.86</v>
          </cell>
          <cell r="E3168">
            <v>306.22000000000003</v>
          </cell>
          <cell r="F3168">
            <v>322.19</v>
          </cell>
          <cell r="G3168">
            <v>281.86</v>
          </cell>
          <cell r="H3168">
            <v>4165.8599999999997</v>
          </cell>
          <cell r="I3168">
            <v>317.52</v>
          </cell>
        </row>
        <row r="3169">
          <cell r="A3169">
            <v>36227</v>
          </cell>
          <cell r="B3169">
            <v>3496.29</v>
          </cell>
          <cell r="C3169">
            <v>3495.43</v>
          </cell>
          <cell r="D3169">
            <v>292.23</v>
          </cell>
          <cell r="E3169">
            <v>303.98</v>
          </cell>
          <cell r="F3169">
            <v>320.01</v>
          </cell>
          <cell r="G3169">
            <v>280.87</v>
          </cell>
          <cell r="H3169">
            <v>4131.57</v>
          </cell>
          <cell r="I3169">
            <v>315.64999999999998</v>
          </cell>
        </row>
        <row r="3170">
          <cell r="A3170">
            <v>36228</v>
          </cell>
          <cell r="B3170">
            <v>3509.96</v>
          </cell>
          <cell r="C3170">
            <v>3493.54</v>
          </cell>
          <cell r="D3170">
            <v>293.45</v>
          </cell>
          <cell r="E3170">
            <v>304.19</v>
          </cell>
          <cell r="F3170">
            <v>320.61</v>
          </cell>
          <cell r="G3170">
            <v>283.14</v>
          </cell>
          <cell r="H3170">
            <v>4126.7</v>
          </cell>
          <cell r="I3170">
            <v>316.33</v>
          </cell>
        </row>
        <row r="3171">
          <cell r="A3171">
            <v>36229</v>
          </cell>
          <cell r="B3171">
            <v>3497.91</v>
          </cell>
          <cell r="C3171">
            <v>3485.05</v>
          </cell>
          <cell r="D3171">
            <v>292.89999999999998</v>
          </cell>
          <cell r="E3171">
            <v>303.60000000000002</v>
          </cell>
          <cell r="F3171">
            <v>319.52</v>
          </cell>
          <cell r="G3171">
            <v>282.64</v>
          </cell>
          <cell r="H3171">
            <v>4106.01</v>
          </cell>
          <cell r="I3171">
            <v>315</v>
          </cell>
        </row>
        <row r="3172">
          <cell r="A3172">
            <v>36230</v>
          </cell>
          <cell r="B3172">
            <v>3565.6</v>
          </cell>
          <cell r="C3172">
            <v>3521.63</v>
          </cell>
          <cell r="D3172">
            <v>297.82</v>
          </cell>
          <cell r="E3172">
            <v>306.7</v>
          </cell>
          <cell r="F3172">
            <v>323.04000000000002</v>
          </cell>
          <cell r="G3172">
            <v>289.45</v>
          </cell>
          <cell r="H3172">
            <v>4132.21</v>
          </cell>
          <cell r="I3172">
            <v>317.08</v>
          </cell>
        </row>
        <row r="3173">
          <cell r="A3173">
            <v>36231</v>
          </cell>
          <cell r="B3173">
            <v>3577.81</v>
          </cell>
          <cell r="C3173">
            <v>3574.73</v>
          </cell>
          <cell r="D3173">
            <v>297.99</v>
          </cell>
          <cell r="E3173">
            <v>309.7</v>
          </cell>
          <cell r="F3173">
            <v>325.14999999999998</v>
          </cell>
          <cell r="G3173">
            <v>286.68</v>
          </cell>
          <cell r="H3173">
            <v>4119.5600000000004</v>
          </cell>
          <cell r="I3173">
            <v>316.82</v>
          </cell>
        </row>
        <row r="3174">
          <cell r="A3174">
            <v>36234</v>
          </cell>
          <cell r="B3174">
            <v>3565.22</v>
          </cell>
          <cell r="C3174">
            <v>3582.78</v>
          </cell>
          <cell r="D3174">
            <v>296.58</v>
          </cell>
          <cell r="E3174">
            <v>310.68</v>
          </cell>
          <cell r="F3174">
            <v>325.58999999999997</v>
          </cell>
          <cell r="G3174">
            <v>282.8</v>
          </cell>
          <cell r="H3174">
            <v>4062.82</v>
          </cell>
          <cell r="I3174">
            <v>312.72000000000003</v>
          </cell>
        </row>
        <row r="3175">
          <cell r="A3175">
            <v>36235</v>
          </cell>
          <cell r="B3175">
            <v>3580.77</v>
          </cell>
          <cell r="C3175">
            <v>3606.67</v>
          </cell>
          <cell r="D3175">
            <v>297.17</v>
          </cell>
          <cell r="E3175">
            <v>311.93</v>
          </cell>
          <cell r="F3175">
            <v>326.57</v>
          </cell>
          <cell r="G3175">
            <v>282.73</v>
          </cell>
          <cell r="H3175">
            <v>4080.58</v>
          </cell>
          <cell r="I3175">
            <v>314.25</v>
          </cell>
        </row>
        <row r="3176">
          <cell r="A3176">
            <v>36236</v>
          </cell>
          <cell r="B3176">
            <v>3558.57</v>
          </cell>
          <cell r="C3176">
            <v>3589.16</v>
          </cell>
          <cell r="D3176">
            <v>295.02999999999997</v>
          </cell>
          <cell r="E3176">
            <v>310.3</v>
          </cell>
          <cell r="F3176">
            <v>325.38</v>
          </cell>
          <cell r="G3176">
            <v>280.06</v>
          </cell>
          <cell r="H3176">
            <v>4064.29</v>
          </cell>
          <cell r="I3176">
            <v>313.19</v>
          </cell>
        </row>
        <row r="3177">
          <cell r="A3177">
            <v>36237</v>
          </cell>
          <cell r="B3177">
            <v>3538.27</v>
          </cell>
          <cell r="C3177">
            <v>3579.21</v>
          </cell>
          <cell r="D3177">
            <v>293.99</v>
          </cell>
          <cell r="E3177">
            <v>309.27999999999997</v>
          </cell>
          <cell r="F3177">
            <v>324.31</v>
          </cell>
          <cell r="G3177">
            <v>279</v>
          </cell>
          <cell r="H3177">
            <v>4045.83</v>
          </cell>
          <cell r="I3177">
            <v>311.8</v>
          </cell>
        </row>
        <row r="3178">
          <cell r="A3178">
            <v>36238</v>
          </cell>
          <cell r="B3178">
            <v>3583.47</v>
          </cell>
          <cell r="C3178">
            <v>3633.05</v>
          </cell>
          <cell r="D3178">
            <v>297.85000000000002</v>
          </cell>
          <cell r="E3178">
            <v>313.26</v>
          </cell>
          <cell r="F3178">
            <v>328.13</v>
          </cell>
          <cell r="G3178">
            <v>282.75</v>
          </cell>
          <cell r="H3178">
            <v>4109.5</v>
          </cell>
          <cell r="I3178">
            <v>317.31</v>
          </cell>
        </row>
        <row r="3179">
          <cell r="A3179">
            <v>36241</v>
          </cell>
          <cell r="B3179">
            <v>3561.42</v>
          </cell>
          <cell r="C3179">
            <v>3607.82</v>
          </cell>
          <cell r="D3179">
            <v>296.02</v>
          </cell>
          <cell r="E3179">
            <v>310.75</v>
          </cell>
          <cell r="F3179">
            <v>325.57</v>
          </cell>
          <cell r="G3179">
            <v>281.61</v>
          </cell>
          <cell r="H3179">
            <v>4093.44</v>
          </cell>
          <cell r="I3179">
            <v>316.32</v>
          </cell>
        </row>
        <row r="3180">
          <cell r="A3180">
            <v>36242</v>
          </cell>
          <cell r="B3180">
            <v>3489.16</v>
          </cell>
          <cell r="C3180">
            <v>3520.64</v>
          </cell>
          <cell r="D3180">
            <v>290.82</v>
          </cell>
          <cell r="E3180">
            <v>303.63</v>
          </cell>
          <cell r="F3180">
            <v>318.83999999999997</v>
          </cell>
          <cell r="G3180">
            <v>278.37</v>
          </cell>
          <cell r="H3180">
            <v>4094.15</v>
          </cell>
          <cell r="I3180">
            <v>315.35000000000002</v>
          </cell>
        </row>
        <row r="3181">
          <cell r="A3181">
            <v>36243</v>
          </cell>
          <cell r="B3181">
            <v>3441.36</v>
          </cell>
          <cell r="C3181">
            <v>3472.44</v>
          </cell>
          <cell r="D3181">
            <v>287.95</v>
          </cell>
          <cell r="E3181">
            <v>300.22000000000003</v>
          </cell>
          <cell r="F3181">
            <v>315.07</v>
          </cell>
          <cell r="G3181">
            <v>276.02999999999997</v>
          </cell>
          <cell r="H3181">
            <v>4018.04</v>
          </cell>
          <cell r="I3181">
            <v>309.62</v>
          </cell>
        </row>
        <row r="3182">
          <cell r="A3182">
            <v>36244</v>
          </cell>
          <cell r="B3182">
            <v>3495.59</v>
          </cell>
          <cell r="C3182">
            <v>3528.43</v>
          </cell>
          <cell r="D3182">
            <v>292.42</v>
          </cell>
          <cell r="E3182">
            <v>305.38</v>
          </cell>
          <cell r="F3182">
            <v>320.60000000000002</v>
          </cell>
          <cell r="G3182">
            <v>279.8</v>
          </cell>
          <cell r="H3182">
            <v>4126.8999999999996</v>
          </cell>
          <cell r="I3182">
            <v>319.23</v>
          </cell>
        </row>
        <row r="3183">
          <cell r="A3183">
            <v>36245</v>
          </cell>
          <cell r="B3183">
            <v>3483.15</v>
          </cell>
          <cell r="C3183">
            <v>3488.15</v>
          </cell>
          <cell r="D3183">
            <v>292.11</v>
          </cell>
          <cell r="E3183">
            <v>302.58</v>
          </cell>
          <cell r="F3183">
            <v>318.24</v>
          </cell>
          <cell r="G3183">
            <v>282.08999999999997</v>
          </cell>
          <cell r="H3183">
            <v>4154.16</v>
          </cell>
          <cell r="I3183">
            <v>322.29000000000002</v>
          </cell>
        </row>
        <row r="3184">
          <cell r="A3184">
            <v>36248</v>
          </cell>
          <cell r="B3184">
            <v>3545.29</v>
          </cell>
          <cell r="C3184">
            <v>3536.62</v>
          </cell>
          <cell r="D3184">
            <v>296.2</v>
          </cell>
          <cell r="E3184">
            <v>306.52</v>
          </cell>
          <cell r="F3184">
            <v>322.08999999999997</v>
          </cell>
          <cell r="G3184">
            <v>286.33</v>
          </cell>
          <cell r="H3184">
            <v>4169.12</v>
          </cell>
          <cell r="I3184">
            <v>325.05</v>
          </cell>
        </row>
        <row r="3185">
          <cell r="A3185">
            <v>36249</v>
          </cell>
          <cell r="B3185">
            <v>3530.73</v>
          </cell>
          <cell r="C3185">
            <v>3523.24</v>
          </cell>
          <cell r="D3185">
            <v>295.27</v>
          </cell>
          <cell r="E3185">
            <v>305.64999999999998</v>
          </cell>
          <cell r="F3185">
            <v>320.95</v>
          </cell>
          <cell r="G3185">
            <v>285.37</v>
          </cell>
          <cell r="H3185">
            <v>4161.51</v>
          </cell>
          <cell r="I3185">
            <v>324.88</v>
          </cell>
        </row>
        <row r="3186">
          <cell r="A3186">
            <v>36250</v>
          </cell>
          <cell r="B3186">
            <v>3566.53</v>
          </cell>
          <cell r="C3186">
            <v>3559.86</v>
          </cell>
          <cell r="D3186">
            <v>297.14999999999998</v>
          </cell>
          <cell r="E3186">
            <v>308.5</v>
          </cell>
          <cell r="F3186">
            <v>324.08999999999997</v>
          </cell>
          <cell r="G3186">
            <v>286.56</v>
          </cell>
          <cell r="H3186">
            <v>4249.57</v>
          </cell>
          <cell r="I3186">
            <v>332.34</v>
          </cell>
        </row>
        <row r="3187">
          <cell r="A3187">
            <v>36251</v>
          </cell>
          <cell r="B3187">
            <v>3568.39</v>
          </cell>
          <cell r="C3187">
            <v>3573.6</v>
          </cell>
          <cell r="D3187">
            <v>297</v>
          </cell>
          <cell r="E3187">
            <v>308.97000000000003</v>
          </cell>
          <cell r="F3187">
            <v>324.2</v>
          </cell>
          <cell r="G3187">
            <v>285.76</v>
          </cell>
          <cell r="H3187">
            <v>4262.5600000000004</v>
          </cell>
          <cell r="I3187">
            <v>333.34</v>
          </cell>
        </row>
        <row r="3188">
          <cell r="A3188">
            <v>36256</v>
          </cell>
          <cell r="B3188">
            <v>3630.34</v>
          </cell>
          <cell r="C3188">
            <v>3644.76</v>
          </cell>
          <cell r="D3188">
            <v>300.7</v>
          </cell>
          <cell r="E3188">
            <v>314.02</v>
          </cell>
          <cell r="F3188">
            <v>329.46</v>
          </cell>
          <cell r="G3188">
            <v>288.08999999999997</v>
          </cell>
          <cell r="H3188">
            <v>4377.6000000000004</v>
          </cell>
          <cell r="I3188">
            <v>340.05</v>
          </cell>
        </row>
        <row r="3189">
          <cell r="A3189">
            <v>36257</v>
          </cell>
          <cell r="B3189">
            <v>3655.38</v>
          </cell>
          <cell r="C3189">
            <v>3659.41</v>
          </cell>
          <cell r="D3189">
            <v>302.87</v>
          </cell>
          <cell r="E3189">
            <v>314.94</v>
          </cell>
          <cell r="F3189">
            <v>330.72</v>
          </cell>
          <cell r="G3189">
            <v>291.8</v>
          </cell>
          <cell r="H3189">
            <v>4360.8500000000004</v>
          </cell>
          <cell r="I3189">
            <v>339.2</v>
          </cell>
        </row>
        <row r="3190">
          <cell r="A3190">
            <v>36258</v>
          </cell>
          <cell r="B3190">
            <v>3672.49</v>
          </cell>
          <cell r="C3190">
            <v>3669.21</v>
          </cell>
          <cell r="D3190">
            <v>303.58</v>
          </cell>
          <cell r="E3190">
            <v>315.60000000000002</v>
          </cell>
          <cell r="F3190">
            <v>332.1</v>
          </cell>
          <cell r="G3190">
            <v>292.57</v>
          </cell>
          <cell r="H3190">
            <v>4364.83</v>
          </cell>
          <cell r="I3190">
            <v>338.79</v>
          </cell>
        </row>
        <row r="3191">
          <cell r="A3191">
            <v>36259</v>
          </cell>
          <cell r="B3191">
            <v>3687.18</v>
          </cell>
          <cell r="C3191">
            <v>3689.61</v>
          </cell>
          <cell r="D3191">
            <v>305.23</v>
          </cell>
          <cell r="E3191">
            <v>317.36</v>
          </cell>
          <cell r="F3191">
            <v>333.83</v>
          </cell>
          <cell r="G3191">
            <v>294.11</v>
          </cell>
          <cell r="H3191">
            <v>4421.99</v>
          </cell>
          <cell r="I3191">
            <v>344.55</v>
          </cell>
        </row>
        <row r="3192">
          <cell r="A3192">
            <v>36262</v>
          </cell>
          <cell r="B3192">
            <v>3682.09</v>
          </cell>
          <cell r="C3192">
            <v>3690.16</v>
          </cell>
          <cell r="D3192">
            <v>304.3</v>
          </cell>
          <cell r="E3192">
            <v>316.79000000000002</v>
          </cell>
          <cell r="F3192">
            <v>332.75</v>
          </cell>
          <cell r="G3192">
            <v>292.8</v>
          </cell>
          <cell r="H3192">
            <v>4344.74</v>
          </cell>
          <cell r="I3192">
            <v>338.75</v>
          </cell>
        </row>
        <row r="3193">
          <cell r="A3193">
            <v>36263</v>
          </cell>
          <cell r="B3193">
            <v>3723.36</v>
          </cell>
          <cell r="C3193">
            <v>3725.4</v>
          </cell>
          <cell r="D3193">
            <v>307.41000000000003</v>
          </cell>
          <cell r="E3193">
            <v>319.35000000000002</v>
          </cell>
          <cell r="F3193">
            <v>335.17</v>
          </cell>
          <cell r="G3193">
            <v>296.49</v>
          </cell>
          <cell r="H3193">
            <v>4395.4799999999996</v>
          </cell>
          <cell r="I3193">
            <v>343.65</v>
          </cell>
        </row>
        <row r="3194">
          <cell r="A3194">
            <v>36264</v>
          </cell>
          <cell r="B3194">
            <v>3700</v>
          </cell>
          <cell r="C3194">
            <v>3699.33</v>
          </cell>
          <cell r="D3194">
            <v>306.57</v>
          </cell>
          <cell r="E3194">
            <v>318.10000000000002</v>
          </cell>
          <cell r="F3194">
            <v>334.39</v>
          </cell>
          <cell r="G3194">
            <v>296.07</v>
          </cell>
          <cell r="H3194">
            <v>4417.74</v>
          </cell>
          <cell r="I3194">
            <v>343.64</v>
          </cell>
        </row>
        <row r="3195">
          <cell r="A3195">
            <v>36265</v>
          </cell>
          <cell r="B3195">
            <v>3644.99</v>
          </cell>
          <cell r="C3195">
            <v>3652.06</v>
          </cell>
          <cell r="D3195">
            <v>304.62</v>
          </cell>
          <cell r="E3195">
            <v>315.76</v>
          </cell>
          <cell r="F3195">
            <v>331.24</v>
          </cell>
          <cell r="G3195">
            <v>294.52999999999997</v>
          </cell>
          <cell r="H3195">
            <v>4356.6099999999997</v>
          </cell>
          <cell r="I3195">
            <v>338.66</v>
          </cell>
        </row>
        <row r="3196">
          <cell r="A3196">
            <v>36266</v>
          </cell>
          <cell r="B3196">
            <v>3643.6</v>
          </cell>
          <cell r="C3196">
            <v>3655.15</v>
          </cell>
          <cell r="D3196">
            <v>304</v>
          </cell>
          <cell r="E3196">
            <v>315.08</v>
          </cell>
          <cell r="F3196">
            <v>330.54</v>
          </cell>
          <cell r="G3196">
            <v>293.95999999999998</v>
          </cell>
          <cell r="H3196">
            <v>4433</v>
          </cell>
          <cell r="I3196">
            <v>343.77</v>
          </cell>
        </row>
        <row r="3197">
          <cell r="A3197">
            <v>36269</v>
          </cell>
          <cell r="B3197">
            <v>3702.59</v>
          </cell>
          <cell r="C3197">
            <v>3705.63</v>
          </cell>
          <cell r="D3197">
            <v>308.24</v>
          </cell>
          <cell r="E3197">
            <v>319.27</v>
          </cell>
          <cell r="F3197">
            <v>334.82</v>
          </cell>
          <cell r="G3197">
            <v>298.27</v>
          </cell>
          <cell r="H3197">
            <v>4499.29</v>
          </cell>
          <cell r="I3197">
            <v>346.42</v>
          </cell>
        </row>
        <row r="3198">
          <cell r="A3198">
            <v>36270</v>
          </cell>
          <cell r="B3198">
            <v>3614.61</v>
          </cell>
          <cell r="C3198">
            <v>3613.96</v>
          </cell>
          <cell r="D3198">
            <v>301.27999999999997</v>
          </cell>
          <cell r="E3198">
            <v>312.14</v>
          </cell>
          <cell r="F3198">
            <v>327.74</v>
          </cell>
          <cell r="G3198">
            <v>291.45999999999998</v>
          </cell>
          <cell r="H3198">
            <v>4400.68</v>
          </cell>
          <cell r="I3198">
            <v>337.49</v>
          </cell>
        </row>
        <row r="3199">
          <cell r="A3199">
            <v>36271</v>
          </cell>
          <cell r="B3199">
            <v>3620.6</v>
          </cell>
          <cell r="C3199">
            <v>3643.26</v>
          </cell>
          <cell r="D3199">
            <v>302.5</v>
          </cell>
          <cell r="E3199">
            <v>315.05</v>
          </cell>
          <cell r="F3199">
            <v>330.24</v>
          </cell>
          <cell r="G3199">
            <v>290.93</v>
          </cell>
          <cell r="H3199">
            <v>4454.74</v>
          </cell>
          <cell r="I3199">
            <v>342.28</v>
          </cell>
        </row>
        <row r="3200">
          <cell r="A3200">
            <v>36272</v>
          </cell>
          <cell r="B3200">
            <v>3657.17</v>
          </cell>
          <cell r="C3200">
            <v>3676.61</v>
          </cell>
          <cell r="D3200">
            <v>305.61</v>
          </cell>
          <cell r="E3200">
            <v>317.16000000000003</v>
          </cell>
          <cell r="F3200">
            <v>332.34</v>
          </cell>
          <cell r="G3200">
            <v>295.08999999999997</v>
          </cell>
          <cell r="H3200">
            <v>4518.75</v>
          </cell>
          <cell r="I3200">
            <v>349.93</v>
          </cell>
        </row>
        <row r="3201">
          <cell r="A3201">
            <v>36273</v>
          </cell>
          <cell r="B3201">
            <v>3652.59</v>
          </cell>
          <cell r="C3201">
            <v>3662.31</v>
          </cell>
          <cell r="D3201">
            <v>305.56</v>
          </cell>
          <cell r="E3201">
            <v>315.69</v>
          </cell>
          <cell r="F3201">
            <v>331.13</v>
          </cell>
          <cell r="G3201">
            <v>296.51</v>
          </cell>
          <cell r="H3201">
            <v>4485.8999999999996</v>
          </cell>
          <cell r="I3201">
            <v>347.09</v>
          </cell>
        </row>
        <row r="3202">
          <cell r="A3202">
            <v>36276</v>
          </cell>
          <cell r="B3202">
            <v>3685.37</v>
          </cell>
          <cell r="C3202">
            <v>3678.37</v>
          </cell>
          <cell r="D3202">
            <v>307.63</v>
          </cell>
          <cell r="E3202">
            <v>316.97000000000003</v>
          </cell>
          <cell r="F3202">
            <v>332.88</v>
          </cell>
          <cell r="G3202">
            <v>299.39999999999998</v>
          </cell>
          <cell r="H3202">
            <v>4484.6899999999996</v>
          </cell>
          <cell r="I3202">
            <v>346.95</v>
          </cell>
        </row>
        <row r="3203">
          <cell r="A3203">
            <v>36277</v>
          </cell>
          <cell r="B3203">
            <v>3764.53</v>
          </cell>
          <cell r="C3203">
            <v>3756.2</v>
          </cell>
          <cell r="D3203">
            <v>312.45999999999998</v>
          </cell>
          <cell r="E3203">
            <v>323.2</v>
          </cell>
          <cell r="F3203">
            <v>339.2</v>
          </cell>
          <cell r="G3203">
            <v>302.8</v>
          </cell>
          <cell r="H3203">
            <v>4544.95</v>
          </cell>
          <cell r="I3203">
            <v>351.91</v>
          </cell>
        </row>
        <row r="3204">
          <cell r="A3204">
            <v>36278</v>
          </cell>
          <cell r="B3204">
            <v>3763.44</v>
          </cell>
          <cell r="C3204">
            <v>3743.49</v>
          </cell>
          <cell r="D3204">
            <v>312.33</v>
          </cell>
          <cell r="E3204">
            <v>322.23</v>
          </cell>
          <cell r="F3204">
            <v>338.41</v>
          </cell>
          <cell r="G3204">
            <v>303.54000000000002</v>
          </cell>
          <cell r="H3204">
            <v>4521.18</v>
          </cell>
          <cell r="I3204">
            <v>348.38</v>
          </cell>
        </row>
        <row r="3205">
          <cell r="A3205">
            <v>36279</v>
          </cell>
          <cell r="B3205">
            <v>3737.52</v>
          </cell>
          <cell r="C3205">
            <v>3735.91</v>
          </cell>
          <cell r="D3205">
            <v>310.32</v>
          </cell>
          <cell r="E3205">
            <v>321.66000000000003</v>
          </cell>
          <cell r="F3205">
            <v>337.56</v>
          </cell>
          <cell r="G3205">
            <v>300.05</v>
          </cell>
          <cell r="H3205">
            <v>4527.33</v>
          </cell>
          <cell r="I3205">
            <v>348.1</v>
          </cell>
        </row>
        <row r="3206">
          <cell r="A3206">
            <v>36280</v>
          </cell>
          <cell r="B3206">
            <v>3763.67</v>
          </cell>
          <cell r="C3206">
            <v>3757.87</v>
          </cell>
          <cell r="D3206">
            <v>312.35000000000002</v>
          </cell>
          <cell r="E3206">
            <v>323.37</v>
          </cell>
          <cell r="F3206">
            <v>339.23</v>
          </cell>
          <cell r="G3206">
            <v>302.39999999999998</v>
          </cell>
          <cell r="H3206">
            <v>4553.33</v>
          </cell>
          <cell r="I3206">
            <v>351.65</v>
          </cell>
        </row>
        <row r="3207">
          <cell r="A3207">
            <v>36283</v>
          </cell>
          <cell r="B3207">
            <v>3783</v>
          </cell>
          <cell r="C3207">
            <v>3776.39</v>
          </cell>
          <cell r="D3207">
            <v>313.74</v>
          </cell>
          <cell r="E3207">
            <v>324.69</v>
          </cell>
          <cell r="F3207">
            <v>341.51</v>
          </cell>
          <cell r="G3207">
            <v>303.88</v>
          </cell>
          <cell r="H3207">
            <v>4578.13</v>
          </cell>
          <cell r="I3207">
            <v>351.94</v>
          </cell>
        </row>
        <row r="3208">
          <cell r="A3208">
            <v>36284</v>
          </cell>
          <cell r="B3208">
            <v>3777.25</v>
          </cell>
          <cell r="C3208">
            <v>3775.33</v>
          </cell>
          <cell r="D3208">
            <v>313.63</v>
          </cell>
          <cell r="E3208">
            <v>324.61</v>
          </cell>
          <cell r="F3208">
            <v>341.05</v>
          </cell>
          <cell r="G3208">
            <v>303.73</v>
          </cell>
          <cell r="H3208">
            <v>4584.8900000000003</v>
          </cell>
          <cell r="I3208">
            <v>353.22</v>
          </cell>
        </row>
        <row r="3209">
          <cell r="A3209">
            <v>36285</v>
          </cell>
          <cell r="B3209">
            <v>3700.4</v>
          </cell>
          <cell r="C3209">
            <v>3716.13</v>
          </cell>
          <cell r="D3209">
            <v>308.12</v>
          </cell>
          <cell r="E3209">
            <v>320.27999999999997</v>
          </cell>
          <cell r="F3209">
            <v>336.53</v>
          </cell>
          <cell r="G3209">
            <v>296.99</v>
          </cell>
          <cell r="H3209">
            <v>4488.88</v>
          </cell>
          <cell r="I3209">
            <v>346.59</v>
          </cell>
        </row>
        <row r="3210">
          <cell r="A3210">
            <v>36286</v>
          </cell>
          <cell r="B3210">
            <v>3690.39</v>
          </cell>
          <cell r="C3210">
            <v>3700.37</v>
          </cell>
          <cell r="D3210">
            <v>307.57</v>
          </cell>
          <cell r="E3210">
            <v>319.02</v>
          </cell>
          <cell r="F3210">
            <v>335.43</v>
          </cell>
          <cell r="G3210">
            <v>297.17</v>
          </cell>
          <cell r="H3210">
            <v>4430.91</v>
          </cell>
          <cell r="I3210">
            <v>343.65</v>
          </cell>
        </row>
        <row r="3211">
          <cell r="A3211">
            <v>36287</v>
          </cell>
          <cell r="B3211">
            <v>3663.61</v>
          </cell>
          <cell r="C3211">
            <v>3683.34</v>
          </cell>
          <cell r="D3211">
            <v>306.2</v>
          </cell>
          <cell r="E3211">
            <v>318.13</v>
          </cell>
          <cell r="F3211">
            <v>334.54</v>
          </cell>
          <cell r="G3211">
            <v>295.3</v>
          </cell>
          <cell r="H3211">
            <v>4431.38</v>
          </cell>
          <cell r="I3211">
            <v>342.61</v>
          </cell>
        </row>
        <row r="3212">
          <cell r="A3212">
            <v>36290</v>
          </cell>
          <cell r="B3212">
            <v>3662.52</v>
          </cell>
          <cell r="C3212">
            <v>3693.41</v>
          </cell>
          <cell r="D3212">
            <v>305.69</v>
          </cell>
          <cell r="E3212">
            <v>318.58</v>
          </cell>
          <cell r="F3212">
            <v>334.53</v>
          </cell>
          <cell r="G3212">
            <v>293.79000000000002</v>
          </cell>
          <cell r="H3212">
            <v>4475.93</v>
          </cell>
          <cell r="I3212">
            <v>347.62</v>
          </cell>
        </row>
        <row r="3213">
          <cell r="A3213">
            <v>36291</v>
          </cell>
          <cell r="B3213">
            <v>3675.88</v>
          </cell>
          <cell r="C3213">
            <v>3702.38</v>
          </cell>
          <cell r="D3213">
            <v>306.95</v>
          </cell>
          <cell r="E3213">
            <v>319.41000000000003</v>
          </cell>
          <cell r="F3213">
            <v>335.66</v>
          </cell>
          <cell r="G3213">
            <v>295.5</v>
          </cell>
          <cell r="H3213">
            <v>4492.05</v>
          </cell>
          <cell r="I3213">
            <v>349.5</v>
          </cell>
        </row>
        <row r="3214">
          <cell r="A3214">
            <v>36292</v>
          </cell>
          <cell r="B3214">
            <v>3658.53</v>
          </cell>
          <cell r="C3214">
            <v>3679.45</v>
          </cell>
          <cell r="D3214">
            <v>305.75</v>
          </cell>
          <cell r="E3214">
            <v>317.77</v>
          </cell>
          <cell r="F3214">
            <v>334.15</v>
          </cell>
          <cell r="G3214">
            <v>294.76</v>
          </cell>
          <cell r="H3214">
            <v>4477.3500000000004</v>
          </cell>
          <cell r="I3214">
            <v>349.49</v>
          </cell>
        </row>
        <row r="3215">
          <cell r="A3215">
            <v>36293</v>
          </cell>
          <cell r="B3215">
            <v>3686.2</v>
          </cell>
          <cell r="C3215">
            <v>3693.62</v>
          </cell>
          <cell r="D3215">
            <v>308.33999999999997</v>
          </cell>
          <cell r="E3215">
            <v>319.33999999999997</v>
          </cell>
          <cell r="F3215">
            <v>335.33</v>
          </cell>
          <cell r="G3215">
            <v>298.41000000000003</v>
          </cell>
          <cell r="H3215">
            <v>4476.05</v>
          </cell>
          <cell r="I3215">
            <v>349.46</v>
          </cell>
        </row>
        <row r="3216">
          <cell r="A3216">
            <v>36294</v>
          </cell>
          <cell r="B3216">
            <v>3623.35</v>
          </cell>
          <cell r="C3216">
            <v>3643.82</v>
          </cell>
          <cell r="D3216">
            <v>303.24</v>
          </cell>
          <cell r="E3216">
            <v>314.89</v>
          </cell>
          <cell r="F3216">
            <v>330.98</v>
          </cell>
          <cell r="G3216">
            <v>292.61</v>
          </cell>
          <cell r="H3216">
            <v>4435.33</v>
          </cell>
          <cell r="I3216">
            <v>346.2</v>
          </cell>
        </row>
        <row r="3217">
          <cell r="A3217">
            <v>36297</v>
          </cell>
          <cell r="B3217">
            <v>3549.33</v>
          </cell>
          <cell r="C3217">
            <v>3574.13</v>
          </cell>
          <cell r="D3217">
            <v>297.8</v>
          </cell>
          <cell r="E3217">
            <v>309.33999999999997</v>
          </cell>
          <cell r="F3217">
            <v>325.11</v>
          </cell>
          <cell r="G3217">
            <v>287.25</v>
          </cell>
          <cell r="H3217">
            <v>4398.9399999999996</v>
          </cell>
          <cell r="I3217">
            <v>343.09</v>
          </cell>
        </row>
        <row r="3218">
          <cell r="A3218">
            <v>36298</v>
          </cell>
          <cell r="B3218">
            <v>3574.99</v>
          </cell>
          <cell r="C3218">
            <v>3608.77</v>
          </cell>
          <cell r="D3218">
            <v>299.99</v>
          </cell>
          <cell r="E3218">
            <v>312.29000000000002</v>
          </cell>
          <cell r="F3218">
            <v>328.49</v>
          </cell>
          <cell r="G3218">
            <v>288.67</v>
          </cell>
          <cell r="H3218">
            <v>4428.2299999999996</v>
          </cell>
          <cell r="I3218">
            <v>344.33</v>
          </cell>
        </row>
        <row r="3219">
          <cell r="A3219">
            <v>36299</v>
          </cell>
          <cell r="B3219">
            <v>3624.4</v>
          </cell>
          <cell r="C3219">
            <v>3653</v>
          </cell>
          <cell r="D3219">
            <v>303.10000000000002</v>
          </cell>
          <cell r="E3219">
            <v>316.2</v>
          </cell>
          <cell r="F3219">
            <v>332.23</v>
          </cell>
          <cell r="G3219">
            <v>290.98</v>
          </cell>
          <cell r="H3219">
            <v>4481.7</v>
          </cell>
          <cell r="I3219">
            <v>347.05</v>
          </cell>
        </row>
        <row r="3220">
          <cell r="A3220">
            <v>36300</v>
          </cell>
          <cell r="B3220">
            <v>3678.15</v>
          </cell>
          <cell r="C3220">
            <v>3684.21</v>
          </cell>
          <cell r="D3220">
            <v>306.68</v>
          </cell>
          <cell r="E3220">
            <v>318.86</v>
          </cell>
          <cell r="F3220">
            <v>335.16</v>
          </cell>
          <cell r="G3220">
            <v>295.51</v>
          </cell>
          <cell r="H3220">
            <v>4524.46</v>
          </cell>
          <cell r="I3220">
            <v>350.21</v>
          </cell>
        </row>
        <row r="3221">
          <cell r="A3221">
            <v>36301</v>
          </cell>
          <cell r="B3221">
            <v>3684.5</v>
          </cell>
          <cell r="C3221">
            <v>3691.31</v>
          </cell>
          <cell r="D3221">
            <v>307.04000000000002</v>
          </cell>
          <cell r="E3221">
            <v>319.68</v>
          </cell>
          <cell r="F3221">
            <v>335.47</v>
          </cell>
          <cell r="G3221">
            <v>295.42</v>
          </cell>
          <cell r="H3221">
            <v>4514.74</v>
          </cell>
          <cell r="I3221">
            <v>349.79</v>
          </cell>
        </row>
        <row r="3222">
          <cell r="A3222">
            <v>36305</v>
          </cell>
          <cell r="B3222">
            <v>3599.75</v>
          </cell>
          <cell r="C3222">
            <v>3634.4</v>
          </cell>
          <cell r="D3222">
            <v>301.58</v>
          </cell>
          <cell r="E3222">
            <v>315.22000000000003</v>
          </cell>
          <cell r="F3222">
            <v>330.72</v>
          </cell>
          <cell r="G3222">
            <v>288.89999999999998</v>
          </cell>
          <cell r="H3222">
            <v>4433.8599999999997</v>
          </cell>
          <cell r="I3222">
            <v>341.47</v>
          </cell>
        </row>
        <row r="3223">
          <cell r="A3223">
            <v>36306</v>
          </cell>
          <cell r="B3223">
            <v>3615.65</v>
          </cell>
          <cell r="C3223">
            <v>3643.9</v>
          </cell>
          <cell r="D3223">
            <v>302.41000000000003</v>
          </cell>
          <cell r="E3223">
            <v>315.45999999999998</v>
          </cell>
          <cell r="F3223">
            <v>330.8</v>
          </cell>
          <cell r="G3223">
            <v>290.33</v>
          </cell>
          <cell r="H3223">
            <v>4444.46</v>
          </cell>
          <cell r="I3223">
            <v>342.88</v>
          </cell>
        </row>
        <row r="3224">
          <cell r="A3224">
            <v>36307</v>
          </cell>
          <cell r="B3224">
            <v>3569.46</v>
          </cell>
          <cell r="C3224">
            <v>3587.16</v>
          </cell>
          <cell r="D3224">
            <v>299.38</v>
          </cell>
          <cell r="E3224">
            <v>311.19</v>
          </cell>
          <cell r="F3224">
            <v>326.26</v>
          </cell>
          <cell r="G3224">
            <v>288.58</v>
          </cell>
          <cell r="H3224">
            <v>4409.7700000000004</v>
          </cell>
          <cell r="I3224">
            <v>340.08</v>
          </cell>
        </row>
        <row r="3225">
          <cell r="A3225">
            <v>36308</v>
          </cell>
          <cell r="B3225">
            <v>3582.83</v>
          </cell>
          <cell r="C3225">
            <v>3602.45</v>
          </cell>
          <cell r="D3225">
            <v>300.08</v>
          </cell>
          <cell r="E3225">
            <v>311.49</v>
          </cell>
          <cell r="F3225">
            <v>326.63</v>
          </cell>
          <cell r="G3225">
            <v>289.69</v>
          </cell>
          <cell r="H3225">
            <v>4399.33</v>
          </cell>
          <cell r="I3225">
            <v>340.29</v>
          </cell>
        </row>
        <row r="3226">
          <cell r="A3226">
            <v>36311</v>
          </cell>
          <cell r="B3226">
            <v>3607.75</v>
          </cell>
          <cell r="C3226">
            <v>3629.46</v>
          </cell>
          <cell r="D3226">
            <v>301.22000000000003</v>
          </cell>
          <cell r="E3226">
            <v>313.02999999999997</v>
          </cell>
          <cell r="F3226">
            <v>328.65</v>
          </cell>
          <cell r="G3226">
            <v>290.42</v>
          </cell>
          <cell r="H3226">
            <v>4401.6000000000004</v>
          </cell>
          <cell r="I3226">
            <v>341.23</v>
          </cell>
        </row>
        <row r="3227">
          <cell r="A3227">
            <v>36312</v>
          </cell>
          <cell r="B3227">
            <v>3609.23</v>
          </cell>
          <cell r="C3227">
            <v>3610.59</v>
          </cell>
          <cell r="D3227">
            <v>301.5</v>
          </cell>
          <cell r="E3227">
            <v>311.44</v>
          </cell>
          <cell r="F3227">
            <v>327.37</v>
          </cell>
          <cell r="G3227">
            <v>292.64</v>
          </cell>
          <cell r="H3227">
            <v>4403.87</v>
          </cell>
          <cell r="I3227">
            <v>342.69</v>
          </cell>
        </row>
        <row r="3228">
          <cell r="A3228">
            <v>36313</v>
          </cell>
          <cell r="B3228">
            <v>3634.81</v>
          </cell>
          <cell r="C3228">
            <v>3615.54</v>
          </cell>
          <cell r="D3228">
            <v>303.44</v>
          </cell>
          <cell r="E3228">
            <v>311.72000000000003</v>
          </cell>
          <cell r="F3228">
            <v>328.32</v>
          </cell>
          <cell r="G3228">
            <v>296.32</v>
          </cell>
          <cell r="H3228">
            <v>4430.99</v>
          </cell>
          <cell r="I3228">
            <v>343.45</v>
          </cell>
        </row>
        <row r="3229">
          <cell r="A3229">
            <v>36314</v>
          </cell>
          <cell r="B3229">
            <v>3664.64</v>
          </cell>
          <cell r="C3229">
            <v>3650.98</v>
          </cell>
          <cell r="D3229">
            <v>305.88</v>
          </cell>
          <cell r="E3229">
            <v>314.33</v>
          </cell>
          <cell r="F3229">
            <v>331.39</v>
          </cell>
          <cell r="G3229">
            <v>298.58999999999997</v>
          </cell>
          <cell r="H3229">
            <v>4485.6499999999996</v>
          </cell>
          <cell r="I3229">
            <v>347.91</v>
          </cell>
        </row>
        <row r="3230">
          <cell r="A3230">
            <v>36315</v>
          </cell>
          <cell r="B3230">
            <v>3694.99</v>
          </cell>
          <cell r="C3230">
            <v>3671.42</v>
          </cell>
          <cell r="D3230">
            <v>307.95</v>
          </cell>
          <cell r="E3230">
            <v>315.95999999999998</v>
          </cell>
          <cell r="F3230">
            <v>333.55</v>
          </cell>
          <cell r="G3230">
            <v>301.13</v>
          </cell>
          <cell r="H3230">
            <v>4535.82</v>
          </cell>
          <cell r="I3230">
            <v>351.29</v>
          </cell>
        </row>
        <row r="3231">
          <cell r="A3231">
            <v>36318</v>
          </cell>
          <cell r="B3231">
            <v>3738.65</v>
          </cell>
          <cell r="C3231">
            <v>3717.94</v>
          </cell>
          <cell r="D3231">
            <v>310.92</v>
          </cell>
          <cell r="E3231">
            <v>319.54000000000002</v>
          </cell>
          <cell r="F3231">
            <v>337.28</v>
          </cell>
          <cell r="G3231">
            <v>303.47000000000003</v>
          </cell>
          <cell r="H3231">
            <v>4599.88</v>
          </cell>
          <cell r="I3231">
            <v>357.26</v>
          </cell>
        </row>
        <row r="3232">
          <cell r="A3232">
            <v>36319</v>
          </cell>
          <cell r="B3232">
            <v>3734.39</v>
          </cell>
          <cell r="C3232">
            <v>3721.67</v>
          </cell>
          <cell r="D3232">
            <v>310.29000000000002</v>
          </cell>
          <cell r="E3232">
            <v>319.95</v>
          </cell>
          <cell r="F3232">
            <v>337.3</v>
          </cell>
          <cell r="G3232">
            <v>301.76</v>
          </cell>
          <cell r="H3232">
            <v>4611.93</v>
          </cell>
          <cell r="I3232">
            <v>358.13</v>
          </cell>
        </row>
        <row r="3233">
          <cell r="A3233">
            <v>36320</v>
          </cell>
          <cell r="B3233">
            <v>3738.81</v>
          </cell>
          <cell r="C3233">
            <v>3739.07</v>
          </cell>
          <cell r="D3233">
            <v>310.97000000000003</v>
          </cell>
          <cell r="E3233">
            <v>321.38</v>
          </cell>
          <cell r="F3233">
            <v>338.6</v>
          </cell>
          <cell r="G3233">
            <v>301.68</v>
          </cell>
          <cell r="H3233">
            <v>4641.68</v>
          </cell>
          <cell r="I3233">
            <v>359.59</v>
          </cell>
        </row>
        <row r="3234">
          <cell r="A3234">
            <v>36321</v>
          </cell>
          <cell r="B3234">
            <v>3695.7</v>
          </cell>
          <cell r="C3234">
            <v>3706.76</v>
          </cell>
          <cell r="D3234">
            <v>307.73</v>
          </cell>
          <cell r="E3234">
            <v>318.63</v>
          </cell>
          <cell r="F3234">
            <v>335.11</v>
          </cell>
          <cell r="G3234">
            <v>297.91000000000003</v>
          </cell>
          <cell r="H3234">
            <v>4611.99</v>
          </cell>
          <cell r="I3234">
            <v>357.96</v>
          </cell>
        </row>
        <row r="3235">
          <cell r="A3235">
            <v>36322</v>
          </cell>
          <cell r="B3235">
            <v>3738.64</v>
          </cell>
          <cell r="C3235">
            <v>3749.67</v>
          </cell>
          <cell r="D3235">
            <v>310.58</v>
          </cell>
          <cell r="E3235">
            <v>321.38</v>
          </cell>
          <cell r="F3235">
            <v>337.76</v>
          </cell>
          <cell r="G3235">
            <v>300.86</v>
          </cell>
          <cell r="H3235">
            <v>4676.75</v>
          </cell>
          <cell r="I3235">
            <v>364.58</v>
          </cell>
        </row>
        <row r="3236">
          <cell r="A3236">
            <v>36325</v>
          </cell>
          <cell r="B3236">
            <v>3729.24</v>
          </cell>
          <cell r="C3236">
            <v>3735.77</v>
          </cell>
          <cell r="D3236">
            <v>309.89999999999998</v>
          </cell>
          <cell r="E3236">
            <v>319.64999999999998</v>
          </cell>
          <cell r="F3236">
            <v>336.19</v>
          </cell>
          <cell r="G3236">
            <v>301.27999999999997</v>
          </cell>
          <cell r="H3236">
            <v>4655.62</v>
          </cell>
          <cell r="I3236">
            <v>363.34</v>
          </cell>
        </row>
        <row r="3237">
          <cell r="A3237">
            <v>36326</v>
          </cell>
          <cell r="B3237">
            <v>3736.32</v>
          </cell>
          <cell r="C3237">
            <v>3742.88</v>
          </cell>
          <cell r="D3237">
            <v>310.13</v>
          </cell>
          <cell r="E3237">
            <v>321.48</v>
          </cell>
          <cell r="F3237">
            <v>337.62</v>
          </cell>
          <cell r="G3237">
            <v>299.86</v>
          </cell>
          <cell r="H3237">
            <v>4648.99</v>
          </cell>
          <cell r="I3237">
            <v>362.87</v>
          </cell>
        </row>
        <row r="3238">
          <cell r="A3238">
            <v>36327</v>
          </cell>
          <cell r="B3238">
            <v>3779.13</v>
          </cell>
          <cell r="C3238">
            <v>3780.6</v>
          </cell>
          <cell r="D3238">
            <v>313.29000000000002</v>
          </cell>
          <cell r="E3238">
            <v>324.35000000000002</v>
          </cell>
          <cell r="F3238">
            <v>340.55</v>
          </cell>
          <cell r="G3238">
            <v>303.33</v>
          </cell>
          <cell r="H3238">
            <v>4704.6499999999996</v>
          </cell>
          <cell r="I3238">
            <v>367.47</v>
          </cell>
        </row>
        <row r="3239">
          <cell r="A3239">
            <v>36328</v>
          </cell>
          <cell r="B3239">
            <v>3801.96</v>
          </cell>
          <cell r="C3239">
            <v>3806.55</v>
          </cell>
          <cell r="D3239">
            <v>314.41000000000003</v>
          </cell>
          <cell r="E3239">
            <v>325.85000000000002</v>
          </cell>
          <cell r="F3239">
            <v>342.17</v>
          </cell>
          <cell r="G3239">
            <v>304.07</v>
          </cell>
          <cell r="H3239">
            <v>4734.07</v>
          </cell>
          <cell r="I3239">
            <v>369.97</v>
          </cell>
        </row>
        <row r="3240">
          <cell r="A3240">
            <v>36329</v>
          </cell>
          <cell r="B3240">
            <v>3812.47</v>
          </cell>
          <cell r="C3240">
            <v>3822.89</v>
          </cell>
          <cell r="D3240">
            <v>315.51</v>
          </cell>
          <cell r="E3240">
            <v>326.91000000000003</v>
          </cell>
          <cell r="F3240">
            <v>343.58</v>
          </cell>
          <cell r="G3240">
            <v>305.2</v>
          </cell>
          <cell r="H3240">
            <v>4796.57</v>
          </cell>
          <cell r="I3240">
            <v>373.98</v>
          </cell>
        </row>
        <row r="3241">
          <cell r="A3241">
            <v>36332</v>
          </cell>
          <cell r="B3241">
            <v>3863.74</v>
          </cell>
          <cell r="C3241">
            <v>3867.89</v>
          </cell>
          <cell r="D3241">
            <v>318.93</v>
          </cell>
          <cell r="E3241">
            <v>330.49</v>
          </cell>
          <cell r="F3241">
            <v>347.38</v>
          </cell>
          <cell r="G3241">
            <v>308.48</v>
          </cell>
          <cell r="H3241">
            <v>4856.28</v>
          </cell>
          <cell r="I3241">
            <v>380.82</v>
          </cell>
        </row>
        <row r="3242">
          <cell r="A3242">
            <v>36333</v>
          </cell>
          <cell r="B3242">
            <v>3842.98</v>
          </cell>
          <cell r="C3242">
            <v>3857.06</v>
          </cell>
          <cell r="D3242">
            <v>317.26</v>
          </cell>
          <cell r="E3242">
            <v>329.57</v>
          </cell>
          <cell r="F3242">
            <v>345.72</v>
          </cell>
          <cell r="G3242">
            <v>306.02</v>
          </cell>
          <cell r="H3242">
            <v>4880.76</v>
          </cell>
          <cell r="I3242">
            <v>380.62</v>
          </cell>
        </row>
        <row r="3243">
          <cell r="A3243">
            <v>36334</v>
          </cell>
          <cell r="B3243">
            <v>3807.27</v>
          </cell>
          <cell r="C3243">
            <v>3828.79</v>
          </cell>
          <cell r="D3243">
            <v>314.02</v>
          </cell>
          <cell r="E3243">
            <v>326.60000000000002</v>
          </cell>
          <cell r="F3243">
            <v>342.45</v>
          </cell>
          <cell r="G3243">
            <v>302.5</v>
          </cell>
          <cell r="H3243">
            <v>4816.3599999999997</v>
          </cell>
          <cell r="I3243">
            <v>375.74</v>
          </cell>
        </row>
        <row r="3244">
          <cell r="A3244">
            <v>36335</v>
          </cell>
          <cell r="B3244">
            <v>3767.34</v>
          </cell>
          <cell r="C3244">
            <v>3779.39</v>
          </cell>
          <cell r="D3244">
            <v>311.17</v>
          </cell>
          <cell r="E3244">
            <v>323.51</v>
          </cell>
          <cell r="F3244">
            <v>339.49</v>
          </cell>
          <cell r="G3244">
            <v>299.86</v>
          </cell>
          <cell r="H3244">
            <v>4798.3500000000004</v>
          </cell>
          <cell r="I3244">
            <v>373.43</v>
          </cell>
        </row>
        <row r="3245">
          <cell r="A3245">
            <v>36336</v>
          </cell>
          <cell r="B3245">
            <v>3728.19</v>
          </cell>
          <cell r="C3245">
            <v>3739.81</v>
          </cell>
          <cell r="D3245">
            <v>309.07</v>
          </cell>
          <cell r="E3245">
            <v>321.52</v>
          </cell>
          <cell r="F3245">
            <v>337.41</v>
          </cell>
          <cell r="G3245">
            <v>297.64999999999998</v>
          </cell>
          <cell r="H3245">
            <v>4788.41</v>
          </cell>
          <cell r="I3245">
            <v>372.71</v>
          </cell>
        </row>
        <row r="3246">
          <cell r="A3246">
            <v>36339</v>
          </cell>
          <cell r="B3246">
            <v>3744.4</v>
          </cell>
          <cell r="C3246">
            <v>3766.49</v>
          </cell>
          <cell r="D3246">
            <v>309.98</v>
          </cell>
          <cell r="E3246">
            <v>323.18</v>
          </cell>
          <cell r="F3246">
            <v>338.73</v>
          </cell>
          <cell r="G3246">
            <v>297.77999999999997</v>
          </cell>
          <cell r="H3246">
            <v>4782.37</v>
          </cell>
          <cell r="I3246">
            <v>373.05</v>
          </cell>
        </row>
        <row r="3247">
          <cell r="A3247">
            <v>36340</v>
          </cell>
          <cell r="B3247">
            <v>3751.88</v>
          </cell>
          <cell r="C3247">
            <v>3787.49</v>
          </cell>
          <cell r="D3247">
            <v>309.93</v>
          </cell>
          <cell r="E3247">
            <v>324.33999999999997</v>
          </cell>
          <cell r="F3247">
            <v>340.24</v>
          </cell>
          <cell r="G3247">
            <v>296.49</v>
          </cell>
          <cell r="H3247">
            <v>4818.8500000000004</v>
          </cell>
          <cell r="I3247">
            <v>376.6</v>
          </cell>
        </row>
        <row r="3248">
          <cell r="A3248">
            <v>36341</v>
          </cell>
          <cell r="B3248">
            <v>3747.38</v>
          </cell>
          <cell r="C3248">
            <v>3788.66</v>
          </cell>
          <cell r="D3248">
            <v>309.69</v>
          </cell>
          <cell r="E3248">
            <v>324.77999999999997</v>
          </cell>
          <cell r="F3248">
            <v>340.2</v>
          </cell>
          <cell r="G3248">
            <v>295.54000000000002</v>
          </cell>
          <cell r="H3248">
            <v>4800.43</v>
          </cell>
          <cell r="I3248">
            <v>375.89</v>
          </cell>
        </row>
        <row r="3249">
          <cell r="A3249">
            <v>36342</v>
          </cell>
          <cell r="B3249">
            <v>3847.63</v>
          </cell>
          <cell r="C3249">
            <v>3865.54</v>
          </cell>
          <cell r="D3249">
            <v>319.64</v>
          </cell>
          <cell r="E3249">
            <v>329.82</v>
          </cell>
          <cell r="F3249">
            <v>345.8</v>
          </cell>
          <cell r="G3249">
            <v>303.69</v>
          </cell>
          <cell r="H3249">
            <v>4881.71</v>
          </cell>
          <cell r="I3249">
            <v>382.98</v>
          </cell>
        </row>
        <row r="3250">
          <cell r="A3250">
            <v>36343</v>
          </cell>
          <cell r="B3250">
            <v>3867.41</v>
          </cell>
          <cell r="C3250">
            <v>3888.11</v>
          </cell>
          <cell r="D3250">
            <v>321.12</v>
          </cell>
          <cell r="E3250">
            <v>331.34</v>
          </cell>
          <cell r="F3250">
            <v>348.1</v>
          </cell>
          <cell r="G3250">
            <v>305.08999999999997</v>
          </cell>
          <cell r="H3250">
            <v>4930.04</v>
          </cell>
          <cell r="I3250">
            <v>389.09</v>
          </cell>
        </row>
        <row r="3251">
          <cell r="A3251">
            <v>36346</v>
          </cell>
          <cell r="B3251">
            <v>3944.72</v>
          </cell>
          <cell r="C3251">
            <v>3971.84</v>
          </cell>
          <cell r="D3251">
            <v>326.08999999999997</v>
          </cell>
          <cell r="E3251">
            <v>336.86</v>
          </cell>
          <cell r="F3251">
            <v>353.7</v>
          </cell>
          <cell r="G3251">
            <v>309.42</v>
          </cell>
          <cell r="H3251">
            <v>4990.4399999999996</v>
          </cell>
          <cell r="I3251">
            <v>395.09</v>
          </cell>
        </row>
        <row r="3252">
          <cell r="A3252">
            <v>36347</v>
          </cell>
          <cell r="B3252">
            <v>3934.64</v>
          </cell>
          <cell r="C3252">
            <v>3968.99</v>
          </cell>
          <cell r="D3252">
            <v>325.24</v>
          </cell>
          <cell r="E3252">
            <v>336.53</v>
          </cell>
          <cell r="F3252">
            <v>352.7</v>
          </cell>
          <cell r="G3252">
            <v>308.08</v>
          </cell>
          <cell r="H3252">
            <v>4985.8999999999996</v>
          </cell>
          <cell r="I3252">
            <v>394.44</v>
          </cell>
        </row>
        <row r="3253">
          <cell r="A3253">
            <v>36348</v>
          </cell>
          <cell r="B3253">
            <v>3901.68</v>
          </cell>
          <cell r="C3253">
            <v>3950.49</v>
          </cell>
          <cell r="D3253">
            <v>323.42</v>
          </cell>
          <cell r="E3253">
            <v>335.07</v>
          </cell>
          <cell r="F3253">
            <v>350.64</v>
          </cell>
          <cell r="G3253">
            <v>305.95</v>
          </cell>
          <cell r="H3253">
            <v>4910.12</v>
          </cell>
          <cell r="I3253">
            <v>387.72</v>
          </cell>
        </row>
        <row r="3254">
          <cell r="A3254">
            <v>36349</v>
          </cell>
          <cell r="B3254">
            <v>3894.12</v>
          </cell>
          <cell r="C3254">
            <v>3951</v>
          </cell>
          <cell r="D3254">
            <v>319.43</v>
          </cell>
          <cell r="E3254">
            <v>335.37</v>
          </cell>
          <cell r="F3254">
            <v>350.43</v>
          </cell>
          <cell r="G3254">
            <v>304.51</v>
          </cell>
          <cell r="H3254">
            <v>4924.2299999999996</v>
          </cell>
          <cell r="I3254">
            <v>387.78</v>
          </cell>
        </row>
        <row r="3255">
          <cell r="A3255">
            <v>36350</v>
          </cell>
          <cell r="B3255">
            <v>3894.07</v>
          </cell>
          <cell r="C3255">
            <v>3962.42</v>
          </cell>
          <cell r="D3255">
            <v>320.22000000000003</v>
          </cell>
          <cell r="E3255">
            <v>336.91</v>
          </cell>
          <cell r="F3255">
            <v>351.71</v>
          </cell>
          <cell r="G3255">
            <v>304.57</v>
          </cell>
          <cell r="H3255">
            <v>4962.74</v>
          </cell>
          <cell r="I3255">
            <v>389.6</v>
          </cell>
        </row>
        <row r="3256">
          <cell r="A3256">
            <v>36353</v>
          </cell>
          <cell r="B3256">
            <v>3904.31</v>
          </cell>
          <cell r="C3256">
            <v>3962.35</v>
          </cell>
          <cell r="D3256">
            <v>321.42</v>
          </cell>
          <cell r="E3256">
            <v>337.5</v>
          </cell>
          <cell r="F3256">
            <v>352.58</v>
          </cell>
          <cell r="G3256">
            <v>306.38</v>
          </cell>
          <cell r="H3256">
            <v>4976.3</v>
          </cell>
          <cell r="I3256">
            <v>391.35</v>
          </cell>
        </row>
        <row r="3257">
          <cell r="A3257">
            <v>36354</v>
          </cell>
          <cell r="B3257">
            <v>3843.39</v>
          </cell>
          <cell r="C3257">
            <v>3905.52</v>
          </cell>
          <cell r="D3257">
            <v>316.36</v>
          </cell>
          <cell r="E3257">
            <v>332.71</v>
          </cell>
          <cell r="F3257">
            <v>347.56</v>
          </cell>
          <cell r="G3257">
            <v>301.04000000000002</v>
          </cell>
          <cell r="H3257">
            <v>4896.2700000000004</v>
          </cell>
          <cell r="I3257">
            <v>385.08</v>
          </cell>
        </row>
        <row r="3258">
          <cell r="A3258">
            <v>36355</v>
          </cell>
          <cell r="B3258">
            <v>3861.94</v>
          </cell>
          <cell r="C3258">
            <v>3922.49</v>
          </cell>
          <cell r="D3258">
            <v>317.79000000000002</v>
          </cell>
          <cell r="E3258">
            <v>334.2</v>
          </cell>
          <cell r="F3258">
            <v>348.99</v>
          </cell>
          <cell r="G3258">
            <v>302.39999999999998</v>
          </cell>
          <cell r="H3258">
            <v>4928.53</v>
          </cell>
          <cell r="I3258">
            <v>387.74</v>
          </cell>
        </row>
        <row r="3259">
          <cell r="A3259">
            <v>36356</v>
          </cell>
          <cell r="B3259">
            <v>3905.92</v>
          </cell>
          <cell r="C3259">
            <v>3960.67</v>
          </cell>
          <cell r="D3259">
            <v>321.19</v>
          </cell>
          <cell r="E3259">
            <v>337.19</v>
          </cell>
          <cell r="F3259">
            <v>351.95</v>
          </cell>
          <cell r="G3259">
            <v>306.22000000000003</v>
          </cell>
          <cell r="H3259">
            <v>4993.63</v>
          </cell>
          <cell r="I3259">
            <v>393.76</v>
          </cell>
        </row>
        <row r="3260">
          <cell r="A3260">
            <v>36357</v>
          </cell>
          <cell r="B3260">
            <v>3890.06</v>
          </cell>
          <cell r="C3260">
            <v>3952.2</v>
          </cell>
          <cell r="D3260">
            <v>320.39</v>
          </cell>
          <cell r="E3260">
            <v>336.31</v>
          </cell>
          <cell r="F3260">
            <v>350.98</v>
          </cell>
          <cell r="G3260">
            <v>305.5</v>
          </cell>
          <cell r="H3260">
            <v>5011.03</v>
          </cell>
          <cell r="I3260">
            <v>394.53</v>
          </cell>
        </row>
        <row r="3261">
          <cell r="A3261">
            <v>36360</v>
          </cell>
          <cell r="B3261">
            <v>3882.54</v>
          </cell>
          <cell r="C3261">
            <v>3946.4</v>
          </cell>
          <cell r="D3261">
            <v>319.79000000000002</v>
          </cell>
          <cell r="E3261">
            <v>336.14</v>
          </cell>
          <cell r="F3261">
            <v>351.34</v>
          </cell>
          <cell r="G3261">
            <v>304.48</v>
          </cell>
          <cell r="H3261">
            <v>5055.8999999999996</v>
          </cell>
          <cell r="I3261">
            <v>396.76</v>
          </cell>
        </row>
        <row r="3262">
          <cell r="A3262">
            <v>36361</v>
          </cell>
          <cell r="B3262">
            <v>3784.72</v>
          </cell>
          <cell r="C3262">
            <v>3856.65</v>
          </cell>
          <cell r="D3262">
            <v>312.52999999999997</v>
          </cell>
          <cell r="E3262">
            <v>329.59</v>
          </cell>
          <cell r="F3262">
            <v>344.89</v>
          </cell>
          <cell r="G3262">
            <v>296.48</v>
          </cell>
          <cell r="H3262">
            <v>4983.54</v>
          </cell>
          <cell r="I3262">
            <v>388.86</v>
          </cell>
        </row>
        <row r="3263">
          <cell r="A3263">
            <v>36362</v>
          </cell>
          <cell r="B3263">
            <v>3727.21</v>
          </cell>
          <cell r="C3263">
            <v>3798.69</v>
          </cell>
          <cell r="D3263">
            <v>308.45</v>
          </cell>
          <cell r="E3263">
            <v>325.16000000000003</v>
          </cell>
          <cell r="F3263">
            <v>340.92</v>
          </cell>
          <cell r="G3263">
            <v>292.73</v>
          </cell>
          <cell r="H3263">
            <v>4889.1000000000004</v>
          </cell>
          <cell r="I3263">
            <v>381.26</v>
          </cell>
        </row>
        <row r="3264">
          <cell r="A3264">
            <v>36363</v>
          </cell>
          <cell r="B3264">
            <v>3695.28</v>
          </cell>
          <cell r="C3264">
            <v>3762.34</v>
          </cell>
          <cell r="D3264">
            <v>306.75</v>
          </cell>
          <cell r="E3264">
            <v>322.18</v>
          </cell>
          <cell r="F3264">
            <v>337.95</v>
          </cell>
          <cell r="G3264">
            <v>292.31</v>
          </cell>
          <cell r="H3264">
            <v>4839.87</v>
          </cell>
          <cell r="I3264">
            <v>376.72</v>
          </cell>
        </row>
        <row r="3265">
          <cell r="A3265">
            <v>36364</v>
          </cell>
          <cell r="B3265">
            <v>3656.61</v>
          </cell>
          <cell r="C3265">
            <v>3723.55</v>
          </cell>
          <cell r="D3265">
            <v>303.32</v>
          </cell>
          <cell r="E3265">
            <v>318.89</v>
          </cell>
          <cell r="F3265">
            <v>334.6</v>
          </cell>
          <cell r="G3265">
            <v>288.73</v>
          </cell>
          <cell r="H3265">
            <v>4818.29</v>
          </cell>
          <cell r="I3265">
            <v>375.02</v>
          </cell>
        </row>
        <row r="3266">
          <cell r="A3266">
            <v>36367</v>
          </cell>
          <cell r="B3266">
            <v>3616.81</v>
          </cell>
          <cell r="C3266">
            <v>3676.91</v>
          </cell>
          <cell r="D3266">
            <v>299.27</v>
          </cell>
          <cell r="E3266">
            <v>314.39</v>
          </cell>
          <cell r="F3266">
            <v>330.39</v>
          </cell>
          <cell r="G3266">
            <v>285.12</v>
          </cell>
          <cell r="H3266">
            <v>4794.25</v>
          </cell>
          <cell r="I3266">
            <v>374.7</v>
          </cell>
        </row>
        <row r="3267">
          <cell r="A3267">
            <v>36368</v>
          </cell>
          <cell r="B3267">
            <v>3649.66</v>
          </cell>
          <cell r="C3267">
            <v>3687.58</v>
          </cell>
          <cell r="D3267">
            <v>301.7</v>
          </cell>
          <cell r="E3267">
            <v>315.43</v>
          </cell>
          <cell r="F3267">
            <v>331.87</v>
          </cell>
          <cell r="G3267">
            <v>288.94</v>
          </cell>
          <cell r="H3267">
            <v>4806.34</v>
          </cell>
          <cell r="I3267">
            <v>375.35</v>
          </cell>
        </row>
        <row r="3268">
          <cell r="A3268">
            <v>36369</v>
          </cell>
          <cell r="B3268">
            <v>3659.32</v>
          </cell>
          <cell r="C3268">
            <v>3684.64</v>
          </cell>
          <cell r="D3268">
            <v>302.56</v>
          </cell>
          <cell r="E3268">
            <v>315.77999999999997</v>
          </cell>
          <cell r="F3268">
            <v>332.41</v>
          </cell>
          <cell r="G3268">
            <v>290.3</v>
          </cell>
          <cell r="H3268">
            <v>4837.7299999999996</v>
          </cell>
          <cell r="I3268">
            <v>376.58</v>
          </cell>
        </row>
        <row r="3269">
          <cell r="A3269">
            <v>36370</v>
          </cell>
          <cell r="B3269">
            <v>3556.5</v>
          </cell>
          <cell r="C3269">
            <v>3580.19</v>
          </cell>
          <cell r="D3269">
            <v>296.13</v>
          </cell>
          <cell r="E3269">
            <v>307.83</v>
          </cell>
          <cell r="F3269">
            <v>324.93</v>
          </cell>
          <cell r="G3269">
            <v>285.36</v>
          </cell>
          <cell r="H3269">
            <v>4766.51</v>
          </cell>
          <cell r="I3269">
            <v>370.2</v>
          </cell>
        </row>
        <row r="3270">
          <cell r="A3270">
            <v>36371</v>
          </cell>
          <cell r="B3270">
            <v>3623.91</v>
          </cell>
          <cell r="C3270">
            <v>3638.62</v>
          </cell>
          <cell r="D3270">
            <v>301.27999999999997</v>
          </cell>
          <cell r="E3270">
            <v>312.35000000000002</v>
          </cell>
          <cell r="F3270">
            <v>329.89</v>
          </cell>
          <cell r="G3270">
            <v>291.16000000000003</v>
          </cell>
          <cell r="H3270">
            <v>4842.97</v>
          </cell>
          <cell r="I3270">
            <v>375.23</v>
          </cell>
        </row>
        <row r="3271">
          <cell r="A3271">
            <v>36374</v>
          </cell>
          <cell r="B3271">
            <v>3629.86</v>
          </cell>
          <cell r="C3271">
            <v>3633.44</v>
          </cell>
          <cell r="D3271">
            <v>301.69</v>
          </cell>
          <cell r="E3271">
            <v>311.77999999999997</v>
          </cell>
          <cell r="F3271">
            <v>329.46</v>
          </cell>
          <cell r="G3271">
            <v>292.54000000000002</v>
          </cell>
          <cell r="H3271">
            <v>4780.78</v>
          </cell>
          <cell r="I3271">
            <v>371.59</v>
          </cell>
        </row>
        <row r="3272">
          <cell r="A3272">
            <v>36375</v>
          </cell>
          <cell r="B3272">
            <v>3609.92</v>
          </cell>
          <cell r="C3272">
            <v>3614.05</v>
          </cell>
          <cell r="D3272">
            <v>300.7</v>
          </cell>
          <cell r="E3272">
            <v>310.42</v>
          </cell>
          <cell r="F3272">
            <v>328.24</v>
          </cell>
          <cell r="G3272">
            <v>291.91000000000003</v>
          </cell>
          <cell r="H3272">
            <v>4786.2</v>
          </cell>
          <cell r="I3272">
            <v>371.32</v>
          </cell>
        </row>
        <row r="3273">
          <cell r="A3273">
            <v>36376</v>
          </cell>
          <cell r="B3273">
            <v>3585.82</v>
          </cell>
          <cell r="C3273">
            <v>3590.69</v>
          </cell>
          <cell r="D3273">
            <v>299.33</v>
          </cell>
          <cell r="E3273">
            <v>309.43</v>
          </cell>
          <cell r="F3273">
            <v>327.29000000000002</v>
          </cell>
          <cell r="G3273">
            <v>290.16000000000003</v>
          </cell>
          <cell r="H3273">
            <v>4767.8900000000003</v>
          </cell>
          <cell r="I3273">
            <v>367.62</v>
          </cell>
        </row>
        <row r="3274">
          <cell r="A3274">
            <v>36377</v>
          </cell>
          <cell r="B3274">
            <v>3502.57</v>
          </cell>
          <cell r="C3274">
            <v>3512.71</v>
          </cell>
          <cell r="D3274">
            <v>292.62</v>
          </cell>
          <cell r="E3274">
            <v>302.89</v>
          </cell>
          <cell r="F3274">
            <v>320.58</v>
          </cell>
          <cell r="G3274">
            <v>283.27</v>
          </cell>
          <cell r="H3274">
            <v>4665.16</v>
          </cell>
          <cell r="I3274">
            <v>358.94</v>
          </cell>
        </row>
        <row r="3275">
          <cell r="A3275">
            <v>36378</v>
          </cell>
          <cell r="B3275">
            <v>3516.53</v>
          </cell>
          <cell r="C3275">
            <v>3525.47</v>
          </cell>
          <cell r="D3275">
            <v>293.68</v>
          </cell>
          <cell r="E3275">
            <v>303.75</v>
          </cell>
          <cell r="F3275">
            <v>321.29000000000002</v>
          </cell>
          <cell r="G3275">
            <v>284.51</v>
          </cell>
          <cell r="H3275">
            <v>4687.7700000000004</v>
          </cell>
          <cell r="I3275">
            <v>364.99</v>
          </cell>
        </row>
        <row r="3276">
          <cell r="A3276">
            <v>36381</v>
          </cell>
          <cell r="B3276">
            <v>3550.41</v>
          </cell>
          <cell r="C3276">
            <v>3585.58</v>
          </cell>
          <cell r="D3276">
            <v>296.33999999999997</v>
          </cell>
          <cell r="E3276">
            <v>308.57</v>
          </cell>
          <cell r="F3276">
            <v>325.51</v>
          </cell>
          <cell r="G3276">
            <v>285.02999999999997</v>
          </cell>
          <cell r="H3276">
            <v>4748.6899999999996</v>
          </cell>
          <cell r="I3276">
            <v>369.65</v>
          </cell>
        </row>
        <row r="3277">
          <cell r="A3277">
            <v>36382</v>
          </cell>
          <cell r="B3277">
            <v>3491.39</v>
          </cell>
          <cell r="C3277">
            <v>3535.1</v>
          </cell>
          <cell r="D3277">
            <v>291.98</v>
          </cell>
          <cell r="E3277">
            <v>304.08</v>
          </cell>
          <cell r="F3277">
            <v>321.13</v>
          </cell>
          <cell r="G3277">
            <v>280.77999999999997</v>
          </cell>
          <cell r="H3277">
            <v>4663.1899999999996</v>
          </cell>
          <cell r="I3277">
            <v>361.28</v>
          </cell>
        </row>
        <row r="3278">
          <cell r="A3278">
            <v>36383</v>
          </cell>
          <cell r="B3278">
            <v>3509.32</v>
          </cell>
          <cell r="C3278">
            <v>3551.39</v>
          </cell>
          <cell r="D3278">
            <v>293.91000000000003</v>
          </cell>
          <cell r="E3278">
            <v>305.83</v>
          </cell>
          <cell r="F3278">
            <v>323.27999999999997</v>
          </cell>
          <cell r="G3278">
            <v>282.91000000000003</v>
          </cell>
          <cell r="H3278">
            <v>4749.7700000000004</v>
          </cell>
          <cell r="I3278">
            <v>367.41</v>
          </cell>
        </row>
        <row r="3279">
          <cell r="A3279">
            <v>36384</v>
          </cell>
          <cell r="B3279">
            <v>3589.49</v>
          </cell>
          <cell r="C3279">
            <v>3640.44</v>
          </cell>
          <cell r="D3279">
            <v>299.69</v>
          </cell>
          <cell r="E3279">
            <v>312.54000000000002</v>
          </cell>
          <cell r="F3279">
            <v>329.99</v>
          </cell>
          <cell r="G3279">
            <v>287.77</v>
          </cell>
          <cell r="H3279">
            <v>4838.7299999999996</v>
          </cell>
          <cell r="I3279">
            <v>375.96</v>
          </cell>
        </row>
        <row r="3280">
          <cell r="A3280">
            <v>36385</v>
          </cell>
          <cell r="B3280">
            <v>3656.49</v>
          </cell>
          <cell r="C3280">
            <v>3710.57</v>
          </cell>
          <cell r="D3280">
            <v>304.60000000000002</v>
          </cell>
          <cell r="E3280">
            <v>317.75</v>
          </cell>
          <cell r="F3280">
            <v>335.22</v>
          </cell>
          <cell r="G3280">
            <v>292.41000000000003</v>
          </cell>
          <cell r="H3280">
            <v>4857.93</v>
          </cell>
          <cell r="I3280">
            <v>378.84</v>
          </cell>
        </row>
        <row r="3281">
          <cell r="A3281">
            <v>36388</v>
          </cell>
          <cell r="B3281">
            <v>3671.24</v>
          </cell>
          <cell r="C3281">
            <v>3724.68</v>
          </cell>
          <cell r="D3281">
            <v>305.77999999999997</v>
          </cell>
          <cell r="E3281">
            <v>319.02</v>
          </cell>
          <cell r="F3281">
            <v>336.84</v>
          </cell>
          <cell r="G3281">
            <v>293.5</v>
          </cell>
          <cell r="H3281">
            <v>4870.1400000000003</v>
          </cell>
          <cell r="I3281">
            <v>380.51</v>
          </cell>
        </row>
        <row r="3282">
          <cell r="A3282">
            <v>36389</v>
          </cell>
          <cell r="B3282">
            <v>3679.79</v>
          </cell>
          <cell r="C3282">
            <v>3747.89</v>
          </cell>
          <cell r="D3282">
            <v>306.27999999999997</v>
          </cell>
          <cell r="E3282">
            <v>320.82</v>
          </cell>
          <cell r="F3282">
            <v>338.47</v>
          </cell>
          <cell r="G3282">
            <v>292.7</v>
          </cell>
          <cell r="H3282">
            <v>4885.71</v>
          </cell>
          <cell r="I3282">
            <v>382.81</v>
          </cell>
        </row>
        <row r="3283">
          <cell r="A3283">
            <v>36390</v>
          </cell>
          <cell r="B3283">
            <v>3684.7</v>
          </cell>
          <cell r="C3283">
            <v>3738.83</v>
          </cell>
          <cell r="D3283">
            <v>306.19</v>
          </cell>
          <cell r="E3283">
            <v>319.86</v>
          </cell>
          <cell r="F3283">
            <v>337.78</v>
          </cell>
          <cell r="G3283">
            <v>293.47000000000003</v>
          </cell>
          <cell r="H3283">
            <v>4877.71</v>
          </cell>
          <cell r="I3283">
            <v>382.07</v>
          </cell>
        </row>
        <row r="3284">
          <cell r="A3284">
            <v>36391</v>
          </cell>
          <cell r="B3284">
            <v>3637.23</v>
          </cell>
          <cell r="C3284">
            <v>3679.48</v>
          </cell>
          <cell r="D3284">
            <v>302.94</v>
          </cell>
          <cell r="E3284">
            <v>316.10000000000002</v>
          </cell>
          <cell r="F3284">
            <v>334.29</v>
          </cell>
          <cell r="G3284">
            <v>290.72000000000003</v>
          </cell>
          <cell r="H3284">
            <v>4788.75</v>
          </cell>
          <cell r="I3284">
            <v>374.63</v>
          </cell>
        </row>
        <row r="3285">
          <cell r="A3285">
            <v>36392</v>
          </cell>
          <cell r="B3285">
            <v>3666.4</v>
          </cell>
          <cell r="C3285">
            <v>3715.39</v>
          </cell>
          <cell r="D3285">
            <v>305.55</v>
          </cell>
          <cell r="E3285">
            <v>319.44</v>
          </cell>
          <cell r="F3285">
            <v>337.88</v>
          </cell>
          <cell r="G3285">
            <v>292.62</v>
          </cell>
          <cell r="H3285">
            <v>4863.18</v>
          </cell>
          <cell r="I3285">
            <v>380.1</v>
          </cell>
        </row>
        <row r="3286">
          <cell r="A3286">
            <v>36395</v>
          </cell>
          <cell r="B3286">
            <v>3719.12</v>
          </cell>
          <cell r="C3286">
            <v>3752.59</v>
          </cell>
          <cell r="D3286">
            <v>309.95</v>
          </cell>
          <cell r="E3286">
            <v>322.14</v>
          </cell>
          <cell r="F3286">
            <v>341.2</v>
          </cell>
          <cell r="G3286">
            <v>298.72000000000003</v>
          </cell>
          <cell r="H3286">
            <v>4947.12</v>
          </cell>
          <cell r="I3286">
            <v>385.71</v>
          </cell>
        </row>
        <row r="3287">
          <cell r="A3287">
            <v>36396</v>
          </cell>
          <cell r="B3287">
            <v>3733.44</v>
          </cell>
          <cell r="C3287">
            <v>3781.3</v>
          </cell>
          <cell r="D3287">
            <v>310.52999999999997</v>
          </cell>
          <cell r="E3287">
            <v>323.74</v>
          </cell>
          <cell r="F3287">
            <v>342.23</v>
          </cell>
          <cell r="G3287">
            <v>298.29000000000002</v>
          </cell>
          <cell r="H3287">
            <v>4930.53</v>
          </cell>
          <cell r="I3287">
            <v>384.36</v>
          </cell>
        </row>
        <row r="3288">
          <cell r="A3288">
            <v>36397</v>
          </cell>
          <cell r="B3288">
            <v>3792.27</v>
          </cell>
          <cell r="C3288">
            <v>3856.72</v>
          </cell>
          <cell r="D3288">
            <v>314.33999999999997</v>
          </cell>
          <cell r="E3288">
            <v>328.98</v>
          </cell>
          <cell r="F3288">
            <v>347.12</v>
          </cell>
          <cell r="G3288">
            <v>300.67</v>
          </cell>
          <cell r="H3288">
            <v>4973.2299999999996</v>
          </cell>
          <cell r="I3288">
            <v>389</v>
          </cell>
        </row>
        <row r="3289">
          <cell r="A3289">
            <v>36398</v>
          </cell>
          <cell r="B3289">
            <v>3783.75</v>
          </cell>
          <cell r="C3289">
            <v>3852.53</v>
          </cell>
          <cell r="D3289">
            <v>314.54000000000002</v>
          </cell>
          <cell r="E3289">
            <v>329.21</v>
          </cell>
          <cell r="F3289">
            <v>347.14</v>
          </cell>
          <cell r="G3289">
            <v>300.86</v>
          </cell>
          <cell r="H3289">
            <v>4979.75</v>
          </cell>
          <cell r="I3289">
            <v>389.95</v>
          </cell>
        </row>
        <row r="3290">
          <cell r="A3290">
            <v>36399</v>
          </cell>
          <cell r="B3290">
            <v>3789.64</v>
          </cell>
          <cell r="C3290">
            <v>3853.48</v>
          </cell>
          <cell r="D3290">
            <v>315.02</v>
          </cell>
          <cell r="E3290">
            <v>329.97</v>
          </cell>
          <cell r="F3290">
            <v>348.02</v>
          </cell>
          <cell r="G3290">
            <v>301.06</v>
          </cell>
          <cell r="H3290">
            <v>4988.18</v>
          </cell>
          <cell r="I3290">
            <v>389.06</v>
          </cell>
        </row>
        <row r="3291">
          <cell r="A3291">
            <v>36402</v>
          </cell>
          <cell r="B3291">
            <v>3775.4</v>
          </cell>
          <cell r="C3291">
            <v>3837.7</v>
          </cell>
          <cell r="D3291">
            <v>314.58</v>
          </cell>
          <cell r="E3291">
            <v>329.33</v>
          </cell>
          <cell r="F3291">
            <v>347.13</v>
          </cell>
          <cell r="G3291">
            <v>300.8</v>
          </cell>
          <cell r="H3291">
            <v>4961.72</v>
          </cell>
          <cell r="I3291">
            <v>385.62</v>
          </cell>
        </row>
        <row r="3292">
          <cell r="A3292">
            <v>36403</v>
          </cell>
          <cell r="B3292">
            <v>3699.76</v>
          </cell>
          <cell r="C3292">
            <v>3769.14</v>
          </cell>
          <cell r="D3292">
            <v>308.69</v>
          </cell>
          <cell r="E3292">
            <v>323.44</v>
          </cell>
          <cell r="F3292">
            <v>340.92</v>
          </cell>
          <cell r="G3292">
            <v>294.91000000000003</v>
          </cell>
          <cell r="H3292">
            <v>4858.49</v>
          </cell>
          <cell r="I3292">
            <v>379.19</v>
          </cell>
        </row>
        <row r="3293">
          <cell r="A3293">
            <v>36404</v>
          </cell>
          <cell r="B3293">
            <v>3724.82</v>
          </cell>
          <cell r="C3293">
            <v>3795.62</v>
          </cell>
          <cell r="D3293">
            <v>310.27</v>
          </cell>
          <cell r="E3293">
            <v>325.33</v>
          </cell>
          <cell r="F3293">
            <v>343.48</v>
          </cell>
          <cell r="G3293">
            <v>296.18</v>
          </cell>
          <cell r="H3293">
            <v>4892.3900000000003</v>
          </cell>
          <cell r="I3293">
            <v>381.46</v>
          </cell>
        </row>
        <row r="3294">
          <cell r="A3294">
            <v>36405</v>
          </cell>
          <cell r="B3294">
            <v>3651.47</v>
          </cell>
          <cell r="C3294">
            <v>3718.37</v>
          </cell>
          <cell r="D3294">
            <v>305.19</v>
          </cell>
          <cell r="E3294">
            <v>319.44</v>
          </cell>
          <cell r="F3294">
            <v>338.02</v>
          </cell>
          <cell r="G3294">
            <v>291.89</v>
          </cell>
          <cell r="H3294">
            <v>4818.51</v>
          </cell>
          <cell r="I3294">
            <v>375.1</v>
          </cell>
        </row>
        <row r="3295">
          <cell r="A3295">
            <v>36406</v>
          </cell>
          <cell r="B3295">
            <v>3744.2</v>
          </cell>
          <cell r="C3295">
            <v>3809.11</v>
          </cell>
          <cell r="D3295">
            <v>312.32</v>
          </cell>
          <cell r="E3295">
            <v>327.22000000000003</v>
          </cell>
          <cell r="F3295">
            <v>345.58</v>
          </cell>
          <cell r="G3295">
            <v>298.41000000000003</v>
          </cell>
          <cell r="H3295">
            <v>4933.26</v>
          </cell>
          <cell r="I3295">
            <v>384.95</v>
          </cell>
        </row>
        <row r="3296">
          <cell r="A3296">
            <v>36409</v>
          </cell>
          <cell r="B3296">
            <v>3777.54</v>
          </cell>
          <cell r="C3296">
            <v>3842.59</v>
          </cell>
          <cell r="D3296">
            <v>315.27</v>
          </cell>
          <cell r="E3296">
            <v>329.84</v>
          </cell>
          <cell r="F3296">
            <v>348.65</v>
          </cell>
          <cell r="G3296">
            <v>301.69</v>
          </cell>
          <cell r="H3296">
            <v>5010.78</v>
          </cell>
          <cell r="I3296">
            <v>390.55</v>
          </cell>
        </row>
        <row r="3297">
          <cell r="A3297">
            <v>36410</v>
          </cell>
          <cell r="B3297">
            <v>3759.54</v>
          </cell>
          <cell r="C3297">
            <v>3834.34</v>
          </cell>
          <cell r="D3297">
            <v>313.98</v>
          </cell>
          <cell r="E3297">
            <v>329.25</v>
          </cell>
          <cell r="F3297">
            <v>348.08</v>
          </cell>
          <cell r="G3297">
            <v>299.7</v>
          </cell>
          <cell r="H3297">
            <v>4984.7700000000004</v>
          </cell>
          <cell r="I3297">
            <v>389.41</v>
          </cell>
        </row>
        <row r="3298">
          <cell r="A3298">
            <v>36411</v>
          </cell>
          <cell r="B3298">
            <v>3744.02</v>
          </cell>
          <cell r="C3298">
            <v>3827.07</v>
          </cell>
          <cell r="D3298">
            <v>313.62</v>
          </cell>
          <cell r="E3298">
            <v>329.33</v>
          </cell>
          <cell r="F3298">
            <v>347.78</v>
          </cell>
          <cell r="G3298">
            <v>298.88</v>
          </cell>
          <cell r="H3298">
            <v>4954.53</v>
          </cell>
          <cell r="I3298">
            <v>386.64</v>
          </cell>
        </row>
        <row r="3299">
          <cell r="A3299">
            <v>36412</v>
          </cell>
          <cell r="B3299">
            <v>3779.12</v>
          </cell>
          <cell r="C3299">
            <v>3858.15</v>
          </cell>
          <cell r="D3299">
            <v>316.41000000000003</v>
          </cell>
          <cell r="E3299">
            <v>331.84</v>
          </cell>
          <cell r="F3299">
            <v>350.13</v>
          </cell>
          <cell r="G3299">
            <v>301.97000000000003</v>
          </cell>
          <cell r="H3299">
            <v>4984.91</v>
          </cell>
          <cell r="I3299">
            <v>389.61</v>
          </cell>
        </row>
        <row r="3300">
          <cell r="A3300">
            <v>36413</v>
          </cell>
          <cell r="B3300">
            <v>3787.67</v>
          </cell>
          <cell r="C3300">
            <v>3887.09</v>
          </cell>
          <cell r="D3300">
            <v>316.82</v>
          </cell>
          <cell r="E3300">
            <v>334.1</v>
          </cell>
          <cell r="F3300">
            <v>351.97</v>
          </cell>
          <cell r="G3300">
            <v>300.51</v>
          </cell>
          <cell r="H3300">
            <v>5037.5200000000004</v>
          </cell>
          <cell r="I3300">
            <v>394.09</v>
          </cell>
        </row>
        <row r="3301">
          <cell r="A3301">
            <v>36416</v>
          </cell>
          <cell r="B3301">
            <v>3741.96</v>
          </cell>
          <cell r="C3301">
            <v>3858.01</v>
          </cell>
          <cell r="D3301">
            <v>314.68</v>
          </cell>
          <cell r="E3301">
            <v>331.95</v>
          </cell>
          <cell r="F3301">
            <v>349.77</v>
          </cell>
          <cell r="G3301">
            <v>298.38</v>
          </cell>
          <cell r="H3301">
            <v>5059.38</v>
          </cell>
          <cell r="I3301">
            <v>395.5</v>
          </cell>
        </row>
        <row r="3302">
          <cell r="A3302">
            <v>36417</v>
          </cell>
          <cell r="B3302">
            <v>3710.14</v>
          </cell>
          <cell r="C3302">
            <v>3825.86</v>
          </cell>
          <cell r="D3302">
            <v>312.39999999999998</v>
          </cell>
          <cell r="E3302">
            <v>329.67</v>
          </cell>
          <cell r="F3302">
            <v>347.83</v>
          </cell>
          <cell r="G3302">
            <v>296.08999999999997</v>
          </cell>
          <cell r="H3302">
            <v>5019.26</v>
          </cell>
          <cell r="I3302">
            <v>392.11</v>
          </cell>
        </row>
        <row r="3303">
          <cell r="A3303">
            <v>36418</v>
          </cell>
          <cell r="B3303">
            <v>3700.92</v>
          </cell>
          <cell r="C3303">
            <v>3816.53</v>
          </cell>
          <cell r="D3303">
            <v>311.33</v>
          </cell>
          <cell r="E3303">
            <v>328.85</v>
          </cell>
          <cell r="F3303">
            <v>346.91</v>
          </cell>
          <cell r="G3303">
            <v>294.77999999999997</v>
          </cell>
          <cell r="H3303">
            <v>4998.59</v>
          </cell>
          <cell r="I3303">
            <v>390.51</v>
          </cell>
        </row>
        <row r="3304">
          <cell r="A3304">
            <v>36419</v>
          </cell>
          <cell r="B3304">
            <v>3668.3</v>
          </cell>
          <cell r="C3304">
            <v>3775.24</v>
          </cell>
          <cell r="D3304">
            <v>309.35000000000002</v>
          </cell>
          <cell r="E3304">
            <v>325.95999999999998</v>
          </cell>
          <cell r="F3304">
            <v>344.15</v>
          </cell>
          <cell r="G3304">
            <v>293.69</v>
          </cell>
          <cell r="H3304">
            <v>4971.1099999999997</v>
          </cell>
          <cell r="I3304">
            <v>387.18</v>
          </cell>
        </row>
        <row r="3305">
          <cell r="A3305">
            <v>36420</v>
          </cell>
          <cell r="B3305">
            <v>3659.62</v>
          </cell>
          <cell r="C3305">
            <v>3748.75</v>
          </cell>
          <cell r="D3305">
            <v>310.25</v>
          </cell>
          <cell r="E3305">
            <v>326.19</v>
          </cell>
          <cell r="F3305">
            <v>344.72</v>
          </cell>
          <cell r="G3305">
            <v>295.27</v>
          </cell>
          <cell r="H3305">
            <v>4995.01</v>
          </cell>
          <cell r="I3305">
            <v>388.56</v>
          </cell>
        </row>
        <row r="3306">
          <cell r="A3306">
            <v>36423</v>
          </cell>
          <cell r="B3306">
            <v>3698.19</v>
          </cell>
          <cell r="C3306">
            <v>3782.02</v>
          </cell>
          <cell r="D3306">
            <v>311.77</v>
          </cell>
          <cell r="E3306">
            <v>328.39</v>
          </cell>
          <cell r="F3306">
            <v>346.96</v>
          </cell>
          <cell r="G3306">
            <v>296.11</v>
          </cell>
          <cell r="H3306">
            <v>5066.0600000000004</v>
          </cell>
          <cell r="I3306">
            <v>395.24</v>
          </cell>
        </row>
        <row r="3307">
          <cell r="A3307">
            <v>36424</v>
          </cell>
          <cell r="B3307">
            <v>3649.14</v>
          </cell>
          <cell r="C3307">
            <v>3731.96</v>
          </cell>
          <cell r="D3307">
            <v>307.58999999999997</v>
          </cell>
          <cell r="E3307">
            <v>324.36</v>
          </cell>
          <cell r="F3307">
            <v>342.9</v>
          </cell>
          <cell r="G3307">
            <v>291.75</v>
          </cell>
          <cell r="H3307">
            <v>5039.96</v>
          </cell>
          <cell r="I3307">
            <v>393.96</v>
          </cell>
        </row>
        <row r="3308">
          <cell r="A3308">
            <v>36425</v>
          </cell>
          <cell r="B3308">
            <v>3635.37</v>
          </cell>
          <cell r="C3308">
            <v>3713.41</v>
          </cell>
          <cell r="D3308">
            <v>305.72000000000003</v>
          </cell>
          <cell r="E3308">
            <v>322.52</v>
          </cell>
          <cell r="F3308">
            <v>340.96</v>
          </cell>
          <cell r="G3308">
            <v>289.86</v>
          </cell>
          <cell r="H3308">
            <v>4975.79</v>
          </cell>
          <cell r="I3308">
            <v>388.09</v>
          </cell>
        </row>
        <row r="3309">
          <cell r="A3309">
            <v>36426</v>
          </cell>
          <cell r="B3309">
            <v>3690.26</v>
          </cell>
          <cell r="C3309">
            <v>3750.49</v>
          </cell>
          <cell r="D3309">
            <v>308.52</v>
          </cell>
          <cell r="E3309">
            <v>325.02999999999997</v>
          </cell>
          <cell r="F3309">
            <v>343.2</v>
          </cell>
          <cell r="G3309">
            <v>292.95999999999998</v>
          </cell>
          <cell r="H3309">
            <v>5050.7700000000004</v>
          </cell>
          <cell r="I3309">
            <v>394.35</v>
          </cell>
        </row>
        <row r="3310">
          <cell r="A3310">
            <v>36427</v>
          </cell>
          <cell r="B3310">
            <v>3647.32</v>
          </cell>
          <cell r="C3310">
            <v>3688.79</v>
          </cell>
          <cell r="D3310">
            <v>305.02999999999997</v>
          </cell>
          <cell r="E3310">
            <v>320.18</v>
          </cell>
          <cell r="F3310">
            <v>338.02</v>
          </cell>
          <cell r="G3310">
            <v>290.83999999999997</v>
          </cell>
          <cell r="H3310">
            <v>4977.26</v>
          </cell>
          <cell r="I3310">
            <v>387.63</v>
          </cell>
        </row>
        <row r="3311">
          <cell r="A3311">
            <v>36430</v>
          </cell>
          <cell r="B3311">
            <v>3706.31</v>
          </cell>
          <cell r="C3311">
            <v>3727.93</v>
          </cell>
          <cell r="D3311">
            <v>309.38</v>
          </cell>
          <cell r="E3311">
            <v>323.38</v>
          </cell>
          <cell r="F3311">
            <v>341.16</v>
          </cell>
          <cell r="G3311">
            <v>296.37</v>
          </cell>
          <cell r="H3311">
            <v>5035.54</v>
          </cell>
          <cell r="I3311">
            <v>391.91</v>
          </cell>
        </row>
        <row r="3312">
          <cell r="A3312">
            <v>36431</v>
          </cell>
          <cell r="B3312">
            <v>3638.5</v>
          </cell>
          <cell r="C3312">
            <v>3673.4</v>
          </cell>
          <cell r="D3312">
            <v>305.38</v>
          </cell>
          <cell r="E3312">
            <v>319.56</v>
          </cell>
          <cell r="F3312">
            <v>337.41</v>
          </cell>
          <cell r="G3312">
            <v>292.17</v>
          </cell>
          <cell r="H3312">
            <v>5023.09</v>
          </cell>
          <cell r="I3312">
            <v>390.76</v>
          </cell>
        </row>
        <row r="3313">
          <cell r="A3313">
            <v>36432</v>
          </cell>
          <cell r="B3313">
            <v>3627.12</v>
          </cell>
          <cell r="C3313">
            <v>3666.99</v>
          </cell>
          <cell r="D3313">
            <v>303.14</v>
          </cell>
          <cell r="E3313">
            <v>318.26</v>
          </cell>
          <cell r="F3313">
            <v>335.71</v>
          </cell>
          <cell r="G3313">
            <v>288.98</v>
          </cell>
          <cell r="H3313">
            <v>4956.99</v>
          </cell>
          <cell r="I3313">
            <v>386.79</v>
          </cell>
        </row>
        <row r="3314">
          <cell r="A3314">
            <v>36433</v>
          </cell>
          <cell r="B3314">
            <v>3629.61</v>
          </cell>
          <cell r="C3314">
            <v>3669.71</v>
          </cell>
          <cell r="D3314">
            <v>303.91000000000003</v>
          </cell>
          <cell r="E3314">
            <v>318.69</v>
          </cell>
          <cell r="F3314">
            <v>336.51</v>
          </cell>
          <cell r="G3314">
            <v>290.08999999999997</v>
          </cell>
          <cell r="H3314">
            <v>4949.5600000000004</v>
          </cell>
          <cell r="I3314">
            <v>384.96</v>
          </cell>
        </row>
        <row r="3315">
          <cell r="A3315">
            <v>36434</v>
          </cell>
          <cell r="B3315">
            <v>3598.09</v>
          </cell>
          <cell r="C3315">
            <v>3642.34</v>
          </cell>
          <cell r="D3315">
            <v>301.49</v>
          </cell>
          <cell r="E3315">
            <v>316.89999999999998</v>
          </cell>
          <cell r="F3315">
            <v>334.7</v>
          </cell>
          <cell r="G3315">
            <v>287.02999999999997</v>
          </cell>
          <cell r="H3315">
            <v>4950.68</v>
          </cell>
          <cell r="I3315">
            <v>384.87</v>
          </cell>
        </row>
        <row r="3316">
          <cell r="A3316">
            <v>36437</v>
          </cell>
          <cell r="B3316">
            <v>3661.69</v>
          </cell>
          <cell r="C3316">
            <v>3695.09</v>
          </cell>
          <cell r="D3316">
            <v>305.82</v>
          </cell>
          <cell r="E3316">
            <v>321.08999999999997</v>
          </cell>
          <cell r="F3316">
            <v>339.34</v>
          </cell>
          <cell r="G3316">
            <v>291.5</v>
          </cell>
          <cell r="H3316">
            <v>4981.1000000000004</v>
          </cell>
          <cell r="I3316">
            <v>388.32</v>
          </cell>
        </row>
        <row r="3317">
          <cell r="A3317">
            <v>36438</v>
          </cell>
          <cell r="B3317">
            <v>3684.87</v>
          </cell>
          <cell r="C3317">
            <v>3731.23</v>
          </cell>
          <cell r="D3317">
            <v>307.83</v>
          </cell>
          <cell r="E3317">
            <v>323.83</v>
          </cell>
          <cell r="F3317">
            <v>341.83</v>
          </cell>
          <cell r="G3317">
            <v>292.79000000000002</v>
          </cell>
          <cell r="H3317">
            <v>5007.28</v>
          </cell>
          <cell r="I3317">
            <v>392.33</v>
          </cell>
        </row>
        <row r="3318">
          <cell r="A3318">
            <v>36439</v>
          </cell>
          <cell r="B3318">
            <v>3702.71</v>
          </cell>
          <cell r="C3318">
            <v>3752.79</v>
          </cell>
          <cell r="D3318">
            <v>308.93</v>
          </cell>
          <cell r="E3318">
            <v>325.32</v>
          </cell>
          <cell r="F3318">
            <v>343.36</v>
          </cell>
          <cell r="G3318">
            <v>293.49</v>
          </cell>
          <cell r="H3318">
            <v>5012.92</v>
          </cell>
          <cell r="I3318">
            <v>392.8</v>
          </cell>
        </row>
        <row r="3319">
          <cell r="A3319">
            <v>36440</v>
          </cell>
          <cell r="B3319">
            <v>3738.93</v>
          </cell>
          <cell r="C3319">
            <v>3785.24</v>
          </cell>
          <cell r="D3319">
            <v>311.57</v>
          </cell>
          <cell r="E3319">
            <v>327.78</v>
          </cell>
          <cell r="F3319">
            <v>345.65</v>
          </cell>
          <cell r="G3319">
            <v>296.33999999999997</v>
          </cell>
          <cell r="H3319">
            <v>5026.3900000000003</v>
          </cell>
          <cell r="I3319">
            <v>393.6</v>
          </cell>
        </row>
        <row r="3320">
          <cell r="A3320">
            <v>36441</v>
          </cell>
          <cell r="B3320">
            <v>3757.11</v>
          </cell>
          <cell r="C3320">
            <v>3784.32</v>
          </cell>
          <cell r="D3320">
            <v>312.37</v>
          </cell>
          <cell r="E3320">
            <v>327.22000000000003</v>
          </cell>
          <cell r="F3320">
            <v>345.4</v>
          </cell>
          <cell r="G3320">
            <v>298.51</v>
          </cell>
          <cell r="H3320">
            <v>5030.9799999999996</v>
          </cell>
          <cell r="I3320">
            <v>396.65</v>
          </cell>
        </row>
        <row r="3321">
          <cell r="A3321">
            <v>36444</v>
          </cell>
          <cell r="B3321">
            <v>3775.51</v>
          </cell>
          <cell r="C3321">
            <v>3789.89</v>
          </cell>
          <cell r="D3321">
            <v>313.14999999999998</v>
          </cell>
          <cell r="E3321">
            <v>327.75</v>
          </cell>
          <cell r="F3321">
            <v>346.09</v>
          </cell>
          <cell r="G3321">
            <v>299.54000000000002</v>
          </cell>
          <cell r="H3321">
            <v>5054.28</v>
          </cell>
          <cell r="I3321">
            <v>399.58</v>
          </cell>
        </row>
        <row r="3322">
          <cell r="A3322">
            <v>36445</v>
          </cell>
          <cell r="B3322">
            <v>3737.2</v>
          </cell>
          <cell r="C3322">
            <v>3756.44</v>
          </cell>
          <cell r="D3322">
            <v>309.62</v>
          </cell>
          <cell r="E3322">
            <v>324.64999999999998</v>
          </cell>
          <cell r="F3322">
            <v>343.09</v>
          </cell>
          <cell r="G3322">
            <v>295.56</v>
          </cell>
          <cell r="H3322">
            <v>5027.87</v>
          </cell>
          <cell r="I3322">
            <v>396.6</v>
          </cell>
        </row>
        <row r="3323">
          <cell r="A3323">
            <v>36446</v>
          </cell>
          <cell r="B3323">
            <v>3700.85</v>
          </cell>
          <cell r="C3323">
            <v>3724.4</v>
          </cell>
          <cell r="D3323">
            <v>306.47000000000003</v>
          </cell>
          <cell r="E3323">
            <v>321.57</v>
          </cell>
          <cell r="F3323">
            <v>340.01</v>
          </cell>
          <cell r="G3323">
            <v>292.32</v>
          </cell>
          <cell r="H3323">
            <v>4982.63</v>
          </cell>
          <cell r="I3323">
            <v>393.56</v>
          </cell>
        </row>
        <row r="3324">
          <cell r="A3324">
            <v>36447</v>
          </cell>
          <cell r="B3324">
            <v>3665.05</v>
          </cell>
          <cell r="C3324">
            <v>3695.77</v>
          </cell>
          <cell r="D3324">
            <v>303.77999999999997</v>
          </cell>
          <cell r="E3324">
            <v>319.39999999999998</v>
          </cell>
          <cell r="F3324">
            <v>337.88</v>
          </cell>
          <cell r="G3324">
            <v>289.10000000000002</v>
          </cell>
          <cell r="H3324">
            <v>4965.82</v>
          </cell>
          <cell r="I3324">
            <v>390.89</v>
          </cell>
        </row>
        <row r="3325">
          <cell r="A3325">
            <v>36448</v>
          </cell>
          <cell r="B3325">
            <v>3592.55</v>
          </cell>
          <cell r="C3325">
            <v>3638.82</v>
          </cell>
          <cell r="D3325">
            <v>298.48</v>
          </cell>
          <cell r="E3325">
            <v>314.86</v>
          </cell>
          <cell r="F3325">
            <v>332.42</v>
          </cell>
          <cell r="G3325">
            <v>283.01</v>
          </cell>
          <cell r="H3325">
            <v>4843.88</v>
          </cell>
          <cell r="I3325">
            <v>380.91</v>
          </cell>
        </row>
        <row r="3326">
          <cell r="A3326">
            <v>36451</v>
          </cell>
          <cell r="B3326">
            <v>3564.89</v>
          </cell>
          <cell r="C3326">
            <v>3607.72</v>
          </cell>
          <cell r="D3326">
            <v>295.91000000000003</v>
          </cell>
          <cell r="E3326">
            <v>311.64999999999998</v>
          </cell>
          <cell r="F3326">
            <v>328.84</v>
          </cell>
          <cell r="G3326">
            <v>281.08</v>
          </cell>
          <cell r="H3326">
            <v>4777.59</v>
          </cell>
          <cell r="I3326">
            <v>375.89</v>
          </cell>
        </row>
        <row r="3327">
          <cell r="A3327">
            <v>36452</v>
          </cell>
          <cell r="B3327">
            <v>3650.48</v>
          </cell>
          <cell r="C3327">
            <v>3691.34</v>
          </cell>
          <cell r="D3327">
            <v>302.01</v>
          </cell>
          <cell r="E3327">
            <v>317.85000000000002</v>
          </cell>
          <cell r="F3327">
            <v>334.99</v>
          </cell>
          <cell r="G3327">
            <v>287.12</v>
          </cell>
          <cell r="H3327">
            <v>4905.16</v>
          </cell>
          <cell r="I3327">
            <v>385.69</v>
          </cell>
        </row>
        <row r="3328">
          <cell r="A3328">
            <v>36453</v>
          </cell>
          <cell r="B3328">
            <v>3650.43</v>
          </cell>
          <cell r="C3328">
            <v>3699.15</v>
          </cell>
          <cell r="D3328">
            <v>302.60000000000002</v>
          </cell>
          <cell r="E3328">
            <v>318.10000000000002</v>
          </cell>
          <cell r="F3328">
            <v>335.54</v>
          </cell>
          <cell r="G3328">
            <v>288.02999999999997</v>
          </cell>
          <cell r="H3328">
            <v>4918.96</v>
          </cell>
          <cell r="I3328">
            <v>385.8</v>
          </cell>
        </row>
        <row r="3329">
          <cell r="A3329">
            <v>36454</v>
          </cell>
          <cell r="B3329">
            <v>3650.17</v>
          </cell>
          <cell r="C3329">
            <v>3691.66</v>
          </cell>
          <cell r="D3329">
            <v>301.02999999999997</v>
          </cell>
          <cell r="E3329">
            <v>317.2</v>
          </cell>
          <cell r="F3329">
            <v>334.1</v>
          </cell>
          <cell r="G3329">
            <v>285.8</v>
          </cell>
          <cell r="H3329">
            <v>4891.1899999999996</v>
          </cell>
          <cell r="I3329">
            <v>385.51</v>
          </cell>
        </row>
        <row r="3330">
          <cell r="A3330">
            <v>36455</v>
          </cell>
          <cell r="B3330">
            <v>3749.98</v>
          </cell>
          <cell r="C3330">
            <v>3778.61</v>
          </cell>
          <cell r="D3330">
            <v>306.75</v>
          </cell>
          <cell r="E3330">
            <v>323.32</v>
          </cell>
          <cell r="F3330">
            <v>340.41</v>
          </cell>
          <cell r="G3330">
            <v>291.12</v>
          </cell>
          <cell r="H3330">
            <v>5052.93</v>
          </cell>
          <cell r="I3330">
            <v>401.81</v>
          </cell>
        </row>
        <row r="3331">
          <cell r="A3331">
            <v>36458</v>
          </cell>
          <cell r="B3331">
            <v>3725.69</v>
          </cell>
          <cell r="C3331">
            <v>3757.7</v>
          </cell>
          <cell r="D3331">
            <v>305.20999999999998</v>
          </cell>
          <cell r="E3331">
            <v>321.69</v>
          </cell>
          <cell r="F3331">
            <v>338.75</v>
          </cell>
          <cell r="G3331">
            <v>289.68</v>
          </cell>
          <cell r="H3331">
            <v>5055.8999999999996</v>
          </cell>
          <cell r="I3331">
            <v>402.85</v>
          </cell>
        </row>
        <row r="3332">
          <cell r="A3332">
            <v>36459</v>
          </cell>
          <cell r="B3332">
            <v>3771.46</v>
          </cell>
          <cell r="C3332">
            <v>3796.72</v>
          </cell>
          <cell r="D3332">
            <v>308.57</v>
          </cell>
          <cell r="E3332">
            <v>324.29000000000002</v>
          </cell>
          <cell r="F3332">
            <v>341.56</v>
          </cell>
          <cell r="G3332">
            <v>293.81</v>
          </cell>
          <cell r="H3332">
            <v>5131.68</v>
          </cell>
          <cell r="I3332">
            <v>408.81</v>
          </cell>
        </row>
        <row r="3333">
          <cell r="A3333">
            <v>36460</v>
          </cell>
          <cell r="B3333">
            <v>3765.42</v>
          </cell>
          <cell r="C3333">
            <v>3786.07</v>
          </cell>
          <cell r="D3333">
            <v>307.82</v>
          </cell>
          <cell r="E3333">
            <v>323.69</v>
          </cell>
          <cell r="F3333">
            <v>341.06</v>
          </cell>
          <cell r="G3333">
            <v>292.89999999999998</v>
          </cell>
          <cell r="H3333">
            <v>5191.6499999999996</v>
          </cell>
          <cell r="I3333">
            <v>413.24</v>
          </cell>
        </row>
        <row r="3334">
          <cell r="A3334">
            <v>36461</v>
          </cell>
          <cell r="B3334">
            <v>3839.94</v>
          </cell>
          <cell r="C3334">
            <v>3866.75</v>
          </cell>
          <cell r="D3334">
            <v>312.05</v>
          </cell>
          <cell r="E3334">
            <v>329.3</v>
          </cell>
          <cell r="F3334">
            <v>346.61</v>
          </cell>
          <cell r="G3334">
            <v>295.75</v>
          </cell>
          <cell r="H3334">
            <v>5251.76</v>
          </cell>
          <cell r="I3334">
            <v>419.69</v>
          </cell>
        </row>
        <row r="3335">
          <cell r="A3335">
            <v>36462</v>
          </cell>
          <cell r="B3335">
            <v>3911.52</v>
          </cell>
          <cell r="C3335">
            <v>3922.91</v>
          </cell>
          <cell r="D3335">
            <v>317.27</v>
          </cell>
          <cell r="E3335">
            <v>333.87</v>
          </cell>
          <cell r="F3335">
            <v>351.62</v>
          </cell>
          <cell r="G3335">
            <v>301.64999999999998</v>
          </cell>
          <cell r="H3335">
            <v>5345.24</v>
          </cell>
          <cell r="I3335">
            <v>429.86</v>
          </cell>
        </row>
        <row r="3336">
          <cell r="A3336">
            <v>36465</v>
          </cell>
          <cell r="B3336">
            <v>3914.97</v>
          </cell>
          <cell r="C3336">
            <v>3913.89</v>
          </cell>
          <cell r="D3336">
            <v>317.94</v>
          </cell>
          <cell r="E3336">
            <v>333.57</v>
          </cell>
          <cell r="F3336">
            <v>351.55</v>
          </cell>
          <cell r="G3336">
            <v>303.3</v>
          </cell>
          <cell r="H3336">
            <v>5329.99</v>
          </cell>
          <cell r="I3336">
            <v>428.13</v>
          </cell>
        </row>
        <row r="3337">
          <cell r="A3337">
            <v>36466</v>
          </cell>
          <cell r="B3337">
            <v>3904.1</v>
          </cell>
          <cell r="C3337">
            <v>3923.14</v>
          </cell>
          <cell r="D3337">
            <v>318.18</v>
          </cell>
          <cell r="E3337">
            <v>334.35</v>
          </cell>
          <cell r="F3337">
            <v>352.44</v>
          </cell>
          <cell r="G3337">
            <v>303</v>
          </cell>
          <cell r="H3337">
            <v>5352.15</v>
          </cell>
          <cell r="I3337">
            <v>428.3</v>
          </cell>
        </row>
        <row r="3338">
          <cell r="A3338">
            <v>36467</v>
          </cell>
          <cell r="B3338">
            <v>3930.84</v>
          </cell>
          <cell r="C3338">
            <v>3955.95</v>
          </cell>
          <cell r="D3338">
            <v>319.94</v>
          </cell>
          <cell r="E3338">
            <v>336.66</v>
          </cell>
          <cell r="F3338">
            <v>354.64</v>
          </cell>
          <cell r="G3338">
            <v>304.20999999999998</v>
          </cell>
          <cell r="H3338">
            <v>5403.16</v>
          </cell>
          <cell r="I3338">
            <v>431.68</v>
          </cell>
        </row>
        <row r="3339">
          <cell r="A3339">
            <v>36468</v>
          </cell>
          <cell r="B3339">
            <v>3957.29</v>
          </cell>
          <cell r="C3339">
            <v>3994.54</v>
          </cell>
          <cell r="D3339">
            <v>321.95</v>
          </cell>
          <cell r="E3339">
            <v>339.83</v>
          </cell>
          <cell r="F3339">
            <v>357.61</v>
          </cell>
          <cell r="G3339">
            <v>305.05</v>
          </cell>
          <cell r="H3339">
            <v>5454.13</v>
          </cell>
          <cell r="I3339">
            <v>436.04</v>
          </cell>
        </row>
        <row r="3340">
          <cell r="A3340">
            <v>36469</v>
          </cell>
          <cell r="B3340">
            <v>3970.83</v>
          </cell>
          <cell r="C3340">
            <v>4014.08</v>
          </cell>
          <cell r="D3340">
            <v>323.33999999999997</v>
          </cell>
          <cell r="E3340">
            <v>341</v>
          </cell>
          <cell r="F3340">
            <v>359.12</v>
          </cell>
          <cell r="G3340">
            <v>306.67</v>
          </cell>
          <cell r="H3340">
            <v>5506.35</v>
          </cell>
          <cell r="I3340">
            <v>441.37</v>
          </cell>
        </row>
        <row r="3341">
          <cell r="A3341">
            <v>36472</v>
          </cell>
          <cell r="B3341">
            <v>3996.84</v>
          </cell>
          <cell r="C3341">
            <v>4024.55</v>
          </cell>
          <cell r="D3341">
            <v>324.19</v>
          </cell>
          <cell r="E3341">
            <v>341.52</v>
          </cell>
          <cell r="F3341">
            <v>360.11</v>
          </cell>
          <cell r="G3341">
            <v>307.86</v>
          </cell>
          <cell r="H3341">
            <v>5574.57</v>
          </cell>
          <cell r="I3341">
            <v>446.08</v>
          </cell>
        </row>
        <row r="3342">
          <cell r="A3342">
            <v>36473</v>
          </cell>
          <cell r="B3342">
            <v>4026.28</v>
          </cell>
          <cell r="C3342">
            <v>4039.47</v>
          </cell>
          <cell r="D3342">
            <v>325.89999999999998</v>
          </cell>
          <cell r="E3342">
            <v>342.86</v>
          </cell>
          <cell r="F3342">
            <v>361.11</v>
          </cell>
          <cell r="G3342">
            <v>309.95</v>
          </cell>
          <cell r="H3342">
            <v>5565.35</v>
          </cell>
          <cell r="I3342">
            <v>443.34</v>
          </cell>
        </row>
        <row r="3343">
          <cell r="A3343">
            <v>36474</v>
          </cell>
          <cell r="B3343">
            <v>4054.34</v>
          </cell>
          <cell r="C3343">
            <v>4076.96</v>
          </cell>
          <cell r="D3343">
            <v>327.47000000000003</v>
          </cell>
          <cell r="E3343">
            <v>345.5</v>
          </cell>
          <cell r="F3343">
            <v>363.65</v>
          </cell>
          <cell r="G3343">
            <v>310.43</v>
          </cell>
          <cell r="H3343">
            <v>5600.36</v>
          </cell>
          <cell r="I3343">
            <v>445.2</v>
          </cell>
        </row>
        <row r="3344">
          <cell r="A3344">
            <v>36475</v>
          </cell>
          <cell r="B3344">
            <v>4124.8500000000004</v>
          </cell>
          <cell r="C3344">
            <v>4140.58</v>
          </cell>
          <cell r="D3344">
            <v>331.75</v>
          </cell>
          <cell r="E3344">
            <v>349.63</v>
          </cell>
          <cell r="F3344">
            <v>367.76</v>
          </cell>
          <cell r="G3344">
            <v>314.89999999999998</v>
          </cell>
          <cell r="H3344">
            <v>5708.1</v>
          </cell>
          <cell r="I3344">
            <v>453.23</v>
          </cell>
        </row>
        <row r="3345">
          <cell r="A3345">
            <v>36476</v>
          </cell>
          <cell r="B3345">
            <v>4111.33</v>
          </cell>
          <cell r="C3345">
            <v>4133.93</v>
          </cell>
          <cell r="D3345">
            <v>331.34</v>
          </cell>
          <cell r="E3345">
            <v>349.24</v>
          </cell>
          <cell r="F3345">
            <v>367.45</v>
          </cell>
          <cell r="G3345">
            <v>314.45999999999998</v>
          </cell>
          <cell r="H3345">
            <v>5700.12</v>
          </cell>
          <cell r="I3345">
            <v>451.27</v>
          </cell>
        </row>
        <row r="3346">
          <cell r="A3346">
            <v>36479</v>
          </cell>
          <cell r="B3346">
            <v>4162.92</v>
          </cell>
          <cell r="C3346">
            <v>4199.8599999999997</v>
          </cell>
          <cell r="D3346">
            <v>334.63</v>
          </cell>
          <cell r="E3346">
            <v>353.43</v>
          </cell>
          <cell r="F3346">
            <v>371.24</v>
          </cell>
          <cell r="G3346">
            <v>316.83999999999997</v>
          </cell>
          <cell r="H3346">
            <v>5784.53</v>
          </cell>
          <cell r="I3346">
            <v>460.85</v>
          </cell>
        </row>
        <row r="3347">
          <cell r="A3347">
            <v>36480</v>
          </cell>
          <cell r="B3347">
            <v>4188.78</v>
          </cell>
          <cell r="C3347">
            <v>4220.8500000000004</v>
          </cell>
          <cell r="D3347">
            <v>336.02</v>
          </cell>
          <cell r="E3347">
            <v>355.33</v>
          </cell>
          <cell r="F3347">
            <v>372.98</v>
          </cell>
          <cell r="G3347">
            <v>317.72000000000003</v>
          </cell>
          <cell r="H3347">
            <v>5814.59</v>
          </cell>
          <cell r="I3347">
            <v>462.74</v>
          </cell>
        </row>
        <row r="3348">
          <cell r="A3348">
            <v>36481</v>
          </cell>
          <cell r="B3348">
            <v>4184.68</v>
          </cell>
          <cell r="C3348">
            <v>4221.3599999999997</v>
          </cell>
          <cell r="D3348">
            <v>335.73</v>
          </cell>
          <cell r="E3348">
            <v>355.56</v>
          </cell>
          <cell r="F3348">
            <v>373.55</v>
          </cell>
          <cell r="G3348">
            <v>316.91000000000003</v>
          </cell>
          <cell r="H3348">
            <v>5958.7</v>
          </cell>
          <cell r="I3348">
            <v>476.12</v>
          </cell>
        </row>
        <row r="3349">
          <cell r="A3349">
            <v>36482</v>
          </cell>
          <cell r="B3349">
            <v>4237.83</v>
          </cell>
          <cell r="C3349">
            <v>4288.1400000000003</v>
          </cell>
          <cell r="D3349">
            <v>338.79</v>
          </cell>
          <cell r="E3349">
            <v>360.6</v>
          </cell>
          <cell r="F3349">
            <v>378.43</v>
          </cell>
          <cell r="G3349">
            <v>317.98</v>
          </cell>
          <cell r="H3349">
            <v>6151.37</v>
          </cell>
          <cell r="I3349">
            <v>494.95</v>
          </cell>
        </row>
        <row r="3350">
          <cell r="A3350">
            <v>36483</v>
          </cell>
          <cell r="B3350">
            <v>4221.2299999999996</v>
          </cell>
          <cell r="C3350">
            <v>4292.3999999999996</v>
          </cell>
          <cell r="D3350">
            <v>337.58</v>
          </cell>
          <cell r="E3350">
            <v>360.34</v>
          </cell>
          <cell r="F3350">
            <v>377.65</v>
          </cell>
          <cell r="G3350">
            <v>315.81</v>
          </cell>
          <cell r="H3350">
            <v>6041.88</v>
          </cell>
          <cell r="I3350">
            <v>485.64</v>
          </cell>
        </row>
        <row r="3351">
          <cell r="A3351">
            <v>36486</v>
          </cell>
          <cell r="B3351">
            <v>4163.96</v>
          </cell>
          <cell r="C3351">
            <v>4212.8</v>
          </cell>
          <cell r="D3351">
            <v>334.04</v>
          </cell>
          <cell r="E3351">
            <v>355</v>
          </cell>
          <cell r="F3351">
            <v>372.74</v>
          </cell>
          <cell r="G3351">
            <v>314.08</v>
          </cell>
          <cell r="H3351">
            <v>5954.91</v>
          </cell>
          <cell r="I3351">
            <v>480.77</v>
          </cell>
        </row>
        <row r="3352">
          <cell r="A3352">
            <v>36487</v>
          </cell>
          <cell r="B3352">
            <v>4191.9799999999996</v>
          </cell>
          <cell r="C3352">
            <v>4225.8999999999996</v>
          </cell>
          <cell r="D3352">
            <v>336.26</v>
          </cell>
          <cell r="E3352">
            <v>355.12</v>
          </cell>
          <cell r="F3352">
            <v>372.57</v>
          </cell>
          <cell r="G3352">
            <v>318.42</v>
          </cell>
          <cell r="H3352">
            <v>5982.97</v>
          </cell>
          <cell r="I3352">
            <v>486.12</v>
          </cell>
        </row>
        <row r="3353">
          <cell r="A3353">
            <v>36488</v>
          </cell>
          <cell r="B3353">
            <v>4203.87</v>
          </cell>
          <cell r="C3353">
            <v>4238.34</v>
          </cell>
          <cell r="D3353">
            <v>336.89</v>
          </cell>
          <cell r="E3353">
            <v>356.17</v>
          </cell>
          <cell r="F3353">
            <v>373.03</v>
          </cell>
          <cell r="G3353">
            <v>318.64</v>
          </cell>
          <cell r="H3353">
            <v>5982.11</v>
          </cell>
          <cell r="I3353">
            <v>486.02</v>
          </cell>
        </row>
        <row r="3354">
          <cell r="A3354">
            <v>36489</v>
          </cell>
          <cell r="B3354">
            <v>4320</v>
          </cell>
          <cell r="C3354">
            <v>4343.22</v>
          </cell>
          <cell r="D3354">
            <v>343.86</v>
          </cell>
          <cell r="E3354">
            <v>364.46</v>
          </cell>
          <cell r="F3354">
            <v>380.91</v>
          </cell>
          <cell r="G3354">
            <v>324.3</v>
          </cell>
          <cell r="H3354">
            <v>6133.71</v>
          </cell>
          <cell r="I3354">
            <v>498.43</v>
          </cell>
        </row>
        <row r="3355">
          <cell r="A3355">
            <v>36490</v>
          </cell>
          <cell r="B3355">
            <v>4348.17</v>
          </cell>
          <cell r="C3355">
            <v>4380.7700000000004</v>
          </cell>
          <cell r="D3355">
            <v>345.1</v>
          </cell>
          <cell r="E3355">
            <v>366.3</v>
          </cell>
          <cell r="F3355">
            <v>383.09</v>
          </cell>
          <cell r="G3355">
            <v>324.92</v>
          </cell>
          <cell r="H3355">
            <v>6195.63</v>
          </cell>
          <cell r="I3355">
            <v>507.31</v>
          </cell>
        </row>
        <row r="3356">
          <cell r="A3356">
            <v>36493</v>
          </cell>
          <cell r="B3356">
            <v>4345.2700000000004</v>
          </cell>
          <cell r="C3356">
            <v>4364.32</v>
          </cell>
          <cell r="D3356">
            <v>345.71</v>
          </cell>
          <cell r="E3356">
            <v>366</v>
          </cell>
          <cell r="F3356">
            <v>383.17</v>
          </cell>
          <cell r="G3356">
            <v>326.45999999999998</v>
          </cell>
          <cell r="H3356">
            <v>6281.9</v>
          </cell>
          <cell r="I3356">
            <v>516.28</v>
          </cell>
        </row>
        <row r="3357">
          <cell r="A3357">
            <v>36494</v>
          </cell>
          <cell r="B3357">
            <v>4281.47</v>
          </cell>
          <cell r="C3357">
            <v>4314.38</v>
          </cell>
          <cell r="D3357">
            <v>342.13</v>
          </cell>
          <cell r="E3357">
            <v>363.23</v>
          </cell>
          <cell r="F3357">
            <v>380.8</v>
          </cell>
          <cell r="G3357">
            <v>322.06</v>
          </cell>
          <cell r="H3357">
            <v>6184.23</v>
          </cell>
          <cell r="I3357">
            <v>503.59</v>
          </cell>
        </row>
        <row r="3358">
          <cell r="A3358">
            <v>36495</v>
          </cell>
          <cell r="B3358">
            <v>4328.1099999999997</v>
          </cell>
          <cell r="C3358">
            <v>4340.7</v>
          </cell>
          <cell r="D3358">
            <v>345.09</v>
          </cell>
          <cell r="E3358">
            <v>365.42</v>
          </cell>
          <cell r="F3358">
            <v>383.47</v>
          </cell>
          <cell r="G3358">
            <v>325.8</v>
          </cell>
          <cell r="H3358">
            <v>6273.22</v>
          </cell>
          <cell r="I3358">
            <v>509.4</v>
          </cell>
        </row>
        <row r="3359">
          <cell r="A3359">
            <v>36496</v>
          </cell>
          <cell r="B3359">
            <v>4334.8500000000004</v>
          </cell>
          <cell r="C3359">
            <v>4336.42</v>
          </cell>
          <cell r="D3359">
            <v>346.24</v>
          </cell>
          <cell r="E3359">
            <v>366.07</v>
          </cell>
          <cell r="F3359">
            <v>384.43</v>
          </cell>
          <cell r="G3359">
            <v>327.45</v>
          </cell>
          <cell r="H3359">
            <v>6328.44</v>
          </cell>
          <cell r="I3359">
            <v>515.29999999999995</v>
          </cell>
        </row>
        <row r="3360">
          <cell r="A3360">
            <v>36497</v>
          </cell>
          <cell r="B3360">
            <v>4437.3900000000003</v>
          </cell>
          <cell r="C3360">
            <v>4449.47</v>
          </cell>
          <cell r="D3360">
            <v>353.24</v>
          </cell>
          <cell r="E3360">
            <v>374.92</v>
          </cell>
          <cell r="F3360">
            <v>392.98</v>
          </cell>
          <cell r="G3360">
            <v>332.62</v>
          </cell>
          <cell r="H3360">
            <v>6530.51</v>
          </cell>
          <cell r="I3360">
            <v>537.47</v>
          </cell>
        </row>
        <row r="3361">
          <cell r="A3361">
            <v>36500</v>
          </cell>
          <cell r="B3361">
            <v>4432.24</v>
          </cell>
          <cell r="C3361">
            <v>4458.76</v>
          </cell>
          <cell r="D3361">
            <v>351.15</v>
          </cell>
          <cell r="E3361">
            <v>375.57</v>
          </cell>
          <cell r="F3361">
            <v>392.92</v>
          </cell>
          <cell r="G3361">
            <v>327.71</v>
          </cell>
          <cell r="H3361">
            <v>6531.62</v>
          </cell>
          <cell r="I3361">
            <v>539.38</v>
          </cell>
        </row>
        <row r="3362">
          <cell r="A3362">
            <v>36501</v>
          </cell>
          <cell r="B3362">
            <v>4453.1899999999996</v>
          </cell>
          <cell r="C3362">
            <v>4509.37</v>
          </cell>
          <cell r="D3362">
            <v>352.5</v>
          </cell>
          <cell r="E3362">
            <v>378.69</v>
          </cell>
          <cell r="F3362">
            <v>395.21</v>
          </cell>
          <cell r="G3362">
            <v>327.24</v>
          </cell>
          <cell r="H3362">
            <v>6677.56</v>
          </cell>
          <cell r="I3362">
            <v>555.02</v>
          </cell>
        </row>
        <row r="3363">
          <cell r="A3363">
            <v>36502</v>
          </cell>
          <cell r="B3363">
            <v>4422.1099999999997</v>
          </cell>
          <cell r="C3363">
            <v>4491.3500000000004</v>
          </cell>
          <cell r="D3363">
            <v>351.79</v>
          </cell>
          <cell r="E3363">
            <v>377.91</v>
          </cell>
          <cell r="F3363">
            <v>395.48</v>
          </cell>
          <cell r="G3363">
            <v>326.60000000000002</v>
          </cell>
          <cell r="H3363">
            <v>6887.57</v>
          </cell>
          <cell r="I3363">
            <v>573.22</v>
          </cell>
        </row>
        <row r="3364">
          <cell r="A3364">
            <v>36503</v>
          </cell>
          <cell r="B3364">
            <v>4440.63</v>
          </cell>
          <cell r="C3364">
            <v>4498.75</v>
          </cell>
          <cell r="D3364">
            <v>353.95</v>
          </cell>
          <cell r="E3364">
            <v>379.66</v>
          </cell>
          <cell r="F3364">
            <v>396.5</v>
          </cell>
          <cell r="G3364">
            <v>329.2</v>
          </cell>
          <cell r="H3364">
            <v>6867</v>
          </cell>
          <cell r="I3364">
            <v>566.16</v>
          </cell>
        </row>
        <row r="3365">
          <cell r="A3365">
            <v>36504</v>
          </cell>
          <cell r="B3365">
            <v>4409.82</v>
          </cell>
          <cell r="C3365">
            <v>4458.04</v>
          </cell>
          <cell r="D3365">
            <v>353.54</v>
          </cell>
          <cell r="E3365">
            <v>377.09</v>
          </cell>
          <cell r="F3365">
            <v>393.95</v>
          </cell>
          <cell r="G3365">
            <v>331</v>
          </cell>
          <cell r="H3365">
            <v>6785.43</v>
          </cell>
          <cell r="I3365">
            <v>559.12</v>
          </cell>
        </row>
        <row r="3366">
          <cell r="A3366">
            <v>36507</v>
          </cell>
          <cell r="B3366">
            <v>4414.79</v>
          </cell>
          <cell r="C3366">
            <v>4474.2</v>
          </cell>
          <cell r="D3366">
            <v>355.11</v>
          </cell>
          <cell r="E3366">
            <v>379.96</v>
          </cell>
          <cell r="F3366">
            <v>396.6</v>
          </cell>
          <cell r="G3366">
            <v>331.25</v>
          </cell>
          <cell r="H3366">
            <v>6811.8</v>
          </cell>
          <cell r="I3366">
            <v>560.65</v>
          </cell>
        </row>
        <row r="3367">
          <cell r="A3367">
            <v>36508</v>
          </cell>
          <cell r="B3367">
            <v>4443.8900000000003</v>
          </cell>
          <cell r="C3367">
            <v>4510.99</v>
          </cell>
          <cell r="D3367">
            <v>356.24</v>
          </cell>
          <cell r="E3367">
            <v>382.14</v>
          </cell>
          <cell r="F3367">
            <v>398.65</v>
          </cell>
          <cell r="G3367">
            <v>331.31</v>
          </cell>
          <cell r="H3367">
            <v>6784.86</v>
          </cell>
          <cell r="I3367">
            <v>561.07000000000005</v>
          </cell>
        </row>
        <row r="3368">
          <cell r="A3368">
            <v>36509</v>
          </cell>
          <cell r="B3368">
            <v>4395.3599999999997</v>
          </cell>
          <cell r="C3368">
            <v>4482.1899999999996</v>
          </cell>
          <cell r="D3368">
            <v>352.99</v>
          </cell>
          <cell r="E3368">
            <v>379.67</v>
          </cell>
          <cell r="F3368">
            <v>395.45</v>
          </cell>
          <cell r="G3368">
            <v>327.22000000000003</v>
          </cell>
          <cell r="H3368">
            <v>6601.86</v>
          </cell>
          <cell r="I3368">
            <v>542.27</v>
          </cell>
        </row>
        <row r="3369">
          <cell r="A3369">
            <v>36510</v>
          </cell>
          <cell r="B3369">
            <v>4409.7299999999996</v>
          </cell>
          <cell r="C3369">
            <v>4517.68</v>
          </cell>
          <cell r="D3369">
            <v>354.61</v>
          </cell>
          <cell r="E3369">
            <v>383.57</v>
          </cell>
          <cell r="F3369">
            <v>398.72</v>
          </cell>
          <cell r="G3369">
            <v>326.52999999999997</v>
          </cell>
          <cell r="H3369">
            <v>6696.01</v>
          </cell>
          <cell r="I3369">
            <v>551.78</v>
          </cell>
        </row>
        <row r="3370">
          <cell r="A3370">
            <v>36511</v>
          </cell>
          <cell r="B3370">
            <v>4454.05</v>
          </cell>
          <cell r="C3370">
            <v>4538.2299999999996</v>
          </cell>
          <cell r="D3370">
            <v>357.5</v>
          </cell>
          <cell r="E3370">
            <v>385.59</v>
          </cell>
          <cell r="F3370">
            <v>401.11</v>
          </cell>
          <cell r="G3370">
            <v>330.31</v>
          </cell>
          <cell r="H3370">
            <v>6843.72</v>
          </cell>
          <cell r="I3370">
            <v>563.65</v>
          </cell>
        </row>
        <row r="3371">
          <cell r="A3371">
            <v>36514</v>
          </cell>
          <cell r="B3371">
            <v>4484.88</v>
          </cell>
          <cell r="C3371">
            <v>4583.0200000000004</v>
          </cell>
          <cell r="D3371">
            <v>359.92</v>
          </cell>
          <cell r="E3371">
            <v>390.34</v>
          </cell>
          <cell r="F3371">
            <v>404.99</v>
          </cell>
          <cell r="G3371">
            <v>330.5</v>
          </cell>
          <cell r="H3371">
            <v>6960.22</v>
          </cell>
          <cell r="I3371">
            <v>576.24</v>
          </cell>
        </row>
        <row r="3372">
          <cell r="A3372">
            <v>36515</v>
          </cell>
          <cell r="B3372">
            <v>4468</v>
          </cell>
          <cell r="C3372">
            <v>4566.87</v>
          </cell>
          <cell r="D3372">
            <v>358.66</v>
          </cell>
          <cell r="E3372">
            <v>389.03</v>
          </cell>
          <cell r="F3372">
            <v>403.17</v>
          </cell>
          <cell r="G3372">
            <v>329.13</v>
          </cell>
          <cell r="H3372">
            <v>6879.12</v>
          </cell>
          <cell r="I3372">
            <v>569.27</v>
          </cell>
        </row>
        <row r="3373">
          <cell r="A3373">
            <v>36516</v>
          </cell>
          <cell r="B3373">
            <v>4499.7700000000004</v>
          </cell>
          <cell r="C3373">
            <v>4632.5600000000004</v>
          </cell>
          <cell r="D3373">
            <v>362.31</v>
          </cell>
          <cell r="E3373">
            <v>394.78</v>
          </cell>
          <cell r="F3373">
            <v>408.8</v>
          </cell>
          <cell r="G3373">
            <v>330.63</v>
          </cell>
          <cell r="H3373">
            <v>7000.74</v>
          </cell>
          <cell r="I3373">
            <v>575.29</v>
          </cell>
        </row>
        <row r="3374">
          <cell r="A3374">
            <v>36517</v>
          </cell>
          <cell r="B3374">
            <v>4588.01</v>
          </cell>
          <cell r="C3374">
            <v>4752.96</v>
          </cell>
          <cell r="D3374">
            <v>367.59</v>
          </cell>
          <cell r="E3374">
            <v>403.57</v>
          </cell>
          <cell r="F3374">
            <v>416.61</v>
          </cell>
          <cell r="G3374">
            <v>332.32</v>
          </cell>
          <cell r="H3374">
            <v>7126.23</v>
          </cell>
          <cell r="I3374">
            <v>584.65</v>
          </cell>
        </row>
        <row r="3375">
          <cell r="A3375">
            <v>36518</v>
          </cell>
          <cell r="B3375">
            <v>4602.82</v>
          </cell>
          <cell r="C3375">
            <v>4781.16</v>
          </cell>
          <cell r="D3375">
            <v>369.61</v>
          </cell>
          <cell r="E3375">
            <v>406.42</v>
          </cell>
          <cell r="F3375">
            <v>418.86</v>
          </cell>
          <cell r="G3375">
            <v>333.49</v>
          </cell>
          <cell r="H3375">
            <v>7128.42</v>
          </cell>
          <cell r="I3375">
            <v>584.78</v>
          </cell>
        </row>
        <row r="3376">
          <cell r="A3376">
            <v>36521</v>
          </cell>
          <cell r="B3376">
            <v>4606.3599999999997</v>
          </cell>
          <cell r="C3376">
            <v>4785.17</v>
          </cell>
          <cell r="D3376">
            <v>370.89</v>
          </cell>
          <cell r="E3376">
            <v>408.16</v>
          </cell>
          <cell r="F3376">
            <v>420.73</v>
          </cell>
          <cell r="G3376">
            <v>334.31</v>
          </cell>
          <cell r="H3376">
            <v>7182.71</v>
          </cell>
          <cell r="I3376">
            <v>587.72</v>
          </cell>
        </row>
        <row r="3377">
          <cell r="A3377">
            <v>36522</v>
          </cell>
          <cell r="B3377">
            <v>4623.08</v>
          </cell>
          <cell r="C3377">
            <v>4788.7</v>
          </cell>
          <cell r="D3377">
            <v>372.34</v>
          </cell>
          <cell r="E3377">
            <v>408.53</v>
          </cell>
          <cell r="F3377">
            <v>421.82</v>
          </cell>
          <cell r="G3377">
            <v>336.88</v>
          </cell>
          <cell r="H3377">
            <v>7275.58</v>
          </cell>
          <cell r="I3377">
            <v>592.74</v>
          </cell>
        </row>
        <row r="3378">
          <cell r="A3378">
            <v>36523</v>
          </cell>
          <cell r="B3378">
            <v>4657.3599999999997</v>
          </cell>
          <cell r="C3378">
            <v>4807.01</v>
          </cell>
          <cell r="D3378">
            <v>374.37</v>
          </cell>
          <cell r="E3378">
            <v>409.9</v>
          </cell>
          <cell r="F3378">
            <v>423.65</v>
          </cell>
          <cell r="G3378">
            <v>339.6</v>
          </cell>
          <cell r="H3378">
            <v>7340.64</v>
          </cell>
          <cell r="I3378">
            <v>598.96</v>
          </cell>
        </row>
        <row r="3379">
          <cell r="A3379">
            <v>36524</v>
          </cell>
          <cell r="B3379">
            <v>4742.42</v>
          </cell>
          <cell r="C3379">
            <v>4904.46</v>
          </cell>
          <cell r="D3379">
            <v>379.49</v>
          </cell>
          <cell r="E3379">
            <v>416.23</v>
          </cell>
          <cell r="F3379">
            <v>429.81</v>
          </cell>
          <cell r="G3379">
            <v>343.5</v>
          </cell>
          <cell r="H3379">
            <v>7365.77</v>
          </cell>
          <cell r="I3379">
            <v>612.12</v>
          </cell>
        </row>
        <row r="3380">
          <cell r="A3380">
            <v>36528</v>
          </cell>
          <cell r="B3380">
            <v>4715.6099999999997</v>
          </cell>
          <cell r="C3380">
            <v>4849.22</v>
          </cell>
          <cell r="D3380">
            <v>377.69</v>
          </cell>
          <cell r="E3380">
            <v>412.47</v>
          </cell>
          <cell r="F3380">
            <v>427.41</v>
          </cell>
          <cell r="G3380">
            <v>343.71</v>
          </cell>
          <cell r="H3380">
            <v>7550.45</v>
          </cell>
          <cell r="I3380">
            <v>629.88</v>
          </cell>
        </row>
        <row r="3381">
          <cell r="A3381">
            <v>36529</v>
          </cell>
          <cell r="B3381">
            <v>4503.83</v>
          </cell>
          <cell r="C3381">
            <v>4657.83</v>
          </cell>
          <cell r="D3381">
            <v>362.7</v>
          </cell>
          <cell r="E3381">
            <v>396.75</v>
          </cell>
          <cell r="F3381">
            <v>411.47</v>
          </cell>
          <cell r="G3381">
            <v>329.4</v>
          </cell>
          <cell r="H3381">
            <v>7207.18</v>
          </cell>
          <cell r="I3381">
            <v>596.66</v>
          </cell>
        </row>
        <row r="3382">
          <cell r="A3382">
            <v>36530</v>
          </cell>
          <cell r="B3382">
            <v>4384.2700000000004</v>
          </cell>
          <cell r="C3382">
            <v>4541.75</v>
          </cell>
          <cell r="D3382">
            <v>353.74</v>
          </cell>
          <cell r="E3382">
            <v>385.65</v>
          </cell>
          <cell r="F3382">
            <v>400.18</v>
          </cell>
          <cell r="G3382">
            <v>322.61</v>
          </cell>
          <cell r="H3382">
            <v>6839.3</v>
          </cell>
          <cell r="I3382">
            <v>559.27</v>
          </cell>
        </row>
        <row r="3383">
          <cell r="A3383">
            <v>36531</v>
          </cell>
          <cell r="B3383">
            <v>4342.51</v>
          </cell>
          <cell r="C3383">
            <v>4500.6899999999996</v>
          </cell>
          <cell r="D3383">
            <v>352.21</v>
          </cell>
          <cell r="E3383">
            <v>383.12</v>
          </cell>
          <cell r="F3383">
            <v>398.65</v>
          </cell>
          <cell r="G3383">
            <v>322.10000000000002</v>
          </cell>
          <cell r="H3383">
            <v>6853.96</v>
          </cell>
          <cell r="I3383">
            <v>559.99</v>
          </cell>
        </row>
        <row r="3384">
          <cell r="A3384">
            <v>36532</v>
          </cell>
          <cell r="B3384">
            <v>4452.51</v>
          </cell>
          <cell r="C3384">
            <v>4648.2700000000004</v>
          </cell>
          <cell r="D3384">
            <v>359.75</v>
          </cell>
          <cell r="E3384">
            <v>395.36</v>
          </cell>
          <cell r="F3384">
            <v>410.02</v>
          </cell>
          <cell r="G3384">
            <v>324.82</v>
          </cell>
          <cell r="H3384">
            <v>6990.27</v>
          </cell>
          <cell r="I3384">
            <v>574.80999999999995</v>
          </cell>
        </row>
        <row r="3385">
          <cell r="A3385">
            <v>36535</v>
          </cell>
          <cell r="B3385">
            <v>4511.6400000000003</v>
          </cell>
          <cell r="C3385">
            <v>4714.03</v>
          </cell>
          <cell r="D3385">
            <v>365.39</v>
          </cell>
          <cell r="E3385">
            <v>401.41</v>
          </cell>
          <cell r="F3385">
            <v>415.86</v>
          </cell>
          <cell r="G3385">
            <v>330.06</v>
          </cell>
          <cell r="H3385">
            <v>7181.9</v>
          </cell>
          <cell r="I3385">
            <v>589.27</v>
          </cell>
        </row>
        <row r="3386">
          <cell r="A3386">
            <v>36536</v>
          </cell>
          <cell r="B3386">
            <v>4462.6000000000004</v>
          </cell>
          <cell r="C3386">
            <v>4671.5</v>
          </cell>
          <cell r="D3386">
            <v>362.93</v>
          </cell>
          <cell r="E3386">
            <v>399.42</v>
          </cell>
          <cell r="F3386">
            <v>413.87</v>
          </cell>
          <cell r="G3386">
            <v>327.08999999999997</v>
          </cell>
          <cell r="H3386">
            <v>7179.33</v>
          </cell>
          <cell r="I3386">
            <v>587.96</v>
          </cell>
        </row>
        <row r="3387">
          <cell r="A3387">
            <v>36537</v>
          </cell>
          <cell r="B3387">
            <v>4463.38</v>
          </cell>
          <cell r="C3387">
            <v>4649.3</v>
          </cell>
          <cell r="D3387">
            <v>362.92</v>
          </cell>
          <cell r="E3387">
            <v>398.27</v>
          </cell>
          <cell r="F3387">
            <v>412.98</v>
          </cell>
          <cell r="G3387">
            <v>328.26</v>
          </cell>
          <cell r="H3387">
            <v>7188.3</v>
          </cell>
          <cell r="I3387">
            <v>585.02</v>
          </cell>
        </row>
        <row r="3388">
          <cell r="A3388">
            <v>36538</v>
          </cell>
          <cell r="B3388">
            <v>4494.46</v>
          </cell>
          <cell r="C3388">
            <v>4688.3500000000004</v>
          </cell>
          <cell r="D3388">
            <v>364.83</v>
          </cell>
          <cell r="E3388">
            <v>401.85</v>
          </cell>
          <cell r="F3388">
            <v>416.05</v>
          </cell>
          <cell r="G3388">
            <v>328.45</v>
          </cell>
          <cell r="H3388">
            <v>7323.92</v>
          </cell>
          <cell r="I3388">
            <v>597.53</v>
          </cell>
        </row>
        <row r="3389">
          <cell r="A3389">
            <v>36539</v>
          </cell>
          <cell r="B3389">
            <v>4626.1099999999997</v>
          </cell>
          <cell r="C3389">
            <v>4829.3599999999997</v>
          </cell>
          <cell r="D3389">
            <v>373.63</v>
          </cell>
          <cell r="E3389">
            <v>412.63</v>
          </cell>
          <cell r="F3389">
            <v>426.25</v>
          </cell>
          <cell r="G3389">
            <v>335.26</v>
          </cell>
          <cell r="H3389">
            <v>7477.76</v>
          </cell>
          <cell r="I3389">
            <v>616.23</v>
          </cell>
        </row>
        <row r="3390">
          <cell r="A3390">
            <v>36542</v>
          </cell>
          <cell r="B3390">
            <v>4688.63</v>
          </cell>
          <cell r="C3390">
            <v>4884.5</v>
          </cell>
          <cell r="D3390">
            <v>376.21</v>
          </cell>
          <cell r="E3390">
            <v>415.93</v>
          </cell>
          <cell r="F3390">
            <v>429.92</v>
          </cell>
          <cell r="G3390">
            <v>337.12</v>
          </cell>
          <cell r="H3390">
            <v>7593.76</v>
          </cell>
          <cell r="I3390">
            <v>628.19000000000005</v>
          </cell>
        </row>
        <row r="3391">
          <cell r="A3391">
            <v>36543</v>
          </cell>
          <cell r="B3391">
            <v>4572.71</v>
          </cell>
          <cell r="C3391">
            <v>4761</v>
          </cell>
          <cell r="D3391">
            <v>368.3</v>
          </cell>
          <cell r="E3391">
            <v>406.32</v>
          </cell>
          <cell r="F3391">
            <v>420.54</v>
          </cell>
          <cell r="G3391">
            <v>330.92</v>
          </cell>
          <cell r="H3391">
            <v>7472.16</v>
          </cell>
          <cell r="I3391">
            <v>613.88</v>
          </cell>
        </row>
        <row r="3392">
          <cell r="A3392">
            <v>36544</v>
          </cell>
          <cell r="B3392">
            <v>4572.29</v>
          </cell>
          <cell r="C3392">
            <v>4768.37</v>
          </cell>
          <cell r="D3392">
            <v>366.58</v>
          </cell>
          <cell r="E3392">
            <v>405.55</v>
          </cell>
          <cell r="F3392">
            <v>419.36</v>
          </cell>
          <cell r="G3392">
            <v>328.2</v>
          </cell>
          <cell r="H3392">
            <v>7343.98</v>
          </cell>
          <cell r="I3392">
            <v>608.29999999999995</v>
          </cell>
        </row>
        <row r="3393">
          <cell r="A3393">
            <v>36545</v>
          </cell>
          <cell r="B3393">
            <v>4555.6400000000003</v>
          </cell>
          <cell r="C3393">
            <v>4778.71</v>
          </cell>
          <cell r="D3393">
            <v>365.64</v>
          </cell>
          <cell r="E3393">
            <v>407.12</v>
          </cell>
          <cell r="F3393">
            <v>420.09</v>
          </cell>
          <cell r="G3393">
            <v>324.66000000000003</v>
          </cell>
          <cell r="H3393">
            <v>7387.62</v>
          </cell>
          <cell r="I3393">
            <v>612.21</v>
          </cell>
        </row>
        <row r="3394">
          <cell r="A3394">
            <v>36546</v>
          </cell>
          <cell r="B3394">
            <v>4532.54</v>
          </cell>
          <cell r="C3394">
            <v>4719.29</v>
          </cell>
          <cell r="D3394">
            <v>364.63</v>
          </cell>
          <cell r="E3394">
            <v>404.29</v>
          </cell>
          <cell r="F3394">
            <v>418.07</v>
          </cell>
          <cell r="G3394">
            <v>325.52999999999997</v>
          </cell>
          <cell r="H3394">
            <v>7407.17</v>
          </cell>
          <cell r="I3394">
            <v>612.13</v>
          </cell>
        </row>
        <row r="3395">
          <cell r="A3395">
            <v>36549</v>
          </cell>
          <cell r="B3395">
            <v>4548.7700000000004</v>
          </cell>
          <cell r="C3395">
            <v>4718.76</v>
          </cell>
          <cell r="D3395">
            <v>366.45</v>
          </cell>
          <cell r="E3395">
            <v>405.06</v>
          </cell>
          <cell r="F3395">
            <v>418.28</v>
          </cell>
          <cell r="G3395">
            <v>328.45</v>
          </cell>
          <cell r="H3395">
            <v>7477.3</v>
          </cell>
          <cell r="I3395">
            <v>623.39</v>
          </cell>
        </row>
        <row r="3396">
          <cell r="A3396">
            <v>36550</v>
          </cell>
          <cell r="B3396">
            <v>4477.04</v>
          </cell>
          <cell r="C3396">
            <v>4653.6099999999997</v>
          </cell>
          <cell r="D3396">
            <v>360.18</v>
          </cell>
          <cell r="E3396">
            <v>398.92</v>
          </cell>
          <cell r="F3396">
            <v>411.69</v>
          </cell>
          <cell r="G3396">
            <v>322</v>
          </cell>
          <cell r="H3396">
            <v>7358.46</v>
          </cell>
          <cell r="I3396">
            <v>615.1</v>
          </cell>
        </row>
        <row r="3397">
          <cell r="A3397">
            <v>36551</v>
          </cell>
          <cell r="B3397">
            <v>4550.59</v>
          </cell>
          <cell r="C3397">
            <v>4721.03</v>
          </cell>
          <cell r="D3397">
            <v>364.28</v>
          </cell>
          <cell r="E3397">
            <v>403.7</v>
          </cell>
          <cell r="F3397">
            <v>416.03</v>
          </cell>
          <cell r="G3397">
            <v>325.41000000000003</v>
          </cell>
          <cell r="H3397">
            <v>7402.22</v>
          </cell>
          <cell r="I3397">
            <v>620.27</v>
          </cell>
        </row>
        <row r="3398">
          <cell r="A3398">
            <v>36552</v>
          </cell>
          <cell r="B3398">
            <v>4636.3</v>
          </cell>
          <cell r="C3398">
            <v>4786.82</v>
          </cell>
          <cell r="D3398">
            <v>369.06</v>
          </cell>
          <cell r="E3398">
            <v>408.46</v>
          </cell>
          <cell r="F3398">
            <v>420.53</v>
          </cell>
          <cell r="G3398">
            <v>330.26</v>
          </cell>
          <cell r="H3398">
            <v>7368.32</v>
          </cell>
          <cell r="I3398">
            <v>618.1</v>
          </cell>
        </row>
        <row r="3399">
          <cell r="A3399">
            <v>36553</v>
          </cell>
          <cell r="B3399">
            <v>4625.3100000000004</v>
          </cell>
          <cell r="C3399">
            <v>4781.9399999999996</v>
          </cell>
          <cell r="D3399">
            <v>368.38</v>
          </cell>
          <cell r="E3399">
            <v>408.26</v>
          </cell>
          <cell r="F3399">
            <v>420.51</v>
          </cell>
          <cell r="G3399">
            <v>329.08</v>
          </cell>
          <cell r="H3399">
            <v>7445.14</v>
          </cell>
          <cell r="I3399">
            <v>634.77</v>
          </cell>
        </row>
        <row r="3400">
          <cell r="A3400">
            <v>36556</v>
          </cell>
          <cell r="B3400">
            <v>4522.42</v>
          </cell>
          <cell r="C3400">
            <v>4684.4799999999996</v>
          </cell>
          <cell r="D3400">
            <v>360.93</v>
          </cell>
          <cell r="E3400">
            <v>399.28</v>
          </cell>
          <cell r="F3400">
            <v>411.54</v>
          </cell>
          <cell r="G3400">
            <v>323.16000000000003</v>
          </cell>
          <cell r="H3400">
            <v>7269.98</v>
          </cell>
          <cell r="I3400">
            <v>620.97</v>
          </cell>
        </row>
        <row r="3401">
          <cell r="A3401">
            <v>36557</v>
          </cell>
          <cell r="B3401">
            <v>4631.6400000000003</v>
          </cell>
          <cell r="C3401">
            <v>4792.04</v>
          </cell>
          <cell r="D3401">
            <v>366.71</v>
          </cell>
          <cell r="E3401">
            <v>407.23</v>
          </cell>
          <cell r="F3401">
            <v>420.26</v>
          </cell>
          <cell r="G3401">
            <v>326.73</v>
          </cell>
          <cell r="H3401">
            <v>7448.12</v>
          </cell>
          <cell r="I3401">
            <v>633.85</v>
          </cell>
        </row>
        <row r="3402">
          <cell r="A3402">
            <v>36558</v>
          </cell>
          <cell r="B3402">
            <v>4695.4399999999996</v>
          </cell>
          <cell r="C3402">
            <v>4902.12</v>
          </cell>
          <cell r="D3402">
            <v>371.34</v>
          </cell>
          <cell r="E3402">
            <v>416.08</v>
          </cell>
          <cell r="F3402">
            <v>429.18</v>
          </cell>
          <cell r="G3402">
            <v>327.04000000000002</v>
          </cell>
          <cell r="H3402">
            <v>7700.65</v>
          </cell>
          <cell r="I3402">
            <v>657.94</v>
          </cell>
        </row>
        <row r="3403">
          <cell r="A3403">
            <v>36559</v>
          </cell>
          <cell r="B3403">
            <v>4762.8500000000004</v>
          </cell>
          <cell r="C3403">
            <v>5046.12</v>
          </cell>
          <cell r="D3403">
            <v>376.29</v>
          </cell>
          <cell r="E3403">
            <v>426.98</v>
          </cell>
          <cell r="F3403">
            <v>439.15</v>
          </cell>
          <cell r="G3403">
            <v>325.88</v>
          </cell>
          <cell r="H3403">
            <v>7718.46</v>
          </cell>
          <cell r="I3403">
            <v>660.37</v>
          </cell>
        </row>
        <row r="3404">
          <cell r="A3404">
            <v>36560</v>
          </cell>
          <cell r="B3404">
            <v>4775.34</v>
          </cell>
          <cell r="C3404">
            <v>5119.79</v>
          </cell>
          <cell r="D3404">
            <v>377.37</v>
          </cell>
          <cell r="E3404">
            <v>433.31</v>
          </cell>
          <cell r="F3404">
            <v>444.65</v>
          </cell>
          <cell r="G3404">
            <v>321.56</v>
          </cell>
          <cell r="H3404">
            <v>7843.42</v>
          </cell>
          <cell r="I3404">
            <v>675.01</v>
          </cell>
        </row>
        <row r="3405">
          <cell r="A3405">
            <v>36563</v>
          </cell>
          <cell r="B3405">
            <v>4730.16</v>
          </cell>
          <cell r="C3405">
            <v>5041.08</v>
          </cell>
          <cell r="D3405">
            <v>374.2</v>
          </cell>
          <cell r="E3405">
            <v>428.09</v>
          </cell>
          <cell r="F3405">
            <v>440.95</v>
          </cell>
          <cell r="G3405">
            <v>320.49</v>
          </cell>
          <cell r="H3405">
            <v>7861.97</v>
          </cell>
          <cell r="I3405">
            <v>679.54</v>
          </cell>
        </row>
        <row r="3406">
          <cell r="A3406">
            <v>36564</v>
          </cell>
          <cell r="B3406">
            <v>4850</v>
          </cell>
          <cell r="C3406">
            <v>5176.17</v>
          </cell>
          <cell r="D3406">
            <v>382.38</v>
          </cell>
          <cell r="E3406">
            <v>438.3</v>
          </cell>
          <cell r="F3406">
            <v>449.68</v>
          </cell>
          <cell r="G3406">
            <v>326.62</v>
          </cell>
          <cell r="H3406">
            <v>7973.5</v>
          </cell>
          <cell r="I3406">
            <v>685.75</v>
          </cell>
        </row>
        <row r="3407">
          <cell r="A3407">
            <v>36565</v>
          </cell>
          <cell r="B3407">
            <v>4844.38</v>
          </cell>
          <cell r="C3407">
            <v>5191.79</v>
          </cell>
          <cell r="D3407">
            <v>382.35</v>
          </cell>
          <cell r="E3407">
            <v>438.94</v>
          </cell>
          <cell r="F3407">
            <v>449.55</v>
          </cell>
          <cell r="G3407">
            <v>325.89</v>
          </cell>
          <cell r="H3407">
            <v>7968.67</v>
          </cell>
          <cell r="I3407">
            <v>689.07</v>
          </cell>
        </row>
        <row r="3408">
          <cell r="A3408">
            <v>36566</v>
          </cell>
          <cell r="B3408">
            <v>4850.72</v>
          </cell>
          <cell r="C3408">
            <v>5174.3500000000004</v>
          </cell>
          <cell r="D3408">
            <v>381.61</v>
          </cell>
          <cell r="E3408">
            <v>438.81</v>
          </cell>
          <cell r="F3408">
            <v>449.44</v>
          </cell>
          <cell r="G3408">
            <v>324.5</v>
          </cell>
          <cell r="H3408">
            <v>7877.51</v>
          </cell>
          <cell r="I3408">
            <v>686.05</v>
          </cell>
        </row>
        <row r="3409">
          <cell r="A3409">
            <v>36567</v>
          </cell>
          <cell r="B3409">
            <v>4849.45</v>
          </cell>
          <cell r="C3409">
            <v>5195.67</v>
          </cell>
          <cell r="D3409">
            <v>381.41</v>
          </cell>
          <cell r="E3409">
            <v>441.47</v>
          </cell>
          <cell r="F3409">
            <v>451.92</v>
          </cell>
          <cell r="G3409">
            <v>321.37</v>
          </cell>
          <cell r="H3409">
            <v>7894.01</v>
          </cell>
          <cell r="I3409">
            <v>686</v>
          </cell>
        </row>
        <row r="3410">
          <cell r="A3410">
            <v>36570</v>
          </cell>
          <cell r="B3410">
            <v>4783.46</v>
          </cell>
          <cell r="C3410">
            <v>5166.08</v>
          </cell>
          <cell r="D3410">
            <v>379.14</v>
          </cell>
          <cell r="E3410">
            <v>441.6</v>
          </cell>
          <cell r="F3410">
            <v>451.01</v>
          </cell>
          <cell r="G3410">
            <v>316.79000000000002</v>
          </cell>
          <cell r="H3410">
            <v>7713.66</v>
          </cell>
          <cell r="I3410">
            <v>669.18</v>
          </cell>
        </row>
        <row r="3411">
          <cell r="A3411">
            <v>36571</v>
          </cell>
          <cell r="B3411">
            <v>4673.96</v>
          </cell>
          <cell r="C3411">
            <v>5043.33</v>
          </cell>
          <cell r="D3411">
            <v>371.3</v>
          </cell>
          <cell r="E3411">
            <v>430.21</v>
          </cell>
          <cell r="F3411">
            <v>439.91</v>
          </cell>
          <cell r="G3411">
            <v>312.43</v>
          </cell>
          <cell r="H3411">
            <v>7591.39</v>
          </cell>
          <cell r="I3411">
            <v>655.54</v>
          </cell>
        </row>
        <row r="3412">
          <cell r="A3412">
            <v>36572</v>
          </cell>
          <cell r="B3412">
            <v>4737.5600000000004</v>
          </cell>
          <cell r="C3412">
            <v>5063.7299999999996</v>
          </cell>
          <cell r="D3412">
            <v>376.12</v>
          </cell>
          <cell r="E3412">
            <v>432.29</v>
          </cell>
          <cell r="F3412">
            <v>443.03</v>
          </cell>
          <cell r="G3412">
            <v>319.88</v>
          </cell>
          <cell r="H3412">
            <v>7755.98</v>
          </cell>
          <cell r="I3412">
            <v>662.92</v>
          </cell>
        </row>
        <row r="3413">
          <cell r="A3413">
            <v>36573</v>
          </cell>
          <cell r="B3413">
            <v>4775.55</v>
          </cell>
          <cell r="C3413">
            <v>5114.47</v>
          </cell>
          <cell r="D3413">
            <v>379.95</v>
          </cell>
          <cell r="E3413">
            <v>437.17</v>
          </cell>
          <cell r="F3413">
            <v>447.51</v>
          </cell>
          <cell r="G3413">
            <v>322.66000000000003</v>
          </cell>
          <cell r="H3413">
            <v>7778.72</v>
          </cell>
          <cell r="I3413">
            <v>665.22</v>
          </cell>
        </row>
        <row r="3414">
          <cell r="A3414">
            <v>36574</v>
          </cell>
          <cell r="B3414">
            <v>4743.92</v>
          </cell>
          <cell r="C3414">
            <v>5079.59</v>
          </cell>
          <cell r="D3414">
            <v>378.76</v>
          </cell>
          <cell r="E3414">
            <v>435.79</v>
          </cell>
          <cell r="F3414">
            <v>447.23</v>
          </cell>
          <cell r="G3414">
            <v>321.64999999999998</v>
          </cell>
          <cell r="H3414">
            <v>7904.68</v>
          </cell>
          <cell r="I3414">
            <v>681.83</v>
          </cell>
        </row>
        <row r="3415">
          <cell r="A3415">
            <v>36577</v>
          </cell>
          <cell r="B3415">
            <v>4698.76</v>
          </cell>
          <cell r="C3415">
            <v>5033.33</v>
          </cell>
          <cell r="D3415">
            <v>374.48</v>
          </cell>
          <cell r="E3415">
            <v>430.82</v>
          </cell>
          <cell r="F3415">
            <v>442.53</v>
          </cell>
          <cell r="G3415">
            <v>318.08</v>
          </cell>
          <cell r="H3415">
            <v>7827.9</v>
          </cell>
          <cell r="I3415">
            <v>676.06</v>
          </cell>
        </row>
        <row r="3416">
          <cell r="A3416">
            <v>36578</v>
          </cell>
          <cell r="B3416">
            <v>4694.3500000000004</v>
          </cell>
          <cell r="C3416">
            <v>5024.05</v>
          </cell>
          <cell r="D3416">
            <v>371.76</v>
          </cell>
          <cell r="E3416">
            <v>430.21</v>
          </cell>
          <cell r="F3416">
            <v>441.69</v>
          </cell>
          <cell r="G3416">
            <v>313.32</v>
          </cell>
          <cell r="H3416">
            <v>7704.02</v>
          </cell>
          <cell r="I3416">
            <v>668.32</v>
          </cell>
        </row>
        <row r="3417">
          <cell r="A3417">
            <v>36579</v>
          </cell>
          <cell r="B3417">
            <v>4754.07</v>
          </cell>
          <cell r="C3417">
            <v>5086</v>
          </cell>
          <cell r="D3417">
            <v>376.98</v>
          </cell>
          <cell r="E3417">
            <v>436.16</v>
          </cell>
          <cell r="F3417">
            <v>447.22</v>
          </cell>
          <cell r="G3417">
            <v>317.81</v>
          </cell>
          <cell r="H3417">
            <v>7784.38</v>
          </cell>
          <cell r="I3417">
            <v>676</v>
          </cell>
        </row>
        <row r="3418">
          <cell r="A3418">
            <v>36580</v>
          </cell>
          <cell r="B3418">
            <v>4764.7299999999996</v>
          </cell>
          <cell r="C3418">
            <v>5117.41</v>
          </cell>
          <cell r="D3418">
            <v>377.77</v>
          </cell>
          <cell r="E3418">
            <v>437.75</v>
          </cell>
          <cell r="F3418">
            <v>449.02</v>
          </cell>
          <cell r="G3418">
            <v>317.83</v>
          </cell>
          <cell r="H3418">
            <v>7932.64</v>
          </cell>
          <cell r="I3418">
            <v>689.89</v>
          </cell>
        </row>
        <row r="3419">
          <cell r="A3419">
            <v>36581</v>
          </cell>
          <cell r="B3419">
            <v>4871.21</v>
          </cell>
          <cell r="C3419">
            <v>5208.87</v>
          </cell>
          <cell r="D3419">
            <v>385.34</v>
          </cell>
          <cell r="E3419">
            <v>445.47</v>
          </cell>
          <cell r="F3419">
            <v>456.1</v>
          </cell>
          <cell r="G3419">
            <v>325.19</v>
          </cell>
          <cell r="H3419">
            <v>8158.82</v>
          </cell>
          <cell r="I3419">
            <v>709.23</v>
          </cell>
        </row>
        <row r="3420">
          <cell r="A3420">
            <v>36584</v>
          </cell>
          <cell r="B3420">
            <v>4811.53</v>
          </cell>
          <cell r="C3420">
            <v>5126.33</v>
          </cell>
          <cell r="D3420">
            <v>381.51</v>
          </cell>
          <cell r="E3420">
            <v>439.13</v>
          </cell>
          <cell r="F3420">
            <v>450.67</v>
          </cell>
          <cell r="G3420">
            <v>323.79000000000002</v>
          </cell>
          <cell r="H3420">
            <v>8103.38</v>
          </cell>
          <cell r="I3420">
            <v>707.01</v>
          </cell>
        </row>
        <row r="3421">
          <cell r="A3421">
            <v>36585</v>
          </cell>
          <cell r="B3421">
            <v>4879.79</v>
          </cell>
          <cell r="C3421">
            <v>5182.62</v>
          </cell>
          <cell r="D3421">
            <v>386.01</v>
          </cell>
          <cell r="E3421">
            <v>444.35</v>
          </cell>
          <cell r="F3421">
            <v>454.96</v>
          </cell>
          <cell r="G3421">
            <v>327.56</v>
          </cell>
          <cell r="H3421">
            <v>8108.34</v>
          </cell>
          <cell r="I3421">
            <v>708.58</v>
          </cell>
        </row>
        <row r="3422">
          <cell r="A3422">
            <v>36586</v>
          </cell>
          <cell r="B3422">
            <v>4920.41</v>
          </cell>
          <cell r="C3422">
            <v>5235.1400000000003</v>
          </cell>
          <cell r="D3422">
            <v>391.03</v>
          </cell>
          <cell r="E3422">
            <v>448.33</v>
          </cell>
          <cell r="F3422">
            <v>459.54</v>
          </cell>
          <cell r="G3422">
            <v>333.55</v>
          </cell>
          <cell r="H3422">
            <v>8210.58</v>
          </cell>
          <cell r="I3422">
            <v>715.63</v>
          </cell>
        </row>
        <row r="3423">
          <cell r="A3423">
            <v>36587</v>
          </cell>
          <cell r="B3423">
            <v>5070.8</v>
          </cell>
          <cell r="C3423">
            <v>5406.37</v>
          </cell>
          <cell r="D3423">
            <v>398.98</v>
          </cell>
          <cell r="E3423">
            <v>459.28</v>
          </cell>
          <cell r="F3423">
            <v>470.45</v>
          </cell>
          <cell r="G3423">
            <v>338.58</v>
          </cell>
          <cell r="H3423">
            <v>8491.2800000000007</v>
          </cell>
          <cell r="I3423">
            <v>738.27</v>
          </cell>
        </row>
        <row r="3424">
          <cell r="A3424">
            <v>36588</v>
          </cell>
          <cell r="B3424">
            <v>5133.37</v>
          </cell>
          <cell r="C3424">
            <v>5450.22</v>
          </cell>
          <cell r="D3424">
            <v>402.57</v>
          </cell>
          <cell r="E3424">
            <v>462.94</v>
          </cell>
          <cell r="F3424">
            <v>473.84</v>
          </cell>
          <cell r="G3424">
            <v>342.09</v>
          </cell>
          <cell r="H3424">
            <v>8634.98</v>
          </cell>
          <cell r="I3424">
            <v>760.66</v>
          </cell>
        </row>
        <row r="3425">
          <cell r="A3425">
            <v>36591</v>
          </cell>
          <cell r="B3425">
            <v>5156.72</v>
          </cell>
          <cell r="C3425">
            <v>5464.43</v>
          </cell>
          <cell r="D3425">
            <v>405.5</v>
          </cell>
          <cell r="E3425">
            <v>466.24</v>
          </cell>
          <cell r="F3425">
            <v>477.41</v>
          </cell>
          <cell r="G3425">
            <v>344.63</v>
          </cell>
          <cell r="H3425">
            <v>8791.73</v>
          </cell>
          <cell r="I3425">
            <v>776.82</v>
          </cell>
        </row>
        <row r="3426">
          <cell r="A3426">
            <v>36592</v>
          </cell>
          <cell r="B3426">
            <v>5111.09</v>
          </cell>
          <cell r="C3426">
            <v>5426.36</v>
          </cell>
          <cell r="D3426">
            <v>402.62</v>
          </cell>
          <cell r="E3426">
            <v>461.97</v>
          </cell>
          <cell r="F3426">
            <v>473.7</v>
          </cell>
          <cell r="G3426">
            <v>343.1</v>
          </cell>
          <cell r="H3426">
            <v>8779.9699999999993</v>
          </cell>
          <cell r="I3426">
            <v>770.63</v>
          </cell>
        </row>
        <row r="3427">
          <cell r="A3427">
            <v>36593</v>
          </cell>
          <cell r="B3427">
            <v>5077.63</v>
          </cell>
          <cell r="C3427">
            <v>5364.52</v>
          </cell>
          <cell r="D3427">
            <v>398.35</v>
          </cell>
          <cell r="E3427">
            <v>456.95</v>
          </cell>
          <cell r="F3427">
            <v>467.32</v>
          </cell>
          <cell r="G3427">
            <v>339.57</v>
          </cell>
          <cell r="H3427">
            <v>8481.0300000000007</v>
          </cell>
          <cell r="I3427">
            <v>741.3</v>
          </cell>
        </row>
        <row r="3428">
          <cell r="A3428">
            <v>36594</v>
          </cell>
          <cell r="B3428">
            <v>5072.4399999999996</v>
          </cell>
          <cell r="C3428">
            <v>5352.88</v>
          </cell>
          <cell r="D3428">
            <v>399.08</v>
          </cell>
          <cell r="E3428">
            <v>457.92</v>
          </cell>
          <cell r="F3428">
            <v>467.93</v>
          </cell>
          <cell r="G3428">
            <v>340.06</v>
          </cell>
          <cell r="H3428">
            <v>8503.4699999999993</v>
          </cell>
          <cell r="I3428">
            <v>738.61</v>
          </cell>
        </row>
        <row r="3429">
          <cell r="A3429">
            <v>36595</v>
          </cell>
          <cell r="B3429">
            <v>5129.9799999999996</v>
          </cell>
          <cell r="C3429">
            <v>5416.81</v>
          </cell>
          <cell r="D3429">
            <v>402.26</v>
          </cell>
          <cell r="E3429">
            <v>461.97</v>
          </cell>
          <cell r="F3429">
            <v>471.81</v>
          </cell>
          <cell r="G3429">
            <v>342.4</v>
          </cell>
          <cell r="H3429">
            <v>8641.5</v>
          </cell>
          <cell r="I3429">
            <v>756.3</v>
          </cell>
        </row>
        <row r="3430">
          <cell r="A3430">
            <v>36598</v>
          </cell>
          <cell r="B3430">
            <v>4998.9399999999996</v>
          </cell>
          <cell r="C3430">
            <v>5254.41</v>
          </cell>
          <cell r="D3430">
            <v>392.86</v>
          </cell>
          <cell r="E3430">
            <v>449.49</v>
          </cell>
          <cell r="F3430">
            <v>459.54</v>
          </cell>
          <cell r="G3430">
            <v>336.02</v>
          </cell>
          <cell r="H3430">
            <v>8370.5300000000007</v>
          </cell>
          <cell r="I3430">
            <v>731.67</v>
          </cell>
        </row>
        <row r="3431">
          <cell r="A3431">
            <v>36599</v>
          </cell>
          <cell r="B3431">
            <v>4993.75</v>
          </cell>
          <cell r="C3431">
            <v>5258.32</v>
          </cell>
          <cell r="D3431">
            <v>393.57</v>
          </cell>
          <cell r="E3431">
            <v>450.43</v>
          </cell>
          <cell r="F3431">
            <v>460.27</v>
          </cell>
          <cell r="G3431">
            <v>336.5</v>
          </cell>
          <cell r="H3431">
            <v>8511.1200000000008</v>
          </cell>
          <cell r="I3431">
            <v>746.08</v>
          </cell>
        </row>
        <row r="3432">
          <cell r="A3432">
            <v>36600</v>
          </cell>
          <cell r="B3432">
            <v>4867.99</v>
          </cell>
          <cell r="C3432">
            <v>5083.1499999999996</v>
          </cell>
          <cell r="D3432">
            <v>385.36</v>
          </cell>
          <cell r="E3432">
            <v>437.32</v>
          </cell>
          <cell r="F3432">
            <v>447.98</v>
          </cell>
          <cell r="G3432">
            <v>333.05</v>
          </cell>
          <cell r="H3432">
            <v>8098.7</v>
          </cell>
          <cell r="I3432">
            <v>705.94</v>
          </cell>
        </row>
        <row r="3433">
          <cell r="A3433">
            <v>36601</v>
          </cell>
          <cell r="B3433">
            <v>4933.87</v>
          </cell>
          <cell r="C3433">
            <v>5175.2299999999996</v>
          </cell>
          <cell r="D3433">
            <v>390.38</v>
          </cell>
          <cell r="E3433">
            <v>443.03</v>
          </cell>
          <cell r="F3433">
            <v>454.35</v>
          </cell>
          <cell r="G3433">
            <v>337.38</v>
          </cell>
          <cell r="H3433">
            <v>8089.72</v>
          </cell>
          <cell r="I3433">
            <v>691.25</v>
          </cell>
        </row>
        <row r="3434">
          <cell r="A3434">
            <v>36602</v>
          </cell>
          <cell r="B3434">
            <v>4989.04</v>
          </cell>
          <cell r="C3434">
            <v>5231.3500000000004</v>
          </cell>
          <cell r="D3434">
            <v>393.74</v>
          </cell>
          <cell r="E3434">
            <v>448.32</v>
          </cell>
          <cell r="F3434">
            <v>459.93</v>
          </cell>
          <cell r="G3434">
            <v>338.85</v>
          </cell>
          <cell r="H3434">
            <v>8375.56</v>
          </cell>
          <cell r="I3434">
            <v>714.62</v>
          </cell>
        </row>
        <row r="3435">
          <cell r="A3435">
            <v>36605</v>
          </cell>
          <cell r="B3435">
            <v>5052.07</v>
          </cell>
          <cell r="C3435">
            <v>5286.71</v>
          </cell>
          <cell r="D3435">
            <v>397.39</v>
          </cell>
          <cell r="E3435">
            <v>452.6</v>
          </cell>
          <cell r="F3435">
            <v>464.98</v>
          </cell>
          <cell r="G3435">
            <v>341.89</v>
          </cell>
          <cell r="H3435">
            <v>8569.42</v>
          </cell>
          <cell r="I3435">
            <v>735.53</v>
          </cell>
        </row>
        <row r="3436">
          <cell r="A3436">
            <v>36606</v>
          </cell>
          <cell r="B3436">
            <v>5052.41</v>
          </cell>
          <cell r="C3436">
            <v>5266.23</v>
          </cell>
          <cell r="D3436">
            <v>395.56</v>
          </cell>
          <cell r="E3436">
            <v>448.14</v>
          </cell>
          <cell r="F3436">
            <v>461.38</v>
          </cell>
          <cell r="G3436">
            <v>342.61</v>
          </cell>
          <cell r="H3436">
            <v>8449.86</v>
          </cell>
          <cell r="I3436">
            <v>721.37</v>
          </cell>
        </row>
        <row r="3437">
          <cell r="A3437">
            <v>36607</v>
          </cell>
          <cell r="B3437">
            <v>5070.28</v>
          </cell>
          <cell r="C3437">
            <v>5268.35</v>
          </cell>
          <cell r="D3437">
            <v>396.33</v>
          </cell>
          <cell r="E3437">
            <v>446.7</v>
          </cell>
          <cell r="F3437">
            <v>461.18</v>
          </cell>
          <cell r="G3437">
            <v>345.5</v>
          </cell>
          <cell r="H3437">
            <v>8493.8799999999992</v>
          </cell>
          <cell r="I3437">
            <v>735.29</v>
          </cell>
        </row>
        <row r="3438">
          <cell r="A3438">
            <v>36608</v>
          </cell>
          <cell r="B3438">
            <v>5060.13</v>
          </cell>
          <cell r="C3438">
            <v>5259.15</v>
          </cell>
          <cell r="D3438">
            <v>394</v>
          </cell>
          <cell r="E3438">
            <v>443.6</v>
          </cell>
          <cell r="F3438">
            <v>457.78</v>
          </cell>
          <cell r="G3438">
            <v>343.93</v>
          </cell>
          <cell r="H3438">
            <v>8238.31</v>
          </cell>
          <cell r="I3438">
            <v>730.86</v>
          </cell>
        </row>
        <row r="3439">
          <cell r="A3439">
            <v>36609</v>
          </cell>
          <cell r="B3439">
            <v>5166.01</v>
          </cell>
          <cell r="C3439">
            <v>5379.75</v>
          </cell>
          <cell r="D3439">
            <v>402.36</v>
          </cell>
          <cell r="E3439">
            <v>453.72</v>
          </cell>
          <cell r="F3439">
            <v>467.41</v>
          </cell>
          <cell r="G3439">
            <v>350.55</v>
          </cell>
          <cell r="H3439">
            <v>8305.6200000000008</v>
          </cell>
          <cell r="I3439">
            <v>746.15</v>
          </cell>
        </row>
        <row r="3440">
          <cell r="A3440">
            <v>36612</v>
          </cell>
          <cell r="B3440">
            <v>5136.4399999999996</v>
          </cell>
          <cell r="C3440">
            <v>5369.11</v>
          </cell>
          <cell r="D3440">
            <v>402.37</v>
          </cell>
          <cell r="E3440">
            <v>454.64</v>
          </cell>
          <cell r="F3440">
            <v>467.78</v>
          </cell>
          <cell r="G3440">
            <v>349.68</v>
          </cell>
          <cell r="H3440">
            <v>8359.2999999999993</v>
          </cell>
          <cell r="I3440">
            <v>748.36</v>
          </cell>
        </row>
        <row r="3441">
          <cell r="A3441">
            <v>36613</v>
          </cell>
          <cell r="B3441">
            <v>5153.2299999999996</v>
          </cell>
          <cell r="C3441">
            <v>5426.57</v>
          </cell>
          <cell r="D3441">
            <v>403.56</v>
          </cell>
          <cell r="E3441">
            <v>457.86</v>
          </cell>
          <cell r="F3441">
            <v>470.28</v>
          </cell>
          <cell r="G3441">
            <v>348.89</v>
          </cell>
          <cell r="H3441">
            <v>8387.49</v>
          </cell>
          <cell r="I3441">
            <v>748.78</v>
          </cell>
        </row>
        <row r="3442">
          <cell r="A3442">
            <v>36614</v>
          </cell>
          <cell r="B3442">
            <v>5161.21</v>
          </cell>
          <cell r="C3442">
            <v>5416.32</v>
          </cell>
          <cell r="D3442">
            <v>403.06</v>
          </cell>
          <cell r="E3442">
            <v>455.23</v>
          </cell>
          <cell r="F3442">
            <v>467.92</v>
          </cell>
          <cell r="G3442">
            <v>350.46</v>
          </cell>
          <cell r="H3442">
            <v>8294.3799999999992</v>
          </cell>
          <cell r="I3442">
            <v>744.23</v>
          </cell>
        </row>
        <row r="3443">
          <cell r="A3443">
            <v>36615</v>
          </cell>
          <cell r="B3443">
            <v>5025.55</v>
          </cell>
          <cell r="C3443">
            <v>5251.97</v>
          </cell>
          <cell r="D3443">
            <v>391.66</v>
          </cell>
          <cell r="E3443">
            <v>440.25</v>
          </cell>
          <cell r="F3443">
            <v>454.16</v>
          </cell>
          <cell r="G3443">
            <v>342.57</v>
          </cell>
          <cell r="H3443">
            <v>8007.15</v>
          </cell>
          <cell r="I3443">
            <v>701.02</v>
          </cell>
        </row>
        <row r="3444">
          <cell r="A3444">
            <v>36616</v>
          </cell>
          <cell r="B3444">
            <v>5059.1099999999997</v>
          </cell>
          <cell r="C3444">
            <v>5249.55</v>
          </cell>
          <cell r="D3444">
            <v>394.1</v>
          </cell>
          <cell r="E3444">
            <v>441.07</v>
          </cell>
          <cell r="F3444">
            <v>455.3</v>
          </cell>
          <cell r="G3444">
            <v>346.58</v>
          </cell>
          <cell r="H3444">
            <v>8145.95</v>
          </cell>
          <cell r="I3444">
            <v>709.88</v>
          </cell>
        </row>
        <row r="3445">
          <cell r="A3445">
            <v>36619</v>
          </cell>
          <cell r="B3445">
            <v>4965.25</v>
          </cell>
          <cell r="C3445">
            <v>5118.37</v>
          </cell>
          <cell r="D3445">
            <v>386.99</v>
          </cell>
          <cell r="E3445">
            <v>428.83</v>
          </cell>
          <cell r="F3445">
            <v>445.21</v>
          </cell>
          <cell r="G3445">
            <v>344.47</v>
          </cell>
          <cell r="H3445">
            <v>7984.18</v>
          </cell>
          <cell r="I3445">
            <v>691.27</v>
          </cell>
        </row>
        <row r="3446">
          <cell r="A3446">
            <v>36620</v>
          </cell>
          <cell r="B3446">
            <v>4974.32</v>
          </cell>
          <cell r="C3446">
            <v>5176.71</v>
          </cell>
          <cell r="D3446">
            <v>387.35</v>
          </cell>
          <cell r="E3446">
            <v>431.24</v>
          </cell>
          <cell r="F3446">
            <v>447.22</v>
          </cell>
          <cell r="G3446">
            <v>342.85</v>
          </cell>
          <cell r="H3446">
            <v>8026.32</v>
          </cell>
          <cell r="I3446">
            <v>680.29</v>
          </cell>
        </row>
        <row r="3447">
          <cell r="A3447">
            <v>36621</v>
          </cell>
          <cell r="B3447">
            <v>4833.99</v>
          </cell>
          <cell r="C3447">
            <v>5044.17</v>
          </cell>
          <cell r="D3447">
            <v>377.52</v>
          </cell>
          <cell r="E3447">
            <v>420.74</v>
          </cell>
          <cell r="F3447">
            <v>436.87</v>
          </cell>
          <cell r="G3447">
            <v>333.7</v>
          </cell>
          <cell r="H3447">
            <v>7738.91</v>
          </cell>
          <cell r="I3447">
            <v>662.13</v>
          </cell>
        </row>
        <row r="3448">
          <cell r="A3448">
            <v>36622</v>
          </cell>
          <cell r="B3448">
            <v>4972.59</v>
          </cell>
          <cell r="C3448">
            <v>5179.96</v>
          </cell>
          <cell r="D3448">
            <v>388.15</v>
          </cell>
          <cell r="E3448">
            <v>434.36</v>
          </cell>
          <cell r="F3448">
            <v>449.98</v>
          </cell>
          <cell r="G3448">
            <v>341.41</v>
          </cell>
          <cell r="H3448">
            <v>8056.76</v>
          </cell>
          <cell r="I3448">
            <v>702.23</v>
          </cell>
        </row>
        <row r="3449">
          <cell r="A3449">
            <v>36623</v>
          </cell>
          <cell r="B3449">
            <v>5046.74</v>
          </cell>
          <cell r="C3449">
            <v>5259.52</v>
          </cell>
          <cell r="D3449">
            <v>393.39</v>
          </cell>
          <cell r="E3449">
            <v>440.06</v>
          </cell>
          <cell r="F3449">
            <v>455.28</v>
          </cell>
          <cell r="G3449">
            <v>346.16</v>
          </cell>
          <cell r="H3449">
            <v>8123.76</v>
          </cell>
          <cell r="I3449">
            <v>718.03</v>
          </cell>
        </row>
        <row r="3450">
          <cell r="A3450">
            <v>36626</v>
          </cell>
          <cell r="B3450">
            <v>5041.8100000000004</v>
          </cell>
          <cell r="C3450">
            <v>5282.26</v>
          </cell>
          <cell r="D3450">
            <v>392.88</v>
          </cell>
          <cell r="E3450">
            <v>440.59</v>
          </cell>
          <cell r="F3450">
            <v>455.45</v>
          </cell>
          <cell r="G3450">
            <v>344.65</v>
          </cell>
          <cell r="H3450">
            <v>8038.19</v>
          </cell>
          <cell r="I3450">
            <v>713.74</v>
          </cell>
        </row>
        <row r="3451">
          <cell r="A3451">
            <v>36627</v>
          </cell>
          <cell r="B3451">
            <v>4939.22</v>
          </cell>
          <cell r="C3451">
            <v>5174.38</v>
          </cell>
          <cell r="D3451">
            <v>384.96</v>
          </cell>
          <cell r="E3451">
            <v>430.55</v>
          </cell>
          <cell r="F3451">
            <v>446.1</v>
          </cell>
          <cell r="G3451">
            <v>338.82</v>
          </cell>
          <cell r="H3451">
            <v>7742.92</v>
          </cell>
          <cell r="I3451">
            <v>673.48</v>
          </cell>
        </row>
        <row r="3452">
          <cell r="A3452">
            <v>36628</v>
          </cell>
          <cell r="B3452">
            <v>4940.8100000000004</v>
          </cell>
          <cell r="C3452">
            <v>5179.28</v>
          </cell>
          <cell r="D3452">
            <v>384.96</v>
          </cell>
          <cell r="E3452">
            <v>430.83</v>
          </cell>
          <cell r="F3452">
            <v>446.05</v>
          </cell>
          <cell r="G3452">
            <v>338.55</v>
          </cell>
          <cell r="H3452">
            <v>7715.55</v>
          </cell>
          <cell r="I3452">
            <v>670.62</v>
          </cell>
        </row>
        <row r="3453">
          <cell r="A3453">
            <v>36629</v>
          </cell>
          <cell r="B3453">
            <v>4951.8599999999997</v>
          </cell>
          <cell r="C3453">
            <v>5181.33</v>
          </cell>
          <cell r="D3453">
            <v>384.95</v>
          </cell>
          <cell r="E3453">
            <v>430.79</v>
          </cell>
          <cell r="F3453">
            <v>445.53</v>
          </cell>
          <cell r="G3453">
            <v>338.56</v>
          </cell>
          <cell r="H3453">
            <v>7696.09</v>
          </cell>
          <cell r="I3453">
            <v>657.24</v>
          </cell>
        </row>
        <row r="3454">
          <cell r="A3454">
            <v>36630</v>
          </cell>
          <cell r="B3454">
            <v>4794.12</v>
          </cell>
          <cell r="C3454">
            <v>5034.25</v>
          </cell>
          <cell r="D3454">
            <v>374.04</v>
          </cell>
          <cell r="E3454">
            <v>418.33</v>
          </cell>
          <cell r="F3454">
            <v>433.31</v>
          </cell>
          <cell r="G3454">
            <v>329.22</v>
          </cell>
          <cell r="H3454">
            <v>7429.88</v>
          </cell>
          <cell r="I3454">
            <v>630.82000000000005</v>
          </cell>
        </row>
        <row r="3455">
          <cell r="A3455">
            <v>36633</v>
          </cell>
          <cell r="B3455">
            <v>4735.5</v>
          </cell>
          <cell r="C3455">
            <v>4979.66</v>
          </cell>
          <cell r="D3455">
            <v>368.15</v>
          </cell>
          <cell r="E3455">
            <v>414.67</v>
          </cell>
          <cell r="F3455">
            <v>429.13</v>
          </cell>
          <cell r="G3455">
            <v>321.20999999999998</v>
          </cell>
          <cell r="H3455">
            <v>7415.3</v>
          </cell>
          <cell r="I3455">
            <v>632.33000000000004</v>
          </cell>
        </row>
        <row r="3456">
          <cell r="A3456">
            <v>36634</v>
          </cell>
          <cell r="B3456">
            <v>4819.17</v>
          </cell>
          <cell r="C3456">
            <v>5061.8999999999996</v>
          </cell>
          <cell r="D3456">
            <v>372.92</v>
          </cell>
          <cell r="E3456">
            <v>419.85</v>
          </cell>
          <cell r="F3456">
            <v>434.06</v>
          </cell>
          <cell r="G3456">
            <v>325.55</v>
          </cell>
          <cell r="H3456">
            <v>7593.24</v>
          </cell>
          <cell r="I3456">
            <v>655.01</v>
          </cell>
        </row>
        <row r="3457">
          <cell r="A3457">
            <v>36635</v>
          </cell>
          <cell r="B3457">
            <v>4896.0600000000004</v>
          </cell>
          <cell r="C3457">
            <v>5078.6899999999996</v>
          </cell>
          <cell r="D3457">
            <v>378.87</v>
          </cell>
          <cell r="E3457">
            <v>422.85</v>
          </cell>
          <cell r="F3457">
            <v>438.3</v>
          </cell>
          <cell r="G3457">
            <v>334.29</v>
          </cell>
          <cell r="H3457">
            <v>7829.42</v>
          </cell>
          <cell r="I3457">
            <v>683.15</v>
          </cell>
        </row>
        <row r="3458">
          <cell r="A3458">
            <v>36636</v>
          </cell>
          <cell r="B3458">
            <v>4906.21</v>
          </cell>
          <cell r="C3458">
            <v>5117.78</v>
          </cell>
          <cell r="D3458">
            <v>381.36</v>
          </cell>
          <cell r="E3458">
            <v>426.25</v>
          </cell>
          <cell r="F3458">
            <v>440.7</v>
          </cell>
          <cell r="G3458">
            <v>335.9</v>
          </cell>
          <cell r="H3458">
            <v>7827.37</v>
          </cell>
          <cell r="I3458">
            <v>680.26</v>
          </cell>
        </row>
        <row r="3459">
          <cell r="A3459">
            <v>36641</v>
          </cell>
          <cell r="B3459">
            <v>4951.5600000000004</v>
          </cell>
          <cell r="C3459">
            <v>5158.13</v>
          </cell>
          <cell r="D3459">
            <v>385.04</v>
          </cell>
          <cell r="E3459">
            <v>428.51</v>
          </cell>
          <cell r="F3459">
            <v>443.14</v>
          </cell>
          <cell r="G3459">
            <v>340.91</v>
          </cell>
          <cell r="H3459">
            <v>7893.61</v>
          </cell>
          <cell r="I3459">
            <v>675.13</v>
          </cell>
        </row>
        <row r="3460">
          <cell r="A3460">
            <v>36642</v>
          </cell>
          <cell r="B3460">
            <v>5005.88</v>
          </cell>
          <cell r="C3460">
            <v>5245.11</v>
          </cell>
          <cell r="D3460">
            <v>388.67</v>
          </cell>
          <cell r="E3460">
            <v>434.53</v>
          </cell>
          <cell r="F3460">
            <v>448.93</v>
          </cell>
          <cell r="G3460">
            <v>342.23</v>
          </cell>
          <cell r="H3460">
            <v>8077.67</v>
          </cell>
          <cell r="I3460">
            <v>698.3</v>
          </cell>
        </row>
        <row r="3461">
          <cell r="A3461">
            <v>36643</v>
          </cell>
          <cell r="B3461">
            <v>4988.8599999999997</v>
          </cell>
          <cell r="C3461">
            <v>5171.96</v>
          </cell>
          <cell r="D3461">
            <v>385.97</v>
          </cell>
          <cell r="E3461">
            <v>428.42</v>
          </cell>
          <cell r="F3461">
            <v>444.3</v>
          </cell>
          <cell r="G3461">
            <v>342.81</v>
          </cell>
          <cell r="H3461">
            <v>8126.35</v>
          </cell>
          <cell r="I3461">
            <v>719.95</v>
          </cell>
        </row>
        <row r="3462">
          <cell r="A3462">
            <v>36644</v>
          </cell>
          <cell r="B3462">
            <v>5093.1899999999996</v>
          </cell>
          <cell r="C3462">
            <v>5303.95</v>
          </cell>
          <cell r="D3462">
            <v>392.62</v>
          </cell>
          <cell r="E3462">
            <v>438.58</v>
          </cell>
          <cell r="F3462">
            <v>453.67</v>
          </cell>
          <cell r="G3462">
            <v>346.07</v>
          </cell>
          <cell r="H3462">
            <v>8293.9599999999991</v>
          </cell>
          <cell r="I3462">
            <v>744.63</v>
          </cell>
        </row>
        <row r="3463">
          <cell r="A3463">
            <v>36648</v>
          </cell>
          <cell r="B3463">
            <v>5183.24</v>
          </cell>
          <cell r="C3463">
            <v>5434.81</v>
          </cell>
          <cell r="D3463">
            <v>400.66</v>
          </cell>
          <cell r="E3463">
            <v>449.34</v>
          </cell>
          <cell r="F3463">
            <v>464.68</v>
          </cell>
          <cell r="G3463">
            <v>351.44</v>
          </cell>
          <cell r="H3463">
            <v>8525.4500000000007</v>
          </cell>
          <cell r="I3463">
            <v>767.1</v>
          </cell>
        </row>
        <row r="3464">
          <cell r="A3464">
            <v>36649</v>
          </cell>
          <cell r="B3464">
            <v>5086.53</v>
          </cell>
          <cell r="C3464">
            <v>5316.94</v>
          </cell>
          <cell r="D3464">
            <v>395.5</v>
          </cell>
          <cell r="E3464">
            <v>440.92</v>
          </cell>
          <cell r="F3464">
            <v>457.42</v>
          </cell>
          <cell r="G3464">
            <v>349.44</v>
          </cell>
          <cell r="H3464">
            <v>8426.7099999999991</v>
          </cell>
          <cell r="I3464">
            <v>748.79</v>
          </cell>
        </row>
        <row r="3465">
          <cell r="A3465">
            <v>36650</v>
          </cell>
          <cell r="B3465">
            <v>5061.91</v>
          </cell>
          <cell r="C3465">
            <v>5306.32</v>
          </cell>
          <cell r="D3465">
            <v>394.74</v>
          </cell>
          <cell r="E3465">
            <v>441.93</v>
          </cell>
          <cell r="F3465">
            <v>458.25</v>
          </cell>
          <cell r="G3465">
            <v>346.98</v>
          </cell>
          <cell r="H3465">
            <v>8397.74</v>
          </cell>
          <cell r="I3465">
            <v>748.43</v>
          </cell>
        </row>
        <row r="3466">
          <cell r="A3466">
            <v>36651</v>
          </cell>
          <cell r="B3466">
            <v>5093</v>
          </cell>
          <cell r="C3466">
            <v>5351.71</v>
          </cell>
          <cell r="D3466">
            <v>395.34</v>
          </cell>
          <cell r="E3466">
            <v>445.46</v>
          </cell>
          <cell r="F3466">
            <v>460.95</v>
          </cell>
          <cell r="G3466">
            <v>344.77</v>
          </cell>
          <cell r="H3466">
            <v>8387.82</v>
          </cell>
          <cell r="I3466">
            <v>746.12</v>
          </cell>
        </row>
        <row r="3467">
          <cell r="A3467">
            <v>36654</v>
          </cell>
          <cell r="B3467">
            <v>5038.09</v>
          </cell>
          <cell r="C3467">
            <v>5285.09</v>
          </cell>
          <cell r="D3467">
            <v>392.92</v>
          </cell>
          <cell r="E3467">
            <v>441.29</v>
          </cell>
          <cell r="F3467">
            <v>457.16</v>
          </cell>
          <cell r="G3467">
            <v>344.04</v>
          </cell>
          <cell r="H3467">
            <v>8343.23</v>
          </cell>
          <cell r="I3467">
            <v>734.23</v>
          </cell>
        </row>
        <row r="3468">
          <cell r="A3468">
            <v>36655</v>
          </cell>
          <cell r="B3468">
            <v>4927.2299999999996</v>
          </cell>
          <cell r="C3468">
            <v>5182.7299999999996</v>
          </cell>
          <cell r="D3468">
            <v>386.37</v>
          </cell>
          <cell r="E3468">
            <v>433.65</v>
          </cell>
          <cell r="F3468">
            <v>450.48</v>
          </cell>
          <cell r="G3468">
            <v>338.58</v>
          </cell>
          <cell r="H3468">
            <v>8195.26</v>
          </cell>
          <cell r="I3468">
            <v>722.56</v>
          </cell>
        </row>
        <row r="3469">
          <cell r="A3469">
            <v>36656</v>
          </cell>
          <cell r="B3469">
            <v>4815.3999999999996</v>
          </cell>
          <cell r="C3469">
            <v>5065.8500000000004</v>
          </cell>
          <cell r="D3469">
            <v>378.6</v>
          </cell>
          <cell r="E3469">
            <v>424.9</v>
          </cell>
          <cell r="F3469">
            <v>441.97</v>
          </cell>
          <cell r="G3469">
            <v>331.81</v>
          </cell>
          <cell r="H3469">
            <v>8016.5</v>
          </cell>
          <cell r="I3469">
            <v>685.21</v>
          </cell>
        </row>
        <row r="3470">
          <cell r="A3470">
            <v>36657</v>
          </cell>
          <cell r="B3470">
            <v>4929.09</v>
          </cell>
          <cell r="C3470">
            <v>5171.7700000000004</v>
          </cell>
          <cell r="D3470">
            <v>384.56</v>
          </cell>
          <cell r="E3470">
            <v>431.58</v>
          </cell>
          <cell r="F3470">
            <v>448.13</v>
          </cell>
          <cell r="G3470">
            <v>337.04</v>
          </cell>
          <cell r="H3470">
            <v>8018.12</v>
          </cell>
          <cell r="I3470">
            <v>693.41</v>
          </cell>
        </row>
        <row r="3471">
          <cell r="A3471">
            <v>36658</v>
          </cell>
          <cell r="B3471">
            <v>4997.42</v>
          </cell>
          <cell r="C3471">
            <v>5238.42</v>
          </cell>
          <cell r="D3471">
            <v>389</v>
          </cell>
          <cell r="E3471">
            <v>436.96</v>
          </cell>
          <cell r="F3471">
            <v>453.59</v>
          </cell>
          <cell r="G3471">
            <v>340.54</v>
          </cell>
          <cell r="H3471">
            <v>8192.82</v>
          </cell>
          <cell r="I3471">
            <v>717.08</v>
          </cell>
        </row>
        <row r="3472">
          <cell r="A3472">
            <v>36661</v>
          </cell>
          <cell r="B3472">
            <v>4923.59</v>
          </cell>
          <cell r="C3472">
            <v>5182.68</v>
          </cell>
          <cell r="D3472">
            <v>384.55</v>
          </cell>
          <cell r="E3472">
            <v>432.87</v>
          </cell>
          <cell r="F3472">
            <v>449.67</v>
          </cell>
          <cell r="G3472">
            <v>335.78</v>
          </cell>
          <cell r="H3472">
            <v>8108.93</v>
          </cell>
          <cell r="I3472">
            <v>698.93</v>
          </cell>
        </row>
        <row r="3473">
          <cell r="A3473">
            <v>36662</v>
          </cell>
          <cell r="B3473">
            <v>5056.75</v>
          </cell>
          <cell r="C3473">
            <v>5335.02</v>
          </cell>
          <cell r="D3473">
            <v>393.18</v>
          </cell>
          <cell r="E3473">
            <v>443.57</v>
          </cell>
          <cell r="F3473">
            <v>460.59</v>
          </cell>
          <cell r="G3473">
            <v>342.36</v>
          </cell>
          <cell r="H3473">
            <v>8375.9699999999993</v>
          </cell>
          <cell r="I3473">
            <v>736.62</v>
          </cell>
        </row>
        <row r="3474">
          <cell r="A3474">
            <v>36663</v>
          </cell>
          <cell r="B3474">
            <v>4978.72</v>
          </cell>
          <cell r="C3474">
            <v>5230.74</v>
          </cell>
          <cell r="D3474">
            <v>387.48</v>
          </cell>
          <cell r="E3474">
            <v>435.05</v>
          </cell>
          <cell r="F3474">
            <v>453.22</v>
          </cell>
          <cell r="G3474">
            <v>339.42</v>
          </cell>
          <cell r="H3474">
            <v>8306.75</v>
          </cell>
          <cell r="I3474">
            <v>728.95</v>
          </cell>
        </row>
        <row r="3475">
          <cell r="A3475">
            <v>36664</v>
          </cell>
          <cell r="B3475">
            <v>4984.43</v>
          </cell>
          <cell r="C3475">
            <v>5247.13</v>
          </cell>
          <cell r="D3475">
            <v>387.38</v>
          </cell>
          <cell r="E3475">
            <v>435.14</v>
          </cell>
          <cell r="F3475">
            <v>453.85</v>
          </cell>
          <cell r="G3475">
            <v>339.14</v>
          </cell>
          <cell r="H3475">
            <v>8335.31</v>
          </cell>
          <cell r="I3475">
            <v>733.82</v>
          </cell>
        </row>
        <row r="3476">
          <cell r="A3476">
            <v>36665</v>
          </cell>
          <cell r="B3476">
            <v>4823.66</v>
          </cell>
          <cell r="C3476">
            <v>5063.46</v>
          </cell>
          <cell r="D3476">
            <v>375.78</v>
          </cell>
          <cell r="E3476">
            <v>419.19</v>
          </cell>
          <cell r="F3476">
            <v>439.01</v>
          </cell>
          <cell r="G3476">
            <v>331.8</v>
          </cell>
          <cell r="H3476">
            <v>8043.54</v>
          </cell>
          <cell r="I3476">
            <v>692</v>
          </cell>
        </row>
        <row r="3477">
          <cell r="A3477">
            <v>36668</v>
          </cell>
          <cell r="B3477">
            <v>4727.0600000000004</v>
          </cell>
          <cell r="C3477">
            <v>4945.17</v>
          </cell>
          <cell r="D3477">
            <v>368.67</v>
          </cell>
          <cell r="E3477">
            <v>409.08</v>
          </cell>
          <cell r="F3477">
            <v>428.6</v>
          </cell>
          <cell r="G3477">
            <v>327.62</v>
          </cell>
          <cell r="H3477">
            <v>7653.1</v>
          </cell>
          <cell r="I3477">
            <v>643.65</v>
          </cell>
        </row>
        <row r="3478">
          <cell r="A3478">
            <v>36669</v>
          </cell>
          <cell r="B3478">
            <v>4760.4799999999996</v>
          </cell>
          <cell r="C3478">
            <v>4984.7</v>
          </cell>
          <cell r="D3478">
            <v>370.71</v>
          </cell>
          <cell r="E3478">
            <v>413.04</v>
          </cell>
          <cell r="F3478">
            <v>433.19</v>
          </cell>
          <cell r="G3478">
            <v>327.79</v>
          </cell>
          <cell r="H3478">
            <v>7813.86</v>
          </cell>
          <cell r="I3478">
            <v>660.52</v>
          </cell>
        </row>
        <row r="3479">
          <cell r="A3479">
            <v>36670</v>
          </cell>
          <cell r="B3479">
            <v>4708.12</v>
          </cell>
          <cell r="C3479">
            <v>4903.92</v>
          </cell>
          <cell r="D3479">
            <v>366.48</v>
          </cell>
          <cell r="E3479">
            <v>406.11</v>
          </cell>
          <cell r="F3479">
            <v>426.02</v>
          </cell>
          <cell r="G3479">
            <v>326.19</v>
          </cell>
          <cell r="H3479">
            <v>7588.49</v>
          </cell>
          <cell r="I3479">
            <v>635.91999999999996</v>
          </cell>
        </row>
        <row r="3480">
          <cell r="A3480">
            <v>36671</v>
          </cell>
          <cell r="B3480">
            <v>4822.82</v>
          </cell>
          <cell r="C3480">
            <v>5018.79</v>
          </cell>
          <cell r="D3480">
            <v>374.1</v>
          </cell>
          <cell r="E3480">
            <v>415.53</v>
          </cell>
          <cell r="F3480">
            <v>435.82</v>
          </cell>
          <cell r="G3480">
            <v>332.04</v>
          </cell>
          <cell r="H3480">
            <v>7856.53</v>
          </cell>
          <cell r="I3480">
            <v>671.26</v>
          </cell>
        </row>
        <row r="3481">
          <cell r="A3481">
            <v>36672</v>
          </cell>
          <cell r="B3481">
            <v>4768.6899999999996</v>
          </cell>
          <cell r="C3481">
            <v>5007.97</v>
          </cell>
          <cell r="D3481">
            <v>369.86</v>
          </cell>
          <cell r="E3481">
            <v>413.18</v>
          </cell>
          <cell r="F3481">
            <v>432.12</v>
          </cell>
          <cell r="G3481">
            <v>325.99</v>
          </cell>
          <cell r="H3481">
            <v>7732.62</v>
          </cell>
          <cell r="I3481">
            <v>651.66999999999996</v>
          </cell>
        </row>
        <row r="3482">
          <cell r="A3482">
            <v>36675</v>
          </cell>
          <cell r="B3482">
            <v>4827.8100000000004</v>
          </cell>
          <cell r="C3482">
            <v>5084.6899999999996</v>
          </cell>
          <cell r="D3482">
            <v>373.55</v>
          </cell>
          <cell r="E3482">
            <v>418.81</v>
          </cell>
          <cell r="F3482">
            <v>437.14</v>
          </cell>
          <cell r="G3482">
            <v>327.79</v>
          </cell>
          <cell r="H3482">
            <v>7787.87</v>
          </cell>
          <cell r="I3482">
            <v>664.4</v>
          </cell>
        </row>
        <row r="3483">
          <cell r="A3483">
            <v>36676</v>
          </cell>
          <cell r="B3483">
            <v>4912.75</v>
          </cell>
          <cell r="C3483">
            <v>5156.07</v>
          </cell>
          <cell r="D3483">
            <v>379.08</v>
          </cell>
          <cell r="E3483">
            <v>424.41</v>
          </cell>
          <cell r="F3483">
            <v>442.24</v>
          </cell>
          <cell r="G3483">
            <v>333.21</v>
          </cell>
          <cell r="H3483">
            <v>7949.22</v>
          </cell>
          <cell r="I3483">
            <v>680.89</v>
          </cell>
        </row>
        <row r="3484">
          <cell r="A3484">
            <v>36677</v>
          </cell>
          <cell r="B3484">
            <v>4941.8100000000004</v>
          </cell>
          <cell r="C3484">
            <v>5200.8900000000003</v>
          </cell>
          <cell r="D3484">
            <v>380.24</v>
          </cell>
          <cell r="E3484">
            <v>426.62</v>
          </cell>
          <cell r="F3484">
            <v>444.31</v>
          </cell>
          <cell r="G3484">
            <v>333.35</v>
          </cell>
          <cell r="H3484">
            <v>7993.34</v>
          </cell>
          <cell r="I3484">
            <v>689.73</v>
          </cell>
        </row>
        <row r="3485">
          <cell r="A3485">
            <v>36678</v>
          </cell>
          <cell r="B3485">
            <v>5003.01</v>
          </cell>
          <cell r="C3485">
            <v>5275.2</v>
          </cell>
          <cell r="D3485">
            <v>385.55</v>
          </cell>
          <cell r="E3485">
            <v>433.93</v>
          </cell>
          <cell r="F3485">
            <v>450.54</v>
          </cell>
          <cell r="G3485">
            <v>336.7</v>
          </cell>
          <cell r="H3485">
            <v>8019.37</v>
          </cell>
          <cell r="I3485">
            <v>691.49</v>
          </cell>
        </row>
        <row r="3486">
          <cell r="A3486">
            <v>36679</v>
          </cell>
          <cell r="B3486">
            <v>5155.78</v>
          </cell>
          <cell r="C3486">
            <v>5428.27</v>
          </cell>
          <cell r="D3486">
            <v>394.83</v>
          </cell>
          <cell r="E3486">
            <v>444.74</v>
          </cell>
          <cell r="F3486">
            <v>461.73</v>
          </cell>
          <cell r="G3486">
            <v>344.46</v>
          </cell>
          <cell r="H3486">
            <v>8388.36</v>
          </cell>
          <cell r="I3486">
            <v>742.8</v>
          </cell>
        </row>
        <row r="3487">
          <cell r="A3487">
            <v>36682</v>
          </cell>
          <cell r="B3487">
            <v>5083.87</v>
          </cell>
          <cell r="C3487">
            <v>5379.6</v>
          </cell>
          <cell r="D3487">
            <v>391.39</v>
          </cell>
          <cell r="E3487">
            <v>441.71</v>
          </cell>
          <cell r="F3487">
            <v>458.03</v>
          </cell>
          <cell r="G3487">
            <v>340.63</v>
          </cell>
          <cell r="H3487">
            <v>8288.57</v>
          </cell>
          <cell r="I3487">
            <v>727.8</v>
          </cell>
        </row>
        <row r="3488">
          <cell r="A3488">
            <v>36683</v>
          </cell>
          <cell r="B3488">
            <v>5061.6400000000003</v>
          </cell>
          <cell r="C3488">
            <v>5325.87</v>
          </cell>
          <cell r="D3488">
            <v>388.91</v>
          </cell>
          <cell r="E3488">
            <v>437.54</v>
          </cell>
          <cell r="F3488">
            <v>454.76</v>
          </cell>
          <cell r="G3488">
            <v>339.79</v>
          </cell>
          <cell r="H3488">
            <v>8195.64</v>
          </cell>
          <cell r="I3488">
            <v>720.39</v>
          </cell>
        </row>
        <row r="3489">
          <cell r="A3489">
            <v>36684</v>
          </cell>
          <cell r="B3489">
            <v>5021.1400000000003</v>
          </cell>
          <cell r="C3489">
            <v>5272.37</v>
          </cell>
          <cell r="D3489">
            <v>386.31</v>
          </cell>
          <cell r="E3489">
            <v>434.39</v>
          </cell>
          <cell r="F3489">
            <v>452.17</v>
          </cell>
          <cell r="G3489">
            <v>337.74</v>
          </cell>
          <cell r="H3489">
            <v>8169.3</v>
          </cell>
          <cell r="I3489">
            <v>714.53</v>
          </cell>
        </row>
        <row r="3490">
          <cell r="A3490">
            <v>36685</v>
          </cell>
          <cell r="B3490">
            <v>5023.5200000000004</v>
          </cell>
          <cell r="C3490">
            <v>5286.74</v>
          </cell>
          <cell r="D3490">
            <v>386.25</v>
          </cell>
          <cell r="E3490">
            <v>436.03</v>
          </cell>
          <cell r="F3490">
            <v>453.77</v>
          </cell>
          <cell r="G3490">
            <v>336.04</v>
          </cell>
          <cell r="H3490">
            <v>8184.19</v>
          </cell>
          <cell r="I3490">
            <v>724.88</v>
          </cell>
        </row>
        <row r="3491">
          <cell r="A3491">
            <v>36686</v>
          </cell>
          <cell r="B3491">
            <v>5021.66</v>
          </cell>
          <cell r="C3491">
            <v>5292.97</v>
          </cell>
          <cell r="D3491">
            <v>386.76</v>
          </cell>
          <cell r="E3491">
            <v>437.44</v>
          </cell>
          <cell r="F3491">
            <v>454.97</v>
          </cell>
          <cell r="G3491">
            <v>335.69</v>
          </cell>
          <cell r="H3491">
            <v>8192.9500000000007</v>
          </cell>
          <cell r="I3491">
            <v>725.23</v>
          </cell>
        </row>
        <row r="3492">
          <cell r="A3492">
            <v>36689</v>
          </cell>
          <cell r="B3492">
            <v>5027.53</v>
          </cell>
          <cell r="C3492">
            <v>5294.65</v>
          </cell>
          <cell r="D3492">
            <v>386.6</v>
          </cell>
          <cell r="E3492">
            <v>437.1</v>
          </cell>
          <cell r="F3492">
            <v>454.91</v>
          </cell>
          <cell r="G3492">
            <v>335.7</v>
          </cell>
          <cell r="H3492">
            <v>8232.02</v>
          </cell>
          <cell r="I3492">
            <v>731.16</v>
          </cell>
        </row>
        <row r="3493">
          <cell r="A3493">
            <v>36690</v>
          </cell>
          <cell r="B3493">
            <v>5023.09</v>
          </cell>
          <cell r="C3493">
            <v>5305.34</v>
          </cell>
          <cell r="D3493">
            <v>385.53</v>
          </cell>
          <cell r="E3493">
            <v>437.23</v>
          </cell>
          <cell r="F3493">
            <v>454.03</v>
          </cell>
          <cell r="G3493">
            <v>333.48</v>
          </cell>
          <cell r="H3493">
            <v>8037.98</v>
          </cell>
          <cell r="I3493">
            <v>713.51</v>
          </cell>
        </row>
        <row r="3494">
          <cell r="A3494">
            <v>36691</v>
          </cell>
          <cell r="B3494">
            <v>5093.68</v>
          </cell>
          <cell r="C3494">
            <v>5379.57</v>
          </cell>
          <cell r="D3494">
            <v>389.3</v>
          </cell>
          <cell r="E3494">
            <v>442.01</v>
          </cell>
          <cell r="F3494">
            <v>458.8</v>
          </cell>
          <cell r="G3494">
            <v>336.25</v>
          </cell>
          <cell r="H3494">
            <v>8103.69</v>
          </cell>
          <cell r="I3494">
            <v>726.18</v>
          </cell>
        </row>
        <row r="3495">
          <cell r="A3495">
            <v>36692</v>
          </cell>
          <cell r="B3495">
            <v>5051.9399999999996</v>
          </cell>
          <cell r="C3495">
            <v>5338.49</v>
          </cell>
          <cell r="D3495">
            <v>387.84</v>
          </cell>
          <cell r="E3495">
            <v>438.95</v>
          </cell>
          <cell r="F3495">
            <v>455.31</v>
          </cell>
          <cell r="G3495">
            <v>336.35</v>
          </cell>
          <cell r="H3495">
            <v>7989.21</v>
          </cell>
          <cell r="I3495">
            <v>710.54</v>
          </cell>
        </row>
        <row r="3496">
          <cell r="A3496">
            <v>36693</v>
          </cell>
          <cell r="B3496">
            <v>5011.7700000000004</v>
          </cell>
          <cell r="C3496">
            <v>5281.57</v>
          </cell>
          <cell r="D3496">
            <v>385.49</v>
          </cell>
          <cell r="E3496">
            <v>435.11</v>
          </cell>
          <cell r="F3496">
            <v>451.91</v>
          </cell>
          <cell r="G3496">
            <v>335.45</v>
          </cell>
          <cell r="H3496">
            <v>7912.25</v>
          </cell>
          <cell r="I3496">
            <v>709.04</v>
          </cell>
        </row>
        <row r="3497">
          <cell r="A3497">
            <v>36696</v>
          </cell>
          <cell r="B3497">
            <v>4982.47</v>
          </cell>
          <cell r="C3497">
            <v>5271.82</v>
          </cell>
          <cell r="D3497">
            <v>384.62</v>
          </cell>
          <cell r="E3497">
            <v>434.91</v>
          </cell>
          <cell r="F3497">
            <v>450.98</v>
          </cell>
          <cell r="G3497">
            <v>333.92</v>
          </cell>
          <cell r="H3497">
            <v>7895.57</v>
          </cell>
          <cell r="I3497">
            <v>703.87</v>
          </cell>
        </row>
        <row r="3498">
          <cell r="A3498">
            <v>36697</v>
          </cell>
          <cell r="B3498">
            <v>5040.8500000000004</v>
          </cell>
          <cell r="C3498">
            <v>5312.13</v>
          </cell>
          <cell r="D3498">
            <v>388.1</v>
          </cell>
          <cell r="E3498">
            <v>438.08</v>
          </cell>
          <cell r="F3498">
            <v>455.1</v>
          </cell>
          <cell r="G3498">
            <v>337.69</v>
          </cell>
          <cell r="H3498">
            <v>8054.07</v>
          </cell>
          <cell r="I3498">
            <v>734.96</v>
          </cell>
        </row>
        <row r="3499">
          <cell r="A3499">
            <v>36698</v>
          </cell>
          <cell r="B3499">
            <v>5000.08</v>
          </cell>
          <cell r="C3499">
            <v>5253.3</v>
          </cell>
          <cell r="D3499">
            <v>384.95</v>
          </cell>
          <cell r="E3499">
            <v>433.46</v>
          </cell>
          <cell r="F3499">
            <v>450.74</v>
          </cell>
          <cell r="G3499">
            <v>336.01</v>
          </cell>
          <cell r="H3499">
            <v>7960.58</v>
          </cell>
          <cell r="I3499">
            <v>723.69</v>
          </cell>
        </row>
        <row r="3500">
          <cell r="A3500">
            <v>36699</v>
          </cell>
          <cell r="B3500">
            <v>4979.6000000000004</v>
          </cell>
          <cell r="C3500">
            <v>5231.93</v>
          </cell>
          <cell r="D3500">
            <v>383.98</v>
          </cell>
          <cell r="E3500">
            <v>431.38</v>
          </cell>
          <cell r="F3500">
            <v>447.91</v>
          </cell>
          <cell r="G3500">
            <v>336.14</v>
          </cell>
          <cell r="H3500">
            <v>7908.03</v>
          </cell>
          <cell r="I3500">
            <v>706.88</v>
          </cell>
        </row>
        <row r="3501">
          <cell r="A3501">
            <v>36700</v>
          </cell>
          <cell r="B3501">
            <v>4964.9799999999996</v>
          </cell>
          <cell r="C3501">
            <v>5240.58</v>
          </cell>
          <cell r="D3501">
            <v>383.43</v>
          </cell>
          <cell r="E3501">
            <v>431.98</v>
          </cell>
          <cell r="F3501">
            <v>448.19</v>
          </cell>
          <cell r="G3501">
            <v>334.45</v>
          </cell>
          <cell r="H3501">
            <v>7891.62</v>
          </cell>
          <cell r="I3501">
            <v>706.15</v>
          </cell>
        </row>
        <row r="3502">
          <cell r="A3502">
            <v>36703</v>
          </cell>
          <cell r="B3502">
            <v>4951.33</v>
          </cell>
          <cell r="C3502">
            <v>5235.3900000000003</v>
          </cell>
          <cell r="D3502">
            <v>383.2</v>
          </cell>
          <cell r="E3502">
            <v>432.45</v>
          </cell>
          <cell r="F3502">
            <v>448.08</v>
          </cell>
          <cell r="G3502">
            <v>333.53</v>
          </cell>
          <cell r="H3502">
            <v>7843.52</v>
          </cell>
          <cell r="I3502">
            <v>690.68</v>
          </cell>
        </row>
        <row r="3503">
          <cell r="A3503">
            <v>36704</v>
          </cell>
          <cell r="B3503">
            <v>4915.83</v>
          </cell>
          <cell r="C3503">
            <v>5209.53</v>
          </cell>
          <cell r="D3503">
            <v>380.92</v>
          </cell>
          <cell r="E3503">
            <v>430.85</v>
          </cell>
          <cell r="F3503">
            <v>446.35</v>
          </cell>
          <cell r="G3503">
            <v>330.57</v>
          </cell>
          <cell r="H3503">
            <v>7672.52</v>
          </cell>
          <cell r="I3503">
            <v>673.51</v>
          </cell>
        </row>
        <row r="3504">
          <cell r="A3504">
            <v>36705</v>
          </cell>
          <cell r="B3504">
            <v>4922.25</v>
          </cell>
          <cell r="C3504">
            <v>5229.17</v>
          </cell>
          <cell r="D3504">
            <v>381.5</v>
          </cell>
          <cell r="E3504">
            <v>431.64</v>
          </cell>
          <cell r="F3504">
            <v>447.74</v>
          </cell>
          <cell r="G3504">
            <v>330.94</v>
          </cell>
          <cell r="H3504">
            <v>7764.03</v>
          </cell>
          <cell r="I3504">
            <v>676.15</v>
          </cell>
        </row>
        <row r="3505">
          <cell r="A3505">
            <v>36706</v>
          </cell>
          <cell r="B3505">
            <v>4772.88</v>
          </cell>
          <cell r="C3505">
            <v>5061.63</v>
          </cell>
          <cell r="D3505">
            <v>372.78</v>
          </cell>
          <cell r="E3505">
            <v>418.84</v>
          </cell>
          <cell r="F3505">
            <v>435.58</v>
          </cell>
          <cell r="G3505">
            <v>326.29000000000002</v>
          </cell>
          <cell r="H3505">
            <v>7517.97</v>
          </cell>
          <cell r="I3505">
            <v>635.16</v>
          </cell>
        </row>
        <row r="3506">
          <cell r="A3506">
            <v>36707</v>
          </cell>
          <cell r="B3506">
            <v>4832.67</v>
          </cell>
          <cell r="C3506">
            <v>5145.3500000000004</v>
          </cell>
          <cell r="D3506">
            <v>376.74</v>
          </cell>
          <cell r="E3506">
            <v>424.57</v>
          </cell>
          <cell r="F3506">
            <v>441.39</v>
          </cell>
          <cell r="G3506">
            <v>328.49</v>
          </cell>
          <cell r="H3506">
            <v>7688.97</v>
          </cell>
          <cell r="I3506">
            <v>662.79</v>
          </cell>
        </row>
        <row r="3507">
          <cell r="A3507">
            <v>36710</v>
          </cell>
          <cell r="B3507">
            <v>4927.47</v>
          </cell>
          <cell r="C3507">
            <v>5187.01</v>
          </cell>
          <cell r="D3507">
            <v>381.87</v>
          </cell>
          <cell r="E3507">
            <v>427.89</v>
          </cell>
          <cell r="F3507">
            <v>445.16</v>
          </cell>
          <cell r="G3507">
            <v>335.42</v>
          </cell>
          <cell r="H3507">
            <v>7792.12</v>
          </cell>
          <cell r="I3507">
            <v>679.3</v>
          </cell>
        </row>
        <row r="3508">
          <cell r="A3508">
            <v>36711</v>
          </cell>
          <cell r="B3508">
            <v>4912.1000000000004</v>
          </cell>
          <cell r="C3508">
            <v>5185.87</v>
          </cell>
          <cell r="D3508">
            <v>381.85</v>
          </cell>
          <cell r="E3508">
            <v>428.38</v>
          </cell>
          <cell r="F3508">
            <v>446.11</v>
          </cell>
          <cell r="G3508">
            <v>334.89</v>
          </cell>
          <cell r="H3508">
            <v>7871.78</v>
          </cell>
          <cell r="I3508">
            <v>689.66</v>
          </cell>
        </row>
        <row r="3509">
          <cell r="A3509">
            <v>36712</v>
          </cell>
          <cell r="B3509">
            <v>4875.8100000000004</v>
          </cell>
          <cell r="C3509">
            <v>5166.25</v>
          </cell>
          <cell r="D3509">
            <v>379.73</v>
          </cell>
          <cell r="E3509">
            <v>426.62</v>
          </cell>
          <cell r="F3509">
            <v>444.62</v>
          </cell>
          <cell r="G3509">
            <v>332.42</v>
          </cell>
          <cell r="H3509">
            <v>7787.18</v>
          </cell>
          <cell r="I3509">
            <v>674.42</v>
          </cell>
        </row>
        <row r="3510">
          <cell r="A3510">
            <v>36713</v>
          </cell>
          <cell r="B3510">
            <v>4897.99</v>
          </cell>
          <cell r="C3510">
            <v>5152.38</v>
          </cell>
          <cell r="D3510">
            <v>380.61</v>
          </cell>
          <cell r="E3510">
            <v>426.29</v>
          </cell>
          <cell r="F3510">
            <v>444.65</v>
          </cell>
          <cell r="G3510">
            <v>334.5</v>
          </cell>
          <cell r="H3510">
            <v>7734.73</v>
          </cell>
          <cell r="I3510">
            <v>669.81</v>
          </cell>
        </row>
        <row r="3511">
          <cell r="A3511">
            <v>36714</v>
          </cell>
          <cell r="B3511">
            <v>5003.96</v>
          </cell>
          <cell r="C3511">
            <v>5251.65</v>
          </cell>
          <cell r="D3511">
            <v>386.85</v>
          </cell>
          <cell r="E3511">
            <v>433.53</v>
          </cell>
          <cell r="F3511">
            <v>451.65</v>
          </cell>
          <cell r="G3511">
            <v>339.73</v>
          </cell>
          <cell r="H3511">
            <v>7852.52</v>
          </cell>
          <cell r="I3511">
            <v>690.77</v>
          </cell>
        </row>
        <row r="3512">
          <cell r="A3512">
            <v>36717</v>
          </cell>
          <cell r="B3512">
            <v>4995.17</v>
          </cell>
          <cell r="C3512">
            <v>5263.97</v>
          </cell>
          <cell r="D3512">
            <v>385.83</v>
          </cell>
          <cell r="E3512">
            <v>433.5</v>
          </cell>
          <cell r="F3512">
            <v>451.58</v>
          </cell>
          <cell r="G3512">
            <v>337.72</v>
          </cell>
          <cell r="H3512">
            <v>7906.02</v>
          </cell>
          <cell r="I3512">
            <v>698.03</v>
          </cell>
        </row>
        <row r="3513">
          <cell r="A3513">
            <v>36718</v>
          </cell>
          <cell r="B3513">
            <v>4977.4799999999996</v>
          </cell>
          <cell r="C3513">
            <v>5231.33</v>
          </cell>
          <cell r="D3513">
            <v>385.82</v>
          </cell>
          <cell r="E3513">
            <v>432.4</v>
          </cell>
          <cell r="F3513">
            <v>450.57</v>
          </cell>
          <cell r="G3513">
            <v>338.81</v>
          </cell>
          <cell r="H3513">
            <v>7901.97</v>
          </cell>
          <cell r="I3513">
            <v>687.86</v>
          </cell>
        </row>
        <row r="3514">
          <cell r="A3514">
            <v>36719</v>
          </cell>
          <cell r="B3514">
            <v>5010.51</v>
          </cell>
          <cell r="C3514">
            <v>5249.15</v>
          </cell>
          <cell r="D3514">
            <v>388.68</v>
          </cell>
          <cell r="E3514">
            <v>434.72</v>
          </cell>
          <cell r="F3514">
            <v>452.99</v>
          </cell>
          <cell r="G3514">
            <v>342.21</v>
          </cell>
          <cell r="H3514">
            <v>8055.29</v>
          </cell>
          <cell r="I3514">
            <v>700.92</v>
          </cell>
        </row>
        <row r="3515">
          <cell r="A3515">
            <v>36720</v>
          </cell>
          <cell r="B3515">
            <v>5042.51</v>
          </cell>
          <cell r="C3515">
            <v>5299.54</v>
          </cell>
          <cell r="D3515">
            <v>390.68</v>
          </cell>
          <cell r="E3515">
            <v>438.82</v>
          </cell>
          <cell r="F3515">
            <v>457.54</v>
          </cell>
          <cell r="G3515">
            <v>342.1</v>
          </cell>
          <cell r="H3515">
            <v>8153.88</v>
          </cell>
          <cell r="I3515">
            <v>719.94</v>
          </cell>
        </row>
        <row r="3516">
          <cell r="A3516">
            <v>36721</v>
          </cell>
          <cell r="B3516">
            <v>5041.5</v>
          </cell>
          <cell r="C3516">
            <v>5320.06</v>
          </cell>
          <cell r="D3516">
            <v>391.77</v>
          </cell>
          <cell r="E3516">
            <v>441.03</v>
          </cell>
          <cell r="F3516">
            <v>459.84</v>
          </cell>
          <cell r="G3516">
            <v>342.06</v>
          </cell>
          <cell r="H3516">
            <v>8227.8700000000008</v>
          </cell>
          <cell r="I3516">
            <v>726.05</v>
          </cell>
        </row>
        <row r="3517">
          <cell r="A3517">
            <v>36724</v>
          </cell>
          <cell r="B3517">
            <v>5079.57</v>
          </cell>
          <cell r="C3517">
            <v>5357.19</v>
          </cell>
          <cell r="D3517">
            <v>394.5</v>
          </cell>
          <cell r="E3517">
            <v>444.94</v>
          </cell>
          <cell r="F3517">
            <v>463.29</v>
          </cell>
          <cell r="G3517">
            <v>343.59</v>
          </cell>
          <cell r="H3517">
            <v>8298.24</v>
          </cell>
          <cell r="I3517">
            <v>739.15</v>
          </cell>
        </row>
        <row r="3518">
          <cell r="A3518">
            <v>36725</v>
          </cell>
          <cell r="B3518">
            <v>5024.5200000000004</v>
          </cell>
          <cell r="C3518">
            <v>5314.95</v>
          </cell>
          <cell r="D3518">
            <v>391.32</v>
          </cell>
          <cell r="E3518">
            <v>441.07</v>
          </cell>
          <cell r="F3518">
            <v>459.28</v>
          </cell>
          <cell r="G3518">
            <v>341.11</v>
          </cell>
          <cell r="H3518">
            <v>8161.98</v>
          </cell>
          <cell r="I3518">
            <v>725.55</v>
          </cell>
        </row>
        <row r="3519">
          <cell r="A3519">
            <v>36726</v>
          </cell>
          <cell r="B3519">
            <v>5034.7</v>
          </cell>
          <cell r="C3519">
            <v>5294.76</v>
          </cell>
          <cell r="D3519">
            <v>391.48</v>
          </cell>
          <cell r="E3519">
            <v>439.19</v>
          </cell>
          <cell r="F3519">
            <v>457.32</v>
          </cell>
          <cell r="G3519">
            <v>343.33</v>
          </cell>
          <cell r="H3519">
            <v>8048.89</v>
          </cell>
          <cell r="I3519">
            <v>712.57</v>
          </cell>
        </row>
        <row r="3520">
          <cell r="A3520">
            <v>36727</v>
          </cell>
          <cell r="B3520">
            <v>5049.29</v>
          </cell>
          <cell r="C3520">
            <v>5316.51</v>
          </cell>
          <cell r="D3520">
            <v>394.31</v>
          </cell>
          <cell r="E3520">
            <v>442.64</v>
          </cell>
          <cell r="F3520">
            <v>461.09</v>
          </cell>
          <cell r="G3520">
            <v>345.53</v>
          </cell>
          <cell r="H3520">
            <v>8118.08</v>
          </cell>
          <cell r="I3520">
            <v>721.68</v>
          </cell>
        </row>
        <row r="3521">
          <cell r="A3521">
            <v>36728</v>
          </cell>
          <cell r="B3521">
            <v>4946.3500000000004</v>
          </cell>
          <cell r="C3521">
            <v>5238.0200000000004</v>
          </cell>
          <cell r="D3521">
            <v>389.02</v>
          </cell>
          <cell r="E3521">
            <v>437.44</v>
          </cell>
          <cell r="F3521">
            <v>454.67</v>
          </cell>
          <cell r="G3521">
            <v>340.15</v>
          </cell>
          <cell r="H3521">
            <v>7929.41</v>
          </cell>
          <cell r="I3521">
            <v>698.25</v>
          </cell>
        </row>
        <row r="3522">
          <cell r="A3522">
            <v>36731</v>
          </cell>
          <cell r="B3522">
            <v>4963.07</v>
          </cell>
          <cell r="C3522">
            <v>5237.95</v>
          </cell>
          <cell r="D3522">
            <v>389.24</v>
          </cell>
          <cell r="E3522">
            <v>436.8</v>
          </cell>
          <cell r="F3522">
            <v>454.85</v>
          </cell>
          <cell r="G3522">
            <v>341.23</v>
          </cell>
          <cell r="H3522">
            <v>7900.19</v>
          </cell>
          <cell r="I3522">
            <v>701.99</v>
          </cell>
        </row>
        <row r="3523">
          <cell r="A3523">
            <v>36732</v>
          </cell>
          <cell r="B3523">
            <v>4943.47</v>
          </cell>
          <cell r="C3523">
            <v>5212.83</v>
          </cell>
          <cell r="D3523">
            <v>387.75</v>
          </cell>
          <cell r="E3523">
            <v>435.4</v>
          </cell>
          <cell r="F3523">
            <v>453.17</v>
          </cell>
          <cell r="G3523">
            <v>339.66</v>
          </cell>
          <cell r="H3523">
            <v>7822.76</v>
          </cell>
          <cell r="I3523">
            <v>688.21</v>
          </cell>
        </row>
        <row r="3524">
          <cell r="A3524">
            <v>36733</v>
          </cell>
          <cell r="B3524">
            <v>4945.32</v>
          </cell>
          <cell r="C3524">
            <v>5222.83</v>
          </cell>
          <cell r="D3524">
            <v>386.6</v>
          </cell>
          <cell r="E3524">
            <v>434.78</v>
          </cell>
          <cell r="F3524">
            <v>452.36</v>
          </cell>
          <cell r="G3524">
            <v>337.97</v>
          </cell>
          <cell r="H3524">
            <v>7787.69</v>
          </cell>
          <cell r="I3524">
            <v>687.78</v>
          </cell>
        </row>
        <row r="3525">
          <cell r="A3525">
            <v>36734</v>
          </cell>
          <cell r="B3525">
            <v>4848.32</v>
          </cell>
          <cell r="C3525">
            <v>5097.41</v>
          </cell>
          <cell r="D3525">
            <v>381.95</v>
          </cell>
          <cell r="E3525">
            <v>426.24</v>
          </cell>
          <cell r="F3525">
            <v>444.37</v>
          </cell>
          <cell r="G3525">
            <v>337.25</v>
          </cell>
          <cell r="H3525">
            <v>7544.14</v>
          </cell>
          <cell r="I3525">
            <v>625.91</v>
          </cell>
        </row>
        <row r="3526">
          <cell r="A3526">
            <v>36735</v>
          </cell>
          <cell r="B3526">
            <v>4823.74</v>
          </cell>
          <cell r="C3526">
            <v>5061.83</v>
          </cell>
          <cell r="D3526">
            <v>379.86</v>
          </cell>
          <cell r="E3526">
            <v>421.84</v>
          </cell>
          <cell r="F3526">
            <v>440.79</v>
          </cell>
          <cell r="G3526">
            <v>337.47</v>
          </cell>
          <cell r="H3526">
            <v>7502.62</v>
          </cell>
          <cell r="I3526">
            <v>631.03</v>
          </cell>
        </row>
        <row r="3527">
          <cell r="A3527">
            <v>36738</v>
          </cell>
          <cell r="B3527">
            <v>4876.18</v>
          </cell>
          <cell r="C3527">
            <v>5122.8</v>
          </cell>
          <cell r="D3527">
            <v>382.63</v>
          </cell>
          <cell r="E3527">
            <v>426.47</v>
          </cell>
          <cell r="F3527">
            <v>445.43</v>
          </cell>
          <cell r="G3527">
            <v>338.38</v>
          </cell>
          <cell r="H3527">
            <v>7535.52</v>
          </cell>
          <cell r="I3527">
            <v>639.58000000000004</v>
          </cell>
        </row>
        <row r="3528">
          <cell r="A3528">
            <v>36739</v>
          </cell>
          <cell r="B3528">
            <v>4867.75</v>
          </cell>
          <cell r="C3528">
            <v>5104.2299999999996</v>
          </cell>
          <cell r="D3528">
            <v>382.92</v>
          </cell>
          <cell r="E3528">
            <v>425.86</v>
          </cell>
          <cell r="F3528">
            <v>444.75</v>
          </cell>
          <cell r="G3528">
            <v>339.58</v>
          </cell>
          <cell r="H3528">
            <v>7480.85</v>
          </cell>
          <cell r="I3528">
            <v>635.6</v>
          </cell>
        </row>
        <row r="3529">
          <cell r="A3529">
            <v>36740</v>
          </cell>
          <cell r="B3529">
            <v>4881.6099999999997</v>
          </cell>
          <cell r="C3529">
            <v>5091.8599999999997</v>
          </cell>
          <cell r="D3529">
            <v>383.57</v>
          </cell>
          <cell r="E3529">
            <v>424.86</v>
          </cell>
          <cell r="F3529">
            <v>444.59</v>
          </cell>
          <cell r="G3529">
            <v>341.89</v>
          </cell>
          <cell r="H3529">
            <v>7423.96</v>
          </cell>
          <cell r="I3529">
            <v>623.15</v>
          </cell>
        </row>
        <row r="3530">
          <cell r="A3530">
            <v>36741</v>
          </cell>
          <cell r="B3530">
            <v>4827.92</v>
          </cell>
          <cell r="C3530">
            <v>4995.82</v>
          </cell>
          <cell r="D3530">
            <v>378.9</v>
          </cell>
          <cell r="E3530">
            <v>416.77</v>
          </cell>
          <cell r="F3530">
            <v>436.72</v>
          </cell>
          <cell r="G3530">
            <v>340.66</v>
          </cell>
          <cell r="H3530">
            <v>7303.86</v>
          </cell>
          <cell r="I3530">
            <v>598.97</v>
          </cell>
        </row>
        <row r="3531">
          <cell r="A3531">
            <v>36742</v>
          </cell>
          <cell r="B3531">
            <v>4872.2</v>
          </cell>
          <cell r="C3531">
            <v>5049.45</v>
          </cell>
          <cell r="D3531">
            <v>382.47</v>
          </cell>
          <cell r="E3531">
            <v>421.3</v>
          </cell>
          <cell r="F3531">
            <v>440.79</v>
          </cell>
          <cell r="G3531">
            <v>343.27</v>
          </cell>
          <cell r="H3531">
            <v>7458.69</v>
          </cell>
          <cell r="I3531">
            <v>615.99</v>
          </cell>
        </row>
        <row r="3532">
          <cell r="A3532">
            <v>36745</v>
          </cell>
          <cell r="B3532">
            <v>4898.08</v>
          </cell>
          <cell r="C3532">
            <v>5088.41</v>
          </cell>
          <cell r="D3532">
            <v>385.44</v>
          </cell>
          <cell r="E3532">
            <v>425.09</v>
          </cell>
          <cell r="F3532">
            <v>445.16</v>
          </cell>
          <cell r="G3532">
            <v>345.4</v>
          </cell>
          <cell r="H3532">
            <v>7487.34</v>
          </cell>
          <cell r="I3532">
            <v>611.45000000000005</v>
          </cell>
        </row>
        <row r="3533">
          <cell r="A3533">
            <v>36746</v>
          </cell>
          <cell r="B3533">
            <v>4913.3100000000004</v>
          </cell>
          <cell r="C3533">
            <v>5105.5200000000004</v>
          </cell>
          <cell r="D3533">
            <v>386.29</v>
          </cell>
          <cell r="E3533">
            <v>425.78</v>
          </cell>
          <cell r="F3533">
            <v>446.04</v>
          </cell>
          <cell r="G3533">
            <v>346.41</v>
          </cell>
          <cell r="H3533">
            <v>7454.46</v>
          </cell>
          <cell r="I3533">
            <v>617.53</v>
          </cell>
        </row>
        <row r="3534">
          <cell r="A3534">
            <v>36747</v>
          </cell>
          <cell r="B3534">
            <v>4961.6099999999997</v>
          </cell>
          <cell r="C3534">
            <v>5158.12</v>
          </cell>
          <cell r="D3534">
            <v>389.9</v>
          </cell>
          <cell r="E3534">
            <v>429.99</v>
          </cell>
          <cell r="F3534">
            <v>450.22</v>
          </cell>
          <cell r="G3534">
            <v>349.42</v>
          </cell>
          <cell r="H3534">
            <v>7604.7</v>
          </cell>
          <cell r="I3534">
            <v>630.38</v>
          </cell>
        </row>
        <row r="3535">
          <cell r="A3535">
            <v>36748</v>
          </cell>
          <cell r="B3535">
            <v>4942.6000000000004</v>
          </cell>
          <cell r="C3535">
            <v>5182.0600000000004</v>
          </cell>
          <cell r="D3535">
            <v>388.62</v>
          </cell>
          <cell r="E3535">
            <v>431.74</v>
          </cell>
          <cell r="F3535">
            <v>450.91</v>
          </cell>
          <cell r="G3535">
            <v>345.09</v>
          </cell>
          <cell r="H3535">
            <v>7576.99</v>
          </cell>
          <cell r="I3535">
            <v>628.21</v>
          </cell>
        </row>
        <row r="3536">
          <cell r="A3536">
            <v>36749</v>
          </cell>
          <cell r="B3536">
            <v>4957.04</v>
          </cell>
          <cell r="C3536">
            <v>5179.68</v>
          </cell>
          <cell r="D3536">
            <v>389.28</v>
          </cell>
          <cell r="E3536">
            <v>431.5</v>
          </cell>
          <cell r="F3536">
            <v>450.48</v>
          </cell>
          <cell r="G3536">
            <v>346.66</v>
          </cell>
          <cell r="H3536">
            <v>7535.4</v>
          </cell>
          <cell r="I3536">
            <v>624.79</v>
          </cell>
        </row>
        <row r="3537">
          <cell r="A3537">
            <v>36752</v>
          </cell>
          <cell r="B3537">
            <v>4989.3900000000003</v>
          </cell>
          <cell r="C3537">
            <v>5218.59</v>
          </cell>
          <cell r="D3537">
            <v>392.09</v>
          </cell>
          <cell r="E3537">
            <v>434.36</v>
          </cell>
          <cell r="F3537">
            <v>453.76</v>
          </cell>
          <cell r="G3537">
            <v>349.43</v>
          </cell>
          <cell r="H3537">
            <v>7642.03</v>
          </cell>
          <cell r="I3537">
            <v>637.51</v>
          </cell>
        </row>
        <row r="3538">
          <cell r="A3538">
            <v>36753</v>
          </cell>
          <cell r="B3538">
            <v>4972.05</v>
          </cell>
          <cell r="C3538">
            <v>5203.1400000000003</v>
          </cell>
          <cell r="D3538">
            <v>391.31</v>
          </cell>
          <cell r="E3538">
            <v>434.2</v>
          </cell>
          <cell r="F3538">
            <v>453</v>
          </cell>
          <cell r="G3538">
            <v>348.02</v>
          </cell>
          <cell r="H3538">
            <v>7603.18</v>
          </cell>
          <cell r="I3538">
            <v>628.5</v>
          </cell>
        </row>
        <row r="3539">
          <cell r="A3539">
            <v>36754</v>
          </cell>
          <cell r="B3539">
            <v>4999.53</v>
          </cell>
          <cell r="C3539">
            <v>5223.7</v>
          </cell>
          <cell r="D3539">
            <v>392.71</v>
          </cell>
          <cell r="E3539">
            <v>435.57</v>
          </cell>
          <cell r="F3539">
            <v>454.77</v>
          </cell>
          <cell r="G3539">
            <v>349.45</v>
          </cell>
          <cell r="H3539">
            <v>7641.54</v>
          </cell>
          <cell r="I3539">
            <v>629.4</v>
          </cell>
        </row>
        <row r="3540">
          <cell r="A3540">
            <v>36755</v>
          </cell>
          <cell r="B3540">
            <v>4975.62</v>
          </cell>
          <cell r="C3540">
            <v>5192.0600000000004</v>
          </cell>
          <cell r="D3540">
            <v>390.75</v>
          </cell>
          <cell r="E3540">
            <v>432.99</v>
          </cell>
          <cell r="F3540">
            <v>452.22</v>
          </cell>
          <cell r="G3540">
            <v>348.1</v>
          </cell>
          <cell r="H3540">
            <v>7589.8</v>
          </cell>
          <cell r="I3540">
            <v>628.14</v>
          </cell>
        </row>
        <row r="3541">
          <cell r="A3541">
            <v>36756</v>
          </cell>
          <cell r="B3541">
            <v>4979.16</v>
          </cell>
          <cell r="C3541">
            <v>5180.7</v>
          </cell>
          <cell r="D3541">
            <v>391.05</v>
          </cell>
          <cell r="E3541">
            <v>432.02</v>
          </cell>
          <cell r="F3541">
            <v>451.56</v>
          </cell>
          <cell r="G3541">
            <v>349.67</v>
          </cell>
          <cell r="H3541">
            <v>7593.74</v>
          </cell>
          <cell r="I3541">
            <v>637.05999999999995</v>
          </cell>
        </row>
        <row r="3542">
          <cell r="A3542">
            <v>36759</v>
          </cell>
          <cell r="B3542">
            <v>4982.17</v>
          </cell>
          <cell r="C3542">
            <v>5165.4399999999996</v>
          </cell>
          <cell r="D3542">
            <v>391.63</v>
          </cell>
          <cell r="E3542">
            <v>431.17</v>
          </cell>
          <cell r="F3542">
            <v>451.25</v>
          </cell>
          <cell r="G3542">
            <v>351.7</v>
          </cell>
          <cell r="H3542">
            <v>7602.04</v>
          </cell>
          <cell r="I3542">
            <v>637.55999999999995</v>
          </cell>
        </row>
        <row r="3543">
          <cell r="A3543">
            <v>36760</v>
          </cell>
          <cell r="B3543">
            <v>5001.74</v>
          </cell>
          <cell r="C3543">
            <v>5161.42</v>
          </cell>
          <cell r="D3543">
            <v>392.53</v>
          </cell>
          <cell r="E3543">
            <v>430.97</v>
          </cell>
          <cell r="F3543">
            <v>451.65</v>
          </cell>
          <cell r="G3543">
            <v>353.7</v>
          </cell>
          <cell r="H3543">
            <v>7580.75</v>
          </cell>
          <cell r="I3543">
            <v>647.36</v>
          </cell>
        </row>
        <row r="3544">
          <cell r="A3544">
            <v>36761</v>
          </cell>
          <cell r="B3544">
            <v>5005.37</v>
          </cell>
          <cell r="C3544">
            <v>5160.1400000000003</v>
          </cell>
          <cell r="D3544">
            <v>392.04</v>
          </cell>
          <cell r="E3544">
            <v>429.72</v>
          </cell>
          <cell r="F3544">
            <v>451.2</v>
          </cell>
          <cell r="G3544">
            <v>353.97</v>
          </cell>
          <cell r="H3544">
            <v>7575.98</v>
          </cell>
          <cell r="I3544">
            <v>639.58000000000004</v>
          </cell>
        </row>
        <row r="3545">
          <cell r="A3545">
            <v>36762</v>
          </cell>
          <cell r="B3545">
            <v>4972.74</v>
          </cell>
          <cell r="C3545">
            <v>5123.99</v>
          </cell>
          <cell r="D3545">
            <v>390.13</v>
          </cell>
          <cell r="E3545">
            <v>428.15</v>
          </cell>
          <cell r="F3545">
            <v>449.72</v>
          </cell>
          <cell r="G3545">
            <v>351.72</v>
          </cell>
          <cell r="H3545">
            <v>7565.15</v>
          </cell>
          <cell r="I3545">
            <v>639.21</v>
          </cell>
        </row>
        <row r="3546">
          <cell r="A3546">
            <v>36763</v>
          </cell>
          <cell r="B3546">
            <v>4995.4399999999996</v>
          </cell>
          <cell r="C3546">
            <v>5175.6499999999996</v>
          </cell>
          <cell r="D3546">
            <v>391.71</v>
          </cell>
          <cell r="E3546">
            <v>432.26</v>
          </cell>
          <cell r="F3546">
            <v>453.11</v>
          </cell>
          <cell r="G3546">
            <v>350.76</v>
          </cell>
          <cell r="H3546">
            <v>7602.5</v>
          </cell>
          <cell r="I3546">
            <v>641.05999999999995</v>
          </cell>
        </row>
        <row r="3547">
          <cell r="A3547">
            <v>36766</v>
          </cell>
          <cell r="B3547">
            <v>5014.84</v>
          </cell>
          <cell r="C3547">
            <v>5204.18</v>
          </cell>
          <cell r="D3547">
            <v>392.99</v>
          </cell>
          <cell r="E3547">
            <v>434.29</v>
          </cell>
          <cell r="F3547">
            <v>454.97</v>
          </cell>
          <cell r="G3547">
            <v>351.27</v>
          </cell>
          <cell r="H3547">
            <v>7623.71</v>
          </cell>
          <cell r="I3547">
            <v>641.46</v>
          </cell>
        </row>
        <row r="3548">
          <cell r="A3548">
            <v>36767</v>
          </cell>
          <cell r="B3548">
            <v>4999.74</v>
          </cell>
          <cell r="C3548">
            <v>5188.93</v>
          </cell>
          <cell r="D3548">
            <v>392.01</v>
          </cell>
          <cell r="E3548">
            <v>433.27</v>
          </cell>
          <cell r="F3548">
            <v>453.18</v>
          </cell>
          <cell r="G3548">
            <v>350.34</v>
          </cell>
          <cell r="H3548">
            <v>7575.68</v>
          </cell>
          <cell r="I3548">
            <v>636.53</v>
          </cell>
        </row>
        <row r="3549">
          <cell r="A3549">
            <v>36768</v>
          </cell>
          <cell r="B3549">
            <v>4990.58</v>
          </cell>
          <cell r="C3549">
            <v>5166.91</v>
          </cell>
          <cell r="D3549">
            <v>391.62</v>
          </cell>
          <cell r="E3549">
            <v>432.03</v>
          </cell>
          <cell r="F3549">
            <v>451.8</v>
          </cell>
          <cell r="G3549">
            <v>350.81</v>
          </cell>
          <cell r="H3549">
            <v>7607.15</v>
          </cell>
          <cell r="I3549">
            <v>642.41999999999996</v>
          </cell>
        </row>
        <row r="3550">
          <cell r="A3550">
            <v>36769</v>
          </cell>
          <cell r="B3550">
            <v>5018.07</v>
          </cell>
          <cell r="C3550">
            <v>5175.12</v>
          </cell>
          <cell r="D3550">
            <v>394.96</v>
          </cell>
          <cell r="E3550">
            <v>434.68</v>
          </cell>
          <cell r="F3550">
            <v>454.92</v>
          </cell>
          <cell r="G3550">
            <v>354.84</v>
          </cell>
          <cell r="H3550">
            <v>7679.89</v>
          </cell>
          <cell r="I3550">
            <v>661.63</v>
          </cell>
        </row>
        <row r="3551">
          <cell r="A3551">
            <v>36770</v>
          </cell>
          <cell r="B3551">
            <v>5120.07</v>
          </cell>
          <cell r="C3551">
            <v>5298.64</v>
          </cell>
          <cell r="D3551">
            <v>400.84</v>
          </cell>
          <cell r="E3551">
            <v>443.52</v>
          </cell>
          <cell r="F3551">
            <v>462.71</v>
          </cell>
          <cell r="G3551">
            <v>357.75</v>
          </cell>
          <cell r="H3551">
            <v>7784.47</v>
          </cell>
          <cell r="I3551">
            <v>680.32</v>
          </cell>
        </row>
        <row r="3552">
          <cell r="A3552">
            <v>36773</v>
          </cell>
          <cell r="B3552">
            <v>5182.37</v>
          </cell>
          <cell r="C3552">
            <v>5392.63</v>
          </cell>
          <cell r="D3552">
            <v>404.28</v>
          </cell>
          <cell r="E3552">
            <v>449.68</v>
          </cell>
          <cell r="F3552">
            <v>468.19</v>
          </cell>
          <cell r="G3552">
            <v>358.43</v>
          </cell>
          <cell r="H3552">
            <v>7953</v>
          </cell>
          <cell r="I3552">
            <v>698.44</v>
          </cell>
        </row>
        <row r="3553">
          <cell r="A3553">
            <v>36774</v>
          </cell>
          <cell r="B3553">
            <v>5135.8</v>
          </cell>
          <cell r="C3553">
            <v>5326.69</v>
          </cell>
          <cell r="D3553">
            <v>402.11</v>
          </cell>
          <cell r="E3553">
            <v>445.39</v>
          </cell>
          <cell r="F3553">
            <v>464.65</v>
          </cell>
          <cell r="G3553">
            <v>358.39</v>
          </cell>
          <cell r="H3553">
            <v>7869.72</v>
          </cell>
          <cell r="I3553">
            <v>683.24</v>
          </cell>
        </row>
        <row r="3554">
          <cell r="A3554">
            <v>36775</v>
          </cell>
          <cell r="B3554">
            <v>5128.72</v>
          </cell>
          <cell r="C3554">
            <v>5299.24</v>
          </cell>
          <cell r="D3554">
            <v>401.29</v>
          </cell>
          <cell r="E3554">
            <v>442.45</v>
          </cell>
          <cell r="F3554">
            <v>461.91</v>
          </cell>
          <cell r="G3554">
            <v>359.72</v>
          </cell>
          <cell r="H3554">
            <v>7788.83</v>
          </cell>
          <cell r="I3554">
            <v>671.38</v>
          </cell>
        </row>
        <row r="3555">
          <cell r="A3555">
            <v>36776</v>
          </cell>
          <cell r="B3555">
            <v>5148.9399999999996</v>
          </cell>
          <cell r="C3555">
            <v>5329.06</v>
          </cell>
          <cell r="D3555">
            <v>401.2</v>
          </cell>
          <cell r="E3555">
            <v>444.23</v>
          </cell>
          <cell r="F3555">
            <v>463.78</v>
          </cell>
          <cell r="G3555">
            <v>357.75</v>
          </cell>
          <cell r="H3555">
            <v>7848.43</v>
          </cell>
          <cell r="I3555">
            <v>679.41</v>
          </cell>
        </row>
        <row r="3556">
          <cell r="A3556">
            <v>36777</v>
          </cell>
          <cell r="B3556">
            <v>5058.53</v>
          </cell>
          <cell r="C3556">
            <v>5229.04</v>
          </cell>
          <cell r="D3556">
            <v>395.47</v>
          </cell>
          <cell r="E3556">
            <v>437.72</v>
          </cell>
          <cell r="F3556">
            <v>457.74</v>
          </cell>
          <cell r="G3556">
            <v>352.81</v>
          </cell>
          <cell r="H3556">
            <v>7730.5</v>
          </cell>
          <cell r="I3556">
            <v>663.14</v>
          </cell>
        </row>
        <row r="3557">
          <cell r="A3557">
            <v>36780</v>
          </cell>
          <cell r="B3557">
            <v>5060</v>
          </cell>
          <cell r="C3557">
            <v>5233.87</v>
          </cell>
          <cell r="D3557">
            <v>394.85</v>
          </cell>
          <cell r="E3557">
            <v>437.05</v>
          </cell>
          <cell r="F3557">
            <v>457.33</v>
          </cell>
          <cell r="G3557">
            <v>352.24</v>
          </cell>
          <cell r="H3557">
            <v>7668.86</v>
          </cell>
          <cell r="I3557">
            <v>660.69</v>
          </cell>
        </row>
        <row r="3558">
          <cell r="A3558">
            <v>36781</v>
          </cell>
          <cell r="B3558">
            <v>5040.71</v>
          </cell>
          <cell r="C3558">
            <v>5222.37</v>
          </cell>
          <cell r="D3558">
            <v>393</v>
          </cell>
          <cell r="E3558">
            <v>435.95</v>
          </cell>
          <cell r="F3558">
            <v>455.96</v>
          </cell>
          <cell r="G3558">
            <v>349.63</v>
          </cell>
          <cell r="H3558">
            <v>7643.21</v>
          </cell>
          <cell r="I3558">
            <v>659.93</v>
          </cell>
        </row>
        <row r="3559">
          <cell r="A3559">
            <v>36782</v>
          </cell>
          <cell r="B3559">
            <v>4972.66</v>
          </cell>
          <cell r="C3559">
            <v>5153.2</v>
          </cell>
          <cell r="D3559">
            <v>388.7</v>
          </cell>
          <cell r="E3559">
            <v>430.33</v>
          </cell>
          <cell r="F3559">
            <v>450.69</v>
          </cell>
          <cell r="G3559">
            <v>346.67</v>
          </cell>
          <cell r="H3559">
            <v>7585.16</v>
          </cell>
          <cell r="I3559">
            <v>653.44000000000005</v>
          </cell>
        </row>
        <row r="3560">
          <cell r="A3560">
            <v>36783</v>
          </cell>
          <cell r="B3560">
            <v>5015.83</v>
          </cell>
          <cell r="C3560">
            <v>5204.62</v>
          </cell>
          <cell r="D3560">
            <v>392.06</v>
          </cell>
          <cell r="E3560">
            <v>434.28</v>
          </cell>
          <cell r="F3560">
            <v>454.58</v>
          </cell>
          <cell r="G3560">
            <v>349.42</v>
          </cell>
          <cell r="H3560">
            <v>7691.26</v>
          </cell>
          <cell r="I3560">
            <v>670.52</v>
          </cell>
        </row>
        <row r="3561">
          <cell r="A3561">
            <v>36784</v>
          </cell>
          <cell r="B3561">
            <v>4995.17</v>
          </cell>
          <cell r="C3561">
            <v>5199.1400000000003</v>
          </cell>
          <cell r="D3561">
            <v>388.39</v>
          </cell>
          <cell r="E3561">
            <v>431.59</v>
          </cell>
          <cell r="F3561">
            <v>451.94</v>
          </cell>
          <cell r="G3561">
            <v>344.77</v>
          </cell>
          <cell r="H3561">
            <v>7633.49</v>
          </cell>
          <cell r="I3561">
            <v>663.06</v>
          </cell>
        </row>
        <row r="3562">
          <cell r="A3562">
            <v>36787</v>
          </cell>
          <cell r="B3562">
            <v>4976.57</v>
          </cell>
          <cell r="C3562">
            <v>5129.43</v>
          </cell>
          <cell r="D3562">
            <v>386.75</v>
          </cell>
          <cell r="E3562">
            <v>426.29</v>
          </cell>
          <cell r="F3562">
            <v>446.86</v>
          </cell>
          <cell r="G3562">
            <v>345.94</v>
          </cell>
          <cell r="H3562">
            <v>7596.56</v>
          </cell>
          <cell r="I3562">
            <v>660.8</v>
          </cell>
        </row>
        <row r="3563">
          <cell r="A3563">
            <v>36788</v>
          </cell>
          <cell r="B3563">
            <v>4980</v>
          </cell>
          <cell r="C3563">
            <v>5117.1499999999996</v>
          </cell>
          <cell r="D3563">
            <v>386.97</v>
          </cell>
          <cell r="E3563">
            <v>424.54</v>
          </cell>
          <cell r="F3563">
            <v>445.78</v>
          </cell>
          <cell r="G3563">
            <v>347.64</v>
          </cell>
          <cell r="H3563">
            <v>7591.24</v>
          </cell>
          <cell r="I3563">
            <v>656.51</v>
          </cell>
        </row>
        <row r="3564">
          <cell r="A3564">
            <v>36789</v>
          </cell>
          <cell r="B3564">
            <v>4909.04</v>
          </cell>
          <cell r="C3564">
            <v>5051.3999999999996</v>
          </cell>
          <cell r="D3564">
            <v>382.08</v>
          </cell>
          <cell r="E3564">
            <v>419.16</v>
          </cell>
          <cell r="F3564">
            <v>440.85</v>
          </cell>
          <cell r="G3564">
            <v>343.27</v>
          </cell>
          <cell r="H3564">
            <v>7492.41</v>
          </cell>
          <cell r="I3564">
            <v>653.29</v>
          </cell>
        </row>
        <row r="3565">
          <cell r="A3565">
            <v>36790</v>
          </cell>
          <cell r="B3565">
            <v>4822.1899999999996</v>
          </cell>
          <cell r="C3565">
            <v>4941.0600000000004</v>
          </cell>
          <cell r="D3565">
            <v>377.03</v>
          </cell>
          <cell r="E3565">
            <v>411.23</v>
          </cell>
          <cell r="F3565">
            <v>433.15</v>
          </cell>
          <cell r="G3565">
            <v>340.54</v>
          </cell>
          <cell r="H3565">
            <v>7368.2</v>
          </cell>
          <cell r="I3565">
            <v>629.63</v>
          </cell>
        </row>
        <row r="3566">
          <cell r="A3566">
            <v>36791</v>
          </cell>
          <cell r="B3566">
            <v>4805.67</v>
          </cell>
          <cell r="C3566">
            <v>4945.37</v>
          </cell>
          <cell r="D3566">
            <v>376.19</v>
          </cell>
          <cell r="E3566">
            <v>411.71</v>
          </cell>
          <cell r="F3566">
            <v>433.59</v>
          </cell>
          <cell r="G3566">
            <v>338.72</v>
          </cell>
          <cell r="H3566">
            <v>7308.64</v>
          </cell>
          <cell r="I3566">
            <v>617.9</v>
          </cell>
        </row>
        <row r="3567">
          <cell r="A3567">
            <v>36794</v>
          </cell>
          <cell r="B3567">
            <v>4848.93</v>
          </cell>
          <cell r="C3567">
            <v>4984.29</v>
          </cell>
          <cell r="D3567">
            <v>379.84</v>
          </cell>
          <cell r="E3567">
            <v>415.68</v>
          </cell>
          <cell r="F3567">
            <v>437.93</v>
          </cell>
          <cell r="G3567">
            <v>342.02</v>
          </cell>
          <cell r="H3567">
            <v>7415.04</v>
          </cell>
          <cell r="I3567">
            <v>633.9</v>
          </cell>
        </row>
        <row r="3568">
          <cell r="A3568">
            <v>36795</v>
          </cell>
          <cell r="B3568">
            <v>4795.05</v>
          </cell>
          <cell r="C3568">
            <v>4934.8900000000003</v>
          </cell>
          <cell r="D3568">
            <v>376.63</v>
          </cell>
          <cell r="E3568">
            <v>412.02</v>
          </cell>
          <cell r="F3568">
            <v>433.74</v>
          </cell>
          <cell r="G3568">
            <v>339.25</v>
          </cell>
          <cell r="H3568">
            <v>7350.51</v>
          </cell>
          <cell r="I3568">
            <v>616.80999999999995</v>
          </cell>
        </row>
        <row r="3569">
          <cell r="A3569">
            <v>36796</v>
          </cell>
          <cell r="B3569">
            <v>4812.63</v>
          </cell>
          <cell r="C3569">
            <v>4949.87</v>
          </cell>
          <cell r="D3569">
            <v>378.07</v>
          </cell>
          <cell r="E3569">
            <v>413.38</v>
          </cell>
          <cell r="F3569">
            <v>434.16</v>
          </cell>
          <cell r="G3569">
            <v>340.7</v>
          </cell>
          <cell r="H3569">
            <v>7310.6</v>
          </cell>
          <cell r="I3569">
            <v>609.55999999999995</v>
          </cell>
        </row>
        <row r="3570">
          <cell r="A3570">
            <v>36797</v>
          </cell>
          <cell r="B3570">
            <v>4783.47</v>
          </cell>
          <cell r="C3570">
            <v>4934.08</v>
          </cell>
          <cell r="D3570">
            <v>376.84</v>
          </cell>
          <cell r="E3570">
            <v>412.42</v>
          </cell>
          <cell r="F3570">
            <v>432.39</v>
          </cell>
          <cell r="G3570">
            <v>339.31</v>
          </cell>
          <cell r="H3570">
            <v>7195.43</v>
          </cell>
          <cell r="I3570">
            <v>593.63</v>
          </cell>
        </row>
        <row r="3571">
          <cell r="A3571">
            <v>36798</v>
          </cell>
          <cell r="B3571">
            <v>4780.34</v>
          </cell>
          <cell r="C3571">
            <v>4915.18</v>
          </cell>
          <cell r="D3571">
            <v>377.44</v>
          </cell>
          <cell r="E3571">
            <v>411.3</v>
          </cell>
          <cell r="F3571">
            <v>430.22</v>
          </cell>
          <cell r="G3571">
            <v>341.19</v>
          </cell>
          <cell r="H3571">
            <v>7285.18</v>
          </cell>
          <cell r="I3571">
            <v>598.29</v>
          </cell>
        </row>
        <row r="3572">
          <cell r="A3572">
            <v>36801</v>
          </cell>
          <cell r="B3572">
            <v>4815.58</v>
          </cell>
          <cell r="C3572">
            <v>4961.88</v>
          </cell>
          <cell r="D3572">
            <v>379.92</v>
          </cell>
          <cell r="E3572">
            <v>415.14</v>
          </cell>
          <cell r="F3572">
            <v>435.26</v>
          </cell>
          <cell r="G3572">
            <v>342.57</v>
          </cell>
          <cell r="H3572">
            <v>7355.58</v>
          </cell>
          <cell r="I3572">
            <v>603.65</v>
          </cell>
        </row>
        <row r="3573">
          <cell r="A3573">
            <v>36802</v>
          </cell>
          <cell r="B3573">
            <v>4857.1400000000003</v>
          </cell>
          <cell r="C3573">
            <v>5003.46</v>
          </cell>
          <cell r="D3573">
            <v>382.54</v>
          </cell>
          <cell r="E3573">
            <v>418.03</v>
          </cell>
          <cell r="F3573">
            <v>438.48</v>
          </cell>
          <cell r="G3573">
            <v>344.91</v>
          </cell>
          <cell r="H3573">
            <v>7442.12</v>
          </cell>
          <cell r="I3573">
            <v>613.79999999999995</v>
          </cell>
        </row>
        <row r="3574">
          <cell r="A3574">
            <v>36803</v>
          </cell>
          <cell r="B3574">
            <v>4835.6000000000004</v>
          </cell>
          <cell r="C3574">
            <v>4959.41</v>
          </cell>
          <cell r="D3574">
            <v>380.59</v>
          </cell>
          <cell r="E3574">
            <v>414.16</v>
          </cell>
          <cell r="F3574">
            <v>434.81</v>
          </cell>
          <cell r="G3574">
            <v>344.48</v>
          </cell>
          <cell r="H3574">
            <v>7378.56</v>
          </cell>
          <cell r="I3574">
            <v>603.76</v>
          </cell>
        </row>
        <row r="3575">
          <cell r="A3575">
            <v>36804</v>
          </cell>
          <cell r="B3575">
            <v>4874.83</v>
          </cell>
          <cell r="C3575">
            <v>4997.25</v>
          </cell>
          <cell r="D3575">
            <v>382.57</v>
          </cell>
          <cell r="E3575">
            <v>416.73</v>
          </cell>
          <cell r="F3575">
            <v>437.41</v>
          </cell>
          <cell r="G3575">
            <v>345.94</v>
          </cell>
          <cell r="H3575">
            <v>7426.15</v>
          </cell>
          <cell r="I3575">
            <v>607.51</v>
          </cell>
        </row>
        <row r="3576">
          <cell r="A3576">
            <v>36805</v>
          </cell>
          <cell r="B3576">
            <v>4854.93</v>
          </cell>
          <cell r="C3576">
            <v>4958.37</v>
          </cell>
          <cell r="D3576">
            <v>380.45</v>
          </cell>
          <cell r="E3576">
            <v>411.86</v>
          </cell>
          <cell r="F3576">
            <v>432.96</v>
          </cell>
          <cell r="G3576">
            <v>345.97</v>
          </cell>
          <cell r="H3576">
            <v>7314.84</v>
          </cell>
          <cell r="I3576">
            <v>594.48</v>
          </cell>
        </row>
        <row r="3577">
          <cell r="A3577">
            <v>36808</v>
          </cell>
          <cell r="B3577">
            <v>4746.21</v>
          </cell>
          <cell r="C3577">
            <v>4844.4399999999996</v>
          </cell>
          <cell r="D3577">
            <v>372.6</v>
          </cell>
          <cell r="E3577">
            <v>402.74</v>
          </cell>
          <cell r="F3577">
            <v>423.02</v>
          </cell>
          <cell r="G3577">
            <v>339.3</v>
          </cell>
          <cell r="H3577">
            <v>7094.19</v>
          </cell>
          <cell r="I3577">
            <v>565.78</v>
          </cell>
        </row>
        <row r="3578">
          <cell r="A3578">
            <v>36809</v>
          </cell>
          <cell r="B3578">
            <v>4764.6099999999997</v>
          </cell>
          <cell r="C3578">
            <v>4867.33</v>
          </cell>
          <cell r="D3578">
            <v>373.3</v>
          </cell>
          <cell r="E3578">
            <v>404.33</v>
          </cell>
          <cell r="F3578">
            <v>424.78</v>
          </cell>
          <cell r="G3578">
            <v>339.31</v>
          </cell>
          <cell r="H3578">
            <v>7083.29</v>
          </cell>
          <cell r="I3578">
            <v>559.97</v>
          </cell>
        </row>
        <row r="3579">
          <cell r="A3579">
            <v>36810</v>
          </cell>
          <cell r="B3579">
            <v>4662.7700000000004</v>
          </cell>
          <cell r="C3579">
            <v>4743.47</v>
          </cell>
          <cell r="D3579">
            <v>365.75</v>
          </cell>
          <cell r="E3579">
            <v>393.81</v>
          </cell>
          <cell r="F3579">
            <v>414.27</v>
          </cell>
          <cell r="G3579">
            <v>334.21</v>
          </cell>
          <cell r="H3579">
            <v>6881.43</v>
          </cell>
          <cell r="I3579">
            <v>533.87</v>
          </cell>
        </row>
        <row r="3580">
          <cell r="A3580">
            <v>36811</v>
          </cell>
          <cell r="B3580">
            <v>4717.49</v>
          </cell>
          <cell r="C3580">
            <v>4747.87</v>
          </cell>
          <cell r="D3580">
            <v>368.23</v>
          </cell>
          <cell r="E3580">
            <v>393.5</v>
          </cell>
          <cell r="F3580">
            <v>414.98</v>
          </cell>
          <cell r="G3580">
            <v>338.73</v>
          </cell>
          <cell r="H3580">
            <v>6867.75</v>
          </cell>
          <cell r="I3580">
            <v>538.04</v>
          </cell>
        </row>
        <row r="3581">
          <cell r="A3581">
            <v>36812</v>
          </cell>
          <cell r="B3581">
            <v>4758.25</v>
          </cell>
          <cell r="C3581">
            <v>4782.74</v>
          </cell>
          <cell r="D3581">
            <v>370.85</v>
          </cell>
          <cell r="E3581">
            <v>396.7</v>
          </cell>
          <cell r="F3581">
            <v>417.15</v>
          </cell>
          <cell r="G3581">
            <v>340.84</v>
          </cell>
          <cell r="H3581">
            <v>6915.23</v>
          </cell>
          <cell r="I3581">
            <v>541.96</v>
          </cell>
        </row>
        <row r="3582">
          <cell r="A3582">
            <v>36815</v>
          </cell>
          <cell r="B3582">
            <v>4787.2</v>
          </cell>
          <cell r="C3582">
            <v>4793.1400000000003</v>
          </cell>
          <cell r="D3582">
            <v>373.41</v>
          </cell>
          <cell r="E3582">
            <v>397.91</v>
          </cell>
          <cell r="F3582">
            <v>418.45</v>
          </cell>
          <cell r="G3582">
            <v>344.36</v>
          </cell>
          <cell r="H3582">
            <v>6980.39</v>
          </cell>
          <cell r="I3582">
            <v>554.94000000000005</v>
          </cell>
        </row>
        <row r="3583">
          <cell r="A3583">
            <v>36816</v>
          </cell>
          <cell r="B3583">
            <v>4732.8</v>
          </cell>
          <cell r="C3583">
            <v>4760.92</v>
          </cell>
          <cell r="D3583">
            <v>369.69</v>
          </cell>
          <cell r="E3583">
            <v>395.41</v>
          </cell>
          <cell r="F3583">
            <v>416.03</v>
          </cell>
          <cell r="G3583">
            <v>339.82</v>
          </cell>
          <cell r="H3583">
            <v>6907.24</v>
          </cell>
          <cell r="I3583">
            <v>547.91</v>
          </cell>
        </row>
        <row r="3584">
          <cell r="A3584">
            <v>36817</v>
          </cell>
          <cell r="B3584">
            <v>4698.49</v>
          </cell>
          <cell r="C3584">
            <v>4658.8500000000004</v>
          </cell>
          <cell r="D3584">
            <v>367.21</v>
          </cell>
          <cell r="E3584">
            <v>388.3</v>
          </cell>
          <cell r="F3584">
            <v>409.93</v>
          </cell>
          <cell r="G3584">
            <v>340.91</v>
          </cell>
          <cell r="H3584">
            <v>6749.19</v>
          </cell>
          <cell r="I3584">
            <v>525.11</v>
          </cell>
        </row>
        <row r="3585">
          <cell r="A3585">
            <v>36818</v>
          </cell>
          <cell r="B3585">
            <v>4829.09</v>
          </cell>
          <cell r="C3585">
            <v>4836.8599999999997</v>
          </cell>
          <cell r="D3585">
            <v>375.27</v>
          </cell>
          <cell r="E3585">
            <v>401.1</v>
          </cell>
          <cell r="F3585">
            <v>422.66</v>
          </cell>
          <cell r="G3585">
            <v>345.15</v>
          </cell>
          <cell r="H3585">
            <v>7068.82</v>
          </cell>
          <cell r="I3585">
            <v>579.30999999999995</v>
          </cell>
        </row>
        <row r="3586">
          <cell r="A3586">
            <v>36819</v>
          </cell>
          <cell r="B3586">
            <v>4845.2700000000004</v>
          </cell>
          <cell r="C3586">
            <v>4889.51</v>
          </cell>
          <cell r="D3586">
            <v>377.5</v>
          </cell>
          <cell r="E3586">
            <v>404.48</v>
          </cell>
          <cell r="F3586">
            <v>423.51</v>
          </cell>
          <cell r="G3586">
            <v>346.45</v>
          </cell>
          <cell r="H3586">
            <v>7142.36</v>
          </cell>
          <cell r="I3586">
            <v>570.29</v>
          </cell>
        </row>
        <row r="3587">
          <cell r="A3587">
            <v>36822</v>
          </cell>
          <cell r="B3587">
            <v>4888</v>
          </cell>
          <cell r="C3587">
            <v>4906.67</v>
          </cell>
          <cell r="D3587">
            <v>380.49</v>
          </cell>
          <cell r="E3587">
            <v>405.95</v>
          </cell>
          <cell r="F3587">
            <v>424.63</v>
          </cell>
          <cell r="G3587">
            <v>350.52</v>
          </cell>
          <cell r="H3587">
            <v>7199.79</v>
          </cell>
          <cell r="I3587">
            <v>571.09</v>
          </cell>
        </row>
        <row r="3588">
          <cell r="A3588">
            <v>36823</v>
          </cell>
          <cell r="B3588">
            <v>4991.9399999999996</v>
          </cell>
          <cell r="C3588">
            <v>5031.03</v>
          </cell>
          <cell r="D3588">
            <v>388.14</v>
          </cell>
          <cell r="E3588">
            <v>415.45</v>
          </cell>
          <cell r="F3588">
            <v>434.55</v>
          </cell>
          <cell r="G3588">
            <v>356.54</v>
          </cell>
          <cell r="H3588">
            <v>7469.25</v>
          </cell>
          <cell r="I3588">
            <v>600.12</v>
          </cell>
        </row>
        <row r="3589">
          <cell r="A3589">
            <v>36824</v>
          </cell>
          <cell r="B3589">
            <v>4927.99</v>
          </cell>
          <cell r="C3589">
            <v>4977.07</v>
          </cell>
          <cell r="D3589">
            <v>384.83</v>
          </cell>
          <cell r="E3589">
            <v>411.76</v>
          </cell>
          <cell r="F3589">
            <v>430.68</v>
          </cell>
          <cell r="G3589">
            <v>353.61</v>
          </cell>
          <cell r="H3589">
            <v>7407.95</v>
          </cell>
          <cell r="I3589">
            <v>589.64</v>
          </cell>
        </row>
        <row r="3590">
          <cell r="A3590">
            <v>36825</v>
          </cell>
          <cell r="B3590">
            <v>4873.97</v>
          </cell>
          <cell r="C3590">
            <v>4926.3599999999997</v>
          </cell>
          <cell r="D3590">
            <v>381.35</v>
          </cell>
          <cell r="E3590">
            <v>408.4</v>
          </cell>
          <cell r="F3590">
            <v>428.04</v>
          </cell>
          <cell r="G3590">
            <v>350.15</v>
          </cell>
          <cell r="H3590">
            <v>7325.53</v>
          </cell>
          <cell r="I3590">
            <v>578.53</v>
          </cell>
        </row>
        <row r="3591">
          <cell r="A3591">
            <v>36826</v>
          </cell>
          <cell r="B3591">
            <v>4906.8500000000004</v>
          </cell>
          <cell r="C3591">
            <v>4965.92</v>
          </cell>
          <cell r="D3591">
            <v>384.55</v>
          </cell>
          <cell r="E3591">
            <v>412.49</v>
          </cell>
          <cell r="F3591">
            <v>431.25</v>
          </cell>
          <cell r="G3591">
            <v>352.57</v>
          </cell>
          <cell r="H3591">
            <v>7347.53</v>
          </cell>
          <cell r="I3591">
            <v>583.33000000000004</v>
          </cell>
        </row>
        <row r="3592">
          <cell r="A3592">
            <v>36829</v>
          </cell>
          <cell r="B3592">
            <v>4919.18</v>
          </cell>
          <cell r="C3592">
            <v>4981.38</v>
          </cell>
          <cell r="D3592">
            <v>385.29</v>
          </cell>
          <cell r="E3592">
            <v>413.65</v>
          </cell>
          <cell r="F3592">
            <v>432.21</v>
          </cell>
          <cell r="G3592">
            <v>352.98</v>
          </cell>
          <cell r="H3592">
            <v>7318.25</v>
          </cell>
          <cell r="I3592">
            <v>585.6</v>
          </cell>
        </row>
        <row r="3593">
          <cell r="A3593">
            <v>36830</v>
          </cell>
          <cell r="B3593">
            <v>4953.4799999999996</v>
          </cell>
          <cell r="C3593">
            <v>5057.46</v>
          </cell>
          <cell r="D3593">
            <v>388.03</v>
          </cell>
          <cell r="E3593">
            <v>419.66</v>
          </cell>
          <cell r="F3593">
            <v>437.88</v>
          </cell>
          <cell r="G3593">
            <v>353.17</v>
          </cell>
          <cell r="H3593">
            <v>7407.18</v>
          </cell>
          <cell r="I3593">
            <v>599.62</v>
          </cell>
        </row>
        <row r="3594">
          <cell r="A3594">
            <v>36831</v>
          </cell>
          <cell r="B3594">
            <v>4950.1000000000004</v>
          </cell>
          <cell r="C3594">
            <v>5085.47</v>
          </cell>
          <cell r="D3594">
            <v>387.66</v>
          </cell>
          <cell r="E3594">
            <v>421.8</v>
          </cell>
          <cell r="F3594">
            <v>440.06</v>
          </cell>
          <cell r="G3594">
            <v>350.9</v>
          </cell>
          <cell r="H3594">
            <v>7437.55</v>
          </cell>
          <cell r="I3594">
            <v>610.17999999999995</v>
          </cell>
        </row>
        <row r="3595">
          <cell r="A3595">
            <v>36832</v>
          </cell>
          <cell r="B3595">
            <v>4920.6899999999996</v>
          </cell>
          <cell r="C3595">
            <v>5092.63</v>
          </cell>
          <cell r="D3595">
            <v>386.45</v>
          </cell>
          <cell r="E3595">
            <v>422.33</v>
          </cell>
          <cell r="F3595">
            <v>441.09</v>
          </cell>
          <cell r="G3595">
            <v>348.4</v>
          </cell>
          <cell r="H3595">
            <v>7394.2</v>
          </cell>
          <cell r="I3595">
            <v>610.96</v>
          </cell>
        </row>
        <row r="3596">
          <cell r="A3596">
            <v>36833</v>
          </cell>
          <cell r="B3596">
            <v>4900.12</v>
          </cell>
          <cell r="C3596">
            <v>5101.3999999999996</v>
          </cell>
          <cell r="D3596">
            <v>386.52</v>
          </cell>
          <cell r="E3596">
            <v>423.52</v>
          </cell>
          <cell r="F3596">
            <v>442.01</v>
          </cell>
          <cell r="G3596">
            <v>347.62</v>
          </cell>
          <cell r="H3596">
            <v>7380.98</v>
          </cell>
          <cell r="I3596">
            <v>612.92999999999995</v>
          </cell>
        </row>
        <row r="3597">
          <cell r="A3597">
            <v>36836</v>
          </cell>
          <cell r="B3597">
            <v>4878.84</v>
          </cell>
          <cell r="C3597">
            <v>5091.25</v>
          </cell>
          <cell r="D3597">
            <v>385.99</v>
          </cell>
          <cell r="E3597">
            <v>423.5</v>
          </cell>
          <cell r="F3597">
            <v>441.79</v>
          </cell>
          <cell r="G3597">
            <v>346.71</v>
          </cell>
          <cell r="H3597">
            <v>7342.42</v>
          </cell>
          <cell r="I3597">
            <v>604.54</v>
          </cell>
        </row>
        <row r="3598">
          <cell r="A3598">
            <v>36837</v>
          </cell>
          <cell r="B3598">
            <v>4906.29</v>
          </cell>
          <cell r="C3598">
            <v>5076.8</v>
          </cell>
          <cell r="D3598">
            <v>386.85</v>
          </cell>
          <cell r="E3598">
            <v>422.25</v>
          </cell>
          <cell r="F3598">
            <v>440.41</v>
          </cell>
          <cell r="G3598">
            <v>349.15</v>
          </cell>
          <cell r="H3598">
            <v>7312.41</v>
          </cell>
          <cell r="I3598">
            <v>591.13</v>
          </cell>
        </row>
        <row r="3599">
          <cell r="A3599">
            <v>36838</v>
          </cell>
          <cell r="B3599">
            <v>4892.2700000000004</v>
          </cell>
          <cell r="C3599">
            <v>5055.05</v>
          </cell>
          <cell r="D3599">
            <v>385.63</v>
          </cell>
          <cell r="E3599">
            <v>420.09</v>
          </cell>
          <cell r="F3599">
            <v>438.51</v>
          </cell>
          <cell r="G3599">
            <v>348.68</v>
          </cell>
          <cell r="H3599">
            <v>7297.82</v>
          </cell>
          <cell r="I3599">
            <v>591.35</v>
          </cell>
        </row>
        <row r="3600">
          <cell r="A3600">
            <v>36839</v>
          </cell>
          <cell r="B3600">
            <v>4845.9399999999996</v>
          </cell>
          <cell r="C3600">
            <v>5017.6899999999996</v>
          </cell>
          <cell r="D3600">
            <v>381.96</v>
          </cell>
          <cell r="E3600">
            <v>416.51</v>
          </cell>
          <cell r="F3600">
            <v>434.38</v>
          </cell>
          <cell r="G3600">
            <v>345.04</v>
          </cell>
          <cell r="H3600">
            <v>7197.84</v>
          </cell>
          <cell r="I3600">
            <v>580.5</v>
          </cell>
        </row>
        <row r="3601">
          <cell r="A3601">
            <v>36840</v>
          </cell>
          <cell r="B3601">
            <v>4780.1899999999996</v>
          </cell>
          <cell r="C3601">
            <v>4934.47</v>
          </cell>
          <cell r="D3601">
            <v>377.68</v>
          </cell>
          <cell r="E3601">
            <v>409.31</v>
          </cell>
          <cell r="F3601">
            <v>428.08</v>
          </cell>
          <cell r="G3601">
            <v>343.1</v>
          </cell>
          <cell r="H3601">
            <v>7096.83</v>
          </cell>
          <cell r="I3601">
            <v>560.41999999999996</v>
          </cell>
        </row>
        <row r="3602">
          <cell r="A3602">
            <v>36843</v>
          </cell>
          <cell r="B3602">
            <v>4712.8900000000003</v>
          </cell>
          <cell r="C3602">
            <v>4847.46</v>
          </cell>
          <cell r="D3602">
            <v>372.33</v>
          </cell>
          <cell r="E3602">
            <v>401.61</v>
          </cell>
          <cell r="F3602">
            <v>420.85</v>
          </cell>
          <cell r="G3602">
            <v>339.71</v>
          </cell>
          <cell r="H3602">
            <v>6904.93</v>
          </cell>
          <cell r="I3602">
            <v>538.76</v>
          </cell>
        </row>
        <row r="3603">
          <cell r="A3603">
            <v>36844</v>
          </cell>
          <cell r="B3603">
            <v>4851.1499999999996</v>
          </cell>
          <cell r="C3603">
            <v>5011.12</v>
          </cell>
          <cell r="D3603">
            <v>380.91</v>
          </cell>
          <cell r="E3603">
            <v>414.12</v>
          </cell>
          <cell r="F3603">
            <v>432.24</v>
          </cell>
          <cell r="G3603">
            <v>345.06</v>
          </cell>
          <cell r="H3603">
            <v>7081.84</v>
          </cell>
          <cell r="I3603">
            <v>566.62</v>
          </cell>
        </row>
        <row r="3604">
          <cell r="A3604">
            <v>36845</v>
          </cell>
          <cell r="B3604">
            <v>4883.5</v>
          </cell>
          <cell r="C3604">
            <v>5053.4799999999996</v>
          </cell>
          <cell r="D3604">
            <v>382.84</v>
          </cell>
          <cell r="E3604">
            <v>417.4</v>
          </cell>
          <cell r="F3604">
            <v>435.04</v>
          </cell>
          <cell r="G3604">
            <v>345.9</v>
          </cell>
          <cell r="H3604">
            <v>7129.32</v>
          </cell>
          <cell r="I3604">
            <v>580.69000000000005</v>
          </cell>
        </row>
        <row r="3605">
          <cell r="A3605">
            <v>36846</v>
          </cell>
          <cell r="B3605">
            <v>4855.72</v>
          </cell>
          <cell r="C3605">
            <v>5010.6499999999996</v>
          </cell>
          <cell r="D3605">
            <v>381.52</v>
          </cell>
          <cell r="E3605">
            <v>414.21</v>
          </cell>
          <cell r="F3605">
            <v>432.29</v>
          </cell>
          <cell r="G3605">
            <v>346.03</v>
          </cell>
          <cell r="H3605">
            <v>7068.01</v>
          </cell>
          <cell r="I3605">
            <v>572.28</v>
          </cell>
        </row>
        <row r="3606">
          <cell r="A3606">
            <v>36847</v>
          </cell>
          <cell r="B3606">
            <v>4837.6000000000004</v>
          </cell>
          <cell r="C3606">
            <v>4961.54</v>
          </cell>
          <cell r="D3606">
            <v>380.39</v>
          </cell>
          <cell r="E3606">
            <v>410.5</v>
          </cell>
          <cell r="F3606">
            <v>429.01</v>
          </cell>
          <cell r="G3606">
            <v>346.89</v>
          </cell>
          <cell r="H3606">
            <v>7029.2</v>
          </cell>
          <cell r="I3606">
            <v>571.35</v>
          </cell>
        </row>
        <row r="3607">
          <cell r="A3607">
            <v>36850</v>
          </cell>
          <cell r="B3607">
            <v>4751</v>
          </cell>
          <cell r="C3607">
            <v>4849.33</v>
          </cell>
          <cell r="D3607">
            <v>374.71</v>
          </cell>
          <cell r="E3607">
            <v>401.93</v>
          </cell>
          <cell r="F3607">
            <v>421.81</v>
          </cell>
          <cell r="G3607">
            <v>343.57</v>
          </cell>
          <cell r="H3607">
            <v>6930.52</v>
          </cell>
          <cell r="I3607">
            <v>561.4</v>
          </cell>
        </row>
        <row r="3608">
          <cell r="A3608">
            <v>36851</v>
          </cell>
          <cell r="B3608">
            <v>4797.1899999999996</v>
          </cell>
          <cell r="C3608">
            <v>4893.95</v>
          </cell>
          <cell r="D3608">
            <v>377.39</v>
          </cell>
          <cell r="E3608">
            <v>404.82</v>
          </cell>
          <cell r="F3608">
            <v>424.39</v>
          </cell>
          <cell r="G3608">
            <v>346.03</v>
          </cell>
          <cell r="H3608">
            <v>6917.16</v>
          </cell>
          <cell r="I3608">
            <v>564.09</v>
          </cell>
        </row>
        <row r="3609">
          <cell r="A3609">
            <v>36852</v>
          </cell>
          <cell r="B3609">
            <v>4668.41</v>
          </cell>
          <cell r="C3609">
            <v>4783.3500000000004</v>
          </cell>
          <cell r="D3609">
            <v>367.6</v>
          </cell>
          <cell r="E3609">
            <v>395.88</v>
          </cell>
          <cell r="F3609">
            <v>414.97</v>
          </cell>
          <cell r="G3609">
            <v>335.86</v>
          </cell>
          <cell r="H3609">
            <v>6754.08</v>
          </cell>
          <cell r="I3609">
            <v>548.96</v>
          </cell>
        </row>
        <row r="3610">
          <cell r="A3610">
            <v>36853</v>
          </cell>
          <cell r="B3610">
            <v>4732.55</v>
          </cell>
          <cell r="C3610">
            <v>4837.4799999999996</v>
          </cell>
          <cell r="D3610">
            <v>371.31</v>
          </cell>
          <cell r="E3610">
            <v>399.87</v>
          </cell>
          <cell r="F3610">
            <v>418.54</v>
          </cell>
          <cell r="G3610">
            <v>339.25</v>
          </cell>
          <cell r="H3610">
            <v>6816.01</v>
          </cell>
          <cell r="I3610">
            <v>553.44000000000005</v>
          </cell>
        </row>
        <row r="3611">
          <cell r="A3611">
            <v>36854</v>
          </cell>
          <cell r="B3611">
            <v>4809.6899999999996</v>
          </cell>
          <cell r="C3611">
            <v>4940.22</v>
          </cell>
          <cell r="D3611">
            <v>375.94</v>
          </cell>
          <cell r="E3611">
            <v>407.16</v>
          </cell>
          <cell r="F3611">
            <v>425.56</v>
          </cell>
          <cell r="G3611">
            <v>341.74</v>
          </cell>
          <cell r="H3611">
            <v>6966.19</v>
          </cell>
          <cell r="I3611">
            <v>574.96</v>
          </cell>
        </row>
        <row r="3612">
          <cell r="A3612">
            <v>36857</v>
          </cell>
          <cell r="B3612">
            <v>4821.25</v>
          </cell>
          <cell r="C3612">
            <v>4945.34</v>
          </cell>
          <cell r="D3612">
            <v>377.47</v>
          </cell>
          <cell r="E3612">
            <v>408.24</v>
          </cell>
          <cell r="F3612">
            <v>427.2</v>
          </cell>
          <cell r="G3612">
            <v>343.56</v>
          </cell>
          <cell r="H3612">
            <v>7061.26</v>
          </cell>
          <cell r="I3612">
            <v>579.59</v>
          </cell>
        </row>
        <row r="3613">
          <cell r="A3613">
            <v>36858</v>
          </cell>
          <cell r="B3613">
            <v>4738.26</v>
          </cell>
          <cell r="C3613">
            <v>4893.46</v>
          </cell>
          <cell r="D3613">
            <v>371.72</v>
          </cell>
          <cell r="E3613">
            <v>403.75</v>
          </cell>
          <cell r="F3613">
            <v>422.94</v>
          </cell>
          <cell r="G3613">
            <v>337.01</v>
          </cell>
          <cell r="H3613">
            <v>6984.08</v>
          </cell>
          <cell r="I3613">
            <v>571.89</v>
          </cell>
        </row>
        <row r="3614">
          <cell r="A3614">
            <v>36859</v>
          </cell>
          <cell r="B3614">
            <v>4724.78</v>
          </cell>
          <cell r="C3614">
            <v>4907.6099999999997</v>
          </cell>
          <cell r="D3614">
            <v>370.32</v>
          </cell>
          <cell r="E3614">
            <v>404.2</v>
          </cell>
          <cell r="F3614">
            <v>423.27</v>
          </cell>
          <cell r="G3614">
            <v>334.25</v>
          </cell>
          <cell r="H3614">
            <v>6984.01</v>
          </cell>
          <cell r="I3614">
            <v>573.03</v>
          </cell>
        </row>
        <row r="3615">
          <cell r="A3615">
            <v>36860</v>
          </cell>
          <cell r="B3615">
            <v>4622.32</v>
          </cell>
          <cell r="C3615">
            <v>4790.08</v>
          </cell>
          <cell r="D3615">
            <v>363.25</v>
          </cell>
          <cell r="E3615">
            <v>395.03</v>
          </cell>
          <cell r="F3615">
            <v>414.78</v>
          </cell>
          <cell r="G3615">
            <v>328.97</v>
          </cell>
          <cell r="H3615">
            <v>6846.58</v>
          </cell>
          <cell r="I3615">
            <v>558.82000000000005</v>
          </cell>
        </row>
        <row r="3616">
          <cell r="A3616">
            <v>36861</v>
          </cell>
          <cell r="B3616">
            <v>4681.24</v>
          </cell>
          <cell r="C3616">
            <v>4839.2700000000004</v>
          </cell>
          <cell r="D3616">
            <v>366.97</v>
          </cell>
          <cell r="E3616">
            <v>398.92</v>
          </cell>
          <cell r="F3616">
            <v>419.39</v>
          </cell>
          <cell r="G3616">
            <v>332.45</v>
          </cell>
          <cell r="H3616">
            <v>6993.22</v>
          </cell>
          <cell r="I3616">
            <v>580.65</v>
          </cell>
        </row>
        <row r="3617">
          <cell r="A3617">
            <v>36864</v>
          </cell>
          <cell r="B3617">
            <v>4621.97</v>
          </cell>
          <cell r="C3617">
            <v>4734.72</v>
          </cell>
          <cell r="D3617">
            <v>362.46</v>
          </cell>
          <cell r="E3617">
            <v>390.91</v>
          </cell>
          <cell r="F3617">
            <v>412.5</v>
          </cell>
          <cell r="G3617">
            <v>330.72</v>
          </cell>
          <cell r="H3617">
            <v>6880.46</v>
          </cell>
          <cell r="I3617">
            <v>568.64</v>
          </cell>
        </row>
        <row r="3618">
          <cell r="A3618">
            <v>36865</v>
          </cell>
          <cell r="B3618">
            <v>4763.68</v>
          </cell>
          <cell r="C3618">
            <v>4911.93</v>
          </cell>
          <cell r="D3618">
            <v>371.68</v>
          </cell>
          <cell r="E3618">
            <v>404.06</v>
          </cell>
          <cell r="F3618">
            <v>425.07</v>
          </cell>
          <cell r="G3618">
            <v>336.71</v>
          </cell>
          <cell r="H3618">
            <v>7040.89</v>
          </cell>
          <cell r="I3618">
            <v>600.54</v>
          </cell>
        </row>
        <row r="3619">
          <cell r="A3619">
            <v>36866</v>
          </cell>
          <cell r="B3619">
            <v>4708.8999999999996</v>
          </cell>
          <cell r="C3619">
            <v>4869.4799999999996</v>
          </cell>
          <cell r="D3619">
            <v>369.38</v>
          </cell>
          <cell r="E3619">
            <v>402.62</v>
          </cell>
          <cell r="F3619">
            <v>423.89</v>
          </cell>
          <cell r="G3619">
            <v>333.81</v>
          </cell>
          <cell r="H3619">
            <v>7108.48</v>
          </cell>
          <cell r="I3619">
            <v>606.99</v>
          </cell>
        </row>
        <row r="3620">
          <cell r="A3620">
            <v>36867</v>
          </cell>
          <cell r="B3620">
            <v>4710.57</v>
          </cell>
          <cell r="C3620">
            <v>4900.6000000000004</v>
          </cell>
          <cell r="D3620">
            <v>368.63</v>
          </cell>
          <cell r="E3620">
            <v>403.42</v>
          </cell>
          <cell r="F3620">
            <v>423.16</v>
          </cell>
          <cell r="G3620">
            <v>331.9</v>
          </cell>
          <cell r="H3620">
            <v>7074.76</v>
          </cell>
          <cell r="I3620">
            <v>609.99</v>
          </cell>
        </row>
        <row r="3621">
          <cell r="A3621">
            <v>36868</v>
          </cell>
          <cell r="B3621">
            <v>4730.09</v>
          </cell>
          <cell r="C3621">
            <v>4889.72</v>
          </cell>
          <cell r="D3621">
            <v>371.38</v>
          </cell>
          <cell r="E3621">
            <v>404.1</v>
          </cell>
          <cell r="F3621">
            <v>423.84</v>
          </cell>
          <cell r="G3621">
            <v>336.16</v>
          </cell>
          <cell r="H3621">
            <v>7136.45</v>
          </cell>
          <cell r="I3621">
            <v>613.66999999999996</v>
          </cell>
        </row>
        <row r="3622">
          <cell r="A3622">
            <v>36871</v>
          </cell>
          <cell r="B3622">
            <v>4838.51</v>
          </cell>
          <cell r="C3622">
            <v>4970.66</v>
          </cell>
          <cell r="D3622">
            <v>378.35</v>
          </cell>
          <cell r="E3622">
            <v>409.9</v>
          </cell>
          <cell r="F3622">
            <v>429.81</v>
          </cell>
          <cell r="G3622">
            <v>343.84</v>
          </cell>
          <cell r="H3622">
            <v>7272.31</v>
          </cell>
          <cell r="I3622">
            <v>628.66999999999996</v>
          </cell>
        </row>
        <row r="3623">
          <cell r="A3623">
            <v>36872</v>
          </cell>
          <cell r="B3623">
            <v>4821.88</v>
          </cell>
          <cell r="C3623">
            <v>4947.72</v>
          </cell>
          <cell r="D3623">
            <v>376.37</v>
          </cell>
          <cell r="E3623">
            <v>407.94</v>
          </cell>
          <cell r="F3623">
            <v>427.57</v>
          </cell>
          <cell r="G3623">
            <v>341.89</v>
          </cell>
          <cell r="H3623">
            <v>7282.12</v>
          </cell>
          <cell r="I3623">
            <v>623.35</v>
          </cell>
        </row>
        <row r="3624">
          <cell r="A3624">
            <v>36873</v>
          </cell>
          <cell r="B3624">
            <v>4806.8999999999996</v>
          </cell>
          <cell r="C3624">
            <v>4890.16</v>
          </cell>
          <cell r="D3624">
            <v>375.57</v>
          </cell>
          <cell r="E3624">
            <v>403.54</v>
          </cell>
          <cell r="F3624">
            <v>423.75</v>
          </cell>
          <cell r="G3624">
            <v>343.88</v>
          </cell>
          <cell r="H3624">
            <v>7151.08</v>
          </cell>
          <cell r="I3624">
            <v>609.05999999999995</v>
          </cell>
        </row>
        <row r="3625">
          <cell r="A3625">
            <v>36874</v>
          </cell>
          <cell r="B3625">
            <v>4702.25</v>
          </cell>
          <cell r="C3625">
            <v>4810.9399999999996</v>
          </cell>
          <cell r="D3625">
            <v>368.4</v>
          </cell>
          <cell r="E3625">
            <v>397.11</v>
          </cell>
          <cell r="F3625">
            <v>417.47</v>
          </cell>
          <cell r="G3625">
            <v>336.33</v>
          </cell>
          <cell r="H3625">
            <v>7105.27</v>
          </cell>
          <cell r="I3625">
            <v>602.16999999999996</v>
          </cell>
        </row>
        <row r="3626">
          <cell r="A3626">
            <v>36875</v>
          </cell>
          <cell r="B3626">
            <v>4609.63</v>
          </cell>
          <cell r="C3626">
            <v>4718</v>
          </cell>
          <cell r="D3626">
            <v>361.67</v>
          </cell>
          <cell r="E3626">
            <v>389.1</v>
          </cell>
          <cell r="F3626">
            <v>409.68</v>
          </cell>
          <cell r="G3626">
            <v>330.77</v>
          </cell>
          <cell r="H3626">
            <v>6949.47</v>
          </cell>
          <cell r="I3626">
            <v>579.34</v>
          </cell>
        </row>
        <row r="3627">
          <cell r="A3627">
            <v>36878</v>
          </cell>
          <cell r="B3627">
            <v>4647.3999999999996</v>
          </cell>
          <cell r="C3627">
            <v>4744.26</v>
          </cell>
          <cell r="D3627">
            <v>364.58</v>
          </cell>
          <cell r="E3627">
            <v>390.61</v>
          </cell>
          <cell r="F3627">
            <v>411.52</v>
          </cell>
          <cell r="G3627">
            <v>334.7</v>
          </cell>
          <cell r="H3627">
            <v>6948.27</v>
          </cell>
          <cell r="I3627">
            <v>574.73</v>
          </cell>
        </row>
        <row r="3628">
          <cell r="A3628">
            <v>36879</v>
          </cell>
          <cell r="B3628">
            <v>4695.12</v>
          </cell>
          <cell r="C3628">
            <v>4814.6400000000003</v>
          </cell>
          <cell r="D3628">
            <v>367.87</v>
          </cell>
          <cell r="E3628">
            <v>396.1</v>
          </cell>
          <cell r="F3628">
            <v>416.65</v>
          </cell>
          <cell r="G3628">
            <v>336.18</v>
          </cell>
          <cell r="H3628">
            <v>6957.43</v>
          </cell>
          <cell r="I3628">
            <v>581.41999999999996</v>
          </cell>
        </row>
        <row r="3629">
          <cell r="A3629">
            <v>36880</v>
          </cell>
          <cell r="B3629">
            <v>4522.6000000000004</v>
          </cell>
          <cell r="C3629">
            <v>4641.1499999999996</v>
          </cell>
          <cell r="D3629">
            <v>356.72</v>
          </cell>
          <cell r="E3629">
            <v>382.64</v>
          </cell>
          <cell r="F3629">
            <v>403.29</v>
          </cell>
          <cell r="G3629">
            <v>327.12</v>
          </cell>
          <cell r="H3629">
            <v>6669.66</v>
          </cell>
          <cell r="I3629">
            <v>545.29</v>
          </cell>
        </row>
        <row r="3630">
          <cell r="A3630">
            <v>36881</v>
          </cell>
          <cell r="B3630">
            <v>4466.18</v>
          </cell>
          <cell r="C3630">
            <v>4614.24</v>
          </cell>
          <cell r="D3630">
            <v>353.07</v>
          </cell>
          <cell r="E3630">
            <v>380.49</v>
          </cell>
          <cell r="F3630">
            <v>400.82</v>
          </cell>
          <cell r="G3630">
            <v>322.42</v>
          </cell>
          <cell r="H3630">
            <v>6608.47</v>
          </cell>
          <cell r="I3630">
            <v>533.11</v>
          </cell>
        </row>
        <row r="3631">
          <cell r="A3631">
            <v>36882</v>
          </cell>
          <cell r="B3631">
            <v>4463.82</v>
          </cell>
          <cell r="C3631">
            <v>4655.87</v>
          </cell>
          <cell r="D3631">
            <v>353.12</v>
          </cell>
          <cell r="E3631">
            <v>383.52</v>
          </cell>
          <cell r="F3631">
            <v>403.3</v>
          </cell>
          <cell r="G3631">
            <v>320.13</v>
          </cell>
          <cell r="H3631">
            <v>6599.41</v>
          </cell>
          <cell r="I3631">
            <v>535.53</v>
          </cell>
        </row>
        <row r="3632">
          <cell r="A3632">
            <v>36887</v>
          </cell>
          <cell r="B3632">
            <v>4533.6899999999996</v>
          </cell>
          <cell r="C3632">
            <v>4721.49</v>
          </cell>
          <cell r="D3632">
            <v>358.51</v>
          </cell>
          <cell r="E3632">
            <v>388.23</v>
          </cell>
          <cell r="F3632">
            <v>407.95</v>
          </cell>
          <cell r="G3632">
            <v>325.89999999999998</v>
          </cell>
          <cell r="H3632">
            <v>6663.23</v>
          </cell>
          <cell r="I3632">
            <v>539.77</v>
          </cell>
        </row>
        <row r="3633">
          <cell r="A3633">
            <v>36888</v>
          </cell>
          <cell r="B3633">
            <v>4571.42</v>
          </cell>
          <cell r="C3633">
            <v>4770.8999999999996</v>
          </cell>
          <cell r="D3633">
            <v>361.01</v>
          </cell>
          <cell r="E3633">
            <v>391.55</v>
          </cell>
          <cell r="F3633">
            <v>411.78</v>
          </cell>
          <cell r="G3633">
            <v>327.72</v>
          </cell>
          <cell r="H3633">
            <v>6741.57</v>
          </cell>
          <cell r="I3633">
            <v>546.47</v>
          </cell>
        </row>
        <row r="3634">
          <cell r="A3634">
            <v>36889</v>
          </cell>
          <cell r="B3634">
            <v>4557.13</v>
          </cell>
          <cell r="C3634">
            <v>4772.3900000000003</v>
          </cell>
          <cell r="D3634">
            <v>359.79</v>
          </cell>
          <cell r="E3634">
            <v>391.8</v>
          </cell>
          <cell r="F3634">
            <v>411.6</v>
          </cell>
          <cell r="G3634">
            <v>325.38</v>
          </cell>
          <cell r="H3634">
            <v>6714.88</v>
          </cell>
          <cell r="I3634">
            <v>544.9</v>
          </cell>
        </row>
        <row r="3635">
          <cell r="A3635">
            <v>36893</v>
          </cell>
          <cell r="B3635">
            <v>4492.2700000000004</v>
          </cell>
          <cell r="C3635">
            <v>4701.68</v>
          </cell>
          <cell r="D3635">
            <v>354.83</v>
          </cell>
          <cell r="E3635">
            <v>386.1</v>
          </cell>
          <cell r="F3635">
            <v>406.33</v>
          </cell>
          <cell r="G3635">
            <v>321.13</v>
          </cell>
          <cell r="H3635">
            <v>6593.64</v>
          </cell>
          <cell r="I3635">
            <v>530.87</v>
          </cell>
        </row>
        <row r="3636">
          <cell r="A3636">
            <v>36894</v>
          </cell>
          <cell r="B3636">
            <v>4456.97</v>
          </cell>
          <cell r="C3636">
            <v>4660.4799999999996</v>
          </cell>
          <cell r="D3636">
            <v>351.38</v>
          </cell>
          <cell r="E3636">
            <v>381.39</v>
          </cell>
          <cell r="F3636">
            <v>401.96</v>
          </cell>
          <cell r="G3636">
            <v>318.75</v>
          </cell>
          <cell r="H3636">
            <v>6426.42</v>
          </cell>
          <cell r="I3636">
            <v>502.26</v>
          </cell>
        </row>
        <row r="3637">
          <cell r="A3637">
            <v>36895</v>
          </cell>
          <cell r="B3637">
            <v>4534.1000000000004</v>
          </cell>
          <cell r="C3637">
            <v>4752.71</v>
          </cell>
          <cell r="D3637">
            <v>356.54</v>
          </cell>
          <cell r="E3637">
            <v>388.94</v>
          </cell>
          <cell r="F3637">
            <v>409.45</v>
          </cell>
          <cell r="G3637">
            <v>321.89999999999998</v>
          </cell>
          <cell r="H3637">
            <v>6769.72</v>
          </cell>
          <cell r="I3637">
            <v>543.98</v>
          </cell>
        </row>
        <row r="3638">
          <cell r="A3638">
            <v>36896</v>
          </cell>
          <cell r="B3638">
            <v>4503.22</v>
          </cell>
          <cell r="C3638">
            <v>4734.4799999999996</v>
          </cell>
          <cell r="D3638">
            <v>355.1</v>
          </cell>
          <cell r="E3638">
            <v>387.93</v>
          </cell>
          <cell r="F3638">
            <v>407.55</v>
          </cell>
          <cell r="G3638">
            <v>320.14999999999998</v>
          </cell>
          <cell r="H3638">
            <v>6839.75</v>
          </cell>
          <cell r="I3638">
            <v>546.04</v>
          </cell>
        </row>
        <row r="3639">
          <cell r="A3639">
            <v>36899</v>
          </cell>
          <cell r="B3639">
            <v>4472.0200000000004</v>
          </cell>
          <cell r="C3639">
            <v>4711.3100000000004</v>
          </cell>
          <cell r="D3639">
            <v>353.65</v>
          </cell>
          <cell r="E3639">
            <v>385.79</v>
          </cell>
          <cell r="F3639">
            <v>405.5</v>
          </cell>
          <cell r="G3639">
            <v>319.27999999999997</v>
          </cell>
          <cell r="H3639">
            <v>6800.4</v>
          </cell>
          <cell r="I3639">
            <v>534.19000000000005</v>
          </cell>
        </row>
        <row r="3640">
          <cell r="A3640">
            <v>36900</v>
          </cell>
          <cell r="B3640">
            <v>4407.57</v>
          </cell>
          <cell r="C3640">
            <v>4641.79</v>
          </cell>
          <cell r="D3640">
            <v>350.77</v>
          </cell>
          <cell r="E3640">
            <v>381.88</v>
          </cell>
          <cell r="F3640">
            <v>401.72</v>
          </cell>
          <cell r="G3640">
            <v>317.31</v>
          </cell>
          <cell r="H3640">
            <v>6687.51</v>
          </cell>
          <cell r="I3640">
            <v>511.02</v>
          </cell>
        </row>
        <row r="3641">
          <cell r="A3641">
            <v>36901</v>
          </cell>
          <cell r="B3641">
            <v>4370.04</v>
          </cell>
          <cell r="C3641">
            <v>4598.82</v>
          </cell>
          <cell r="D3641">
            <v>348.83</v>
          </cell>
          <cell r="E3641">
            <v>379.76</v>
          </cell>
          <cell r="F3641">
            <v>398.91</v>
          </cell>
          <cell r="G3641">
            <v>315.55</v>
          </cell>
          <cell r="H3641">
            <v>6638.56</v>
          </cell>
          <cell r="I3641">
            <v>507.33</v>
          </cell>
        </row>
        <row r="3642">
          <cell r="A3642">
            <v>36902</v>
          </cell>
          <cell r="B3642">
            <v>4440.2299999999996</v>
          </cell>
          <cell r="C3642">
            <v>4686.88</v>
          </cell>
          <cell r="D3642">
            <v>352.12</v>
          </cell>
          <cell r="E3642">
            <v>386.52</v>
          </cell>
          <cell r="F3642">
            <v>404.84</v>
          </cell>
          <cell r="G3642">
            <v>316.01</v>
          </cell>
          <cell r="H3642">
            <v>6684.61</v>
          </cell>
          <cell r="I3642">
            <v>524.20000000000005</v>
          </cell>
        </row>
        <row r="3643">
          <cell r="A3643">
            <v>36903</v>
          </cell>
          <cell r="B3643">
            <v>4473.1099999999997</v>
          </cell>
          <cell r="C3643">
            <v>4737.95</v>
          </cell>
          <cell r="D3643">
            <v>353.85</v>
          </cell>
          <cell r="E3643">
            <v>391</v>
          </cell>
          <cell r="F3643">
            <v>408.7</v>
          </cell>
          <cell r="G3643">
            <v>315.5</v>
          </cell>
          <cell r="H3643">
            <v>6743.73</v>
          </cell>
          <cell r="I3643">
            <v>534.78</v>
          </cell>
        </row>
        <row r="3644">
          <cell r="A3644">
            <v>36906</v>
          </cell>
          <cell r="B3644">
            <v>4509.72</v>
          </cell>
          <cell r="C3644">
            <v>4763.53</v>
          </cell>
          <cell r="D3644">
            <v>355.98</v>
          </cell>
          <cell r="E3644">
            <v>392.34</v>
          </cell>
          <cell r="F3644">
            <v>410.04</v>
          </cell>
          <cell r="G3644">
            <v>318.22000000000003</v>
          </cell>
          <cell r="H3644">
            <v>6766.73</v>
          </cell>
          <cell r="I3644">
            <v>536.66</v>
          </cell>
        </row>
        <row r="3645">
          <cell r="A3645">
            <v>36907</v>
          </cell>
          <cell r="B3645">
            <v>4441.45</v>
          </cell>
          <cell r="C3645">
            <v>4693.82</v>
          </cell>
          <cell r="D3645">
            <v>351.04</v>
          </cell>
          <cell r="E3645">
            <v>386.93</v>
          </cell>
          <cell r="F3645">
            <v>405.03</v>
          </cell>
          <cell r="G3645">
            <v>313.77</v>
          </cell>
          <cell r="H3645">
            <v>6612.19</v>
          </cell>
          <cell r="I3645">
            <v>517.20000000000005</v>
          </cell>
        </row>
        <row r="3646">
          <cell r="A3646">
            <v>36908</v>
          </cell>
          <cell r="B3646">
            <v>4553.57</v>
          </cell>
          <cell r="C3646">
            <v>4787.45</v>
          </cell>
          <cell r="D3646">
            <v>359.48</v>
          </cell>
          <cell r="E3646">
            <v>395.21</v>
          </cell>
          <cell r="F3646">
            <v>413.76</v>
          </cell>
          <cell r="G3646">
            <v>322.12</v>
          </cell>
          <cell r="H3646">
            <v>6822.88</v>
          </cell>
          <cell r="I3646">
            <v>539.82000000000005</v>
          </cell>
        </row>
        <row r="3647">
          <cell r="A3647">
            <v>36909</v>
          </cell>
          <cell r="B3647">
            <v>4530.8900000000003</v>
          </cell>
          <cell r="C3647">
            <v>4754.97</v>
          </cell>
          <cell r="D3647">
            <v>357.99</v>
          </cell>
          <cell r="E3647">
            <v>393.47</v>
          </cell>
          <cell r="F3647">
            <v>412.82</v>
          </cell>
          <cell r="G3647">
            <v>320.86</v>
          </cell>
          <cell r="H3647">
            <v>6840.91</v>
          </cell>
          <cell r="I3647">
            <v>542.82000000000005</v>
          </cell>
        </row>
        <row r="3648">
          <cell r="A3648">
            <v>36910</v>
          </cell>
          <cell r="B3648">
            <v>4499.88</v>
          </cell>
          <cell r="C3648">
            <v>4720.03</v>
          </cell>
          <cell r="D3648">
            <v>357.19</v>
          </cell>
          <cell r="E3648">
            <v>392</v>
          </cell>
          <cell r="F3648">
            <v>410.99</v>
          </cell>
          <cell r="G3648">
            <v>320.62</v>
          </cell>
          <cell r="H3648">
            <v>6912.02</v>
          </cell>
          <cell r="I3648">
            <v>541.59</v>
          </cell>
        </row>
        <row r="3649">
          <cell r="A3649">
            <v>36913</v>
          </cell>
          <cell r="B3649">
            <v>4504.3500000000004</v>
          </cell>
          <cell r="C3649">
            <v>4743.3900000000003</v>
          </cell>
          <cell r="D3649">
            <v>357.17</v>
          </cell>
          <cell r="E3649">
            <v>392.87</v>
          </cell>
          <cell r="F3649">
            <v>411.26</v>
          </cell>
          <cell r="G3649">
            <v>319.89999999999998</v>
          </cell>
          <cell r="H3649">
            <v>6858.26</v>
          </cell>
          <cell r="I3649">
            <v>532.91</v>
          </cell>
        </row>
        <row r="3650">
          <cell r="A3650">
            <v>36914</v>
          </cell>
          <cell r="B3650">
            <v>4502.22</v>
          </cell>
          <cell r="C3650">
            <v>4743.93</v>
          </cell>
          <cell r="D3650">
            <v>356.87</v>
          </cell>
          <cell r="E3650">
            <v>392.27</v>
          </cell>
          <cell r="F3650">
            <v>410.5</v>
          </cell>
          <cell r="G3650">
            <v>319.83</v>
          </cell>
          <cell r="H3650">
            <v>6801.95</v>
          </cell>
          <cell r="I3650">
            <v>524.66999999999996</v>
          </cell>
        </row>
        <row r="3651">
          <cell r="A3651">
            <v>36915</v>
          </cell>
          <cell r="B3651">
            <v>4554.82</v>
          </cell>
          <cell r="C3651">
            <v>4773.26</v>
          </cell>
          <cell r="D3651">
            <v>360.58</v>
          </cell>
          <cell r="E3651">
            <v>394.95</v>
          </cell>
          <cell r="F3651">
            <v>413.74</v>
          </cell>
          <cell r="G3651">
            <v>324.27</v>
          </cell>
          <cell r="H3651">
            <v>6941.4</v>
          </cell>
          <cell r="I3651">
            <v>533.47</v>
          </cell>
        </row>
        <row r="3652">
          <cell r="A3652">
            <v>36916</v>
          </cell>
          <cell r="B3652">
            <v>4567.42</v>
          </cell>
          <cell r="C3652">
            <v>4779.3500000000004</v>
          </cell>
          <cell r="D3652">
            <v>361.97</v>
          </cell>
          <cell r="E3652">
            <v>395.9</v>
          </cell>
          <cell r="F3652">
            <v>415.58</v>
          </cell>
          <cell r="G3652">
            <v>325.97000000000003</v>
          </cell>
          <cell r="H3652">
            <v>7002.92</v>
          </cell>
          <cell r="I3652">
            <v>533.41999999999996</v>
          </cell>
        </row>
        <row r="3653">
          <cell r="A3653">
            <v>36917</v>
          </cell>
          <cell r="B3653">
            <v>4557.22</v>
          </cell>
          <cell r="C3653">
            <v>4760.2</v>
          </cell>
          <cell r="D3653">
            <v>361.36</v>
          </cell>
          <cell r="E3653">
            <v>394.34</v>
          </cell>
          <cell r="F3653">
            <v>413.5</v>
          </cell>
          <cell r="G3653">
            <v>326.13</v>
          </cell>
          <cell r="H3653">
            <v>6885.16</v>
          </cell>
          <cell r="I3653">
            <v>518.94000000000005</v>
          </cell>
        </row>
        <row r="3654">
          <cell r="A3654">
            <v>36920</v>
          </cell>
          <cell r="B3654">
            <v>4571.37</v>
          </cell>
          <cell r="C3654">
            <v>4757.09</v>
          </cell>
          <cell r="D3654">
            <v>362.47</v>
          </cell>
          <cell r="E3654">
            <v>393.81</v>
          </cell>
          <cell r="F3654">
            <v>413.62</v>
          </cell>
          <cell r="G3654">
            <v>328.52</v>
          </cell>
          <cell r="H3654">
            <v>6922.19</v>
          </cell>
          <cell r="I3654">
            <v>519.29</v>
          </cell>
        </row>
        <row r="3655">
          <cell r="A3655">
            <v>36921</v>
          </cell>
          <cell r="B3655">
            <v>4541.96</v>
          </cell>
          <cell r="C3655">
            <v>4726.6499999999996</v>
          </cell>
          <cell r="D3655">
            <v>361.48</v>
          </cell>
          <cell r="E3655">
            <v>392.79</v>
          </cell>
          <cell r="F3655">
            <v>413.07</v>
          </cell>
          <cell r="G3655">
            <v>327.58999999999997</v>
          </cell>
          <cell r="H3655">
            <v>6939.14</v>
          </cell>
          <cell r="I3655">
            <v>511.47</v>
          </cell>
        </row>
        <row r="3656">
          <cell r="A3656">
            <v>36922</v>
          </cell>
          <cell r="B3656">
            <v>4560.03</v>
          </cell>
          <cell r="C3656">
            <v>4779.8999999999996</v>
          </cell>
          <cell r="D3656">
            <v>362.33</v>
          </cell>
          <cell r="E3656">
            <v>397.05</v>
          </cell>
          <cell r="F3656">
            <v>417.15</v>
          </cell>
          <cell r="G3656">
            <v>325.70999999999998</v>
          </cell>
          <cell r="H3656">
            <v>7022.11</v>
          </cell>
          <cell r="I3656">
            <v>521.64</v>
          </cell>
        </row>
        <row r="3657">
          <cell r="A3657">
            <v>36923</v>
          </cell>
          <cell r="B3657">
            <v>4493.01</v>
          </cell>
          <cell r="C3657">
            <v>4709.1899999999996</v>
          </cell>
          <cell r="D3657">
            <v>358.62</v>
          </cell>
          <cell r="E3657">
            <v>391.88</v>
          </cell>
          <cell r="F3657">
            <v>411.54</v>
          </cell>
          <cell r="G3657">
            <v>323.24</v>
          </cell>
          <cell r="H3657">
            <v>6913.09</v>
          </cell>
          <cell r="I3657">
            <v>506.93</v>
          </cell>
        </row>
        <row r="3658">
          <cell r="A3658">
            <v>36924</v>
          </cell>
          <cell r="B3658">
            <v>4474.62</v>
          </cell>
          <cell r="C3658">
            <v>4665.1899999999996</v>
          </cell>
          <cell r="D3658">
            <v>356.86</v>
          </cell>
          <cell r="E3658">
            <v>388.35</v>
          </cell>
          <cell r="F3658">
            <v>408.33</v>
          </cell>
          <cell r="G3658">
            <v>322.93</v>
          </cell>
          <cell r="H3658">
            <v>6829.48</v>
          </cell>
          <cell r="I3658">
            <v>500.84</v>
          </cell>
        </row>
        <row r="3659">
          <cell r="A3659">
            <v>36927</v>
          </cell>
          <cell r="B3659">
            <v>4483.2</v>
          </cell>
          <cell r="C3659">
            <v>4668.57</v>
          </cell>
          <cell r="D3659">
            <v>356.55</v>
          </cell>
          <cell r="E3659">
            <v>387.42</v>
          </cell>
          <cell r="F3659">
            <v>407.15</v>
          </cell>
          <cell r="G3659">
            <v>323.13</v>
          </cell>
          <cell r="H3659">
            <v>6701.46</v>
          </cell>
          <cell r="I3659">
            <v>489.41</v>
          </cell>
        </row>
        <row r="3660">
          <cell r="A3660">
            <v>36928</v>
          </cell>
          <cell r="B3660">
            <v>4507.6899999999996</v>
          </cell>
          <cell r="C3660">
            <v>4706.83</v>
          </cell>
          <cell r="D3660">
            <v>358.6</v>
          </cell>
          <cell r="E3660">
            <v>390.58</v>
          </cell>
          <cell r="F3660">
            <v>410.26</v>
          </cell>
          <cell r="G3660">
            <v>324.24</v>
          </cell>
          <cell r="H3660">
            <v>6819.98</v>
          </cell>
          <cell r="I3660">
            <v>501.37</v>
          </cell>
        </row>
        <row r="3661">
          <cell r="A3661">
            <v>36929</v>
          </cell>
          <cell r="B3661">
            <v>4436</v>
          </cell>
          <cell r="C3661">
            <v>4634.42</v>
          </cell>
          <cell r="D3661">
            <v>354.23</v>
          </cell>
          <cell r="E3661">
            <v>385.08</v>
          </cell>
          <cell r="F3661">
            <v>405.29</v>
          </cell>
          <cell r="G3661">
            <v>320.88</v>
          </cell>
          <cell r="H3661">
            <v>6727.85</v>
          </cell>
          <cell r="I3661">
            <v>487.59</v>
          </cell>
        </row>
        <row r="3662">
          <cell r="A3662">
            <v>36930</v>
          </cell>
          <cell r="B3662">
            <v>4440.71</v>
          </cell>
          <cell r="C3662">
            <v>4653.17</v>
          </cell>
          <cell r="D3662">
            <v>355</v>
          </cell>
          <cell r="E3662">
            <v>386.47</v>
          </cell>
          <cell r="F3662">
            <v>405.61</v>
          </cell>
          <cell r="G3662">
            <v>321.13</v>
          </cell>
          <cell r="H3662">
            <v>6663.45</v>
          </cell>
          <cell r="I3662">
            <v>481.69</v>
          </cell>
        </row>
        <row r="3663">
          <cell r="A3663">
            <v>36931</v>
          </cell>
          <cell r="B3663">
            <v>4373.05</v>
          </cell>
          <cell r="C3663">
            <v>4583.76</v>
          </cell>
          <cell r="D3663">
            <v>350.29</v>
          </cell>
          <cell r="E3663">
            <v>380.78</v>
          </cell>
          <cell r="F3663">
            <v>399.86</v>
          </cell>
          <cell r="G3663">
            <v>317.32</v>
          </cell>
          <cell r="H3663">
            <v>6485.95</v>
          </cell>
          <cell r="I3663">
            <v>456.37</v>
          </cell>
        </row>
        <row r="3664">
          <cell r="A3664">
            <v>36934</v>
          </cell>
          <cell r="B3664">
            <v>4408.62</v>
          </cell>
          <cell r="C3664">
            <v>4628.17</v>
          </cell>
          <cell r="D3664">
            <v>352.65</v>
          </cell>
          <cell r="E3664">
            <v>384.29</v>
          </cell>
          <cell r="F3664">
            <v>402.2</v>
          </cell>
          <cell r="G3664">
            <v>318.70999999999998</v>
          </cell>
          <cell r="H3664">
            <v>6468.53</v>
          </cell>
          <cell r="I3664">
            <v>461.93</v>
          </cell>
        </row>
        <row r="3665">
          <cell r="A3665">
            <v>36935</v>
          </cell>
          <cell r="B3665">
            <v>4421.0600000000004</v>
          </cell>
          <cell r="C3665">
            <v>4629.67</v>
          </cell>
          <cell r="D3665">
            <v>354.13</v>
          </cell>
          <cell r="E3665">
            <v>384</v>
          </cell>
          <cell r="F3665">
            <v>402.04</v>
          </cell>
          <cell r="G3665">
            <v>321.55</v>
          </cell>
          <cell r="H3665">
            <v>6432.93</v>
          </cell>
          <cell r="I3665">
            <v>459.45</v>
          </cell>
        </row>
        <row r="3666">
          <cell r="A3666">
            <v>36936</v>
          </cell>
          <cell r="B3666">
            <v>4360.04</v>
          </cell>
          <cell r="C3666">
            <v>4556.49</v>
          </cell>
          <cell r="D3666">
            <v>350.09</v>
          </cell>
          <cell r="E3666">
            <v>378.12</v>
          </cell>
          <cell r="F3666">
            <v>395.7</v>
          </cell>
          <cell r="G3666">
            <v>319.08</v>
          </cell>
          <cell r="H3666">
            <v>6251.24</v>
          </cell>
          <cell r="I3666">
            <v>438</v>
          </cell>
        </row>
        <row r="3667">
          <cell r="A3667">
            <v>36937</v>
          </cell>
          <cell r="B3667">
            <v>4416.54</v>
          </cell>
          <cell r="C3667">
            <v>4607.6400000000003</v>
          </cell>
          <cell r="D3667">
            <v>354.68</v>
          </cell>
          <cell r="E3667">
            <v>383.13</v>
          </cell>
          <cell r="F3667">
            <v>401.34</v>
          </cell>
          <cell r="G3667">
            <v>323.22000000000003</v>
          </cell>
          <cell r="H3667">
            <v>6494.67</v>
          </cell>
          <cell r="I3667">
            <v>463.89</v>
          </cell>
        </row>
        <row r="3668">
          <cell r="A3668">
            <v>36938</v>
          </cell>
          <cell r="B3668">
            <v>4304.8900000000003</v>
          </cell>
          <cell r="C3668">
            <v>4519.95</v>
          </cell>
          <cell r="D3668">
            <v>347.37</v>
          </cell>
          <cell r="E3668">
            <v>376.33</v>
          </cell>
          <cell r="F3668">
            <v>394.18</v>
          </cell>
          <cell r="G3668">
            <v>315.69</v>
          </cell>
          <cell r="H3668">
            <v>6343.87</v>
          </cell>
          <cell r="I3668">
            <v>444.23</v>
          </cell>
        </row>
        <row r="3669">
          <cell r="A3669">
            <v>36941</v>
          </cell>
          <cell r="B3669">
            <v>4284.2299999999996</v>
          </cell>
          <cell r="C3669">
            <v>4516.3100000000004</v>
          </cell>
          <cell r="D3669">
            <v>345.83</v>
          </cell>
          <cell r="E3669">
            <v>375.92</v>
          </cell>
          <cell r="F3669">
            <v>393.71</v>
          </cell>
          <cell r="G3669">
            <v>313.29000000000002</v>
          </cell>
          <cell r="H3669">
            <v>6339.72</v>
          </cell>
          <cell r="I3669">
            <v>439.78</v>
          </cell>
        </row>
        <row r="3670">
          <cell r="A3670">
            <v>36942</v>
          </cell>
          <cell r="B3670">
            <v>4235.92</v>
          </cell>
          <cell r="C3670">
            <v>4481.04</v>
          </cell>
          <cell r="D3670">
            <v>343.62</v>
          </cell>
          <cell r="E3670">
            <v>373.49</v>
          </cell>
          <cell r="F3670">
            <v>391.27</v>
          </cell>
          <cell r="G3670">
            <v>311.32</v>
          </cell>
          <cell r="H3670">
            <v>6340.13</v>
          </cell>
          <cell r="I3670">
            <v>439.35</v>
          </cell>
        </row>
        <row r="3671">
          <cell r="A3671">
            <v>36943</v>
          </cell>
          <cell r="B3671">
            <v>4190.0200000000004</v>
          </cell>
          <cell r="C3671">
            <v>4412.76</v>
          </cell>
          <cell r="D3671">
            <v>340.91</v>
          </cell>
          <cell r="E3671">
            <v>368.7</v>
          </cell>
          <cell r="F3671">
            <v>386.66</v>
          </cell>
          <cell r="G3671">
            <v>310.32</v>
          </cell>
          <cell r="H3671">
            <v>6266.31</v>
          </cell>
          <cell r="I3671">
            <v>430.49</v>
          </cell>
        </row>
        <row r="3672">
          <cell r="A3672">
            <v>36944</v>
          </cell>
          <cell r="B3672">
            <v>4181.37</v>
          </cell>
          <cell r="C3672">
            <v>4345.1000000000004</v>
          </cell>
          <cell r="D3672">
            <v>340.06</v>
          </cell>
          <cell r="E3672">
            <v>363.97</v>
          </cell>
          <cell r="F3672">
            <v>382.4</v>
          </cell>
          <cell r="G3672">
            <v>312.57</v>
          </cell>
          <cell r="H3672">
            <v>6095.8</v>
          </cell>
          <cell r="I3672">
            <v>412.92</v>
          </cell>
        </row>
        <row r="3673">
          <cell r="A3673">
            <v>36945</v>
          </cell>
          <cell r="B3673">
            <v>4091.13</v>
          </cell>
          <cell r="C3673">
            <v>4236.82</v>
          </cell>
          <cell r="D3673">
            <v>333.86</v>
          </cell>
          <cell r="E3673">
            <v>356.43</v>
          </cell>
          <cell r="F3673">
            <v>375.29</v>
          </cell>
          <cell r="G3673">
            <v>307.58999999999997</v>
          </cell>
          <cell r="H3673">
            <v>5978.22</v>
          </cell>
          <cell r="I3673">
            <v>398.9</v>
          </cell>
        </row>
        <row r="3674">
          <cell r="A3674">
            <v>36948</v>
          </cell>
          <cell r="B3674">
            <v>4119.2</v>
          </cell>
          <cell r="C3674">
            <v>4310.1400000000003</v>
          </cell>
          <cell r="D3674">
            <v>336.24</v>
          </cell>
          <cell r="E3674">
            <v>361.46</v>
          </cell>
          <cell r="F3674">
            <v>380.34</v>
          </cell>
          <cell r="G3674">
            <v>307.8</v>
          </cell>
          <cell r="H3674">
            <v>6078.48</v>
          </cell>
          <cell r="I3674">
            <v>409.57</v>
          </cell>
        </row>
        <row r="3675">
          <cell r="A3675">
            <v>36949</v>
          </cell>
          <cell r="B3675">
            <v>4130.5600000000004</v>
          </cell>
          <cell r="C3675">
            <v>4333.32</v>
          </cell>
          <cell r="D3675">
            <v>336.81</v>
          </cell>
          <cell r="E3675">
            <v>363.04</v>
          </cell>
          <cell r="F3675">
            <v>381.88</v>
          </cell>
          <cell r="G3675">
            <v>307.55</v>
          </cell>
          <cell r="H3675">
            <v>6133.44</v>
          </cell>
          <cell r="I3675">
            <v>414.57</v>
          </cell>
        </row>
        <row r="3676">
          <cell r="A3676">
            <v>36950</v>
          </cell>
          <cell r="B3676">
            <v>4105.66</v>
          </cell>
          <cell r="C3676">
            <v>4318.88</v>
          </cell>
          <cell r="D3676">
            <v>335.02</v>
          </cell>
          <cell r="E3676">
            <v>361.66</v>
          </cell>
          <cell r="F3676">
            <v>380.61</v>
          </cell>
          <cell r="G3676">
            <v>305.49</v>
          </cell>
          <cell r="H3676">
            <v>6119.87</v>
          </cell>
          <cell r="I3676">
            <v>411.27</v>
          </cell>
        </row>
        <row r="3677">
          <cell r="A3677">
            <v>36951</v>
          </cell>
          <cell r="B3677">
            <v>4076.41</v>
          </cell>
          <cell r="C3677">
            <v>4282.8999999999996</v>
          </cell>
          <cell r="D3677">
            <v>332</v>
          </cell>
          <cell r="E3677">
            <v>358.13</v>
          </cell>
          <cell r="F3677">
            <v>375.96</v>
          </cell>
          <cell r="G3677">
            <v>302.94</v>
          </cell>
          <cell r="H3677">
            <v>5983.33</v>
          </cell>
          <cell r="I3677">
            <v>401.46</v>
          </cell>
        </row>
        <row r="3678">
          <cell r="A3678">
            <v>36952</v>
          </cell>
          <cell r="B3678">
            <v>4087.01</v>
          </cell>
          <cell r="C3678">
            <v>4300.3500000000004</v>
          </cell>
          <cell r="D3678">
            <v>332.38</v>
          </cell>
          <cell r="E3678">
            <v>358.8</v>
          </cell>
          <cell r="F3678">
            <v>376.71</v>
          </cell>
          <cell r="G3678">
            <v>303.08999999999997</v>
          </cell>
          <cell r="H3678">
            <v>6059.71</v>
          </cell>
          <cell r="I3678">
            <v>415.99</v>
          </cell>
        </row>
        <row r="3679">
          <cell r="A3679">
            <v>36955</v>
          </cell>
          <cell r="B3679">
            <v>4147.9399999999996</v>
          </cell>
          <cell r="C3679">
            <v>4347.3999999999996</v>
          </cell>
          <cell r="D3679">
            <v>335.96</v>
          </cell>
          <cell r="E3679">
            <v>362.25</v>
          </cell>
          <cell r="F3679">
            <v>385.95</v>
          </cell>
          <cell r="G3679">
            <v>308.81</v>
          </cell>
          <cell r="H3679">
            <v>6271.18</v>
          </cell>
          <cell r="I3679">
            <v>435.98</v>
          </cell>
        </row>
        <row r="3680">
          <cell r="A3680">
            <v>36956</v>
          </cell>
          <cell r="B3680">
            <v>4207.5200000000004</v>
          </cell>
          <cell r="C3680">
            <v>4412.1099999999997</v>
          </cell>
          <cell r="D3680">
            <v>339.99</v>
          </cell>
          <cell r="E3680">
            <v>367.68</v>
          </cell>
          <cell r="F3680">
            <v>385.58</v>
          </cell>
          <cell r="G3680">
            <v>309.51</v>
          </cell>
          <cell r="H3680">
            <v>6284.11</v>
          </cell>
          <cell r="I3680">
            <v>440.6</v>
          </cell>
        </row>
        <row r="3681">
          <cell r="A3681">
            <v>36957</v>
          </cell>
          <cell r="B3681">
            <v>4197.72</v>
          </cell>
          <cell r="C3681">
            <v>4413.62</v>
          </cell>
          <cell r="D3681">
            <v>339.87</v>
          </cell>
          <cell r="E3681">
            <v>368.29</v>
          </cell>
          <cell r="F3681">
            <v>385.95</v>
          </cell>
          <cell r="G3681">
            <v>308.81</v>
          </cell>
          <cell r="H3681">
            <v>6271.18</v>
          </cell>
          <cell r="I3681">
            <v>435.98</v>
          </cell>
        </row>
        <row r="3682">
          <cell r="A3682">
            <v>36958</v>
          </cell>
          <cell r="B3682">
            <v>4181.21</v>
          </cell>
          <cell r="C3682">
            <v>4370.5600000000004</v>
          </cell>
          <cell r="D3682">
            <v>338.6</v>
          </cell>
          <cell r="E3682">
            <v>365.33</v>
          </cell>
          <cell r="F3682">
            <v>382.76</v>
          </cell>
          <cell r="G3682">
            <v>308.89999999999998</v>
          </cell>
          <cell r="H3682">
            <v>6191.81</v>
          </cell>
          <cell r="I3682">
            <v>423.94</v>
          </cell>
        </row>
        <row r="3683">
          <cell r="A3683">
            <v>36959</v>
          </cell>
          <cell r="B3683">
            <v>4129.24</v>
          </cell>
          <cell r="C3683">
            <v>4334.2299999999996</v>
          </cell>
          <cell r="D3683">
            <v>334.74</v>
          </cell>
          <cell r="E3683">
            <v>361.97</v>
          </cell>
          <cell r="F3683">
            <v>379.16</v>
          </cell>
          <cell r="G3683">
            <v>304.75</v>
          </cell>
          <cell r="H3683">
            <v>6119.79</v>
          </cell>
          <cell r="I3683">
            <v>415.05</v>
          </cell>
        </row>
        <row r="3684">
          <cell r="A3684">
            <v>36962</v>
          </cell>
          <cell r="B3684">
            <v>4020.29</v>
          </cell>
          <cell r="C3684">
            <v>4218.1400000000003</v>
          </cell>
          <cell r="D3684">
            <v>327.42</v>
          </cell>
          <cell r="E3684">
            <v>352.9</v>
          </cell>
          <cell r="F3684">
            <v>368.87</v>
          </cell>
          <cell r="G3684">
            <v>299.01</v>
          </cell>
          <cell r="H3684">
            <v>5858.92</v>
          </cell>
          <cell r="I3684">
            <v>383.61</v>
          </cell>
        </row>
        <row r="3685">
          <cell r="A3685">
            <v>36963</v>
          </cell>
          <cell r="B3685">
            <v>3995.75</v>
          </cell>
          <cell r="C3685">
            <v>4184.1499999999996</v>
          </cell>
          <cell r="D3685">
            <v>324.33999999999997</v>
          </cell>
          <cell r="E3685">
            <v>350.15</v>
          </cell>
          <cell r="F3685">
            <v>366.18</v>
          </cell>
          <cell r="G3685">
            <v>295.75</v>
          </cell>
          <cell r="H3685">
            <v>5805.54</v>
          </cell>
          <cell r="I3685">
            <v>386.17</v>
          </cell>
        </row>
        <row r="3686">
          <cell r="A3686">
            <v>36964</v>
          </cell>
          <cell r="B3686">
            <v>3941.76</v>
          </cell>
          <cell r="C3686">
            <v>4123.97</v>
          </cell>
          <cell r="D3686">
            <v>318.94</v>
          </cell>
          <cell r="E3686">
            <v>344.77</v>
          </cell>
          <cell r="F3686">
            <v>359.9</v>
          </cell>
          <cell r="G3686">
            <v>290.45</v>
          </cell>
          <cell r="H3686">
            <v>5633.71</v>
          </cell>
          <cell r="I3686">
            <v>378.41</v>
          </cell>
        </row>
        <row r="3687">
          <cell r="A3687">
            <v>36965</v>
          </cell>
          <cell r="B3687">
            <v>4032.98</v>
          </cell>
          <cell r="C3687">
            <v>4200.08</v>
          </cell>
          <cell r="D3687">
            <v>324.61</v>
          </cell>
          <cell r="E3687">
            <v>349.91</v>
          </cell>
          <cell r="F3687">
            <v>364.78</v>
          </cell>
          <cell r="G3687">
            <v>296.39999999999998</v>
          </cell>
          <cell r="H3687">
            <v>5762.48</v>
          </cell>
          <cell r="I3687">
            <v>397.27</v>
          </cell>
        </row>
        <row r="3688">
          <cell r="A3688">
            <v>36966</v>
          </cell>
          <cell r="B3688">
            <v>3924.25</v>
          </cell>
          <cell r="C3688">
            <v>4106.79</v>
          </cell>
          <cell r="D3688">
            <v>316.83</v>
          </cell>
          <cell r="E3688">
            <v>342.88</v>
          </cell>
          <cell r="F3688">
            <v>357.2</v>
          </cell>
          <cell r="G3688">
            <v>288.22000000000003</v>
          </cell>
          <cell r="H3688">
            <v>5629.12</v>
          </cell>
          <cell r="I3688">
            <v>387.4</v>
          </cell>
        </row>
        <row r="3689">
          <cell r="A3689">
            <v>36969</v>
          </cell>
          <cell r="B3689">
            <v>3889.43</v>
          </cell>
          <cell r="C3689">
            <v>4085.53</v>
          </cell>
          <cell r="D3689">
            <v>314.19</v>
          </cell>
          <cell r="E3689">
            <v>340.92</v>
          </cell>
          <cell r="F3689">
            <v>354.67</v>
          </cell>
          <cell r="G3689">
            <v>285.11</v>
          </cell>
          <cell r="H3689">
            <v>5586.1</v>
          </cell>
          <cell r="I3689">
            <v>389.35</v>
          </cell>
        </row>
        <row r="3690">
          <cell r="A3690">
            <v>36970</v>
          </cell>
          <cell r="B3690">
            <v>3958.42</v>
          </cell>
          <cell r="C3690">
            <v>4158.42</v>
          </cell>
          <cell r="D3690">
            <v>318.3</v>
          </cell>
          <cell r="E3690">
            <v>345.83</v>
          </cell>
          <cell r="F3690">
            <v>359.44</v>
          </cell>
          <cell r="G3690">
            <v>288.47000000000003</v>
          </cell>
          <cell r="H3690">
            <v>5705.06</v>
          </cell>
          <cell r="I3690">
            <v>402.1</v>
          </cell>
        </row>
        <row r="3691">
          <cell r="A3691">
            <v>36971</v>
          </cell>
          <cell r="B3691">
            <v>3896.7</v>
          </cell>
          <cell r="C3691">
            <v>4067.26</v>
          </cell>
          <cell r="D3691">
            <v>313.05</v>
          </cell>
          <cell r="E3691">
            <v>338.03</v>
          </cell>
          <cell r="F3691">
            <v>351.63</v>
          </cell>
          <cell r="G3691">
            <v>285.39</v>
          </cell>
          <cell r="H3691">
            <v>5512.54</v>
          </cell>
          <cell r="I3691">
            <v>386.52</v>
          </cell>
        </row>
        <row r="3692">
          <cell r="A3692">
            <v>36972</v>
          </cell>
          <cell r="B3692">
            <v>3729.63</v>
          </cell>
          <cell r="C3692">
            <v>3891.49</v>
          </cell>
          <cell r="D3692">
            <v>300.64</v>
          </cell>
          <cell r="E3692">
            <v>323.99</v>
          </cell>
          <cell r="F3692">
            <v>336.46</v>
          </cell>
          <cell r="G3692">
            <v>274.58999999999997</v>
          </cell>
          <cell r="H3692">
            <v>5304.91</v>
          </cell>
          <cell r="I3692">
            <v>370.35</v>
          </cell>
        </row>
        <row r="3693">
          <cell r="A3693">
            <v>36973</v>
          </cell>
          <cell r="B3693">
            <v>3809.77</v>
          </cell>
          <cell r="C3693">
            <v>4002.56</v>
          </cell>
          <cell r="D3693">
            <v>307.14</v>
          </cell>
          <cell r="E3693">
            <v>332.65</v>
          </cell>
          <cell r="F3693">
            <v>345.38</v>
          </cell>
          <cell r="G3693">
            <v>279.2</v>
          </cell>
          <cell r="H3693">
            <v>5495.83</v>
          </cell>
          <cell r="I3693">
            <v>388.48</v>
          </cell>
        </row>
        <row r="3694">
          <cell r="A3694">
            <v>36976</v>
          </cell>
          <cell r="B3694">
            <v>3950.7</v>
          </cell>
          <cell r="C3694">
            <v>4143.8500000000004</v>
          </cell>
          <cell r="D3694">
            <v>317.01</v>
          </cell>
          <cell r="E3694">
            <v>343.45</v>
          </cell>
          <cell r="F3694">
            <v>356.83</v>
          </cell>
          <cell r="G3694">
            <v>288.08999999999997</v>
          </cell>
          <cell r="H3694">
            <v>5727.72</v>
          </cell>
          <cell r="I3694">
            <v>404.86</v>
          </cell>
        </row>
        <row r="3695">
          <cell r="A3695">
            <v>36977</v>
          </cell>
          <cell r="B3695">
            <v>4050.47</v>
          </cell>
          <cell r="C3695">
            <v>4229.8100000000004</v>
          </cell>
          <cell r="D3695">
            <v>323.75</v>
          </cell>
          <cell r="E3695">
            <v>350.28</v>
          </cell>
          <cell r="F3695">
            <v>363.34</v>
          </cell>
          <cell r="G3695">
            <v>294.58</v>
          </cell>
          <cell r="H3695">
            <v>5812.8</v>
          </cell>
          <cell r="I3695">
            <v>405.83</v>
          </cell>
        </row>
        <row r="3696">
          <cell r="A3696">
            <v>36978</v>
          </cell>
          <cell r="B3696">
            <v>3980.81</v>
          </cell>
          <cell r="C3696">
            <v>4157.55</v>
          </cell>
          <cell r="D3696">
            <v>319.63</v>
          </cell>
          <cell r="E3696">
            <v>345.64</v>
          </cell>
          <cell r="F3696">
            <v>358.17</v>
          </cell>
          <cell r="G3696">
            <v>290.99</v>
          </cell>
          <cell r="H3696">
            <v>5601.59</v>
          </cell>
          <cell r="I3696">
            <v>391.74</v>
          </cell>
        </row>
        <row r="3697">
          <cell r="A3697">
            <v>36979</v>
          </cell>
          <cell r="B3697">
            <v>3980.12</v>
          </cell>
          <cell r="C3697">
            <v>4165.75</v>
          </cell>
          <cell r="D3697">
            <v>320.12</v>
          </cell>
          <cell r="E3697">
            <v>346.49</v>
          </cell>
          <cell r="F3697">
            <v>359.26</v>
          </cell>
          <cell r="G3697">
            <v>291.19</v>
          </cell>
          <cell r="H3697">
            <v>5473.32</v>
          </cell>
          <cell r="I3697">
            <v>379.35</v>
          </cell>
        </row>
        <row r="3698">
          <cell r="A3698">
            <v>36980</v>
          </cell>
          <cell r="B3698">
            <v>4004.89</v>
          </cell>
          <cell r="C3698">
            <v>4185</v>
          </cell>
          <cell r="D3698">
            <v>321.7</v>
          </cell>
          <cell r="E3698">
            <v>347.79</v>
          </cell>
          <cell r="F3698">
            <v>361.07</v>
          </cell>
          <cell r="G3698">
            <v>292.94</v>
          </cell>
          <cell r="H3698">
            <v>5428.94</v>
          </cell>
          <cell r="I3698">
            <v>377.15</v>
          </cell>
        </row>
        <row r="3699">
          <cell r="A3699">
            <v>36983</v>
          </cell>
          <cell r="B3699">
            <v>3989.42</v>
          </cell>
          <cell r="C3699">
            <v>4190.8</v>
          </cell>
          <cell r="D3699">
            <v>320.16000000000003</v>
          </cell>
          <cell r="E3699">
            <v>347.57</v>
          </cell>
          <cell r="F3699">
            <v>359.37</v>
          </cell>
          <cell r="G3699">
            <v>290.38</v>
          </cell>
          <cell r="H3699">
            <v>5338.87</v>
          </cell>
          <cell r="I3699">
            <v>372.23</v>
          </cell>
        </row>
        <row r="3700">
          <cell r="A3700">
            <v>36984</v>
          </cell>
          <cell r="B3700">
            <v>3853.9</v>
          </cell>
          <cell r="C3700">
            <v>4039.16</v>
          </cell>
          <cell r="D3700">
            <v>310.13</v>
          </cell>
          <cell r="E3700">
            <v>335.78</v>
          </cell>
          <cell r="F3700">
            <v>347.87</v>
          </cell>
          <cell r="G3700">
            <v>282</v>
          </cell>
          <cell r="H3700">
            <v>5203.9799999999996</v>
          </cell>
          <cell r="I3700">
            <v>357.03</v>
          </cell>
        </row>
        <row r="3701">
          <cell r="A3701">
            <v>36985</v>
          </cell>
          <cell r="B3701">
            <v>3872.15</v>
          </cell>
          <cell r="C3701">
            <v>4062.12</v>
          </cell>
          <cell r="D3701">
            <v>311.17</v>
          </cell>
          <cell r="E3701">
            <v>337.53</v>
          </cell>
          <cell r="F3701">
            <v>348.95</v>
          </cell>
          <cell r="G3701">
            <v>282.45999999999998</v>
          </cell>
          <cell r="H3701">
            <v>5198.09</v>
          </cell>
          <cell r="I3701">
            <v>356.12</v>
          </cell>
        </row>
        <row r="3702">
          <cell r="A3702">
            <v>36986</v>
          </cell>
          <cell r="B3702">
            <v>3957.49</v>
          </cell>
          <cell r="C3702">
            <v>4158.1899999999996</v>
          </cell>
          <cell r="D3702">
            <v>317.69</v>
          </cell>
          <cell r="E3702">
            <v>345.07</v>
          </cell>
          <cell r="F3702">
            <v>357.62</v>
          </cell>
          <cell r="G3702">
            <v>287.99</v>
          </cell>
          <cell r="H3702">
            <v>5471.97</v>
          </cell>
          <cell r="I3702">
            <v>378</v>
          </cell>
        </row>
        <row r="3703">
          <cell r="A3703">
            <v>36987</v>
          </cell>
          <cell r="B3703">
            <v>3952.27</v>
          </cell>
          <cell r="C3703">
            <v>4145.8500000000004</v>
          </cell>
          <cell r="D3703">
            <v>316.68</v>
          </cell>
          <cell r="E3703">
            <v>343.85</v>
          </cell>
          <cell r="F3703">
            <v>355.92</v>
          </cell>
          <cell r="G3703">
            <v>287.18</v>
          </cell>
          <cell r="H3703">
            <v>5391.66</v>
          </cell>
          <cell r="I3703">
            <v>372.35</v>
          </cell>
        </row>
        <row r="3704">
          <cell r="A3704">
            <v>36990</v>
          </cell>
          <cell r="B3704">
            <v>4024.15</v>
          </cell>
          <cell r="C3704">
            <v>4204.13</v>
          </cell>
          <cell r="D3704">
            <v>321.42</v>
          </cell>
          <cell r="E3704">
            <v>347.61</v>
          </cell>
          <cell r="F3704">
            <v>360.44</v>
          </cell>
          <cell r="G3704">
            <v>292.58</v>
          </cell>
          <cell r="H3704">
            <v>5496.46</v>
          </cell>
          <cell r="I3704">
            <v>378.1</v>
          </cell>
        </row>
        <row r="3705">
          <cell r="A3705">
            <v>36991</v>
          </cell>
          <cell r="B3705">
            <v>4141.1400000000003</v>
          </cell>
          <cell r="C3705">
            <v>4305.96</v>
          </cell>
          <cell r="D3705">
            <v>329.27</v>
          </cell>
          <cell r="E3705">
            <v>355.4</v>
          </cell>
          <cell r="F3705">
            <v>368.44</v>
          </cell>
          <cell r="G3705">
            <v>300.29000000000002</v>
          </cell>
          <cell r="H3705">
            <v>5679.08</v>
          </cell>
          <cell r="I3705">
            <v>395.46</v>
          </cell>
        </row>
        <row r="3706">
          <cell r="A3706">
            <v>36992</v>
          </cell>
          <cell r="B3706">
            <v>4158.04</v>
          </cell>
          <cell r="C3706">
            <v>4329.2299999999996</v>
          </cell>
          <cell r="D3706">
            <v>330.68</v>
          </cell>
          <cell r="E3706">
            <v>357.53</v>
          </cell>
          <cell r="F3706">
            <v>370.83</v>
          </cell>
          <cell r="G3706">
            <v>301.10000000000002</v>
          </cell>
          <cell r="H3706">
            <v>5685.96</v>
          </cell>
          <cell r="I3706">
            <v>402.07</v>
          </cell>
        </row>
        <row r="3707">
          <cell r="A3707">
            <v>36993</v>
          </cell>
          <cell r="B3707">
            <v>4147.74</v>
          </cell>
          <cell r="C3707">
            <v>4338.12</v>
          </cell>
          <cell r="D3707">
            <v>329.75</v>
          </cell>
          <cell r="E3707">
            <v>358.35</v>
          </cell>
          <cell r="F3707">
            <v>371.06</v>
          </cell>
          <cell r="G3707">
            <v>298.77</v>
          </cell>
          <cell r="H3707">
            <v>5622.47</v>
          </cell>
          <cell r="I3707">
            <v>398.43</v>
          </cell>
        </row>
        <row r="3708">
          <cell r="A3708">
            <v>36998</v>
          </cell>
          <cell r="B3708">
            <v>4126.01</v>
          </cell>
          <cell r="C3708">
            <v>4293.51</v>
          </cell>
          <cell r="D3708">
            <v>329</v>
          </cell>
          <cell r="E3708">
            <v>355.59</v>
          </cell>
          <cell r="F3708">
            <v>368.45</v>
          </cell>
          <cell r="G3708">
            <v>299.66000000000003</v>
          </cell>
          <cell r="H3708">
            <v>5582.23</v>
          </cell>
          <cell r="I3708">
            <v>390.23</v>
          </cell>
        </row>
        <row r="3709">
          <cell r="A3709">
            <v>36999</v>
          </cell>
          <cell r="B3709">
            <v>4224.9399999999996</v>
          </cell>
          <cell r="C3709">
            <v>4441.58</v>
          </cell>
          <cell r="D3709">
            <v>336.7</v>
          </cell>
          <cell r="E3709">
            <v>366.77</v>
          </cell>
          <cell r="F3709">
            <v>379.21</v>
          </cell>
          <cell r="G3709">
            <v>304.39</v>
          </cell>
          <cell r="H3709">
            <v>5885.12</v>
          </cell>
          <cell r="I3709">
            <v>421.25</v>
          </cell>
        </row>
        <row r="3710">
          <cell r="A3710">
            <v>37000</v>
          </cell>
          <cell r="B3710">
            <v>4215.72</v>
          </cell>
          <cell r="C3710">
            <v>4420.55</v>
          </cell>
          <cell r="D3710">
            <v>336.2</v>
          </cell>
          <cell r="E3710">
            <v>365.82</v>
          </cell>
          <cell r="F3710">
            <v>378.72</v>
          </cell>
          <cell r="G3710">
            <v>304.25</v>
          </cell>
          <cell r="H3710">
            <v>6006.91</v>
          </cell>
          <cell r="I3710">
            <v>431.01</v>
          </cell>
        </row>
        <row r="3711">
          <cell r="A3711">
            <v>37001</v>
          </cell>
          <cell r="B3711">
            <v>4169.47</v>
          </cell>
          <cell r="C3711">
            <v>4383.59</v>
          </cell>
          <cell r="D3711">
            <v>333.21</v>
          </cell>
          <cell r="E3711">
            <v>363.23</v>
          </cell>
          <cell r="F3711">
            <v>375.13</v>
          </cell>
          <cell r="G3711">
            <v>301.02</v>
          </cell>
          <cell r="H3711">
            <v>5875.5</v>
          </cell>
          <cell r="I3711">
            <v>424.81</v>
          </cell>
        </row>
        <row r="3712">
          <cell r="A3712">
            <v>37004</v>
          </cell>
          <cell r="B3712">
            <v>4145.8999999999996</v>
          </cell>
          <cell r="C3712">
            <v>4331.54</v>
          </cell>
          <cell r="D3712">
            <v>330.91</v>
          </cell>
          <cell r="E3712">
            <v>358.78</v>
          </cell>
          <cell r="F3712">
            <v>370.43</v>
          </cell>
          <cell r="G3712">
            <v>300.49</v>
          </cell>
          <cell r="H3712">
            <v>5764.56</v>
          </cell>
          <cell r="I3712">
            <v>416.69</v>
          </cell>
        </row>
        <row r="3713">
          <cell r="A3713">
            <v>37005</v>
          </cell>
          <cell r="B3713">
            <v>4165.3100000000004</v>
          </cell>
          <cell r="C3713">
            <v>4372.41</v>
          </cell>
          <cell r="D3713">
            <v>332.3</v>
          </cell>
          <cell r="E3713">
            <v>361.79</v>
          </cell>
          <cell r="F3713">
            <v>373.69</v>
          </cell>
          <cell r="G3713">
            <v>300.56</v>
          </cell>
          <cell r="H3713">
            <v>5775.87</v>
          </cell>
          <cell r="I3713">
            <v>417.18</v>
          </cell>
        </row>
        <row r="3714">
          <cell r="A3714">
            <v>37006</v>
          </cell>
          <cell r="B3714">
            <v>4156.93</v>
          </cell>
          <cell r="C3714">
            <v>4363.1099999999997</v>
          </cell>
          <cell r="D3714">
            <v>331.64</v>
          </cell>
          <cell r="E3714">
            <v>361.13</v>
          </cell>
          <cell r="F3714">
            <v>372.97</v>
          </cell>
          <cell r="G3714">
            <v>299.91000000000003</v>
          </cell>
          <cell r="H3714">
            <v>5803</v>
          </cell>
          <cell r="I3714">
            <v>416.76</v>
          </cell>
        </row>
        <row r="3715">
          <cell r="A3715">
            <v>37007</v>
          </cell>
          <cell r="B3715">
            <v>4179.16</v>
          </cell>
          <cell r="C3715">
            <v>4405.3900000000003</v>
          </cell>
          <cell r="D3715">
            <v>333.33</v>
          </cell>
          <cell r="E3715">
            <v>364.39</v>
          </cell>
          <cell r="F3715">
            <v>375.59</v>
          </cell>
          <cell r="G3715">
            <v>300.3</v>
          </cell>
          <cell r="H3715">
            <v>5847.9</v>
          </cell>
          <cell r="I3715">
            <v>422.64</v>
          </cell>
        </row>
        <row r="3716">
          <cell r="A3716">
            <v>37008</v>
          </cell>
          <cell r="B3716">
            <v>4242.42</v>
          </cell>
          <cell r="C3716">
            <v>4473.95</v>
          </cell>
          <cell r="D3716">
            <v>338.71</v>
          </cell>
          <cell r="E3716">
            <v>369.46</v>
          </cell>
          <cell r="F3716">
            <v>380.59</v>
          </cell>
          <cell r="G3716">
            <v>305.8</v>
          </cell>
          <cell r="H3716">
            <v>6013.99</v>
          </cell>
          <cell r="I3716">
            <v>437.18</v>
          </cell>
        </row>
        <row r="3717">
          <cell r="A3717">
            <v>37011</v>
          </cell>
          <cell r="B3717">
            <v>4277.26</v>
          </cell>
          <cell r="C3717">
            <v>4525.01</v>
          </cell>
          <cell r="D3717">
            <v>342.02</v>
          </cell>
          <cell r="E3717">
            <v>373.97</v>
          </cell>
          <cell r="F3717">
            <v>385.46</v>
          </cell>
          <cell r="G3717">
            <v>308.06</v>
          </cell>
          <cell r="H3717">
            <v>6166.62</v>
          </cell>
          <cell r="I3717">
            <v>452.47</v>
          </cell>
        </row>
        <row r="3718">
          <cell r="A3718">
            <v>37013</v>
          </cell>
          <cell r="B3718">
            <v>4234.87</v>
          </cell>
          <cell r="C3718">
            <v>4494.71</v>
          </cell>
          <cell r="D3718">
            <v>339.41</v>
          </cell>
          <cell r="E3718">
            <v>372.13</v>
          </cell>
          <cell r="F3718">
            <v>383.96</v>
          </cell>
          <cell r="G3718">
            <v>304.91000000000003</v>
          </cell>
          <cell r="H3718">
            <v>6138.71</v>
          </cell>
          <cell r="I3718">
            <v>452.22</v>
          </cell>
        </row>
        <row r="3719">
          <cell r="A3719">
            <v>37014</v>
          </cell>
          <cell r="B3719">
            <v>4141.18</v>
          </cell>
          <cell r="C3719">
            <v>4401.57</v>
          </cell>
          <cell r="D3719">
            <v>333.51</v>
          </cell>
          <cell r="E3719">
            <v>365.19</v>
          </cell>
          <cell r="F3719">
            <v>377.33</v>
          </cell>
          <cell r="G3719">
            <v>299.99</v>
          </cell>
          <cell r="H3719">
            <v>6036.52</v>
          </cell>
          <cell r="I3719">
            <v>441.69</v>
          </cell>
        </row>
        <row r="3720">
          <cell r="A3720">
            <v>37015</v>
          </cell>
          <cell r="B3720">
            <v>4191.6000000000004</v>
          </cell>
          <cell r="C3720">
            <v>4416.79</v>
          </cell>
          <cell r="D3720">
            <v>336.17</v>
          </cell>
          <cell r="E3720">
            <v>365.8</v>
          </cell>
          <cell r="F3720">
            <v>378.63</v>
          </cell>
          <cell r="G3720">
            <v>304.20999999999998</v>
          </cell>
          <cell r="H3720">
            <v>6097.53</v>
          </cell>
          <cell r="I3720">
            <v>446.86</v>
          </cell>
        </row>
        <row r="3721">
          <cell r="A3721">
            <v>37018</v>
          </cell>
          <cell r="B3721">
            <v>4222.4799999999996</v>
          </cell>
          <cell r="C3721">
            <v>4440.6499999999996</v>
          </cell>
          <cell r="D3721">
            <v>338.17</v>
          </cell>
          <cell r="E3721">
            <v>367.53</v>
          </cell>
          <cell r="F3721">
            <v>384.52</v>
          </cell>
          <cell r="G3721">
            <v>308.75</v>
          </cell>
          <cell r="H3721">
            <v>6168.46</v>
          </cell>
          <cell r="I3721">
            <v>447.88</v>
          </cell>
        </row>
        <row r="3722">
          <cell r="A3722">
            <v>37019</v>
          </cell>
          <cell r="B3722">
            <v>4215.08</v>
          </cell>
          <cell r="C3722">
            <v>4441.8599999999997</v>
          </cell>
          <cell r="D3722">
            <v>338.26</v>
          </cell>
          <cell r="E3722">
            <v>367.83</v>
          </cell>
          <cell r="F3722">
            <v>380.95</v>
          </cell>
          <cell r="G3722">
            <v>306.31</v>
          </cell>
          <cell r="H3722">
            <v>6092.43</v>
          </cell>
          <cell r="I3722">
            <v>445.54</v>
          </cell>
        </row>
        <row r="3723">
          <cell r="A3723">
            <v>37020</v>
          </cell>
          <cell r="B3723">
            <v>4197.12</v>
          </cell>
          <cell r="C3723">
            <v>4415.99</v>
          </cell>
          <cell r="D3723">
            <v>336.54</v>
          </cell>
          <cell r="E3723">
            <v>365.86</v>
          </cell>
          <cell r="F3723">
            <v>378.59</v>
          </cell>
          <cell r="G3723">
            <v>304.83</v>
          </cell>
          <cell r="H3723">
            <v>6042.4</v>
          </cell>
          <cell r="I3723">
            <v>439.22</v>
          </cell>
        </row>
        <row r="3724">
          <cell r="A3724">
            <v>37021</v>
          </cell>
          <cell r="B3724">
            <v>4287.13</v>
          </cell>
          <cell r="C3724">
            <v>4519.04</v>
          </cell>
          <cell r="D3724">
            <v>342.56</v>
          </cell>
          <cell r="E3724">
            <v>372.73</v>
          </cell>
          <cell r="F3724">
            <v>385.62</v>
          </cell>
          <cell r="G3724">
            <v>310.02999999999997</v>
          </cell>
          <cell r="H3724">
            <v>6175.63</v>
          </cell>
          <cell r="I3724">
            <v>451.6</v>
          </cell>
        </row>
        <row r="3725">
          <cell r="A3725">
            <v>37022</v>
          </cell>
          <cell r="B3725">
            <v>4262.99</v>
          </cell>
          <cell r="C3725">
            <v>4479.8999999999996</v>
          </cell>
          <cell r="D3725">
            <v>340.96</v>
          </cell>
          <cell r="E3725">
            <v>370.77</v>
          </cell>
          <cell r="F3725">
            <v>384.52</v>
          </cell>
          <cell r="G3725">
            <v>308.75</v>
          </cell>
          <cell r="H3725">
            <v>6168.46</v>
          </cell>
          <cell r="I3725">
            <v>447.88</v>
          </cell>
        </row>
        <row r="3726">
          <cell r="A3726">
            <v>37025</v>
          </cell>
          <cell r="B3726">
            <v>4169.59</v>
          </cell>
          <cell r="C3726">
            <v>4426.78</v>
          </cell>
          <cell r="D3726">
            <v>335.39</v>
          </cell>
          <cell r="E3726">
            <v>367.26</v>
          </cell>
          <cell r="F3726">
            <v>381.11</v>
          </cell>
          <cell r="G3726">
            <v>301.67</v>
          </cell>
          <cell r="H3726">
            <v>6082.99</v>
          </cell>
          <cell r="I3726">
            <v>438.99</v>
          </cell>
        </row>
        <row r="3727">
          <cell r="A3727">
            <v>37026</v>
          </cell>
          <cell r="B3727">
            <v>4230.8500000000004</v>
          </cell>
          <cell r="C3727">
            <v>4453.95</v>
          </cell>
          <cell r="D3727">
            <v>339</v>
          </cell>
          <cell r="E3727">
            <v>368.84</v>
          </cell>
          <cell r="F3727">
            <v>382.83</v>
          </cell>
          <cell r="G3727">
            <v>306.82</v>
          </cell>
          <cell r="H3727">
            <v>6076.29</v>
          </cell>
          <cell r="I3727">
            <v>438.94</v>
          </cell>
        </row>
        <row r="3728">
          <cell r="A3728">
            <v>37027</v>
          </cell>
          <cell r="B3728">
            <v>4237.3100000000004</v>
          </cell>
          <cell r="C3728">
            <v>4449.6099999999997</v>
          </cell>
          <cell r="D3728">
            <v>339.51</v>
          </cell>
          <cell r="E3728">
            <v>368.42</v>
          </cell>
          <cell r="F3728">
            <v>382.66</v>
          </cell>
          <cell r="G3728">
            <v>308.05</v>
          </cell>
          <cell r="H3728">
            <v>6072.93</v>
          </cell>
          <cell r="I3728">
            <v>437.8</v>
          </cell>
        </row>
        <row r="3729">
          <cell r="A3729">
            <v>37028</v>
          </cell>
          <cell r="B3729">
            <v>4280.6499999999996</v>
          </cell>
          <cell r="C3729">
            <v>4504.26</v>
          </cell>
          <cell r="D3729">
            <v>342.71</v>
          </cell>
          <cell r="E3729">
            <v>372.65</v>
          </cell>
          <cell r="F3729">
            <v>387.12</v>
          </cell>
          <cell r="G3729">
            <v>310.36</v>
          </cell>
          <cell r="H3729">
            <v>6258.42</v>
          </cell>
          <cell r="I3729">
            <v>455.25</v>
          </cell>
        </row>
        <row r="3730">
          <cell r="A3730">
            <v>37029</v>
          </cell>
          <cell r="B3730">
            <v>4322.5600000000004</v>
          </cell>
          <cell r="C3730">
            <v>4546.41</v>
          </cell>
          <cell r="D3730">
            <v>346.09</v>
          </cell>
          <cell r="E3730">
            <v>375.77</v>
          </cell>
          <cell r="F3730">
            <v>390.3</v>
          </cell>
          <cell r="G3730">
            <v>313.86</v>
          </cell>
          <cell r="H3730">
            <v>6352.19</v>
          </cell>
          <cell r="I3730">
            <v>465.36</v>
          </cell>
        </row>
        <row r="3731">
          <cell r="A3731">
            <v>37032</v>
          </cell>
          <cell r="B3731">
            <v>4348.93</v>
          </cell>
          <cell r="C3731">
            <v>4558.76</v>
          </cell>
          <cell r="D3731">
            <v>347.72</v>
          </cell>
          <cell r="E3731">
            <v>376.1</v>
          </cell>
          <cell r="F3731">
            <v>391.54</v>
          </cell>
          <cell r="G3731">
            <v>316.49</v>
          </cell>
          <cell r="H3731">
            <v>6469.05</v>
          </cell>
          <cell r="I3731">
            <v>474.37</v>
          </cell>
        </row>
        <row r="3732">
          <cell r="A3732">
            <v>37033</v>
          </cell>
          <cell r="B3732">
            <v>4377.09</v>
          </cell>
          <cell r="C3732">
            <v>4582.07</v>
          </cell>
          <cell r="D3732">
            <v>350.74</v>
          </cell>
          <cell r="E3732">
            <v>378.42</v>
          </cell>
          <cell r="F3732">
            <v>394.01</v>
          </cell>
          <cell r="G3732">
            <v>319.99</v>
          </cell>
          <cell r="H3732">
            <v>6505.54</v>
          </cell>
          <cell r="I3732">
            <v>478.72</v>
          </cell>
        </row>
        <row r="3733">
          <cell r="A3733">
            <v>37034</v>
          </cell>
          <cell r="B3733">
            <v>4337.0200000000004</v>
          </cell>
          <cell r="C3733">
            <v>4535.97</v>
          </cell>
          <cell r="D3733">
            <v>347.89</v>
          </cell>
          <cell r="E3733">
            <v>375.24</v>
          </cell>
          <cell r="F3733">
            <v>391.02</v>
          </cell>
          <cell r="G3733">
            <v>317.47000000000003</v>
          </cell>
          <cell r="H3733">
            <v>6392.86</v>
          </cell>
          <cell r="I3733">
            <v>468.24</v>
          </cell>
        </row>
        <row r="3734">
          <cell r="A3734">
            <v>37035</v>
          </cell>
          <cell r="B3734">
            <v>4343.28</v>
          </cell>
          <cell r="C3734">
            <v>4561.38</v>
          </cell>
          <cell r="D3734">
            <v>347.71</v>
          </cell>
          <cell r="E3734">
            <v>376.65</v>
          </cell>
          <cell r="F3734">
            <v>392.16</v>
          </cell>
          <cell r="G3734">
            <v>316.02999999999997</v>
          </cell>
          <cell r="H3734">
            <v>6390.09</v>
          </cell>
          <cell r="I3734">
            <v>468.12</v>
          </cell>
        </row>
        <row r="3735">
          <cell r="A3735">
            <v>37036</v>
          </cell>
          <cell r="B3735">
            <v>4315.1899999999996</v>
          </cell>
          <cell r="C3735">
            <v>4498.1099999999997</v>
          </cell>
          <cell r="D3735">
            <v>346</v>
          </cell>
          <cell r="E3735">
            <v>372.41</v>
          </cell>
          <cell r="F3735">
            <v>388.45</v>
          </cell>
          <cell r="G3735">
            <v>316.37</v>
          </cell>
          <cell r="H3735">
            <v>6362.54</v>
          </cell>
          <cell r="I3735">
            <v>462.43</v>
          </cell>
        </row>
        <row r="3736">
          <cell r="A3736">
            <v>37039</v>
          </cell>
          <cell r="B3736">
            <v>4319.13</v>
          </cell>
          <cell r="C3736">
            <v>4512.6000000000004</v>
          </cell>
          <cell r="D3736">
            <v>346.41</v>
          </cell>
          <cell r="E3736">
            <v>373.67</v>
          </cell>
          <cell r="F3736">
            <v>389.31</v>
          </cell>
          <cell r="G3736">
            <v>316.11</v>
          </cell>
          <cell r="H3736">
            <v>6364.14</v>
          </cell>
          <cell r="I3736">
            <v>461.83</v>
          </cell>
        </row>
        <row r="3737">
          <cell r="A3737">
            <v>37040</v>
          </cell>
          <cell r="B3737">
            <v>4297.83</v>
          </cell>
          <cell r="C3737">
            <v>4477.95</v>
          </cell>
          <cell r="D3737">
            <v>344.79</v>
          </cell>
          <cell r="E3737">
            <v>370.48</v>
          </cell>
          <cell r="F3737">
            <v>386.25</v>
          </cell>
          <cell r="G3737">
            <v>315.77</v>
          </cell>
          <cell r="H3737">
            <v>6286.66</v>
          </cell>
          <cell r="I3737">
            <v>455.5</v>
          </cell>
        </row>
        <row r="3738">
          <cell r="A3738">
            <v>37041</v>
          </cell>
          <cell r="B3738">
            <v>4238.45</v>
          </cell>
          <cell r="C3738">
            <v>4413.37</v>
          </cell>
          <cell r="D3738">
            <v>340.83</v>
          </cell>
          <cell r="E3738">
            <v>365.21</v>
          </cell>
          <cell r="F3738">
            <v>381</v>
          </cell>
          <cell r="G3738">
            <v>312.95</v>
          </cell>
          <cell r="H3738">
            <v>6149.22</v>
          </cell>
          <cell r="I3738">
            <v>441.68</v>
          </cell>
        </row>
        <row r="3739">
          <cell r="A3739">
            <v>37042</v>
          </cell>
          <cell r="B3739">
            <v>4245.9799999999996</v>
          </cell>
          <cell r="C3739">
            <v>4426.24</v>
          </cell>
          <cell r="D3739">
            <v>341.97</v>
          </cell>
          <cell r="E3739">
            <v>366.47</v>
          </cell>
          <cell r="F3739">
            <v>381.68</v>
          </cell>
          <cell r="G3739">
            <v>313.98</v>
          </cell>
          <cell r="H3739">
            <v>6168.52</v>
          </cell>
          <cell r="I3739">
            <v>441.48</v>
          </cell>
        </row>
        <row r="3740">
          <cell r="A3740">
            <v>37043</v>
          </cell>
          <cell r="B3740">
            <v>4246.9399999999996</v>
          </cell>
          <cell r="C3740">
            <v>4414.95</v>
          </cell>
          <cell r="D3740">
            <v>341.57</v>
          </cell>
          <cell r="E3740">
            <v>365.28</v>
          </cell>
          <cell r="F3740">
            <v>380.62</v>
          </cell>
          <cell r="G3740">
            <v>314.22000000000003</v>
          </cell>
          <cell r="H3740">
            <v>6092.18</v>
          </cell>
          <cell r="I3740">
            <v>437.55</v>
          </cell>
        </row>
        <row r="3741">
          <cell r="A3741">
            <v>37046</v>
          </cell>
          <cell r="B3741">
            <v>4269.1099999999997</v>
          </cell>
          <cell r="C3741">
            <v>4432.6499999999996</v>
          </cell>
          <cell r="D3741">
            <v>343.02</v>
          </cell>
          <cell r="E3741">
            <v>366.24</v>
          </cell>
          <cell r="F3741">
            <v>381.48</v>
          </cell>
          <cell r="G3741">
            <v>316.02999999999997</v>
          </cell>
          <cell r="H3741">
            <v>6097.01</v>
          </cell>
          <cell r="I3741">
            <v>438.18</v>
          </cell>
        </row>
        <row r="3742">
          <cell r="A3742">
            <v>37047</v>
          </cell>
          <cell r="B3742">
            <v>4315.21</v>
          </cell>
          <cell r="C3742">
            <v>4493.93</v>
          </cell>
          <cell r="D3742">
            <v>345.84</v>
          </cell>
          <cell r="E3742">
            <v>370.78</v>
          </cell>
          <cell r="F3742">
            <v>386.24</v>
          </cell>
          <cell r="G3742">
            <v>317.39</v>
          </cell>
          <cell r="H3742">
            <v>6235.97</v>
          </cell>
          <cell r="I3742">
            <v>449.84</v>
          </cell>
        </row>
        <row r="3743">
          <cell r="A3743">
            <v>37048</v>
          </cell>
          <cell r="B3743">
            <v>4276.96</v>
          </cell>
          <cell r="C3743">
            <v>4468.95</v>
          </cell>
          <cell r="D3743">
            <v>343.39</v>
          </cell>
          <cell r="E3743">
            <v>369.43</v>
          </cell>
          <cell r="F3743">
            <v>384.56</v>
          </cell>
          <cell r="G3743">
            <v>314.12</v>
          </cell>
          <cell r="H3743">
            <v>6182.26</v>
          </cell>
          <cell r="I3743">
            <v>447.7</v>
          </cell>
        </row>
        <row r="3744">
          <cell r="A3744">
            <v>37049</v>
          </cell>
          <cell r="B3744">
            <v>4273.4799999999996</v>
          </cell>
          <cell r="C3744">
            <v>4450.41</v>
          </cell>
          <cell r="D3744">
            <v>342.98</v>
          </cell>
          <cell r="E3744">
            <v>368.33</v>
          </cell>
          <cell r="F3744">
            <v>383.08</v>
          </cell>
          <cell r="G3744">
            <v>314.29000000000002</v>
          </cell>
          <cell r="H3744">
            <v>6096.69</v>
          </cell>
          <cell r="I3744">
            <v>442.26</v>
          </cell>
        </row>
        <row r="3745">
          <cell r="A3745">
            <v>37050</v>
          </cell>
          <cell r="B3745">
            <v>4257.93</v>
          </cell>
          <cell r="C3745">
            <v>4450.97</v>
          </cell>
          <cell r="D3745">
            <v>341.76</v>
          </cell>
          <cell r="E3745">
            <v>368.39</v>
          </cell>
          <cell r="F3745">
            <v>382.6</v>
          </cell>
          <cell r="G3745">
            <v>312.05</v>
          </cell>
          <cell r="H3745">
            <v>6062.19</v>
          </cell>
          <cell r="I3745">
            <v>438.22</v>
          </cell>
        </row>
        <row r="3746">
          <cell r="A3746">
            <v>37053</v>
          </cell>
          <cell r="B3746">
            <v>4220.3900000000003</v>
          </cell>
          <cell r="C3746">
            <v>4424.92</v>
          </cell>
          <cell r="D3746">
            <v>338.97</v>
          </cell>
          <cell r="E3746">
            <v>365.96</v>
          </cell>
          <cell r="F3746">
            <v>380.13</v>
          </cell>
          <cell r="G3746">
            <v>309.02999999999997</v>
          </cell>
          <cell r="H3746">
            <v>5979.47</v>
          </cell>
          <cell r="I3746">
            <v>429.43</v>
          </cell>
        </row>
        <row r="3747">
          <cell r="A3747">
            <v>37054</v>
          </cell>
          <cell r="B3747">
            <v>4119.57</v>
          </cell>
          <cell r="C3747">
            <v>4289.07</v>
          </cell>
          <cell r="D3747">
            <v>332.54</v>
          </cell>
          <cell r="E3747">
            <v>356.22</v>
          </cell>
          <cell r="F3747">
            <v>371.04</v>
          </cell>
          <cell r="G3747">
            <v>305.38</v>
          </cell>
          <cell r="H3747">
            <v>5739.02</v>
          </cell>
          <cell r="I3747">
            <v>388.72</v>
          </cell>
        </row>
        <row r="3748">
          <cell r="A3748">
            <v>37055</v>
          </cell>
          <cell r="B3748">
            <v>4157.8599999999997</v>
          </cell>
          <cell r="C3748">
            <v>4336</v>
          </cell>
          <cell r="D3748">
            <v>335.07</v>
          </cell>
          <cell r="E3748">
            <v>359.19</v>
          </cell>
          <cell r="F3748">
            <v>374.13</v>
          </cell>
          <cell r="G3748">
            <v>307.55</v>
          </cell>
          <cell r="H3748">
            <v>5841.68</v>
          </cell>
          <cell r="I3748">
            <v>398.22</v>
          </cell>
        </row>
        <row r="3749">
          <cell r="A3749">
            <v>37056</v>
          </cell>
          <cell r="B3749">
            <v>4097.17</v>
          </cell>
          <cell r="C3749">
            <v>4282.1000000000004</v>
          </cell>
          <cell r="D3749">
            <v>330.07</v>
          </cell>
          <cell r="E3749">
            <v>354.24</v>
          </cell>
          <cell r="F3749">
            <v>368.76</v>
          </cell>
          <cell r="G3749">
            <v>302.63</v>
          </cell>
          <cell r="H3749">
            <v>5659.65</v>
          </cell>
          <cell r="I3749">
            <v>382.22</v>
          </cell>
        </row>
        <row r="3750">
          <cell r="A3750">
            <v>37057</v>
          </cell>
          <cell r="B3750">
            <v>4073.77</v>
          </cell>
          <cell r="C3750">
            <v>4236.8999999999996</v>
          </cell>
          <cell r="D3750">
            <v>327.89</v>
          </cell>
          <cell r="E3750">
            <v>350.14</v>
          </cell>
          <cell r="F3750">
            <v>365.32</v>
          </cell>
          <cell r="G3750">
            <v>302.04000000000002</v>
          </cell>
          <cell r="H3750">
            <v>5717.14</v>
          </cell>
          <cell r="I3750">
            <v>385.02</v>
          </cell>
        </row>
        <row r="3751">
          <cell r="A3751">
            <v>37060</v>
          </cell>
          <cell r="B3751">
            <v>4017.01</v>
          </cell>
          <cell r="C3751">
            <v>4168.95</v>
          </cell>
          <cell r="D3751">
            <v>324.92</v>
          </cell>
          <cell r="E3751">
            <v>346.08</v>
          </cell>
          <cell r="F3751">
            <v>361.9</v>
          </cell>
          <cell r="G3751">
            <v>300.02999999999997</v>
          </cell>
          <cell r="H3751">
            <v>5712.67</v>
          </cell>
          <cell r="I3751">
            <v>384.63</v>
          </cell>
        </row>
        <row r="3752">
          <cell r="A3752">
            <v>37061</v>
          </cell>
          <cell r="B3752">
            <v>4033.89</v>
          </cell>
          <cell r="C3752">
            <v>4195.43</v>
          </cell>
          <cell r="D3752">
            <v>326.52</v>
          </cell>
          <cell r="E3752">
            <v>348.23</v>
          </cell>
          <cell r="F3752">
            <v>363.17</v>
          </cell>
          <cell r="G3752">
            <v>301.14999999999998</v>
          </cell>
          <cell r="H3752">
            <v>5698.94</v>
          </cell>
          <cell r="I3752">
            <v>386.76</v>
          </cell>
        </row>
        <row r="3753">
          <cell r="A3753">
            <v>37062</v>
          </cell>
          <cell r="B3753">
            <v>4029.07</v>
          </cell>
          <cell r="C3753">
            <v>4175.88</v>
          </cell>
          <cell r="D3753">
            <v>325.37</v>
          </cell>
          <cell r="E3753">
            <v>346</v>
          </cell>
          <cell r="F3753">
            <v>360.8</v>
          </cell>
          <cell r="G3753">
            <v>300.89999999999998</v>
          </cell>
          <cell r="H3753">
            <v>5638.16</v>
          </cell>
          <cell r="I3753">
            <v>380.21</v>
          </cell>
        </row>
        <row r="3754">
          <cell r="A3754">
            <v>37063</v>
          </cell>
          <cell r="B3754">
            <v>4030.48</v>
          </cell>
          <cell r="C3754">
            <v>4174.0600000000004</v>
          </cell>
          <cell r="D3754">
            <v>325.67</v>
          </cell>
          <cell r="E3754">
            <v>345.76</v>
          </cell>
          <cell r="F3754">
            <v>360.79</v>
          </cell>
          <cell r="G3754">
            <v>301.62</v>
          </cell>
          <cell r="H3754">
            <v>5665.8</v>
          </cell>
          <cell r="I3754">
            <v>382.61</v>
          </cell>
        </row>
        <row r="3755">
          <cell r="A3755">
            <v>37064</v>
          </cell>
          <cell r="B3755">
            <v>4032.99</v>
          </cell>
          <cell r="C3755">
            <v>4194.96</v>
          </cell>
          <cell r="D3755">
            <v>326.2</v>
          </cell>
          <cell r="E3755">
            <v>347.69</v>
          </cell>
          <cell r="F3755">
            <v>362.02</v>
          </cell>
          <cell r="G3755">
            <v>301.02</v>
          </cell>
          <cell r="H3755">
            <v>5677.81</v>
          </cell>
          <cell r="I3755">
            <v>383.29</v>
          </cell>
        </row>
        <row r="3756">
          <cell r="A3756">
            <v>37067</v>
          </cell>
          <cell r="B3756">
            <v>4031.98</v>
          </cell>
          <cell r="C3756">
            <v>4211.7700000000004</v>
          </cell>
          <cell r="D3756">
            <v>325.95</v>
          </cell>
          <cell r="E3756">
            <v>348.34</v>
          </cell>
          <cell r="F3756">
            <v>362.69</v>
          </cell>
          <cell r="G3756">
            <v>300.04000000000002</v>
          </cell>
          <cell r="H3756">
            <v>5710.81</v>
          </cell>
          <cell r="I3756">
            <v>384.16</v>
          </cell>
        </row>
        <row r="3757">
          <cell r="A3757">
            <v>37068</v>
          </cell>
          <cell r="B3757">
            <v>3960.72</v>
          </cell>
          <cell r="C3757">
            <v>4143.75</v>
          </cell>
          <cell r="D3757">
            <v>320.81</v>
          </cell>
          <cell r="E3757">
            <v>342.97</v>
          </cell>
          <cell r="F3757">
            <v>357.26</v>
          </cell>
          <cell r="G3757">
            <v>295.20999999999998</v>
          </cell>
          <cell r="H3757">
            <v>5629.38</v>
          </cell>
          <cell r="I3757">
            <v>378.17</v>
          </cell>
        </row>
        <row r="3758">
          <cell r="A3758">
            <v>37069</v>
          </cell>
          <cell r="B3758">
            <v>3960.87</v>
          </cell>
          <cell r="C3758">
            <v>4124.24</v>
          </cell>
          <cell r="D3758">
            <v>321.67</v>
          </cell>
          <cell r="E3758">
            <v>342.14</v>
          </cell>
          <cell r="F3758">
            <v>356.26</v>
          </cell>
          <cell r="G3758">
            <v>297.41000000000003</v>
          </cell>
          <cell r="H3758">
            <v>5666.91</v>
          </cell>
          <cell r="I3758">
            <v>379.62</v>
          </cell>
        </row>
        <row r="3759">
          <cell r="A3759">
            <v>37070</v>
          </cell>
          <cell r="B3759">
            <v>4014.35</v>
          </cell>
          <cell r="C3759">
            <v>4169.49</v>
          </cell>
          <cell r="D3759">
            <v>326.41000000000003</v>
          </cell>
          <cell r="E3759">
            <v>345.71</v>
          </cell>
          <cell r="F3759">
            <v>361.01</v>
          </cell>
          <cell r="G3759">
            <v>303</v>
          </cell>
          <cell r="H3759">
            <v>5804.3</v>
          </cell>
          <cell r="I3759">
            <v>387.17</v>
          </cell>
        </row>
        <row r="3760">
          <cell r="A3760">
            <v>37071</v>
          </cell>
          <cell r="B3760">
            <v>4057.64</v>
          </cell>
          <cell r="C3760">
            <v>4243.91</v>
          </cell>
          <cell r="D3760">
            <v>329.35</v>
          </cell>
          <cell r="E3760">
            <v>350.99</v>
          </cell>
          <cell r="F3760">
            <v>366.07</v>
          </cell>
          <cell r="G3760">
            <v>303.97000000000003</v>
          </cell>
          <cell r="H3760">
            <v>5843.7</v>
          </cell>
          <cell r="I3760">
            <v>394.01</v>
          </cell>
        </row>
        <row r="3761">
          <cell r="A3761">
            <v>37074</v>
          </cell>
          <cell r="B3761">
            <v>4132.6400000000003</v>
          </cell>
          <cell r="C3761">
            <v>4304.4399999999996</v>
          </cell>
          <cell r="D3761">
            <v>333.79</v>
          </cell>
          <cell r="E3761">
            <v>355.21</v>
          </cell>
          <cell r="F3761">
            <v>370.34</v>
          </cell>
          <cell r="G3761">
            <v>308.48</v>
          </cell>
          <cell r="H3761">
            <v>5882.91</v>
          </cell>
          <cell r="I3761">
            <v>398.07</v>
          </cell>
        </row>
        <row r="3762">
          <cell r="A3762">
            <v>37075</v>
          </cell>
          <cell r="B3762">
            <v>4062.17</v>
          </cell>
          <cell r="C3762">
            <v>4243.8</v>
          </cell>
          <cell r="D3762">
            <v>328.92</v>
          </cell>
          <cell r="E3762">
            <v>351.47</v>
          </cell>
          <cell r="F3762">
            <v>366.69</v>
          </cell>
          <cell r="G3762">
            <v>302.81</v>
          </cell>
          <cell r="H3762">
            <v>5875.21</v>
          </cell>
          <cell r="I3762">
            <v>395.45</v>
          </cell>
        </row>
        <row r="3763">
          <cell r="A3763">
            <v>37076</v>
          </cell>
          <cell r="B3763">
            <v>4038.3</v>
          </cell>
          <cell r="C3763">
            <v>4214.62</v>
          </cell>
          <cell r="D3763">
            <v>327.16000000000003</v>
          </cell>
          <cell r="E3763">
            <v>349.2</v>
          </cell>
          <cell r="F3763">
            <v>364</v>
          </cell>
          <cell r="G3763">
            <v>301.51</v>
          </cell>
          <cell r="H3763">
            <v>5806.02</v>
          </cell>
          <cell r="I3763">
            <v>387.59</v>
          </cell>
        </row>
        <row r="3764">
          <cell r="A3764">
            <v>37077</v>
          </cell>
          <cell r="B3764">
            <v>4016.06</v>
          </cell>
          <cell r="C3764">
            <v>4185.47</v>
          </cell>
          <cell r="D3764">
            <v>325.27</v>
          </cell>
          <cell r="E3764">
            <v>346.87</v>
          </cell>
          <cell r="F3764">
            <v>361.22</v>
          </cell>
          <cell r="G3764">
            <v>300.02</v>
          </cell>
          <cell r="H3764">
            <v>5713.07</v>
          </cell>
          <cell r="I3764">
            <v>377.56</v>
          </cell>
        </row>
        <row r="3765">
          <cell r="A3765">
            <v>37078</v>
          </cell>
          <cell r="B3765">
            <v>3914.89</v>
          </cell>
          <cell r="C3765">
            <v>4076.47</v>
          </cell>
          <cell r="D3765">
            <v>318.37</v>
          </cell>
          <cell r="E3765">
            <v>338.81</v>
          </cell>
          <cell r="F3765">
            <v>352.8</v>
          </cell>
          <cell r="G3765">
            <v>294.22000000000003</v>
          </cell>
          <cell r="H3765">
            <v>5514.62</v>
          </cell>
          <cell r="I3765">
            <v>361.91</v>
          </cell>
        </row>
        <row r="3766">
          <cell r="A3766">
            <v>37081</v>
          </cell>
          <cell r="B3766">
            <v>3908.85</v>
          </cell>
          <cell r="C3766">
            <v>4077.86</v>
          </cell>
          <cell r="D3766">
            <v>317.86</v>
          </cell>
          <cell r="E3766">
            <v>338.8</v>
          </cell>
          <cell r="F3766">
            <v>352.81</v>
          </cell>
          <cell r="G3766">
            <v>293.32</v>
          </cell>
          <cell r="H3766">
            <v>5507.17</v>
          </cell>
          <cell r="I3766">
            <v>358.75</v>
          </cell>
        </row>
        <row r="3767">
          <cell r="A3767">
            <v>37082</v>
          </cell>
          <cell r="B3767">
            <v>3866.52</v>
          </cell>
          <cell r="C3767">
            <v>4032.97</v>
          </cell>
          <cell r="D3767">
            <v>315.49</v>
          </cell>
          <cell r="E3767">
            <v>336.19</v>
          </cell>
          <cell r="F3767">
            <v>349.88</v>
          </cell>
          <cell r="G3767">
            <v>291.2</v>
          </cell>
          <cell r="H3767">
            <v>5486.95</v>
          </cell>
          <cell r="I3767">
            <v>355.31</v>
          </cell>
        </row>
        <row r="3768">
          <cell r="A3768">
            <v>37083</v>
          </cell>
          <cell r="B3768">
            <v>3790.78</v>
          </cell>
          <cell r="C3768">
            <v>3974.64</v>
          </cell>
          <cell r="D3768">
            <v>310.77999999999997</v>
          </cell>
          <cell r="E3768">
            <v>331.88</v>
          </cell>
          <cell r="F3768">
            <v>345.72</v>
          </cell>
          <cell r="G3768">
            <v>286.27999999999997</v>
          </cell>
          <cell r="H3768">
            <v>5424.21</v>
          </cell>
          <cell r="I3768">
            <v>349.15</v>
          </cell>
        </row>
        <row r="3769">
          <cell r="A3769">
            <v>37084</v>
          </cell>
          <cell r="B3769">
            <v>3865.82</v>
          </cell>
          <cell r="C3769">
            <v>4010.85</v>
          </cell>
          <cell r="D3769">
            <v>315.45999999999998</v>
          </cell>
          <cell r="E3769">
            <v>334.74</v>
          </cell>
          <cell r="F3769">
            <v>349.6</v>
          </cell>
          <cell r="G3769">
            <v>292.32</v>
          </cell>
          <cell r="H3769">
            <v>5500.67</v>
          </cell>
          <cell r="I3769">
            <v>359.28</v>
          </cell>
        </row>
        <row r="3770">
          <cell r="A3770">
            <v>37085</v>
          </cell>
          <cell r="B3770">
            <v>3895.4</v>
          </cell>
          <cell r="C3770">
            <v>4044.42</v>
          </cell>
          <cell r="D3770">
            <v>317.17</v>
          </cell>
          <cell r="E3770">
            <v>337.07</v>
          </cell>
          <cell r="F3770">
            <v>351.65</v>
          </cell>
          <cell r="G3770">
            <v>293.48</v>
          </cell>
          <cell r="H3770">
            <v>5530.1</v>
          </cell>
          <cell r="I3770">
            <v>358.11</v>
          </cell>
        </row>
        <row r="3771">
          <cell r="A3771">
            <v>37088</v>
          </cell>
          <cell r="B3771">
            <v>3865.85</v>
          </cell>
          <cell r="C3771">
            <v>4011.59</v>
          </cell>
          <cell r="D3771">
            <v>315.06</v>
          </cell>
          <cell r="E3771">
            <v>334.7</v>
          </cell>
          <cell r="F3771">
            <v>349.62</v>
          </cell>
          <cell r="G3771">
            <v>291.63</v>
          </cell>
          <cell r="H3771">
            <v>5489.07</v>
          </cell>
          <cell r="I3771">
            <v>353.18</v>
          </cell>
        </row>
        <row r="3772">
          <cell r="A3772">
            <v>37089</v>
          </cell>
          <cell r="B3772">
            <v>3822.71</v>
          </cell>
          <cell r="C3772">
            <v>3996.05</v>
          </cell>
          <cell r="D3772">
            <v>311.92</v>
          </cell>
          <cell r="E3772">
            <v>332.95</v>
          </cell>
          <cell r="F3772">
            <v>347.9</v>
          </cell>
          <cell r="G3772">
            <v>287.44</v>
          </cell>
          <cell r="H3772">
            <v>5429.31</v>
          </cell>
          <cell r="I3772">
            <v>348.12</v>
          </cell>
        </row>
        <row r="3773">
          <cell r="A3773">
            <v>37090</v>
          </cell>
          <cell r="B3773">
            <v>3768.19</v>
          </cell>
          <cell r="C3773">
            <v>3911.3</v>
          </cell>
          <cell r="D3773">
            <v>308.37</v>
          </cell>
          <cell r="E3773">
            <v>327.55</v>
          </cell>
          <cell r="F3773">
            <v>342.89</v>
          </cell>
          <cell r="G3773">
            <v>285.47000000000003</v>
          </cell>
          <cell r="H3773">
            <v>5349.86</v>
          </cell>
          <cell r="I3773">
            <v>344.11</v>
          </cell>
        </row>
        <row r="3774">
          <cell r="A3774">
            <v>37091</v>
          </cell>
          <cell r="B3774">
            <v>3849.38</v>
          </cell>
          <cell r="C3774">
            <v>3991.08</v>
          </cell>
          <cell r="D3774">
            <v>313.41000000000003</v>
          </cell>
          <cell r="E3774">
            <v>333.06</v>
          </cell>
          <cell r="F3774">
            <v>348.84</v>
          </cell>
          <cell r="G3774">
            <v>290.02</v>
          </cell>
          <cell r="H3774">
            <v>5516.68</v>
          </cell>
          <cell r="I3774">
            <v>362.07</v>
          </cell>
        </row>
        <row r="3775">
          <cell r="A3775">
            <v>37092</v>
          </cell>
          <cell r="B3775">
            <v>3809.15</v>
          </cell>
          <cell r="C3775">
            <v>3947.49</v>
          </cell>
          <cell r="D3775">
            <v>310.5</v>
          </cell>
          <cell r="E3775">
            <v>329.85</v>
          </cell>
          <cell r="F3775">
            <v>345.57</v>
          </cell>
          <cell r="G3775">
            <v>287.42</v>
          </cell>
          <cell r="H3775">
            <v>5442.96</v>
          </cell>
          <cell r="I3775">
            <v>354.72</v>
          </cell>
        </row>
        <row r="3776">
          <cell r="A3776">
            <v>37095</v>
          </cell>
          <cell r="B3776">
            <v>3823.84</v>
          </cell>
          <cell r="C3776">
            <v>3977.18</v>
          </cell>
          <cell r="D3776">
            <v>311.2</v>
          </cell>
          <cell r="E3776">
            <v>331.86</v>
          </cell>
          <cell r="F3776">
            <v>347.02</v>
          </cell>
          <cell r="G3776">
            <v>287.04000000000002</v>
          </cell>
          <cell r="H3776">
            <v>5440.62</v>
          </cell>
          <cell r="I3776">
            <v>354.57</v>
          </cell>
        </row>
        <row r="3777">
          <cell r="A3777">
            <v>37096</v>
          </cell>
          <cell r="B3777">
            <v>3762.97</v>
          </cell>
          <cell r="C3777">
            <v>3930.11</v>
          </cell>
          <cell r="D3777">
            <v>306.54000000000002</v>
          </cell>
          <cell r="E3777">
            <v>328.48</v>
          </cell>
          <cell r="F3777">
            <v>342.8</v>
          </cell>
          <cell r="G3777">
            <v>281.45999999999998</v>
          </cell>
          <cell r="H3777">
            <v>5370.48</v>
          </cell>
          <cell r="I3777">
            <v>351.49</v>
          </cell>
        </row>
        <row r="3778">
          <cell r="A3778">
            <v>37097</v>
          </cell>
          <cell r="B3778">
            <v>3711.04</v>
          </cell>
          <cell r="C3778">
            <v>3860.7</v>
          </cell>
          <cell r="D3778">
            <v>302.24</v>
          </cell>
          <cell r="E3778">
            <v>323.36</v>
          </cell>
          <cell r="F3778">
            <v>337.32</v>
          </cell>
          <cell r="G3778">
            <v>277.93</v>
          </cell>
          <cell r="H3778">
            <v>5287.28</v>
          </cell>
          <cell r="I3778">
            <v>346.78</v>
          </cell>
        </row>
        <row r="3779">
          <cell r="A3779">
            <v>37098</v>
          </cell>
          <cell r="B3779">
            <v>3750.87</v>
          </cell>
          <cell r="C3779">
            <v>3915.62</v>
          </cell>
          <cell r="D3779">
            <v>304.60000000000002</v>
          </cell>
          <cell r="E3779">
            <v>326.89</v>
          </cell>
          <cell r="F3779">
            <v>340.59</v>
          </cell>
          <cell r="G3779">
            <v>279.27999999999997</v>
          </cell>
          <cell r="H3779">
            <v>5359.46</v>
          </cell>
          <cell r="I3779">
            <v>352.27</v>
          </cell>
        </row>
        <row r="3780">
          <cell r="A3780">
            <v>37099</v>
          </cell>
          <cell r="B3780">
            <v>3826.74</v>
          </cell>
          <cell r="C3780">
            <v>3986.48</v>
          </cell>
          <cell r="D3780">
            <v>310</v>
          </cell>
          <cell r="E3780">
            <v>332.37</v>
          </cell>
          <cell r="F3780">
            <v>346.35</v>
          </cell>
          <cell r="G3780">
            <v>284.49</v>
          </cell>
          <cell r="H3780">
            <v>5510.24</v>
          </cell>
          <cell r="I3780">
            <v>365.01</v>
          </cell>
        </row>
        <row r="3781">
          <cell r="A3781">
            <v>37102</v>
          </cell>
          <cell r="B3781">
            <v>3884.14</v>
          </cell>
          <cell r="C3781">
            <v>4047.66</v>
          </cell>
          <cell r="D3781">
            <v>313.68</v>
          </cell>
          <cell r="E3781">
            <v>336.32</v>
          </cell>
          <cell r="F3781">
            <v>350.41</v>
          </cell>
          <cell r="G3781">
            <v>287.87</v>
          </cell>
          <cell r="H3781">
            <v>5605.28</v>
          </cell>
          <cell r="I3781">
            <v>373.72</v>
          </cell>
        </row>
        <row r="3782">
          <cell r="A3782">
            <v>37103</v>
          </cell>
          <cell r="B3782">
            <v>3931.42</v>
          </cell>
          <cell r="C3782">
            <v>4091.38</v>
          </cell>
          <cell r="D3782">
            <v>316.95</v>
          </cell>
          <cell r="E3782">
            <v>339.3</v>
          </cell>
          <cell r="F3782">
            <v>353.3</v>
          </cell>
          <cell r="G3782">
            <v>291.29000000000002</v>
          </cell>
          <cell r="H3782">
            <v>5652.96</v>
          </cell>
          <cell r="I3782">
            <v>378.66</v>
          </cell>
        </row>
        <row r="3783">
          <cell r="A3783">
            <v>37104</v>
          </cell>
          <cell r="B3783">
            <v>3934.67</v>
          </cell>
          <cell r="C3783">
            <v>4092.22</v>
          </cell>
          <cell r="D3783">
            <v>317.89</v>
          </cell>
          <cell r="E3783">
            <v>340.14</v>
          </cell>
          <cell r="F3783">
            <v>354.59</v>
          </cell>
          <cell r="G3783">
            <v>292.29000000000002</v>
          </cell>
          <cell r="H3783">
            <v>5659.79</v>
          </cell>
          <cell r="I3783">
            <v>376.88</v>
          </cell>
        </row>
        <row r="3784">
          <cell r="A3784">
            <v>37105</v>
          </cell>
          <cell r="B3784">
            <v>3928</v>
          </cell>
          <cell r="C3784">
            <v>4066.43</v>
          </cell>
          <cell r="D3784">
            <v>317.92</v>
          </cell>
          <cell r="E3784">
            <v>338.94</v>
          </cell>
          <cell r="F3784">
            <v>353.91</v>
          </cell>
          <cell r="G3784">
            <v>293.32</v>
          </cell>
          <cell r="H3784">
            <v>5720.15</v>
          </cell>
          <cell r="I3784">
            <v>382.13</v>
          </cell>
        </row>
        <row r="3785">
          <cell r="A3785">
            <v>37106</v>
          </cell>
          <cell r="B3785">
            <v>3887.24</v>
          </cell>
          <cell r="C3785">
            <v>4024.9</v>
          </cell>
          <cell r="D3785">
            <v>315.16000000000003</v>
          </cell>
          <cell r="E3785">
            <v>336.19</v>
          </cell>
          <cell r="F3785">
            <v>351.05</v>
          </cell>
          <cell r="G3785">
            <v>290.61</v>
          </cell>
          <cell r="H3785">
            <v>5694.45</v>
          </cell>
          <cell r="I3785">
            <v>379.13</v>
          </cell>
        </row>
        <row r="3786">
          <cell r="A3786">
            <v>37109</v>
          </cell>
          <cell r="B3786">
            <v>3886.39</v>
          </cell>
          <cell r="C3786">
            <v>4044.29</v>
          </cell>
          <cell r="D3786">
            <v>314.87</v>
          </cell>
          <cell r="E3786">
            <v>337.14</v>
          </cell>
          <cell r="F3786">
            <v>352</v>
          </cell>
          <cell r="G3786">
            <v>289.33</v>
          </cell>
          <cell r="H3786">
            <v>5681.18</v>
          </cell>
          <cell r="I3786">
            <v>375.8</v>
          </cell>
        </row>
        <row r="3787">
          <cell r="A3787">
            <v>37110</v>
          </cell>
          <cell r="B3787">
            <v>3898.74</v>
          </cell>
          <cell r="C3787">
            <v>4042.71</v>
          </cell>
          <cell r="D3787">
            <v>315.38</v>
          </cell>
          <cell r="E3787">
            <v>337</v>
          </cell>
          <cell r="F3787">
            <v>351.88</v>
          </cell>
          <cell r="G3787">
            <v>290.36</v>
          </cell>
          <cell r="H3787">
            <v>5680.08</v>
          </cell>
          <cell r="I3787">
            <v>376.98</v>
          </cell>
        </row>
        <row r="3788">
          <cell r="A3788">
            <v>37111</v>
          </cell>
          <cell r="B3788">
            <v>3839.67</v>
          </cell>
          <cell r="C3788">
            <v>3972.98</v>
          </cell>
          <cell r="D3788">
            <v>311.48</v>
          </cell>
          <cell r="E3788">
            <v>332.42</v>
          </cell>
          <cell r="F3788">
            <v>347.79</v>
          </cell>
          <cell r="G3788">
            <v>287.08999999999997</v>
          </cell>
          <cell r="H3788">
            <v>5593.81</v>
          </cell>
          <cell r="I3788">
            <v>369.23</v>
          </cell>
        </row>
        <row r="3789">
          <cell r="A3789">
            <v>37112</v>
          </cell>
          <cell r="B3789">
            <v>3750.34</v>
          </cell>
          <cell r="C3789">
            <v>3885.05</v>
          </cell>
          <cell r="D3789">
            <v>305.44</v>
          </cell>
          <cell r="E3789">
            <v>326.22000000000003</v>
          </cell>
          <cell r="F3789">
            <v>341.13</v>
          </cell>
          <cell r="G3789">
            <v>281.33</v>
          </cell>
          <cell r="H3789">
            <v>5470.48</v>
          </cell>
          <cell r="I3789">
            <v>356.85</v>
          </cell>
        </row>
        <row r="3790">
          <cell r="A3790">
            <v>37113</v>
          </cell>
          <cell r="B3790">
            <v>3709.73</v>
          </cell>
          <cell r="C3790">
            <v>3828.68</v>
          </cell>
          <cell r="D3790">
            <v>303.19</v>
          </cell>
          <cell r="E3790">
            <v>322.56</v>
          </cell>
          <cell r="F3790">
            <v>336.86</v>
          </cell>
          <cell r="G3790">
            <v>280.26</v>
          </cell>
          <cell r="H3790">
            <v>5381.6</v>
          </cell>
          <cell r="I3790">
            <v>348.2</v>
          </cell>
        </row>
        <row r="3791">
          <cell r="A3791">
            <v>37116</v>
          </cell>
          <cell r="B3791">
            <v>3730.21</v>
          </cell>
          <cell r="C3791">
            <v>3874.67</v>
          </cell>
          <cell r="D3791">
            <v>304.38</v>
          </cell>
          <cell r="E3791">
            <v>325.7</v>
          </cell>
          <cell r="F3791">
            <v>340</v>
          </cell>
          <cell r="G3791">
            <v>279.85000000000002</v>
          </cell>
          <cell r="H3791">
            <v>5398.5</v>
          </cell>
          <cell r="I3791">
            <v>350.89</v>
          </cell>
        </row>
        <row r="3792">
          <cell r="A3792">
            <v>37117</v>
          </cell>
          <cell r="B3792">
            <v>3793.36</v>
          </cell>
          <cell r="C3792">
            <v>3924.67</v>
          </cell>
          <cell r="D3792">
            <v>308.22000000000003</v>
          </cell>
          <cell r="E3792">
            <v>329.26</v>
          </cell>
          <cell r="F3792">
            <v>344.13</v>
          </cell>
          <cell r="G3792">
            <v>283.83</v>
          </cell>
          <cell r="H3792">
            <v>5479.96</v>
          </cell>
          <cell r="I3792">
            <v>358.06</v>
          </cell>
        </row>
        <row r="3793">
          <cell r="A3793">
            <v>37118</v>
          </cell>
          <cell r="B3793">
            <v>3755.42</v>
          </cell>
          <cell r="C3793">
            <v>3894.77</v>
          </cell>
          <cell r="D3793">
            <v>305.73</v>
          </cell>
          <cell r="E3793">
            <v>326.86</v>
          </cell>
          <cell r="F3793">
            <v>341.62</v>
          </cell>
          <cell r="G3793">
            <v>281.33</v>
          </cell>
          <cell r="H3793">
            <v>5428.7</v>
          </cell>
          <cell r="I3793">
            <v>351.35</v>
          </cell>
        </row>
        <row r="3794">
          <cell r="A3794">
            <v>37119</v>
          </cell>
          <cell r="B3794">
            <v>3700.95</v>
          </cell>
          <cell r="C3794">
            <v>3849.17</v>
          </cell>
          <cell r="D3794">
            <v>302.27999999999997</v>
          </cell>
          <cell r="E3794">
            <v>323.29000000000002</v>
          </cell>
          <cell r="F3794">
            <v>337.86</v>
          </cell>
          <cell r="G3794">
            <v>278.06</v>
          </cell>
          <cell r="H3794">
            <v>5349.24</v>
          </cell>
          <cell r="I3794">
            <v>343.6</v>
          </cell>
        </row>
        <row r="3795">
          <cell r="A3795">
            <v>37120</v>
          </cell>
          <cell r="B3795">
            <v>3633.43</v>
          </cell>
          <cell r="C3795">
            <v>3759.69</v>
          </cell>
          <cell r="D3795">
            <v>297.92</v>
          </cell>
          <cell r="E3795">
            <v>317.10000000000002</v>
          </cell>
          <cell r="F3795">
            <v>332.09</v>
          </cell>
          <cell r="G3795">
            <v>275.27999999999997</v>
          </cell>
          <cell r="H3795">
            <v>5260.23</v>
          </cell>
          <cell r="I3795">
            <v>335.32</v>
          </cell>
        </row>
        <row r="3796">
          <cell r="A3796">
            <v>37123</v>
          </cell>
          <cell r="B3796">
            <v>3637.44</v>
          </cell>
          <cell r="C3796">
            <v>3765.61</v>
          </cell>
          <cell r="D3796">
            <v>298.01</v>
          </cell>
          <cell r="E3796">
            <v>316.83</v>
          </cell>
          <cell r="F3796">
            <v>331.26</v>
          </cell>
          <cell r="G3796">
            <v>275.64999999999998</v>
          </cell>
          <cell r="H3796">
            <v>5176.67</v>
          </cell>
          <cell r="I3796">
            <v>330.23</v>
          </cell>
        </row>
        <row r="3797">
          <cell r="A3797">
            <v>37124</v>
          </cell>
          <cell r="B3797">
            <v>3690.22</v>
          </cell>
          <cell r="C3797">
            <v>3790.34</v>
          </cell>
          <cell r="D3797">
            <v>301.60000000000002</v>
          </cell>
          <cell r="E3797">
            <v>318.98</v>
          </cell>
          <cell r="F3797">
            <v>334.23</v>
          </cell>
          <cell r="G3797">
            <v>280.33</v>
          </cell>
          <cell r="H3797">
            <v>5248.08</v>
          </cell>
          <cell r="I3797">
            <v>335.67</v>
          </cell>
        </row>
        <row r="3798">
          <cell r="A3798">
            <v>37125</v>
          </cell>
          <cell r="B3798">
            <v>3675.64</v>
          </cell>
          <cell r="C3798">
            <v>3793.55</v>
          </cell>
          <cell r="D3798">
            <v>300.5</v>
          </cell>
          <cell r="E3798">
            <v>318.99</v>
          </cell>
          <cell r="F3798">
            <v>333.59</v>
          </cell>
          <cell r="G3798">
            <v>278.37</v>
          </cell>
          <cell r="H3798">
            <v>5293.07</v>
          </cell>
          <cell r="I3798">
            <v>336.41</v>
          </cell>
        </row>
        <row r="3799">
          <cell r="A3799">
            <v>37126</v>
          </cell>
          <cell r="B3799">
            <v>3673.27</v>
          </cell>
          <cell r="C3799">
            <v>3816.99</v>
          </cell>
          <cell r="D3799">
            <v>300.98</v>
          </cell>
          <cell r="E3799">
            <v>320.86</v>
          </cell>
          <cell r="F3799">
            <v>335.02</v>
          </cell>
          <cell r="G3799">
            <v>277.7</v>
          </cell>
          <cell r="H3799">
            <v>5343.58</v>
          </cell>
          <cell r="I3799">
            <v>340.41</v>
          </cell>
        </row>
        <row r="3800">
          <cell r="A3800">
            <v>37127</v>
          </cell>
          <cell r="B3800">
            <v>3737.76</v>
          </cell>
          <cell r="C3800">
            <v>3890.55</v>
          </cell>
          <cell r="D3800">
            <v>305.61</v>
          </cell>
          <cell r="E3800">
            <v>326.19</v>
          </cell>
          <cell r="F3800">
            <v>340.66</v>
          </cell>
          <cell r="G3800">
            <v>281.66000000000003</v>
          </cell>
          <cell r="H3800">
            <v>5441.46</v>
          </cell>
          <cell r="I3800">
            <v>346.16</v>
          </cell>
        </row>
        <row r="3801">
          <cell r="A3801">
            <v>37130</v>
          </cell>
          <cell r="B3801">
            <v>3745.21</v>
          </cell>
          <cell r="C3801">
            <v>3892.15</v>
          </cell>
          <cell r="D3801">
            <v>305.98</v>
          </cell>
          <cell r="E3801">
            <v>326.25</v>
          </cell>
          <cell r="F3801">
            <v>341.02</v>
          </cell>
          <cell r="G3801">
            <v>282.27</v>
          </cell>
          <cell r="H3801">
            <v>5413.65</v>
          </cell>
          <cell r="I3801">
            <v>343.45</v>
          </cell>
        </row>
        <row r="3802">
          <cell r="A3802">
            <v>37131</v>
          </cell>
          <cell r="B3802">
            <v>3701.51</v>
          </cell>
          <cell r="C3802">
            <v>3823.33</v>
          </cell>
          <cell r="D3802">
            <v>303.17</v>
          </cell>
          <cell r="E3802">
            <v>321.42</v>
          </cell>
          <cell r="F3802">
            <v>336.09</v>
          </cell>
          <cell r="G3802">
            <v>281.16000000000003</v>
          </cell>
          <cell r="H3802">
            <v>5325.62</v>
          </cell>
          <cell r="I3802">
            <v>336.56</v>
          </cell>
        </row>
        <row r="3803">
          <cell r="A3803">
            <v>37132</v>
          </cell>
          <cell r="B3803">
            <v>3696.04</v>
          </cell>
          <cell r="C3803">
            <v>3832.6</v>
          </cell>
          <cell r="D3803">
            <v>302.51</v>
          </cell>
          <cell r="E3803">
            <v>321.76</v>
          </cell>
          <cell r="F3803">
            <v>335.28</v>
          </cell>
          <cell r="G3803">
            <v>279.7</v>
          </cell>
          <cell r="H3803">
            <v>5232.1000000000004</v>
          </cell>
          <cell r="I3803">
            <v>329.5</v>
          </cell>
        </row>
        <row r="3804">
          <cell r="A3804">
            <v>37133</v>
          </cell>
          <cell r="B3804">
            <v>3619.11</v>
          </cell>
          <cell r="C3804">
            <v>3737.12</v>
          </cell>
          <cell r="D3804">
            <v>296.61</v>
          </cell>
          <cell r="E3804">
            <v>314.49</v>
          </cell>
          <cell r="F3804">
            <v>328.43</v>
          </cell>
          <cell r="G3804">
            <v>275.06</v>
          </cell>
          <cell r="H3804">
            <v>5081.49</v>
          </cell>
          <cell r="I3804">
            <v>318.27</v>
          </cell>
        </row>
        <row r="3805">
          <cell r="A3805">
            <v>37134</v>
          </cell>
          <cell r="B3805">
            <v>3637.15</v>
          </cell>
          <cell r="C3805">
            <v>3743.97</v>
          </cell>
          <cell r="D3805">
            <v>297.66000000000003</v>
          </cell>
          <cell r="E3805">
            <v>314.8</v>
          </cell>
          <cell r="F3805">
            <v>328.92</v>
          </cell>
          <cell r="G3805">
            <v>276.67</v>
          </cell>
          <cell r="H3805">
            <v>5064.8900000000003</v>
          </cell>
          <cell r="I3805">
            <v>319.17</v>
          </cell>
        </row>
        <row r="3806">
          <cell r="A3806">
            <v>37137</v>
          </cell>
          <cell r="B3806">
            <v>3595.94</v>
          </cell>
          <cell r="C3806">
            <v>3691.77</v>
          </cell>
          <cell r="D3806">
            <v>294.70999999999998</v>
          </cell>
          <cell r="E3806">
            <v>310.56</v>
          </cell>
          <cell r="F3806">
            <v>324.3</v>
          </cell>
          <cell r="G3806">
            <v>274.85000000000002</v>
          </cell>
          <cell r="H3806">
            <v>5008.6099999999997</v>
          </cell>
          <cell r="I3806">
            <v>316.36</v>
          </cell>
        </row>
        <row r="3807">
          <cell r="A3807">
            <v>37138</v>
          </cell>
          <cell r="B3807">
            <v>3664</v>
          </cell>
          <cell r="C3807">
            <v>3736.82</v>
          </cell>
          <cell r="D3807">
            <v>299.69</v>
          </cell>
          <cell r="E3807">
            <v>313.81</v>
          </cell>
          <cell r="F3807">
            <v>327.77</v>
          </cell>
          <cell r="G3807">
            <v>281.10000000000002</v>
          </cell>
          <cell r="H3807">
            <v>5028.96</v>
          </cell>
          <cell r="I3807">
            <v>316.04000000000002</v>
          </cell>
        </row>
        <row r="3808">
          <cell r="A3808">
            <v>37139</v>
          </cell>
          <cell r="B3808">
            <v>3600.54</v>
          </cell>
          <cell r="C3808">
            <v>3637.17</v>
          </cell>
          <cell r="D3808">
            <v>295.64999999999998</v>
          </cell>
          <cell r="E3808">
            <v>307.02</v>
          </cell>
          <cell r="F3808">
            <v>321.43</v>
          </cell>
          <cell r="G3808">
            <v>279.39</v>
          </cell>
          <cell r="H3808">
            <v>4934.25</v>
          </cell>
          <cell r="I3808">
            <v>306.45999999999998</v>
          </cell>
        </row>
        <row r="3809">
          <cell r="A3809">
            <v>37140</v>
          </cell>
          <cell r="B3809">
            <v>3501.58</v>
          </cell>
          <cell r="C3809">
            <v>3550.26</v>
          </cell>
          <cell r="D3809">
            <v>288.57</v>
          </cell>
          <cell r="E3809">
            <v>299.92</v>
          </cell>
          <cell r="F3809">
            <v>314.64</v>
          </cell>
          <cell r="G3809">
            <v>272.48</v>
          </cell>
          <cell r="H3809">
            <v>4889.4799999999996</v>
          </cell>
          <cell r="I3809">
            <v>300.89999999999998</v>
          </cell>
        </row>
        <row r="3810">
          <cell r="A3810">
            <v>37141</v>
          </cell>
          <cell r="B3810">
            <v>3395.99</v>
          </cell>
          <cell r="C3810">
            <v>3456.52</v>
          </cell>
          <cell r="D3810">
            <v>281.17</v>
          </cell>
          <cell r="E3810">
            <v>293.26</v>
          </cell>
          <cell r="F3810">
            <v>307.60000000000002</v>
          </cell>
          <cell r="G3810">
            <v>264.68</v>
          </cell>
          <cell r="H3810">
            <v>4783.4399999999996</v>
          </cell>
          <cell r="I3810">
            <v>292.64999999999998</v>
          </cell>
        </row>
        <row r="3811">
          <cell r="A3811">
            <v>37144</v>
          </cell>
          <cell r="B3811">
            <v>3383.65</v>
          </cell>
          <cell r="C3811">
            <v>3440.65</v>
          </cell>
          <cell r="D3811">
            <v>278.82</v>
          </cell>
          <cell r="E3811">
            <v>290.63</v>
          </cell>
          <cell r="F3811">
            <v>304.25</v>
          </cell>
          <cell r="G3811">
            <v>262.60000000000002</v>
          </cell>
          <cell r="H3811">
            <v>4727.8100000000004</v>
          </cell>
          <cell r="I3811">
            <v>293.57</v>
          </cell>
        </row>
        <row r="3812">
          <cell r="A3812">
            <v>37145</v>
          </cell>
          <cell r="B3812">
            <v>3178.23</v>
          </cell>
          <cell r="C3812">
            <v>3220.27</v>
          </cell>
          <cell r="D3812">
            <v>261.5</v>
          </cell>
          <cell r="E3812">
            <v>272.07</v>
          </cell>
          <cell r="F3812">
            <v>285.01</v>
          </cell>
          <cell r="G3812">
            <v>246.7</v>
          </cell>
          <cell r="H3812">
            <v>4422.3</v>
          </cell>
          <cell r="I3812">
            <v>276.81</v>
          </cell>
        </row>
        <row r="3813">
          <cell r="A3813">
            <v>37146</v>
          </cell>
          <cell r="B3813">
            <v>3255.87</v>
          </cell>
          <cell r="C3813">
            <v>3260.9</v>
          </cell>
          <cell r="D3813">
            <v>266.37</v>
          </cell>
          <cell r="E3813">
            <v>274.22000000000003</v>
          </cell>
          <cell r="F3813">
            <v>288.32</v>
          </cell>
          <cell r="G3813">
            <v>253.65</v>
          </cell>
          <cell r="H3813">
            <v>4601.2700000000004</v>
          </cell>
          <cell r="I3813">
            <v>290.19</v>
          </cell>
        </row>
        <row r="3814">
          <cell r="A3814">
            <v>37147</v>
          </cell>
          <cell r="B3814">
            <v>3282.99</v>
          </cell>
          <cell r="C3814">
            <v>3293.82</v>
          </cell>
          <cell r="D3814">
            <v>268.68</v>
          </cell>
          <cell r="E3814">
            <v>275.99</v>
          </cell>
          <cell r="F3814">
            <v>290.52</v>
          </cell>
          <cell r="G3814">
            <v>256.35000000000002</v>
          </cell>
          <cell r="H3814">
            <v>4657.1099999999997</v>
          </cell>
          <cell r="I3814">
            <v>294.83999999999997</v>
          </cell>
        </row>
        <row r="3815">
          <cell r="A3815">
            <v>37148</v>
          </cell>
          <cell r="B3815">
            <v>3098.2</v>
          </cell>
          <cell r="C3815">
            <v>3091.21</v>
          </cell>
          <cell r="D3815">
            <v>255.18</v>
          </cell>
          <cell r="E3815">
            <v>260.56</v>
          </cell>
          <cell r="F3815">
            <v>275.45999999999998</v>
          </cell>
          <cell r="G3815">
            <v>244.72</v>
          </cell>
          <cell r="H3815">
            <v>4505.07</v>
          </cell>
          <cell r="I3815">
            <v>283.58999999999997</v>
          </cell>
        </row>
        <row r="3816">
          <cell r="A3816">
            <v>37151</v>
          </cell>
          <cell r="B3816">
            <v>3225.91</v>
          </cell>
          <cell r="C3816">
            <v>3204.96</v>
          </cell>
          <cell r="D3816">
            <v>260.79000000000002</v>
          </cell>
          <cell r="E3816">
            <v>266.39</v>
          </cell>
          <cell r="F3816">
            <v>282.04000000000002</v>
          </cell>
          <cell r="G3816">
            <v>250.03</v>
          </cell>
          <cell r="H3816">
            <v>4517.2700000000004</v>
          </cell>
          <cell r="I3816">
            <v>288.58999999999997</v>
          </cell>
        </row>
        <row r="3817">
          <cell r="A3817">
            <v>37152</v>
          </cell>
          <cell r="B3817">
            <v>3213.57</v>
          </cell>
          <cell r="C3817">
            <v>3189.94</v>
          </cell>
          <cell r="D3817">
            <v>258.35000000000002</v>
          </cell>
          <cell r="E3817">
            <v>264.52999999999997</v>
          </cell>
          <cell r="F3817">
            <v>279.52</v>
          </cell>
          <cell r="G3817">
            <v>247.17</v>
          </cell>
          <cell r="H3817">
            <v>4391.6499999999996</v>
          </cell>
          <cell r="I3817">
            <v>283.89</v>
          </cell>
        </row>
        <row r="3818">
          <cell r="A3818">
            <v>37153</v>
          </cell>
          <cell r="B3818">
            <v>3122.6</v>
          </cell>
          <cell r="C3818">
            <v>3105.13</v>
          </cell>
          <cell r="D3818">
            <v>252.07</v>
          </cell>
          <cell r="E3818">
            <v>258.51</v>
          </cell>
          <cell r="F3818">
            <v>273.81</v>
          </cell>
          <cell r="G3818">
            <v>240.84</v>
          </cell>
          <cell r="H3818">
            <v>4350.21</v>
          </cell>
          <cell r="I3818">
            <v>282.70999999999998</v>
          </cell>
        </row>
        <row r="3819">
          <cell r="A3819">
            <v>37154</v>
          </cell>
          <cell r="B3819">
            <v>3002.18</v>
          </cell>
          <cell r="C3819">
            <v>2967.94</v>
          </cell>
          <cell r="D3819">
            <v>242.33</v>
          </cell>
          <cell r="E3819">
            <v>247.04</v>
          </cell>
          <cell r="F3819">
            <v>261.77</v>
          </cell>
          <cell r="G3819">
            <v>232.73</v>
          </cell>
          <cell r="H3819">
            <v>4172.43</v>
          </cell>
          <cell r="I3819">
            <v>274.20999999999998</v>
          </cell>
        </row>
        <row r="3820">
          <cell r="A3820">
            <v>37155</v>
          </cell>
          <cell r="B3820">
            <v>2915.64</v>
          </cell>
          <cell r="C3820">
            <v>2877.68</v>
          </cell>
          <cell r="D3820">
            <v>235.9</v>
          </cell>
          <cell r="E3820">
            <v>240.33</v>
          </cell>
          <cell r="F3820">
            <v>254.2</v>
          </cell>
          <cell r="G3820">
            <v>226.67</v>
          </cell>
          <cell r="H3820">
            <v>4071.36</v>
          </cell>
          <cell r="I3820">
            <v>266.31</v>
          </cell>
        </row>
        <row r="3821">
          <cell r="A3821">
            <v>37158</v>
          </cell>
          <cell r="B3821">
            <v>3080.12</v>
          </cell>
          <cell r="C3821">
            <v>3068.05</v>
          </cell>
          <cell r="D3821">
            <v>248.1</v>
          </cell>
          <cell r="E3821">
            <v>254.64</v>
          </cell>
          <cell r="F3821">
            <v>268.94</v>
          </cell>
          <cell r="G3821">
            <v>236.88</v>
          </cell>
          <cell r="H3821">
            <v>4286.2</v>
          </cell>
          <cell r="I3821">
            <v>282.27</v>
          </cell>
        </row>
        <row r="3822">
          <cell r="A3822">
            <v>37159</v>
          </cell>
          <cell r="B3822">
            <v>3116.67</v>
          </cell>
          <cell r="C3822">
            <v>3095.75</v>
          </cell>
          <cell r="D3822">
            <v>251.1</v>
          </cell>
          <cell r="E3822">
            <v>257.72000000000003</v>
          </cell>
          <cell r="F3822">
            <v>272.89</v>
          </cell>
          <cell r="G3822">
            <v>239.75</v>
          </cell>
          <cell r="H3822">
            <v>4333.37</v>
          </cell>
          <cell r="I3822">
            <v>286.10000000000002</v>
          </cell>
        </row>
        <row r="3823">
          <cell r="A3823">
            <v>37160</v>
          </cell>
          <cell r="B3823">
            <v>3165.57</v>
          </cell>
          <cell r="C3823">
            <v>3155.68</v>
          </cell>
          <cell r="D3823">
            <v>254.23</v>
          </cell>
          <cell r="E3823">
            <v>261.81</v>
          </cell>
          <cell r="F3823">
            <v>276.58999999999997</v>
          </cell>
          <cell r="G3823">
            <v>242.04</v>
          </cell>
          <cell r="H3823">
            <v>4264.05</v>
          </cell>
          <cell r="I3823">
            <v>281.5</v>
          </cell>
        </row>
        <row r="3824">
          <cell r="A3824">
            <v>37161</v>
          </cell>
          <cell r="B3824">
            <v>3222.25</v>
          </cell>
          <cell r="C3824">
            <v>3198.78</v>
          </cell>
          <cell r="D3824">
            <v>257.70999999999998</v>
          </cell>
          <cell r="E3824">
            <v>264.56</v>
          </cell>
          <cell r="F3824">
            <v>279.73</v>
          </cell>
          <cell r="G3824">
            <v>246.01</v>
          </cell>
          <cell r="H3824">
            <v>4285.49</v>
          </cell>
          <cell r="I3824">
            <v>277.45</v>
          </cell>
        </row>
        <row r="3825">
          <cell r="A3825">
            <v>37162</v>
          </cell>
          <cell r="B3825">
            <v>3339.91</v>
          </cell>
          <cell r="C3825">
            <v>3296.66</v>
          </cell>
          <cell r="D3825">
            <v>266.29000000000002</v>
          </cell>
          <cell r="E3825">
            <v>272.45999999999998</v>
          </cell>
          <cell r="F3825">
            <v>288.52</v>
          </cell>
          <cell r="G3825">
            <v>254.93</v>
          </cell>
          <cell r="H3825">
            <v>4441.0200000000004</v>
          </cell>
          <cell r="I3825">
            <v>289.5</v>
          </cell>
        </row>
        <row r="3826">
          <cell r="A3826">
            <v>37165</v>
          </cell>
          <cell r="B3826">
            <v>3243.78</v>
          </cell>
          <cell r="C3826">
            <v>3208.31</v>
          </cell>
          <cell r="D3826">
            <v>259.89</v>
          </cell>
          <cell r="E3826">
            <v>266.32</v>
          </cell>
          <cell r="F3826">
            <v>282.12</v>
          </cell>
          <cell r="G3826">
            <v>248.49</v>
          </cell>
          <cell r="H3826">
            <v>4327.29</v>
          </cell>
          <cell r="I3826">
            <v>279.32</v>
          </cell>
        </row>
        <row r="3827">
          <cell r="A3827">
            <v>37166</v>
          </cell>
          <cell r="B3827">
            <v>3282.42</v>
          </cell>
          <cell r="C3827">
            <v>3265.24</v>
          </cell>
          <cell r="D3827">
            <v>261.61</v>
          </cell>
          <cell r="E3827">
            <v>269.67</v>
          </cell>
          <cell r="F3827">
            <v>284.79000000000002</v>
          </cell>
          <cell r="G3827">
            <v>248.86</v>
          </cell>
          <cell r="H3827">
            <v>4369.71</v>
          </cell>
          <cell r="I3827">
            <v>282.64999999999998</v>
          </cell>
        </row>
        <row r="3828">
          <cell r="A3828">
            <v>37167</v>
          </cell>
          <cell r="B3828">
            <v>3296.52</v>
          </cell>
          <cell r="C3828">
            <v>3264.59</v>
          </cell>
          <cell r="D3828">
            <v>263.37</v>
          </cell>
          <cell r="E3828">
            <v>269.67</v>
          </cell>
          <cell r="F3828">
            <v>284.76</v>
          </cell>
          <cell r="G3828">
            <v>251.98</v>
          </cell>
          <cell r="H3828">
            <v>4405.68</v>
          </cell>
          <cell r="I3828">
            <v>282.62</v>
          </cell>
        </row>
        <row r="3829">
          <cell r="A3829">
            <v>37168</v>
          </cell>
          <cell r="B3829">
            <v>3405.71</v>
          </cell>
          <cell r="C3829">
            <v>3394.69</v>
          </cell>
          <cell r="D3829">
            <v>271.67</v>
          </cell>
          <cell r="E3829">
            <v>279.77</v>
          </cell>
          <cell r="F3829">
            <v>294.54000000000002</v>
          </cell>
          <cell r="G3829">
            <v>258.64</v>
          </cell>
          <cell r="H3829">
            <v>4559.49</v>
          </cell>
          <cell r="I3829">
            <v>296.29000000000002</v>
          </cell>
        </row>
        <row r="3830">
          <cell r="A3830">
            <v>37169</v>
          </cell>
          <cell r="B3830">
            <v>3385.05</v>
          </cell>
          <cell r="C3830">
            <v>3348.02</v>
          </cell>
          <cell r="D3830">
            <v>270.51</v>
          </cell>
          <cell r="E3830">
            <v>276.58999999999997</v>
          </cell>
          <cell r="F3830">
            <v>291.52999999999997</v>
          </cell>
          <cell r="G3830">
            <v>259.12</v>
          </cell>
          <cell r="H3830">
            <v>4552.05</v>
          </cell>
          <cell r="I3830">
            <v>296.20999999999998</v>
          </cell>
        </row>
        <row r="3831">
          <cell r="A3831">
            <v>37172</v>
          </cell>
          <cell r="B3831">
            <v>3384.64</v>
          </cell>
          <cell r="C3831">
            <v>3353.41</v>
          </cell>
          <cell r="D3831">
            <v>269.95999999999998</v>
          </cell>
          <cell r="E3831">
            <v>277.08999999999997</v>
          </cell>
          <cell r="F3831">
            <v>292.04000000000002</v>
          </cell>
          <cell r="G3831">
            <v>257.74</v>
          </cell>
          <cell r="H3831">
            <v>4571.8</v>
          </cell>
          <cell r="I3831">
            <v>298.18</v>
          </cell>
        </row>
        <row r="3832">
          <cell r="A3832">
            <v>37173</v>
          </cell>
          <cell r="B3832">
            <v>3366.83</v>
          </cell>
          <cell r="C3832">
            <v>3357.12</v>
          </cell>
          <cell r="D3832">
            <v>269.32</v>
          </cell>
          <cell r="E3832">
            <v>277.39999999999998</v>
          </cell>
          <cell r="F3832">
            <v>292.11</v>
          </cell>
          <cell r="G3832">
            <v>256.36</v>
          </cell>
          <cell r="H3832">
            <v>4569.8</v>
          </cell>
          <cell r="I3832">
            <v>300.49</v>
          </cell>
        </row>
        <row r="3833">
          <cell r="A3833">
            <v>37174</v>
          </cell>
          <cell r="B3833">
            <v>3461.8</v>
          </cell>
          <cell r="C3833">
            <v>3468.32</v>
          </cell>
          <cell r="D3833">
            <v>276.02</v>
          </cell>
          <cell r="E3833">
            <v>285.76</v>
          </cell>
          <cell r="F3833">
            <v>299.67</v>
          </cell>
          <cell r="G3833">
            <v>261.56</v>
          </cell>
          <cell r="H3833">
            <v>4691.76</v>
          </cell>
          <cell r="I3833">
            <v>308.20999999999998</v>
          </cell>
        </row>
        <row r="3834">
          <cell r="A3834">
            <v>37175</v>
          </cell>
          <cell r="B3834">
            <v>3501.77</v>
          </cell>
          <cell r="C3834">
            <v>3510.55</v>
          </cell>
          <cell r="D3834">
            <v>280.19</v>
          </cell>
          <cell r="E3834">
            <v>289.95</v>
          </cell>
          <cell r="F3834">
            <v>305.05</v>
          </cell>
          <cell r="G3834">
            <v>265.61</v>
          </cell>
          <cell r="H3834">
            <v>4943.53</v>
          </cell>
          <cell r="I3834">
            <v>324.82</v>
          </cell>
        </row>
        <row r="3835">
          <cell r="A3835">
            <v>37176</v>
          </cell>
          <cell r="B3835">
            <v>3479.99</v>
          </cell>
          <cell r="C3835">
            <v>3498.66</v>
          </cell>
          <cell r="D3835">
            <v>278.13</v>
          </cell>
          <cell r="E3835">
            <v>288.43</v>
          </cell>
          <cell r="F3835">
            <v>303.02999999999997</v>
          </cell>
          <cell r="G3835">
            <v>263.18</v>
          </cell>
          <cell r="H3835">
            <v>4845.8900000000003</v>
          </cell>
          <cell r="I3835">
            <v>320.70999999999998</v>
          </cell>
        </row>
        <row r="3836">
          <cell r="A3836">
            <v>37179</v>
          </cell>
          <cell r="B3836">
            <v>3410.94</v>
          </cell>
          <cell r="C3836">
            <v>3393.62</v>
          </cell>
          <cell r="D3836">
            <v>273.29000000000002</v>
          </cell>
          <cell r="E3836">
            <v>281.47000000000003</v>
          </cell>
          <cell r="F3836">
            <v>297.07</v>
          </cell>
          <cell r="G3836">
            <v>260.14999999999998</v>
          </cell>
          <cell r="H3836">
            <v>4800.1099999999997</v>
          </cell>
          <cell r="I3836">
            <v>316.13</v>
          </cell>
        </row>
        <row r="3837">
          <cell r="A3837">
            <v>37180</v>
          </cell>
          <cell r="B3837">
            <v>3438.13</v>
          </cell>
          <cell r="C3837">
            <v>3455.27</v>
          </cell>
          <cell r="D3837">
            <v>275.39999999999998</v>
          </cell>
          <cell r="E3837">
            <v>285.89999999999998</v>
          </cell>
          <cell r="F3837">
            <v>300.49</v>
          </cell>
          <cell r="G3837">
            <v>260.35000000000002</v>
          </cell>
          <cell r="H3837">
            <v>4833.7700000000004</v>
          </cell>
          <cell r="I3837">
            <v>320.57</v>
          </cell>
        </row>
        <row r="3838">
          <cell r="A3838">
            <v>37181</v>
          </cell>
          <cell r="B3838">
            <v>3529.99</v>
          </cell>
          <cell r="C3838">
            <v>3531.76</v>
          </cell>
          <cell r="D3838">
            <v>281.88</v>
          </cell>
          <cell r="E3838">
            <v>291.64999999999998</v>
          </cell>
          <cell r="F3838">
            <v>306.32</v>
          </cell>
          <cell r="G3838">
            <v>267.25</v>
          </cell>
          <cell r="H3838">
            <v>5002.03</v>
          </cell>
          <cell r="I3838">
            <v>333.73</v>
          </cell>
        </row>
        <row r="3839">
          <cell r="A3839">
            <v>37182</v>
          </cell>
          <cell r="B3839">
            <v>3469.78</v>
          </cell>
          <cell r="C3839">
            <v>3457.9</v>
          </cell>
          <cell r="D3839">
            <v>277.26</v>
          </cell>
          <cell r="E3839">
            <v>286.39999999999998</v>
          </cell>
          <cell r="F3839">
            <v>302.02999999999997</v>
          </cell>
          <cell r="G3839">
            <v>263.25</v>
          </cell>
          <cell r="H3839">
            <v>4849.74</v>
          </cell>
          <cell r="I3839">
            <v>320.98</v>
          </cell>
        </row>
        <row r="3840">
          <cell r="A3840">
            <v>37183</v>
          </cell>
          <cell r="B3840">
            <v>3410.11</v>
          </cell>
          <cell r="C3840">
            <v>3406.94</v>
          </cell>
          <cell r="D3840">
            <v>273.11</v>
          </cell>
          <cell r="E3840">
            <v>282.52</v>
          </cell>
          <cell r="F3840">
            <v>298.39</v>
          </cell>
          <cell r="G3840">
            <v>258.98</v>
          </cell>
          <cell r="H3840">
            <v>4808.8999999999996</v>
          </cell>
          <cell r="I3840">
            <v>322.45999999999998</v>
          </cell>
        </row>
        <row r="3841">
          <cell r="A3841">
            <v>37186</v>
          </cell>
          <cell r="B3841">
            <v>3465.73</v>
          </cell>
          <cell r="C3841">
            <v>3480.27</v>
          </cell>
          <cell r="D3841">
            <v>276.67</v>
          </cell>
          <cell r="E3841">
            <v>287.86</v>
          </cell>
          <cell r="F3841">
            <v>303.41000000000003</v>
          </cell>
          <cell r="G3841">
            <v>261.04000000000002</v>
          </cell>
          <cell r="H3841">
            <v>4813.09</v>
          </cell>
          <cell r="I3841">
            <v>325.39</v>
          </cell>
        </row>
        <row r="3842">
          <cell r="A3842">
            <v>37187</v>
          </cell>
          <cell r="B3842">
            <v>3558.83</v>
          </cell>
          <cell r="C3842">
            <v>3580.5</v>
          </cell>
          <cell r="D3842">
            <v>283.73</v>
          </cell>
          <cell r="E3842">
            <v>295.55</v>
          </cell>
          <cell r="F3842">
            <v>311.08</v>
          </cell>
          <cell r="G3842">
            <v>267.42</v>
          </cell>
          <cell r="H3842">
            <v>4976.47</v>
          </cell>
          <cell r="I3842">
            <v>339.16</v>
          </cell>
        </row>
        <row r="3843">
          <cell r="A3843">
            <v>37188</v>
          </cell>
          <cell r="B3843">
            <v>3557.46</v>
          </cell>
          <cell r="C3843">
            <v>3609.65</v>
          </cell>
          <cell r="D3843">
            <v>284.23</v>
          </cell>
          <cell r="E3843">
            <v>297.61</v>
          </cell>
          <cell r="F3843">
            <v>312.85000000000002</v>
          </cell>
          <cell r="G3843">
            <v>266.64999999999998</v>
          </cell>
          <cell r="H3843">
            <v>5022.57</v>
          </cell>
          <cell r="I3843">
            <v>341.95</v>
          </cell>
        </row>
        <row r="3844">
          <cell r="A3844">
            <v>37189</v>
          </cell>
          <cell r="B3844">
            <v>3490.51</v>
          </cell>
          <cell r="C3844">
            <v>3523.43</v>
          </cell>
          <cell r="D3844">
            <v>279.22000000000003</v>
          </cell>
          <cell r="E3844">
            <v>291.23</v>
          </cell>
          <cell r="F3844">
            <v>306.81</v>
          </cell>
          <cell r="G3844">
            <v>262.87</v>
          </cell>
          <cell r="H3844">
            <v>4926.66</v>
          </cell>
          <cell r="I3844">
            <v>333.1</v>
          </cell>
        </row>
        <row r="3845">
          <cell r="A3845">
            <v>37190</v>
          </cell>
          <cell r="B3845">
            <v>3583.65</v>
          </cell>
          <cell r="C3845">
            <v>3611.88</v>
          </cell>
          <cell r="D3845">
            <v>285.69</v>
          </cell>
          <cell r="E3845">
            <v>297.72000000000003</v>
          </cell>
          <cell r="F3845">
            <v>313.3</v>
          </cell>
          <cell r="G3845">
            <v>269.16000000000003</v>
          </cell>
          <cell r="H3845">
            <v>5081.6899999999996</v>
          </cell>
          <cell r="I3845">
            <v>344.18</v>
          </cell>
        </row>
        <row r="3846">
          <cell r="A3846">
            <v>37193</v>
          </cell>
          <cell r="B3846">
            <v>3497.07</v>
          </cell>
          <cell r="C3846">
            <v>3527.55</v>
          </cell>
          <cell r="D3846">
            <v>279.77999999999997</v>
          </cell>
          <cell r="E3846">
            <v>291.72000000000003</v>
          </cell>
          <cell r="F3846">
            <v>306.93</v>
          </cell>
          <cell r="G3846">
            <v>263.47000000000003</v>
          </cell>
          <cell r="H3846">
            <v>4940.04</v>
          </cell>
          <cell r="I3846">
            <v>335.44</v>
          </cell>
        </row>
        <row r="3847">
          <cell r="A3847">
            <v>37194</v>
          </cell>
          <cell r="B3847">
            <v>3411.62</v>
          </cell>
          <cell r="C3847">
            <v>3414.72</v>
          </cell>
          <cell r="D3847">
            <v>273.26</v>
          </cell>
          <cell r="E3847">
            <v>283.20999999999998</v>
          </cell>
          <cell r="F3847">
            <v>298.45</v>
          </cell>
          <cell r="G3847">
            <v>258.69</v>
          </cell>
          <cell r="H3847">
            <v>4752.71</v>
          </cell>
          <cell r="I3847">
            <v>321.27999999999997</v>
          </cell>
        </row>
        <row r="3848">
          <cell r="A3848">
            <v>37195</v>
          </cell>
          <cell r="B3848">
            <v>3465.74</v>
          </cell>
          <cell r="C3848">
            <v>3478.63</v>
          </cell>
          <cell r="D3848">
            <v>277.41000000000003</v>
          </cell>
          <cell r="E3848">
            <v>288.2</v>
          </cell>
          <cell r="F3848">
            <v>303.23</v>
          </cell>
          <cell r="G3848">
            <v>262.08</v>
          </cell>
          <cell r="H3848">
            <v>4826.83</v>
          </cell>
          <cell r="I3848">
            <v>329.4</v>
          </cell>
        </row>
        <row r="3849">
          <cell r="A3849">
            <v>37196</v>
          </cell>
          <cell r="B3849">
            <v>3492.22</v>
          </cell>
          <cell r="C3849">
            <v>3508.96</v>
          </cell>
          <cell r="D3849">
            <v>279.06</v>
          </cell>
          <cell r="E3849">
            <v>290.05</v>
          </cell>
          <cell r="F3849">
            <v>304.85000000000002</v>
          </cell>
          <cell r="G3849">
            <v>263.52999999999997</v>
          </cell>
          <cell r="H3849">
            <v>4822.7299999999996</v>
          </cell>
          <cell r="I3849">
            <v>328.84</v>
          </cell>
        </row>
        <row r="3850">
          <cell r="A3850">
            <v>37197</v>
          </cell>
          <cell r="B3850">
            <v>3504.18</v>
          </cell>
          <cell r="C3850">
            <v>3503.26</v>
          </cell>
          <cell r="D3850">
            <v>280.35000000000002</v>
          </cell>
          <cell r="E3850">
            <v>289.77</v>
          </cell>
          <cell r="F3850">
            <v>304.89</v>
          </cell>
          <cell r="G3850">
            <v>266.04000000000002</v>
          </cell>
          <cell r="H3850">
            <v>4844.28</v>
          </cell>
          <cell r="I3850">
            <v>332.19</v>
          </cell>
        </row>
        <row r="3851">
          <cell r="A3851">
            <v>37200</v>
          </cell>
          <cell r="B3851">
            <v>3591.31</v>
          </cell>
          <cell r="C3851">
            <v>3606.5</v>
          </cell>
          <cell r="D3851">
            <v>286.93</v>
          </cell>
          <cell r="E3851">
            <v>297.64999999999998</v>
          </cell>
          <cell r="F3851">
            <v>312.61</v>
          </cell>
          <cell r="G3851">
            <v>271.42</v>
          </cell>
          <cell r="H3851">
            <v>4985.3900000000003</v>
          </cell>
          <cell r="I3851">
            <v>342.86</v>
          </cell>
        </row>
        <row r="3852">
          <cell r="A3852">
            <v>37201</v>
          </cell>
          <cell r="B3852">
            <v>3584.8</v>
          </cell>
          <cell r="C3852">
            <v>3589.69</v>
          </cell>
          <cell r="D3852">
            <v>286.77</v>
          </cell>
          <cell r="E3852">
            <v>296.60000000000002</v>
          </cell>
          <cell r="F3852">
            <v>312.11</v>
          </cell>
          <cell r="G3852">
            <v>271.98</v>
          </cell>
          <cell r="H3852">
            <v>5033.82</v>
          </cell>
          <cell r="I3852">
            <v>348.15</v>
          </cell>
        </row>
        <row r="3853">
          <cell r="A3853">
            <v>37202</v>
          </cell>
          <cell r="B3853">
            <v>3614.8</v>
          </cell>
          <cell r="C3853">
            <v>3633.05</v>
          </cell>
          <cell r="D3853">
            <v>289.14999999999998</v>
          </cell>
          <cell r="E3853">
            <v>299.99</v>
          </cell>
          <cell r="F3853">
            <v>315.33</v>
          </cell>
          <cell r="G3853">
            <v>273.49</v>
          </cell>
          <cell r="H3853">
            <v>5085.83</v>
          </cell>
          <cell r="I3853">
            <v>348.32</v>
          </cell>
        </row>
        <row r="3854">
          <cell r="A3854">
            <v>37203</v>
          </cell>
          <cell r="B3854">
            <v>3683.73</v>
          </cell>
          <cell r="C3854">
            <v>3723.93</v>
          </cell>
          <cell r="D3854">
            <v>294.29000000000002</v>
          </cell>
          <cell r="E3854">
            <v>306.47000000000003</v>
          </cell>
          <cell r="F3854">
            <v>322.42</v>
          </cell>
          <cell r="G3854">
            <v>277.44</v>
          </cell>
          <cell r="H3854">
            <v>5227.33</v>
          </cell>
          <cell r="I3854">
            <v>360.44</v>
          </cell>
        </row>
        <row r="3855">
          <cell r="A3855">
            <v>37204</v>
          </cell>
          <cell r="B3855">
            <v>3643.93</v>
          </cell>
          <cell r="C3855">
            <v>3665.78</v>
          </cell>
          <cell r="D3855">
            <v>291.33999999999997</v>
          </cell>
          <cell r="E3855">
            <v>302.14999999999998</v>
          </cell>
          <cell r="F3855">
            <v>318.08</v>
          </cell>
          <cell r="G3855">
            <v>275.67</v>
          </cell>
          <cell r="H3855">
            <v>5117.78</v>
          </cell>
          <cell r="I3855">
            <v>352.13</v>
          </cell>
        </row>
        <row r="3856">
          <cell r="A3856">
            <v>37207</v>
          </cell>
          <cell r="B3856">
            <v>3554.57</v>
          </cell>
          <cell r="C3856">
            <v>3567.55</v>
          </cell>
          <cell r="D3856">
            <v>285.04000000000002</v>
          </cell>
          <cell r="E3856">
            <v>295.07</v>
          </cell>
          <cell r="F3856">
            <v>311.11</v>
          </cell>
          <cell r="G3856">
            <v>270.13</v>
          </cell>
          <cell r="H3856">
            <v>5032.87</v>
          </cell>
          <cell r="I3856">
            <v>344.8</v>
          </cell>
        </row>
        <row r="3857">
          <cell r="A3857">
            <v>37208</v>
          </cell>
          <cell r="B3857">
            <v>3684.26</v>
          </cell>
          <cell r="C3857">
            <v>3717.98</v>
          </cell>
          <cell r="D3857">
            <v>294.61</v>
          </cell>
          <cell r="E3857">
            <v>305.95999999999998</v>
          </cell>
          <cell r="F3857">
            <v>321.81</v>
          </cell>
          <cell r="G3857">
            <v>278.42</v>
          </cell>
          <cell r="H3857">
            <v>5244.68</v>
          </cell>
          <cell r="I3857">
            <v>362.6</v>
          </cell>
        </row>
        <row r="3858">
          <cell r="A3858">
            <v>37209</v>
          </cell>
          <cell r="B3858">
            <v>3651.45</v>
          </cell>
          <cell r="C3858">
            <v>3708.36</v>
          </cell>
          <cell r="D3858">
            <v>294.08999999999997</v>
          </cell>
          <cell r="E3858">
            <v>306.27999999999997</v>
          </cell>
          <cell r="F3858">
            <v>322.62</v>
          </cell>
          <cell r="G3858">
            <v>277.23</v>
          </cell>
          <cell r="H3858">
            <v>5310.99</v>
          </cell>
          <cell r="I3858">
            <v>367.76</v>
          </cell>
        </row>
        <row r="3859">
          <cell r="A3859">
            <v>37210</v>
          </cell>
          <cell r="B3859">
            <v>3643.01</v>
          </cell>
          <cell r="C3859">
            <v>3703.85</v>
          </cell>
          <cell r="D3859">
            <v>294.89999999999998</v>
          </cell>
          <cell r="E3859">
            <v>307.45999999999998</v>
          </cell>
          <cell r="F3859">
            <v>325</v>
          </cell>
          <cell r="G3859">
            <v>277.72000000000003</v>
          </cell>
          <cell r="H3859">
            <v>5396.52</v>
          </cell>
          <cell r="I3859">
            <v>374.63</v>
          </cell>
        </row>
        <row r="3860">
          <cell r="A3860">
            <v>37211</v>
          </cell>
          <cell r="B3860">
            <v>3678.67</v>
          </cell>
          <cell r="C3860">
            <v>3743.44</v>
          </cell>
          <cell r="D3860">
            <v>296.87</v>
          </cell>
          <cell r="E3860">
            <v>310.33</v>
          </cell>
          <cell r="F3860">
            <v>327.67</v>
          </cell>
          <cell r="G3860">
            <v>278.95</v>
          </cell>
          <cell r="H3860">
            <v>5441.74</v>
          </cell>
          <cell r="I3860">
            <v>378.56</v>
          </cell>
        </row>
        <row r="3861">
          <cell r="A3861">
            <v>37214</v>
          </cell>
          <cell r="B3861">
            <v>3712.03</v>
          </cell>
          <cell r="C3861">
            <v>3795.72</v>
          </cell>
          <cell r="D3861">
            <v>299.74</v>
          </cell>
          <cell r="E3861">
            <v>314.79000000000002</v>
          </cell>
          <cell r="F3861">
            <v>331.97</v>
          </cell>
          <cell r="G3861">
            <v>280.45</v>
          </cell>
          <cell r="H3861">
            <v>5454.75</v>
          </cell>
          <cell r="I3861">
            <v>377.46</v>
          </cell>
        </row>
        <row r="3862">
          <cell r="A3862">
            <v>37215</v>
          </cell>
          <cell r="B3862">
            <v>3674.17</v>
          </cell>
          <cell r="C3862">
            <v>3747.27</v>
          </cell>
          <cell r="D3862">
            <v>296.24</v>
          </cell>
          <cell r="E3862">
            <v>310.54000000000002</v>
          </cell>
          <cell r="F3862">
            <v>327.23</v>
          </cell>
          <cell r="G3862">
            <v>277.64999999999998</v>
          </cell>
          <cell r="H3862">
            <v>5329.29</v>
          </cell>
          <cell r="I3862">
            <v>366.31</v>
          </cell>
        </row>
        <row r="3863">
          <cell r="A3863">
            <v>37216</v>
          </cell>
          <cell r="B3863">
            <v>3681.83</v>
          </cell>
          <cell r="C3863">
            <v>3730.04</v>
          </cell>
          <cell r="D3863">
            <v>296.14</v>
          </cell>
          <cell r="E3863">
            <v>309.08999999999997</v>
          </cell>
          <cell r="F3863">
            <v>326.23</v>
          </cell>
          <cell r="G3863">
            <v>278.63</v>
          </cell>
          <cell r="H3863">
            <v>5317.76</v>
          </cell>
          <cell r="I3863">
            <v>365.26</v>
          </cell>
        </row>
        <row r="3864">
          <cell r="A3864">
            <v>37217</v>
          </cell>
          <cell r="B3864">
            <v>3712.38</v>
          </cell>
          <cell r="C3864">
            <v>3770.29</v>
          </cell>
          <cell r="D3864">
            <v>298.23</v>
          </cell>
          <cell r="E3864">
            <v>312.10000000000002</v>
          </cell>
          <cell r="F3864">
            <v>329.36</v>
          </cell>
          <cell r="G3864">
            <v>279.91000000000003</v>
          </cell>
          <cell r="H3864">
            <v>5452.63</v>
          </cell>
          <cell r="I3864">
            <v>376.24</v>
          </cell>
        </row>
        <row r="3865">
          <cell r="A3865">
            <v>37218</v>
          </cell>
          <cell r="B3865">
            <v>3689.25</v>
          </cell>
          <cell r="C3865">
            <v>3772.19</v>
          </cell>
          <cell r="D3865">
            <v>296.74</v>
          </cell>
          <cell r="E3865">
            <v>312.29000000000002</v>
          </cell>
          <cell r="F3865">
            <v>328.68</v>
          </cell>
          <cell r="G3865">
            <v>277.12</v>
          </cell>
          <cell r="H3865">
            <v>5453.36</v>
          </cell>
          <cell r="I3865">
            <v>376.77</v>
          </cell>
        </row>
        <row r="3866">
          <cell r="A3866">
            <v>37221</v>
          </cell>
          <cell r="B3866">
            <v>3682.13</v>
          </cell>
          <cell r="C3866">
            <v>3753.54</v>
          </cell>
          <cell r="D3866">
            <v>296.76</v>
          </cell>
          <cell r="E3866">
            <v>311.64</v>
          </cell>
          <cell r="F3866">
            <v>328.46</v>
          </cell>
          <cell r="G3866">
            <v>277.68</v>
          </cell>
          <cell r="H3866">
            <v>5512.31</v>
          </cell>
          <cell r="I3866">
            <v>382.04</v>
          </cell>
        </row>
        <row r="3867">
          <cell r="A3867">
            <v>37222</v>
          </cell>
          <cell r="B3867">
            <v>3632.01</v>
          </cell>
          <cell r="C3867">
            <v>3681.05</v>
          </cell>
          <cell r="D3867">
            <v>293.29000000000002</v>
          </cell>
          <cell r="E3867">
            <v>306.66000000000003</v>
          </cell>
          <cell r="F3867">
            <v>323.83</v>
          </cell>
          <cell r="G3867">
            <v>275.49</v>
          </cell>
          <cell r="H3867">
            <v>5435.01</v>
          </cell>
          <cell r="I3867">
            <v>372.43</v>
          </cell>
        </row>
        <row r="3868">
          <cell r="A3868">
            <v>37223</v>
          </cell>
          <cell r="B3868">
            <v>3582.19</v>
          </cell>
          <cell r="C3868">
            <v>3631.76</v>
          </cell>
          <cell r="D3868">
            <v>289.52</v>
          </cell>
          <cell r="E3868">
            <v>302.36</v>
          </cell>
          <cell r="F3868">
            <v>318.97000000000003</v>
          </cell>
          <cell r="G3868">
            <v>272.26</v>
          </cell>
          <cell r="H3868">
            <v>5329.96</v>
          </cell>
          <cell r="I3868">
            <v>364.54</v>
          </cell>
        </row>
        <row r="3869">
          <cell r="A3869">
            <v>37224</v>
          </cell>
          <cell r="B3869">
            <v>3575.46</v>
          </cell>
          <cell r="C3869">
            <v>3629.37</v>
          </cell>
          <cell r="D3869">
            <v>289.2</v>
          </cell>
          <cell r="E3869">
            <v>302.22000000000003</v>
          </cell>
          <cell r="F3869">
            <v>318.57</v>
          </cell>
          <cell r="G3869">
            <v>271.8</v>
          </cell>
          <cell r="H3869">
            <v>5300.2</v>
          </cell>
          <cell r="I3869">
            <v>360.86</v>
          </cell>
        </row>
        <row r="3870">
          <cell r="A3870">
            <v>37225</v>
          </cell>
          <cell r="B3870">
            <v>3571.25</v>
          </cell>
          <cell r="C3870">
            <v>3658.27</v>
          </cell>
          <cell r="D3870">
            <v>288.95</v>
          </cell>
          <cell r="E3870">
            <v>304.31</v>
          </cell>
          <cell r="F3870">
            <v>319.88</v>
          </cell>
          <cell r="G3870">
            <v>269.67</v>
          </cell>
          <cell r="H3870">
            <v>5361.76</v>
          </cell>
          <cell r="I3870">
            <v>366.87</v>
          </cell>
        </row>
        <row r="3871">
          <cell r="A3871">
            <v>37228</v>
          </cell>
          <cell r="B3871">
            <v>3555.83</v>
          </cell>
          <cell r="C3871">
            <v>3645.6</v>
          </cell>
          <cell r="D3871">
            <v>287.87</v>
          </cell>
          <cell r="E3871">
            <v>303.12</v>
          </cell>
          <cell r="F3871">
            <v>318.56</v>
          </cell>
          <cell r="G3871">
            <v>268.70999999999998</v>
          </cell>
          <cell r="H3871">
            <v>5324.23</v>
          </cell>
          <cell r="I3871">
            <v>362.92</v>
          </cell>
        </row>
        <row r="3872">
          <cell r="A3872">
            <v>37229</v>
          </cell>
          <cell r="B3872">
            <v>3607.46</v>
          </cell>
          <cell r="C3872">
            <v>3690.25</v>
          </cell>
          <cell r="D3872">
            <v>291.42</v>
          </cell>
          <cell r="E3872">
            <v>306.8</v>
          </cell>
          <cell r="F3872">
            <v>323.31</v>
          </cell>
          <cell r="G3872">
            <v>272.06</v>
          </cell>
          <cell r="H3872">
            <v>5443.09</v>
          </cell>
          <cell r="I3872">
            <v>373.02</v>
          </cell>
        </row>
        <row r="3873">
          <cell r="A3873">
            <v>37230</v>
          </cell>
          <cell r="B3873">
            <v>3714.78</v>
          </cell>
          <cell r="C3873">
            <v>3821.8</v>
          </cell>
          <cell r="D3873">
            <v>299.81</v>
          </cell>
          <cell r="E3873">
            <v>317.31</v>
          </cell>
          <cell r="F3873">
            <v>333.5</v>
          </cell>
          <cell r="G3873">
            <v>278.55</v>
          </cell>
          <cell r="H3873">
            <v>5674.73</v>
          </cell>
          <cell r="I3873">
            <v>390.22</v>
          </cell>
        </row>
        <row r="3874">
          <cell r="A3874">
            <v>37231</v>
          </cell>
          <cell r="B3874">
            <v>3722.09</v>
          </cell>
          <cell r="C3874">
            <v>3828.76</v>
          </cell>
          <cell r="D3874">
            <v>300.62</v>
          </cell>
          <cell r="E3874">
            <v>317.73</v>
          </cell>
          <cell r="F3874">
            <v>333.68</v>
          </cell>
          <cell r="G3874">
            <v>279.67</v>
          </cell>
          <cell r="H3874">
            <v>5671.71</v>
          </cell>
          <cell r="I3874">
            <v>389.6</v>
          </cell>
        </row>
        <row r="3875">
          <cell r="A3875">
            <v>37232</v>
          </cell>
          <cell r="B3875">
            <v>3681.68</v>
          </cell>
          <cell r="C3875">
            <v>3792.85</v>
          </cell>
          <cell r="D3875">
            <v>298.07</v>
          </cell>
          <cell r="E3875">
            <v>315.33999999999997</v>
          </cell>
          <cell r="F3875">
            <v>331.42</v>
          </cell>
          <cell r="G3875">
            <v>277.04000000000002</v>
          </cell>
          <cell r="H3875">
            <v>5651.92</v>
          </cell>
          <cell r="I3875">
            <v>389.54</v>
          </cell>
        </row>
        <row r="3876">
          <cell r="A3876">
            <v>37235</v>
          </cell>
          <cell r="B3876">
            <v>3622.85</v>
          </cell>
          <cell r="C3876">
            <v>3720.2</v>
          </cell>
          <cell r="D3876">
            <v>293.58</v>
          </cell>
          <cell r="E3876">
            <v>309.86</v>
          </cell>
          <cell r="F3876">
            <v>325.74</v>
          </cell>
          <cell r="G3876">
            <v>273.45999999999998</v>
          </cell>
          <cell r="H3876">
            <v>5550.18</v>
          </cell>
          <cell r="I3876">
            <v>380.64</v>
          </cell>
        </row>
        <row r="3877">
          <cell r="A3877">
            <v>37236</v>
          </cell>
          <cell r="B3877">
            <v>3633.37</v>
          </cell>
          <cell r="C3877">
            <v>3744.56</v>
          </cell>
          <cell r="D3877">
            <v>293.64999999999998</v>
          </cell>
          <cell r="E3877">
            <v>311.11</v>
          </cell>
          <cell r="F3877">
            <v>326.7</v>
          </cell>
          <cell r="G3877">
            <v>272.56</v>
          </cell>
          <cell r="H3877">
            <v>5573.23</v>
          </cell>
          <cell r="I3877">
            <v>387.11</v>
          </cell>
        </row>
        <row r="3878">
          <cell r="A3878">
            <v>37237</v>
          </cell>
          <cell r="B3878">
            <v>3594.14</v>
          </cell>
          <cell r="C3878">
            <v>3692.39</v>
          </cell>
          <cell r="D3878">
            <v>290.5</v>
          </cell>
          <cell r="E3878">
            <v>307.22000000000003</v>
          </cell>
          <cell r="F3878">
            <v>323.19</v>
          </cell>
          <cell r="G3878">
            <v>270.08999999999997</v>
          </cell>
          <cell r="H3878">
            <v>5503.06</v>
          </cell>
          <cell r="I3878">
            <v>382.04</v>
          </cell>
        </row>
        <row r="3879">
          <cell r="A3879">
            <v>37238</v>
          </cell>
          <cell r="B3879">
            <v>3537.28</v>
          </cell>
          <cell r="C3879">
            <v>3607.26</v>
          </cell>
          <cell r="D3879">
            <v>286.16000000000003</v>
          </cell>
          <cell r="E3879">
            <v>300.64999999999998</v>
          </cell>
          <cell r="F3879">
            <v>316.92</v>
          </cell>
          <cell r="G3879">
            <v>267.64999999999998</v>
          </cell>
          <cell r="H3879">
            <v>5385.53</v>
          </cell>
          <cell r="I3879">
            <v>370.57</v>
          </cell>
        </row>
        <row r="3880">
          <cell r="A3880">
            <v>37239</v>
          </cell>
          <cell r="B3880">
            <v>3505.4</v>
          </cell>
          <cell r="C3880">
            <v>3568.73</v>
          </cell>
          <cell r="D3880">
            <v>283.72000000000003</v>
          </cell>
          <cell r="E3880">
            <v>297.77999999999997</v>
          </cell>
          <cell r="F3880">
            <v>313.60000000000002</v>
          </cell>
          <cell r="G3880">
            <v>265.61</v>
          </cell>
          <cell r="H3880">
            <v>5273.73</v>
          </cell>
          <cell r="I3880">
            <v>364.4</v>
          </cell>
        </row>
        <row r="3881">
          <cell r="A3881">
            <v>37242</v>
          </cell>
          <cell r="B3881">
            <v>3598.45</v>
          </cell>
          <cell r="C3881">
            <v>3692.85</v>
          </cell>
          <cell r="D3881">
            <v>290.35000000000002</v>
          </cell>
          <cell r="E3881">
            <v>306.8</v>
          </cell>
          <cell r="F3881">
            <v>321.99</v>
          </cell>
          <cell r="G3881">
            <v>270.17</v>
          </cell>
          <cell r="H3881">
            <v>5367.76</v>
          </cell>
          <cell r="I3881">
            <v>373.12</v>
          </cell>
        </row>
        <row r="3882">
          <cell r="A3882">
            <v>37243</v>
          </cell>
          <cell r="B3882">
            <v>3592.76</v>
          </cell>
          <cell r="C3882">
            <v>3680.55</v>
          </cell>
          <cell r="D3882">
            <v>290.24</v>
          </cell>
          <cell r="E3882">
            <v>306.16000000000003</v>
          </cell>
          <cell r="F3882">
            <v>321.43</v>
          </cell>
          <cell r="G3882">
            <v>270.48</v>
          </cell>
          <cell r="H3882">
            <v>5419.97</v>
          </cell>
          <cell r="I3882">
            <v>376.21</v>
          </cell>
        </row>
        <row r="3883">
          <cell r="A3883">
            <v>37244</v>
          </cell>
          <cell r="B3883">
            <v>3554.32</v>
          </cell>
          <cell r="C3883">
            <v>3651.51</v>
          </cell>
          <cell r="D3883">
            <v>287.69</v>
          </cell>
          <cell r="E3883">
            <v>303.82</v>
          </cell>
          <cell r="F3883">
            <v>318.57</v>
          </cell>
          <cell r="G3883">
            <v>267.83</v>
          </cell>
          <cell r="H3883">
            <v>5338.69</v>
          </cell>
          <cell r="I3883">
            <v>369.11</v>
          </cell>
        </row>
        <row r="3884">
          <cell r="A3884">
            <v>37245</v>
          </cell>
          <cell r="B3884">
            <v>3537.34</v>
          </cell>
          <cell r="C3884">
            <v>3617.47</v>
          </cell>
          <cell r="D3884">
            <v>286.07</v>
          </cell>
          <cell r="E3884">
            <v>300.97000000000003</v>
          </cell>
          <cell r="F3884">
            <v>317.10000000000002</v>
          </cell>
          <cell r="G3884">
            <v>267.23</v>
          </cell>
          <cell r="H3884">
            <v>5268.36</v>
          </cell>
          <cell r="I3884">
            <v>363.19</v>
          </cell>
        </row>
        <row r="3885">
          <cell r="A3885">
            <v>37246</v>
          </cell>
          <cell r="B3885">
            <v>3616.8</v>
          </cell>
          <cell r="C3885">
            <v>3696.44</v>
          </cell>
          <cell r="D3885">
            <v>291.39</v>
          </cell>
          <cell r="E3885">
            <v>306.60000000000002</v>
          </cell>
          <cell r="F3885">
            <v>322.55</v>
          </cell>
          <cell r="G3885">
            <v>272.18</v>
          </cell>
          <cell r="H3885">
            <v>5360.52</v>
          </cell>
          <cell r="I3885">
            <v>370.94</v>
          </cell>
        </row>
        <row r="3886">
          <cell r="A3886">
            <v>37249</v>
          </cell>
          <cell r="B3886">
            <v>3622.85</v>
          </cell>
          <cell r="C3886">
            <v>3696.98</v>
          </cell>
          <cell r="D3886">
            <v>291.89999999999998</v>
          </cell>
          <cell r="E3886">
            <v>306.77</v>
          </cell>
          <cell r="F3886">
            <v>322.69</v>
          </cell>
          <cell r="G3886">
            <v>272.95</v>
          </cell>
          <cell r="H3886">
            <v>5360.52</v>
          </cell>
          <cell r="I3886">
            <v>370.94</v>
          </cell>
        </row>
        <row r="3887">
          <cell r="A3887">
            <v>37252</v>
          </cell>
          <cell r="B3887">
            <v>3686.23</v>
          </cell>
          <cell r="C3887">
            <v>3778.39</v>
          </cell>
          <cell r="D3887">
            <v>297.11</v>
          </cell>
          <cell r="E3887">
            <v>312.43</v>
          </cell>
          <cell r="F3887">
            <v>327.57</v>
          </cell>
          <cell r="G3887">
            <v>277.68</v>
          </cell>
          <cell r="H3887">
            <v>5479.59</v>
          </cell>
          <cell r="I3887">
            <v>378.69</v>
          </cell>
        </row>
        <row r="3888">
          <cell r="A3888">
            <v>37253</v>
          </cell>
          <cell r="B3888">
            <v>3706.93</v>
          </cell>
          <cell r="C3888">
            <v>3806.13</v>
          </cell>
          <cell r="D3888">
            <v>298.73</v>
          </cell>
          <cell r="E3888">
            <v>314.52</v>
          </cell>
          <cell r="F3888">
            <v>329.94</v>
          </cell>
          <cell r="G3888">
            <v>278.87</v>
          </cell>
          <cell r="H3888">
            <v>5585.35</v>
          </cell>
          <cell r="I3888">
            <v>386.99</v>
          </cell>
        </row>
        <row r="3889">
          <cell r="A3889">
            <v>37258</v>
          </cell>
          <cell r="B3889">
            <v>3627.81</v>
          </cell>
          <cell r="C3889">
            <v>3755.56</v>
          </cell>
          <cell r="D3889">
            <v>293.69</v>
          </cell>
          <cell r="E3889">
            <v>311.43</v>
          </cell>
          <cell r="F3889">
            <v>326.77</v>
          </cell>
          <cell r="G3889">
            <v>272.38</v>
          </cell>
          <cell r="H3889">
            <v>5522.25</v>
          </cell>
          <cell r="I3889">
            <v>380.09</v>
          </cell>
        </row>
        <row r="3890">
          <cell r="A3890">
            <v>37259</v>
          </cell>
          <cell r="B3890">
            <v>3699.09</v>
          </cell>
          <cell r="C3890">
            <v>3833.09</v>
          </cell>
          <cell r="D3890">
            <v>299.08999999999997</v>
          </cell>
          <cell r="E3890">
            <v>317.54000000000002</v>
          </cell>
          <cell r="F3890">
            <v>332.62</v>
          </cell>
          <cell r="G3890">
            <v>277.08</v>
          </cell>
          <cell r="H3890">
            <v>5722.57</v>
          </cell>
          <cell r="I3890">
            <v>396.12</v>
          </cell>
        </row>
        <row r="3891">
          <cell r="A3891">
            <v>37260</v>
          </cell>
          <cell r="B3891">
            <v>3702.66</v>
          </cell>
          <cell r="C3891">
            <v>3820.42</v>
          </cell>
          <cell r="D3891">
            <v>300.57</v>
          </cell>
          <cell r="E3891">
            <v>317.45</v>
          </cell>
          <cell r="F3891">
            <v>332.91</v>
          </cell>
          <cell r="G3891">
            <v>279.8</v>
          </cell>
          <cell r="H3891">
            <v>5752.12</v>
          </cell>
          <cell r="I3891">
            <v>397.5</v>
          </cell>
        </row>
        <row r="3892">
          <cell r="A3892">
            <v>37263</v>
          </cell>
          <cell r="B3892">
            <v>3657.63</v>
          </cell>
          <cell r="C3892">
            <v>3754.42</v>
          </cell>
          <cell r="D3892">
            <v>297.77</v>
          </cell>
          <cell r="E3892">
            <v>313.33</v>
          </cell>
          <cell r="F3892">
            <v>329.58</v>
          </cell>
          <cell r="G3892">
            <v>278.12</v>
          </cell>
          <cell r="H3892">
            <v>5742.73</v>
          </cell>
          <cell r="I3892">
            <v>395.17</v>
          </cell>
        </row>
        <row r="3893">
          <cell r="A3893">
            <v>37264</v>
          </cell>
          <cell r="B3893">
            <v>3620.8</v>
          </cell>
          <cell r="C3893">
            <v>3724.04</v>
          </cell>
          <cell r="D3893">
            <v>295.36</v>
          </cell>
          <cell r="E3893">
            <v>311.08999999999997</v>
          </cell>
          <cell r="F3893">
            <v>326.43</v>
          </cell>
          <cell r="G3893">
            <v>275.64</v>
          </cell>
          <cell r="H3893">
            <v>5569.88</v>
          </cell>
          <cell r="I3893">
            <v>380.31</v>
          </cell>
        </row>
        <row r="3894">
          <cell r="A3894">
            <v>37265</v>
          </cell>
          <cell r="B3894">
            <v>3609.55</v>
          </cell>
          <cell r="C3894">
            <v>3722.98</v>
          </cell>
          <cell r="D3894">
            <v>295.24</v>
          </cell>
          <cell r="E3894">
            <v>311.77</v>
          </cell>
          <cell r="F3894">
            <v>327.32</v>
          </cell>
          <cell r="G3894">
            <v>274.87</v>
          </cell>
          <cell r="H3894">
            <v>5571.19</v>
          </cell>
          <cell r="I3894">
            <v>377.83</v>
          </cell>
        </row>
        <row r="3895">
          <cell r="A3895">
            <v>37266</v>
          </cell>
          <cell r="B3895">
            <v>3574.92</v>
          </cell>
          <cell r="C3895">
            <v>3666.36</v>
          </cell>
          <cell r="D3895">
            <v>292.60000000000002</v>
          </cell>
          <cell r="E3895">
            <v>307.45999999999998</v>
          </cell>
          <cell r="F3895">
            <v>323.56</v>
          </cell>
          <cell r="G3895">
            <v>273.64999999999998</v>
          </cell>
          <cell r="H3895">
            <v>5530.61</v>
          </cell>
          <cell r="I3895">
            <v>373.06</v>
          </cell>
        </row>
        <row r="3896">
          <cell r="A3896">
            <v>37267</v>
          </cell>
          <cell r="B3896">
            <v>3605.07</v>
          </cell>
          <cell r="C3896">
            <v>3696.66</v>
          </cell>
          <cell r="D3896">
            <v>294.61</v>
          </cell>
          <cell r="E3896">
            <v>309.45999999999998</v>
          </cell>
          <cell r="F3896">
            <v>325.97000000000003</v>
          </cell>
          <cell r="G3896">
            <v>275.62</v>
          </cell>
          <cell r="H3896">
            <v>5574.77</v>
          </cell>
          <cell r="I3896">
            <v>377.93</v>
          </cell>
        </row>
        <row r="3897">
          <cell r="A3897">
            <v>37270</v>
          </cell>
          <cell r="B3897">
            <v>3508.62</v>
          </cell>
          <cell r="C3897">
            <v>3588.51</v>
          </cell>
          <cell r="D3897">
            <v>288.17</v>
          </cell>
          <cell r="E3897">
            <v>301.77999999999997</v>
          </cell>
          <cell r="F3897">
            <v>317.92</v>
          </cell>
          <cell r="G3897">
            <v>270.32</v>
          </cell>
          <cell r="H3897">
            <v>5366.05</v>
          </cell>
          <cell r="I3897">
            <v>361.1</v>
          </cell>
        </row>
        <row r="3898">
          <cell r="A3898">
            <v>37271</v>
          </cell>
          <cell r="B3898">
            <v>3550.33</v>
          </cell>
          <cell r="C3898">
            <v>3637.2</v>
          </cell>
          <cell r="D3898">
            <v>290.92</v>
          </cell>
          <cell r="E3898">
            <v>305.19</v>
          </cell>
          <cell r="F3898">
            <v>320.54000000000002</v>
          </cell>
          <cell r="G3898">
            <v>272.48</v>
          </cell>
          <cell r="H3898">
            <v>5327.05</v>
          </cell>
          <cell r="I3898">
            <v>361.24</v>
          </cell>
        </row>
        <row r="3899">
          <cell r="A3899">
            <v>37272</v>
          </cell>
          <cell r="B3899">
            <v>3513.25</v>
          </cell>
          <cell r="C3899">
            <v>3576.6</v>
          </cell>
          <cell r="D3899">
            <v>287.93</v>
          </cell>
          <cell r="E3899">
            <v>300.72000000000003</v>
          </cell>
          <cell r="F3899">
            <v>316.49</v>
          </cell>
          <cell r="G3899">
            <v>270.75</v>
          </cell>
          <cell r="H3899">
            <v>5248.82</v>
          </cell>
          <cell r="I3899">
            <v>355.92</v>
          </cell>
        </row>
        <row r="3900">
          <cell r="A3900">
            <v>37273</v>
          </cell>
          <cell r="B3900">
            <v>3557.21</v>
          </cell>
          <cell r="C3900">
            <v>3649.43</v>
          </cell>
          <cell r="D3900">
            <v>291.26</v>
          </cell>
          <cell r="E3900">
            <v>306.18</v>
          </cell>
          <cell r="F3900">
            <v>321.82</v>
          </cell>
          <cell r="G3900">
            <v>272.27999999999997</v>
          </cell>
          <cell r="H3900">
            <v>5345.49</v>
          </cell>
          <cell r="I3900">
            <v>362.68</v>
          </cell>
        </row>
        <row r="3901">
          <cell r="A3901">
            <v>37274</v>
          </cell>
          <cell r="B3901">
            <v>3547.51</v>
          </cell>
          <cell r="C3901">
            <v>3639.27</v>
          </cell>
          <cell r="D3901">
            <v>290.25</v>
          </cell>
          <cell r="E3901">
            <v>305.18</v>
          </cell>
          <cell r="F3901">
            <v>320.69</v>
          </cell>
          <cell r="G3901">
            <v>271.29000000000002</v>
          </cell>
          <cell r="H3901">
            <v>5322.94</v>
          </cell>
          <cell r="I3901">
            <v>360.41</v>
          </cell>
        </row>
        <row r="3902">
          <cell r="A3902">
            <v>37277</v>
          </cell>
          <cell r="B3902">
            <v>3524.2</v>
          </cell>
          <cell r="C3902">
            <v>3601.97</v>
          </cell>
          <cell r="D3902">
            <v>288.63</v>
          </cell>
          <cell r="E3902">
            <v>302.27</v>
          </cell>
          <cell r="F3902">
            <v>317.64</v>
          </cell>
          <cell r="G3902">
            <v>270.74</v>
          </cell>
          <cell r="H3902">
            <v>5254.93</v>
          </cell>
          <cell r="I3902">
            <v>351.49</v>
          </cell>
        </row>
        <row r="3903">
          <cell r="A3903">
            <v>37278</v>
          </cell>
          <cell r="B3903">
            <v>3524.83</v>
          </cell>
          <cell r="C3903">
            <v>3614.62</v>
          </cell>
          <cell r="D3903">
            <v>288.61</v>
          </cell>
          <cell r="E3903">
            <v>303.33999999999997</v>
          </cell>
          <cell r="F3903">
            <v>318.63</v>
          </cell>
          <cell r="G3903">
            <v>269.83999999999997</v>
          </cell>
          <cell r="H3903">
            <v>5252.8</v>
          </cell>
          <cell r="I3903">
            <v>350.98</v>
          </cell>
        </row>
        <row r="3904">
          <cell r="A3904">
            <v>37279</v>
          </cell>
          <cell r="B3904">
            <v>3570.6</v>
          </cell>
          <cell r="C3904">
            <v>3648.81</v>
          </cell>
          <cell r="D3904">
            <v>291.04000000000002</v>
          </cell>
          <cell r="E3904">
            <v>305.52</v>
          </cell>
          <cell r="F3904">
            <v>320.93</v>
          </cell>
          <cell r="G3904">
            <v>272.43</v>
          </cell>
          <cell r="H3904">
            <v>5258.77</v>
          </cell>
          <cell r="I3904">
            <v>353.58</v>
          </cell>
        </row>
        <row r="3905">
          <cell r="A3905">
            <v>37280</v>
          </cell>
          <cell r="B3905">
            <v>3623.92</v>
          </cell>
          <cell r="C3905">
            <v>3710.14</v>
          </cell>
          <cell r="D3905">
            <v>294.55</v>
          </cell>
          <cell r="E3905">
            <v>310.02999999999997</v>
          </cell>
          <cell r="F3905">
            <v>325.43</v>
          </cell>
          <cell r="G3905">
            <v>275.04000000000002</v>
          </cell>
          <cell r="H3905">
            <v>5354.58</v>
          </cell>
          <cell r="I3905">
            <v>368.11</v>
          </cell>
        </row>
        <row r="3906">
          <cell r="A3906">
            <v>37281</v>
          </cell>
          <cell r="B3906">
            <v>3609.5</v>
          </cell>
          <cell r="C3906">
            <v>3701.3</v>
          </cell>
          <cell r="D3906">
            <v>293.51</v>
          </cell>
          <cell r="E3906">
            <v>309.36</v>
          </cell>
          <cell r="F3906">
            <v>324.39</v>
          </cell>
          <cell r="G3906">
            <v>273.73</v>
          </cell>
          <cell r="H3906">
            <v>5305.89</v>
          </cell>
          <cell r="I3906">
            <v>363.15</v>
          </cell>
        </row>
        <row r="3907">
          <cell r="A3907">
            <v>37284</v>
          </cell>
          <cell r="B3907">
            <v>3644.36</v>
          </cell>
          <cell r="C3907">
            <v>3739.85</v>
          </cell>
          <cell r="D3907">
            <v>296.12</v>
          </cell>
          <cell r="E3907">
            <v>312.27999999999997</v>
          </cell>
          <cell r="F3907">
            <v>327.02</v>
          </cell>
          <cell r="G3907">
            <v>276.02999999999997</v>
          </cell>
          <cell r="H3907">
            <v>5313.57</v>
          </cell>
          <cell r="I3907">
            <v>365.44</v>
          </cell>
        </row>
        <row r="3908">
          <cell r="A3908">
            <v>37285</v>
          </cell>
          <cell r="B3908">
            <v>3583.29</v>
          </cell>
          <cell r="C3908">
            <v>3684.65</v>
          </cell>
          <cell r="D3908">
            <v>291.95999999999998</v>
          </cell>
          <cell r="E3908">
            <v>308.64999999999998</v>
          </cell>
          <cell r="F3908">
            <v>323.01</v>
          </cell>
          <cell r="G3908">
            <v>271.55</v>
          </cell>
          <cell r="H3908">
            <v>5246.68</v>
          </cell>
          <cell r="I3908">
            <v>360.84</v>
          </cell>
        </row>
        <row r="3909">
          <cell r="A3909">
            <v>37286</v>
          </cell>
          <cell r="B3909">
            <v>3541.32</v>
          </cell>
          <cell r="C3909">
            <v>3630.73</v>
          </cell>
          <cell r="D3909">
            <v>288.70999999999998</v>
          </cell>
          <cell r="E3909">
            <v>304.2</v>
          </cell>
          <cell r="F3909">
            <v>318.26</v>
          </cell>
          <cell r="G3909">
            <v>269.33</v>
          </cell>
          <cell r="H3909">
            <v>5167.7299999999996</v>
          </cell>
          <cell r="I3909">
            <v>353.32</v>
          </cell>
        </row>
        <row r="3910">
          <cell r="A3910">
            <v>37287</v>
          </cell>
          <cell r="B3910">
            <v>3584.17</v>
          </cell>
          <cell r="C3910">
            <v>3670.26</v>
          </cell>
          <cell r="D3910">
            <v>292.45</v>
          </cell>
          <cell r="E3910">
            <v>307.52999999999997</v>
          </cell>
          <cell r="F3910">
            <v>321.72000000000003</v>
          </cell>
          <cell r="G3910">
            <v>273.31</v>
          </cell>
          <cell r="H3910">
            <v>5346.47</v>
          </cell>
          <cell r="I3910">
            <v>364.61</v>
          </cell>
        </row>
        <row r="3911">
          <cell r="A3911">
            <v>37288</v>
          </cell>
          <cell r="B3911">
            <v>3604.59</v>
          </cell>
          <cell r="C3911">
            <v>3682.69</v>
          </cell>
          <cell r="D3911">
            <v>293.45999999999998</v>
          </cell>
          <cell r="E3911">
            <v>308.58999999999997</v>
          </cell>
          <cell r="F3911">
            <v>322.49</v>
          </cell>
          <cell r="G3911">
            <v>274.27</v>
          </cell>
          <cell r="H3911">
            <v>5367.33</v>
          </cell>
          <cell r="I3911">
            <v>367.3</v>
          </cell>
        </row>
        <row r="3912">
          <cell r="A3912">
            <v>37291</v>
          </cell>
          <cell r="B3912">
            <v>3555.49</v>
          </cell>
          <cell r="C3912">
            <v>3619.23</v>
          </cell>
          <cell r="D3912">
            <v>289.99</v>
          </cell>
          <cell r="E3912">
            <v>303.87</v>
          </cell>
          <cell r="F3912">
            <v>318.3</v>
          </cell>
          <cell r="G3912">
            <v>271.88</v>
          </cell>
          <cell r="H3912">
            <v>5356.36</v>
          </cell>
          <cell r="I3912">
            <v>364.8</v>
          </cell>
        </row>
        <row r="3913">
          <cell r="A3913">
            <v>37292</v>
          </cell>
          <cell r="B3913">
            <v>3484.05</v>
          </cell>
          <cell r="C3913">
            <v>3535.7</v>
          </cell>
          <cell r="D3913">
            <v>285.20999999999998</v>
          </cell>
          <cell r="E3913">
            <v>297.88</v>
          </cell>
          <cell r="F3913">
            <v>312.91000000000003</v>
          </cell>
          <cell r="G3913">
            <v>268.18</v>
          </cell>
          <cell r="H3913">
            <v>5283.31</v>
          </cell>
          <cell r="I3913">
            <v>355.46</v>
          </cell>
        </row>
        <row r="3914">
          <cell r="A3914">
            <v>37293</v>
          </cell>
          <cell r="B3914">
            <v>3445.67</v>
          </cell>
          <cell r="C3914">
            <v>3485.38</v>
          </cell>
          <cell r="D3914">
            <v>282.33</v>
          </cell>
          <cell r="E3914">
            <v>293.87</v>
          </cell>
          <cell r="F3914">
            <v>309.3</v>
          </cell>
          <cell r="G3914">
            <v>266.29000000000002</v>
          </cell>
          <cell r="H3914">
            <v>5237.22</v>
          </cell>
          <cell r="I3914">
            <v>350.91</v>
          </cell>
        </row>
        <row r="3915">
          <cell r="A3915">
            <v>37294</v>
          </cell>
          <cell r="B3915">
            <v>3493.28</v>
          </cell>
          <cell r="C3915">
            <v>3519.93</v>
          </cell>
          <cell r="D3915">
            <v>284.74</v>
          </cell>
          <cell r="E3915">
            <v>295.97000000000003</v>
          </cell>
          <cell r="F3915">
            <v>312.05</v>
          </cell>
          <cell r="G3915">
            <v>268.89999999999998</v>
          </cell>
          <cell r="H3915">
            <v>5253.13</v>
          </cell>
          <cell r="I3915">
            <v>354.19</v>
          </cell>
        </row>
        <row r="3916">
          <cell r="A3916">
            <v>37295</v>
          </cell>
          <cell r="B3916">
            <v>3485.57</v>
          </cell>
          <cell r="C3916">
            <v>3507.46</v>
          </cell>
          <cell r="D3916">
            <v>284.33999999999997</v>
          </cell>
          <cell r="E3916">
            <v>295.17</v>
          </cell>
          <cell r="F3916">
            <v>311.43</v>
          </cell>
          <cell r="G3916">
            <v>268.82</v>
          </cell>
          <cell r="H3916">
            <v>5250.65</v>
          </cell>
          <cell r="I3916">
            <v>352.27</v>
          </cell>
        </row>
        <row r="3917">
          <cell r="A3917">
            <v>37298</v>
          </cell>
          <cell r="B3917">
            <v>3522.39</v>
          </cell>
          <cell r="C3917">
            <v>3556.09</v>
          </cell>
          <cell r="D3917">
            <v>286.94</v>
          </cell>
          <cell r="E3917">
            <v>298.48</v>
          </cell>
          <cell r="F3917">
            <v>314.64999999999998</v>
          </cell>
          <cell r="G3917">
            <v>270.79000000000002</v>
          </cell>
          <cell r="H3917">
            <v>5321.51</v>
          </cell>
          <cell r="I3917">
            <v>359.41</v>
          </cell>
        </row>
        <row r="3918">
          <cell r="A3918">
            <v>37299</v>
          </cell>
          <cell r="B3918">
            <v>3516.34</v>
          </cell>
          <cell r="C3918">
            <v>3543.27</v>
          </cell>
          <cell r="D3918">
            <v>286.83999999999997</v>
          </cell>
          <cell r="E3918">
            <v>297.64999999999998</v>
          </cell>
          <cell r="F3918">
            <v>313.64999999999998</v>
          </cell>
          <cell r="G3918">
            <v>271.27999999999997</v>
          </cell>
          <cell r="H3918">
            <v>5336.29</v>
          </cell>
          <cell r="I3918">
            <v>360.8</v>
          </cell>
        </row>
        <row r="3919">
          <cell r="A3919">
            <v>37300</v>
          </cell>
          <cell r="B3919">
            <v>3544.94</v>
          </cell>
          <cell r="C3919">
            <v>3571.56</v>
          </cell>
          <cell r="D3919">
            <v>288.88</v>
          </cell>
          <cell r="E3919">
            <v>300.10000000000002</v>
          </cell>
          <cell r="F3919">
            <v>316.25</v>
          </cell>
          <cell r="G3919">
            <v>272.95</v>
          </cell>
          <cell r="H3919">
            <v>5367.15</v>
          </cell>
          <cell r="I3919">
            <v>363.22</v>
          </cell>
        </row>
        <row r="3920">
          <cell r="A3920">
            <v>37301</v>
          </cell>
          <cell r="B3920">
            <v>3585.72</v>
          </cell>
          <cell r="C3920">
            <v>3616.14</v>
          </cell>
          <cell r="D3920">
            <v>291.7</v>
          </cell>
          <cell r="E3920">
            <v>303.52</v>
          </cell>
          <cell r="F3920">
            <v>319.70999999999998</v>
          </cell>
          <cell r="G3920">
            <v>275.20999999999998</v>
          </cell>
          <cell r="H3920">
            <v>5393.47</v>
          </cell>
          <cell r="I3920">
            <v>364.67</v>
          </cell>
        </row>
        <row r="3921">
          <cell r="A3921">
            <v>37302</v>
          </cell>
          <cell r="B3921">
            <v>3547.68</v>
          </cell>
          <cell r="C3921">
            <v>3555.15</v>
          </cell>
          <cell r="D3921">
            <v>289.7</v>
          </cell>
          <cell r="E3921">
            <v>299.61</v>
          </cell>
          <cell r="F3921">
            <v>316.35000000000002</v>
          </cell>
          <cell r="G3921">
            <v>274.81</v>
          </cell>
          <cell r="H3921">
            <v>5346.84</v>
          </cell>
          <cell r="I3921">
            <v>358.28</v>
          </cell>
        </row>
        <row r="3922">
          <cell r="A3922">
            <v>37305</v>
          </cell>
          <cell r="B3922">
            <v>3532.9</v>
          </cell>
          <cell r="C3922">
            <v>3537.52</v>
          </cell>
          <cell r="D3922">
            <v>288</v>
          </cell>
          <cell r="E3922">
            <v>297.98</v>
          </cell>
          <cell r="F3922">
            <v>314.47000000000003</v>
          </cell>
          <cell r="G3922">
            <v>273.08999999999997</v>
          </cell>
          <cell r="H3922">
            <v>5269.74</v>
          </cell>
          <cell r="I3922">
            <v>353.57</v>
          </cell>
        </row>
        <row r="3923">
          <cell r="A3923">
            <v>37306</v>
          </cell>
          <cell r="B3923">
            <v>3457.37</v>
          </cell>
          <cell r="C3923">
            <v>3448.98</v>
          </cell>
          <cell r="D3923">
            <v>282.64999999999998</v>
          </cell>
          <cell r="E3923">
            <v>291.67</v>
          </cell>
          <cell r="F3923">
            <v>308.05</v>
          </cell>
          <cell r="G3923">
            <v>268.63</v>
          </cell>
          <cell r="H3923">
            <v>5199.3999999999996</v>
          </cell>
          <cell r="I3923">
            <v>345.29</v>
          </cell>
        </row>
        <row r="3924">
          <cell r="A3924">
            <v>37307</v>
          </cell>
          <cell r="B3924">
            <v>3427.57</v>
          </cell>
          <cell r="C3924">
            <v>3433.08</v>
          </cell>
          <cell r="D3924">
            <v>280.85000000000002</v>
          </cell>
          <cell r="E3924">
            <v>290.38</v>
          </cell>
          <cell r="F3924">
            <v>306.77</v>
          </cell>
          <cell r="G3924">
            <v>266.47000000000003</v>
          </cell>
          <cell r="H3924">
            <v>5168.8900000000003</v>
          </cell>
          <cell r="I3924">
            <v>341.64</v>
          </cell>
        </row>
        <row r="3925">
          <cell r="A3925">
            <v>37308</v>
          </cell>
          <cell r="B3925">
            <v>3474.57</v>
          </cell>
          <cell r="C3925">
            <v>3480.58</v>
          </cell>
          <cell r="D3925">
            <v>283.64999999999998</v>
          </cell>
          <cell r="E3925">
            <v>293.69</v>
          </cell>
          <cell r="F3925">
            <v>309.94</v>
          </cell>
          <cell r="G3925">
            <v>268.79000000000002</v>
          </cell>
          <cell r="H3925">
            <v>5216.91</v>
          </cell>
          <cell r="I3925">
            <v>346.48</v>
          </cell>
        </row>
        <row r="3926">
          <cell r="A3926">
            <v>37309</v>
          </cell>
          <cell r="B3926">
            <v>3435.2</v>
          </cell>
          <cell r="C3926">
            <v>3430.18</v>
          </cell>
          <cell r="D3926">
            <v>280.89</v>
          </cell>
          <cell r="E3926">
            <v>289.97000000000003</v>
          </cell>
          <cell r="F3926">
            <v>306.44</v>
          </cell>
          <cell r="G3926">
            <v>266.86</v>
          </cell>
          <cell r="H3926">
            <v>5154.82</v>
          </cell>
          <cell r="I3926">
            <v>340.12</v>
          </cell>
        </row>
        <row r="3927">
          <cell r="A3927">
            <v>37312</v>
          </cell>
          <cell r="B3927">
            <v>3489.66</v>
          </cell>
          <cell r="C3927">
            <v>3493.32</v>
          </cell>
          <cell r="D3927">
            <v>284.86</v>
          </cell>
          <cell r="E3927">
            <v>294.63</v>
          </cell>
          <cell r="F3927">
            <v>311.2</v>
          </cell>
          <cell r="G3927">
            <v>270.18</v>
          </cell>
          <cell r="H3927">
            <v>5251.17</v>
          </cell>
          <cell r="I3927">
            <v>348.23</v>
          </cell>
        </row>
        <row r="3928">
          <cell r="A3928">
            <v>37313</v>
          </cell>
          <cell r="B3928">
            <v>3511.17</v>
          </cell>
          <cell r="C3928">
            <v>3519.8</v>
          </cell>
          <cell r="D3928">
            <v>286.87</v>
          </cell>
          <cell r="E3928">
            <v>297.11</v>
          </cell>
          <cell r="F3928">
            <v>313.14999999999998</v>
          </cell>
          <cell r="G3928">
            <v>271.77</v>
          </cell>
          <cell r="H3928">
            <v>5299.01</v>
          </cell>
          <cell r="I3928">
            <v>352.03</v>
          </cell>
        </row>
        <row r="3929">
          <cell r="A3929">
            <v>37314</v>
          </cell>
          <cell r="B3929">
            <v>3565.08</v>
          </cell>
          <cell r="C3929">
            <v>3591.23</v>
          </cell>
          <cell r="D3929">
            <v>290.87</v>
          </cell>
          <cell r="E3929">
            <v>302.49</v>
          </cell>
          <cell r="F3929">
            <v>318.87</v>
          </cell>
          <cell r="G3929">
            <v>274.56</v>
          </cell>
          <cell r="H3929">
            <v>5422.23</v>
          </cell>
          <cell r="I3929">
            <v>360.7</v>
          </cell>
        </row>
        <row r="3930">
          <cell r="A3930">
            <v>37315</v>
          </cell>
          <cell r="B3930">
            <v>3552.11</v>
          </cell>
          <cell r="C3930">
            <v>3624.74</v>
          </cell>
          <cell r="D3930">
            <v>289.83999999999997</v>
          </cell>
          <cell r="E3930">
            <v>304.52</v>
          </cell>
          <cell r="F3930">
            <v>320.77</v>
          </cell>
          <cell r="G3930">
            <v>271.08</v>
          </cell>
          <cell r="H3930">
            <v>5401.43</v>
          </cell>
          <cell r="I3930">
            <v>359.98</v>
          </cell>
        </row>
        <row r="3931">
          <cell r="A3931">
            <v>37316</v>
          </cell>
          <cell r="B3931">
            <v>3593.43</v>
          </cell>
          <cell r="C3931">
            <v>3645.33</v>
          </cell>
          <cell r="D3931">
            <v>292.94</v>
          </cell>
          <cell r="E3931">
            <v>306.64999999999998</v>
          </cell>
          <cell r="F3931">
            <v>322.54000000000002</v>
          </cell>
          <cell r="G3931">
            <v>274.89</v>
          </cell>
          <cell r="H3931">
            <v>5421.62</v>
          </cell>
          <cell r="I3931">
            <v>360.71</v>
          </cell>
        </row>
        <row r="3932">
          <cell r="A3932">
            <v>37319</v>
          </cell>
          <cell r="B3932">
            <v>3668.03</v>
          </cell>
          <cell r="C3932">
            <v>3748.55</v>
          </cell>
          <cell r="D3932">
            <v>298.64</v>
          </cell>
          <cell r="E3932">
            <v>314.79000000000002</v>
          </cell>
          <cell r="F3932">
            <v>330.65</v>
          </cell>
          <cell r="G3932">
            <v>278.5</v>
          </cell>
          <cell r="H3932">
            <v>5647.51</v>
          </cell>
          <cell r="I3932">
            <v>378.47</v>
          </cell>
        </row>
        <row r="3933">
          <cell r="A3933">
            <v>37320</v>
          </cell>
          <cell r="B3933">
            <v>3647.11</v>
          </cell>
          <cell r="C3933">
            <v>3732.08</v>
          </cell>
          <cell r="D3933">
            <v>297.35000000000002</v>
          </cell>
          <cell r="E3933">
            <v>313.58999999999997</v>
          </cell>
          <cell r="F3933">
            <v>329.43</v>
          </cell>
          <cell r="G3933">
            <v>277.14999999999998</v>
          </cell>
          <cell r="H3933">
            <v>5645.76</v>
          </cell>
          <cell r="I3933">
            <v>377.69</v>
          </cell>
        </row>
        <row r="3934">
          <cell r="A3934">
            <v>37321</v>
          </cell>
          <cell r="B3934">
            <v>3656.68</v>
          </cell>
          <cell r="C3934">
            <v>3748.67</v>
          </cell>
          <cell r="D3934">
            <v>297.70999999999998</v>
          </cell>
          <cell r="E3934">
            <v>314.93</v>
          </cell>
          <cell r="F3934">
            <v>330.44</v>
          </cell>
          <cell r="G3934">
            <v>276.72000000000003</v>
          </cell>
          <cell r="H3934">
            <v>5597.39</v>
          </cell>
          <cell r="I3934">
            <v>377.65</v>
          </cell>
        </row>
        <row r="3935">
          <cell r="A3935">
            <v>37322</v>
          </cell>
          <cell r="B3935">
            <v>3673.45</v>
          </cell>
          <cell r="C3935">
            <v>3766.81</v>
          </cell>
          <cell r="D3935">
            <v>299.35000000000002</v>
          </cell>
          <cell r="E3935">
            <v>316.69</v>
          </cell>
          <cell r="F3935">
            <v>332.25</v>
          </cell>
          <cell r="G3935">
            <v>278.23</v>
          </cell>
          <cell r="H3935">
            <v>5649.35</v>
          </cell>
          <cell r="I3935">
            <v>383.65</v>
          </cell>
        </row>
        <row r="3936">
          <cell r="A3936">
            <v>37323</v>
          </cell>
          <cell r="B3936">
            <v>3704.34</v>
          </cell>
          <cell r="C3936">
            <v>3789.88</v>
          </cell>
          <cell r="D3936">
            <v>301.36</v>
          </cell>
          <cell r="E3936">
            <v>318.39999999999998</v>
          </cell>
          <cell r="F3936">
            <v>334.57</v>
          </cell>
          <cell r="G3936">
            <v>280.43</v>
          </cell>
          <cell r="H3936">
            <v>5726.05</v>
          </cell>
          <cell r="I3936">
            <v>388.37</v>
          </cell>
        </row>
        <row r="3937">
          <cell r="A3937">
            <v>37326</v>
          </cell>
          <cell r="B3937">
            <v>3679.05</v>
          </cell>
          <cell r="C3937">
            <v>3766.9</v>
          </cell>
          <cell r="D3937">
            <v>299.54000000000002</v>
          </cell>
          <cell r="E3937">
            <v>316.85000000000002</v>
          </cell>
          <cell r="F3937">
            <v>333.08</v>
          </cell>
          <cell r="G3937">
            <v>278.43</v>
          </cell>
          <cell r="H3937">
            <v>5673.43</v>
          </cell>
          <cell r="I3937">
            <v>383.09</v>
          </cell>
        </row>
        <row r="3938">
          <cell r="A3938">
            <v>37327</v>
          </cell>
          <cell r="B3938">
            <v>3652.57</v>
          </cell>
          <cell r="C3938">
            <v>3723.95</v>
          </cell>
          <cell r="D3938">
            <v>297.36</v>
          </cell>
          <cell r="E3938">
            <v>313.74</v>
          </cell>
          <cell r="F3938">
            <v>329.92</v>
          </cell>
          <cell r="G3938">
            <v>277.05</v>
          </cell>
          <cell r="H3938">
            <v>5589.5</v>
          </cell>
          <cell r="I3938">
            <v>371.69</v>
          </cell>
        </row>
        <row r="3939">
          <cell r="A3939">
            <v>37328</v>
          </cell>
          <cell r="B3939">
            <v>3651.81</v>
          </cell>
          <cell r="C3939">
            <v>3702.89</v>
          </cell>
          <cell r="D3939">
            <v>297.29000000000002</v>
          </cell>
          <cell r="E3939">
            <v>312.58</v>
          </cell>
          <cell r="F3939">
            <v>329.22</v>
          </cell>
          <cell r="G3939">
            <v>277.87</v>
          </cell>
          <cell r="H3939">
            <v>5572.78</v>
          </cell>
          <cell r="I3939">
            <v>370.29</v>
          </cell>
        </row>
        <row r="3940">
          <cell r="A3940">
            <v>37329</v>
          </cell>
          <cell r="B3940">
            <v>3646.49</v>
          </cell>
          <cell r="C3940">
            <v>3711.44</v>
          </cell>
          <cell r="D3940">
            <v>297.25</v>
          </cell>
          <cell r="E3940">
            <v>313.31</v>
          </cell>
          <cell r="F3940">
            <v>330.3</v>
          </cell>
          <cell r="G3940">
            <v>277.2</v>
          </cell>
          <cell r="H3940">
            <v>5528.09</v>
          </cell>
          <cell r="I3940">
            <v>367.01</v>
          </cell>
        </row>
        <row r="3941">
          <cell r="A3941">
            <v>37330</v>
          </cell>
          <cell r="B3941">
            <v>3682.69</v>
          </cell>
          <cell r="C3941">
            <v>3755.75</v>
          </cell>
          <cell r="D3941">
            <v>299.74</v>
          </cell>
          <cell r="E3941">
            <v>316.52</v>
          </cell>
          <cell r="F3941">
            <v>333.11</v>
          </cell>
          <cell r="G3941">
            <v>279.05</v>
          </cell>
          <cell r="H3941">
            <v>5519.21</v>
          </cell>
          <cell r="I3941">
            <v>367.37</v>
          </cell>
        </row>
        <row r="3942">
          <cell r="A3942">
            <v>37333</v>
          </cell>
          <cell r="B3942">
            <v>3697.76</v>
          </cell>
          <cell r="C3942">
            <v>3778.72</v>
          </cell>
          <cell r="D3942">
            <v>301.39</v>
          </cell>
          <cell r="E3942">
            <v>318.67</v>
          </cell>
          <cell r="F3942">
            <v>335.42</v>
          </cell>
          <cell r="G3942">
            <v>280.26</v>
          </cell>
          <cell r="H3942">
            <v>5590.29</v>
          </cell>
          <cell r="I3942">
            <v>372.93</v>
          </cell>
        </row>
        <row r="3943">
          <cell r="A3943">
            <v>37334</v>
          </cell>
          <cell r="B3943">
            <v>3707.12</v>
          </cell>
          <cell r="C3943">
            <v>3796.26</v>
          </cell>
          <cell r="D3943">
            <v>302.27999999999997</v>
          </cell>
          <cell r="E3943">
            <v>320.2</v>
          </cell>
          <cell r="F3943">
            <v>336.74</v>
          </cell>
          <cell r="G3943">
            <v>280.61</v>
          </cell>
          <cell r="H3943">
            <v>5559.7</v>
          </cell>
          <cell r="I3943">
            <v>368.99</v>
          </cell>
        </row>
        <row r="3944">
          <cell r="A3944">
            <v>37335</v>
          </cell>
          <cell r="B3944">
            <v>3663.57</v>
          </cell>
          <cell r="C3944">
            <v>3747.27</v>
          </cell>
          <cell r="D3944">
            <v>299.45</v>
          </cell>
          <cell r="E3944">
            <v>316.45</v>
          </cell>
          <cell r="F3944">
            <v>333.37</v>
          </cell>
          <cell r="G3944">
            <v>278.60000000000002</v>
          </cell>
          <cell r="H3944">
            <v>5476.84</v>
          </cell>
          <cell r="I3944">
            <v>362.04</v>
          </cell>
        </row>
        <row r="3945">
          <cell r="A3945">
            <v>37336</v>
          </cell>
          <cell r="B3945">
            <v>3643.52</v>
          </cell>
          <cell r="C3945">
            <v>3722.68</v>
          </cell>
          <cell r="D3945">
            <v>298.67</v>
          </cell>
          <cell r="E3945">
            <v>315.02</v>
          </cell>
          <cell r="F3945">
            <v>332.27</v>
          </cell>
          <cell r="G3945">
            <v>278.36</v>
          </cell>
          <cell r="H3945">
            <v>5485.61</v>
          </cell>
          <cell r="I3945">
            <v>362.21</v>
          </cell>
        </row>
        <row r="3946">
          <cell r="A3946">
            <v>37337</v>
          </cell>
          <cell r="B3946">
            <v>3660.82</v>
          </cell>
          <cell r="C3946">
            <v>3744.37</v>
          </cell>
          <cell r="D3946">
            <v>300.32</v>
          </cell>
          <cell r="E3946">
            <v>316.62</v>
          </cell>
          <cell r="F3946">
            <v>334.12</v>
          </cell>
          <cell r="G3946">
            <v>280</v>
          </cell>
          <cell r="H3946">
            <v>5584.49</v>
          </cell>
          <cell r="I3946">
            <v>367.96</v>
          </cell>
        </row>
        <row r="3947">
          <cell r="A3947">
            <v>37340</v>
          </cell>
          <cell r="B3947">
            <v>3627.04</v>
          </cell>
          <cell r="C3947">
            <v>3711.76</v>
          </cell>
          <cell r="D3947">
            <v>298.25</v>
          </cell>
          <cell r="E3947">
            <v>314.41000000000003</v>
          </cell>
          <cell r="F3947">
            <v>332.06</v>
          </cell>
          <cell r="G3947">
            <v>278.10000000000002</v>
          </cell>
          <cell r="H3947">
            <v>5537.41</v>
          </cell>
          <cell r="I3947">
            <v>365.29</v>
          </cell>
        </row>
        <row r="3948">
          <cell r="A3948">
            <v>37341</v>
          </cell>
          <cell r="B3948">
            <v>3633.78</v>
          </cell>
          <cell r="C3948">
            <v>3732.75</v>
          </cell>
          <cell r="D3948">
            <v>298.77</v>
          </cell>
          <cell r="E3948">
            <v>315.8</v>
          </cell>
          <cell r="F3948">
            <v>333.19</v>
          </cell>
          <cell r="G3948">
            <v>277.89999999999998</v>
          </cell>
          <cell r="H3948">
            <v>5519.93</v>
          </cell>
          <cell r="I3948">
            <v>363</v>
          </cell>
        </row>
        <row r="3949">
          <cell r="A3949">
            <v>37342</v>
          </cell>
          <cell r="B3949">
            <v>3646.49</v>
          </cell>
          <cell r="C3949">
            <v>3734.98</v>
          </cell>
          <cell r="D3949">
            <v>299.52</v>
          </cell>
          <cell r="E3949">
            <v>315.91000000000003</v>
          </cell>
          <cell r="F3949">
            <v>333.23</v>
          </cell>
          <cell r="G3949">
            <v>279.17</v>
          </cell>
          <cell r="H3949">
            <v>5518.65</v>
          </cell>
          <cell r="I3949">
            <v>364.7</v>
          </cell>
        </row>
        <row r="3950">
          <cell r="A3950">
            <v>37343</v>
          </cell>
          <cell r="B3950">
            <v>3695.24</v>
          </cell>
          <cell r="C3950">
            <v>3784.05</v>
          </cell>
          <cell r="D3950">
            <v>303.04000000000002</v>
          </cell>
          <cell r="E3950">
            <v>319.68</v>
          </cell>
          <cell r="F3950">
            <v>336.53</v>
          </cell>
          <cell r="G3950">
            <v>282.39</v>
          </cell>
          <cell r="H3950">
            <v>5536.39</v>
          </cell>
          <cell r="I3950">
            <v>365.58</v>
          </cell>
        </row>
        <row r="3951">
          <cell r="A3951">
            <v>37348</v>
          </cell>
          <cell r="B3951">
            <v>3666.67</v>
          </cell>
          <cell r="C3951">
            <v>3743.96</v>
          </cell>
          <cell r="D3951">
            <v>301.24</v>
          </cell>
          <cell r="E3951">
            <v>316.74</v>
          </cell>
          <cell r="F3951">
            <v>334.33</v>
          </cell>
          <cell r="G3951">
            <v>281.55</v>
          </cell>
          <cell r="H3951">
            <v>5513.4</v>
          </cell>
          <cell r="I3951">
            <v>361.3</v>
          </cell>
        </row>
        <row r="3952">
          <cell r="A3952">
            <v>37349</v>
          </cell>
          <cell r="B3952">
            <v>3663.84</v>
          </cell>
          <cell r="C3952">
            <v>3748.44</v>
          </cell>
          <cell r="D3952">
            <v>300.79000000000002</v>
          </cell>
          <cell r="E3952">
            <v>316.54000000000002</v>
          </cell>
          <cell r="F3952">
            <v>334.12</v>
          </cell>
          <cell r="G3952">
            <v>280.91000000000003</v>
          </cell>
          <cell r="H3952">
            <v>5467.82</v>
          </cell>
          <cell r="I3952">
            <v>359.36</v>
          </cell>
        </row>
        <row r="3953">
          <cell r="A3953">
            <v>37350</v>
          </cell>
          <cell r="B3953">
            <v>3623.6</v>
          </cell>
          <cell r="C3953">
            <v>3691.1</v>
          </cell>
          <cell r="D3953">
            <v>298</v>
          </cell>
          <cell r="E3953">
            <v>312.49</v>
          </cell>
          <cell r="F3953">
            <v>330.51</v>
          </cell>
          <cell r="G3953">
            <v>279.20999999999998</v>
          </cell>
          <cell r="H3953">
            <v>5444.96</v>
          </cell>
          <cell r="I3953">
            <v>355.98</v>
          </cell>
        </row>
        <row r="3954">
          <cell r="A3954">
            <v>37351</v>
          </cell>
          <cell r="B3954">
            <v>3621.4</v>
          </cell>
          <cell r="C3954">
            <v>3677.72</v>
          </cell>
          <cell r="D3954">
            <v>298</v>
          </cell>
          <cell r="E3954">
            <v>311.69</v>
          </cell>
          <cell r="F3954">
            <v>329.91</v>
          </cell>
          <cell r="G3954">
            <v>279.85000000000002</v>
          </cell>
          <cell r="H3954">
            <v>5485.26</v>
          </cell>
          <cell r="I3954">
            <v>358.22</v>
          </cell>
        </row>
        <row r="3955">
          <cell r="A3955">
            <v>37354</v>
          </cell>
          <cell r="B3955">
            <v>3568.66</v>
          </cell>
          <cell r="C3955">
            <v>3604.73</v>
          </cell>
          <cell r="D3955">
            <v>294.29000000000002</v>
          </cell>
          <cell r="E3955">
            <v>306.14999999999998</v>
          </cell>
          <cell r="F3955">
            <v>324.49</v>
          </cell>
          <cell r="G3955">
            <v>277.69</v>
          </cell>
          <cell r="H3955">
            <v>5389.43</v>
          </cell>
          <cell r="I3955">
            <v>349.67</v>
          </cell>
        </row>
        <row r="3956">
          <cell r="A3956">
            <v>37355</v>
          </cell>
          <cell r="B3956">
            <v>3571.03</v>
          </cell>
          <cell r="C3956">
            <v>3623</v>
          </cell>
          <cell r="D3956">
            <v>294.64</v>
          </cell>
          <cell r="E3956">
            <v>307.51</v>
          </cell>
          <cell r="F3956">
            <v>325.82</v>
          </cell>
          <cell r="G3956">
            <v>277.23</v>
          </cell>
          <cell r="H3956">
            <v>5380.22</v>
          </cell>
          <cell r="I3956">
            <v>350.63</v>
          </cell>
        </row>
        <row r="3957">
          <cell r="A3957">
            <v>37356</v>
          </cell>
          <cell r="B3957">
            <v>3604.44</v>
          </cell>
          <cell r="C3957">
            <v>3660.5</v>
          </cell>
          <cell r="D3957">
            <v>297.11</v>
          </cell>
          <cell r="E3957">
            <v>310.38</v>
          </cell>
          <cell r="F3957">
            <v>328.23</v>
          </cell>
          <cell r="G3957">
            <v>279.32</v>
          </cell>
          <cell r="H3957">
            <v>5317.58</v>
          </cell>
          <cell r="I3957">
            <v>345.89</v>
          </cell>
        </row>
        <row r="3958">
          <cell r="A3958">
            <v>37357</v>
          </cell>
          <cell r="B3958">
            <v>3532.49</v>
          </cell>
          <cell r="C3958">
            <v>3593.43</v>
          </cell>
          <cell r="D3958">
            <v>292.32</v>
          </cell>
          <cell r="E3958">
            <v>305.43</v>
          </cell>
          <cell r="F3958">
            <v>323.27999999999997</v>
          </cell>
          <cell r="G3958">
            <v>274.77</v>
          </cell>
          <cell r="H3958">
            <v>5222.76</v>
          </cell>
          <cell r="I3958">
            <v>338.6</v>
          </cell>
        </row>
        <row r="3959">
          <cell r="A3959">
            <v>37358</v>
          </cell>
          <cell r="B3959">
            <v>3546.28</v>
          </cell>
          <cell r="C3959">
            <v>3611.79</v>
          </cell>
          <cell r="D3959">
            <v>293.8</v>
          </cell>
          <cell r="E3959">
            <v>306.87</v>
          </cell>
          <cell r="F3959">
            <v>324.58999999999997</v>
          </cell>
          <cell r="G3959">
            <v>276.24</v>
          </cell>
          <cell r="H3959">
            <v>5269.34</v>
          </cell>
          <cell r="I3959">
            <v>342.08</v>
          </cell>
        </row>
        <row r="3960">
          <cell r="A3960">
            <v>37361</v>
          </cell>
          <cell r="B3960">
            <v>3581.44</v>
          </cell>
          <cell r="C3960">
            <v>3650.23</v>
          </cell>
          <cell r="D3960">
            <v>295.77999999999997</v>
          </cell>
          <cell r="E3960">
            <v>309.33999999999997</v>
          </cell>
          <cell r="F3960">
            <v>326.75</v>
          </cell>
          <cell r="G3960">
            <v>277.77999999999997</v>
          </cell>
          <cell r="H3960">
            <v>5289.86</v>
          </cell>
          <cell r="I3960">
            <v>344.95</v>
          </cell>
        </row>
        <row r="3961">
          <cell r="A3961">
            <v>37362</v>
          </cell>
          <cell r="B3961">
            <v>3648.56</v>
          </cell>
          <cell r="C3961">
            <v>3742.88</v>
          </cell>
          <cell r="D3961">
            <v>300.36</v>
          </cell>
          <cell r="E3961">
            <v>316.13</v>
          </cell>
          <cell r="F3961">
            <v>333.07</v>
          </cell>
          <cell r="G3961">
            <v>280.49</v>
          </cell>
          <cell r="H3961">
            <v>5399.19</v>
          </cell>
          <cell r="I3961">
            <v>353.89</v>
          </cell>
        </row>
        <row r="3962">
          <cell r="A3962">
            <v>37363</v>
          </cell>
          <cell r="B3962">
            <v>3648.61</v>
          </cell>
          <cell r="C3962">
            <v>3746.69</v>
          </cell>
          <cell r="D3962">
            <v>300.25</v>
          </cell>
          <cell r="E3962">
            <v>316.37</v>
          </cell>
          <cell r="F3962">
            <v>333.45</v>
          </cell>
          <cell r="G3962">
            <v>280.08999999999997</v>
          </cell>
          <cell r="H3962">
            <v>5439.74</v>
          </cell>
          <cell r="I3962">
            <v>357.7</v>
          </cell>
        </row>
        <row r="3963">
          <cell r="A3963">
            <v>37364</v>
          </cell>
          <cell r="B3963">
            <v>3619.67</v>
          </cell>
          <cell r="C3963">
            <v>3704.86</v>
          </cell>
          <cell r="D3963">
            <v>298.26</v>
          </cell>
          <cell r="E3963">
            <v>313.57</v>
          </cell>
          <cell r="F3963">
            <v>330.83</v>
          </cell>
          <cell r="G3963">
            <v>278.8</v>
          </cell>
          <cell r="H3963">
            <v>5289.96</v>
          </cell>
          <cell r="I3963">
            <v>339.85</v>
          </cell>
        </row>
        <row r="3964">
          <cell r="A3964">
            <v>37365</v>
          </cell>
          <cell r="B3964">
            <v>3615.29</v>
          </cell>
          <cell r="C3964">
            <v>3709.01</v>
          </cell>
          <cell r="D3964">
            <v>298.54000000000002</v>
          </cell>
          <cell r="E3964">
            <v>314.18</v>
          </cell>
          <cell r="F3964">
            <v>331.15</v>
          </cell>
          <cell r="G3964">
            <v>278.8</v>
          </cell>
          <cell r="H3964">
            <v>5251.21</v>
          </cell>
          <cell r="I3964">
            <v>334.13</v>
          </cell>
        </row>
        <row r="3965">
          <cell r="A3965">
            <v>37368</v>
          </cell>
          <cell r="B3965">
            <v>3583.72</v>
          </cell>
          <cell r="C3965">
            <v>3665.27</v>
          </cell>
          <cell r="D3965">
            <v>296.55</v>
          </cell>
          <cell r="E3965">
            <v>311.13</v>
          </cell>
          <cell r="F3965">
            <v>327.7</v>
          </cell>
          <cell r="G3965">
            <v>277.72000000000003</v>
          </cell>
          <cell r="H3965">
            <v>5052.41</v>
          </cell>
          <cell r="I3965">
            <v>320.51</v>
          </cell>
        </row>
        <row r="3966">
          <cell r="A3966">
            <v>37369</v>
          </cell>
          <cell r="B3966">
            <v>3567.87</v>
          </cell>
          <cell r="C3966">
            <v>3657.8</v>
          </cell>
          <cell r="D3966">
            <v>295.64999999999998</v>
          </cell>
          <cell r="E3966">
            <v>310.72000000000003</v>
          </cell>
          <cell r="F3966">
            <v>327.24</v>
          </cell>
          <cell r="G3966">
            <v>276.44</v>
          </cell>
          <cell r="H3966">
            <v>5019.45</v>
          </cell>
          <cell r="I3966">
            <v>318.68</v>
          </cell>
        </row>
        <row r="3967">
          <cell r="A3967">
            <v>37370</v>
          </cell>
          <cell r="B3967">
            <v>3554.74</v>
          </cell>
          <cell r="C3967">
            <v>3625.67</v>
          </cell>
          <cell r="D3967">
            <v>294.43</v>
          </cell>
          <cell r="E3967">
            <v>308.29000000000002</v>
          </cell>
          <cell r="F3967">
            <v>324.81</v>
          </cell>
          <cell r="G3967">
            <v>276.23</v>
          </cell>
          <cell r="H3967">
            <v>4868.57</v>
          </cell>
          <cell r="I3967">
            <v>308</v>
          </cell>
        </row>
        <row r="3968">
          <cell r="A3968">
            <v>37371</v>
          </cell>
          <cell r="B3968">
            <v>3526.47</v>
          </cell>
          <cell r="C3968">
            <v>3574.38</v>
          </cell>
          <cell r="D3968">
            <v>291.42</v>
          </cell>
          <cell r="E3968">
            <v>304.23</v>
          </cell>
          <cell r="F3968">
            <v>320.7</v>
          </cell>
          <cell r="G3968">
            <v>274.13</v>
          </cell>
          <cell r="H3968">
            <v>4834.83</v>
          </cell>
          <cell r="I3968">
            <v>308.88</v>
          </cell>
        </row>
        <row r="3969">
          <cell r="A3969">
            <v>37372</v>
          </cell>
          <cell r="B3969">
            <v>3500.8</v>
          </cell>
          <cell r="C3969">
            <v>3561.08</v>
          </cell>
          <cell r="D3969">
            <v>289.88</v>
          </cell>
          <cell r="E3969">
            <v>303.33</v>
          </cell>
          <cell r="F3969">
            <v>319.83999999999997</v>
          </cell>
          <cell r="G3969">
            <v>272.12</v>
          </cell>
          <cell r="H3969">
            <v>4926.4399999999996</v>
          </cell>
          <cell r="I3969">
            <v>312.8</v>
          </cell>
        </row>
        <row r="3970">
          <cell r="A3970">
            <v>37375</v>
          </cell>
          <cell r="B3970">
            <v>3489.15</v>
          </cell>
          <cell r="C3970">
            <v>3538.74</v>
          </cell>
          <cell r="D3970">
            <v>288.99</v>
          </cell>
          <cell r="E3970">
            <v>301.82</v>
          </cell>
          <cell r="F3970">
            <v>318.77</v>
          </cell>
          <cell r="G3970">
            <v>271.75</v>
          </cell>
          <cell r="H3970">
            <v>4892.63</v>
          </cell>
          <cell r="I3970">
            <v>309.06</v>
          </cell>
        </row>
        <row r="3971">
          <cell r="A3971">
            <v>37376</v>
          </cell>
          <cell r="B3971">
            <v>3510</v>
          </cell>
          <cell r="C3971">
            <v>3574.23</v>
          </cell>
          <cell r="D3971">
            <v>290.64</v>
          </cell>
          <cell r="E3971">
            <v>303.89</v>
          </cell>
          <cell r="F3971">
            <v>320.74</v>
          </cell>
          <cell r="G3971">
            <v>273.01</v>
          </cell>
          <cell r="H3971">
            <v>4938.41</v>
          </cell>
          <cell r="I3971">
            <v>311.67</v>
          </cell>
        </row>
        <row r="3972">
          <cell r="A3972">
            <v>37378</v>
          </cell>
          <cell r="B3972">
            <v>3496.89</v>
          </cell>
          <cell r="C3972">
            <v>3543.12</v>
          </cell>
          <cell r="D3972">
            <v>289.95</v>
          </cell>
          <cell r="E3972">
            <v>301.02</v>
          </cell>
          <cell r="F3972">
            <v>318.68</v>
          </cell>
          <cell r="G3972">
            <v>274.10000000000002</v>
          </cell>
          <cell r="H3972">
            <v>5009.2299999999996</v>
          </cell>
          <cell r="I3972">
            <v>316.02</v>
          </cell>
        </row>
        <row r="3973">
          <cell r="A3973">
            <v>37379</v>
          </cell>
          <cell r="B3973">
            <v>3466.61</v>
          </cell>
          <cell r="C3973">
            <v>3496.44</v>
          </cell>
          <cell r="D3973">
            <v>287.54000000000002</v>
          </cell>
          <cell r="E3973">
            <v>297.56</v>
          </cell>
          <cell r="F3973">
            <v>315.8</v>
          </cell>
          <cell r="G3973">
            <v>272.60000000000002</v>
          </cell>
          <cell r="H3973">
            <v>4898.55</v>
          </cell>
          <cell r="I3973">
            <v>305.43</v>
          </cell>
        </row>
        <row r="3974">
          <cell r="A3974">
            <v>37382</v>
          </cell>
          <cell r="B3974">
            <v>3453.85</v>
          </cell>
          <cell r="C3974">
            <v>3479.29</v>
          </cell>
          <cell r="D3974">
            <v>286.92</v>
          </cell>
          <cell r="E3974">
            <v>296.67</v>
          </cell>
          <cell r="F3974">
            <v>314.66000000000003</v>
          </cell>
          <cell r="G3974">
            <v>272.2</v>
          </cell>
          <cell r="H3974">
            <v>4867.3999999999996</v>
          </cell>
          <cell r="I3974">
            <v>302.89999999999998</v>
          </cell>
        </row>
        <row r="3975">
          <cell r="A3975">
            <v>37383</v>
          </cell>
          <cell r="B3975">
            <v>3412.71</v>
          </cell>
          <cell r="C3975">
            <v>3453.29</v>
          </cell>
          <cell r="D3975">
            <v>283.86</v>
          </cell>
          <cell r="E3975">
            <v>294.25</v>
          </cell>
          <cell r="F3975">
            <v>311.98</v>
          </cell>
          <cell r="G3975">
            <v>268.70999999999998</v>
          </cell>
          <cell r="H3975">
            <v>4873.1400000000003</v>
          </cell>
          <cell r="I3975">
            <v>303.07</v>
          </cell>
        </row>
        <row r="3976">
          <cell r="A3976">
            <v>37384</v>
          </cell>
          <cell r="B3976">
            <v>3495.14</v>
          </cell>
          <cell r="C3976">
            <v>3540.64</v>
          </cell>
          <cell r="D3976">
            <v>289.97000000000003</v>
          </cell>
          <cell r="E3976">
            <v>301.32</v>
          </cell>
          <cell r="F3976">
            <v>319.16000000000003</v>
          </cell>
          <cell r="G3976">
            <v>273.89999999999998</v>
          </cell>
          <cell r="H3976">
            <v>5012.99</v>
          </cell>
          <cell r="I3976">
            <v>313.61</v>
          </cell>
        </row>
        <row r="3977">
          <cell r="A3977">
            <v>37385</v>
          </cell>
          <cell r="B3977">
            <v>3488.68</v>
          </cell>
          <cell r="C3977">
            <v>3525.59</v>
          </cell>
          <cell r="D3977">
            <v>289</v>
          </cell>
          <cell r="E3977">
            <v>299.97000000000003</v>
          </cell>
          <cell r="F3977">
            <v>318.19</v>
          </cell>
          <cell r="G3977">
            <v>273.26</v>
          </cell>
          <cell r="H3977">
            <v>5007.84</v>
          </cell>
          <cell r="I3977">
            <v>313.39</v>
          </cell>
        </row>
        <row r="3978">
          <cell r="A3978">
            <v>37386</v>
          </cell>
          <cell r="B3978">
            <v>3438.11</v>
          </cell>
          <cell r="C3978">
            <v>3465.12</v>
          </cell>
          <cell r="D3978">
            <v>285.83999999999997</v>
          </cell>
          <cell r="E3978">
            <v>295.91000000000003</v>
          </cell>
          <cell r="F3978">
            <v>314.06</v>
          </cell>
          <cell r="G3978">
            <v>270.88</v>
          </cell>
          <cell r="H3978">
            <v>4937.67</v>
          </cell>
          <cell r="I3978">
            <v>307.18</v>
          </cell>
        </row>
        <row r="3979">
          <cell r="A3979">
            <v>37389</v>
          </cell>
          <cell r="B3979">
            <v>3468.81</v>
          </cell>
          <cell r="C3979">
            <v>3511.01</v>
          </cell>
          <cell r="D3979">
            <v>288.02</v>
          </cell>
          <cell r="E3979">
            <v>299.25</v>
          </cell>
          <cell r="F3979">
            <v>317.12</v>
          </cell>
          <cell r="G3979">
            <v>272.08999999999997</v>
          </cell>
          <cell r="H3979">
            <v>4974.0200000000004</v>
          </cell>
          <cell r="I3979">
            <v>309.68</v>
          </cell>
        </row>
        <row r="3980">
          <cell r="A3980">
            <v>37390</v>
          </cell>
          <cell r="B3980">
            <v>3526.07</v>
          </cell>
          <cell r="C3980">
            <v>3575.62</v>
          </cell>
          <cell r="D3980">
            <v>291.77999999999997</v>
          </cell>
          <cell r="E3980">
            <v>304.10000000000002</v>
          </cell>
          <cell r="F3980">
            <v>321.7</v>
          </cell>
          <cell r="G3980">
            <v>274.87</v>
          </cell>
          <cell r="H3980">
            <v>5057.6499999999996</v>
          </cell>
          <cell r="I3980">
            <v>316.38</v>
          </cell>
        </row>
        <row r="3981">
          <cell r="A3981">
            <v>37391</v>
          </cell>
          <cell r="B3981">
            <v>3547.44</v>
          </cell>
          <cell r="C3981">
            <v>3595.73</v>
          </cell>
          <cell r="D3981">
            <v>292.89</v>
          </cell>
          <cell r="E3981">
            <v>305.38</v>
          </cell>
          <cell r="F3981">
            <v>323.20999999999998</v>
          </cell>
          <cell r="G3981">
            <v>275.82</v>
          </cell>
          <cell r="H3981">
            <v>5050.37</v>
          </cell>
          <cell r="I3981">
            <v>317.36</v>
          </cell>
        </row>
        <row r="3982">
          <cell r="A3982">
            <v>37392</v>
          </cell>
          <cell r="B3982">
            <v>3531.89</v>
          </cell>
          <cell r="C3982">
            <v>3579.03</v>
          </cell>
          <cell r="D3982">
            <v>291.62</v>
          </cell>
          <cell r="E3982">
            <v>304.16000000000003</v>
          </cell>
          <cell r="F3982">
            <v>322.2</v>
          </cell>
          <cell r="G3982">
            <v>274.54000000000002</v>
          </cell>
          <cell r="H3982">
            <v>5001.08</v>
          </cell>
          <cell r="I3982">
            <v>313.45</v>
          </cell>
        </row>
        <row r="3983">
          <cell r="A3983">
            <v>37393</v>
          </cell>
          <cell r="B3983">
            <v>3495.31</v>
          </cell>
          <cell r="C3983">
            <v>3554.77</v>
          </cell>
          <cell r="D3983">
            <v>289.26</v>
          </cell>
          <cell r="E3983">
            <v>302.7</v>
          </cell>
          <cell r="F3983">
            <v>320.81</v>
          </cell>
          <cell r="G3983">
            <v>271.52</v>
          </cell>
          <cell r="H3983">
            <v>5023.83</v>
          </cell>
          <cell r="I3983">
            <v>314.23</v>
          </cell>
        </row>
        <row r="3984">
          <cell r="A3984">
            <v>37396</v>
          </cell>
          <cell r="B3984">
            <v>3472.48</v>
          </cell>
          <cell r="C3984">
            <v>3518.98</v>
          </cell>
          <cell r="D3984">
            <v>287.58</v>
          </cell>
          <cell r="E3984">
            <v>300.02999999999997</v>
          </cell>
          <cell r="F3984">
            <v>318.47000000000003</v>
          </cell>
          <cell r="G3984">
            <v>270.68</v>
          </cell>
          <cell r="H3984">
            <v>5029.13</v>
          </cell>
          <cell r="I3984">
            <v>313.58</v>
          </cell>
        </row>
        <row r="3985">
          <cell r="A3985">
            <v>37397</v>
          </cell>
          <cell r="B3985">
            <v>3474.91</v>
          </cell>
          <cell r="C3985">
            <v>3512.88</v>
          </cell>
          <cell r="D3985">
            <v>287.48</v>
          </cell>
          <cell r="E3985">
            <v>299.31</v>
          </cell>
          <cell r="F3985">
            <v>317.95</v>
          </cell>
          <cell r="G3985">
            <v>271.07</v>
          </cell>
          <cell r="H3985">
            <v>4984.2700000000004</v>
          </cell>
          <cell r="I3985">
            <v>310.75</v>
          </cell>
        </row>
        <row r="3986">
          <cell r="A3986">
            <v>37398</v>
          </cell>
          <cell r="B3986">
            <v>3420.57</v>
          </cell>
          <cell r="C3986">
            <v>3459.02</v>
          </cell>
          <cell r="D3986">
            <v>283.35000000000002</v>
          </cell>
          <cell r="E3986">
            <v>295.08</v>
          </cell>
          <cell r="F3986">
            <v>313.81</v>
          </cell>
          <cell r="G3986">
            <v>267.12</v>
          </cell>
          <cell r="H3986">
            <v>4894.29</v>
          </cell>
          <cell r="I3986">
            <v>301.52999999999997</v>
          </cell>
        </row>
        <row r="3987">
          <cell r="A3987">
            <v>37399</v>
          </cell>
          <cell r="B3987">
            <v>3430.62</v>
          </cell>
          <cell r="C3987">
            <v>3467.67</v>
          </cell>
          <cell r="D3987">
            <v>283.98</v>
          </cell>
          <cell r="E3987">
            <v>295.3</v>
          </cell>
          <cell r="F3987">
            <v>313.85000000000002</v>
          </cell>
          <cell r="G3987">
            <v>268.07</v>
          </cell>
          <cell r="H3987">
            <v>4907.8</v>
          </cell>
          <cell r="I3987">
            <v>300.64</v>
          </cell>
        </row>
        <row r="3988">
          <cell r="A3988">
            <v>37400</v>
          </cell>
          <cell r="B3988">
            <v>3433.43</v>
          </cell>
          <cell r="C3988">
            <v>3477.06</v>
          </cell>
          <cell r="D3988">
            <v>284.27999999999997</v>
          </cell>
          <cell r="E3988">
            <v>295.5</v>
          </cell>
          <cell r="F3988">
            <v>313.95</v>
          </cell>
          <cell r="G3988">
            <v>268.44</v>
          </cell>
          <cell r="H3988">
            <v>4908.6400000000003</v>
          </cell>
          <cell r="I3988">
            <v>300.38</v>
          </cell>
        </row>
        <row r="3989">
          <cell r="A3989">
            <v>37403</v>
          </cell>
          <cell r="B3989">
            <v>3433.12</v>
          </cell>
          <cell r="C3989">
            <v>3500.94</v>
          </cell>
          <cell r="D3989">
            <v>284.39999999999998</v>
          </cell>
          <cell r="E3989">
            <v>296.88</v>
          </cell>
          <cell r="F3989">
            <v>315.27</v>
          </cell>
          <cell r="G3989">
            <v>267.54000000000002</v>
          </cell>
          <cell r="H3989">
            <v>4885.7700000000004</v>
          </cell>
          <cell r="I3989">
            <v>299.14</v>
          </cell>
        </row>
        <row r="3990">
          <cell r="A3990">
            <v>37404</v>
          </cell>
          <cell r="B3990">
            <v>3385.95</v>
          </cell>
          <cell r="C3990">
            <v>3472.4</v>
          </cell>
          <cell r="D3990">
            <v>281.3</v>
          </cell>
          <cell r="E3990">
            <v>295.18</v>
          </cell>
          <cell r="F3990">
            <v>313.42</v>
          </cell>
          <cell r="G3990">
            <v>263.39</v>
          </cell>
          <cell r="H3990">
            <v>4862.75</v>
          </cell>
          <cell r="I3990">
            <v>297.55</v>
          </cell>
        </row>
        <row r="3991">
          <cell r="A3991">
            <v>37405</v>
          </cell>
          <cell r="B3991">
            <v>3374.06</v>
          </cell>
          <cell r="C3991">
            <v>3462.38</v>
          </cell>
          <cell r="D3991">
            <v>280.22000000000003</v>
          </cell>
          <cell r="E3991">
            <v>294.22000000000003</v>
          </cell>
          <cell r="F3991">
            <v>312.29000000000002</v>
          </cell>
          <cell r="G3991">
            <v>262.25</v>
          </cell>
          <cell r="H3991">
            <v>4811.25</v>
          </cell>
          <cell r="I3991">
            <v>293.39999999999998</v>
          </cell>
        </row>
        <row r="3992">
          <cell r="A3992">
            <v>37406</v>
          </cell>
          <cell r="B3992">
            <v>3317.5</v>
          </cell>
          <cell r="C3992">
            <v>3388.44</v>
          </cell>
          <cell r="D3992">
            <v>276.58999999999997</v>
          </cell>
          <cell r="E3992">
            <v>289.14</v>
          </cell>
          <cell r="F3992">
            <v>307.57</v>
          </cell>
          <cell r="G3992">
            <v>259.87</v>
          </cell>
          <cell r="H3992">
            <v>4741.87</v>
          </cell>
          <cell r="I3992">
            <v>288.17</v>
          </cell>
        </row>
        <row r="3993">
          <cell r="A3993">
            <v>37407</v>
          </cell>
          <cell r="B3993">
            <v>3357.7</v>
          </cell>
          <cell r="C3993">
            <v>3425.79</v>
          </cell>
          <cell r="D3993">
            <v>279.02999999999997</v>
          </cell>
          <cell r="E3993">
            <v>291.75</v>
          </cell>
          <cell r="F3993">
            <v>309.98</v>
          </cell>
          <cell r="G3993">
            <v>262.12</v>
          </cell>
          <cell r="H3993">
            <v>4774.95</v>
          </cell>
          <cell r="I3993">
            <v>292.85000000000002</v>
          </cell>
        </row>
        <row r="3994">
          <cell r="A3994">
            <v>37410</v>
          </cell>
          <cell r="B3994">
            <v>3330.24</v>
          </cell>
          <cell r="C3994">
            <v>3382.54</v>
          </cell>
          <cell r="D3994">
            <v>277</v>
          </cell>
          <cell r="E3994">
            <v>288.3</v>
          </cell>
          <cell r="F3994">
            <v>306.89999999999998</v>
          </cell>
          <cell r="G3994">
            <v>261.27</v>
          </cell>
          <cell r="H3994">
            <v>4759.96</v>
          </cell>
          <cell r="I3994">
            <v>289.93</v>
          </cell>
        </row>
        <row r="3995">
          <cell r="A3995">
            <v>37411</v>
          </cell>
          <cell r="B3995">
            <v>3259.64</v>
          </cell>
          <cell r="C3995">
            <v>3260.01</v>
          </cell>
          <cell r="D3995">
            <v>271.82</v>
          </cell>
          <cell r="E3995">
            <v>279.74</v>
          </cell>
          <cell r="F3995">
            <v>298.44</v>
          </cell>
          <cell r="G3995">
            <v>258.94</v>
          </cell>
          <cell r="H3995">
            <v>4671.25</v>
          </cell>
          <cell r="I3995">
            <v>282.91000000000003</v>
          </cell>
        </row>
        <row r="3996">
          <cell r="A3996">
            <v>37412</v>
          </cell>
          <cell r="B3996">
            <v>3233.41</v>
          </cell>
          <cell r="C3996">
            <v>3267.77</v>
          </cell>
          <cell r="D3996">
            <v>270.24</v>
          </cell>
          <cell r="E3996">
            <v>280.39</v>
          </cell>
          <cell r="F3996">
            <v>298.83</v>
          </cell>
          <cell r="G3996">
            <v>255.62</v>
          </cell>
          <cell r="H3996">
            <v>4699.09</v>
          </cell>
          <cell r="I3996">
            <v>286.14999999999998</v>
          </cell>
        </row>
        <row r="3997">
          <cell r="A3997">
            <v>37413</v>
          </cell>
          <cell r="B3997">
            <v>3209.21</v>
          </cell>
          <cell r="C3997">
            <v>3277.53</v>
          </cell>
          <cell r="D3997">
            <v>269.02999999999997</v>
          </cell>
          <cell r="E3997">
            <v>280.89999999999998</v>
          </cell>
          <cell r="F3997">
            <v>298.8</v>
          </cell>
          <cell r="G3997">
            <v>253.04</v>
          </cell>
          <cell r="H3997">
            <v>4681.28</v>
          </cell>
          <cell r="I3997">
            <v>284</v>
          </cell>
        </row>
        <row r="3998">
          <cell r="A3998">
            <v>37414</v>
          </cell>
          <cell r="B3998">
            <v>3162.7</v>
          </cell>
          <cell r="C3998">
            <v>3210.5</v>
          </cell>
          <cell r="D3998">
            <v>265.62</v>
          </cell>
          <cell r="E3998">
            <v>276.08999999999997</v>
          </cell>
          <cell r="F3998">
            <v>293.64999999999998</v>
          </cell>
          <cell r="G3998">
            <v>250.83</v>
          </cell>
          <cell r="H3998">
            <v>4553.9799999999996</v>
          </cell>
          <cell r="I3998">
            <v>273.81</v>
          </cell>
        </row>
        <row r="3999">
          <cell r="A3999">
            <v>37417</v>
          </cell>
          <cell r="B3999">
            <v>3170.07</v>
          </cell>
          <cell r="C3999">
            <v>3205.36</v>
          </cell>
          <cell r="D3999">
            <v>266.18</v>
          </cell>
          <cell r="E3999">
            <v>276.38</v>
          </cell>
          <cell r="F3999">
            <v>294.08</v>
          </cell>
          <cell r="G3999">
            <v>251.61</v>
          </cell>
          <cell r="H3999">
            <v>4593.66</v>
          </cell>
          <cell r="I3999">
            <v>276.57</v>
          </cell>
        </row>
        <row r="4000">
          <cell r="A4000">
            <v>37418</v>
          </cell>
          <cell r="B4000">
            <v>3206.74</v>
          </cell>
          <cell r="C4000">
            <v>3265.27</v>
          </cell>
          <cell r="D4000">
            <v>268.74</v>
          </cell>
          <cell r="E4000">
            <v>280.44</v>
          </cell>
          <cell r="F4000">
            <v>297.77</v>
          </cell>
          <cell r="G4000">
            <v>252.89</v>
          </cell>
          <cell r="H4000">
            <v>4607.54</v>
          </cell>
          <cell r="I4000">
            <v>280.3</v>
          </cell>
        </row>
        <row r="4001">
          <cell r="A4001">
            <v>37419</v>
          </cell>
          <cell r="B4001">
            <v>3124.29</v>
          </cell>
          <cell r="C4001">
            <v>3176.95</v>
          </cell>
          <cell r="D4001">
            <v>262.94</v>
          </cell>
          <cell r="E4001">
            <v>273.69</v>
          </cell>
          <cell r="F4001">
            <v>290.31</v>
          </cell>
          <cell r="G4001">
            <v>248</v>
          </cell>
          <cell r="H4001">
            <v>4523.1099999999997</v>
          </cell>
          <cell r="I4001">
            <v>273.33</v>
          </cell>
        </row>
        <row r="4002">
          <cell r="A4002">
            <v>37420</v>
          </cell>
          <cell r="B4002">
            <v>3083.62</v>
          </cell>
          <cell r="C4002">
            <v>3142.21</v>
          </cell>
          <cell r="D4002">
            <v>259.87</v>
          </cell>
          <cell r="E4002">
            <v>270.57</v>
          </cell>
          <cell r="F4002">
            <v>287.23</v>
          </cell>
          <cell r="G4002">
            <v>245.03</v>
          </cell>
          <cell r="H4002">
            <v>4539.1000000000004</v>
          </cell>
          <cell r="I4002">
            <v>273.33</v>
          </cell>
        </row>
        <row r="4003">
          <cell r="A4003">
            <v>37421</v>
          </cell>
          <cell r="B4003">
            <v>3012.44</v>
          </cell>
          <cell r="C4003">
            <v>3054.5</v>
          </cell>
          <cell r="D4003">
            <v>253.3</v>
          </cell>
          <cell r="E4003">
            <v>263.42</v>
          </cell>
          <cell r="F4003">
            <v>280.5</v>
          </cell>
          <cell r="G4003">
            <v>239.09</v>
          </cell>
          <cell r="H4003">
            <v>4457.42</v>
          </cell>
          <cell r="I4003">
            <v>269.58</v>
          </cell>
        </row>
        <row r="4004">
          <cell r="A4004">
            <v>37424</v>
          </cell>
          <cell r="B4004">
            <v>3129.91</v>
          </cell>
          <cell r="C4004">
            <v>3193</v>
          </cell>
          <cell r="D4004">
            <v>261.54000000000002</v>
          </cell>
          <cell r="E4004">
            <v>273.10000000000002</v>
          </cell>
          <cell r="F4004">
            <v>290.08999999999997</v>
          </cell>
          <cell r="G4004">
            <v>245.97</v>
          </cell>
          <cell r="H4004">
            <v>4549.57</v>
          </cell>
          <cell r="I4004">
            <v>277.02999999999997</v>
          </cell>
        </row>
        <row r="4005">
          <cell r="A4005">
            <v>37425</v>
          </cell>
          <cell r="B4005">
            <v>3106.54</v>
          </cell>
          <cell r="C4005">
            <v>3188.26</v>
          </cell>
          <cell r="D4005">
            <v>259.93</v>
          </cell>
          <cell r="E4005">
            <v>272.68</v>
          </cell>
          <cell r="F4005">
            <v>289.18</v>
          </cell>
          <cell r="G4005">
            <v>243.44</v>
          </cell>
          <cell r="H4005">
            <v>4575.2700000000004</v>
          </cell>
          <cell r="I4005">
            <v>277.73</v>
          </cell>
        </row>
        <row r="4006">
          <cell r="A4006">
            <v>37426</v>
          </cell>
          <cell r="B4006">
            <v>3049.09</v>
          </cell>
          <cell r="C4006">
            <v>3122.35</v>
          </cell>
          <cell r="D4006">
            <v>255.63</v>
          </cell>
          <cell r="E4006">
            <v>268.11</v>
          </cell>
          <cell r="F4006">
            <v>284.45999999999998</v>
          </cell>
          <cell r="G4006">
            <v>239.46</v>
          </cell>
          <cell r="H4006">
            <v>4479.51</v>
          </cell>
          <cell r="I4006">
            <v>270.97000000000003</v>
          </cell>
        </row>
        <row r="4007">
          <cell r="A4007">
            <v>37427</v>
          </cell>
          <cell r="B4007">
            <v>2983.83</v>
          </cell>
          <cell r="C4007">
            <v>3057.43</v>
          </cell>
          <cell r="D4007">
            <v>250.14</v>
          </cell>
          <cell r="E4007">
            <v>262.29000000000002</v>
          </cell>
          <cell r="F4007">
            <v>277.52999999999997</v>
          </cell>
          <cell r="G4007">
            <v>234.36</v>
          </cell>
          <cell r="H4007">
            <v>4352.74</v>
          </cell>
          <cell r="I4007">
            <v>264.52</v>
          </cell>
        </row>
        <row r="4008">
          <cell r="A4008">
            <v>37428</v>
          </cell>
          <cell r="B4008">
            <v>2972.55</v>
          </cell>
          <cell r="C4008">
            <v>3036.29</v>
          </cell>
          <cell r="D4008">
            <v>249.15</v>
          </cell>
          <cell r="E4008">
            <v>260.60000000000002</v>
          </cell>
          <cell r="F4008">
            <v>276.36</v>
          </cell>
          <cell r="G4008">
            <v>233.97</v>
          </cell>
          <cell r="H4008">
            <v>4351.6099999999997</v>
          </cell>
          <cell r="I4008">
            <v>264.26</v>
          </cell>
        </row>
        <row r="4009">
          <cell r="A4009">
            <v>37431</v>
          </cell>
          <cell r="B4009">
            <v>2890.49</v>
          </cell>
          <cell r="C4009">
            <v>2928.72</v>
          </cell>
          <cell r="D4009">
            <v>243.26</v>
          </cell>
          <cell r="E4009">
            <v>252.74</v>
          </cell>
          <cell r="F4009">
            <v>267.95999999999998</v>
          </cell>
          <cell r="G4009">
            <v>229.81</v>
          </cell>
          <cell r="H4009">
            <v>4218.3900000000003</v>
          </cell>
          <cell r="I4009">
            <v>254.4</v>
          </cell>
        </row>
        <row r="4010">
          <cell r="A4010">
            <v>37432</v>
          </cell>
          <cell r="B4010">
            <v>2970.83</v>
          </cell>
          <cell r="C4010">
            <v>3008.29</v>
          </cell>
          <cell r="D4010">
            <v>248.47</v>
          </cell>
          <cell r="E4010">
            <v>258.32</v>
          </cell>
          <cell r="F4010">
            <v>274.48</v>
          </cell>
          <cell r="G4010">
            <v>234.61</v>
          </cell>
          <cell r="H4010">
            <v>4330.24</v>
          </cell>
          <cell r="I4010">
            <v>261.82</v>
          </cell>
        </row>
        <row r="4011">
          <cell r="A4011">
            <v>37433</v>
          </cell>
          <cell r="B4011">
            <v>2906.6</v>
          </cell>
          <cell r="C4011">
            <v>2949.07</v>
          </cell>
          <cell r="D4011">
            <v>243.66</v>
          </cell>
          <cell r="E4011">
            <v>253.61</v>
          </cell>
          <cell r="F4011">
            <v>269.04000000000002</v>
          </cell>
          <cell r="G4011">
            <v>229.83</v>
          </cell>
          <cell r="H4011">
            <v>4272.8500000000004</v>
          </cell>
          <cell r="I4011">
            <v>259.08999999999997</v>
          </cell>
        </row>
        <row r="4012">
          <cell r="A4012">
            <v>37434</v>
          </cell>
          <cell r="B4012">
            <v>2949.84</v>
          </cell>
          <cell r="C4012">
            <v>3002.74</v>
          </cell>
          <cell r="D4012">
            <v>246.44</v>
          </cell>
          <cell r="E4012">
            <v>257.58999999999997</v>
          </cell>
          <cell r="F4012">
            <v>273.32</v>
          </cell>
          <cell r="G4012">
            <v>231.57</v>
          </cell>
          <cell r="H4012">
            <v>4376.75</v>
          </cell>
          <cell r="I4012">
            <v>267.14</v>
          </cell>
        </row>
        <row r="4013">
          <cell r="A4013">
            <v>37435</v>
          </cell>
          <cell r="B4013">
            <v>3060.91</v>
          </cell>
          <cell r="C4013">
            <v>3133.39</v>
          </cell>
          <cell r="D4013">
            <v>254.04</v>
          </cell>
          <cell r="E4013">
            <v>266.83999999999997</v>
          </cell>
          <cell r="F4013">
            <v>283.31</v>
          </cell>
          <cell r="G4013">
            <v>237.64</v>
          </cell>
          <cell r="H4013">
            <v>4476.42</v>
          </cell>
          <cell r="I4013">
            <v>274.66000000000003</v>
          </cell>
        </row>
        <row r="4014">
          <cell r="A4014">
            <v>37438</v>
          </cell>
          <cell r="B4014">
            <v>3073.07</v>
          </cell>
          <cell r="C4014">
            <v>3131.39</v>
          </cell>
          <cell r="D4014">
            <v>254.86</v>
          </cell>
          <cell r="E4014">
            <v>266.5</v>
          </cell>
          <cell r="F4014">
            <v>283.14999999999998</v>
          </cell>
          <cell r="G4014">
            <v>239.39</v>
          </cell>
          <cell r="H4014">
            <v>4480.01</v>
          </cell>
          <cell r="I4014">
            <v>274.77</v>
          </cell>
        </row>
        <row r="4015">
          <cell r="A4015">
            <v>37439</v>
          </cell>
          <cell r="B4015">
            <v>2964.99</v>
          </cell>
          <cell r="C4015">
            <v>2999.17</v>
          </cell>
          <cell r="D4015">
            <v>247.7</v>
          </cell>
          <cell r="E4015">
            <v>256.98</v>
          </cell>
          <cell r="F4015">
            <v>274.33</v>
          </cell>
          <cell r="G4015">
            <v>234.32</v>
          </cell>
          <cell r="H4015">
            <v>4418.72</v>
          </cell>
          <cell r="I4015">
            <v>269.13</v>
          </cell>
        </row>
        <row r="4016">
          <cell r="A4016">
            <v>37440</v>
          </cell>
          <cell r="B4016">
            <v>2879.64</v>
          </cell>
          <cell r="C4016">
            <v>2928.94</v>
          </cell>
          <cell r="D4016">
            <v>240.75</v>
          </cell>
          <cell r="E4016">
            <v>251.09</v>
          </cell>
          <cell r="F4016">
            <v>267.87</v>
          </cell>
          <cell r="G4016">
            <v>226.68</v>
          </cell>
          <cell r="H4016">
            <v>4291.92</v>
          </cell>
          <cell r="I4016">
            <v>263.05</v>
          </cell>
        </row>
        <row r="4017">
          <cell r="A4017">
            <v>37441</v>
          </cell>
          <cell r="B4017">
            <v>2956.95</v>
          </cell>
          <cell r="C4017">
            <v>3013.8</v>
          </cell>
          <cell r="D4017">
            <v>245.5</v>
          </cell>
          <cell r="E4017">
            <v>256.45</v>
          </cell>
          <cell r="F4017">
            <v>273.45</v>
          </cell>
          <cell r="G4017">
            <v>230.81</v>
          </cell>
          <cell r="H4017">
            <v>4362.3599999999997</v>
          </cell>
          <cell r="I4017">
            <v>268.51</v>
          </cell>
        </row>
        <row r="4018">
          <cell r="A4018">
            <v>37442</v>
          </cell>
          <cell r="B4018">
            <v>3087.37</v>
          </cell>
          <cell r="C4018">
            <v>3165.47</v>
          </cell>
          <cell r="D4018">
            <v>254.82</v>
          </cell>
          <cell r="E4018">
            <v>267.60000000000002</v>
          </cell>
          <cell r="F4018">
            <v>284.38</v>
          </cell>
          <cell r="G4018">
            <v>238.43</v>
          </cell>
          <cell r="H4018">
            <v>4496.1899999999996</v>
          </cell>
          <cell r="I4018">
            <v>278.27</v>
          </cell>
        </row>
        <row r="4019">
          <cell r="A4019">
            <v>37445</v>
          </cell>
          <cell r="B4019">
            <v>3072.9</v>
          </cell>
          <cell r="C4019">
            <v>3155.88</v>
          </cell>
          <cell r="D4019">
            <v>253.72</v>
          </cell>
          <cell r="E4019">
            <v>266.83</v>
          </cell>
          <cell r="F4019">
            <v>283.63</v>
          </cell>
          <cell r="G4019">
            <v>237.08</v>
          </cell>
          <cell r="H4019">
            <v>4481.41</v>
          </cell>
          <cell r="I4019">
            <v>277.18</v>
          </cell>
        </row>
        <row r="4020">
          <cell r="A4020">
            <v>37446</v>
          </cell>
          <cell r="B4020">
            <v>3035.91</v>
          </cell>
          <cell r="C4020">
            <v>3113.69</v>
          </cell>
          <cell r="D4020">
            <v>250.77</v>
          </cell>
          <cell r="E4020">
            <v>263.83999999999997</v>
          </cell>
          <cell r="F4020">
            <v>280.55</v>
          </cell>
          <cell r="G4020">
            <v>234.24</v>
          </cell>
          <cell r="H4020">
            <v>4413.7299999999996</v>
          </cell>
          <cell r="I4020">
            <v>272.29000000000002</v>
          </cell>
        </row>
        <row r="4021">
          <cell r="A4021">
            <v>37447</v>
          </cell>
          <cell r="B4021">
            <v>2925.91</v>
          </cell>
          <cell r="C4021">
            <v>2983.47</v>
          </cell>
          <cell r="D4021">
            <v>243.36</v>
          </cell>
          <cell r="E4021">
            <v>254.55</v>
          </cell>
          <cell r="F4021">
            <v>271.11</v>
          </cell>
          <cell r="G4021">
            <v>228.53</v>
          </cell>
          <cell r="H4021">
            <v>4317.3100000000004</v>
          </cell>
          <cell r="I4021">
            <v>266.56</v>
          </cell>
        </row>
        <row r="4022">
          <cell r="A4022">
            <v>37448</v>
          </cell>
          <cell r="B4022">
            <v>2818.14</v>
          </cell>
          <cell r="C4022">
            <v>2883.92</v>
          </cell>
          <cell r="D4022">
            <v>235.02</v>
          </cell>
          <cell r="E4022">
            <v>246.43</v>
          </cell>
          <cell r="F4022">
            <v>262.14</v>
          </cell>
          <cell r="G4022">
            <v>220.2</v>
          </cell>
          <cell r="H4022">
            <v>4159.74</v>
          </cell>
          <cell r="I4022">
            <v>257.47000000000003</v>
          </cell>
        </row>
        <row r="4023">
          <cell r="A4023">
            <v>37449</v>
          </cell>
          <cell r="B4023">
            <v>2822.82</v>
          </cell>
          <cell r="C4023">
            <v>2886.3</v>
          </cell>
          <cell r="D4023">
            <v>234.86</v>
          </cell>
          <cell r="E4023">
            <v>246.56</v>
          </cell>
          <cell r="F4023">
            <v>262.68</v>
          </cell>
          <cell r="G4023">
            <v>219.81</v>
          </cell>
          <cell r="H4023">
            <v>4153.93</v>
          </cell>
          <cell r="I4023">
            <v>258.16000000000003</v>
          </cell>
        </row>
        <row r="4024">
          <cell r="A4024">
            <v>37452</v>
          </cell>
          <cell r="B4024">
            <v>2649.91</v>
          </cell>
          <cell r="C4024">
            <v>2709.22</v>
          </cell>
          <cell r="D4024">
            <v>223.04</v>
          </cell>
          <cell r="E4024">
            <v>234.3</v>
          </cell>
          <cell r="F4024">
            <v>250.43</v>
          </cell>
          <cell r="G4024">
            <v>208.63</v>
          </cell>
          <cell r="H4024">
            <v>4048.27</v>
          </cell>
          <cell r="I4024">
            <v>250.75</v>
          </cell>
        </row>
        <row r="4025">
          <cell r="A4025">
            <v>37453</v>
          </cell>
          <cell r="B4025">
            <v>2658.02</v>
          </cell>
          <cell r="C4025">
            <v>2713.73</v>
          </cell>
          <cell r="D4025">
            <v>222.61</v>
          </cell>
          <cell r="E4025">
            <v>234.1</v>
          </cell>
          <cell r="F4025">
            <v>249.09</v>
          </cell>
          <cell r="G4025">
            <v>208.03</v>
          </cell>
          <cell r="H4025">
            <v>4012.43</v>
          </cell>
          <cell r="I4025">
            <v>249</v>
          </cell>
        </row>
        <row r="4026">
          <cell r="A4026">
            <v>37454</v>
          </cell>
          <cell r="B4026">
            <v>2760.66</v>
          </cell>
          <cell r="C4026">
            <v>2819.63</v>
          </cell>
          <cell r="D4026">
            <v>229.84</v>
          </cell>
          <cell r="E4026">
            <v>241.61</v>
          </cell>
          <cell r="F4026">
            <v>256.33</v>
          </cell>
          <cell r="G4026">
            <v>214.86</v>
          </cell>
          <cell r="H4026">
            <v>4151.5</v>
          </cell>
          <cell r="I4026">
            <v>257.83</v>
          </cell>
        </row>
        <row r="4027">
          <cell r="A4027">
            <v>37455</v>
          </cell>
          <cell r="B4027">
            <v>2791.9</v>
          </cell>
          <cell r="C4027">
            <v>2850.14</v>
          </cell>
          <cell r="D4027">
            <v>233.16</v>
          </cell>
          <cell r="E4027">
            <v>244.09</v>
          </cell>
          <cell r="F4027">
            <v>258.19</v>
          </cell>
          <cell r="G4027">
            <v>218.79</v>
          </cell>
          <cell r="H4027">
            <v>4112.3599999999997</v>
          </cell>
          <cell r="I4027">
            <v>254.67</v>
          </cell>
        </row>
        <row r="4028">
          <cell r="A4028">
            <v>37456</v>
          </cell>
          <cell r="B4028">
            <v>2635.29</v>
          </cell>
          <cell r="C4028">
            <v>2695.46</v>
          </cell>
          <cell r="D4028">
            <v>222.54</v>
          </cell>
          <cell r="E4028">
            <v>233.05</v>
          </cell>
          <cell r="F4028">
            <v>246.29</v>
          </cell>
          <cell r="G4028">
            <v>208.75</v>
          </cell>
          <cell r="H4028">
            <v>3929.61</v>
          </cell>
          <cell r="I4028">
            <v>244.15</v>
          </cell>
        </row>
        <row r="4029">
          <cell r="A4029">
            <v>37459</v>
          </cell>
          <cell r="B4029">
            <v>2500.39</v>
          </cell>
          <cell r="C4029">
            <v>2544.9499999999998</v>
          </cell>
          <cell r="D4029">
            <v>212.63</v>
          </cell>
          <cell r="E4029">
            <v>221.99</v>
          </cell>
          <cell r="F4029">
            <v>234.28</v>
          </cell>
          <cell r="G4029">
            <v>200.01</v>
          </cell>
          <cell r="H4029">
            <v>3730.62</v>
          </cell>
          <cell r="I4029">
            <v>233.94</v>
          </cell>
        </row>
        <row r="4030">
          <cell r="A4030">
            <v>37460</v>
          </cell>
          <cell r="B4030">
            <v>2449.9899999999998</v>
          </cell>
          <cell r="C4030">
            <v>2458.56</v>
          </cell>
          <cell r="D4030">
            <v>208.8</v>
          </cell>
          <cell r="E4030">
            <v>215.75</v>
          </cell>
          <cell r="F4030">
            <v>228.12</v>
          </cell>
          <cell r="G4030">
            <v>198.24</v>
          </cell>
          <cell r="H4030">
            <v>3576.7</v>
          </cell>
          <cell r="I4030">
            <v>223.09</v>
          </cell>
        </row>
        <row r="4031">
          <cell r="A4031">
            <v>37461</v>
          </cell>
          <cell r="B4031">
            <v>2433.39</v>
          </cell>
          <cell r="C4031">
            <v>2438.31</v>
          </cell>
          <cell r="D4031">
            <v>205.39</v>
          </cell>
          <cell r="E4031">
            <v>212.93</v>
          </cell>
          <cell r="F4031">
            <v>225.07</v>
          </cell>
          <cell r="G4031">
            <v>194.42</v>
          </cell>
          <cell r="H4031">
            <v>3406.76</v>
          </cell>
          <cell r="I4031">
            <v>212.35</v>
          </cell>
        </row>
        <row r="4032">
          <cell r="A4032">
            <v>37462</v>
          </cell>
          <cell r="B4032">
            <v>2542.7800000000002</v>
          </cell>
          <cell r="C4032">
            <v>2515.1999999999998</v>
          </cell>
          <cell r="D4032">
            <v>212.94</v>
          </cell>
          <cell r="E4032">
            <v>217.98</v>
          </cell>
          <cell r="F4032">
            <v>232.25</v>
          </cell>
          <cell r="G4032">
            <v>203.83</v>
          </cell>
          <cell r="H4032">
            <v>3547.32</v>
          </cell>
          <cell r="I4032">
            <v>220.05</v>
          </cell>
        </row>
        <row r="4033">
          <cell r="A4033">
            <v>37463</v>
          </cell>
          <cell r="B4033">
            <v>2589.54</v>
          </cell>
          <cell r="C4033">
            <v>2536.9299999999998</v>
          </cell>
          <cell r="D4033">
            <v>215.1</v>
          </cell>
          <cell r="E4033">
            <v>219.4</v>
          </cell>
          <cell r="F4033">
            <v>233.99</v>
          </cell>
          <cell r="G4033">
            <v>206.54</v>
          </cell>
          <cell r="H4033">
            <v>3465.32</v>
          </cell>
          <cell r="I4033">
            <v>217.24</v>
          </cell>
        </row>
        <row r="4034">
          <cell r="A4034">
            <v>37466</v>
          </cell>
          <cell r="B4034">
            <v>2748.23</v>
          </cell>
          <cell r="C4034">
            <v>2723.01</v>
          </cell>
          <cell r="D4034">
            <v>227.24</v>
          </cell>
          <cell r="E4034">
            <v>233.17</v>
          </cell>
          <cell r="F4034">
            <v>247.98</v>
          </cell>
          <cell r="G4034">
            <v>217.07</v>
          </cell>
          <cell r="H4034">
            <v>3740.89</v>
          </cell>
          <cell r="I4034">
            <v>232.76</v>
          </cell>
        </row>
        <row r="4035">
          <cell r="A4035">
            <v>37467</v>
          </cell>
          <cell r="B4035">
            <v>2720.82</v>
          </cell>
          <cell r="C4035">
            <v>2691.91</v>
          </cell>
          <cell r="D4035">
            <v>226.1</v>
          </cell>
          <cell r="E4035">
            <v>231.56</v>
          </cell>
          <cell r="F4035">
            <v>246.33</v>
          </cell>
          <cell r="G4035">
            <v>216.35</v>
          </cell>
          <cell r="H4035">
            <v>3792.7</v>
          </cell>
          <cell r="I4035">
            <v>236</v>
          </cell>
        </row>
        <row r="4036">
          <cell r="A4036">
            <v>37468</v>
          </cell>
          <cell r="B4036">
            <v>2736.98</v>
          </cell>
          <cell r="C4036">
            <v>2685.79</v>
          </cell>
          <cell r="D4036">
            <v>227.63</v>
          </cell>
          <cell r="E4036">
            <v>231.34</v>
          </cell>
          <cell r="F4036">
            <v>246.34</v>
          </cell>
          <cell r="G4036">
            <v>219.26</v>
          </cell>
          <cell r="H4036">
            <v>3834.83</v>
          </cell>
          <cell r="I4036">
            <v>237.81</v>
          </cell>
        </row>
        <row r="4037">
          <cell r="A4037">
            <v>37469</v>
          </cell>
          <cell r="B4037">
            <v>2602.86</v>
          </cell>
          <cell r="C4037">
            <v>2557.86</v>
          </cell>
          <cell r="D4037">
            <v>218.16</v>
          </cell>
          <cell r="E4037">
            <v>222.65</v>
          </cell>
          <cell r="F4037">
            <v>238.22</v>
          </cell>
          <cell r="G4037">
            <v>209.38</v>
          </cell>
          <cell r="H4037">
            <v>3733.02</v>
          </cell>
          <cell r="I4037">
            <v>231.36</v>
          </cell>
        </row>
        <row r="4038">
          <cell r="A4038">
            <v>37470</v>
          </cell>
          <cell r="B4038">
            <v>2605.5500000000002</v>
          </cell>
          <cell r="C4038">
            <v>2547.12</v>
          </cell>
          <cell r="D4038">
            <v>217.82</v>
          </cell>
          <cell r="E4038">
            <v>220.8</v>
          </cell>
          <cell r="F4038">
            <v>235.78</v>
          </cell>
          <cell r="G4038">
            <v>210.27</v>
          </cell>
          <cell r="H4038">
            <v>3620.2</v>
          </cell>
          <cell r="I4038">
            <v>224.59</v>
          </cell>
        </row>
        <row r="4039">
          <cell r="A4039">
            <v>37473</v>
          </cell>
          <cell r="B4039">
            <v>2526.33</v>
          </cell>
          <cell r="C4039">
            <v>2447.3200000000002</v>
          </cell>
          <cell r="D4039">
            <v>211.38</v>
          </cell>
          <cell r="E4039">
            <v>213.03</v>
          </cell>
          <cell r="F4039">
            <v>227.26</v>
          </cell>
          <cell r="G4039">
            <v>205.07</v>
          </cell>
          <cell r="H4039">
            <v>3464.28</v>
          </cell>
          <cell r="I4039">
            <v>215.21</v>
          </cell>
        </row>
        <row r="4040">
          <cell r="A4040">
            <v>37474</v>
          </cell>
          <cell r="B4040">
            <v>2653.89</v>
          </cell>
          <cell r="C4040">
            <v>2592.2399999999998</v>
          </cell>
          <cell r="D4040">
            <v>219.85</v>
          </cell>
          <cell r="E4040">
            <v>222.77</v>
          </cell>
          <cell r="F4040">
            <v>237.71</v>
          </cell>
          <cell r="G4040">
            <v>212.3</v>
          </cell>
          <cell r="H4040">
            <v>3587.6</v>
          </cell>
          <cell r="I4040">
            <v>222.75</v>
          </cell>
        </row>
        <row r="4041">
          <cell r="A4041">
            <v>37475</v>
          </cell>
          <cell r="B4041">
            <v>2607.7800000000002</v>
          </cell>
          <cell r="C4041">
            <v>2564.77</v>
          </cell>
          <cell r="D4041">
            <v>217.33</v>
          </cell>
          <cell r="E4041">
            <v>220.89</v>
          </cell>
          <cell r="F4041">
            <v>235.7</v>
          </cell>
          <cell r="G4041">
            <v>209.32</v>
          </cell>
          <cell r="H4041">
            <v>3607.92</v>
          </cell>
          <cell r="I4041">
            <v>224.42</v>
          </cell>
        </row>
        <row r="4042">
          <cell r="A4042">
            <v>37476</v>
          </cell>
          <cell r="B4042">
            <v>2734.89</v>
          </cell>
          <cell r="C4042">
            <v>2698.18</v>
          </cell>
          <cell r="D4042">
            <v>225.53</v>
          </cell>
          <cell r="E4042">
            <v>229.79</v>
          </cell>
          <cell r="F4042">
            <v>244.59</v>
          </cell>
          <cell r="G4042">
            <v>216.76</v>
          </cell>
          <cell r="H4042">
            <v>3675.22</v>
          </cell>
          <cell r="I4042">
            <v>229.12</v>
          </cell>
        </row>
        <row r="4043">
          <cell r="A4043">
            <v>37477</v>
          </cell>
          <cell r="B4043">
            <v>2779.89</v>
          </cell>
          <cell r="C4043">
            <v>2750.16</v>
          </cell>
          <cell r="D4043">
            <v>228.56</v>
          </cell>
          <cell r="E4043">
            <v>233.57</v>
          </cell>
          <cell r="F4043">
            <v>248.32</v>
          </cell>
          <cell r="G4043">
            <v>219.11</v>
          </cell>
          <cell r="H4043">
            <v>3691.55</v>
          </cell>
          <cell r="I4043">
            <v>232.74</v>
          </cell>
        </row>
        <row r="4044">
          <cell r="A4044">
            <v>37480</v>
          </cell>
          <cell r="B4044">
            <v>2699.66</v>
          </cell>
          <cell r="C4044">
            <v>2670.78</v>
          </cell>
          <cell r="D4044">
            <v>223.46</v>
          </cell>
          <cell r="E4044">
            <v>228.29</v>
          </cell>
          <cell r="F4044">
            <v>243.32</v>
          </cell>
          <cell r="G4044">
            <v>214.27</v>
          </cell>
          <cell r="H4044">
            <v>3702.67</v>
          </cell>
          <cell r="I4044">
            <v>232.94</v>
          </cell>
        </row>
        <row r="4045">
          <cell r="A4045">
            <v>37481</v>
          </cell>
          <cell r="B4045">
            <v>2731.44</v>
          </cell>
          <cell r="C4045">
            <v>2698.99</v>
          </cell>
          <cell r="D4045">
            <v>225.66</v>
          </cell>
          <cell r="E4045">
            <v>230.2</v>
          </cell>
          <cell r="F4045">
            <v>245.67</v>
          </cell>
          <cell r="G4045">
            <v>216.65</v>
          </cell>
          <cell r="H4045">
            <v>3722.02</v>
          </cell>
          <cell r="I4045">
            <v>234.09</v>
          </cell>
        </row>
        <row r="4046">
          <cell r="A4046">
            <v>37482</v>
          </cell>
          <cell r="B4046">
            <v>2650.65</v>
          </cell>
          <cell r="C4046">
            <v>2590.75</v>
          </cell>
          <cell r="D4046">
            <v>220.52</v>
          </cell>
          <cell r="E4046">
            <v>223.16</v>
          </cell>
          <cell r="F4046">
            <v>239.39</v>
          </cell>
          <cell r="G4046">
            <v>213.2</v>
          </cell>
          <cell r="H4046">
            <v>3636.89</v>
          </cell>
          <cell r="I4046">
            <v>227.62</v>
          </cell>
        </row>
        <row r="4047">
          <cell r="A4047">
            <v>37483</v>
          </cell>
          <cell r="B4047">
            <v>2743.35</v>
          </cell>
          <cell r="C4047">
            <v>2677.74</v>
          </cell>
          <cell r="D4047">
            <v>226.97</v>
          </cell>
          <cell r="E4047">
            <v>229.23</v>
          </cell>
          <cell r="F4047">
            <v>245.88</v>
          </cell>
          <cell r="G4047">
            <v>219.79</v>
          </cell>
          <cell r="H4047">
            <v>3732.88</v>
          </cell>
          <cell r="I4047">
            <v>234.45</v>
          </cell>
        </row>
        <row r="4048">
          <cell r="A4048">
            <v>37484</v>
          </cell>
          <cell r="B4048">
            <v>2762.48</v>
          </cell>
          <cell r="C4048">
            <v>2713.96</v>
          </cell>
          <cell r="D4048">
            <v>227.94</v>
          </cell>
          <cell r="E4048">
            <v>231.69</v>
          </cell>
          <cell r="F4048">
            <v>247.52</v>
          </cell>
          <cell r="G4048">
            <v>219.53</v>
          </cell>
          <cell r="H4048">
            <v>3718.09</v>
          </cell>
          <cell r="I4048">
            <v>235.45</v>
          </cell>
        </row>
        <row r="4049">
          <cell r="A4049">
            <v>37487</v>
          </cell>
          <cell r="B4049">
            <v>2846.8</v>
          </cell>
          <cell r="C4049">
            <v>2825.39</v>
          </cell>
          <cell r="D4049">
            <v>234.31</v>
          </cell>
          <cell r="E4049">
            <v>239.74</v>
          </cell>
          <cell r="F4049">
            <v>255.39</v>
          </cell>
          <cell r="G4049">
            <v>224.38</v>
          </cell>
          <cell r="H4049">
            <v>3817.54</v>
          </cell>
          <cell r="I4049">
            <v>242.48</v>
          </cell>
        </row>
        <row r="4050">
          <cell r="A4050">
            <v>37488</v>
          </cell>
          <cell r="B4050">
            <v>2793.88</v>
          </cell>
          <cell r="C4050">
            <v>2771.4</v>
          </cell>
          <cell r="D4050">
            <v>231.01</v>
          </cell>
          <cell r="E4050">
            <v>236.44</v>
          </cell>
          <cell r="F4050">
            <v>251.59</v>
          </cell>
          <cell r="G4050">
            <v>221.17</v>
          </cell>
          <cell r="H4050">
            <v>3845.41</v>
          </cell>
          <cell r="I4050">
            <v>243.81</v>
          </cell>
        </row>
        <row r="4051">
          <cell r="A4051">
            <v>37489</v>
          </cell>
          <cell r="B4051">
            <v>2814.41</v>
          </cell>
          <cell r="C4051">
            <v>2802.95</v>
          </cell>
          <cell r="D4051">
            <v>233.13</v>
          </cell>
          <cell r="E4051">
            <v>239.42</v>
          </cell>
          <cell r="F4051">
            <v>255.29</v>
          </cell>
          <cell r="G4051">
            <v>222.53</v>
          </cell>
          <cell r="H4051">
            <v>3969.16</v>
          </cell>
          <cell r="I4051">
            <v>249.66</v>
          </cell>
        </row>
        <row r="4052">
          <cell r="A4052">
            <v>37490</v>
          </cell>
          <cell r="B4052">
            <v>2867.61</v>
          </cell>
          <cell r="C4052">
            <v>2872.02</v>
          </cell>
          <cell r="D4052">
            <v>237.64</v>
          </cell>
          <cell r="E4052">
            <v>244.91</v>
          </cell>
          <cell r="F4052">
            <v>260.33</v>
          </cell>
          <cell r="G4052">
            <v>226.14</v>
          </cell>
          <cell r="H4052">
            <v>4106.53</v>
          </cell>
          <cell r="I4052">
            <v>257.27999999999997</v>
          </cell>
        </row>
        <row r="4053">
          <cell r="A4053">
            <v>37491</v>
          </cell>
          <cell r="B4053">
            <v>2822.07</v>
          </cell>
          <cell r="C4053">
            <v>2821.04</v>
          </cell>
          <cell r="D4053">
            <v>234.58</v>
          </cell>
          <cell r="E4053">
            <v>241.38</v>
          </cell>
          <cell r="F4053">
            <v>256.89</v>
          </cell>
          <cell r="G4053">
            <v>223.53</v>
          </cell>
          <cell r="H4053">
            <v>3997.34</v>
          </cell>
          <cell r="I4053">
            <v>251.19</v>
          </cell>
        </row>
        <row r="4054">
          <cell r="A4054">
            <v>37494</v>
          </cell>
          <cell r="B4054">
            <v>2793.29</v>
          </cell>
          <cell r="C4054">
            <v>2771.19</v>
          </cell>
          <cell r="D4054">
            <v>232.79</v>
          </cell>
          <cell r="E4054">
            <v>238.03</v>
          </cell>
          <cell r="F4054">
            <v>253.47</v>
          </cell>
          <cell r="G4054">
            <v>223.06</v>
          </cell>
          <cell r="H4054">
            <v>3935.98</v>
          </cell>
          <cell r="I4054">
            <v>247.3</v>
          </cell>
        </row>
        <row r="4055">
          <cell r="A4055">
            <v>37495</v>
          </cell>
          <cell r="B4055">
            <v>2852.49</v>
          </cell>
          <cell r="C4055">
            <v>2863.6</v>
          </cell>
          <cell r="D4055">
            <v>236.86</v>
          </cell>
          <cell r="E4055">
            <v>244.11</v>
          </cell>
          <cell r="F4055">
            <v>259.22000000000003</v>
          </cell>
          <cell r="G4055">
            <v>225.4</v>
          </cell>
          <cell r="H4055">
            <v>3972.69</v>
          </cell>
          <cell r="I4055">
            <v>249.84</v>
          </cell>
        </row>
        <row r="4056">
          <cell r="A4056">
            <v>37496</v>
          </cell>
          <cell r="B4056">
            <v>2728.88</v>
          </cell>
          <cell r="C4056">
            <v>2729.93</v>
          </cell>
          <cell r="D4056">
            <v>228.35</v>
          </cell>
          <cell r="E4056">
            <v>234.73</v>
          </cell>
          <cell r="F4056">
            <v>249.51</v>
          </cell>
          <cell r="G4056">
            <v>217.78</v>
          </cell>
          <cell r="H4056">
            <v>3918.18</v>
          </cell>
          <cell r="I4056">
            <v>244.75</v>
          </cell>
        </row>
        <row r="4057">
          <cell r="A4057">
            <v>37497</v>
          </cell>
          <cell r="B4057">
            <v>2675.79</v>
          </cell>
          <cell r="C4057">
            <v>2667.17</v>
          </cell>
          <cell r="D4057">
            <v>224.55</v>
          </cell>
          <cell r="E4057">
            <v>230.17</v>
          </cell>
          <cell r="F4057">
            <v>244.48</v>
          </cell>
          <cell r="G4057">
            <v>214.7</v>
          </cell>
          <cell r="H4057">
            <v>3869.15</v>
          </cell>
          <cell r="I4057">
            <v>241.89</v>
          </cell>
        </row>
        <row r="4058">
          <cell r="A4058">
            <v>37498</v>
          </cell>
          <cell r="B4058">
            <v>2709.45</v>
          </cell>
          <cell r="C4058">
            <v>2709.29</v>
          </cell>
          <cell r="D4058">
            <v>226.82</v>
          </cell>
          <cell r="E4058">
            <v>232.75</v>
          </cell>
          <cell r="F4058">
            <v>247.37</v>
          </cell>
          <cell r="G4058">
            <v>216.67</v>
          </cell>
          <cell r="H4058">
            <v>3873.12</v>
          </cell>
          <cell r="I4058">
            <v>241.75</v>
          </cell>
        </row>
        <row r="4059">
          <cell r="A4059">
            <v>37501</v>
          </cell>
          <cell r="B4059">
            <v>2651.69</v>
          </cell>
          <cell r="C4059">
            <v>2639.18</v>
          </cell>
          <cell r="D4059">
            <v>222.75</v>
          </cell>
          <cell r="E4059">
            <v>227.8</v>
          </cell>
          <cell r="F4059">
            <v>242.17</v>
          </cell>
          <cell r="G4059">
            <v>213.41</v>
          </cell>
          <cell r="H4059">
            <v>3841.76</v>
          </cell>
          <cell r="I4059">
            <v>238.83</v>
          </cell>
        </row>
        <row r="4060">
          <cell r="A4060">
            <v>37502</v>
          </cell>
          <cell r="B4060">
            <v>2526.98</v>
          </cell>
          <cell r="C4060">
            <v>2509.46</v>
          </cell>
          <cell r="D4060">
            <v>213.87</v>
          </cell>
          <cell r="E4060">
            <v>218.14</v>
          </cell>
          <cell r="F4060">
            <v>232.25</v>
          </cell>
          <cell r="G4060">
            <v>205.36</v>
          </cell>
          <cell r="H4060">
            <v>3659.91</v>
          </cell>
          <cell r="I4060">
            <v>228.24</v>
          </cell>
        </row>
        <row r="4061">
          <cell r="A4061">
            <v>37503</v>
          </cell>
          <cell r="B4061">
            <v>2547.81</v>
          </cell>
          <cell r="C4061">
            <v>2534.0100000000002</v>
          </cell>
          <cell r="D4061">
            <v>215.12</v>
          </cell>
          <cell r="E4061">
            <v>219.35</v>
          </cell>
          <cell r="F4061">
            <v>233.74</v>
          </cell>
          <cell r="G4061">
            <v>206.62</v>
          </cell>
          <cell r="H4061">
            <v>3663.46</v>
          </cell>
          <cell r="I4061">
            <v>228.78</v>
          </cell>
        </row>
        <row r="4062">
          <cell r="A4062">
            <v>37504</v>
          </cell>
          <cell r="B4062">
            <v>2539.7399999999998</v>
          </cell>
          <cell r="C4062">
            <v>2511.5300000000002</v>
          </cell>
          <cell r="D4062">
            <v>213.75</v>
          </cell>
          <cell r="E4062">
            <v>217.16</v>
          </cell>
          <cell r="F4062">
            <v>231.96</v>
          </cell>
          <cell r="G4062">
            <v>205.96</v>
          </cell>
          <cell r="H4062">
            <v>3665.1</v>
          </cell>
          <cell r="I4062">
            <v>230.24</v>
          </cell>
        </row>
        <row r="4063">
          <cell r="A4063">
            <v>37505</v>
          </cell>
          <cell r="B4063">
            <v>2637.71</v>
          </cell>
          <cell r="C4063">
            <v>2618.1799999999998</v>
          </cell>
          <cell r="D4063">
            <v>220.22</v>
          </cell>
          <cell r="E4063">
            <v>224.31</v>
          </cell>
          <cell r="F4063">
            <v>239.44</v>
          </cell>
          <cell r="G4063">
            <v>211.72</v>
          </cell>
          <cell r="H4063">
            <v>3787.63</v>
          </cell>
          <cell r="I4063">
            <v>239.1</v>
          </cell>
        </row>
        <row r="4064">
          <cell r="A4064">
            <v>37508</v>
          </cell>
          <cell r="B4064">
            <v>2597.7800000000002</v>
          </cell>
          <cell r="C4064">
            <v>2564.81</v>
          </cell>
          <cell r="D4064">
            <v>217.4</v>
          </cell>
          <cell r="E4064">
            <v>220.68</v>
          </cell>
          <cell r="F4064">
            <v>235.69</v>
          </cell>
          <cell r="G4064">
            <v>209.61</v>
          </cell>
          <cell r="H4064">
            <v>3746.03</v>
          </cell>
          <cell r="I4064">
            <v>237.03</v>
          </cell>
        </row>
        <row r="4065">
          <cell r="A4065">
            <v>37509</v>
          </cell>
          <cell r="B4065">
            <v>2667.07</v>
          </cell>
          <cell r="C4065">
            <v>2639.83</v>
          </cell>
          <cell r="D4065">
            <v>222.93</v>
          </cell>
          <cell r="E4065">
            <v>226.09</v>
          </cell>
          <cell r="F4065">
            <v>240.92</v>
          </cell>
          <cell r="G4065">
            <v>215.11</v>
          </cell>
          <cell r="H4065">
            <v>3778.08</v>
          </cell>
          <cell r="I4065">
            <v>238.37</v>
          </cell>
        </row>
        <row r="4066">
          <cell r="A4066">
            <v>37510</v>
          </cell>
          <cell r="B4066">
            <v>2722.45</v>
          </cell>
          <cell r="C4066">
            <v>2723.14</v>
          </cell>
          <cell r="D4066">
            <v>226.99</v>
          </cell>
          <cell r="E4066">
            <v>232.28</v>
          </cell>
          <cell r="F4066">
            <v>247.23</v>
          </cell>
          <cell r="G4066">
            <v>217.34</v>
          </cell>
          <cell r="H4066">
            <v>3920.43</v>
          </cell>
          <cell r="I4066">
            <v>248.02</v>
          </cell>
        </row>
        <row r="4067">
          <cell r="A4067">
            <v>37511</v>
          </cell>
          <cell r="B4067">
            <v>2610.2800000000002</v>
          </cell>
          <cell r="C4067">
            <v>2590.1799999999998</v>
          </cell>
          <cell r="D4067">
            <v>219.11</v>
          </cell>
          <cell r="E4067">
            <v>222.94</v>
          </cell>
          <cell r="F4067">
            <v>237.73</v>
          </cell>
          <cell r="G4067">
            <v>210.84</v>
          </cell>
          <cell r="H4067">
            <v>3794.21</v>
          </cell>
          <cell r="I4067">
            <v>240.09</v>
          </cell>
        </row>
        <row r="4068">
          <cell r="A4068">
            <v>37512</v>
          </cell>
          <cell r="B4068">
            <v>2554.7199999999998</v>
          </cell>
          <cell r="C4068">
            <v>2530.8000000000002</v>
          </cell>
          <cell r="D4068">
            <v>215.08</v>
          </cell>
          <cell r="E4068">
            <v>218.41</v>
          </cell>
          <cell r="F4068">
            <v>232.95</v>
          </cell>
          <cell r="G4068">
            <v>207.31</v>
          </cell>
          <cell r="H4068">
            <v>3753.68</v>
          </cell>
          <cell r="I4068">
            <v>237.43</v>
          </cell>
        </row>
        <row r="4069">
          <cell r="A4069">
            <v>37515</v>
          </cell>
          <cell r="B4069">
            <v>2554.7800000000002</v>
          </cell>
          <cell r="C4069">
            <v>2516.31</v>
          </cell>
          <cell r="D4069">
            <v>214.83</v>
          </cell>
          <cell r="E4069">
            <v>216.95</v>
          </cell>
          <cell r="F4069">
            <v>231.78</v>
          </cell>
          <cell r="G4069">
            <v>208.05</v>
          </cell>
          <cell r="H4069">
            <v>3746.93</v>
          </cell>
          <cell r="I4069">
            <v>235.63</v>
          </cell>
        </row>
        <row r="4070">
          <cell r="A4070">
            <v>37516</v>
          </cell>
          <cell r="B4070">
            <v>2528.66</v>
          </cell>
          <cell r="C4070">
            <v>2493.42</v>
          </cell>
          <cell r="D4070">
            <v>213.12</v>
          </cell>
          <cell r="E4070">
            <v>215.3</v>
          </cell>
          <cell r="F4070">
            <v>229.88</v>
          </cell>
          <cell r="G4070">
            <v>206.33</v>
          </cell>
          <cell r="H4070">
            <v>3716.99</v>
          </cell>
          <cell r="I4070">
            <v>234.44</v>
          </cell>
        </row>
        <row r="4071">
          <cell r="A4071">
            <v>37517</v>
          </cell>
          <cell r="B4071">
            <v>2428.54</v>
          </cell>
          <cell r="C4071">
            <v>2382.6999999999998</v>
          </cell>
          <cell r="D4071">
            <v>205.48</v>
          </cell>
          <cell r="E4071">
            <v>206.97</v>
          </cell>
          <cell r="F4071">
            <v>221.89</v>
          </cell>
          <cell r="G4071">
            <v>199.43</v>
          </cell>
          <cell r="H4071">
            <v>3565.54</v>
          </cell>
          <cell r="I4071">
            <v>224.64</v>
          </cell>
        </row>
        <row r="4072">
          <cell r="A4072">
            <v>37518</v>
          </cell>
          <cell r="B4072">
            <v>2383.9899999999998</v>
          </cell>
          <cell r="C4072">
            <v>2328.29</v>
          </cell>
          <cell r="D4072">
            <v>201.58</v>
          </cell>
          <cell r="E4072">
            <v>202.54</v>
          </cell>
          <cell r="F4072">
            <v>217.46</v>
          </cell>
          <cell r="G4072">
            <v>196.06</v>
          </cell>
          <cell r="H4072">
            <v>3514.07</v>
          </cell>
          <cell r="I4072">
            <v>221.98</v>
          </cell>
        </row>
        <row r="4073">
          <cell r="A4073">
            <v>37519</v>
          </cell>
          <cell r="B4073">
            <v>2387.8200000000002</v>
          </cell>
          <cell r="C4073">
            <v>2308.0300000000002</v>
          </cell>
          <cell r="D4073">
            <v>202.26</v>
          </cell>
          <cell r="E4073">
            <v>201.64</v>
          </cell>
          <cell r="F4073">
            <v>216.73</v>
          </cell>
          <cell r="G4073">
            <v>198</v>
          </cell>
          <cell r="H4073">
            <v>3512.87</v>
          </cell>
          <cell r="I4073">
            <v>222.39</v>
          </cell>
        </row>
        <row r="4074">
          <cell r="A4074">
            <v>37522</v>
          </cell>
          <cell r="B4074">
            <v>2299.65</v>
          </cell>
          <cell r="C4074">
            <v>2217.48</v>
          </cell>
          <cell r="D4074">
            <v>195.39</v>
          </cell>
          <cell r="E4074">
            <v>194.19</v>
          </cell>
          <cell r="F4074">
            <v>208.81</v>
          </cell>
          <cell r="G4074">
            <v>191.77</v>
          </cell>
          <cell r="H4074">
            <v>3406.48</v>
          </cell>
          <cell r="I4074">
            <v>215.63</v>
          </cell>
        </row>
        <row r="4075">
          <cell r="A4075">
            <v>37523</v>
          </cell>
          <cell r="B4075">
            <v>2274.6</v>
          </cell>
          <cell r="C4075">
            <v>2187.2199999999998</v>
          </cell>
          <cell r="D4075">
            <v>192.33</v>
          </cell>
          <cell r="E4075">
            <v>190.98</v>
          </cell>
          <cell r="F4075">
            <v>205.98</v>
          </cell>
          <cell r="G4075">
            <v>188.91</v>
          </cell>
          <cell r="H4075">
            <v>3351.79</v>
          </cell>
          <cell r="I4075">
            <v>211.64</v>
          </cell>
        </row>
        <row r="4076">
          <cell r="A4076">
            <v>37524</v>
          </cell>
          <cell r="B4076">
            <v>2313.2199999999998</v>
          </cell>
          <cell r="C4076">
            <v>2238.11</v>
          </cell>
          <cell r="D4076">
            <v>195.43</v>
          </cell>
          <cell r="E4076">
            <v>194.38</v>
          </cell>
          <cell r="F4076">
            <v>209.43</v>
          </cell>
          <cell r="G4076">
            <v>191.69</v>
          </cell>
          <cell r="H4076">
            <v>3372.53</v>
          </cell>
          <cell r="I4076">
            <v>215.21</v>
          </cell>
        </row>
        <row r="4077">
          <cell r="A4077">
            <v>37525</v>
          </cell>
          <cell r="B4077">
            <v>2438.7600000000002</v>
          </cell>
          <cell r="C4077">
            <v>2373.0300000000002</v>
          </cell>
          <cell r="D4077">
            <v>204.01</v>
          </cell>
          <cell r="E4077">
            <v>203.66</v>
          </cell>
          <cell r="F4077">
            <v>219.31</v>
          </cell>
          <cell r="G4077">
            <v>199.5</v>
          </cell>
          <cell r="H4077">
            <v>3501.76</v>
          </cell>
          <cell r="I4077">
            <v>225.54</v>
          </cell>
        </row>
        <row r="4078">
          <cell r="A4078">
            <v>37526</v>
          </cell>
          <cell r="B4078">
            <v>2442.79</v>
          </cell>
          <cell r="C4078">
            <v>2343.2199999999998</v>
          </cell>
          <cell r="D4078">
            <v>204.19</v>
          </cell>
          <cell r="E4078">
            <v>201.63</v>
          </cell>
          <cell r="F4078">
            <v>217.75</v>
          </cell>
          <cell r="G4078">
            <v>201.48</v>
          </cell>
          <cell r="H4078">
            <v>3501.32</v>
          </cell>
          <cell r="I4078">
            <v>225.45</v>
          </cell>
        </row>
        <row r="4079">
          <cell r="A4079">
            <v>37529</v>
          </cell>
          <cell r="B4079">
            <v>2314.96</v>
          </cell>
          <cell r="C4079">
            <v>2204.39</v>
          </cell>
          <cell r="D4079">
            <v>194.76</v>
          </cell>
          <cell r="E4079">
            <v>191.47</v>
          </cell>
          <cell r="F4079">
            <v>207.94</v>
          </cell>
          <cell r="G4079">
            <v>192.86</v>
          </cell>
          <cell r="H4079">
            <v>3296.21</v>
          </cell>
          <cell r="I4079">
            <v>212.59</v>
          </cell>
        </row>
        <row r="4080">
          <cell r="A4080">
            <v>37530</v>
          </cell>
          <cell r="B4080">
            <v>2367.9499999999998</v>
          </cell>
          <cell r="C4080">
            <v>2266.5500000000002</v>
          </cell>
          <cell r="D4080">
            <v>197.54</v>
          </cell>
          <cell r="E4080">
            <v>194.88</v>
          </cell>
          <cell r="F4080">
            <v>210.21</v>
          </cell>
          <cell r="G4080">
            <v>195.06</v>
          </cell>
          <cell r="H4080">
            <v>3321.75</v>
          </cell>
          <cell r="I4080">
            <v>215.04</v>
          </cell>
        </row>
        <row r="4081">
          <cell r="A4081">
            <v>37531</v>
          </cell>
          <cell r="B4081">
            <v>2458.9299999999998</v>
          </cell>
          <cell r="C4081">
            <v>2361.73</v>
          </cell>
          <cell r="D4081">
            <v>203.1</v>
          </cell>
          <cell r="E4081">
            <v>201.24</v>
          </cell>
          <cell r="F4081">
            <v>216.71</v>
          </cell>
          <cell r="G4081">
            <v>199.85</v>
          </cell>
          <cell r="H4081">
            <v>3390.99</v>
          </cell>
          <cell r="I4081">
            <v>221.19</v>
          </cell>
        </row>
        <row r="4082">
          <cell r="A4082">
            <v>37532</v>
          </cell>
          <cell r="B4082">
            <v>2421.14</v>
          </cell>
          <cell r="C4082">
            <v>2305.1799999999998</v>
          </cell>
          <cell r="D4082">
            <v>200.32</v>
          </cell>
          <cell r="E4082">
            <v>197.14</v>
          </cell>
          <cell r="F4082">
            <v>212.62</v>
          </cell>
          <cell r="G4082">
            <v>198.2</v>
          </cell>
          <cell r="H4082">
            <v>3318.2</v>
          </cell>
          <cell r="I4082">
            <v>217.07</v>
          </cell>
        </row>
        <row r="4083">
          <cell r="A4083">
            <v>37533</v>
          </cell>
          <cell r="B4083">
            <v>2355.89</v>
          </cell>
          <cell r="C4083">
            <v>2224.7399999999998</v>
          </cell>
          <cell r="D4083">
            <v>196.44</v>
          </cell>
          <cell r="E4083">
            <v>191.81</v>
          </cell>
          <cell r="F4083">
            <v>207.29</v>
          </cell>
          <cell r="G4083">
            <v>195.6</v>
          </cell>
          <cell r="H4083">
            <v>3295.22</v>
          </cell>
          <cell r="I4083">
            <v>213.4</v>
          </cell>
        </row>
        <row r="4084">
          <cell r="A4084">
            <v>37536</v>
          </cell>
          <cell r="B4084">
            <v>2331.17</v>
          </cell>
          <cell r="C4084">
            <v>2207.62</v>
          </cell>
          <cell r="D4084">
            <v>193.75</v>
          </cell>
          <cell r="E4084">
            <v>189.6</v>
          </cell>
          <cell r="F4084">
            <v>204.16</v>
          </cell>
          <cell r="G4084">
            <v>192.59</v>
          </cell>
          <cell r="H4084">
            <v>3190.56</v>
          </cell>
          <cell r="I4084">
            <v>208.37</v>
          </cell>
        </row>
        <row r="4085">
          <cell r="A4085">
            <v>37537</v>
          </cell>
          <cell r="B4085">
            <v>2288.13</v>
          </cell>
          <cell r="C4085">
            <v>2170.54</v>
          </cell>
          <cell r="D4085">
            <v>190.84</v>
          </cell>
          <cell r="E4085">
            <v>186.75</v>
          </cell>
          <cell r="F4085">
            <v>201.01</v>
          </cell>
          <cell r="G4085">
            <v>189.69</v>
          </cell>
          <cell r="H4085">
            <v>3141.82</v>
          </cell>
          <cell r="I4085">
            <v>205.91</v>
          </cell>
        </row>
        <row r="4086">
          <cell r="A4086">
            <v>37538</v>
          </cell>
          <cell r="B4086">
            <v>2277</v>
          </cell>
          <cell r="C4086">
            <v>2150.27</v>
          </cell>
          <cell r="D4086">
            <v>189.34</v>
          </cell>
          <cell r="E4086">
            <v>184.74</v>
          </cell>
          <cell r="F4086">
            <v>198.75</v>
          </cell>
          <cell r="G4086">
            <v>188.65</v>
          </cell>
          <cell r="H4086">
            <v>3107.17</v>
          </cell>
          <cell r="I4086">
            <v>204.24</v>
          </cell>
        </row>
        <row r="4087">
          <cell r="A4087">
            <v>37539</v>
          </cell>
          <cell r="B4087">
            <v>2341.0300000000002</v>
          </cell>
          <cell r="C4087">
            <v>2234.62</v>
          </cell>
          <cell r="D4087">
            <v>193.44</v>
          </cell>
          <cell r="E4087">
            <v>190.56</v>
          </cell>
          <cell r="F4087">
            <v>204.56</v>
          </cell>
          <cell r="G4087">
            <v>191.25</v>
          </cell>
          <cell r="H4087">
            <v>3196.39</v>
          </cell>
          <cell r="I4087">
            <v>209.05</v>
          </cell>
        </row>
        <row r="4088">
          <cell r="A4088">
            <v>37540</v>
          </cell>
          <cell r="B4088">
            <v>2457.2399999999998</v>
          </cell>
          <cell r="C4088">
            <v>2351.81</v>
          </cell>
          <cell r="D4088">
            <v>202.72</v>
          </cell>
          <cell r="E4088">
            <v>200.16</v>
          </cell>
          <cell r="F4088">
            <v>215.11</v>
          </cell>
          <cell r="G4088">
            <v>200.05</v>
          </cell>
          <cell r="H4088">
            <v>3420.04</v>
          </cell>
          <cell r="I4088">
            <v>222.34</v>
          </cell>
        </row>
        <row r="4089">
          <cell r="A4089">
            <v>37543</v>
          </cell>
          <cell r="B4089">
            <v>2431.7199999999998</v>
          </cell>
          <cell r="C4089">
            <v>2318.5100000000002</v>
          </cell>
          <cell r="D4089">
            <v>200.76</v>
          </cell>
          <cell r="E4089">
            <v>197.96</v>
          </cell>
          <cell r="F4089">
            <v>212.85</v>
          </cell>
          <cell r="G4089">
            <v>198.33</v>
          </cell>
          <cell r="H4089">
            <v>3381.47</v>
          </cell>
          <cell r="I4089">
            <v>220.15</v>
          </cell>
        </row>
        <row r="4090">
          <cell r="A4090">
            <v>37544</v>
          </cell>
          <cell r="B4090">
            <v>2585.73</v>
          </cell>
          <cell r="C4090">
            <v>2485.13</v>
          </cell>
          <cell r="D4090">
            <v>212.41</v>
          </cell>
          <cell r="E4090">
            <v>210.52</v>
          </cell>
          <cell r="F4090">
            <v>225.95</v>
          </cell>
          <cell r="G4090">
            <v>208.95</v>
          </cell>
          <cell r="H4090">
            <v>3610.7</v>
          </cell>
          <cell r="I4090">
            <v>235.52</v>
          </cell>
        </row>
        <row r="4091">
          <cell r="A4091">
            <v>37545</v>
          </cell>
          <cell r="B4091">
            <v>2536.71</v>
          </cell>
          <cell r="C4091">
            <v>2444.85</v>
          </cell>
          <cell r="D4091">
            <v>209.3</v>
          </cell>
          <cell r="E4091">
            <v>207.83</v>
          </cell>
          <cell r="F4091">
            <v>222.99</v>
          </cell>
          <cell r="G4091">
            <v>205.57</v>
          </cell>
          <cell r="H4091">
            <v>3525.51</v>
          </cell>
          <cell r="I4091">
            <v>229.24</v>
          </cell>
        </row>
        <row r="4092">
          <cell r="A4092">
            <v>37546</v>
          </cell>
          <cell r="B4092">
            <v>2624.95</v>
          </cell>
          <cell r="C4092">
            <v>2536.4499999999998</v>
          </cell>
          <cell r="D4092">
            <v>216.17</v>
          </cell>
          <cell r="E4092">
            <v>215.56</v>
          </cell>
          <cell r="F4092">
            <v>229.9</v>
          </cell>
          <cell r="G4092">
            <v>211.59</v>
          </cell>
          <cell r="H4092">
            <v>3606.96</v>
          </cell>
          <cell r="I4092">
            <v>238.24</v>
          </cell>
        </row>
        <row r="4093">
          <cell r="A4093">
            <v>37547</v>
          </cell>
          <cell r="B4093">
            <v>2606.39</v>
          </cell>
          <cell r="C4093">
            <v>2527.38</v>
          </cell>
          <cell r="D4093">
            <v>215.06</v>
          </cell>
          <cell r="E4093">
            <v>215.22</v>
          </cell>
          <cell r="F4093">
            <v>229.66</v>
          </cell>
          <cell r="G4093">
            <v>209.85</v>
          </cell>
          <cell r="H4093">
            <v>3679.34</v>
          </cell>
          <cell r="I4093">
            <v>241.22</v>
          </cell>
        </row>
        <row r="4094">
          <cell r="A4094">
            <v>37550</v>
          </cell>
          <cell r="B4094">
            <v>2603.5700000000002</v>
          </cell>
          <cell r="C4094">
            <v>2549.84</v>
          </cell>
          <cell r="D4094">
            <v>215.31</v>
          </cell>
          <cell r="E4094">
            <v>216.77</v>
          </cell>
          <cell r="F4094">
            <v>230.65</v>
          </cell>
          <cell r="G4094">
            <v>209.05</v>
          </cell>
          <cell r="H4094">
            <v>3689.57</v>
          </cell>
          <cell r="I4094">
            <v>241.63</v>
          </cell>
        </row>
        <row r="4095">
          <cell r="A4095">
            <v>37551</v>
          </cell>
          <cell r="B4095">
            <v>2573.91</v>
          </cell>
          <cell r="C4095">
            <v>2507.5</v>
          </cell>
          <cell r="D4095">
            <v>213.36</v>
          </cell>
          <cell r="E4095">
            <v>214.24</v>
          </cell>
          <cell r="F4095">
            <v>228.19</v>
          </cell>
          <cell r="G4095">
            <v>207.62</v>
          </cell>
          <cell r="H4095">
            <v>3657.24</v>
          </cell>
          <cell r="I4095">
            <v>241.32</v>
          </cell>
        </row>
        <row r="4096">
          <cell r="A4096">
            <v>37552</v>
          </cell>
          <cell r="B4096">
            <v>2486.17</v>
          </cell>
          <cell r="C4096">
            <v>2399.77</v>
          </cell>
          <cell r="D4096">
            <v>207.22</v>
          </cell>
          <cell r="E4096">
            <v>206.67</v>
          </cell>
          <cell r="F4096">
            <v>220.7</v>
          </cell>
          <cell r="G4096">
            <v>202.79</v>
          </cell>
          <cell r="H4096">
            <v>3541.52</v>
          </cell>
          <cell r="I4096">
            <v>233.89</v>
          </cell>
        </row>
        <row r="4097">
          <cell r="A4097">
            <v>37553</v>
          </cell>
          <cell r="B4097">
            <v>2558.81</v>
          </cell>
          <cell r="C4097">
            <v>2469.62</v>
          </cell>
          <cell r="D4097">
            <v>212.33</v>
          </cell>
          <cell r="E4097">
            <v>211.87</v>
          </cell>
          <cell r="F4097">
            <v>226.27</v>
          </cell>
          <cell r="G4097">
            <v>207.7</v>
          </cell>
          <cell r="H4097">
            <v>3648.52</v>
          </cell>
          <cell r="I4097">
            <v>241.03</v>
          </cell>
        </row>
        <row r="4098">
          <cell r="A4098">
            <v>37554</v>
          </cell>
          <cell r="B4098">
            <v>2547.0100000000002</v>
          </cell>
          <cell r="C4098">
            <v>2456.91</v>
          </cell>
          <cell r="D4098">
            <v>211.07</v>
          </cell>
          <cell r="E4098">
            <v>210.79</v>
          </cell>
          <cell r="F4098">
            <v>225.74</v>
          </cell>
          <cell r="G4098">
            <v>206.32</v>
          </cell>
          <cell r="H4098">
            <v>3624.61</v>
          </cell>
          <cell r="I4098">
            <v>239.74</v>
          </cell>
        </row>
        <row r="4099">
          <cell r="A4099">
            <v>37557</v>
          </cell>
          <cell r="B4099">
            <v>2574.7199999999998</v>
          </cell>
          <cell r="C4099">
            <v>2508.5100000000002</v>
          </cell>
          <cell r="D4099">
            <v>213.56</v>
          </cell>
          <cell r="E4099">
            <v>214.8</v>
          </cell>
          <cell r="F4099">
            <v>229.1</v>
          </cell>
          <cell r="G4099">
            <v>207.52</v>
          </cell>
          <cell r="H4099">
            <v>3717.07</v>
          </cell>
          <cell r="I4099">
            <v>246</v>
          </cell>
        </row>
        <row r="4100">
          <cell r="A4100">
            <v>37558</v>
          </cell>
          <cell r="B4100">
            <v>2459.87</v>
          </cell>
          <cell r="C4100">
            <v>2383.5</v>
          </cell>
          <cell r="D4100">
            <v>205.14</v>
          </cell>
          <cell r="E4100">
            <v>205.46</v>
          </cell>
          <cell r="F4100">
            <v>219.76</v>
          </cell>
          <cell r="G4100">
            <v>200.05</v>
          </cell>
          <cell r="H4100">
            <v>3556.37</v>
          </cell>
          <cell r="I4100">
            <v>234.97</v>
          </cell>
        </row>
        <row r="4101">
          <cell r="A4101">
            <v>37559</v>
          </cell>
          <cell r="B4101">
            <v>2525.42</v>
          </cell>
          <cell r="C4101">
            <v>2468.8000000000002</v>
          </cell>
          <cell r="D4101">
            <v>210.09</v>
          </cell>
          <cell r="E4101">
            <v>211.44</v>
          </cell>
          <cell r="F4101">
            <v>226.1</v>
          </cell>
          <cell r="G4101">
            <v>204.03</v>
          </cell>
          <cell r="H4101">
            <v>3654.48</v>
          </cell>
          <cell r="I4101">
            <v>240.93</v>
          </cell>
        </row>
        <row r="4102">
          <cell r="A4102">
            <v>37560</v>
          </cell>
          <cell r="B4102">
            <v>2561.29</v>
          </cell>
          <cell r="C4102">
            <v>2518.9899999999998</v>
          </cell>
          <cell r="D4102">
            <v>213.01</v>
          </cell>
          <cell r="E4102">
            <v>215.58</v>
          </cell>
          <cell r="F4102">
            <v>230.26</v>
          </cell>
          <cell r="G4102">
            <v>205.9</v>
          </cell>
          <cell r="H4102">
            <v>3718.43</v>
          </cell>
          <cell r="I4102">
            <v>245.56</v>
          </cell>
        </row>
        <row r="4103">
          <cell r="A4103">
            <v>37561</v>
          </cell>
          <cell r="B4103">
            <v>2522.4899999999998</v>
          </cell>
          <cell r="C4103">
            <v>2487.66</v>
          </cell>
          <cell r="D4103">
            <v>210.47</v>
          </cell>
          <cell r="E4103">
            <v>213.85</v>
          </cell>
          <cell r="F4103">
            <v>228.3</v>
          </cell>
          <cell r="G4103">
            <v>202.76</v>
          </cell>
          <cell r="H4103">
            <v>3655.43</v>
          </cell>
          <cell r="I4103">
            <v>240.84</v>
          </cell>
        </row>
        <row r="4104">
          <cell r="A4104">
            <v>37564</v>
          </cell>
          <cell r="B4104">
            <v>2612.67</v>
          </cell>
          <cell r="C4104">
            <v>2592.5500000000002</v>
          </cell>
          <cell r="D4104">
            <v>217.63</v>
          </cell>
          <cell r="E4104">
            <v>222.13</v>
          </cell>
          <cell r="F4104">
            <v>236.64</v>
          </cell>
          <cell r="G4104">
            <v>208.83</v>
          </cell>
          <cell r="H4104">
            <v>3824.65</v>
          </cell>
          <cell r="I4104">
            <v>252.67</v>
          </cell>
        </row>
        <row r="4105">
          <cell r="A4105">
            <v>37565</v>
          </cell>
          <cell r="B4105">
            <v>2627.21</v>
          </cell>
          <cell r="C4105">
            <v>2614.14</v>
          </cell>
          <cell r="D4105">
            <v>218.39</v>
          </cell>
          <cell r="E4105">
            <v>223.16</v>
          </cell>
          <cell r="F4105">
            <v>237.8</v>
          </cell>
          <cell r="G4105">
            <v>209.35</v>
          </cell>
          <cell r="H4105">
            <v>3883.51</v>
          </cell>
          <cell r="I4105">
            <v>255.54</v>
          </cell>
        </row>
        <row r="4106">
          <cell r="A4106">
            <v>37566</v>
          </cell>
          <cell r="B4106">
            <v>2590.7800000000002</v>
          </cell>
          <cell r="C4106">
            <v>2578.36</v>
          </cell>
          <cell r="D4106">
            <v>216.18</v>
          </cell>
          <cell r="E4106">
            <v>220.52</v>
          </cell>
          <cell r="F4106">
            <v>235.22</v>
          </cell>
          <cell r="G4106">
            <v>207.54</v>
          </cell>
          <cell r="H4106">
            <v>3820.83</v>
          </cell>
          <cell r="I4106">
            <v>250.86</v>
          </cell>
        </row>
        <row r="4107">
          <cell r="A4107">
            <v>37567</v>
          </cell>
          <cell r="B4107">
            <v>2537.58</v>
          </cell>
          <cell r="C4107">
            <v>2485.81</v>
          </cell>
          <cell r="D4107">
            <v>212.21</v>
          </cell>
          <cell r="E4107">
            <v>213.83</v>
          </cell>
          <cell r="F4107">
            <v>228.52</v>
          </cell>
          <cell r="G4107">
            <v>205.88</v>
          </cell>
          <cell r="H4107">
            <v>3739.42</v>
          </cell>
          <cell r="I4107">
            <v>245.07</v>
          </cell>
        </row>
        <row r="4108">
          <cell r="A4108">
            <v>37568</v>
          </cell>
          <cell r="B4108">
            <v>2510.15</v>
          </cell>
          <cell r="C4108">
            <v>2450.42</v>
          </cell>
          <cell r="D4108">
            <v>209.88</v>
          </cell>
          <cell r="E4108">
            <v>210.85</v>
          </cell>
          <cell r="F4108">
            <v>225.72</v>
          </cell>
          <cell r="G4108">
            <v>204.13</v>
          </cell>
          <cell r="H4108">
            <v>3727.25</v>
          </cell>
          <cell r="I4108">
            <v>243.42</v>
          </cell>
        </row>
        <row r="4109">
          <cell r="A4109">
            <v>37571</v>
          </cell>
          <cell r="B4109">
            <v>2496.83</v>
          </cell>
          <cell r="C4109">
            <v>2434.73</v>
          </cell>
          <cell r="D4109">
            <v>208.55</v>
          </cell>
          <cell r="E4109">
            <v>209.38</v>
          </cell>
          <cell r="F4109">
            <v>224.03</v>
          </cell>
          <cell r="G4109">
            <v>202.96</v>
          </cell>
          <cell r="H4109">
            <v>3685.58</v>
          </cell>
          <cell r="I4109">
            <v>239.8</v>
          </cell>
        </row>
        <row r="4110">
          <cell r="A4110">
            <v>37572</v>
          </cell>
          <cell r="B4110">
            <v>2534.3200000000002</v>
          </cell>
          <cell r="C4110">
            <v>2454.27</v>
          </cell>
          <cell r="D4110">
            <v>211.32</v>
          </cell>
          <cell r="E4110">
            <v>211.4</v>
          </cell>
          <cell r="F4110">
            <v>226.54</v>
          </cell>
          <cell r="G4110">
            <v>206.27</v>
          </cell>
          <cell r="H4110">
            <v>3782.58</v>
          </cell>
          <cell r="I4110">
            <v>245.49</v>
          </cell>
        </row>
        <row r="4111">
          <cell r="A4111">
            <v>37573</v>
          </cell>
          <cell r="B4111">
            <v>2518.14</v>
          </cell>
          <cell r="C4111">
            <v>2435.6799999999998</v>
          </cell>
          <cell r="D4111">
            <v>209.65</v>
          </cell>
          <cell r="E4111">
            <v>209.96</v>
          </cell>
          <cell r="F4111">
            <v>225.13</v>
          </cell>
          <cell r="G4111">
            <v>204.45</v>
          </cell>
          <cell r="H4111">
            <v>3811.74</v>
          </cell>
          <cell r="I4111">
            <v>248.29</v>
          </cell>
        </row>
        <row r="4112">
          <cell r="A4112">
            <v>37574</v>
          </cell>
          <cell r="B4112">
            <v>2568.13</v>
          </cell>
          <cell r="C4112">
            <v>2525.7399999999998</v>
          </cell>
          <cell r="D4112">
            <v>213.49</v>
          </cell>
          <cell r="E4112">
            <v>216.28</v>
          </cell>
          <cell r="F4112">
            <v>231.5</v>
          </cell>
          <cell r="G4112">
            <v>206.18</v>
          </cell>
          <cell r="H4112">
            <v>3910.75</v>
          </cell>
          <cell r="I4112">
            <v>256.23</v>
          </cell>
        </row>
        <row r="4113">
          <cell r="A4113">
            <v>37575</v>
          </cell>
          <cell r="B4113">
            <v>2589.33</v>
          </cell>
          <cell r="C4113">
            <v>2535.73</v>
          </cell>
          <cell r="D4113">
            <v>214.59</v>
          </cell>
          <cell r="E4113">
            <v>216.98</v>
          </cell>
          <cell r="F4113">
            <v>232.59</v>
          </cell>
          <cell r="G4113">
            <v>207.59</v>
          </cell>
          <cell r="H4113">
            <v>3863.55</v>
          </cell>
          <cell r="I4113">
            <v>254.69</v>
          </cell>
        </row>
        <row r="4114">
          <cell r="A4114">
            <v>37578</v>
          </cell>
          <cell r="B4114">
            <v>2613.67</v>
          </cell>
          <cell r="C4114">
            <v>2572.65</v>
          </cell>
          <cell r="D4114">
            <v>216.72</v>
          </cell>
          <cell r="E4114">
            <v>219.85</v>
          </cell>
          <cell r="F4114">
            <v>235.21</v>
          </cell>
          <cell r="G4114">
            <v>209.05</v>
          </cell>
          <cell r="H4114">
            <v>3940.55</v>
          </cell>
          <cell r="I4114">
            <v>260.02999999999997</v>
          </cell>
        </row>
        <row r="4115">
          <cell r="A4115">
            <v>37579</v>
          </cell>
          <cell r="B4115">
            <v>2603.89</v>
          </cell>
          <cell r="C4115">
            <v>2550.4699999999998</v>
          </cell>
          <cell r="D4115">
            <v>215.58</v>
          </cell>
          <cell r="E4115">
            <v>218.29</v>
          </cell>
          <cell r="F4115">
            <v>233.32</v>
          </cell>
          <cell r="G4115">
            <v>208.29</v>
          </cell>
          <cell r="H4115">
            <v>3855.99</v>
          </cell>
          <cell r="I4115">
            <v>253.92</v>
          </cell>
        </row>
        <row r="4116">
          <cell r="A4116">
            <v>37580</v>
          </cell>
          <cell r="B4116">
            <v>2603.31</v>
          </cell>
          <cell r="C4116">
            <v>2544.38</v>
          </cell>
          <cell r="D4116">
            <v>215.17</v>
          </cell>
          <cell r="E4116">
            <v>217.72</v>
          </cell>
          <cell r="F4116">
            <v>233.19</v>
          </cell>
          <cell r="G4116">
            <v>208.02</v>
          </cell>
          <cell r="H4116">
            <v>3883.47</v>
          </cell>
          <cell r="I4116">
            <v>255.96</v>
          </cell>
        </row>
        <row r="4117">
          <cell r="A4117">
            <v>37581</v>
          </cell>
          <cell r="B4117">
            <v>2684.91</v>
          </cell>
          <cell r="C4117">
            <v>2644.1</v>
          </cell>
          <cell r="D4117">
            <v>221.84</v>
          </cell>
          <cell r="E4117">
            <v>225.54</v>
          </cell>
          <cell r="F4117">
            <v>240.99</v>
          </cell>
          <cell r="G4117">
            <v>213.59</v>
          </cell>
          <cell r="H4117">
            <v>4062.09</v>
          </cell>
          <cell r="I4117">
            <v>267.97000000000003</v>
          </cell>
        </row>
        <row r="4118">
          <cell r="A4118">
            <v>37582</v>
          </cell>
          <cell r="B4118">
            <v>2681.03</v>
          </cell>
          <cell r="C4118">
            <v>2648.14</v>
          </cell>
          <cell r="D4118">
            <v>222.3</v>
          </cell>
          <cell r="E4118">
            <v>226.16</v>
          </cell>
          <cell r="F4118">
            <v>241.78</v>
          </cell>
          <cell r="G4118">
            <v>213.91</v>
          </cell>
          <cell r="H4118">
            <v>4099.99</v>
          </cell>
          <cell r="I4118">
            <v>269.45999999999998</v>
          </cell>
        </row>
        <row r="4119">
          <cell r="A4119">
            <v>37585</v>
          </cell>
          <cell r="B4119">
            <v>2656</v>
          </cell>
          <cell r="C4119">
            <v>2638.11</v>
          </cell>
          <cell r="D4119">
            <v>220.85</v>
          </cell>
          <cell r="E4119">
            <v>226.2</v>
          </cell>
          <cell r="F4119">
            <v>241.58</v>
          </cell>
          <cell r="G4119">
            <v>211.28</v>
          </cell>
          <cell r="H4119">
            <v>4090.89</v>
          </cell>
          <cell r="I4119">
            <v>270.17</v>
          </cell>
        </row>
        <row r="4120">
          <cell r="A4120">
            <v>37586</v>
          </cell>
          <cell r="B4120">
            <v>2596.0300000000002</v>
          </cell>
          <cell r="C4120">
            <v>2564.4899999999998</v>
          </cell>
          <cell r="D4120">
            <v>216.26</v>
          </cell>
          <cell r="E4120">
            <v>221.1</v>
          </cell>
          <cell r="F4120">
            <v>236.63</v>
          </cell>
          <cell r="G4120">
            <v>207.21</v>
          </cell>
          <cell r="H4120">
            <v>3998.41</v>
          </cell>
          <cell r="I4120">
            <v>264.01</v>
          </cell>
        </row>
        <row r="4121">
          <cell r="A4121">
            <v>37587</v>
          </cell>
          <cell r="B4121">
            <v>2661.16</v>
          </cell>
          <cell r="C4121">
            <v>2654.77</v>
          </cell>
          <cell r="D4121">
            <v>221.42</v>
          </cell>
          <cell r="E4121">
            <v>227.97</v>
          </cell>
          <cell r="F4121">
            <v>243.35</v>
          </cell>
          <cell r="G4121">
            <v>210.87</v>
          </cell>
          <cell r="H4121">
            <v>4126.95</v>
          </cell>
          <cell r="I4121">
            <v>272.3</v>
          </cell>
        </row>
        <row r="4122">
          <cell r="A4122">
            <v>37588</v>
          </cell>
          <cell r="B4122">
            <v>2675.37</v>
          </cell>
          <cell r="C4122">
            <v>2669.89</v>
          </cell>
          <cell r="D4122">
            <v>222.89</v>
          </cell>
          <cell r="E4122">
            <v>229.42</v>
          </cell>
          <cell r="F4122">
            <v>244.42</v>
          </cell>
          <cell r="G4122">
            <v>212.31</v>
          </cell>
          <cell r="H4122">
            <v>4183.76</v>
          </cell>
          <cell r="I4122">
            <v>276.52999999999997</v>
          </cell>
        </row>
        <row r="4123">
          <cell r="A4123">
            <v>37589</v>
          </cell>
          <cell r="B4123">
            <v>2661.51</v>
          </cell>
          <cell r="C4123">
            <v>2656.85</v>
          </cell>
          <cell r="D4123">
            <v>222.47</v>
          </cell>
          <cell r="E4123">
            <v>229.02</v>
          </cell>
          <cell r="F4123">
            <v>243.84</v>
          </cell>
          <cell r="G4123">
            <v>211.88</v>
          </cell>
          <cell r="H4123">
            <v>4160.58</v>
          </cell>
          <cell r="I4123">
            <v>274.68</v>
          </cell>
        </row>
        <row r="4124">
          <cell r="A4124">
            <v>37592</v>
          </cell>
          <cell r="B4124">
            <v>2664.32</v>
          </cell>
          <cell r="C4124">
            <v>2662.49</v>
          </cell>
          <cell r="D4124">
            <v>222.45</v>
          </cell>
          <cell r="E4124">
            <v>229.61</v>
          </cell>
          <cell r="F4124">
            <v>244.57</v>
          </cell>
          <cell r="G4124">
            <v>211.37</v>
          </cell>
          <cell r="H4124">
            <v>4151.87</v>
          </cell>
          <cell r="I4124">
            <v>276.36</v>
          </cell>
        </row>
        <row r="4125">
          <cell r="A4125">
            <v>37593</v>
          </cell>
          <cell r="B4125">
            <v>2605.4899999999998</v>
          </cell>
          <cell r="C4125">
            <v>2585.42</v>
          </cell>
          <cell r="D4125">
            <v>217.9</v>
          </cell>
          <cell r="E4125">
            <v>223.48</v>
          </cell>
          <cell r="F4125">
            <v>238.07</v>
          </cell>
          <cell r="G4125">
            <v>208.21</v>
          </cell>
          <cell r="H4125">
            <v>4021.26</v>
          </cell>
          <cell r="I4125">
            <v>264.97000000000003</v>
          </cell>
        </row>
        <row r="4126">
          <cell r="A4126">
            <v>37594</v>
          </cell>
          <cell r="B4126">
            <v>2585.75</v>
          </cell>
          <cell r="C4126">
            <v>2577</v>
          </cell>
          <cell r="D4126">
            <v>216.49</v>
          </cell>
          <cell r="E4126">
            <v>222.69</v>
          </cell>
          <cell r="F4126">
            <v>237.36</v>
          </cell>
          <cell r="G4126">
            <v>206.33</v>
          </cell>
          <cell r="H4126">
            <v>3999.39</v>
          </cell>
          <cell r="I4126">
            <v>265.19</v>
          </cell>
        </row>
        <row r="4127">
          <cell r="A4127">
            <v>37595</v>
          </cell>
          <cell r="B4127">
            <v>2552.92</v>
          </cell>
          <cell r="C4127">
            <v>2527.1799999999998</v>
          </cell>
          <cell r="D4127">
            <v>214.41</v>
          </cell>
          <cell r="E4127">
            <v>219.16</v>
          </cell>
          <cell r="F4127">
            <v>233.92</v>
          </cell>
          <cell r="G4127">
            <v>205.47</v>
          </cell>
          <cell r="H4127">
            <v>3964.64</v>
          </cell>
          <cell r="I4127">
            <v>262.74</v>
          </cell>
        </row>
        <row r="4128">
          <cell r="A4128">
            <v>37596</v>
          </cell>
          <cell r="B4128">
            <v>2542</v>
          </cell>
          <cell r="C4128">
            <v>2531.66</v>
          </cell>
          <cell r="D4128">
            <v>213.21</v>
          </cell>
          <cell r="E4128">
            <v>218.98</v>
          </cell>
          <cell r="F4128">
            <v>233.45</v>
          </cell>
          <cell r="G4128">
            <v>203.48</v>
          </cell>
          <cell r="H4128">
            <v>3949.72</v>
          </cell>
          <cell r="I4128">
            <v>260.89</v>
          </cell>
        </row>
        <row r="4129">
          <cell r="A4129">
            <v>37599</v>
          </cell>
          <cell r="B4129">
            <v>2485.48</v>
          </cell>
          <cell r="C4129">
            <v>2459.02</v>
          </cell>
          <cell r="D4129">
            <v>208.89</v>
          </cell>
          <cell r="E4129">
            <v>213.41</v>
          </cell>
          <cell r="F4129">
            <v>228.17</v>
          </cell>
          <cell r="G4129">
            <v>200.27</v>
          </cell>
          <cell r="H4129">
            <v>3885.5</v>
          </cell>
          <cell r="I4129">
            <v>256.39999999999998</v>
          </cell>
        </row>
        <row r="4130">
          <cell r="A4130">
            <v>37600</v>
          </cell>
          <cell r="B4130">
            <v>2494.31</v>
          </cell>
          <cell r="C4130">
            <v>2486.94</v>
          </cell>
          <cell r="D4130">
            <v>209.38</v>
          </cell>
          <cell r="E4130">
            <v>215.32</v>
          </cell>
          <cell r="F4130">
            <v>230.1</v>
          </cell>
          <cell r="G4130">
            <v>199.59</v>
          </cell>
          <cell r="H4130">
            <v>3882.06</v>
          </cell>
          <cell r="I4130">
            <v>253.6</v>
          </cell>
        </row>
        <row r="4131">
          <cell r="A4131">
            <v>37601</v>
          </cell>
          <cell r="B4131">
            <v>2524.56</v>
          </cell>
          <cell r="C4131">
            <v>2515.34</v>
          </cell>
          <cell r="D4131">
            <v>211.68</v>
          </cell>
          <cell r="E4131">
            <v>217.37</v>
          </cell>
          <cell r="F4131">
            <v>231.78</v>
          </cell>
          <cell r="G4131">
            <v>202.05</v>
          </cell>
          <cell r="H4131">
            <v>3882.78</v>
          </cell>
          <cell r="I4131">
            <v>252.46</v>
          </cell>
        </row>
        <row r="4132">
          <cell r="A4132">
            <v>37602</v>
          </cell>
          <cell r="B4132">
            <v>2484.2199999999998</v>
          </cell>
          <cell r="C4132">
            <v>2471.37</v>
          </cell>
          <cell r="D4132">
            <v>208.34</v>
          </cell>
          <cell r="E4132">
            <v>213.92</v>
          </cell>
          <cell r="F4132">
            <v>228.52</v>
          </cell>
          <cell r="G4132">
            <v>198.87</v>
          </cell>
          <cell r="H4132">
            <v>3834.18</v>
          </cell>
          <cell r="I4132">
            <v>250.8</v>
          </cell>
        </row>
        <row r="4133">
          <cell r="A4133">
            <v>37603</v>
          </cell>
          <cell r="B4133">
            <v>2449.89</v>
          </cell>
          <cell r="C4133">
            <v>2429.42</v>
          </cell>
          <cell r="D4133">
            <v>205.63</v>
          </cell>
          <cell r="E4133">
            <v>210.39</v>
          </cell>
          <cell r="F4133">
            <v>225.34</v>
          </cell>
          <cell r="G4133">
            <v>196.89</v>
          </cell>
          <cell r="H4133">
            <v>3816.19</v>
          </cell>
          <cell r="I4133">
            <v>248.25</v>
          </cell>
        </row>
        <row r="4134">
          <cell r="A4134">
            <v>37606</v>
          </cell>
          <cell r="B4134">
            <v>2533.69</v>
          </cell>
          <cell r="C4134">
            <v>2522.0500000000002</v>
          </cell>
          <cell r="D4134">
            <v>211.18</v>
          </cell>
          <cell r="E4134">
            <v>216.83</v>
          </cell>
          <cell r="F4134">
            <v>231.39</v>
          </cell>
          <cell r="G4134">
            <v>201.59</v>
          </cell>
          <cell r="H4134">
            <v>3849.73</v>
          </cell>
          <cell r="I4134">
            <v>251.73</v>
          </cell>
        </row>
        <row r="4135">
          <cell r="A4135">
            <v>37607</v>
          </cell>
          <cell r="B4135">
            <v>2494.12</v>
          </cell>
          <cell r="C4135">
            <v>2490.61</v>
          </cell>
          <cell r="D4135">
            <v>208.28</v>
          </cell>
          <cell r="E4135">
            <v>214.45</v>
          </cell>
          <cell r="F4135">
            <v>229.09</v>
          </cell>
          <cell r="G4135">
            <v>198.33</v>
          </cell>
          <cell r="H4135">
            <v>3778.54</v>
          </cell>
          <cell r="I4135">
            <v>247.84</v>
          </cell>
        </row>
        <row r="4136">
          <cell r="A4136">
            <v>37608</v>
          </cell>
          <cell r="B4136">
            <v>2442.04</v>
          </cell>
          <cell r="C4136">
            <v>2427.31</v>
          </cell>
          <cell r="D4136">
            <v>204.46</v>
          </cell>
          <cell r="E4136">
            <v>209.64</v>
          </cell>
          <cell r="F4136">
            <v>224.27</v>
          </cell>
          <cell r="G4136">
            <v>195.41</v>
          </cell>
          <cell r="H4136">
            <v>3697.62</v>
          </cell>
          <cell r="I4136">
            <v>241.6</v>
          </cell>
        </row>
        <row r="4137">
          <cell r="A4137">
            <v>37609</v>
          </cell>
          <cell r="B4137">
            <v>2432.36</v>
          </cell>
          <cell r="C4137">
            <v>2406.08</v>
          </cell>
          <cell r="D4137">
            <v>203.81</v>
          </cell>
          <cell r="E4137">
            <v>207.92</v>
          </cell>
          <cell r="F4137">
            <v>222.76</v>
          </cell>
          <cell r="G4137">
            <v>195.64</v>
          </cell>
          <cell r="H4137">
            <v>3684.04</v>
          </cell>
          <cell r="I4137">
            <v>240.88</v>
          </cell>
        </row>
        <row r="4138">
          <cell r="A4138">
            <v>37610</v>
          </cell>
          <cell r="B4138">
            <v>2456.29</v>
          </cell>
          <cell r="C4138">
            <v>2438.9699999999998</v>
          </cell>
          <cell r="D4138">
            <v>205.67</v>
          </cell>
          <cell r="E4138">
            <v>210.27</v>
          </cell>
          <cell r="F4138">
            <v>224.59</v>
          </cell>
          <cell r="G4138">
            <v>197.06</v>
          </cell>
          <cell r="H4138">
            <v>3674.15</v>
          </cell>
          <cell r="I4138">
            <v>240.32</v>
          </cell>
        </row>
        <row r="4139">
          <cell r="A4139">
            <v>37613</v>
          </cell>
          <cell r="B4139">
            <v>2473.5700000000002</v>
          </cell>
          <cell r="C4139">
            <v>2456.5</v>
          </cell>
          <cell r="D4139">
            <v>206.13</v>
          </cell>
          <cell r="E4139">
            <v>210.77</v>
          </cell>
          <cell r="F4139">
            <v>224.71</v>
          </cell>
          <cell r="G4139">
            <v>197.48</v>
          </cell>
          <cell r="H4139">
            <v>3649.36</v>
          </cell>
          <cell r="I4139">
            <v>239.54</v>
          </cell>
        </row>
        <row r="4140">
          <cell r="A4140">
            <v>37617</v>
          </cell>
          <cell r="B4140">
            <v>2381.56</v>
          </cell>
          <cell r="C4140">
            <v>2364.9899999999998</v>
          </cell>
          <cell r="D4140">
            <v>199.83</v>
          </cell>
          <cell r="E4140">
            <v>204.56</v>
          </cell>
          <cell r="F4140">
            <v>218.24</v>
          </cell>
          <cell r="G4140">
            <v>191.27</v>
          </cell>
          <cell r="H4140">
            <v>3558.27</v>
          </cell>
          <cell r="I4140">
            <v>232.77</v>
          </cell>
        </row>
        <row r="4141">
          <cell r="A4141">
            <v>37620</v>
          </cell>
          <cell r="B4141">
            <v>2407.5100000000002</v>
          </cell>
          <cell r="C4141">
            <v>2386.41</v>
          </cell>
          <cell r="D4141">
            <v>201.72</v>
          </cell>
          <cell r="E4141">
            <v>205.94</v>
          </cell>
          <cell r="F4141">
            <v>219.75</v>
          </cell>
          <cell r="G4141">
            <v>193.52</v>
          </cell>
          <cell r="H4141">
            <v>3555.74</v>
          </cell>
          <cell r="I4141">
            <v>233.19</v>
          </cell>
        </row>
        <row r="4142">
          <cell r="A4142">
            <v>37623</v>
          </cell>
          <cell r="B4142">
            <v>2502.25</v>
          </cell>
          <cell r="C4142">
            <v>2522.2399999999998</v>
          </cell>
          <cell r="D4142">
            <v>209.29</v>
          </cell>
          <cell r="E4142">
            <v>216.27</v>
          </cell>
          <cell r="F4142">
            <v>228.85</v>
          </cell>
          <cell r="G4142">
            <v>198.67</v>
          </cell>
          <cell r="H4142">
            <v>3744.65</v>
          </cell>
          <cell r="I4142">
            <v>244.73</v>
          </cell>
        </row>
        <row r="4143">
          <cell r="A4143">
            <v>37624</v>
          </cell>
          <cell r="B4143">
            <v>2517.5700000000002</v>
          </cell>
          <cell r="C4143">
            <v>2502.19</v>
          </cell>
          <cell r="D4143">
            <v>210.38</v>
          </cell>
          <cell r="E4143">
            <v>215.71</v>
          </cell>
          <cell r="F4143">
            <v>230.56</v>
          </cell>
          <cell r="G4143">
            <v>201.07</v>
          </cell>
          <cell r="H4143">
            <v>3775.1</v>
          </cell>
          <cell r="I4143">
            <v>246.71</v>
          </cell>
        </row>
        <row r="4144">
          <cell r="A4144">
            <v>37627</v>
          </cell>
          <cell r="B4144">
            <v>2526.73</v>
          </cell>
          <cell r="C4144">
            <v>2529.86</v>
          </cell>
          <cell r="D4144">
            <v>210.8</v>
          </cell>
          <cell r="E4144">
            <v>217.48</v>
          </cell>
          <cell r="F4144">
            <v>232.12</v>
          </cell>
          <cell r="G4144">
            <v>200.39</v>
          </cell>
          <cell r="H4144">
            <v>3785.02</v>
          </cell>
          <cell r="I4144">
            <v>247</v>
          </cell>
        </row>
        <row r="4145">
          <cell r="A4145">
            <v>37628</v>
          </cell>
          <cell r="B4145">
            <v>2504.27</v>
          </cell>
          <cell r="C4145">
            <v>2504.91</v>
          </cell>
          <cell r="D4145">
            <v>209.32</v>
          </cell>
          <cell r="E4145">
            <v>215.73</v>
          </cell>
          <cell r="F4145">
            <v>230.51</v>
          </cell>
          <cell r="G4145">
            <v>199.16</v>
          </cell>
          <cell r="H4145">
            <v>3777.27</v>
          </cell>
          <cell r="I4145">
            <v>245.71</v>
          </cell>
        </row>
        <row r="4146">
          <cell r="A4146">
            <v>37629</v>
          </cell>
          <cell r="B4146">
            <v>2471.41</v>
          </cell>
          <cell r="C4146">
            <v>2449.7800000000002</v>
          </cell>
          <cell r="D4146">
            <v>206.33</v>
          </cell>
          <cell r="E4146">
            <v>211.55</v>
          </cell>
          <cell r="F4146">
            <v>226.73</v>
          </cell>
          <cell r="G4146">
            <v>197.21</v>
          </cell>
          <cell r="H4146">
            <v>3679.54</v>
          </cell>
          <cell r="I4146">
            <v>238.23</v>
          </cell>
        </row>
        <row r="4147">
          <cell r="A4147">
            <v>37630</v>
          </cell>
          <cell r="B4147">
            <v>2484.2600000000002</v>
          </cell>
          <cell r="C4147">
            <v>2492.1799999999998</v>
          </cell>
          <cell r="D4147">
            <v>207.48</v>
          </cell>
          <cell r="E4147">
            <v>214.51</v>
          </cell>
          <cell r="F4147">
            <v>228.95</v>
          </cell>
          <cell r="G4147">
            <v>196.87</v>
          </cell>
          <cell r="H4147">
            <v>3708.88</v>
          </cell>
          <cell r="I4147">
            <v>241.88</v>
          </cell>
        </row>
        <row r="4148">
          <cell r="A4148">
            <v>37631</v>
          </cell>
          <cell r="B4148">
            <v>2487.11</v>
          </cell>
          <cell r="C4148">
            <v>2489.0100000000002</v>
          </cell>
          <cell r="D4148">
            <v>207.82</v>
          </cell>
          <cell r="E4148">
            <v>214.48</v>
          </cell>
          <cell r="F4148">
            <v>228.95</v>
          </cell>
          <cell r="G4148">
            <v>197.5</v>
          </cell>
          <cell r="H4148">
            <v>3734.8</v>
          </cell>
          <cell r="I4148">
            <v>243.01</v>
          </cell>
        </row>
        <row r="4149">
          <cell r="A4149">
            <v>37634</v>
          </cell>
          <cell r="B4149">
            <v>2481.0100000000002</v>
          </cell>
          <cell r="C4149">
            <v>2497.61</v>
          </cell>
          <cell r="D4149">
            <v>207.62</v>
          </cell>
          <cell r="E4149">
            <v>215.29</v>
          </cell>
          <cell r="F4149">
            <v>229.91</v>
          </cell>
          <cell r="G4149">
            <v>196.48</v>
          </cell>
          <cell r="H4149">
            <v>3750.28</v>
          </cell>
          <cell r="I4149">
            <v>243.16</v>
          </cell>
        </row>
        <row r="4150">
          <cell r="A4150">
            <v>37635</v>
          </cell>
          <cell r="B4150">
            <v>2492.37</v>
          </cell>
          <cell r="C4150">
            <v>2509.4299999999998</v>
          </cell>
          <cell r="D4150">
            <v>208.58</v>
          </cell>
          <cell r="E4150">
            <v>216.32</v>
          </cell>
          <cell r="F4150">
            <v>231.48</v>
          </cell>
          <cell r="G4150">
            <v>197.37</v>
          </cell>
          <cell r="H4150">
            <v>3792.02</v>
          </cell>
          <cell r="I4150">
            <v>245.91</v>
          </cell>
        </row>
        <row r="4151">
          <cell r="A4151">
            <v>37636</v>
          </cell>
          <cell r="B4151">
            <v>2456.1799999999998</v>
          </cell>
          <cell r="C4151">
            <v>2479.71</v>
          </cell>
          <cell r="D4151">
            <v>205.76</v>
          </cell>
          <cell r="E4151">
            <v>213.88</v>
          </cell>
          <cell r="F4151">
            <v>228.57</v>
          </cell>
          <cell r="G4151">
            <v>194.3</v>
          </cell>
          <cell r="H4151">
            <v>3747.04</v>
          </cell>
          <cell r="I4151">
            <v>242.88</v>
          </cell>
        </row>
        <row r="4152">
          <cell r="A4152">
            <v>37637</v>
          </cell>
          <cell r="B4152">
            <v>2447.89</v>
          </cell>
          <cell r="C4152">
            <v>2474.88</v>
          </cell>
          <cell r="D4152">
            <v>205.61</v>
          </cell>
          <cell r="E4152">
            <v>213.93</v>
          </cell>
          <cell r="F4152">
            <v>228.44</v>
          </cell>
          <cell r="G4152">
            <v>194.01</v>
          </cell>
          <cell r="H4152">
            <v>3747.8</v>
          </cell>
          <cell r="I4152">
            <v>240.9</v>
          </cell>
        </row>
        <row r="4153">
          <cell r="A4153">
            <v>37638</v>
          </cell>
          <cell r="B4153">
            <v>2382.52</v>
          </cell>
          <cell r="C4153">
            <v>2390.36</v>
          </cell>
          <cell r="D4153">
            <v>200.93</v>
          </cell>
          <cell r="E4153">
            <v>207.68</v>
          </cell>
          <cell r="F4153">
            <v>222.41</v>
          </cell>
          <cell r="G4153">
            <v>190.69</v>
          </cell>
          <cell r="H4153">
            <v>3655.75</v>
          </cell>
          <cell r="I4153">
            <v>234.83</v>
          </cell>
        </row>
        <row r="4154">
          <cell r="A4154">
            <v>37641</v>
          </cell>
          <cell r="B4154">
            <v>2337.7600000000002</v>
          </cell>
          <cell r="C4154">
            <v>2352.81</v>
          </cell>
          <cell r="D4154">
            <v>198.3</v>
          </cell>
          <cell r="E4154">
            <v>205.29</v>
          </cell>
          <cell r="F4154">
            <v>219.99</v>
          </cell>
          <cell r="G4154">
            <v>187.94</v>
          </cell>
          <cell r="H4154">
            <v>3683.81</v>
          </cell>
          <cell r="I4154">
            <v>235.48</v>
          </cell>
        </row>
        <row r="4155">
          <cell r="A4155">
            <v>37642</v>
          </cell>
          <cell r="B4155">
            <v>2315.19</v>
          </cell>
          <cell r="C4155">
            <v>2326.9299999999998</v>
          </cell>
          <cell r="D4155">
            <v>196.28</v>
          </cell>
          <cell r="E4155">
            <v>203.19</v>
          </cell>
          <cell r="F4155">
            <v>217.84</v>
          </cell>
          <cell r="G4155">
            <v>186.02</v>
          </cell>
          <cell r="H4155">
            <v>3628.43</v>
          </cell>
          <cell r="I4155">
            <v>233.06</v>
          </cell>
        </row>
        <row r="4156">
          <cell r="A4156">
            <v>37643</v>
          </cell>
          <cell r="B4156">
            <v>2268.4899999999998</v>
          </cell>
          <cell r="C4156">
            <v>2278.2199999999998</v>
          </cell>
          <cell r="D4156">
            <v>192.85</v>
          </cell>
          <cell r="E4156">
            <v>199.54</v>
          </cell>
          <cell r="F4156">
            <v>213.55</v>
          </cell>
          <cell r="G4156">
            <v>182.86</v>
          </cell>
          <cell r="H4156">
            <v>3572.27</v>
          </cell>
          <cell r="I4156">
            <v>230.98</v>
          </cell>
        </row>
        <row r="4157">
          <cell r="A4157">
            <v>37644</v>
          </cell>
          <cell r="B4157">
            <v>2253.87</v>
          </cell>
          <cell r="C4157">
            <v>2269.04</v>
          </cell>
          <cell r="D4157">
            <v>191.42</v>
          </cell>
          <cell r="E4157">
            <v>198.78</v>
          </cell>
          <cell r="F4157">
            <v>212.84</v>
          </cell>
          <cell r="G4157">
            <v>180.93</v>
          </cell>
          <cell r="H4157">
            <v>3533.57</v>
          </cell>
          <cell r="I4157">
            <v>226.94</v>
          </cell>
        </row>
        <row r="4158">
          <cell r="A4158">
            <v>37645</v>
          </cell>
          <cell r="B4158">
            <v>2226.37</v>
          </cell>
          <cell r="C4158">
            <v>2234.56</v>
          </cell>
          <cell r="D4158">
            <v>189.62</v>
          </cell>
          <cell r="E4158">
            <v>196.39</v>
          </cell>
          <cell r="F4158">
            <v>210.43</v>
          </cell>
          <cell r="G4158">
            <v>179.65</v>
          </cell>
          <cell r="H4158">
            <v>3512.04</v>
          </cell>
          <cell r="I4158">
            <v>226.13</v>
          </cell>
        </row>
        <row r="4159">
          <cell r="A4159">
            <v>37648</v>
          </cell>
          <cell r="B4159">
            <v>2145.4899999999998</v>
          </cell>
          <cell r="C4159">
            <v>2154.5300000000002</v>
          </cell>
          <cell r="D4159">
            <v>183.34</v>
          </cell>
          <cell r="E4159">
            <v>190.2</v>
          </cell>
          <cell r="F4159">
            <v>203.5</v>
          </cell>
          <cell r="G4159">
            <v>173.44</v>
          </cell>
          <cell r="H4159">
            <v>3388.63</v>
          </cell>
          <cell r="I4159">
            <v>218.14</v>
          </cell>
        </row>
        <row r="4160">
          <cell r="A4160">
            <v>37649</v>
          </cell>
          <cell r="B4160">
            <v>2155.6999999999998</v>
          </cell>
          <cell r="C4160">
            <v>2159.8000000000002</v>
          </cell>
          <cell r="D4160">
            <v>183.67</v>
          </cell>
          <cell r="E4160">
            <v>190.23</v>
          </cell>
          <cell r="F4160">
            <v>203.21</v>
          </cell>
          <cell r="G4160">
            <v>174.01</v>
          </cell>
          <cell r="H4160">
            <v>3348.07</v>
          </cell>
          <cell r="I4160">
            <v>215.25</v>
          </cell>
        </row>
        <row r="4161">
          <cell r="A4161">
            <v>37650</v>
          </cell>
          <cell r="B4161">
            <v>2181.09</v>
          </cell>
          <cell r="C4161">
            <v>2189.0300000000002</v>
          </cell>
          <cell r="D4161">
            <v>184.35</v>
          </cell>
          <cell r="E4161">
            <v>191.57</v>
          </cell>
          <cell r="F4161">
            <v>204.41</v>
          </cell>
          <cell r="G4161">
            <v>174.13</v>
          </cell>
          <cell r="H4161">
            <v>3329.88</v>
          </cell>
          <cell r="I4161">
            <v>215.5</v>
          </cell>
        </row>
        <row r="4162">
          <cell r="A4162">
            <v>37651</v>
          </cell>
          <cell r="B4162">
            <v>2234.2600000000002</v>
          </cell>
          <cell r="C4162">
            <v>2238.19</v>
          </cell>
          <cell r="D4162">
            <v>188.75</v>
          </cell>
          <cell r="E4162">
            <v>195.15</v>
          </cell>
          <cell r="F4162">
            <v>208.25</v>
          </cell>
          <cell r="G4162">
            <v>179.1</v>
          </cell>
          <cell r="H4162">
            <v>3387.89</v>
          </cell>
          <cell r="I4162">
            <v>220.09</v>
          </cell>
        </row>
        <row r="4163">
          <cell r="A4163">
            <v>37652</v>
          </cell>
          <cell r="B4163">
            <v>2237.7399999999998</v>
          </cell>
          <cell r="C4163">
            <v>2248.17</v>
          </cell>
          <cell r="D4163">
            <v>189</v>
          </cell>
          <cell r="E4163">
            <v>196.03</v>
          </cell>
          <cell r="F4163">
            <v>208.95</v>
          </cell>
          <cell r="G4163">
            <v>178.83</v>
          </cell>
          <cell r="H4163">
            <v>3347.01</v>
          </cell>
          <cell r="I4163">
            <v>215.41</v>
          </cell>
        </row>
        <row r="4164">
          <cell r="A4164">
            <v>37655</v>
          </cell>
          <cell r="B4164">
            <v>2282.1999999999998</v>
          </cell>
          <cell r="C4164">
            <v>2270.73</v>
          </cell>
          <cell r="D4164">
            <v>192.12</v>
          </cell>
          <cell r="E4164">
            <v>197.95</v>
          </cell>
          <cell r="F4164">
            <v>210.98</v>
          </cell>
          <cell r="G4164">
            <v>182.84</v>
          </cell>
          <cell r="H4164">
            <v>3372.75</v>
          </cell>
          <cell r="I4164">
            <v>218.51</v>
          </cell>
        </row>
        <row r="4165">
          <cell r="A4165">
            <v>37656</v>
          </cell>
          <cell r="B4165">
            <v>2205.14</v>
          </cell>
          <cell r="C4165">
            <v>2184.36</v>
          </cell>
          <cell r="D4165">
            <v>186.14</v>
          </cell>
          <cell r="E4165">
            <v>191.53</v>
          </cell>
          <cell r="F4165">
            <v>204.38</v>
          </cell>
          <cell r="G4165">
            <v>177.35</v>
          </cell>
          <cell r="H4165">
            <v>3257.58</v>
          </cell>
          <cell r="I4165">
            <v>211.33</v>
          </cell>
        </row>
        <row r="4166">
          <cell r="A4166">
            <v>37657</v>
          </cell>
          <cell r="B4166">
            <v>2260.56</v>
          </cell>
          <cell r="C4166">
            <v>2225.44</v>
          </cell>
          <cell r="D4166">
            <v>189.75</v>
          </cell>
          <cell r="E4166">
            <v>194.44</v>
          </cell>
          <cell r="F4166">
            <v>207.15</v>
          </cell>
          <cell r="G4166">
            <v>181.45</v>
          </cell>
          <cell r="H4166">
            <v>3311.57</v>
          </cell>
          <cell r="I4166">
            <v>213.87</v>
          </cell>
        </row>
        <row r="4167">
          <cell r="A4167">
            <v>37658</v>
          </cell>
          <cell r="B4167">
            <v>2190.75</v>
          </cell>
          <cell r="C4167">
            <v>2169.88</v>
          </cell>
          <cell r="D4167">
            <v>185.43</v>
          </cell>
          <cell r="E4167">
            <v>190.67</v>
          </cell>
          <cell r="F4167">
            <v>203.25</v>
          </cell>
          <cell r="G4167">
            <v>176.8</v>
          </cell>
          <cell r="H4167">
            <v>3328.92</v>
          </cell>
          <cell r="I4167">
            <v>213.18</v>
          </cell>
        </row>
        <row r="4168">
          <cell r="A4168">
            <v>37659</v>
          </cell>
          <cell r="B4168">
            <v>2170.7199999999998</v>
          </cell>
          <cell r="C4168">
            <v>2133.6</v>
          </cell>
          <cell r="D4168">
            <v>183.77</v>
          </cell>
          <cell r="E4168">
            <v>187.9</v>
          </cell>
          <cell r="F4168">
            <v>200.62</v>
          </cell>
          <cell r="G4168">
            <v>176.05</v>
          </cell>
          <cell r="H4168">
            <v>3311.09</v>
          </cell>
          <cell r="I4168">
            <v>212.02</v>
          </cell>
        </row>
        <row r="4169">
          <cell r="A4169">
            <v>37662</v>
          </cell>
          <cell r="B4169">
            <v>2162.64</v>
          </cell>
          <cell r="C4169">
            <v>2125.75</v>
          </cell>
          <cell r="D4169">
            <v>182.92</v>
          </cell>
          <cell r="E4169">
            <v>186.93</v>
          </cell>
          <cell r="F4169">
            <v>199.01</v>
          </cell>
          <cell r="G4169">
            <v>175.33</v>
          </cell>
          <cell r="H4169">
            <v>3247.01</v>
          </cell>
          <cell r="I4169">
            <v>208.84</v>
          </cell>
        </row>
        <row r="4170">
          <cell r="A4170">
            <v>37663</v>
          </cell>
          <cell r="B4170">
            <v>2223.0100000000002</v>
          </cell>
          <cell r="C4170">
            <v>2190.2800000000002</v>
          </cell>
          <cell r="D4170">
            <v>186.93</v>
          </cell>
          <cell r="E4170">
            <v>191.49</v>
          </cell>
          <cell r="F4170">
            <v>203.76</v>
          </cell>
          <cell r="G4170">
            <v>178.8</v>
          </cell>
          <cell r="H4170">
            <v>3322.72</v>
          </cell>
          <cell r="I4170">
            <v>215.17</v>
          </cell>
        </row>
        <row r="4171">
          <cell r="A4171">
            <v>37664</v>
          </cell>
          <cell r="B4171">
            <v>2177.13</v>
          </cell>
          <cell r="C4171">
            <v>2136.6</v>
          </cell>
          <cell r="D4171">
            <v>183.65</v>
          </cell>
          <cell r="E4171">
            <v>187.44</v>
          </cell>
          <cell r="F4171">
            <v>199.68</v>
          </cell>
          <cell r="G4171">
            <v>176.23</v>
          </cell>
          <cell r="H4171">
            <v>3322.63</v>
          </cell>
          <cell r="I4171">
            <v>213.72</v>
          </cell>
        </row>
        <row r="4172">
          <cell r="A4172">
            <v>37665</v>
          </cell>
          <cell r="B4172">
            <v>2165.35</v>
          </cell>
          <cell r="C4172">
            <v>2123.71</v>
          </cell>
          <cell r="D4172">
            <v>182.4</v>
          </cell>
          <cell r="E4172">
            <v>186.37</v>
          </cell>
          <cell r="F4172">
            <v>198.85</v>
          </cell>
          <cell r="G4172">
            <v>174.85</v>
          </cell>
          <cell r="H4172">
            <v>3308.84</v>
          </cell>
          <cell r="I4172">
            <v>210.81</v>
          </cell>
        </row>
        <row r="4173">
          <cell r="A4173">
            <v>37666</v>
          </cell>
          <cell r="B4173">
            <v>2212.86</v>
          </cell>
          <cell r="C4173">
            <v>2199.9699999999998</v>
          </cell>
          <cell r="D4173">
            <v>185.29</v>
          </cell>
          <cell r="E4173">
            <v>191.42</v>
          </cell>
          <cell r="F4173">
            <v>203.97</v>
          </cell>
          <cell r="G4173">
            <v>175.92</v>
          </cell>
          <cell r="H4173">
            <v>3353.15</v>
          </cell>
          <cell r="I4173">
            <v>214.6</v>
          </cell>
        </row>
        <row r="4174">
          <cell r="A4174">
            <v>37669</v>
          </cell>
          <cell r="B4174">
            <v>2254.33</v>
          </cell>
          <cell r="C4174">
            <v>2240.3000000000002</v>
          </cell>
          <cell r="D4174">
            <v>188.6</v>
          </cell>
          <cell r="E4174">
            <v>194.56</v>
          </cell>
          <cell r="F4174">
            <v>207.58</v>
          </cell>
          <cell r="G4174">
            <v>179.3</v>
          </cell>
          <cell r="H4174">
            <v>3424.7</v>
          </cell>
          <cell r="I4174">
            <v>219.1</v>
          </cell>
        </row>
        <row r="4175">
          <cell r="A4175">
            <v>37670</v>
          </cell>
          <cell r="B4175">
            <v>2277.58</v>
          </cell>
          <cell r="C4175">
            <v>2280.8200000000002</v>
          </cell>
          <cell r="D4175">
            <v>190.45</v>
          </cell>
          <cell r="E4175">
            <v>197.39</v>
          </cell>
          <cell r="F4175">
            <v>209.55</v>
          </cell>
          <cell r="G4175">
            <v>180.31</v>
          </cell>
          <cell r="H4175">
            <v>3450.73</v>
          </cell>
          <cell r="I4175">
            <v>221.35</v>
          </cell>
        </row>
        <row r="4176">
          <cell r="A4176">
            <v>37671</v>
          </cell>
          <cell r="B4176">
            <v>2209.7600000000002</v>
          </cell>
          <cell r="C4176">
            <v>2208.1799999999998</v>
          </cell>
          <cell r="D4176">
            <v>186.07</v>
          </cell>
          <cell r="E4176">
            <v>192.39</v>
          </cell>
          <cell r="F4176">
            <v>204.55</v>
          </cell>
          <cell r="G4176">
            <v>176.54</v>
          </cell>
          <cell r="H4176">
            <v>3444.38</v>
          </cell>
          <cell r="I4176">
            <v>218.49</v>
          </cell>
        </row>
        <row r="4177">
          <cell r="A4177">
            <v>37672</v>
          </cell>
          <cell r="B4177">
            <v>2195.62</v>
          </cell>
          <cell r="C4177">
            <v>2173.77</v>
          </cell>
          <cell r="D4177">
            <v>184.79</v>
          </cell>
          <cell r="E4177">
            <v>190.13</v>
          </cell>
          <cell r="F4177">
            <v>202.48</v>
          </cell>
          <cell r="G4177">
            <v>176.07</v>
          </cell>
          <cell r="H4177">
            <v>3370.77</v>
          </cell>
          <cell r="I4177">
            <v>213.71</v>
          </cell>
        </row>
        <row r="4178">
          <cell r="A4178">
            <v>37673</v>
          </cell>
          <cell r="B4178">
            <v>2220.08</v>
          </cell>
          <cell r="C4178">
            <v>2208.25</v>
          </cell>
          <cell r="D4178">
            <v>186.06</v>
          </cell>
          <cell r="E4178">
            <v>192.04</v>
          </cell>
          <cell r="F4178">
            <v>204.04</v>
          </cell>
          <cell r="G4178">
            <v>176.81</v>
          </cell>
          <cell r="H4178">
            <v>3347.33</v>
          </cell>
          <cell r="I4178">
            <v>212.47</v>
          </cell>
        </row>
        <row r="4179">
          <cell r="A4179">
            <v>37676</v>
          </cell>
          <cell r="B4179">
            <v>2196.9899999999998</v>
          </cell>
          <cell r="C4179">
            <v>2160.58</v>
          </cell>
          <cell r="D4179">
            <v>184.18</v>
          </cell>
          <cell r="E4179">
            <v>188.68</v>
          </cell>
          <cell r="F4179">
            <v>201</v>
          </cell>
          <cell r="G4179">
            <v>176.16</v>
          </cell>
          <cell r="H4179">
            <v>3347.42</v>
          </cell>
          <cell r="I4179">
            <v>212.8</v>
          </cell>
        </row>
        <row r="4180">
          <cell r="A4180">
            <v>37677</v>
          </cell>
          <cell r="B4180">
            <v>2136.2399999999998</v>
          </cell>
          <cell r="C4180">
            <v>2081.3000000000002</v>
          </cell>
          <cell r="D4180">
            <v>178.96</v>
          </cell>
          <cell r="E4180">
            <v>182.61</v>
          </cell>
          <cell r="F4180">
            <v>195.17</v>
          </cell>
          <cell r="G4180">
            <v>171.75</v>
          </cell>
          <cell r="H4180">
            <v>3266.32</v>
          </cell>
          <cell r="I4180">
            <v>206.44</v>
          </cell>
        </row>
        <row r="4181">
          <cell r="A4181">
            <v>37678</v>
          </cell>
          <cell r="B4181">
            <v>2113.6999999999998</v>
          </cell>
          <cell r="C4181">
            <v>2058.9699999999998</v>
          </cell>
          <cell r="D4181">
            <v>177.4</v>
          </cell>
          <cell r="E4181">
            <v>180.75</v>
          </cell>
          <cell r="F4181">
            <v>193.18</v>
          </cell>
          <cell r="G4181">
            <v>170.48</v>
          </cell>
          <cell r="H4181">
            <v>3235.09</v>
          </cell>
          <cell r="I4181">
            <v>204.73</v>
          </cell>
        </row>
        <row r="4182">
          <cell r="A4182">
            <v>37679</v>
          </cell>
          <cell r="B4182">
            <v>2129.87</v>
          </cell>
          <cell r="C4182">
            <v>2104.41</v>
          </cell>
          <cell r="D4182">
            <v>178.84</v>
          </cell>
          <cell r="E4182">
            <v>183.99</v>
          </cell>
          <cell r="F4182">
            <v>196.12</v>
          </cell>
          <cell r="G4182">
            <v>170.43</v>
          </cell>
          <cell r="H4182">
            <v>3247.11</v>
          </cell>
          <cell r="I4182">
            <v>205.31</v>
          </cell>
        </row>
        <row r="4183">
          <cell r="A4183">
            <v>37680</v>
          </cell>
          <cell r="B4183">
            <v>2165.44</v>
          </cell>
          <cell r="C4183">
            <v>2140.73</v>
          </cell>
          <cell r="D4183">
            <v>181.75</v>
          </cell>
          <cell r="E4183">
            <v>187.03</v>
          </cell>
          <cell r="F4183">
            <v>199.27</v>
          </cell>
          <cell r="G4183">
            <v>173.15</v>
          </cell>
          <cell r="H4183">
            <v>3278.2</v>
          </cell>
          <cell r="I4183">
            <v>208.19</v>
          </cell>
        </row>
        <row r="4184">
          <cell r="A4184">
            <v>37683</v>
          </cell>
          <cell r="B4184">
            <v>2171.9899999999998</v>
          </cell>
          <cell r="C4184">
            <v>2142.39</v>
          </cell>
          <cell r="D4184">
            <v>182.08</v>
          </cell>
          <cell r="E4184">
            <v>187.07</v>
          </cell>
          <cell r="F4184">
            <v>199.66</v>
          </cell>
          <cell r="G4184">
            <v>173.71</v>
          </cell>
          <cell r="H4184">
            <v>3281.45</v>
          </cell>
          <cell r="I4184">
            <v>208.43</v>
          </cell>
        </row>
        <row r="4185">
          <cell r="A4185">
            <v>37684</v>
          </cell>
          <cell r="B4185">
            <v>2126.15</v>
          </cell>
          <cell r="C4185">
            <v>2093.04</v>
          </cell>
          <cell r="D4185">
            <v>178.5</v>
          </cell>
          <cell r="E4185">
            <v>182.92</v>
          </cell>
          <cell r="F4185">
            <v>194.99</v>
          </cell>
          <cell r="G4185">
            <v>170.68</v>
          </cell>
          <cell r="H4185">
            <v>3237.47</v>
          </cell>
          <cell r="I4185">
            <v>205.18</v>
          </cell>
        </row>
        <row r="4186">
          <cell r="A4186">
            <v>37685</v>
          </cell>
          <cell r="B4186">
            <v>2105.19</v>
          </cell>
          <cell r="C4186">
            <v>2080.6</v>
          </cell>
          <cell r="D4186">
            <v>176.85</v>
          </cell>
          <cell r="E4186">
            <v>181.69</v>
          </cell>
          <cell r="F4186">
            <v>193.27</v>
          </cell>
          <cell r="G4186">
            <v>168.73</v>
          </cell>
          <cell r="H4186">
            <v>3209.59</v>
          </cell>
          <cell r="I4186">
            <v>203.86</v>
          </cell>
        </row>
        <row r="4187">
          <cell r="A4187">
            <v>37686</v>
          </cell>
          <cell r="B4187">
            <v>2083.9899999999998</v>
          </cell>
          <cell r="C4187">
            <v>2043.35</v>
          </cell>
          <cell r="D4187">
            <v>175.27</v>
          </cell>
          <cell r="E4187">
            <v>179.16</v>
          </cell>
          <cell r="F4187">
            <v>190.89</v>
          </cell>
          <cell r="G4187">
            <v>167.96</v>
          </cell>
          <cell r="H4187">
            <v>3178.53</v>
          </cell>
          <cell r="I4187">
            <v>202.5</v>
          </cell>
        </row>
        <row r="4188">
          <cell r="A4188">
            <v>37687</v>
          </cell>
          <cell r="B4188">
            <v>2036.91</v>
          </cell>
          <cell r="C4188">
            <v>1992.45</v>
          </cell>
          <cell r="D4188">
            <v>171.77</v>
          </cell>
          <cell r="E4188">
            <v>175.6</v>
          </cell>
          <cell r="F4188">
            <v>187.12</v>
          </cell>
          <cell r="G4188">
            <v>164.6</v>
          </cell>
          <cell r="H4188">
            <v>3142.24</v>
          </cell>
          <cell r="I4188">
            <v>198.06</v>
          </cell>
        </row>
        <row r="4189">
          <cell r="A4189">
            <v>37690</v>
          </cell>
          <cell r="B4189">
            <v>1981.83</v>
          </cell>
          <cell r="C4189">
            <v>1936.39</v>
          </cell>
          <cell r="D4189">
            <v>167.86</v>
          </cell>
          <cell r="E4189">
            <v>171.52</v>
          </cell>
          <cell r="F4189">
            <v>182.58</v>
          </cell>
          <cell r="G4189">
            <v>160.9</v>
          </cell>
          <cell r="H4189">
            <v>3114.46</v>
          </cell>
          <cell r="I4189">
            <v>196.49</v>
          </cell>
        </row>
        <row r="4190">
          <cell r="A4190">
            <v>37691</v>
          </cell>
          <cell r="B4190">
            <v>1985.66</v>
          </cell>
          <cell r="C4190">
            <v>1934.34</v>
          </cell>
          <cell r="D4190">
            <v>168</v>
          </cell>
          <cell r="E4190">
            <v>170.98</v>
          </cell>
          <cell r="F4190">
            <v>181.83</v>
          </cell>
          <cell r="G4190">
            <v>161.6</v>
          </cell>
          <cell r="H4190">
            <v>3084.48</v>
          </cell>
          <cell r="I4190">
            <v>195.73</v>
          </cell>
        </row>
        <row r="4191">
          <cell r="A4191">
            <v>37692</v>
          </cell>
          <cell r="B4191">
            <v>1909.05</v>
          </cell>
          <cell r="C4191">
            <v>1849.64</v>
          </cell>
          <cell r="D4191">
            <v>162.59</v>
          </cell>
          <cell r="E4191">
            <v>165.43</v>
          </cell>
          <cell r="F4191">
            <v>176.85</v>
          </cell>
          <cell r="G4191">
            <v>156.43</v>
          </cell>
          <cell r="H4191">
            <v>3069.11</v>
          </cell>
          <cell r="I4191">
            <v>197.07</v>
          </cell>
        </row>
        <row r="4192">
          <cell r="A4192">
            <v>37693</v>
          </cell>
          <cell r="B4192">
            <v>2036.09</v>
          </cell>
          <cell r="C4192">
            <v>1974.92</v>
          </cell>
          <cell r="D4192">
            <v>171.96</v>
          </cell>
          <cell r="E4192">
            <v>174.64</v>
          </cell>
          <cell r="F4192">
            <v>185.76</v>
          </cell>
          <cell r="G4192">
            <v>165.71</v>
          </cell>
          <cell r="H4192">
            <v>3175.52</v>
          </cell>
          <cell r="I4192">
            <v>203.88</v>
          </cell>
        </row>
        <row r="4193">
          <cell r="A4193">
            <v>37694</v>
          </cell>
          <cell r="B4193">
            <v>2126.9699999999998</v>
          </cell>
          <cell r="C4193">
            <v>2079.71</v>
          </cell>
          <cell r="D4193">
            <v>178.72</v>
          </cell>
          <cell r="E4193">
            <v>182.78</v>
          </cell>
          <cell r="F4193">
            <v>194.54</v>
          </cell>
          <cell r="G4193">
            <v>171.2</v>
          </cell>
          <cell r="H4193">
            <v>3306.3</v>
          </cell>
          <cell r="I4193">
            <v>212.54</v>
          </cell>
        </row>
        <row r="4194">
          <cell r="A4194">
            <v>37697</v>
          </cell>
          <cell r="B4194">
            <v>2202.87</v>
          </cell>
          <cell r="C4194">
            <v>2158</v>
          </cell>
          <cell r="D4194">
            <v>184.29</v>
          </cell>
          <cell r="E4194">
            <v>188.26</v>
          </cell>
          <cell r="F4194">
            <v>200.21</v>
          </cell>
          <cell r="G4194">
            <v>176.7</v>
          </cell>
          <cell r="H4194">
            <v>3411.98</v>
          </cell>
          <cell r="I4194">
            <v>218.91</v>
          </cell>
        </row>
        <row r="4195">
          <cell r="A4195">
            <v>37698</v>
          </cell>
          <cell r="B4195">
            <v>2207.02</v>
          </cell>
          <cell r="C4195">
            <v>2153.86</v>
          </cell>
          <cell r="D4195">
            <v>184.94</v>
          </cell>
          <cell r="E4195">
            <v>188.63</v>
          </cell>
          <cell r="F4195">
            <v>200.8</v>
          </cell>
          <cell r="G4195">
            <v>177.56</v>
          </cell>
          <cell r="H4195">
            <v>3432.73</v>
          </cell>
          <cell r="I4195">
            <v>220.6</v>
          </cell>
        </row>
        <row r="4196">
          <cell r="A4196">
            <v>37699</v>
          </cell>
          <cell r="B4196">
            <v>2236.2199999999998</v>
          </cell>
          <cell r="C4196">
            <v>2187.16</v>
          </cell>
          <cell r="D4196">
            <v>187.26</v>
          </cell>
          <cell r="E4196">
            <v>191.17</v>
          </cell>
          <cell r="F4196">
            <v>203.84</v>
          </cell>
          <cell r="G4196">
            <v>179.65</v>
          </cell>
          <cell r="H4196">
            <v>3485.03</v>
          </cell>
          <cell r="I4196">
            <v>223.62</v>
          </cell>
        </row>
        <row r="4197">
          <cell r="A4197">
            <v>37700</v>
          </cell>
          <cell r="B4197">
            <v>2226.1999999999998</v>
          </cell>
          <cell r="C4197">
            <v>2156.89</v>
          </cell>
          <cell r="D4197">
            <v>186.35</v>
          </cell>
          <cell r="E4197">
            <v>188.96</v>
          </cell>
          <cell r="F4197">
            <v>202.27</v>
          </cell>
          <cell r="G4197">
            <v>179.82</v>
          </cell>
          <cell r="H4197">
            <v>3473.85</v>
          </cell>
          <cell r="I4197">
            <v>222.64</v>
          </cell>
        </row>
        <row r="4198">
          <cell r="A4198">
            <v>37701</v>
          </cell>
          <cell r="B4198">
            <v>2308.29</v>
          </cell>
          <cell r="C4198">
            <v>2249.11</v>
          </cell>
          <cell r="D4198">
            <v>192.45</v>
          </cell>
          <cell r="E4198">
            <v>195.74</v>
          </cell>
          <cell r="F4198">
            <v>209.3</v>
          </cell>
          <cell r="G4198">
            <v>185.21</v>
          </cell>
          <cell r="H4198">
            <v>3539.88</v>
          </cell>
          <cell r="I4198">
            <v>228.18</v>
          </cell>
        </row>
        <row r="4199">
          <cell r="A4199">
            <v>37704</v>
          </cell>
          <cell r="B4199">
            <v>2204.38</v>
          </cell>
          <cell r="C4199">
            <v>2124.7800000000002</v>
          </cell>
          <cell r="D4199">
            <v>184.47</v>
          </cell>
          <cell r="E4199">
            <v>186.27</v>
          </cell>
          <cell r="F4199">
            <v>199.53</v>
          </cell>
          <cell r="G4199">
            <v>178.63</v>
          </cell>
          <cell r="H4199">
            <v>3442.07</v>
          </cell>
          <cell r="I4199">
            <v>220.4</v>
          </cell>
        </row>
        <row r="4200">
          <cell r="A4200">
            <v>37705</v>
          </cell>
          <cell r="B4200">
            <v>2237.92</v>
          </cell>
          <cell r="C4200">
            <v>2184.98</v>
          </cell>
          <cell r="D4200">
            <v>186.74</v>
          </cell>
          <cell r="E4200">
            <v>190.27</v>
          </cell>
          <cell r="F4200">
            <v>203.1</v>
          </cell>
          <cell r="G4200">
            <v>179.45</v>
          </cell>
          <cell r="H4200">
            <v>3442.34</v>
          </cell>
          <cell r="I4200">
            <v>220.29</v>
          </cell>
        </row>
        <row r="4201">
          <cell r="A4201">
            <v>37706</v>
          </cell>
          <cell r="B4201">
            <v>2236.14</v>
          </cell>
          <cell r="C4201">
            <v>2172.64</v>
          </cell>
          <cell r="D4201">
            <v>186.64</v>
          </cell>
          <cell r="E4201">
            <v>189.54</v>
          </cell>
          <cell r="F4201">
            <v>202.23</v>
          </cell>
          <cell r="G4201">
            <v>179.86</v>
          </cell>
          <cell r="H4201">
            <v>3419.62</v>
          </cell>
          <cell r="I4201">
            <v>219.11</v>
          </cell>
        </row>
        <row r="4202">
          <cell r="A4202">
            <v>37707</v>
          </cell>
          <cell r="B4202">
            <v>2189.88</v>
          </cell>
          <cell r="C4202">
            <v>2132.5100000000002</v>
          </cell>
          <cell r="D4202">
            <v>183.33</v>
          </cell>
          <cell r="E4202">
            <v>186.67</v>
          </cell>
          <cell r="F4202">
            <v>199.27</v>
          </cell>
          <cell r="G4202">
            <v>176.27</v>
          </cell>
          <cell r="H4202">
            <v>3380.97</v>
          </cell>
          <cell r="I4202">
            <v>216.53</v>
          </cell>
        </row>
        <row r="4203">
          <cell r="A4203">
            <v>37708</v>
          </cell>
          <cell r="B4203">
            <v>2181.87</v>
          </cell>
          <cell r="C4203">
            <v>2132.11</v>
          </cell>
          <cell r="D4203">
            <v>182.71</v>
          </cell>
          <cell r="E4203">
            <v>186.31</v>
          </cell>
          <cell r="F4203">
            <v>199.14</v>
          </cell>
          <cell r="G4203">
            <v>175.45</v>
          </cell>
          <cell r="H4203">
            <v>3379.31</v>
          </cell>
          <cell r="I4203">
            <v>215.82</v>
          </cell>
        </row>
        <row r="4204">
          <cell r="A4204">
            <v>37711</v>
          </cell>
          <cell r="B4204">
            <v>2098.89</v>
          </cell>
          <cell r="C4204">
            <v>2036.86</v>
          </cell>
          <cell r="D4204">
            <v>176.41</v>
          </cell>
          <cell r="E4204">
            <v>179.32</v>
          </cell>
          <cell r="F4204">
            <v>192.09</v>
          </cell>
          <cell r="G4204">
            <v>169.87</v>
          </cell>
          <cell r="H4204">
            <v>3248.75</v>
          </cell>
          <cell r="I4204">
            <v>206.71</v>
          </cell>
        </row>
        <row r="4205">
          <cell r="A4205">
            <v>37712</v>
          </cell>
          <cell r="B4205">
            <v>2138.11</v>
          </cell>
          <cell r="C4205">
            <v>2067.23</v>
          </cell>
          <cell r="D4205">
            <v>178.92</v>
          </cell>
          <cell r="E4205">
            <v>181.57</v>
          </cell>
          <cell r="F4205">
            <v>194.31</v>
          </cell>
          <cell r="G4205">
            <v>172.51</v>
          </cell>
          <cell r="H4205">
            <v>3273.89</v>
          </cell>
          <cell r="I4205">
            <v>209.34</v>
          </cell>
        </row>
        <row r="4206">
          <cell r="A4206">
            <v>37713</v>
          </cell>
          <cell r="B4206">
            <v>2207.1</v>
          </cell>
          <cell r="C4206">
            <v>2160.23</v>
          </cell>
          <cell r="D4206">
            <v>184.46</v>
          </cell>
          <cell r="E4206">
            <v>188.64</v>
          </cell>
          <cell r="F4206">
            <v>201.38</v>
          </cell>
          <cell r="G4206">
            <v>176.69</v>
          </cell>
          <cell r="H4206">
            <v>3389.01</v>
          </cell>
          <cell r="I4206">
            <v>217.45</v>
          </cell>
        </row>
        <row r="4207">
          <cell r="A4207">
            <v>37714</v>
          </cell>
          <cell r="B4207">
            <v>2234.11</v>
          </cell>
          <cell r="C4207">
            <v>2182.9699999999998</v>
          </cell>
          <cell r="D4207">
            <v>186.35</v>
          </cell>
          <cell r="E4207">
            <v>190.36</v>
          </cell>
          <cell r="F4207">
            <v>203.37</v>
          </cell>
          <cell r="G4207">
            <v>178.68</v>
          </cell>
          <cell r="H4207">
            <v>3420.48</v>
          </cell>
          <cell r="I4207">
            <v>219.84</v>
          </cell>
        </row>
        <row r="4208">
          <cell r="A4208">
            <v>37715</v>
          </cell>
          <cell r="B4208">
            <v>2261.38</v>
          </cell>
          <cell r="C4208">
            <v>2223.17</v>
          </cell>
          <cell r="D4208">
            <v>188.31</v>
          </cell>
          <cell r="E4208">
            <v>193.04</v>
          </cell>
          <cell r="F4208">
            <v>206.03</v>
          </cell>
          <cell r="G4208">
            <v>180</v>
          </cell>
          <cell r="H4208">
            <v>3416.71</v>
          </cell>
          <cell r="I4208">
            <v>219.75</v>
          </cell>
        </row>
        <row r="4209">
          <cell r="A4209">
            <v>37718</v>
          </cell>
          <cell r="B4209">
            <v>2345.14</v>
          </cell>
          <cell r="C4209">
            <v>2314.54</v>
          </cell>
          <cell r="D4209">
            <v>194.79</v>
          </cell>
          <cell r="E4209">
            <v>200.21</v>
          </cell>
          <cell r="F4209">
            <v>213.29</v>
          </cell>
          <cell r="G4209">
            <v>185.78</v>
          </cell>
          <cell r="H4209">
            <v>3566.65</v>
          </cell>
          <cell r="I4209">
            <v>228.95</v>
          </cell>
        </row>
        <row r="4210">
          <cell r="A4210">
            <v>37719</v>
          </cell>
          <cell r="B4210">
            <v>2307.86</v>
          </cell>
          <cell r="C4210">
            <v>2282.2399999999998</v>
          </cell>
          <cell r="D4210">
            <v>191.68</v>
          </cell>
          <cell r="E4210">
            <v>197.53</v>
          </cell>
          <cell r="F4210">
            <v>210.67</v>
          </cell>
          <cell r="G4210">
            <v>182.39</v>
          </cell>
          <cell r="H4210">
            <v>3505.14</v>
          </cell>
          <cell r="I4210">
            <v>223.83</v>
          </cell>
        </row>
        <row r="4211">
          <cell r="A4211">
            <v>37720</v>
          </cell>
          <cell r="B4211">
            <v>2304.21</v>
          </cell>
          <cell r="C4211">
            <v>2279.52</v>
          </cell>
          <cell r="D4211">
            <v>191.38</v>
          </cell>
          <cell r="E4211">
            <v>197.19</v>
          </cell>
          <cell r="F4211">
            <v>210.41</v>
          </cell>
          <cell r="G4211">
            <v>182.13</v>
          </cell>
          <cell r="H4211">
            <v>3501.07</v>
          </cell>
          <cell r="I4211">
            <v>224.2</v>
          </cell>
        </row>
        <row r="4212">
          <cell r="A4212">
            <v>37721</v>
          </cell>
          <cell r="B4212">
            <v>2257.04</v>
          </cell>
          <cell r="C4212">
            <v>2222.4</v>
          </cell>
          <cell r="D4212">
            <v>188.17</v>
          </cell>
          <cell r="E4212">
            <v>193.22</v>
          </cell>
          <cell r="F4212">
            <v>205.99</v>
          </cell>
          <cell r="G4212">
            <v>179.6</v>
          </cell>
          <cell r="H4212">
            <v>3426.31</v>
          </cell>
          <cell r="I4212">
            <v>217.7</v>
          </cell>
        </row>
        <row r="4213">
          <cell r="A4213">
            <v>37722</v>
          </cell>
          <cell r="B4213">
            <v>2272.9299999999998</v>
          </cell>
          <cell r="C4213">
            <v>2247.4699999999998</v>
          </cell>
          <cell r="D4213">
            <v>189.63</v>
          </cell>
          <cell r="E4213">
            <v>195.15</v>
          </cell>
          <cell r="F4213">
            <v>208.13</v>
          </cell>
          <cell r="G4213">
            <v>180.65</v>
          </cell>
          <cell r="H4213">
            <v>3443.6</v>
          </cell>
          <cell r="I4213">
            <v>218.95</v>
          </cell>
        </row>
        <row r="4214">
          <cell r="A4214">
            <v>37725</v>
          </cell>
          <cell r="B4214">
            <v>2300.7600000000002</v>
          </cell>
          <cell r="C4214">
            <v>2273.96</v>
          </cell>
          <cell r="D4214">
            <v>191.45</v>
          </cell>
          <cell r="E4214">
            <v>196.95</v>
          </cell>
          <cell r="F4214">
            <v>209.97</v>
          </cell>
          <cell r="G4214">
            <v>182.45</v>
          </cell>
          <cell r="H4214">
            <v>3455.66</v>
          </cell>
          <cell r="I4214">
            <v>219.75</v>
          </cell>
        </row>
        <row r="4215">
          <cell r="A4215">
            <v>37726</v>
          </cell>
          <cell r="B4215">
            <v>2340.81</v>
          </cell>
          <cell r="C4215">
            <v>2317.7199999999998</v>
          </cell>
          <cell r="D4215">
            <v>194.52</v>
          </cell>
          <cell r="E4215">
            <v>200.47</v>
          </cell>
          <cell r="F4215">
            <v>213.85</v>
          </cell>
          <cell r="G4215">
            <v>185.07</v>
          </cell>
          <cell r="H4215">
            <v>3527.01</v>
          </cell>
          <cell r="I4215">
            <v>224.27</v>
          </cell>
        </row>
        <row r="4216">
          <cell r="A4216">
            <v>37727</v>
          </cell>
          <cell r="B4216">
            <v>2304.27</v>
          </cell>
          <cell r="C4216">
            <v>2294.9499999999998</v>
          </cell>
          <cell r="D4216">
            <v>192.45</v>
          </cell>
          <cell r="E4216">
            <v>199.32</v>
          </cell>
          <cell r="F4216">
            <v>212.73</v>
          </cell>
          <cell r="G4216">
            <v>182.32</v>
          </cell>
          <cell r="H4216">
            <v>3533.93</v>
          </cell>
          <cell r="I4216">
            <v>223.76</v>
          </cell>
        </row>
        <row r="4217">
          <cell r="A4217">
            <v>37728</v>
          </cell>
          <cell r="B4217">
            <v>2322.15</v>
          </cell>
          <cell r="C4217">
            <v>2324.27</v>
          </cell>
          <cell r="D4217">
            <v>193.71</v>
          </cell>
          <cell r="E4217">
            <v>201.34</v>
          </cell>
          <cell r="F4217">
            <v>214</v>
          </cell>
          <cell r="G4217">
            <v>182.93</v>
          </cell>
          <cell r="H4217">
            <v>3567.56</v>
          </cell>
          <cell r="I4217">
            <v>228.51</v>
          </cell>
        </row>
        <row r="4218">
          <cell r="A4218">
            <v>37733</v>
          </cell>
          <cell r="B4218">
            <v>2338.9</v>
          </cell>
          <cell r="C4218">
            <v>2343.59</v>
          </cell>
          <cell r="D4218">
            <v>194.6</v>
          </cell>
          <cell r="E4218">
            <v>202.67</v>
          </cell>
          <cell r="F4218">
            <v>215.13</v>
          </cell>
          <cell r="G4218">
            <v>183.43</v>
          </cell>
          <cell r="H4218">
            <v>3571.13</v>
          </cell>
          <cell r="I4218">
            <v>229.6</v>
          </cell>
        </row>
        <row r="4219">
          <cell r="A4219">
            <v>37734</v>
          </cell>
          <cell r="B4219">
            <v>2368.7800000000002</v>
          </cell>
          <cell r="C4219">
            <v>2365.9699999999998</v>
          </cell>
          <cell r="D4219">
            <v>197.29</v>
          </cell>
          <cell r="E4219">
            <v>205.06</v>
          </cell>
          <cell r="F4219">
            <v>217.66</v>
          </cell>
          <cell r="G4219">
            <v>186.3</v>
          </cell>
          <cell r="H4219">
            <v>3627.24</v>
          </cell>
          <cell r="I4219">
            <v>233.85</v>
          </cell>
        </row>
        <row r="4220">
          <cell r="A4220">
            <v>37735</v>
          </cell>
          <cell r="B4220">
            <v>2323.19</v>
          </cell>
          <cell r="C4220">
            <v>2310.87</v>
          </cell>
          <cell r="D4220">
            <v>194.02</v>
          </cell>
          <cell r="E4220">
            <v>201.14</v>
          </cell>
          <cell r="F4220">
            <v>214.05</v>
          </cell>
          <cell r="G4220">
            <v>183.65</v>
          </cell>
          <cell r="H4220">
            <v>3616.38</v>
          </cell>
          <cell r="I4220">
            <v>232.62</v>
          </cell>
        </row>
        <row r="4221">
          <cell r="A4221">
            <v>37736</v>
          </cell>
          <cell r="B4221">
            <v>2289.9699999999998</v>
          </cell>
          <cell r="C4221">
            <v>2271.92</v>
          </cell>
          <cell r="D4221">
            <v>191.62</v>
          </cell>
          <cell r="E4221">
            <v>198.29</v>
          </cell>
          <cell r="F4221">
            <v>211.21</v>
          </cell>
          <cell r="G4221">
            <v>181.66</v>
          </cell>
          <cell r="H4221">
            <v>3563.28</v>
          </cell>
          <cell r="I4221">
            <v>228.31</v>
          </cell>
        </row>
        <row r="4222">
          <cell r="A4222">
            <v>37739</v>
          </cell>
          <cell r="B4222">
            <v>2352.61</v>
          </cell>
          <cell r="C4222">
            <v>2344.02</v>
          </cell>
          <cell r="D4222">
            <v>196.14</v>
          </cell>
          <cell r="E4222">
            <v>203.42</v>
          </cell>
          <cell r="F4222">
            <v>216.23</v>
          </cell>
          <cell r="G4222">
            <v>185.58</v>
          </cell>
          <cell r="H4222">
            <v>3641.67</v>
          </cell>
          <cell r="I4222">
            <v>233.19</v>
          </cell>
        </row>
        <row r="4223">
          <cell r="A4223">
            <v>37740</v>
          </cell>
          <cell r="B4223">
            <v>2326.0700000000002</v>
          </cell>
          <cell r="C4223">
            <v>2322.27</v>
          </cell>
          <cell r="D4223">
            <v>195.08</v>
          </cell>
          <cell r="E4223">
            <v>202.37</v>
          </cell>
          <cell r="F4223">
            <v>215.34</v>
          </cell>
          <cell r="G4223">
            <v>184.53</v>
          </cell>
          <cell r="H4223">
            <v>3727.82</v>
          </cell>
          <cell r="I4223">
            <v>237.43</v>
          </cell>
        </row>
        <row r="4224">
          <cell r="A4224">
            <v>37741</v>
          </cell>
          <cell r="B4224">
            <v>2318.54</v>
          </cell>
          <cell r="C4224">
            <v>2324.23</v>
          </cell>
          <cell r="D4224">
            <v>194.88</v>
          </cell>
          <cell r="E4224">
            <v>202.68</v>
          </cell>
          <cell r="F4224">
            <v>215.63</v>
          </cell>
          <cell r="G4224">
            <v>183.93</v>
          </cell>
          <cell r="H4224">
            <v>3718.16</v>
          </cell>
          <cell r="I4224">
            <v>237.26</v>
          </cell>
        </row>
        <row r="4225">
          <cell r="A4225">
            <v>37742</v>
          </cell>
          <cell r="B4225">
            <v>2308.2199999999998</v>
          </cell>
          <cell r="C4225">
            <v>2324.23</v>
          </cell>
          <cell r="D4225">
            <v>194.13</v>
          </cell>
          <cell r="E4225">
            <v>202.66</v>
          </cell>
          <cell r="F4225">
            <v>215.69</v>
          </cell>
          <cell r="G4225">
            <v>182.61</v>
          </cell>
          <cell r="H4225">
            <v>3709.29</v>
          </cell>
          <cell r="I4225">
            <v>236.99</v>
          </cell>
        </row>
        <row r="4226">
          <cell r="A4226">
            <v>37743</v>
          </cell>
          <cell r="B4226">
            <v>2324.69</v>
          </cell>
          <cell r="C4226">
            <v>2321.9</v>
          </cell>
          <cell r="D4226">
            <v>195.16</v>
          </cell>
          <cell r="E4226">
            <v>202.85</v>
          </cell>
          <cell r="F4226">
            <v>215.63</v>
          </cell>
          <cell r="G4226">
            <v>184.3</v>
          </cell>
          <cell r="H4226">
            <v>3694.77</v>
          </cell>
          <cell r="I4226">
            <v>234.31</v>
          </cell>
        </row>
        <row r="4227">
          <cell r="A4227">
            <v>37746</v>
          </cell>
          <cell r="B4227">
            <v>2335.71</v>
          </cell>
          <cell r="C4227">
            <v>2351.65</v>
          </cell>
          <cell r="D4227">
            <v>196.21</v>
          </cell>
          <cell r="E4227">
            <v>205.33</v>
          </cell>
          <cell r="F4227">
            <v>218.14</v>
          </cell>
          <cell r="G4227">
            <v>184.15</v>
          </cell>
          <cell r="H4227">
            <v>3742.29</v>
          </cell>
          <cell r="I4227">
            <v>238.34</v>
          </cell>
        </row>
        <row r="4228">
          <cell r="A4228">
            <v>37747</v>
          </cell>
          <cell r="B4228">
            <v>2365.61</v>
          </cell>
          <cell r="C4228">
            <v>2389.6999999999998</v>
          </cell>
          <cell r="D4228">
            <v>198.92</v>
          </cell>
          <cell r="E4228">
            <v>208.41</v>
          </cell>
          <cell r="F4228">
            <v>221.17</v>
          </cell>
          <cell r="G4228">
            <v>186.51</v>
          </cell>
          <cell r="H4228">
            <v>3756.61</v>
          </cell>
          <cell r="I4228">
            <v>238.22</v>
          </cell>
        </row>
        <row r="4229">
          <cell r="A4229">
            <v>37748</v>
          </cell>
          <cell r="B4229">
            <v>2338.84</v>
          </cell>
          <cell r="C4229">
            <v>2357.14</v>
          </cell>
          <cell r="D4229">
            <v>196.94</v>
          </cell>
          <cell r="E4229">
            <v>206.25</v>
          </cell>
          <cell r="F4229">
            <v>219.36</v>
          </cell>
          <cell r="G4229">
            <v>184.72</v>
          </cell>
          <cell r="H4229">
            <v>3693.78</v>
          </cell>
          <cell r="I4229">
            <v>237.06</v>
          </cell>
        </row>
        <row r="4230">
          <cell r="A4230">
            <v>37749</v>
          </cell>
          <cell r="B4230">
            <v>2272.89</v>
          </cell>
          <cell r="C4230">
            <v>2287.2399999999998</v>
          </cell>
          <cell r="D4230">
            <v>191.88</v>
          </cell>
          <cell r="E4230">
            <v>200.92</v>
          </cell>
          <cell r="F4230">
            <v>213.7</v>
          </cell>
          <cell r="G4230">
            <v>179.99</v>
          </cell>
          <cell r="H4230">
            <v>3583.43</v>
          </cell>
          <cell r="I4230">
            <v>230.84</v>
          </cell>
        </row>
        <row r="4231">
          <cell r="A4231">
            <v>37750</v>
          </cell>
          <cell r="B4231">
            <v>2295.7600000000002</v>
          </cell>
          <cell r="C4231">
            <v>2314.1</v>
          </cell>
          <cell r="D4231">
            <v>193.64</v>
          </cell>
          <cell r="E4231">
            <v>202.82</v>
          </cell>
          <cell r="F4231">
            <v>215.28</v>
          </cell>
          <cell r="G4231">
            <v>181.61</v>
          </cell>
          <cell r="H4231">
            <v>3608.25</v>
          </cell>
          <cell r="I4231">
            <v>231.14</v>
          </cell>
        </row>
        <row r="4232">
          <cell r="A4232">
            <v>37753</v>
          </cell>
          <cell r="B4232">
            <v>2295.7399999999998</v>
          </cell>
          <cell r="C4232">
            <v>2318</v>
          </cell>
          <cell r="D4232">
            <v>193.52</v>
          </cell>
          <cell r="E4232">
            <v>202.74</v>
          </cell>
          <cell r="F4232">
            <v>214.85</v>
          </cell>
          <cell r="G4232">
            <v>181.45</v>
          </cell>
          <cell r="H4232">
            <v>3621.65</v>
          </cell>
          <cell r="I4232">
            <v>232.8</v>
          </cell>
        </row>
        <row r="4233">
          <cell r="A4233">
            <v>37754</v>
          </cell>
          <cell r="B4233">
            <v>2305.02</v>
          </cell>
          <cell r="C4233">
            <v>2312.9</v>
          </cell>
          <cell r="D4233">
            <v>194.32</v>
          </cell>
          <cell r="E4233">
            <v>202.51</v>
          </cell>
          <cell r="F4233">
            <v>215.35</v>
          </cell>
          <cell r="G4233">
            <v>183.07</v>
          </cell>
          <cell r="H4233">
            <v>3661.81</v>
          </cell>
          <cell r="I4233">
            <v>235.64</v>
          </cell>
        </row>
        <row r="4234">
          <cell r="A4234">
            <v>37755</v>
          </cell>
          <cell r="B4234">
            <v>2304.9</v>
          </cell>
          <cell r="C4234">
            <v>2309.9299999999998</v>
          </cell>
          <cell r="D4234">
            <v>194.52</v>
          </cell>
          <cell r="E4234">
            <v>202.74</v>
          </cell>
          <cell r="F4234">
            <v>215.55</v>
          </cell>
          <cell r="G4234">
            <v>183.24</v>
          </cell>
          <cell r="H4234">
            <v>3635.88</v>
          </cell>
          <cell r="I4234">
            <v>234.17</v>
          </cell>
        </row>
        <row r="4235">
          <cell r="A4235">
            <v>37756</v>
          </cell>
          <cell r="B4235">
            <v>2344.2600000000002</v>
          </cell>
          <cell r="C4235">
            <v>2344.0100000000002</v>
          </cell>
          <cell r="D4235">
            <v>197.4</v>
          </cell>
          <cell r="E4235">
            <v>205.05</v>
          </cell>
          <cell r="F4235">
            <v>217.71</v>
          </cell>
          <cell r="G4235">
            <v>186.51</v>
          </cell>
          <cell r="H4235">
            <v>3658.33</v>
          </cell>
          <cell r="I4235">
            <v>236.77</v>
          </cell>
        </row>
        <row r="4236">
          <cell r="A4236">
            <v>37757</v>
          </cell>
          <cell r="B4236">
            <v>2342.48</v>
          </cell>
          <cell r="C4236">
            <v>2349.13</v>
          </cell>
          <cell r="D4236">
            <v>197.51</v>
          </cell>
          <cell r="E4236">
            <v>205.5</v>
          </cell>
          <cell r="F4236">
            <v>218.21</v>
          </cell>
          <cell r="G4236">
            <v>186.35</v>
          </cell>
          <cell r="H4236">
            <v>3646.43</v>
          </cell>
          <cell r="I4236">
            <v>236.1</v>
          </cell>
        </row>
        <row r="4237">
          <cell r="A4237">
            <v>37760</v>
          </cell>
          <cell r="B4237">
            <v>2262</v>
          </cell>
          <cell r="C4237">
            <v>2248.0300000000002</v>
          </cell>
          <cell r="D4237">
            <v>191.17</v>
          </cell>
          <cell r="E4237">
            <v>197.75</v>
          </cell>
          <cell r="F4237">
            <v>210.8</v>
          </cell>
          <cell r="G4237">
            <v>181.3</v>
          </cell>
          <cell r="H4237">
            <v>3571.72</v>
          </cell>
          <cell r="I4237">
            <v>229.84</v>
          </cell>
        </row>
        <row r="4238">
          <cell r="A4238">
            <v>37761</v>
          </cell>
          <cell r="B4238">
            <v>2272.27</v>
          </cell>
          <cell r="C4238">
            <v>2249.06</v>
          </cell>
          <cell r="D4238">
            <v>192.01</v>
          </cell>
          <cell r="E4238">
            <v>197.91</v>
          </cell>
          <cell r="F4238">
            <v>211.03</v>
          </cell>
          <cell r="G4238">
            <v>182.67</v>
          </cell>
          <cell r="H4238">
            <v>3532.92</v>
          </cell>
          <cell r="I4238">
            <v>227.6</v>
          </cell>
        </row>
        <row r="4239">
          <cell r="A4239">
            <v>37762</v>
          </cell>
          <cell r="B4239">
            <v>2243.17</v>
          </cell>
          <cell r="C4239">
            <v>2229.4299999999998</v>
          </cell>
          <cell r="D4239">
            <v>190.11</v>
          </cell>
          <cell r="E4239">
            <v>196.2</v>
          </cell>
          <cell r="F4239">
            <v>209.04</v>
          </cell>
          <cell r="G4239">
            <v>180.65</v>
          </cell>
          <cell r="H4239">
            <v>3505.5</v>
          </cell>
          <cell r="I4239">
            <v>225.12</v>
          </cell>
        </row>
        <row r="4240">
          <cell r="A4240">
            <v>37763</v>
          </cell>
          <cell r="B4240">
            <v>2280.16</v>
          </cell>
          <cell r="C4240">
            <v>2261.98</v>
          </cell>
          <cell r="D4240">
            <v>192.75</v>
          </cell>
          <cell r="E4240">
            <v>199</v>
          </cell>
          <cell r="F4240">
            <v>212.3</v>
          </cell>
          <cell r="G4240">
            <v>183.11</v>
          </cell>
          <cell r="H4240">
            <v>3548.18</v>
          </cell>
          <cell r="I4240">
            <v>228.45</v>
          </cell>
        </row>
        <row r="4241">
          <cell r="A4241">
            <v>37764</v>
          </cell>
          <cell r="B4241">
            <v>2255.1999999999998</v>
          </cell>
          <cell r="C4241">
            <v>2246.58</v>
          </cell>
          <cell r="D4241">
            <v>191.27</v>
          </cell>
          <cell r="E4241">
            <v>198</v>
          </cell>
          <cell r="F4241">
            <v>211.35</v>
          </cell>
          <cell r="G4241">
            <v>181.28</v>
          </cell>
          <cell r="H4241">
            <v>3542.82</v>
          </cell>
          <cell r="I4241">
            <v>226.9</v>
          </cell>
        </row>
        <row r="4242">
          <cell r="A4242">
            <v>37767</v>
          </cell>
          <cell r="B4242">
            <v>2245.8000000000002</v>
          </cell>
          <cell r="C4242">
            <v>2242.16</v>
          </cell>
          <cell r="D4242">
            <v>190.54</v>
          </cell>
          <cell r="E4242">
            <v>197.63</v>
          </cell>
          <cell r="F4242">
            <v>210.54</v>
          </cell>
          <cell r="G4242">
            <v>180.28</v>
          </cell>
          <cell r="H4242">
            <v>3510.96</v>
          </cell>
          <cell r="I4242">
            <v>224.73</v>
          </cell>
        </row>
        <row r="4243">
          <cell r="A4243">
            <v>37768</v>
          </cell>
          <cell r="B4243">
            <v>2263.98</v>
          </cell>
          <cell r="C4243">
            <v>2259.35</v>
          </cell>
          <cell r="D4243">
            <v>191.67</v>
          </cell>
          <cell r="E4243">
            <v>198.83</v>
          </cell>
          <cell r="F4243">
            <v>211.93</v>
          </cell>
          <cell r="G4243">
            <v>181.32</v>
          </cell>
          <cell r="H4243">
            <v>3516.37</v>
          </cell>
          <cell r="I4243">
            <v>225.45</v>
          </cell>
        </row>
        <row r="4244">
          <cell r="A4244">
            <v>37769</v>
          </cell>
          <cell r="B4244">
            <v>2318.88</v>
          </cell>
          <cell r="C4244">
            <v>2309.33</v>
          </cell>
          <cell r="D4244">
            <v>195.91</v>
          </cell>
          <cell r="E4244">
            <v>202.66</v>
          </cell>
          <cell r="F4244">
            <v>216.14</v>
          </cell>
          <cell r="G4244">
            <v>185.79</v>
          </cell>
          <cell r="H4244">
            <v>3632.48</v>
          </cell>
          <cell r="I4244">
            <v>234.21</v>
          </cell>
        </row>
        <row r="4245">
          <cell r="A4245">
            <v>37770</v>
          </cell>
          <cell r="B4245">
            <v>2320.29</v>
          </cell>
          <cell r="C4245">
            <v>2310.83</v>
          </cell>
          <cell r="D4245">
            <v>196.23</v>
          </cell>
          <cell r="E4245">
            <v>203.01</v>
          </cell>
          <cell r="F4245">
            <v>216.31</v>
          </cell>
          <cell r="G4245">
            <v>186.07</v>
          </cell>
          <cell r="H4245">
            <v>3624.27</v>
          </cell>
          <cell r="I4245">
            <v>233.82</v>
          </cell>
        </row>
        <row r="4246">
          <cell r="A4246">
            <v>37771</v>
          </cell>
          <cell r="B4246">
            <v>2315.4899999999998</v>
          </cell>
          <cell r="C4246">
            <v>2330.06</v>
          </cell>
          <cell r="D4246">
            <v>196.54</v>
          </cell>
          <cell r="E4246">
            <v>204.92</v>
          </cell>
          <cell r="F4246">
            <v>217.74</v>
          </cell>
          <cell r="G4246">
            <v>185.09</v>
          </cell>
          <cell r="H4246">
            <v>3654.25</v>
          </cell>
          <cell r="I4246">
            <v>236.05</v>
          </cell>
        </row>
        <row r="4247">
          <cell r="A4247">
            <v>37774</v>
          </cell>
          <cell r="B4247">
            <v>2370.11</v>
          </cell>
          <cell r="C4247">
            <v>2379.39</v>
          </cell>
          <cell r="D4247">
            <v>200.41</v>
          </cell>
          <cell r="E4247">
            <v>208.52</v>
          </cell>
          <cell r="F4247">
            <v>221.83</v>
          </cell>
          <cell r="G4247">
            <v>189.07</v>
          </cell>
          <cell r="H4247">
            <v>3701.08</v>
          </cell>
          <cell r="I4247">
            <v>239.37</v>
          </cell>
        </row>
        <row r="4248">
          <cell r="A4248">
            <v>37775</v>
          </cell>
          <cell r="B4248">
            <v>2354.77</v>
          </cell>
          <cell r="C4248">
            <v>2366.31</v>
          </cell>
          <cell r="D4248">
            <v>198.78</v>
          </cell>
          <cell r="E4248">
            <v>207.41</v>
          </cell>
          <cell r="F4248">
            <v>220.14</v>
          </cell>
          <cell r="G4248">
            <v>187.06</v>
          </cell>
          <cell r="H4248">
            <v>3652.88</v>
          </cell>
          <cell r="I4248">
            <v>236.6</v>
          </cell>
        </row>
        <row r="4249">
          <cell r="A4249">
            <v>37776</v>
          </cell>
          <cell r="B4249">
            <v>2380.7600000000002</v>
          </cell>
          <cell r="C4249">
            <v>2394.79</v>
          </cell>
          <cell r="D4249">
            <v>200.92</v>
          </cell>
          <cell r="E4249">
            <v>209.87</v>
          </cell>
          <cell r="F4249">
            <v>222.56</v>
          </cell>
          <cell r="G4249">
            <v>188.89</v>
          </cell>
          <cell r="H4249">
            <v>3681.89</v>
          </cell>
          <cell r="I4249">
            <v>238.23</v>
          </cell>
        </row>
        <row r="4250">
          <cell r="A4250">
            <v>37777</v>
          </cell>
          <cell r="B4250">
            <v>2355.91</v>
          </cell>
          <cell r="C4250">
            <v>2365.7600000000002</v>
          </cell>
          <cell r="D4250">
            <v>199.82</v>
          </cell>
          <cell r="E4250">
            <v>208.18</v>
          </cell>
          <cell r="F4250">
            <v>220.77</v>
          </cell>
          <cell r="G4250">
            <v>188.29</v>
          </cell>
          <cell r="H4250">
            <v>3668.97</v>
          </cell>
          <cell r="I4250">
            <v>235.68</v>
          </cell>
        </row>
        <row r="4251">
          <cell r="A4251">
            <v>37778</v>
          </cell>
          <cell r="B4251">
            <v>2408.1799999999998</v>
          </cell>
          <cell r="C4251">
            <v>2421.92</v>
          </cell>
          <cell r="D4251">
            <v>204.41</v>
          </cell>
          <cell r="E4251">
            <v>212.74</v>
          </cell>
          <cell r="F4251">
            <v>225.32</v>
          </cell>
          <cell r="G4251">
            <v>192.81</v>
          </cell>
          <cell r="H4251">
            <v>3768.83</v>
          </cell>
          <cell r="I4251">
            <v>242.39</v>
          </cell>
        </row>
        <row r="4252">
          <cell r="A4252">
            <v>37781</v>
          </cell>
          <cell r="B4252">
            <v>2375.02</v>
          </cell>
          <cell r="C4252">
            <v>2388.5500000000002</v>
          </cell>
          <cell r="D4252">
            <v>201.79</v>
          </cell>
          <cell r="E4252">
            <v>210.18</v>
          </cell>
          <cell r="F4252">
            <v>223.27</v>
          </cell>
          <cell r="G4252">
            <v>190.2</v>
          </cell>
          <cell r="H4252">
            <v>3751.64</v>
          </cell>
          <cell r="I4252">
            <v>240.41</v>
          </cell>
        </row>
        <row r="4253">
          <cell r="A4253">
            <v>37782</v>
          </cell>
          <cell r="B4253">
            <v>2393.02</v>
          </cell>
          <cell r="C4253">
            <v>2410.5500000000002</v>
          </cell>
          <cell r="D4253">
            <v>202.84</v>
          </cell>
          <cell r="E4253">
            <v>211.55</v>
          </cell>
          <cell r="F4253">
            <v>224.49</v>
          </cell>
          <cell r="G4253">
            <v>190.96</v>
          </cell>
          <cell r="H4253">
            <v>3756.48</v>
          </cell>
          <cell r="I4253">
            <v>239.51</v>
          </cell>
        </row>
        <row r="4254">
          <cell r="A4254">
            <v>37783</v>
          </cell>
          <cell r="B4254">
            <v>2430.08</v>
          </cell>
          <cell r="C4254">
            <v>2452.4</v>
          </cell>
          <cell r="D4254">
            <v>205.32</v>
          </cell>
          <cell r="E4254">
            <v>214.26</v>
          </cell>
          <cell r="F4254">
            <v>227.31</v>
          </cell>
          <cell r="G4254">
            <v>193.2</v>
          </cell>
          <cell r="H4254">
            <v>3806.16</v>
          </cell>
          <cell r="I4254">
            <v>242.4</v>
          </cell>
        </row>
        <row r="4255">
          <cell r="A4255">
            <v>37784</v>
          </cell>
          <cell r="B4255">
            <v>2448.56</v>
          </cell>
          <cell r="C4255">
            <v>2479.91</v>
          </cell>
          <cell r="D4255">
            <v>206.59</v>
          </cell>
          <cell r="E4255">
            <v>216.11</v>
          </cell>
          <cell r="F4255">
            <v>229.11</v>
          </cell>
          <cell r="G4255">
            <v>193.96</v>
          </cell>
          <cell r="H4255">
            <v>3822.09</v>
          </cell>
          <cell r="I4255">
            <v>242.33</v>
          </cell>
        </row>
        <row r="4256">
          <cell r="A4256">
            <v>37785</v>
          </cell>
          <cell r="B4256">
            <v>2406.9899999999998</v>
          </cell>
          <cell r="C4256">
            <v>2440.3200000000002</v>
          </cell>
          <cell r="D4256">
            <v>203.6</v>
          </cell>
          <cell r="E4256">
            <v>213.22</v>
          </cell>
          <cell r="F4256">
            <v>225.95</v>
          </cell>
          <cell r="G4256">
            <v>190.97</v>
          </cell>
          <cell r="H4256">
            <v>3759.48</v>
          </cell>
          <cell r="I4256">
            <v>238.29</v>
          </cell>
        </row>
        <row r="4257">
          <cell r="A4257">
            <v>37788</v>
          </cell>
          <cell r="B4257">
            <v>2450.5300000000002</v>
          </cell>
          <cell r="C4257">
            <v>2492.2800000000002</v>
          </cell>
          <cell r="D4257">
            <v>206.94</v>
          </cell>
          <cell r="E4257">
            <v>217.3</v>
          </cell>
          <cell r="F4257">
            <v>230.1</v>
          </cell>
          <cell r="G4257">
            <v>193.63</v>
          </cell>
          <cell r="H4257">
            <v>3791.54</v>
          </cell>
          <cell r="I4257">
            <v>240.42</v>
          </cell>
        </row>
        <row r="4258">
          <cell r="A4258">
            <v>37789</v>
          </cell>
          <cell r="B4258">
            <v>2474.92</v>
          </cell>
          <cell r="C4258">
            <v>2505.9899999999998</v>
          </cell>
          <cell r="D4258">
            <v>209.06</v>
          </cell>
          <cell r="E4258">
            <v>218.66</v>
          </cell>
          <cell r="F4258">
            <v>231.8</v>
          </cell>
          <cell r="G4258">
            <v>196.3</v>
          </cell>
          <cell r="H4258">
            <v>3843.81</v>
          </cell>
          <cell r="I4258">
            <v>243.8</v>
          </cell>
        </row>
        <row r="4259">
          <cell r="A4259">
            <v>37790</v>
          </cell>
          <cell r="B4259">
            <v>2501.91</v>
          </cell>
          <cell r="C4259">
            <v>2527.44</v>
          </cell>
          <cell r="D4259">
            <v>210.57</v>
          </cell>
          <cell r="E4259">
            <v>219.71</v>
          </cell>
          <cell r="F4259">
            <v>232.92</v>
          </cell>
          <cell r="G4259">
            <v>198.16</v>
          </cell>
          <cell r="H4259">
            <v>3858.05</v>
          </cell>
          <cell r="I4259">
            <v>244.34</v>
          </cell>
        </row>
        <row r="4260">
          <cell r="A4260">
            <v>37791</v>
          </cell>
          <cell r="B4260">
            <v>2454.9</v>
          </cell>
          <cell r="C4260">
            <v>2491.9899999999998</v>
          </cell>
          <cell r="D4260">
            <v>207.12</v>
          </cell>
          <cell r="E4260">
            <v>216.72</v>
          </cell>
          <cell r="F4260">
            <v>229.93</v>
          </cell>
          <cell r="G4260">
            <v>194.42</v>
          </cell>
          <cell r="H4260">
            <v>3842.54</v>
          </cell>
          <cell r="I4260">
            <v>244.74</v>
          </cell>
        </row>
        <row r="4261">
          <cell r="A4261">
            <v>37792</v>
          </cell>
          <cell r="B4261">
            <v>2476.21</v>
          </cell>
          <cell r="C4261">
            <v>2515.33</v>
          </cell>
          <cell r="D4261">
            <v>208.71</v>
          </cell>
          <cell r="E4261">
            <v>218.47</v>
          </cell>
          <cell r="F4261">
            <v>231.45</v>
          </cell>
          <cell r="G4261">
            <v>195.85</v>
          </cell>
          <cell r="H4261">
            <v>3844.62</v>
          </cell>
          <cell r="I4261">
            <v>244.84</v>
          </cell>
        </row>
        <row r="4262">
          <cell r="A4262">
            <v>37795</v>
          </cell>
          <cell r="B4262">
            <v>2434.4899999999998</v>
          </cell>
          <cell r="C4262">
            <v>2450.5700000000002</v>
          </cell>
          <cell r="D4262">
            <v>205.32</v>
          </cell>
          <cell r="E4262">
            <v>213.61</v>
          </cell>
          <cell r="F4262">
            <v>226.77</v>
          </cell>
          <cell r="G4262">
            <v>193.72</v>
          </cell>
          <cell r="H4262">
            <v>3784.54</v>
          </cell>
          <cell r="I4262">
            <v>240.67</v>
          </cell>
        </row>
        <row r="4263">
          <cell r="A4263">
            <v>37796</v>
          </cell>
          <cell r="B4263">
            <v>2430</v>
          </cell>
          <cell r="C4263">
            <v>2446.7800000000002</v>
          </cell>
          <cell r="D4263">
            <v>204.38</v>
          </cell>
          <cell r="E4263">
            <v>212.92</v>
          </cell>
          <cell r="F4263">
            <v>226</v>
          </cell>
          <cell r="G4263">
            <v>192.6</v>
          </cell>
          <cell r="H4263">
            <v>3705.45</v>
          </cell>
          <cell r="I4263">
            <v>236.12</v>
          </cell>
        </row>
        <row r="4264">
          <cell r="A4264">
            <v>37797</v>
          </cell>
          <cell r="B4264">
            <v>2432.19</v>
          </cell>
          <cell r="C4264">
            <v>2453.73</v>
          </cell>
          <cell r="D4264">
            <v>204.99</v>
          </cell>
          <cell r="E4264">
            <v>213.72</v>
          </cell>
          <cell r="F4264">
            <v>226.56</v>
          </cell>
          <cell r="G4264">
            <v>193.04</v>
          </cell>
          <cell r="H4264">
            <v>3725.66</v>
          </cell>
          <cell r="I4264">
            <v>237.18</v>
          </cell>
        </row>
        <row r="4265">
          <cell r="A4265">
            <v>37798</v>
          </cell>
          <cell r="B4265">
            <v>2431.2600000000002</v>
          </cell>
          <cell r="C4265">
            <v>2452.86</v>
          </cell>
          <cell r="D4265">
            <v>204.85</v>
          </cell>
          <cell r="E4265">
            <v>213.73</v>
          </cell>
          <cell r="F4265">
            <v>226.53</v>
          </cell>
          <cell r="G4265">
            <v>192.79</v>
          </cell>
          <cell r="H4265">
            <v>3726.48</v>
          </cell>
          <cell r="I4265">
            <v>237.61</v>
          </cell>
        </row>
        <row r="4266">
          <cell r="A4266">
            <v>37799</v>
          </cell>
          <cell r="B4266">
            <v>2426.84</v>
          </cell>
          <cell r="C4266">
            <v>2453.4899999999998</v>
          </cell>
          <cell r="D4266">
            <v>204.94</v>
          </cell>
          <cell r="E4266">
            <v>214.16</v>
          </cell>
          <cell r="F4266">
            <v>227.07</v>
          </cell>
          <cell r="G4266">
            <v>192.6</v>
          </cell>
          <cell r="H4266">
            <v>3777.11</v>
          </cell>
          <cell r="I4266">
            <v>240.4</v>
          </cell>
        </row>
        <row r="4267">
          <cell r="A4267">
            <v>37802</v>
          </cell>
          <cell r="B4267">
            <v>2395.4699999999998</v>
          </cell>
          <cell r="C4267">
            <v>2419.5100000000002</v>
          </cell>
          <cell r="D4267">
            <v>202.94</v>
          </cell>
          <cell r="E4267">
            <v>211.91</v>
          </cell>
          <cell r="F4267">
            <v>224.57</v>
          </cell>
          <cell r="G4267">
            <v>190.85</v>
          </cell>
          <cell r="H4267">
            <v>3731.31</v>
          </cell>
          <cell r="I4267">
            <v>236.72</v>
          </cell>
        </row>
        <row r="4268">
          <cell r="A4268">
            <v>37803</v>
          </cell>
          <cell r="B4268">
            <v>2340.46</v>
          </cell>
          <cell r="C4268">
            <v>2366.86</v>
          </cell>
          <cell r="D4268">
            <v>198.87</v>
          </cell>
          <cell r="E4268">
            <v>207.67</v>
          </cell>
          <cell r="F4268">
            <v>220.08</v>
          </cell>
          <cell r="G4268">
            <v>187.02</v>
          </cell>
          <cell r="H4268">
            <v>3657.47</v>
          </cell>
          <cell r="I4268">
            <v>232.45</v>
          </cell>
        </row>
        <row r="4269">
          <cell r="A4269">
            <v>37804</v>
          </cell>
          <cell r="B4269">
            <v>2385.58</v>
          </cell>
          <cell r="C4269">
            <v>2420.35</v>
          </cell>
          <cell r="D4269">
            <v>202.5</v>
          </cell>
          <cell r="E4269">
            <v>211.96</v>
          </cell>
          <cell r="F4269">
            <v>224.49</v>
          </cell>
          <cell r="G4269">
            <v>190.03</v>
          </cell>
          <cell r="H4269">
            <v>3723.25</v>
          </cell>
          <cell r="I4269">
            <v>236.56</v>
          </cell>
        </row>
        <row r="4270">
          <cell r="A4270">
            <v>37805</v>
          </cell>
          <cell r="B4270">
            <v>2401.2800000000002</v>
          </cell>
          <cell r="C4270">
            <v>2421.64</v>
          </cell>
          <cell r="D4270">
            <v>203.79</v>
          </cell>
          <cell r="E4270">
            <v>212.15</v>
          </cell>
          <cell r="F4270">
            <v>225.18</v>
          </cell>
          <cell r="G4270">
            <v>192.16</v>
          </cell>
          <cell r="H4270">
            <v>3767.78</v>
          </cell>
          <cell r="I4270">
            <v>239.08</v>
          </cell>
        </row>
        <row r="4271">
          <cell r="A4271">
            <v>37806</v>
          </cell>
          <cell r="B4271">
            <v>2392.6</v>
          </cell>
          <cell r="C4271">
            <v>2408.1799999999998</v>
          </cell>
          <cell r="D4271">
            <v>203.26</v>
          </cell>
          <cell r="E4271">
            <v>211.43</v>
          </cell>
          <cell r="F4271">
            <v>224.57</v>
          </cell>
          <cell r="G4271">
            <v>191.81</v>
          </cell>
          <cell r="H4271">
            <v>3766.51</v>
          </cell>
          <cell r="I4271">
            <v>237.82</v>
          </cell>
        </row>
        <row r="4272">
          <cell r="A4272">
            <v>37809</v>
          </cell>
          <cell r="B4272">
            <v>2449.85</v>
          </cell>
          <cell r="C4272">
            <v>2486.0100000000002</v>
          </cell>
          <cell r="D4272">
            <v>208.14</v>
          </cell>
          <cell r="E4272">
            <v>217.92</v>
          </cell>
          <cell r="F4272">
            <v>230.83</v>
          </cell>
          <cell r="G4272">
            <v>195.27</v>
          </cell>
          <cell r="H4272">
            <v>3869.28</v>
          </cell>
          <cell r="I4272">
            <v>245.11</v>
          </cell>
        </row>
        <row r="4273">
          <cell r="A4273">
            <v>37810</v>
          </cell>
          <cell r="B4273">
            <v>2440.5</v>
          </cell>
          <cell r="C4273">
            <v>2492.73</v>
          </cell>
          <cell r="D4273">
            <v>207.78</v>
          </cell>
          <cell r="E4273">
            <v>218.37</v>
          </cell>
          <cell r="F4273">
            <v>231.21</v>
          </cell>
          <cell r="G4273">
            <v>194.25</v>
          </cell>
          <cell r="H4273">
            <v>3892.42</v>
          </cell>
          <cell r="I4273">
            <v>247.23</v>
          </cell>
        </row>
        <row r="4274">
          <cell r="A4274">
            <v>37811</v>
          </cell>
          <cell r="B4274">
            <v>2423.0700000000002</v>
          </cell>
          <cell r="C4274">
            <v>2473.62</v>
          </cell>
          <cell r="D4274">
            <v>206.25</v>
          </cell>
          <cell r="E4274">
            <v>216.71</v>
          </cell>
          <cell r="F4274">
            <v>229.48</v>
          </cell>
          <cell r="G4274">
            <v>192.88</v>
          </cell>
          <cell r="H4274">
            <v>3879.53</v>
          </cell>
          <cell r="I4274">
            <v>248.43</v>
          </cell>
        </row>
        <row r="4275">
          <cell r="A4275">
            <v>37812</v>
          </cell>
          <cell r="B4275">
            <v>2398.31</v>
          </cell>
          <cell r="C4275">
            <v>2441.9</v>
          </cell>
          <cell r="D4275">
            <v>204.29</v>
          </cell>
          <cell r="E4275">
            <v>214.45</v>
          </cell>
          <cell r="F4275">
            <v>227.3</v>
          </cell>
          <cell r="G4275">
            <v>191.2</v>
          </cell>
          <cell r="H4275">
            <v>3844.54</v>
          </cell>
          <cell r="I4275">
            <v>247.2</v>
          </cell>
        </row>
        <row r="4276">
          <cell r="A4276">
            <v>37813</v>
          </cell>
          <cell r="B4276">
            <v>2429.83</v>
          </cell>
          <cell r="C4276">
            <v>2477.7199999999998</v>
          </cell>
          <cell r="D4276">
            <v>206.65</v>
          </cell>
          <cell r="E4276">
            <v>217.12</v>
          </cell>
          <cell r="F4276">
            <v>229.9</v>
          </cell>
          <cell r="G4276">
            <v>193.27</v>
          </cell>
          <cell r="H4276">
            <v>3856.42</v>
          </cell>
          <cell r="I4276">
            <v>247.08</v>
          </cell>
        </row>
        <row r="4277">
          <cell r="A4277">
            <v>37816</v>
          </cell>
          <cell r="B4277">
            <v>2463.67</v>
          </cell>
          <cell r="C4277">
            <v>2517.88</v>
          </cell>
          <cell r="D4277">
            <v>209.49</v>
          </cell>
          <cell r="E4277">
            <v>220.38</v>
          </cell>
          <cell r="F4277">
            <v>233.34</v>
          </cell>
          <cell r="G4277">
            <v>195.69</v>
          </cell>
          <cell r="H4277">
            <v>3930.42</v>
          </cell>
          <cell r="I4277">
            <v>251.41</v>
          </cell>
        </row>
        <row r="4278">
          <cell r="A4278">
            <v>37817</v>
          </cell>
          <cell r="B4278">
            <v>2441.9499999999998</v>
          </cell>
          <cell r="C4278">
            <v>2503.36</v>
          </cell>
          <cell r="D4278">
            <v>208.15</v>
          </cell>
          <cell r="E4278">
            <v>219.59</v>
          </cell>
          <cell r="F4278">
            <v>232.73</v>
          </cell>
          <cell r="G4278">
            <v>193.93</v>
          </cell>
          <cell r="H4278">
            <v>3952.85</v>
          </cell>
          <cell r="I4278">
            <v>252.01</v>
          </cell>
        </row>
        <row r="4279">
          <cell r="A4279">
            <v>37818</v>
          </cell>
          <cell r="B4279">
            <v>2430.9899999999998</v>
          </cell>
          <cell r="C4279">
            <v>2487.9899999999998</v>
          </cell>
          <cell r="D4279">
            <v>207.02</v>
          </cell>
          <cell r="E4279">
            <v>218.55</v>
          </cell>
          <cell r="F4279">
            <v>231.8</v>
          </cell>
          <cell r="G4279">
            <v>192.76</v>
          </cell>
          <cell r="H4279">
            <v>3924.58</v>
          </cell>
          <cell r="I4279">
            <v>250.84</v>
          </cell>
        </row>
        <row r="4280">
          <cell r="A4280">
            <v>37819</v>
          </cell>
          <cell r="B4280">
            <v>2408.39</v>
          </cell>
          <cell r="C4280">
            <v>2449.73</v>
          </cell>
          <cell r="D4280">
            <v>205.17</v>
          </cell>
          <cell r="E4280">
            <v>215.75</v>
          </cell>
          <cell r="F4280">
            <v>229.21</v>
          </cell>
          <cell r="G4280">
            <v>191.72</v>
          </cell>
          <cell r="H4280">
            <v>3831.1</v>
          </cell>
          <cell r="I4280">
            <v>238.66</v>
          </cell>
        </row>
        <row r="4281">
          <cell r="A4281">
            <v>37820</v>
          </cell>
          <cell r="B4281">
            <v>2403.98</v>
          </cell>
          <cell r="C4281">
            <v>2458.92</v>
          </cell>
          <cell r="D4281">
            <v>205.16</v>
          </cell>
          <cell r="E4281">
            <v>216.72</v>
          </cell>
          <cell r="F4281">
            <v>230.21</v>
          </cell>
          <cell r="G4281">
            <v>190.93</v>
          </cell>
          <cell r="H4281">
            <v>3871.28</v>
          </cell>
          <cell r="I4281">
            <v>239.57</v>
          </cell>
        </row>
        <row r="4282">
          <cell r="A4282">
            <v>37823</v>
          </cell>
          <cell r="B4282">
            <v>2380.5700000000002</v>
          </cell>
          <cell r="C4282">
            <v>2419.81</v>
          </cell>
          <cell r="D4282">
            <v>203.45</v>
          </cell>
          <cell r="E4282">
            <v>213.71</v>
          </cell>
          <cell r="F4282">
            <v>227.46</v>
          </cell>
          <cell r="G4282">
            <v>190.31</v>
          </cell>
          <cell r="H4282">
            <v>3851.81</v>
          </cell>
          <cell r="I4282">
            <v>237.45</v>
          </cell>
        </row>
        <row r="4283">
          <cell r="A4283">
            <v>37824</v>
          </cell>
          <cell r="B4283">
            <v>2396.21</v>
          </cell>
          <cell r="C4283">
            <v>2436.88</v>
          </cell>
          <cell r="D4283">
            <v>204.33</v>
          </cell>
          <cell r="E4283">
            <v>214.83</v>
          </cell>
          <cell r="F4283">
            <v>228.07</v>
          </cell>
          <cell r="G4283">
            <v>190.96</v>
          </cell>
          <cell r="H4283">
            <v>3820.51</v>
          </cell>
          <cell r="I4283">
            <v>236.66</v>
          </cell>
        </row>
        <row r="4284">
          <cell r="A4284">
            <v>37825</v>
          </cell>
          <cell r="B4284">
            <v>2388.9299999999998</v>
          </cell>
          <cell r="C4284">
            <v>2429.0700000000002</v>
          </cell>
          <cell r="D4284">
            <v>203.93</v>
          </cell>
          <cell r="E4284">
            <v>214.33</v>
          </cell>
          <cell r="F4284">
            <v>227.92</v>
          </cell>
          <cell r="G4284">
            <v>190.66</v>
          </cell>
          <cell r="H4284">
            <v>3832.54</v>
          </cell>
          <cell r="I4284">
            <v>237.75</v>
          </cell>
        </row>
        <row r="4285">
          <cell r="A4285">
            <v>37826</v>
          </cell>
          <cell r="B4285">
            <v>2436.66</v>
          </cell>
          <cell r="C4285">
            <v>2480.87</v>
          </cell>
          <cell r="D4285">
            <v>207.47</v>
          </cell>
          <cell r="E4285">
            <v>217.95</v>
          </cell>
          <cell r="F4285">
            <v>231.6</v>
          </cell>
          <cell r="G4285">
            <v>194.05</v>
          </cell>
          <cell r="H4285">
            <v>3896.11</v>
          </cell>
          <cell r="I4285">
            <v>241.7</v>
          </cell>
        </row>
        <row r="4286">
          <cell r="A4286">
            <v>37827</v>
          </cell>
          <cell r="B4286">
            <v>2407.11</v>
          </cell>
          <cell r="C4286">
            <v>2442.13</v>
          </cell>
          <cell r="D4286">
            <v>205.79</v>
          </cell>
          <cell r="E4286">
            <v>215.53</v>
          </cell>
          <cell r="F4286">
            <v>229.4</v>
          </cell>
          <cell r="G4286">
            <v>193</v>
          </cell>
          <cell r="H4286">
            <v>3881.02</v>
          </cell>
          <cell r="I4286">
            <v>240.29</v>
          </cell>
        </row>
        <row r="4287">
          <cell r="A4287">
            <v>37830</v>
          </cell>
          <cell r="B4287">
            <v>2438.86</v>
          </cell>
          <cell r="C4287">
            <v>2486.7600000000002</v>
          </cell>
          <cell r="D4287">
            <v>208.19</v>
          </cell>
          <cell r="E4287">
            <v>218.65</v>
          </cell>
          <cell r="F4287">
            <v>232.59</v>
          </cell>
          <cell r="G4287">
            <v>194.76</v>
          </cell>
          <cell r="H4287">
            <v>3950.96</v>
          </cell>
          <cell r="I4287">
            <v>244.88</v>
          </cell>
        </row>
        <row r="4288">
          <cell r="A4288">
            <v>37831</v>
          </cell>
          <cell r="B4288">
            <v>2427.56</v>
          </cell>
          <cell r="C4288">
            <v>2470.41</v>
          </cell>
          <cell r="D4288">
            <v>207.42</v>
          </cell>
          <cell r="E4288">
            <v>217.35</v>
          </cell>
          <cell r="F4288">
            <v>231.3</v>
          </cell>
          <cell r="G4288">
            <v>194.44</v>
          </cell>
          <cell r="H4288">
            <v>3920.03</v>
          </cell>
          <cell r="I4288">
            <v>243.29</v>
          </cell>
        </row>
        <row r="4289">
          <cell r="A4289">
            <v>37832</v>
          </cell>
          <cell r="B4289">
            <v>2444.0300000000002</v>
          </cell>
          <cell r="C4289">
            <v>2483.9</v>
          </cell>
          <cell r="D4289">
            <v>208.75</v>
          </cell>
          <cell r="E4289">
            <v>218.42</v>
          </cell>
          <cell r="F4289">
            <v>232.61</v>
          </cell>
          <cell r="G4289">
            <v>195.96</v>
          </cell>
          <cell r="H4289">
            <v>3941.9</v>
          </cell>
          <cell r="I4289">
            <v>244.49</v>
          </cell>
        </row>
        <row r="4290">
          <cell r="A4290">
            <v>37833</v>
          </cell>
          <cell r="B4290">
            <v>2474.0700000000002</v>
          </cell>
          <cell r="C4290">
            <v>2519.79</v>
          </cell>
          <cell r="D4290">
            <v>211.11</v>
          </cell>
          <cell r="E4290">
            <v>221.19</v>
          </cell>
          <cell r="F4290">
            <v>235.43</v>
          </cell>
          <cell r="G4290">
            <v>197.93</v>
          </cell>
          <cell r="H4290">
            <v>3961.94</v>
          </cell>
          <cell r="I4290">
            <v>245.72</v>
          </cell>
        </row>
        <row r="4291">
          <cell r="A4291">
            <v>37834</v>
          </cell>
          <cell r="B4291">
            <v>2431.73</v>
          </cell>
          <cell r="C4291">
            <v>2479.6999999999998</v>
          </cell>
          <cell r="D4291">
            <v>208.77</v>
          </cell>
          <cell r="E4291">
            <v>218.73</v>
          </cell>
          <cell r="F4291">
            <v>233.27</v>
          </cell>
          <cell r="G4291">
            <v>195.73</v>
          </cell>
          <cell r="H4291">
            <v>3940.93</v>
          </cell>
          <cell r="I4291">
            <v>243.58</v>
          </cell>
        </row>
        <row r="4292">
          <cell r="A4292">
            <v>37837</v>
          </cell>
          <cell r="B4292">
            <v>2412.5500000000002</v>
          </cell>
          <cell r="C4292">
            <v>2456.2800000000002</v>
          </cell>
          <cell r="D4292">
            <v>207.13</v>
          </cell>
          <cell r="E4292">
            <v>216.98</v>
          </cell>
          <cell r="F4292">
            <v>231.54</v>
          </cell>
          <cell r="G4292">
            <v>194.23</v>
          </cell>
          <cell r="H4292">
            <v>3921.04</v>
          </cell>
          <cell r="I4292">
            <v>242.14</v>
          </cell>
        </row>
        <row r="4293">
          <cell r="A4293">
            <v>37838</v>
          </cell>
          <cell r="B4293">
            <v>2431.61</v>
          </cell>
          <cell r="C4293">
            <v>2481.77</v>
          </cell>
          <cell r="D4293">
            <v>208.6</v>
          </cell>
          <cell r="E4293">
            <v>218.81</v>
          </cell>
          <cell r="F4293">
            <v>233.49</v>
          </cell>
          <cell r="G4293">
            <v>195.36</v>
          </cell>
          <cell r="H4293">
            <v>3952.83</v>
          </cell>
          <cell r="I4293">
            <v>243.51</v>
          </cell>
        </row>
        <row r="4294">
          <cell r="A4294">
            <v>37839</v>
          </cell>
          <cell r="B4294">
            <v>2394.23</v>
          </cell>
          <cell r="C4294">
            <v>2437.38</v>
          </cell>
          <cell r="D4294">
            <v>205.68</v>
          </cell>
          <cell r="E4294">
            <v>215.38</v>
          </cell>
          <cell r="F4294">
            <v>230.12</v>
          </cell>
          <cell r="G4294">
            <v>192.92</v>
          </cell>
          <cell r="H4294">
            <v>3887.66</v>
          </cell>
          <cell r="I4294">
            <v>238.99</v>
          </cell>
        </row>
        <row r="4295">
          <cell r="A4295">
            <v>37840</v>
          </cell>
          <cell r="B4295">
            <v>2405.42</v>
          </cell>
          <cell r="C4295">
            <v>2436.06</v>
          </cell>
          <cell r="D4295">
            <v>206.27</v>
          </cell>
          <cell r="E4295">
            <v>215.17</v>
          </cell>
          <cell r="F4295">
            <v>229.72</v>
          </cell>
          <cell r="G4295">
            <v>194.15</v>
          </cell>
          <cell r="H4295">
            <v>3870.51</v>
          </cell>
          <cell r="I4295">
            <v>238.12</v>
          </cell>
        </row>
        <row r="4296">
          <cell r="A4296">
            <v>37841</v>
          </cell>
          <cell r="B4296">
            <v>2429.5</v>
          </cell>
          <cell r="C4296">
            <v>2460.14</v>
          </cell>
          <cell r="D4296">
            <v>208</v>
          </cell>
          <cell r="E4296">
            <v>216.81</v>
          </cell>
          <cell r="F4296">
            <v>231.28</v>
          </cell>
          <cell r="G4296">
            <v>195.91</v>
          </cell>
          <cell r="H4296">
            <v>3894.84</v>
          </cell>
          <cell r="I4296">
            <v>240.07</v>
          </cell>
        </row>
        <row r="4297">
          <cell r="A4297">
            <v>37844</v>
          </cell>
          <cell r="B4297">
            <v>2440.5100000000002</v>
          </cell>
          <cell r="C4297">
            <v>2479.06</v>
          </cell>
          <cell r="D4297">
            <v>208.58</v>
          </cell>
          <cell r="E4297">
            <v>217.99</v>
          </cell>
          <cell r="F4297">
            <v>232.02</v>
          </cell>
          <cell r="G4297">
            <v>195.99</v>
          </cell>
          <cell r="H4297">
            <v>3887.43</v>
          </cell>
          <cell r="I4297">
            <v>239.96</v>
          </cell>
        </row>
        <row r="4298">
          <cell r="A4298">
            <v>37845</v>
          </cell>
          <cell r="B4298">
            <v>2456.08</v>
          </cell>
          <cell r="C4298">
            <v>2496.58</v>
          </cell>
          <cell r="D4298">
            <v>209.93</v>
          </cell>
          <cell r="E4298">
            <v>219.47</v>
          </cell>
          <cell r="F4298">
            <v>233.83</v>
          </cell>
          <cell r="G4298">
            <v>197.21</v>
          </cell>
          <cell r="H4298">
            <v>3952.32</v>
          </cell>
          <cell r="I4298">
            <v>243.29</v>
          </cell>
        </row>
        <row r="4299">
          <cell r="A4299">
            <v>37846</v>
          </cell>
          <cell r="B4299">
            <v>2451.94</v>
          </cell>
          <cell r="C4299">
            <v>2497.7399999999998</v>
          </cell>
          <cell r="D4299">
            <v>210.3</v>
          </cell>
          <cell r="E4299">
            <v>219.84</v>
          </cell>
          <cell r="F4299">
            <v>234.15</v>
          </cell>
          <cell r="G4299">
            <v>197.57</v>
          </cell>
          <cell r="H4299">
            <v>4000.23</v>
          </cell>
          <cell r="I4299">
            <v>245.77</v>
          </cell>
        </row>
        <row r="4300">
          <cell r="A4300">
            <v>37847</v>
          </cell>
          <cell r="B4300">
            <v>2494.06</v>
          </cell>
          <cell r="C4300">
            <v>2544.0500000000002</v>
          </cell>
          <cell r="D4300">
            <v>213.13</v>
          </cell>
          <cell r="E4300">
            <v>223.05</v>
          </cell>
          <cell r="F4300">
            <v>237.2</v>
          </cell>
          <cell r="G4300">
            <v>200.03</v>
          </cell>
          <cell r="H4300">
            <v>4027.81</v>
          </cell>
          <cell r="I4300">
            <v>247.73</v>
          </cell>
        </row>
        <row r="4301">
          <cell r="A4301">
            <v>37848</v>
          </cell>
          <cell r="B4301">
            <v>2496.71</v>
          </cell>
          <cell r="C4301">
            <v>2548.86</v>
          </cell>
          <cell r="D4301">
            <v>213.52</v>
          </cell>
          <cell r="E4301">
            <v>223.46</v>
          </cell>
          <cell r="F4301">
            <v>237.99</v>
          </cell>
          <cell r="G4301">
            <v>200.39</v>
          </cell>
          <cell r="H4301">
            <v>4014.96</v>
          </cell>
          <cell r="I4301">
            <v>246.96</v>
          </cell>
        </row>
        <row r="4302">
          <cell r="A4302">
            <v>37851</v>
          </cell>
          <cell r="B4302">
            <v>2523.0100000000002</v>
          </cell>
          <cell r="C4302">
            <v>2574</v>
          </cell>
          <cell r="D4302">
            <v>215.64</v>
          </cell>
          <cell r="E4302">
            <v>225.54</v>
          </cell>
          <cell r="F4302">
            <v>239.96</v>
          </cell>
          <cell r="G4302">
            <v>202.49</v>
          </cell>
          <cell r="H4302">
            <v>4069.76</v>
          </cell>
          <cell r="I4302">
            <v>250.06</v>
          </cell>
        </row>
        <row r="4303">
          <cell r="A4303">
            <v>37852</v>
          </cell>
          <cell r="B4303">
            <v>2518.1</v>
          </cell>
          <cell r="C4303">
            <v>2579.19</v>
          </cell>
          <cell r="D4303">
            <v>216</v>
          </cell>
          <cell r="E4303">
            <v>226.35</v>
          </cell>
          <cell r="F4303">
            <v>241.05</v>
          </cell>
          <cell r="G4303">
            <v>202.48</v>
          </cell>
          <cell r="H4303">
            <v>4146.7700000000004</v>
          </cell>
          <cell r="I4303">
            <v>255.53</v>
          </cell>
        </row>
        <row r="4304">
          <cell r="A4304">
            <v>37853</v>
          </cell>
          <cell r="B4304">
            <v>2504.69</v>
          </cell>
          <cell r="C4304">
            <v>2562.65</v>
          </cell>
          <cell r="D4304">
            <v>215.26</v>
          </cell>
          <cell r="E4304">
            <v>225.36</v>
          </cell>
          <cell r="F4304">
            <v>240.24</v>
          </cell>
          <cell r="G4304">
            <v>201.96</v>
          </cell>
          <cell r="H4304">
            <v>4178.57</v>
          </cell>
          <cell r="I4304">
            <v>257.06</v>
          </cell>
        </row>
        <row r="4305">
          <cell r="A4305">
            <v>37854</v>
          </cell>
          <cell r="B4305">
            <v>2526.1999999999998</v>
          </cell>
          <cell r="C4305">
            <v>2583.91</v>
          </cell>
          <cell r="D4305">
            <v>217.46</v>
          </cell>
          <cell r="E4305">
            <v>227.64</v>
          </cell>
          <cell r="F4305">
            <v>242.73</v>
          </cell>
          <cell r="G4305">
            <v>204.03</v>
          </cell>
          <cell r="H4305">
            <v>4239.18</v>
          </cell>
          <cell r="I4305">
            <v>261.14999999999998</v>
          </cell>
        </row>
        <row r="4306">
          <cell r="A4306">
            <v>37855</v>
          </cell>
          <cell r="B4306">
            <v>2531.15</v>
          </cell>
          <cell r="C4306">
            <v>2593.5500000000002</v>
          </cell>
          <cell r="D4306">
            <v>218.15</v>
          </cell>
          <cell r="E4306">
            <v>228.55</v>
          </cell>
          <cell r="F4306">
            <v>243.73</v>
          </cell>
          <cell r="G4306">
            <v>204.54</v>
          </cell>
          <cell r="H4306">
            <v>4216.8599999999997</v>
          </cell>
          <cell r="I4306">
            <v>261.07</v>
          </cell>
        </row>
        <row r="4307">
          <cell r="A4307">
            <v>37858</v>
          </cell>
          <cell r="B4307">
            <v>2510.4899999999998</v>
          </cell>
          <cell r="C4307">
            <v>2565.0300000000002</v>
          </cell>
          <cell r="D4307">
            <v>216.53</v>
          </cell>
          <cell r="E4307">
            <v>226.32</v>
          </cell>
          <cell r="F4307">
            <v>241.18</v>
          </cell>
          <cell r="G4307">
            <v>203.45</v>
          </cell>
          <cell r="H4307">
            <v>4156.21</v>
          </cell>
          <cell r="I4307">
            <v>257.41000000000003</v>
          </cell>
        </row>
        <row r="4308">
          <cell r="A4308">
            <v>37859</v>
          </cell>
          <cell r="B4308">
            <v>2489.5300000000002</v>
          </cell>
          <cell r="C4308">
            <v>2537.14</v>
          </cell>
          <cell r="D4308">
            <v>214.64</v>
          </cell>
          <cell r="E4308">
            <v>224.07</v>
          </cell>
          <cell r="F4308">
            <v>239.24</v>
          </cell>
          <cell r="G4308">
            <v>201.89</v>
          </cell>
          <cell r="H4308">
            <v>4107.41</v>
          </cell>
          <cell r="I4308">
            <v>254.66</v>
          </cell>
        </row>
        <row r="4309">
          <cell r="A4309">
            <v>37860</v>
          </cell>
          <cell r="B4309">
            <v>2510.94</v>
          </cell>
          <cell r="C4309">
            <v>2560.7600000000002</v>
          </cell>
          <cell r="D4309">
            <v>216.17</v>
          </cell>
          <cell r="E4309">
            <v>225.94</v>
          </cell>
          <cell r="F4309">
            <v>240.94</v>
          </cell>
          <cell r="G4309">
            <v>203.12</v>
          </cell>
          <cell r="H4309">
            <v>4167.6499999999996</v>
          </cell>
          <cell r="I4309">
            <v>259.38</v>
          </cell>
        </row>
        <row r="4310">
          <cell r="A4310">
            <v>37861</v>
          </cell>
          <cell r="B4310">
            <v>2518.7600000000002</v>
          </cell>
          <cell r="C4310">
            <v>2575.9899999999998</v>
          </cell>
          <cell r="D4310">
            <v>216.99</v>
          </cell>
          <cell r="E4310">
            <v>227.26</v>
          </cell>
          <cell r="F4310">
            <v>242.28</v>
          </cell>
          <cell r="G4310">
            <v>203.51</v>
          </cell>
          <cell r="H4310">
            <v>4190.79</v>
          </cell>
          <cell r="I4310">
            <v>261.08999999999997</v>
          </cell>
        </row>
        <row r="4311">
          <cell r="A4311">
            <v>37862</v>
          </cell>
          <cell r="B4311">
            <v>2479.5700000000002</v>
          </cell>
          <cell r="C4311">
            <v>2556.71</v>
          </cell>
          <cell r="D4311">
            <v>214.7</v>
          </cell>
          <cell r="E4311">
            <v>226.36</v>
          </cell>
          <cell r="F4311">
            <v>241.03</v>
          </cell>
          <cell r="G4311">
            <v>200.16</v>
          </cell>
          <cell r="H4311">
            <v>4193.51</v>
          </cell>
          <cell r="I4311">
            <v>262.08999999999997</v>
          </cell>
        </row>
        <row r="4312">
          <cell r="A4312">
            <v>37865</v>
          </cell>
          <cell r="B4312">
            <v>2515.17</v>
          </cell>
          <cell r="C4312">
            <v>2600.9</v>
          </cell>
          <cell r="D4312">
            <v>217.68</v>
          </cell>
          <cell r="E4312">
            <v>229.93</v>
          </cell>
          <cell r="F4312">
            <v>245.03</v>
          </cell>
          <cell r="G4312">
            <v>202.58</v>
          </cell>
          <cell r="H4312">
            <v>4267.3500000000004</v>
          </cell>
          <cell r="I4312">
            <v>265.83</v>
          </cell>
        </row>
        <row r="4313">
          <cell r="A4313">
            <v>37866</v>
          </cell>
          <cell r="B4313">
            <v>2523.73</v>
          </cell>
          <cell r="C4313">
            <v>2599.8000000000002</v>
          </cell>
          <cell r="D4313">
            <v>218.66</v>
          </cell>
          <cell r="E4313">
            <v>229.87</v>
          </cell>
          <cell r="F4313">
            <v>244.92</v>
          </cell>
          <cell r="G4313">
            <v>204.39</v>
          </cell>
          <cell r="H4313">
            <v>4277.6000000000004</v>
          </cell>
          <cell r="I4313">
            <v>266.2</v>
          </cell>
        </row>
        <row r="4314">
          <cell r="A4314">
            <v>37867</v>
          </cell>
          <cell r="B4314">
            <v>2561.27</v>
          </cell>
          <cell r="C4314">
            <v>2641.55</v>
          </cell>
          <cell r="D4314">
            <v>222.15</v>
          </cell>
          <cell r="E4314">
            <v>233.73</v>
          </cell>
          <cell r="F4314">
            <v>249.23</v>
          </cell>
          <cell r="G4314">
            <v>207.49</v>
          </cell>
          <cell r="H4314">
            <v>4378.8599999999997</v>
          </cell>
          <cell r="I4314">
            <v>273.19</v>
          </cell>
        </row>
        <row r="4315">
          <cell r="A4315">
            <v>37868</v>
          </cell>
          <cell r="B4315">
            <v>2561.34</v>
          </cell>
          <cell r="C4315">
            <v>2638.8</v>
          </cell>
          <cell r="D4315">
            <v>221.59</v>
          </cell>
          <cell r="E4315">
            <v>233.36</v>
          </cell>
          <cell r="F4315">
            <v>248.87</v>
          </cell>
          <cell r="G4315">
            <v>206.79</v>
          </cell>
          <cell r="H4315">
            <v>4362.8999999999996</v>
          </cell>
          <cell r="I4315">
            <v>271.97000000000003</v>
          </cell>
        </row>
        <row r="4316">
          <cell r="A4316">
            <v>37869</v>
          </cell>
          <cell r="B4316">
            <v>2541.79</v>
          </cell>
          <cell r="C4316">
            <v>2614.81</v>
          </cell>
          <cell r="D4316">
            <v>220.17</v>
          </cell>
          <cell r="E4316">
            <v>231.83</v>
          </cell>
          <cell r="F4316">
            <v>247.71</v>
          </cell>
          <cell r="G4316">
            <v>205.49</v>
          </cell>
          <cell r="H4316">
            <v>4350.0600000000004</v>
          </cell>
          <cell r="I4316">
            <v>270.39999999999998</v>
          </cell>
        </row>
        <row r="4317">
          <cell r="A4317">
            <v>37872</v>
          </cell>
          <cell r="B4317">
            <v>2562.2199999999998</v>
          </cell>
          <cell r="C4317">
            <v>2635.6</v>
          </cell>
          <cell r="D4317">
            <v>221.42</v>
          </cell>
          <cell r="E4317">
            <v>233.44</v>
          </cell>
          <cell r="F4317">
            <v>249.18</v>
          </cell>
          <cell r="G4317">
            <v>206.43</v>
          </cell>
          <cell r="H4317">
            <v>4370.5600000000004</v>
          </cell>
          <cell r="I4317">
            <v>271.44</v>
          </cell>
        </row>
        <row r="4318">
          <cell r="A4318">
            <v>37873</v>
          </cell>
          <cell r="B4318">
            <v>2528.5300000000002</v>
          </cell>
          <cell r="C4318">
            <v>2604.08</v>
          </cell>
          <cell r="D4318">
            <v>218.47</v>
          </cell>
          <cell r="E4318">
            <v>230.6</v>
          </cell>
          <cell r="F4318">
            <v>246.2</v>
          </cell>
          <cell r="G4318">
            <v>203.46</v>
          </cell>
          <cell r="H4318">
            <v>4298.79</v>
          </cell>
          <cell r="I4318">
            <v>266.27</v>
          </cell>
        </row>
        <row r="4319">
          <cell r="A4319">
            <v>37874</v>
          </cell>
          <cell r="B4319">
            <v>2513.7800000000002</v>
          </cell>
          <cell r="C4319">
            <v>2565.52</v>
          </cell>
          <cell r="D4319">
            <v>216.72</v>
          </cell>
          <cell r="E4319">
            <v>227.24</v>
          </cell>
          <cell r="F4319">
            <v>243.11</v>
          </cell>
          <cell r="G4319">
            <v>203.05</v>
          </cell>
          <cell r="H4319">
            <v>4210.83</v>
          </cell>
          <cell r="I4319">
            <v>259.94</v>
          </cell>
        </row>
        <row r="4320">
          <cell r="A4320">
            <v>37875</v>
          </cell>
          <cell r="B4320">
            <v>2517.12</v>
          </cell>
          <cell r="C4320">
            <v>2572.7399999999998</v>
          </cell>
          <cell r="D4320">
            <v>217.29</v>
          </cell>
          <cell r="E4320">
            <v>228</v>
          </cell>
          <cell r="F4320">
            <v>243.96</v>
          </cell>
          <cell r="G4320">
            <v>203.44</v>
          </cell>
          <cell r="H4320">
            <v>4248.6400000000003</v>
          </cell>
          <cell r="I4320">
            <v>261.85000000000002</v>
          </cell>
        </row>
        <row r="4321">
          <cell r="A4321">
            <v>37876</v>
          </cell>
          <cell r="B4321">
            <v>2498.0700000000002</v>
          </cell>
          <cell r="C4321">
            <v>2546.7800000000002</v>
          </cell>
          <cell r="D4321">
            <v>216</v>
          </cell>
          <cell r="E4321">
            <v>226.17</v>
          </cell>
          <cell r="F4321">
            <v>242.32</v>
          </cell>
          <cell r="G4321">
            <v>202.63</v>
          </cell>
          <cell r="H4321">
            <v>4256.6400000000003</v>
          </cell>
          <cell r="I4321">
            <v>261.88</v>
          </cell>
        </row>
        <row r="4322">
          <cell r="A4322">
            <v>37879</v>
          </cell>
          <cell r="B4322">
            <v>2505.63</v>
          </cell>
          <cell r="C4322">
            <v>2555.64</v>
          </cell>
          <cell r="D4322">
            <v>216.76</v>
          </cell>
          <cell r="E4322">
            <v>227.01</v>
          </cell>
          <cell r="F4322">
            <v>243.16</v>
          </cell>
          <cell r="G4322">
            <v>203.3</v>
          </cell>
          <cell r="H4322">
            <v>4249.8599999999997</v>
          </cell>
          <cell r="I4322">
            <v>262.16000000000003</v>
          </cell>
        </row>
        <row r="4323">
          <cell r="A4323">
            <v>37880</v>
          </cell>
          <cell r="B4323">
            <v>2537.0100000000002</v>
          </cell>
          <cell r="C4323">
            <v>2585.2800000000002</v>
          </cell>
          <cell r="D4323">
            <v>219.13</v>
          </cell>
          <cell r="E4323">
            <v>229.44</v>
          </cell>
          <cell r="F4323">
            <v>245.72</v>
          </cell>
          <cell r="G4323">
            <v>205.57</v>
          </cell>
          <cell r="H4323">
            <v>4292.9399999999996</v>
          </cell>
          <cell r="I4323">
            <v>264.3</v>
          </cell>
        </row>
        <row r="4324">
          <cell r="A4324">
            <v>37881</v>
          </cell>
          <cell r="B4324">
            <v>2539.84</v>
          </cell>
          <cell r="C4324">
            <v>2586.81</v>
          </cell>
          <cell r="D4324">
            <v>219.74</v>
          </cell>
          <cell r="E4324">
            <v>230.03</v>
          </cell>
          <cell r="F4324">
            <v>246.44</v>
          </cell>
          <cell r="G4324">
            <v>206.18</v>
          </cell>
          <cell r="H4324">
            <v>4301.07</v>
          </cell>
          <cell r="I4324">
            <v>264.52</v>
          </cell>
        </row>
        <row r="4325">
          <cell r="A4325">
            <v>37882</v>
          </cell>
          <cell r="B4325">
            <v>2559.73</v>
          </cell>
          <cell r="C4325">
            <v>2608.58</v>
          </cell>
          <cell r="D4325">
            <v>221.44</v>
          </cell>
          <cell r="E4325">
            <v>231.47</v>
          </cell>
          <cell r="F4325">
            <v>247.69</v>
          </cell>
          <cell r="G4325">
            <v>208.05</v>
          </cell>
          <cell r="H4325">
            <v>4302.1899999999996</v>
          </cell>
          <cell r="I4325">
            <v>265.14999999999998</v>
          </cell>
        </row>
        <row r="4326">
          <cell r="A4326">
            <v>37883</v>
          </cell>
          <cell r="B4326">
            <v>2531.2600000000002</v>
          </cell>
          <cell r="C4326">
            <v>2582.4699999999998</v>
          </cell>
          <cell r="D4326">
            <v>219.39</v>
          </cell>
          <cell r="E4326">
            <v>229.49</v>
          </cell>
          <cell r="F4326">
            <v>245.68</v>
          </cell>
          <cell r="G4326">
            <v>206</v>
          </cell>
          <cell r="H4326">
            <v>4253.22</v>
          </cell>
          <cell r="I4326">
            <v>262.85000000000002</v>
          </cell>
        </row>
        <row r="4327">
          <cell r="A4327">
            <v>37886</v>
          </cell>
          <cell r="B4327">
            <v>2487.6</v>
          </cell>
          <cell r="C4327">
            <v>2514.11</v>
          </cell>
          <cell r="D4327">
            <v>215.61</v>
          </cell>
          <cell r="E4327">
            <v>224.01</v>
          </cell>
          <cell r="F4327">
            <v>239.87</v>
          </cell>
          <cell r="G4327">
            <v>203.67</v>
          </cell>
          <cell r="H4327">
            <v>4155.88</v>
          </cell>
          <cell r="I4327">
            <v>256.83999999999997</v>
          </cell>
        </row>
        <row r="4328">
          <cell r="A4328">
            <v>37887</v>
          </cell>
          <cell r="B4328">
            <v>2477.39</v>
          </cell>
          <cell r="C4328">
            <v>2493.0300000000002</v>
          </cell>
          <cell r="D4328">
            <v>214.83</v>
          </cell>
          <cell r="E4328">
            <v>222.52</v>
          </cell>
          <cell r="F4328">
            <v>238.41</v>
          </cell>
          <cell r="G4328">
            <v>203.48</v>
          </cell>
          <cell r="H4328">
            <v>4174.26</v>
          </cell>
          <cell r="I4328">
            <v>257.27999999999997</v>
          </cell>
        </row>
        <row r="4329">
          <cell r="A4329">
            <v>37888</v>
          </cell>
          <cell r="B4329">
            <v>2476.16</v>
          </cell>
          <cell r="C4329">
            <v>2477.34</v>
          </cell>
          <cell r="D4329">
            <v>214.77</v>
          </cell>
          <cell r="E4329">
            <v>221.26</v>
          </cell>
          <cell r="F4329">
            <v>237.54</v>
          </cell>
          <cell r="G4329">
            <v>204.4</v>
          </cell>
          <cell r="H4329">
            <v>4169.08</v>
          </cell>
          <cell r="I4329">
            <v>257.2</v>
          </cell>
        </row>
        <row r="4330">
          <cell r="A4330">
            <v>37889</v>
          </cell>
          <cell r="B4330">
            <v>2466.38</v>
          </cell>
          <cell r="C4330">
            <v>2465.13</v>
          </cell>
          <cell r="D4330">
            <v>213.21</v>
          </cell>
          <cell r="E4330">
            <v>219.88</v>
          </cell>
          <cell r="F4330">
            <v>235.88</v>
          </cell>
          <cell r="G4330">
            <v>202.72</v>
          </cell>
          <cell r="H4330">
            <v>4119.2</v>
          </cell>
          <cell r="I4330">
            <v>253.6</v>
          </cell>
        </row>
        <row r="4331">
          <cell r="A4331">
            <v>37890</v>
          </cell>
          <cell r="B4331">
            <v>2445.34</v>
          </cell>
          <cell r="C4331">
            <v>2447.92</v>
          </cell>
          <cell r="D4331">
            <v>211.67</v>
          </cell>
          <cell r="E4331">
            <v>218.53</v>
          </cell>
          <cell r="F4331">
            <v>234.62</v>
          </cell>
          <cell r="G4331">
            <v>201.06</v>
          </cell>
          <cell r="H4331">
            <v>4124.76</v>
          </cell>
          <cell r="I4331">
            <v>254.15</v>
          </cell>
        </row>
        <row r="4332">
          <cell r="A4332">
            <v>37893</v>
          </cell>
          <cell r="B4332">
            <v>2431.08</v>
          </cell>
          <cell r="C4332">
            <v>2440.12</v>
          </cell>
          <cell r="D4332">
            <v>210.45</v>
          </cell>
          <cell r="E4332">
            <v>217.79</v>
          </cell>
          <cell r="F4332">
            <v>233.75</v>
          </cell>
          <cell r="G4332">
            <v>199.5</v>
          </cell>
          <cell r="H4332">
            <v>4109.7299999999996</v>
          </cell>
          <cell r="I4332">
            <v>254.09</v>
          </cell>
        </row>
        <row r="4333">
          <cell r="A4333">
            <v>37894</v>
          </cell>
          <cell r="B4333">
            <v>2386.92</v>
          </cell>
          <cell r="C4333">
            <v>2395.87</v>
          </cell>
          <cell r="D4333">
            <v>206.86</v>
          </cell>
          <cell r="E4333">
            <v>214.34</v>
          </cell>
          <cell r="F4333">
            <v>230.09</v>
          </cell>
          <cell r="G4333">
            <v>195.86</v>
          </cell>
          <cell r="H4333">
            <v>4009.41</v>
          </cell>
          <cell r="I4333">
            <v>248.03</v>
          </cell>
        </row>
        <row r="4334">
          <cell r="A4334">
            <v>37895</v>
          </cell>
          <cell r="B4334">
            <v>2427.06</v>
          </cell>
          <cell r="C4334">
            <v>2439.25</v>
          </cell>
          <cell r="D4334">
            <v>209.76</v>
          </cell>
          <cell r="E4334">
            <v>217.59</v>
          </cell>
          <cell r="F4334">
            <v>233.07</v>
          </cell>
          <cell r="G4334">
            <v>198.43</v>
          </cell>
          <cell r="H4334">
            <v>4055.27</v>
          </cell>
          <cell r="I4334">
            <v>250.95</v>
          </cell>
        </row>
        <row r="4335">
          <cell r="A4335">
            <v>37896</v>
          </cell>
          <cell r="B4335">
            <v>2440.5300000000002</v>
          </cell>
          <cell r="C4335">
            <v>2434.63</v>
          </cell>
          <cell r="D4335">
            <v>210.91</v>
          </cell>
          <cell r="E4335">
            <v>217.47</v>
          </cell>
          <cell r="F4335">
            <v>233.2</v>
          </cell>
          <cell r="G4335">
            <v>200.57</v>
          </cell>
          <cell r="H4335">
            <v>4083.04</v>
          </cell>
          <cell r="I4335">
            <v>253.59</v>
          </cell>
        </row>
        <row r="4336">
          <cell r="A4336">
            <v>37897</v>
          </cell>
          <cell r="B4336">
            <v>2504.33</v>
          </cell>
          <cell r="C4336">
            <v>2516.48</v>
          </cell>
          <cell r="D4336">
            <v>216.13</v>
          </cell>
          <cell r="E4336">
            <v>223.86</v>
          </cell>
          <cell r="F4336">
            <v>239.61</v>
          </cell>
          <cell r="G4336">
            <v>204.72</v>
          </cell>
          <cell r="H4336">
            <v>4206.6499999999996</v>
          </cell>
          <cell r="I4336">
            <v>261.74</v>
          </cell>
        </row>
        <row r="4337">
          <cell r="A4337">
            <v>37900</v>
          </cell>
          <cell r="B4337">
            <v>2482.17</v>
          </cell>
          <cell r="C4337">
            <v>2497.1</v>
          </cell>
          <cell r="D4337">
            <v>215</v>
          </cell>
          <cell r="E4337">
            <v>222.81</v>
          </cell>
          <cell r="F4337">
            <v>238.61</v>
          </cell>
          <cell r="G4337">
            <v>203.56</v>
          </cell>
          <cell r="H4337">
            <v>4213.2700000000004</v>
          </cell>
          <cell r="I4337">
            <v>261.61</v>
          </cell>
        </row>
        <row r="4338">
          <cell r="A4338">
            <v>37901</v>
          </cell>
          <cell r="B4338">
            <v>2461.16</v>
          </cell>
          <cell r="C4338">
            <v>2476.61</v>
          </cell>
          <cell r="D4338">
            <v>213.2</v>
          </cell>
          <cell r="E4338">
            <v>221.14</v>
          </cell>
          <cell r="F4338">
            <v>236.85</v>
          </cell>
          <cell r="G4338">
            <v>201.7</v>
          </cell>
          <cell r="H4338">
            <v>4194.16</v>
          </cell>
          <cell r="I4338">
            <v>260.3</v>
          </cell>
        </row>
        <row r="4339">
          <cell r="A4339">
            <v>37902</v>
          </cell>
          <cell r="B4339">
            <v>2457.19</v>
          </cell>
          <cell r="C4339">
            <v>2473.88</v>
          </cell>
          <cell r="D4339">
            <v>213.19</v>
          </cell>
          <cell r="E4339">
            <v>221.63</v>
          </cell>
          <cell r="F4339">
            <v>237.44</v>
          </cell>
          <cell r="G4339">
            <v>201.28</v>
          </cell>
          <cell r="H4339">
            <v>4213.21</v>
          </cell>
          <cell r="I4339">
            <v>261.51</v>
          </cell>
        </row>
        <row r="4340">
          <cell r="A4340">
            <v>37903</v>
          </cell>
          <cell r="B4340">
            <v>2508.5700000000002</v>
          </cell>
          <cell r="C4340">
            <v>2531.37</v>
          </cell>
          <cell r="D4340">
            <v>217.34</v>
          </cell>
          <cell r="E4340">
            <v>226.03</v>
          </cell>
          <cell r="F4340">
            <v>241.83</v>
          </cell>
          <cell r="G4340">
            <v>205.12</v>
          </cell>
          <cell r="H4340">
            <v>4274.09</v>
          </cell>
          <cell r="I4340">
            <v>265.81</v>
          </cell>
        </row>
        <row r="4341">
          <cell r="A4341">
            <v>37904</v>
          </cell>
          <cell r="B4341">
            <v>2489.91</v>
          </cell>
          <cell r="C4341">
            <v>2518.44</v>
          </cell>
          <cell r="D4341">
            <v>216.07</v>
          </cell>
          <cell r="E4341">
            <v>225</v>
          </cell>
          <cell r="F4341">
            <v>240.72</v>
          </cell>
          <cell r="G4341">
            <v>203.7</v>
          </cell>
          <cell r="H4341">
            <v>4235.38</v>
          </cell>
          <cell r="I4341">
            <v>263.38</v>
          </cell>
        </row>
        <row r="4342">
          <cell r="A4342">
            <v>37907</v>
          </cell>
          <cell r="B4342">
            <v>2537.09</v>
          </cell>
          <cell r="C4342">
            <v>2563.4</v>
          </cell>
          <cell r="D4342">
            <v>219.88</v>
          </cell>
          <cell r="E4342">
            <v>228.44</v>
          </cell>
          <cell r="F4342">
            <v>244.34</v>
          </cell>
          <cell r="G4342">
            <v>207.71</v>
          </cell>
          <cell r="H4342">
            <v>4313.6400000000003</v>
          </cell>
          <cell r="I4342">
            <v>268.07</v>
          </cell>
        </row>
        <row r="4343">
          <cell r="A4343">
            <v>37908</v>
          </cell>
          <cell r="B4343">
            <v>2527</v>
          </cell>
          <cell r="C4343">
            <v>2552.38</v>
          </cell>
          <cell r="D4343">
            <v>219.23</v>
          </cell>
          <cell r="E4343">
            <v>227.66</v>
          </cell>
          <cell r="F4343">
            <v>243.84</v>
          </cell>
          <cell r="G4343">
            <v>207.18</v>
          </cell>
          <cell r="H4343">
            <v>4334.87</v>
          </cell>
          <cell r="I4343">
            <v>268.5</v>
          </cell>
        </row>
        <row r="4344">
          <cell r="A4344">
            <v>37909</v>
          </cell>
          <cell r="B4344">
            <v>2542.52</v>
          </cell>
          <cell r="C4344">
            <v>2571.41</v>
          </cell>
          <cell r="D4344">
            <v>221.37</v>
          </cell>
          <cell r="E4344">
            <v>229.71</v>
          </cell>
          <cell r="F4344">
            <v>245.67</v>
          </cell>
          <cell r="G4344">
            <v>209.34</v>
          </cell>
          <cell r="H4344">
            <v>4386.59</v>
          </cell>
          <cell r="I4344">
            <v>271.64999999999998</v>
          </cell>
        </row>
        <row r="4345">
          <cell r="A4345">
            <v>37910</v>
          </cell>
          <cell r="B4345">
            <v>2535.1799999999998</v>
          </cell>
          <cell r="C4345">
            <v>2557.8000000000002</v>
          </cell>
          <cell r="D4345">
            <v>220.7</v>
          </cell>
          <cell r="E4345">
            <v>228.69</v>
          </cell>
          <cell r="F4345">
            <v>244.69</v>
          </cell>
          <cell r="G4345">
            <v>208.97</v>
          </cell>
          <cell r="H4345">
            <v>4322.6099999999997</v>
          </cell>
          <cell r="I4345">
            <v>267.33999999999997</v>
          </cell>
        </row>
        <row r="4346">
          <cell r="A4346">
            <v>37911</v>
          </cell>
          <cell r="B4346">
            <v>2528.1799999999998</v>
          </cell>
          <cell r="C4346">
            <v>2550.8200000000002</v>
          </cell>
          <cell r="D4346">
            <v>220.13</v>
          </cell>
          <cell r="E4346">
            <v>227.97</v>
          </cell>
          <cell r="F4346">
            <v>243.89</v>
          </cell>
          <cell r="G4346">
            <v>208.54</v>
          </cell>
          <cell r="H4346">
            <v>4325.1899999999996</v>
          </cell>
          <cell r="I4346">
            <v>268.8</v>
          </cell>
        </row>
        <row r="4347">
          <cell r="A4347">
            <v>37914</v>
          </cell>
          <cell r="B4347">
            <v>2529.52</v>
          </cell>
          <cell r="C4347">
            <v>2552.1799999999998</v>
          </cell>
          <cell r="D4347">
            <v>220.04</v>
          </cell>
          <cell r="E4347">
            <v>228.08</v>
          </cell>
          <cell r="F4347">
            <v>244.03</v>
          </cell>
          <cell r="G4347">
            <v>208.28</v>
          </cell>
          <cell r="H4347">
            <v>4308.2700000000004</v>
          </cell>
          <cell r="I4347">
            <v>267.54000000000002</v>
          </cell>
        </row>
        <row r="4348">
          <cell r="A4348">
            <v>37915</v>
          </cell>
          <cell r="B4348">
            <v>2532.77</v>
          </cell>
          <cell r="C4348">
            <v>2560.14</v>
          </cell>
          <cell r="D4348">
            <v>220.31</v>
          </cell>
          <cell r="E4348">
            <v>228.72</v>
          </cell>
          <cell r="F4348">
            <v>244.4</v>
          </cell>
          <cell r="G4348">
            <v>208.25</v>
          </cell>
          <cell r="H4348">
            <v>4295.79</v>
          </cell>
          <cell r="I4348">
            <v>267.92</v>
          </cell>
        </row>
        <row r="4349">
          <cell r="A4349">
            <v>37916</v>
          </cell>
          <cell r="B4349">
            <v>2489.46</v>
          </cell>
          <cell r="C4349">
            <v>2509.9699999999998</v>
          </cell>
          <cell r="D4349">
            <v>216.59</v>
          </cell>
          <cell r="E4349">
            <v>224.78</v>
          </cell>
          <cell r="F4349">
            <v>240.27</v>
          </cell>
          <cell r="G4349">
            <v>204.8</v>
          </cell>
          <cell r="H4349">
            <v>4206.71</v>
          </cell>
          <cell r="I4349">
            <v>263.05</v>
          </cell>
        </row>
        <row r="4350">
          <cell r="A4350">
            <v>37917</v>
          </cell>
          <cell r="B4350">
            <v>2468.25</v>
          </cell>
          <cell r="C4350">
            <v>2489.0700000000002</v>
          </cell>
          <cell r="D4350">
            <v>215.02</v>
          </cell>
          <cell r="E4350">
            <v>223.05</v>
          </cell>
          <cell r="F4350">
            <v>238.51</v>
          </cell>
          <cell r="G4350">
            <v>203.39</v>
          </cell>
          <cell r="H4350">
            <v>4218.21</v>
          </cell>
          <cell r="I4350">
            <v>262.7</v>
          </cell>
        </row>
        <row r="4351">
          <cell r="A4351">
            <v>37918</v>
          </cell>
          <cell r="B4351">
            <v>2461.65</v>
          </cell>
          <cell r="C4351">
            <v>2482.56</v>
          </cell>
          <cell r="D4351">
            <v>214.66</v>
          </cell>
          <cell r="E4351">
            <v>222.5</v>
          </cell>
          <cell r="F4351">
            <v>238.28</v>
          </cell>
          <cell r="G4351">
            <v>203.2</v>
          </cell>
          <cell r="H4351">
            <v>4242.21</v>
          </cell>
          <cell r="I4351">
            <v>264.26</v>
          </cell>
        </row>
        <row r="4352">
          <cell r="A4352">
            <v>37921</v>
          </cell>
          <cell r="B4352">
            <v>2484.02</v>
          </cell>
          <cell r="C4352">
            <v>2512.3200000000002</v>
          </cell>
          <cell r="D4352">
            <v>216.61</v>
          </cell>
          <cell r="E4352">
            <v>224.86</v>
          </cell>
          <cell r="F4352">
            <v>240.62</v>
          </cell>
          <cell r="G4352">
            <v>204.77</v>
          </cell>
          <cell r="H4352">
            <v>4282.09</v>
          </cell>
          <cell r="I4352">
            <v>265.82</v>
          </cell>
        </row>
        <row r="4353">
          <cell r="A4353">
            <v>37922</v>
          </cell>
          <cell r="B4353">
            <v>2507.64</v>
          </cell>
          <cell r="C4353">
            <v>2542.6999999999998</v>
          </cell>
          <cell r="D4353">
            <v>218.93</v>
          </cell>
          <cell r="E4353">
            <v>227.47</v>
          </cell>
          <cell r="F4353">
            <v>243.05</v>
          </cell>
          <cell r="G4353">
            <v>206.81</v>
          </cell>
          <cell r="H4353">
            <v>4337.3999999999996</v>
          </cell>
          <cell r="I4353">
            <v>269.51</v>
          </cell>
        </row>
        <row r="4354">
          <cell r="A4354">
            <v>37923</v>
          </cell>
          <cell r="B4354">
            <v>2515.7600000000002</v>
          </cell>
          <cell r="C4354">
            <v>2556.16</v>
          </cell>
          <cell r="D4354">
            <v>219.72</v>
          </cell>
          <cell r="E4354">
            <v>228.72</v>
          </cell>
          <cell r="F4354">
            <v>244.12</v>
          </cell>
          <cell r="G4354">
            <v>207.2</v>
          </cell>
          <cell r="H4354">
            <v>4362.41</v>
          </cell>
          <cell r="I4354">
            <v>271.57</v>
          </cell>
        </row>
        <row r="4355">
          <cell r="A4355">
            <v>37924</v>
          </cell>
          <cell r="B4355">
            <v>2534.69</v>
          </cell>
          <cell r="C4355">
            <v>2571.5100000000002</v>
          </cell>
          <cell r="D4355">
            <v>221.44</v>
          </cell>
          <cell r="E4355">
            <v>230.26</v>
          </cell>
          <cell r="F4355">
            <v>245.84</v>
          </cell>
          <cell r="G4355">
            <v>209.02</v>
          </cell>
          <cell r="H4355">
            <v>4369.7700000000004</v>
          </cell>
          <cell r="I4355">
            <v>272.20999999999998</v>
          </cell>
        </row>
        <row r="4356">
          <cell r="A4356">
            <v>37925</v>
          </cell>
          <cell r="B4356">
            <v>2537.84</v>
          </cell>
          <cell r="C4356">
            <v>2575.04</v>
          </cell>
          <cell r="D4356">
            <v>221.53</v>
          </cell>
          <cell r="E4356">
            <v>230.69</v>
          </cell>
          <cell r="F4356">
            <v>245.9</v>
          </cell>
          <cell r="G4356">
            <v>208.84</v>
          </cell>
          <cell r="H4356">
            <v>4340.28</v>
          </cell>
          <cell r="I4356">
            <v>270.97000000000003</v>
          </cell>
        </row>
        <row r="4357">
          <cell r="A4357">
            <v>37928</v>
          </cell>
          <cell r="B4357">
            <v>2581.46</v>
          </cell>
          <cell r="C4357">
            <v>2631.65</v>
          </cell>
          <cell r="D4357">
            <v>225</v>
          </cell>
          <cell r="E4357">
            <v>235.17</v>
          </cell>
          <cell r="F4357">
            <v>250.41</v>
          </cell>
          <cell r="G4357">
            <v>211.41</v>
          </cell>
          <cell r="H4357">
            <v>4406.33</v>
          </cell>
          <cell r="I4357">
            <v>275.39</v>
          </cell>
        </row>
        <row r="4358">
          <cell r="A4358">
            <v>37929</v>
          </cell>
          <cell r="B4358">
            <v>2567.2600000000002</v>
          </cell>
          <cell r="C4358">
            <v>2627.32</v>
          </cell>
          <cell r="D4358">
            <v>224.02</v>
          </cell>
          <cell r="E4358">
            <v>234.67</v>
          </cell>
          <cell r="F4358">
            <v>249.36</v>
          </cell>
          <cell r="G4358">
            <v>210.07</v>
          </cell>
          <cell r="H4358">
            <v>4395.34</v>
          </cell>
          <cell r="I4358">
            <v>274.67</v>
          </cell>
        </row>
        <row r="4359">
          <cell r="A4359">
            <v>37930</v>
          </cell>
          <cell r="B4359">
            <v>2553.35</v>
          </cell>
          <cell r="C4359">
            <v>2609.9</v>
          </cell>
          <cell r="D4359">
            <v>222.75</v>
          </cell>
          <cell r="E4359">
            <v>233.15</v>
          </cell>
          <cell r="F4359">
            <v>247.43</v>
          </cell>
          <cell r="G4359">
            <v>209.02</v>
          </cell>
          <cell r="H4359">
            <v>4335.8</v>
          </cell>
          <cell r="I4359">
            <v>270.95999999999998</v>
          </cell>
        </row>
        <row r="4360">
          <cell r="A4360">
            <v>37931</v>
          </cell>
          <cell r="B4360">
            <v>2568.37</v>
          </cell>
          <cell r="C4360">
            <v>2626.68</v>
          </cell>
          <cell r="D4360">
            <v>223.78</v>
          </cell>
          <cell r="E4360">
            <v>234.53</v>
          </cell>
          <cell r="F4360">
            <v>248.92</v>
          </cell>
          <cell r="G4360">
            <v>209.75</v>
          </cell>
          <cell r="H4360">
            <v>4377.71</v>
          </cell>
          <cell r="I4360">
            <v>274.72000000000003</v>
          </cell>
        </row>
        <row r="4361">
          <cell r="A4361">
            <v>37932</v>
          </cell>
          <cell r="B4361">
            <v>2592.91</v>
          </cell>
          <cell r="C4361">
            <v>2657.6</v>
          </cell>
          <cell r="D4361">
            <v>225.97</v>
          </cell>
          <cell r="E4361">
            <v>237.06</v>
          </cell>
          <cell r="F4361">
            <v>251.69</v>
          </cell>
          <cell r="G4361">
            <v>211.62</v>
          </cell>
          <cell r="H4361">
            <v>4442.96</v>
          </cell>
          <cell r="I4361">
            <v>278.52999999999997</v>
          </cell>
        </row>
        <row r="4362">
          <cell r="A4362">
            <v>37935</v>
          </cell>
          <cell r="B4362">
            <v>2565.6999999999998</v>
          </cell>
          <cell r="C4362">
            <v>2633.07</v>
          </cell>
          <cell r="D4362">
            <v>224.11</v>
          </cell>
          <cell r="E4362">
            <v>235.31</v>
          </cell>
          <cell r="F4362">
            <v>249.66</v>
          </cell>
          <cell r="G4362">
            <v>209.71</v>
          </cell>
          <cell r="H4362">
            <v>4423.1400000000003</v>
          </cell>
          <cell r="I4362">
            <v>276.51</v>
          </cell>
        </row>
        <row r="4363">
          <cell r="A4363">
            <v>37936</v>
          </cell>
          <cell r="B4363">
            <v>2560.1</v>
          </cell>
          <cell r="C4363">
            <v>2618.9</v>
          </cell>
          <cell r="D4363">
            <v>223.06</v>
          </cell>
          <cell r="E4363">
            <v>233.95</v>
          </cell>
          <cell r="F4363">
            <v>248.6</v>
          </cell>
          <cell r="G4363">
            <v>208.94</v>
          </cell>
          <cell r="H4363">
            <v>4368.16</v>
          </cell>
          <cell r="I4363">
            <v>273.33</v>
          </cell>
        </row>
        <row r="4364">
          <cell r="A4364">
            <v>37937</v>
          </cell>
          <cell r="B4364">
            <v>2566.41</v>
          </cell>
          <cell r="C4364">
            <v>2627.15</v>
          </cell>
          <cell r="D4364">
            <v>223.72</v>
          </cell>
          <cell r="E4364">
            <v>234.69</v>
          </cell>
          <cell r="F4364">
            <v>249.4</v>
          </cell>
          <cell r="G4364">
            <v>209.52</v>
          </cell>
          <cell r="H4364">
            <v>4413.4799999999996</v>
          </cell>
          <cell r="I4364">
            <v>276.27</v>
          </cell>
        </row>
        <row r="4365">
          <cell r="A4365">
            <v>37938</v>
          </cell>
          <cell r="B4365">
            <v>2575.8000000000002</v>
          </cell>
          <cell r="C4365">
            <v>2636.78</v>
          </cell>
          <cell r="D4365">
            <v>224.33</v>
          </cell>
          <cell r="E4365">
            <v>235.52</v>
          </cell>
          <cell r="F4365">
            <v>250.54</v>
          </cell>
          <cell r="G4365">
            <v>209.93</v>
          </cell>
          <cell r="H4365">
            <v>4463.21</v>
          </cell>
          <cell r="I4365">
            <v>278.99</v>
          </cell>
        </row>
        <row r="4366">
          <cell r="A4366">
            <v>37939</v>
          </cell>
          <cell r="B4366">
            <v>2590.48</v>
          </cell>
          <cell r="C4366">
            <v>2656.94</v>
          </cell>
          <cell r="D4366">
            <v>225.28</v>
          </cell>
          <cell r="E4366">
            <v>236.99</v>
          </cell>
          <cell r="F4366">
            <v>252.37</v>
          </cell>
          <cell r="G4366">
            <v>210.45</v>
          </cell>
          <cell r="H4366">
            <v>4495.57</v>
          </cell>
          <cell r="I4366">
            <v>280.07</v>
          </cell>
        </row>
        <row r="4367">
          <cell r="A4367">
            <v>37942</v>
          </cell>
          <cell r="B4367">
            <v>2541.1</v>
          </cell>
          <cell r="C4367">
            <v>2586.0500000000002</v>
          </cell>
          <cell r="D4367">
            <v>221.17</v>
          </cell>
          <cell r="E4367">
            <v>231.24</v>
          </cell>
          <cell r="F4367">
            <v>246.84</v>
          </cell>
          <cell r="G4367">
            <v>207.75</v>
          </cell>
          <cell r="H4367">
            <v>4395.7299999999996</v>
          </cell>
          <cell r="I4367">
            <v>273.99</v>
          </cell>
        </row>
        <row r="4368">
          <cell r="A4368">
            <v>37943</v>
          </cell>
          <cell r="B4368">
            <v>2540.85</v>
          </cell>
          <cell r="C4368">
            <v>2584.0500000000002</v>
          </cell>
          <cell r="D4368">
            <v>220.96</v>
          </cell>
          <cell r="E4368">
            <v>231.04</v>
          </cell>
          <cell r="F4368">
            <v>246.42</v>
          </cell>
          <cell r="G4368">
            <v>207.55</v>
          </cell>
          <cell r="H4368">
            <v>4377.01</v>
          </cell>
          <cell r="I4368">
            <v>273.36</v>
          </cell>
        </row>
        <row r="4369">
          <cell r="A4369">
            <v>37944</v>
          </cell>
          <cell r="B4369">
            <v>2518.52</v>
          </cell>
          <cell r="C4369">
            <v>2574.66</v>
          </cell>
          <cell r="D4369">
            <v>219.6</v>
          </cell>
          <cell r="E4369">
            <v>230.24</v>
          </cell>
          <cell r="F4369">
            <v>245.27</v>
          </cell>
          <cell r="G4369">
            <v>205.77</v>
          </cell>
          <cell r="H4369">
            <v>4322.59</v>
          </cell>
          <cell r="I4369">
            <v>270.08</v>
          </cell>
        </row>
        <row r="4370">
          <cell r="A4370">
            <v>37945</v>
          </cell>
          <cell r="B4370">
            <v>2517.38</v>
          </cell>
          <cell r="C4370">
            <v>2568.71</v>
          </cell>
          <cell r="D4370">
            <v>219.16</v>
          </cell>
          <cell r="E4370">
            <v>229.54</v>
          </cell>
          <cell r="F4370">
            <v>244.71</v>
          </cell>
          <cell r="G4370">
            <v>205.55</v>
          </cell>
          <cell r="H4370">
            <v>4308.67</v>
          </cell>
          <cell r="I4370">
            <v>270</v>
          </cell>
        </row>
        <row r="4371">
          <cell r="A4371">
            <v>37946</v>
          </cell>
          <cell r="B4371">
            <v>2525.0700000000002</v>
          </cell>
          <cell r="C4371">
            <v>2578.2399999999998</v>
          </cell>
          <cell r="D4371">
            <v>219.76</v>
          </cell>
          <cell r="E4371">
            <v>230.41</v>
          </cell>
          <cell r="F4371">
            <v>245.56</v>
          </cell>
          <cell r="G4371">
            <v>205.92</v>
          </cell>
          <cell r="H4371">
            <v>4315.43</v>
          </cell>
          <cell r="I4371">
            <v>270.24</v>
          </cell>
        </row>
        <row r="4372">
          <cell r="A4372">
            <v>37949</v>
          </cell>
          <cell r="B4372">
            <v>2581.56</v>
          </cell>
          <cell r="C4372">
            <v>2632.25</v>
          </cell>
          <cell r="D4372">
            <v>224.02</v>
          </cell>
          <cell r="E4372">
            <v>234.72</v>
          </cell>
          <cell r="F4372">
            <v>249.88</v>
          </cell>
          <cell r="G4372">
            <v>210.02</v>
          </cell>
          <cell r="H4372">
            <v>4389.4399999999996</v>
          </cell>
          <cell r="I4372">
            <v>275.93</v>
          </cell>
        </row>
        <row r="4373">
          <cell r="A4373">
            <v>37950</v>
          </cell>
          <cell r="B4373">
            <v>2578.63</v>
          </cell>
          <cell r="C4373">
            <v>2625.31</v>
          </cell>
          <cell r="D4373">
            <v>224.14</v>
          </cell>
          <cell r="E4373">
            <v>234.85</v>
          </cell>
          <cell r="F4373">
            <v>249.97</v>
          </cell>
          <cell r="G4373">
            <v>210.13</v>
          </cell>
          <cell r="H4373">
            <v>4363.78</v>
          </cell>
          <cell r="I4373">
            <v>273.97000000000003</v>
          </cell>
        </row>
        <row r="4374">
          <cell r="A4374">
            <v>37951</v>
          </cell>
          <cell r="B4374">
            <v>2564.98</v>
          </cell>
          <cell r="C4374">
            <v>2619.56</v>
          </cell>
          <cell r="D4374">
            <v>223.22</v>
          </cell>
          <cell r="E4374">
            <v>234.36</v>
          </cell>
          <cell r="F4374">
            <v>249.46</v>
          </cell>
          <cell r="G4374">
            <v>208.89</v>
          </cell>
          <cell r="H4374">
            <v>4328.37</v>
          </cell>
          <cell r="I4374">
            <v>272.27</v>
          </cell>
        </row>
        <row r="4375">
          <cell r="A4375">
            <v>37952</v>
          </cell>
          <cell r="B4375">
            <v>2578.31</v>
          </cell>
          <cell r="C4375">
            <v>2635.89</v>
          </cell>
          <cell r="D4375">
            <v>224.3</v>
          </cell>
          <cell r="E4375">
            <v>235.74</v>
          </cell>
          <cell r="F4375">
            <v>250.94</v>
          </cell>
          <cell r="G4375">
            <v>209.71</v>
          </cell>
          <cell r="H4375">
            <v>4374.24</v>
          </cell>
          <cell r="I4375">
            <v>274.8</v>
          </cell>
        </row>
        <row r="4376">
          <cell r="A4376">
            <v>37953</v>
          </cell>
          <cell r="B4376">
            <v>2567.13</v>
          </cell>
          <cell r="C4376">
            <v>2630.47</v>
          </cell>
          <cell r="D4376">
            <v>223.3</v>
          </cell>
          <cell r="E4376">
            <v>235.26</v>
          </cell>
          <cell r="F4376">
            <v>250.37</v>
          </cell>
          <cell r="G4376">
            <v>208.31</v>
          </cell>
          <cell r="H4376">
            <v>4335.09</v>
          </cell>
          <cell r="I4376">
            <v>272.51</v>
          </cell>
        </row>
        <row r="4377">
          <cell r="A4377">
            <v>37956</v>
          </cell>
          <cell r="B4377">
            <v>2611.4499999999998</v>
          </cell>
          <cell r="C4377">
            <v>2674.62</v>
          </cell>
          <cell r="D4377">
            <v>226.79</v>
          </cell>
          <cell r="E4377">
            <v>238.84</v>
          </cell>
          <cell r="F4377">
            <v>253.87</v>
          </cell>
          <cell r="G4377">
            <v>211.64</v>
          </cell>
          <cell r="H4377">
            <v>4376.1000000000004</v>
          </cell>
          <cell r="I4377">
            <v>274.49</v>
          </cell>
        </row>
        <row r="4378">
          <cell r="A4378">
            <v>37957</v>
          </cell>
          <cell r="B4378">
            <v>2593.4499999999998</v>
          </cell>
          <cell r="C4378">
            <v>2666.97</v>
          </cell>
          <cell r="D4378">
            <v>225.61</v>
          </cell>
          <cell r="E4378">
            <v>238.39</v>
          </cell>
          <cell r="F4378">
            <v>253.58</v>
          </cell>
          <cell r="G4378">
            <v>209.9</v>
          </cell>
          <cell r="H4378">
            <v>4394.5200000000004</v>
          </cell>
          <cell r="I4378">
            <v>275.48</v>
          </cell>
        </row>
        <row r="4379">
          <cell r="A4379">
            <v>37958</v>
          </cell>
          <cell r="B4379">
            <v>2608.44</v>
          </cell>
          <cell r="C4379">
            <v>2694.01</v>
          </cell>
          <cell r="D4379">
            <v>226.75</v>
          </cell>
          <cell r="E4379">
            <v>240.34</v>
          </cell>
          <cell r="F4379">
            <v>255.58</v>
          </cell>
          <cell r="G4379">
            <v>210.36</v>
          </cell>
          <cell r="H4379">
            <v>4409.37</v>
          </cell>
          <cell r="I4379">
            <v>276.39</v>
          </cell>
        </row>
        <row r="4380">
          <cell r="A4380">
            <v>37959</v>
          </cell>
          <cell r="B4380">
            <v>2601.87</v>
          </cell>
          <cell r="C4380">
            <v>2693.43</v>
          </cell>
          <cell r="D4380">
            <v>226.44</v>
          </cell>
          <cell r="E4380">
            <v>240.34</v>
          </cell>
          <cell r="F4380">
            <v>255.57</v>
          </cell>
          <cell r="G4380">
            <v>209.81</v>
          </cell>
          <cell r="H4380">
            <v>4435.99</v>
          </cell>
          <cell r="I4380">
            <v>278.33</v>
          </cell>
        </row>
        <row r="4381">
          <cell r="A4381">
            <v>37960</v>
          </cell>
          <cell r="B4381">
            <v>2584.91</v>
          </cell>
          <cell r="C4381">
            <v>2672.02</v>
          </cell>
          <cell r="D4381">
            <v>224.89</v>
          </cell>
          <cell r="E4381">
            <v>238.47</v>
          </cell>
          <cell r="F4381">
            <v>253.67</v>
          </cell>
          <cell r="G4381">
            <v>208.55</v>
          </cell>
          <cell r="H4381">
            <v>4414.24</v>
          </cell>
          <cell r="I4381">
            <v>276.3</v>
          </cell>
        </row>
        <row r="4382">
          <cell r="A4382">
            <v>37963</v>
          </cell>
          <cell r="B4382">
            <v>2572.6999999999998</v>
          </cell>
          <cell r="C4382">
            <v>2651.41</v>
          </cell>
          <cell r="D4382">
            <v>223.86</v>
          </cell>
          <cell r="E4382">
            <v>236.98</v>
          </cell>
          <cell r="F4382">
            <v>252.42</v>
          </cell>
          <cell r="G4382">
            <v>207.92</v>
          </cell>
          <cell r="H4382">
            <v>4382.6000000000004</v>
          </cell>
          <cell r="I4382">
            <v>273.77</v>
          </cell>
        </row>
        <row r="4383">
          <cell r="A4383">
            <v>37964</v>
          </cell>
          <cell r="B4383">
            <v>2597.8200000000002</v>
          </cell>
          <cell r="C4383">
            <v>2672.62</v>
          </cell>
          <cell r="D4383">
            <v>225.49</v>
          </cell>
          <cell r="E4383">
            <v>238.28</v>
          </cell>
          <cell r="F4383">
            <v>253.74</v>
          </cell>
          <cell r="G4383">
            <v>209.78</v>
          </cell>
          <cell r="H4383">
            <v>4390.67</v>
          </cell>
          <cell r="I4383">
            <v>274.08</v>
          </cell>
        </row>
        <row r="4384">
          <cell r="A4384">
            <v>37965</v>
          </cell>
          <cell r="B4384">
            <v>2579.56</v>
          </cell>
          <cell r="C4384">
            <v>2660.73</v>
          </cell>
          <cell r="D4384">
            <v>223.67</v>
          </cell>
          <cell r="E4384">
            <v>236.77</v>
          </cell>
          <cell r="F4384">
            <v>252.07</v>
          </cell>
          <cell r="G4384">
            <v>207.76</v>
          </cell>
          <cell r="H4384">
            <v>4356.87</v>
          </cell>
          <cell r="I4384">
            <v>271.83</v>
          </cell>
        </row>
        <row r="4385">
          <cell r="A4385">
            <v>37966</v>
          </cell>
          <cell r="B4385">
            <v>2597.88</v>
          </cell>
          <cell r="C4385">
            <v>2684.71</v>
          </cell>
          <cell r="D4385">
            <v>224.96</v>
          </cell>
          <cell r="E4385">
            <v>238.48</v>
          </cell>
          <cell r="F4385">
            <v>253.77</v>
          </cell>
          <cell r="G4385">
            <v>208.66</v>
          </cell>
          <cell r="H4385">
            <v>4352.53</v>
          </cell>
          <cell r="I4385">
            <v>272.02</v>
          </cell>
        </row>
        <row r="4386">
          <cell r="A4386">
            <v>37967</v>
          </cell>
          <cell r="B4386">
            <v>2593.56</v>
          </cell>
          <cell r="C4386">
            <v>2685.39</v>
          </cell>
          <cell r="D4386">
            <v>224.67</v>
          </cell>
          <cell r="E4386">
            <v>238.48</v>
          </cell>
          <cell r="F4386">
            <v>253.81</v>
          </cell>
          <cell r="G4386">
            <v>208.15</v>
          </cell>
          <cell r="H4386">
            <v>4365.7299999999996</v>
          </cell>
          <cell r="I4386">
            <v>272.36</v>
          </cell>
        </row>
        <row r="4387">
          <cell r="A4387">
            <v>37970</v>
          </cell>
          <cell r="B4387">
            <v>2595.7800000000002</v>
          </cell>
          <cell r="C4387">
            <v>2698.77</v>
          </cell>
          <cell r="D4387">
            <v>225.05</v>
          </cell>
          <cell r="E4387">
            <v>239.46</v>
          </cell>
          <cell r="F4387">
            <v>254.8</v>
          </cell>
          <cell r="G4387">
            <v>208.04</v>
          </cell>
          <cell r="H4387">
            <v>4376.57</v>
          </cell>
          <cell r="I4387">
            <v>273.13</v>
          </cell>
        </row>
        <row r="4388">
          <cell r="A4388">
            <v>37971</v>
          </cell>
          <cell r="B4388">
            <v>2585.88</v>
          </cell>
          <cell r="C4388">
            <v>2697.14</v>
          </cell>
          <cell r="D4388">
            <v>223.96</v>
          </cell>
          <cell r="E4388">
            <v>238.71</v>
          </cell>
          <cell r="F4388">
            <v>253.65</v>
          </cell>
          <cell r="G4388">
            <v>206.7</v>
          </cell>
          <cell r="H4388">
            <v>4309.21</v>
          </cell>
          <cell r="I4388">
            <v>268.52</v>
          </cell>
        </row>
        <row r="4389">
          <cell r="A4389">
            <v>37972</v>
          </cell>
          <cell r="B4389">
            <v>2590.94</v>
          </cell>
          <cell r="C4389">
            <v>2692.26</v>
          </cell>
          <cell r="D4389">
            <v>224.1</v>
          </cell>
          <cell r="E4389">
            <v>238.28</v>
          </cell>
          <cell r="F4389">
            <v>252.86</v>
          </cell>
          <cell r="G4389">
            <v>207.3</v>
          </cell>
          <cell r="H4389">
            <v>4247.84</v>
          </cell>
          <cell r="I4389">
            <v>265.08</v>
          </cell>
        </row>
        <row r="4390">
          <cell r="A4390">
            <v>37973</v>
          </cell>
          <cell r="B4390">
            <v>2622.25</v>
          </cell>
          <cell r="C4390">
            <v>2714.73</v>
          </cell>
          <cell r="D4390">
            <v>226.22</v>
          </cell>
          <cell r="E4390">
            <v>239.89</v>
          </cell>
          <cell r="F4390">
            <v>254.68</v>
          </cell>
          <cell r="G4390">
            <v>209.78</v>
          </cell>
          <cell r="H4390">
            <v>4261.7</v>
          </cell>
          <cell r="I4390">
            <v>265.91000000000003</v>
          </cell>
        </row>
        <row r="4391">
          <cell r="A4391">
            <v>37974</v>
          </cell>
          <cell r="B4391">
            <v>2630.95</v>
          </cell>
          <cell r="C4391">
            <v>2725.26</v>
          </cell>
          <cell r="D4391">
            <v>226.79</v>
          </cell>
          <cell r="E4391">
            <v>240.45</v>
          </cell>
          <cell r="F4391">
            <v>255.24</v>
          </cell>
          <cell r="G4391">
            <v>210.34</v>
          </cell>
          <cell r="H4391">
            <v>4299.24</v>
          </cell>
          <cell r="I4391">
            <v>267.56</v>
          </cell>
        </row>
        <row r="4392">
          <cell r="A4392">
            <v>37977</v>
          </cell>
          <cell r="B4392">
            <v>2621.52</v>
          </cell>
          <cell r="C4392">
            <v>2714.09</v>
          </cell>
          <cell r="D4392">
            <v>225.89</v>
          </cell>
          <cell r="E4392">
            <v>239.38</v>
          </cell>
          <cell r="F4392">
            <v>254.15</v>
          </cell>
          <cell r="G4392">
            <v>209.6</v>
          </cell>
          <cell r="H4392">
            <v>4289.38</v>
          </cell>
          <cell r="I4392">
            <v>266.54000000000002</v>
          </cell>
        </row>
        <row r="4393">
          <cell r="A4393">
            <v>37978</v>
          </cell>
          <cell r="B4393">
            <v>2632.99</v>
          </cell>
          <cell r="C4393">
            <v>2721.57</v>
          </cell>
          <cell r="D4393">
            <v>227.03</v>
          </cell>
          <cell r="E4393">
            <v>240.21</v>
          </cell>
          <cell r="F4393">
            <v>255.2</v>
          </cell>
          <cell r="G4393">
            <v>210.97</v>
          </cell>
          <cell r="H4393">
            <v>4348.13</v>
          </cell>
          <cell r="I4393">
            <v>269.47000000000003</v>
          </cell>
        </row>
        <row r="4394">
          <cell r="A4394">
            <v>37979</v>
          </cell>
          <cell r="B4394">
            <v>2638.12</v>
          </cell>
          <cell r="C4394">
            <v>2725.07</v>
          </cell>
          <cell r="D4394">
            <v>227.49</v>
          </cell>
          <cell r="E4394">
            <v>240.5</v>
          </cell>
          <cell r="F4394">
            <v>255.55</v>
          </cell>
          <cell r="G4394">
            <v>211.56</v>
          </cell>
          <cell r="H4394">
            <v>4341.68</v>
          </cell>
          <cell r="I4394">
            <v>269.11</v>
          </cell>
        </row>
        <row r="4395">
          <cell r="A4395">
            <v>37984</v>
          </cell>
          <cell r="B4395">
            <v>2644.64</v>
          </cell>
          <cell r="C4395">
            <v>2744.2</v>
          </cell>
          <cell r="D4395">
            <v>228.18</v>
          </cell>
          <cell r="E4395">
            <v>241.95</v>
          </cell>
          <cell r="F4395">
            <v>257.06</v>
          </cell>
          <cell r="G4395">
            <v>211.61</v>
          </cell>
          <cell r="H4395">
            <v>4392.4799999999996</v>
          </cell>
          <cell r="I4395">
            <v>270.76</v>
          </cell>
        </row>
        <row r="4396">
          <cell r="A4396">
            <v>37985</v>
          </cell>
          <cell r="B4396">
            <v>2656.07</v>
          </cell>
          <cell r="C4396">
            <v>2750.09</v>
          </cell>
          <cell r="D4396">
            <v>228.98</v>
          </cell>
          <cell r="E4396">
            <v>242.51</v>
          </cell>
          <cell r="F4396">
            <v>257.8</v>
          </cell>
          <cell r="G4396">
            <v>212.6</v>
          </cell>
          <cell r="H4396">
            <v>4390.57</v>
          </cell>
          <cell r="I4396">
            <v>270.89</v>
          </cell>
        </row>
        <row r="4397">
          <cell r="A4397">
            <v>37986</v>
          </cell>
          <cell r="B4397">
            <v>2660.37</v>
          </cell>
          <cell r="C4397">
            <v>2760.66</v>
          </cell>
          <cell r="D4397">
            <v>229.31</v>
          </cell>
          <cell r="E4397">
            <v>243.2</v>
          </cell>
          <cell r="F4397">
            <v>258.36</v>
          </cell>
          <cell r="G4397">
            <v>212.62</v>
          </cell>
          <cell r="H4397">
            <v>4389.8900000000003</v>
          </cell>
          <cell r="I4397">
            <v>270.89999999999998</v>
          </cell>
        </row>
        <row r="4398">
          <cell r="A4398">
            <v>37988</v>
          </cell>
          <cell r="B4398">
            <v>2687.39</v>
          </cell>
          <cell r="C4398">
            <v>2797.56</v>
          </cell>
          <cell r="D4398">
            <v>231.75</v>
          </cell>
          <cell r="E4398">
            <v>246.54</v>
          </cell>
          <cell r="F4398">
            <v>261.43</v>
          </cell>
          <cell r="G4398">
            <v>214.28</v>
          </cell>
          <cell r="H4398">
            <v>4472.93</v>
          </cell>
          <cell r="I4398">
            <v>275.27</v>
          </cell>
        </row>
        <row r="4399">
          <cell r="A4399">
            <v>37991</v>
          </cell>
          <cell r="B4399">
            <v>2704.21</v>
          </cell>
          <cell r="C4399">
            <v>2808.07</v>
          </cell>
          <cell r="D4399">
            <v>232.92</v>
          </cell>
          <cell r="E4399">
            <v>247.62</v>
          </cell>
          <cell r="F4399">
            <v>262.92</v>
          </cell>
          <cell r="G4399">
            <v>215.49</v>
          </cell>
          <cell r="H4399">
            <v>4476.24</v>
          </cell>
          <cell r="I4399">
            <v>275.75</v>
          </cell>
        </row>
        <row r="4400">
          <cell r="A4400">
            <v>37992</v>
          </cell>
          <cell r="B4400">
            <v>2705.87</v>
          </cell>
          <cell r="C4400">
            <v>2805.91</v>
          </cell>
          <cell r="D4400">
            <v>232.83</v>
          </cell>
          <cell r="E4400">
            <v>247.36</v>
          </cell>
          <cell r="F4400">
            <v>262.62</v>
          </cell>
          <cell r="G4400">
            <v>215.53</v>
          </cell>
          <cell r="H4400">
            <v>4463.6400000000003</v>
          </cell>
          <cell r="I4400">
            <v>275.06</v>
          </cell>
        </row>
        <row r="4401">
          <cell r="A4401">
            <v>37993</v>
          </cell>
          <cell r="B4401">
            <v>2690.97</v>
          </cell>
          <cell r="C4401">
            <v>2782.52</v>
          </cell>
          <cell r="D4401">
            <v>231.71</v>
          </cell>
          <cell r="E4401">
            <v>245.85</v>
          </cell>
          <cell r="F4401">
            <v>261.10000000000002</v>
          </cell>
          <cell r="G4401">
            <v>214.75</v>
          </cell>
          <cell r="H4401">
            <v>4427.05</v>
          </cell>
          <cell r="I4401">
            <v>274.58999999999997</v>
          </cell>
        </row>
        <row r="4402">
          <cell r="A4402">
            <v>37994</v>
          </cell>
          <cell r="B4402">
            <v>2716.45</v>
          </cell>
          <cell r="C4402">
            <v>2821.33</v>
          </cell>
          <cell r="D4402">
            <v>234.01</v>
          </cell>
          <cell r="E4402">
            <v>248.92</v>
          </cell>
          <cell r="F4402">
            <v>264.06</v>
          </cell>
          <cell r="G4402">
            <v>216.38</v>
          </cell>
          <cell r="H4402">
            <v>4532.3100000000004</v>
          </cell>
          <cell r="I4402">
            <v>284.64999999999998</v>
          </cell>
        </row>
        <row r="4403">
          <cell r="A4403">
            <v>37995</v>
          </cell>
          <cell r="B4403">
            <v>2693.68</v>
          </cell>
          <cell r="C4403">
            <v>2800.16</v>
          </cell>
          <cell r="D4403">
            <v>232.83</v>
          </cell>
          <cell r="E4403">
            <v>247.49</v>
          </cell>
          <cell r="F4403">
            <v>262.77999999999997</v>
          </cell>
          <cell r="G4403">
            <v>215.43</v>
          </cell>
          <cell r="H4403">
            <v>4558.04</v>
          </cell>
          <cell r="I4403">
            <v>286.32</v>
          </cell>
        </row>
        <row r="4404">
          <cell r="A4404">
            <v>37998</v>
          </cell>
          <cell r="B4404">
            <v>2688.97</v>
          </cell>
          <cell r="C4404">
            <v>2793.88</v>
          </cell>
          <cell r="D4404">
            <v>232.56</v>
          </cell>
          <cell r="E4404">
            <v>246.96</v>
          </cell>
          <cell r="F4404">
            <v>262.02</v>
          </cell>
          <cell r="G4404">
            <v>215.38</v>
          </cell>
          <cell r="H4404">
            <v>4592.1899999999996</v>
          </cell>
          <cell r="I4404">
            <v>288.27999999999997</v>
          </cell>
        </row>
        <row r="4405">
          <cell r="A4405">
            <v>37999</v>
          </cell>
          <cell r="B4405">
            <v>2691.56</v>
          </cell>
          <cell r="C4405">
            <v>2801.97</v>
          </cell>
          <cell r="D4405">
            <v>232.99</v>
          </cell>
          <cell r="E4405">
            <v>247.39</v>
          </cell>
          <cell r="F4405">
            <v>262.87</v>
          </cell>
          <cell r="G4405">
            <v>215.81</v>
          </cell>
          <cell r="H4405">
            <v>4594.96</v>
          </cell>
          <cell r="I4405">
            <v>288.22000000000003</v>
          </cell>
        </row>
        <row r="4406">
          <cell r="A4406">
            <v>38000</v>
          </cell>
          <cell r="B4406">
            <v>2711.29</v>
          </cell>
          <cell r="C4406">
            <v>2829.44</v>
          </cell>
          <cell r="D4406">
            <v>235.12</v>
          </cell>
          <cell r="E4406">
            <v>249.96</v>
          </cell>
          <cell r="F4406">
            <v>265.56</v>
          </cell>
          <cell r="G4406">
            <v>217.53</v>
          </cell>
          <cell r="H4406">
            <v>4614.8100000000004</v>
          </cell>
          <cell r="I4406">
            <v>290.51</v>
          </cell>
        </row>
        <row r="4407">
          <cell r="A4407">
            <v>38001</v>
          </cell>
          <cell r="B4407">
            <v>2708.92</v>
          </cell>
          <cell r="C4407">
            <v>2840.8</v>
          </cell>
          <cell r="D4407">
            <v>235.23</v>
          </cell>
          <cell r="E4407">
            <v>250.79</v>
          </cell>
          <cell r="F4407">
            <v>266.26</v>
          </cell>
          <cell r="G4407">
            <v>217.05</v>
          </cell>
          <cell r="H4407">
            <v>4629.6499999999996</v>
          </cell>
          <cell r="I4407">
            <v>290.64</v>
          </cell>
        </row>
        <row r="4408">
          <cell r="A4408">
            <v>38002</v>
          </cell>
          <cell r="B4408">
            <v>2734.86</v>
          </cell>
          <cell r="C4408">
            <v>2865.96</v>
          </cell>
          <cell r="D4408">
            <v>237.78</v>
          </cell>
          <cell r="E4408">
            <v>253.2</v>
          </cell>
          <cell r="F4408">
            <v>268.83</v>
          </cell>
          <cell r="G4408">
            <v>219.66</v>
          </cell>
          <cell r="H4408">
            <v>4691.96</v>
          </cell>
          <cell r="I4408">
            <v>294.73</v>
          </cell>
        </row>
        <row r="4409">
          <cell r="A4409">
            <v>38005</v>
          </cell>
          <cell r="B4409">
            <v>2740.9</v>
          </cell>
          <cell r="C4409">
            <v>2879.94</v>
          </cell>
          <cell r="D4409">
            <v>238.36</v>
          </cell>
          <cell r="E4409">
            <v>254.52</v>
          </cell>
          <cell r="F4409">
            <v>270.02999999999997</v>
          </cell>
          <cell r="G4409">
            <v>219.61</v>
          </cell>
          <cell r="H4409">
            <v>4723.88</v>
          </cell>
          <cell r="I4409">
            <v>296.83999999999997</v>
          </cell>
        </row>
        <row r="4410">
          <cell r="A4410">
            <v>38006</v>
          </cell>
          <cell r="B4410">
            <v>2727.43</v>
          </cell>
          <cell r="C4410">
            <v>2859.58</v>
          </cell>
          <cell r="D4410">
            <v>237.15</v>
          </cell>
          <cell r="E4410">
            <v>252.7</v>
          </cell>
          <cell r="F4410">
            <v>268.16000000000003</v>
          </cell>
          <cell r="G4410">
            <v>218.92</v>
          </cell>
          <cell r="H4410">
            <v>4667.8599999999997</v>
          </cell>
          <cell r="I4410">
            <v>293.89</v>
          </cell>
        </row>
        <row r="4411">
          <cell r="A4411">
            <v>38007</v>
          </cell>
          <cell r="B4411">
            <v>2742.24</v>
          </cell>
          <cell r="C4411">
            <v>2873.86</v>
          </cell>
          <cell r="D4411">
            <v>238.26</v>
          </cell>
          <cell r="E4411">
            <v>253.85</v>
          </cell>
          <cell r="F4411">
            <v>269.22000000000003</v>
          </cell>
          <cell r="G4411">
            <v>219.97</v>
          </cell>
          <cell r="H4411">
            <v>4633.7700000000004</v>
          </cell>
          <cell r="I4411">
            <v>290.63</v>
          </cell>
        </row>
        <row r="4412">
          <cell r="A4412">
            <v>38008</v>
          </cell>
          <cell r="B4412">
            <v>2743.91</v>
          </cell>
          <cell r="C4412">
            <v>2891.84</v>
          </cell>
          <cell r="D4412">
            <v>238.32</v>
          </cell>
          <cell r="E4412">
            <v>254.91</v>
          </cell>
          <cell r="F4412">
            <v>270.57</v>
          </cell>
          <cell r="G4412">
            <v>219.23</v>
          </cell>
          <cell r="H4412">
            <v>4698.6000000000004</v>
          </cell>
          <cell r="I4412">
            <v>295.8</v>
          </cell>
        </row>
        <row r="4413">
          <cell r="A4413">
            <v>38009</v>
          </cell>
          <cell r="B4413">
            <v>2737.97</v>
          </cell>
          <cell r="C4413">
            <v>2892.54</v>
          </cell>
          <cell r="D4413">
            <v>237.89</v>
          </cell>
          <cell r="E4413">
            <v>254.96</v>
          </cell>
          <cell r="F4413">
            <v>270.95</v>
          </cell>
          <cell r="G4413">
            <v>218.42</v>
          </cell>
          <cell r="H4413">
            <v>4692.74</v>
          </cell>
          <cell r="I4413">
            <v>295.39</v>
          </cell>
        </row>
        <row r="4414">
          <cell r="A4414">
            <v>38012</v>
          </cell>
          <cell r="B4414">
            <v>2727.36</v>
          </cell>
          <cell r="C4414">
            <v>2874.47</v>
          </cell>
          <cell r="D4414">
            <v>237.22</v>
          </cell>
          <cell r="E4414">
            <v>253.68</v>
          </cell>
          <cell r="F4414">
            <v>269.83</v>
          </cell>
          <cell r="G4414">
            <v>218.27</v>
          </cell>
          <cell r="H4414">
            <v>4695.34</v>
          </cell>
          <cell r="I4414">
            <v>295.5</v>
          </cell>
        </row>
        <row r="4415">
          <cell r="A4415">
            <v>38013</v>
          </cell>
          <cell r="B4415">
            <v>2728.42</v>
          </cell>
          <cell r="C4415">
            <v>2884.25</v>
          </cell>
          <cell r="D4415">
            <v>237.58</v>
          </cell>
          <cell r="E4415">
            <v>254.7</v>
          </cell>
          <cell r="F4415">
            <v>270.93</v>
          </cell>
          <cell r="G4415">
            <v>218.07</v>
          </cell>
          <cell r="H4415">
            <v>4712.4399999999996</v>
          </cell>
          <cell r="I4415">
            <v>296.48</v>
          </cell>
        </row>
        <row r="4416">
          <cell r="A4416">
            <v>38014</v>
          </cell>
          <cell r="B4416">
            <v>2746.4</v>
          </cell>
          <cell r="C4416">
            <v>2896.78</v>
          </cell>
          <cell r="D4416">
            <v>238.75</v>
          </cell>
          <cell r="E4416">
            <v>255.24</v>
          </cell>
          <cell r="F4416">
            <v>271.3</v>
          </cell>
          <cell r="G4416">
            <v>219.72</v>
          </cell>
          <cell r="H4416">
            <v>4680.1400000000003</v>
          </cell>
          <cell r="I4416">
            <v>294.41000000000003</v>
          </cell>
        </row>
        <row r="4417">
          <cell r="A4417">
            <v>38015</v>
          </cell>
          <cell r="B4417">
            <v>2721.62</v>
          </cell>
          <cell r="C4417">
            <v>2860.08</v>
          </cell>
          <cell r="D4417">
            <v>236.95</v>
          </cell>
          <cell r="E4417">
            <v>252.48</v>
          </cell>
          <cell r="F4417">
            <v>268.81</v>
          </cell>
          <cell r="G4417">
            <v>218.75</v>
          </cell>
          <cell r="H4417">
            <v>4632.01</v>
          </cell>
          <cell r="I4417">
            <v>291.19</v>
          </cell>
        </row>
        <row r="4418">
          <cell r="A4418">
            <v>38016</v>
          </cell>
          <cell r="B4418">
            <v>2696.28</v>
          </cell>
          <cell r="C4418">
            <v>2839.13</v>
          </cell>
          <cell r="D4418">
            <v>235.81</v>
          </cell>
          <cell r="E4418">
            <v>250.91</v>
          </cell>
          <cell r="F4418">
            <v>267.33999999999997</v>
          </cell>
          <cell r="G4418">
            <v>217.98</v>
          </cell>
          <cell r="H4418">
            <v>4662.7700000000004</v>
          </cell>
          <cell r="I4418">
            <v>292.64</v>
          </cell>
        </row>
        <row r="4419">
          <cell r="A4419">
            <v>38019</v>
          </cell>
          <cell r="B4419">
            <v>2697.06</v>
          </cell>
          <cell r="C4419">
            <v>2853.9</v>
          </cell>
          <cell r="D4419">
            <v>236.17</v>
          </cell>
          <cell r="E4419">
            <v>252.04</v>
          </cell>
          <cell r="F4419">
            <v>268.52999999999997</v>
          </cell>
          <cell r="G4419">
            <v>217.72</v>
          </cell>
          <cell r="H4419">
            <v>4650.21</v>
          </cell>
          <cell r="I4419">
            <v>292.62</v>
          </cell>
        </row>
        <row r="4420">
          <cell r="A4420">
            <v>38020</v>
          </cell>
          <cell r="B4420">
            <v>2695.05</v>
          </cell>
          <cell r="C4420">
            <v>2841.26</v>
          </cell>
          <cell r="D4420">
            <v>235.6</v>
          </cell>
          <cell r="E4420">
            <v>250.75</v>
          </cell>
          <cell r="F4420">
            <v>267.11</v>
          </cell>
          <cell r="G4420">
            <v>217.74</v>
          </cell>
          <cell r="H4420">
            <v>4646.67</v>
          </cell>
          <cell r="I4420">
            <v>292.31</v>
          </cell>
        </row>
        <row r="4421">
          <cell r="A4421">
            <v>38021</v>
          </cell>
          <cell r="B4421">
            <v>2689.82</v>
          </cell>
          <cell r="C4421">
            <v>2819.92</v>
          </cell>
          <cell r="D4421">
            <v>234.92</v>
          </cell>
          <cell r="E4421">
            <v>249.1</v>
          </cell>
          <cell r="F4421">
            <v>266.02</v>
          </cell>
          <cell r="G4421">
            <v>217.86</v>
          </cell>
          <cell r="H4421">
            <v>4638.9799999999996</v>
          </cell>
          <cell r="I4421">
            <v>291.33999999999997</v>
          </cell>
        </row>
        <row r="4422">
          <cell r="A4422">
            <v>38022</v>
          </cell>
          <cell r="B4422">
            <v>2678.48</v>
          </cell>
          <cell r="C4422">
            <v>2816.34</v>
          </cell>
          <cell r="D4422">
            <v>234.58</v>
          </cell>
          <cell r="E4422">
            <v>248.99</v>
          </cell>
          <cell r="F4422">
            <v>265.99</v>
          </cell>
          <cell r="G4422">
            <v>217.35</v>
          </cell>
          <cell r="H4422">
            <v>4669.97</v>
          </cell>
          <cell r="I4422">
            <v>292.02</v>
          </cell>
        </row>
        <row r="4423">
          <cell r="A4423">
            <v>38023</v>
          </cell>
          <cell r="B4423">
            <v>2690.29</v>
          </cell>
          <cell r="C4423">
            <v>2833.63</v>
          </cell>
          <cell r="D4423">
            <v>235.86</v>
          </cell>
          <cell r="E4423">
            <v>250.38</v>
          </cell>
          <cell r="F4423">
            <v>268.17</v>
          </cell>
          <cell r="G4423">
            <v>218.5</v>
          </cell>
          <cell r="H4423">
            <v>4803.5</v>
          </cell>
          <cell r="I4423">
            <v>299.32</v>
          </cell>
        </row>
        <row r="4424">
          <cell r="A4424">
            <v>38026</v>
          </cell>
          <cell r="B4424">
            <v>2728.18</v>
          </cell>
          <cell r="C4424">
            <v>2870.98</v>
          </cell>
          <cell r="D4424">
            <v>238.85</v>
          </cell>
          <cell r="E4424">
            <v>253.3</v>
          </cell>
          <cell r="F4424">
            <v>271.12</v>
          </cell>
          <cell r="G4424">
            <v>221.48</v>
          </cell>
          <cell r="H4424">
            <v>4862.47</v>
          </cell>
          <cell r="I4424">
            <v>302.93</v>
          </cell>
        </row>
        <row r="4425">
          <cell r="A4425">
            <v>38027</v>
          </cell>
          <cell r="B4425">
            <v>2728.73</v>
          </cell>
          <cell r="C4425">
            <v>2880.94</v>
          </cell>
          <cell r="D4425">
            <v>238.98</v>
          </cell>
          <cell r="E4425">
            <v>254.08</v>
          </cell>
          <cell r="F4425">
            <v>271.95</v>
          </cell>
          <cell r="G4425">
            <v>221.08</v>
          </cell>
          <cell r="H4425">
            <v>4921.1899999999996</v>
          </cell>
          <cell r="I4425">
            <v>306.27999999999997</v>
          </cell>
        </row>
        <row r="4426">
          <cell r="A4426">
            <v>38028</v>
          </cell>
          <cell r="B4426">
            <v>2730.24</v>
          </cell>
          <cell r="C4426">
            <v>2890.8</v>
          </cell>
          <cell r="D4426">
            <v>239.5</v>
          </cell>
          <cell r="E4426">
            <v>254.91</v>
          </cell>
          <cell r="F4426">
            <v>272.62</v>
          </cell>
          <cell r="G4426">
            <v>221.33</v>
          </cell>
          <cell r="H4426">
            <v>4946.3100000000004</v>
          </cell>
          <cell r="I4426">
            <v>308.11</v>
          </cell>
        </row>
        <row r="4427">
          <cell r="A4427">
            <v>38029</v>
          </cell>
          <cell r="B4427">
            <v>2719.28</v>
          </cell>
          <cell r="C4427">
            <v>2896.25</v>
          </cell>
          <cell r="D4427">
            <v>239.26</v>
          </cell>
          <cell r="E4427">
            <v>255.35</v>
          </cell>
          <cell r="F4427">
            <v>272.55</v>
          </cell>
          <cell r="G4427">
            <v>220.55</v>
          </cell>
          <cell r="H4427">
            <v>4928.76</v>
          </cell>
          <cell r="I4427">
            <v>308.10000000000002</v>
          </cell>
        </row>
        <row r="4428">
          <cell r="A4428">
            <v>38030</v>
          </cell>
          <cell r="B4428">
            <v>2713.71</v>
          </cell>
          <cell r="C4428">
            <v>2860.88</v>
          </cell>
          <cell r="D4428">
            <v>238.79</v>
          </cell>
          <cell r="E4428">
            <v>253.02</v>
          </cell>
          <cell r="F4428">
            <v>270.43</v>
          </cell>
          <cell r="G4428">
            <v>221.6</v>
          </cell>
          <cell r="H4428">
            <v>4883.6899999999996</v>
          </cell>
          <cell r="I4428">
            <v>304.87</v>
          </cell>
        </row>
        <row r="4429">
          <cell r="A4429">
            <v>38033</v>
          </cell>
          <cell r="B4429">
            <v>2718.34</v>
          </cell>
          <cell r="C4429">
            <v>2877.39</v>
          </cell>
          <cell r="D4429">
            <v>239.5</v>
          </cell>
          <cell r="E4429">
            <v>254.22</v>
          </cell>
          <cell r="F4429">
            <v>271.63</v>
          </cell>
          <cell r="G4429">
            <v>221.9</v>
          </cell>
          <cell r="H4429">
            <v>4905.8500000000004</v>
          </cell>
          <cell r="I4429">
            <v>305.94</v>
          </cell>
        </row>
        <row r="4430">
          <cell r="A4430">
            <v>38034</v>
          </cell>
          <cell r="B4430">
            <v>2743.21</v>
          </cell>
          <cell r="C4430">
            <v>2895.38</v>
          </cell>
          <cell r="D4430">
            <v>241.64</v>
          </cell>
          <cell r="E4430">
            <v>255.8</v>
          </cell>
          <cell r="F4430">
            <v>273.06</v>
          </cell>
          <cell r="G4430">
            <v>224.45</v>
          </cell>
          <cell r="H4430">
            <v>4917.03</v>
          </cell>
          <cell r="I4430">
            <v>307.17</v>
          </cell>
        </row>
        <row r="4431">
          <cell r="A4431">
            <v>38035</v>
          </cell>
          <cell r="B4431">
            <v>2733.89</v>
          </cell>
          <cell r="C4431">
            <v>2897.59</v>
          </cell>
          <cell r="D4431">
            <v>241.55</v>
          </cell>
          <cell r="E4431">
            <v>256.23</v>
          </cell>
          <cell r="F4431">
            <v>273.20999999999998</v>
          </cell>
          <cell r="G4431">
            <v>223.93</v>
          </cell>
          <cell r="H4431">
            <v>4939.04</v>
          </cell>
          <cell r="I4431">
            <v>308.79000000000002</v>
          </cell>
        </row>
        <row r="4432">
          <cell r="A4432">
            <v>38036</v>
          </cell>
          <cell r="B4432">
            <v>2775.08</v>
          </cell>
          <cell r="C4432">
            <v>2932.95</v>
          </cell>
          <cell r="D4432">
            <v>244.68</v>
          </cell>
          <cell r="E4432">
            <v>258.75</v>
          </cell>
          <cell r="F4432">
            <v>275.77999999999997</v>
          </cell>
          <cell r="G4432">
            <v>227.47</v>
          </cell>
          <cell r="H4432">
            <v>5005.26</v>
          </cell>
          <cell r="I4432">
            <v>312.41000000000003</v>
          </cell>
        </row>
        <row r="4433">
          <cell r="A4433">
            <v>38037</v>
          </cell>
          <cell r="B4433">
            <v>2761.3</v>
          </cell>
          <cell r="C4433">
            <v>2904.36</v>
          </cell>
          <cell r="D4433">
            <v>243.23</v>
          </cell>
          <cell r="E4433">
            <v>256.36</v>
          </cell>
          <cell r="F4433">
            <v>273.52999999999997</v>
          </cell>
          <cell r="G4433">
            <v>226.82</v>
          </cell>
          <cell r="H4433">
            <v>4968.1400000000003</v>
          </cell>
          <cell r="I4433">
            <v>309.97000000000003</v>
          </cell>
        </row>
        <row r="4434">
          <cell r="A4434">
            <v>38040</v>
          </cell>
          <cell r="B4434">
            <v>2766.35</v>
          </cell>
          <cell r="C4434">
            <v>2907.46</v>
          </cell>
          <cell r="D4434">
            <v>243.66</v>
          </cell>
          <cell r="E4434">
            <v>256.74</v>
          </cell>
          <cell r="F4434">
            <v>274.12</v>
          </cell>
          <cell r="G4434">
            <v>227.29</v>
          </cell>
          <cell r="H4434">
            <v>5006.1099999999997</v>
          </cell>
          <cell r="I4434">
            <v>312.69</v>
          </cell>
        </row>
        <row r="4435">
          <cell r="A4435">
            <v>38041</v>
          </cell>
          <cell r="B4435">
            <v>2742.02</v>
          </cell>
          <cell r="C4435">
            <v>2866.04</v>
          </cell>
          <cell r="D4435">
            <v>241.26</v>
          </cell>
          <cell r="E4435">
            <v>253.39</v>
          </cell>
          <cell r="F4435">
            <v>270.61</v>
          </cell>
          <cell r="G4435">
            <v>225.72</v>
          </cell>
          <cell r="H4435">
            <v>4919.97</v>
          </cell>
          <cell r="I4435">
            <v>307.51</v>
          </cell>
        </row>
        <row r="4436">
          <cell r="A4436">
            <v>38042</v>
          </cell>
          <cell r="B4436">
            <v>2754.56</v>
          </cell>
          <cell r="C4436">
            <v>2872.48</v>
          </cell>
          <cell r="D4436">
            <v>242.45</v>
          </cell>
          <cell r="E4436">
            <v>253.92</v>
          </cell>
          <cell r="F4436">
            <v>271.08999999999997</v>
          </cell>
          <cell r="G4436">
            <v>227.41</v>
          </cell>
          <cell r="H4436">
            <v>4922.0600000000004</v>
          </cell>
          <cell r="I4436">
            <v>307.22000000000003</v>
          </cell>
        </row>
        <row r="4437">
          <cell r="A4437">
            <v>38043</v>
          </cell>
          <cell r="B4437">
            <v>2757.87</v>
          </cell>
          <cell r="C4437">
            <v>2883.54</v>
          </cell>
          <cell r="D4437">
            <v>242.75</v>
          </cell>
          <cell r="E4437">
            <v>254.63</v>
          </cell>
          <cell r="F4437">
            <v>271.75</v>
          </cell>
          <cell r="G4437">
            <v>227.37</v>
          </cell>
          <cell r="H4437">
            <v>4959.55</v>
          </cell>
          <cell r="I4437">
            <v>309.44</v>
          </cell>
        </row>
        <row r="4438">
          <cell r="A4438">
            <v>38044</v>
          </cell>
          <cell r="B4438">
            <v>2748.5</v>
          </cell>
          <cell r="C4438">
            <v>2893.18</v>
          </cell>
          <cell r="D4438">
            <v>242.59</v>
          </cell>
          <cell r="E4438">
            <v>255.66</v>
          </cell>
          <cell r="F4438">
            <v>272.58</v>
          </cell>
          <cell r="G4438">
            <v>226.25</v>
          </cell>
          <cell r="H4438">
            <v>4968.01</v>
          </cell>
          <cell r="I4438">
            <v>310.12</v>
          </cell>
        </row>
        <row r="4439">
          <cell r="A4439">
            <v>38047</v>
          </cell>
          <cell r="B4439">
            <v>2776.83</v>
          </cell>
          <cell r="C4439">
            <v>2918.56</v>
          </cell>
          <cell r="D4439">
            <v>245.13</v>
          </cell>
          <cell r="E4439">
            <v>257.55</v>
          </cell>
          <cell r="F4439">
            <v>274.62</v>
          </cell>
          <cell r="G4439">
            <v>229.26</v>
          </cell>
          <cell r="H4439">
            <v>5017.41</v>
          </cell>
          <cell r="I4439">
            <v>312.95999999999998</v>
          </cell>
        </row>
        <row r="4440">
          <cell r="A4440">
            <v>38048</v>
          </cell>
          <cell r="B4440">
            <v>2794.01</v>
          </cell>
          <cell r="C4440">
            <v>2946.62</v>
          </cell>
          <cell r="D4440">
            <v>246.6</v>
          </cell>
          <cell r="E4440">
            <v>259.91000000000003</v>
          </cell>
          <cell r="F4440">
            <v>276.98</v>
          </cell>
          <cell r="G4440">
            <v>229.97</v>
          </cell>
          <cell r="H4440">
            <v>5073.83</v>
          </cell>
          <cell r="I4440">
            <v>316.67</v>
          </cell>
        </row>
        <row r="4441">
          <cell r="A4441">
            <v>38049</v>
          </cell>
          <cell r="B4441">
            <v>2785.21</v>
          </cell>
          <cell r="C4441">
            <v>2926.79</v>
          </cell>
          <cell r="D4441">
            <v>245.81</v>
          </cell>
          <cell r="E4441">
            <v>258.60000000000002</v>
          </cell>
          <cell r="F4441">
            <v>276.12</v>
          </cell>
          <cell r="G4441">
            <v>229.62</v>
          </cell>
          <cell r="H4441">
            <v>5112.01</v>
          </cell>
          <cell r="I4441">
            <v>318.25</v>
          </cell>
        </row>
        <row r="4442">
          <cell r="A4442">
            <v>38050</v>
          </cell>
          <cell r="B4442">
            <v>2804.06</v>
          </cell>
          <cell r="C4442">
            <v>2952.61</v>
          </cell>
          <cell r="D4442">
            <v>247.07</v>
          </cell>
          <cell r="E4442">
            <v>260.47000000000003</v>
          </cell>
          <cell r="F4442">
            <v>278.08</v>
          </cell>
          <cell r="G4442">
            <v>230.36</v>
          </cell>
          <cell r="H4442">
            <v>5122.3100000000004</v>
          </cell>
          <cell r="I4442">
            <v>320.10000000000002</v>
          </cell>
        </row>
        <row r="4443">
          <cell r="A4443">
            <v>38051</v>
          </cell>
          <cell r="B4443">
            <v>2787.03</v>
          </cell>
          <cell r="C4443">
            <v>2945.63</v>
          </cell>
          <cell r="D4443">
            <v>246.12</v>
          </cell>
          <cell r="E4443">
            <v>260.14</v>
          </cell>
          <cell r="F4443">
            <v>277.60000000000002</v>
          </cell>
          <cell r="G4443">
            <v>228.93</v>
          </cell>
          <cell r="H4443">
            <v>5144.1499999999996</v>
          </cell>
          <cell r="I4443">
            <v>321.83999999999997</v>
          </cell>
        </row>
        <row r="4444">
          <cell r="A4444">
            <v>38054</v>
          </cell>
          <cell r="B4444">
            <v>2795.56</v>
          </cell>
          <cell r="C4444">
            <v>2959.71</v>
          </cell>
          <cell r="D4444">
            <v>247.05</v>
          </cell>
          <cell r="E4444">
            <v>261.33999999999997</v>
          </cell>
          <cell r="F4444">
            <v>278.47000000000003</v>
          </cell>
          <cell r="G4444">
            <v>229.62</v>
          </cell>
          <cell r="H4444">
            <v>5159.67</v>
          </cell>
          <cell r="I4444">
            <v>322.89999999999998</v>
          </cell>
        </row>
        <row r="4445">
          <cell r="A4445">
            <v>38055</v>
          </cell>
          <cell r="B4445">
            <v>2769.55</v>
          </cell>
          <cell r="C4445">
            <v>2923.05</v>
          </cell>
          <cell r="D4445">
            <v>244.49</v>
          </cell>
          <cell r="E4445">
            <v>258.33999999999997</v>
          </cell>
          <cell r="F4445">
            <v>275.58</v>
          </cell>
          <cell r="G4445">
            <v>227.48</v>
          </cell>
          <cell r="H4445">
            <v>5075.2</v>
          </cell>
          <cell r="I4445">
            <v>317.14999999999998</v>
          </cell>
        </row>
        <row r="4446">
          <cell r="A4446">
            <v>38056</v>
          </cell>
          <cell r="B4446">
            <v>2770.66</v>
          </cell>
          <cell r="C4446">
            <v>2922.68</v>
          </cell>
          <cell r="D4446">
            <v>243.81</v>
          </cell>
          <cell r="E4446">
            <v>257.83</v>
          </cell>
          <cell r="F4446">
            <v>275.26</v>
          </cell>
          <cell r="G4446">
            <v>226.68</v>
          </cell>
          <cell r="H4446">
            <v>5037.74</v>
          </cell>
          <cell r="I4446">
            <v>314.63</v>
          </cell>
        </row>
        <row r="4447">
          <cell r="A4447">
            <v>38057</v>
          </cell>
          <cell r="B4447">
            <v>2692.37</v>
          </cell>
          <cell r="C4447">
            <v>2834.02</v>
          </cell>
          <cell r="D4447">
            <v>237.31</v>
          </cell>
          <cell r="E4447">
            <v>250.67</v>
          </cell>
          <cell r="F4447">
            <v>267.72000000000003</v>
          </cell>
          <cell r="G4447">
            <v>220.85</v>
          </cell>
          <cell r="H4447">
            <v>4883.55</v>
          </cell>
          <cell r="I4447">
            <v>305.69</v>
          </cell>
        </row>
        <row r="4448">
          <cell r="A4448">
            <v>38058</v>
          </cell>
          <cell r="B4448">
            <v>2696.5</v>
          </cell>
          <cell r="C4448">
            <v>2834.03</v>
          </cell>
          <cell r="D4448">
            <v>237.97</v>
          </cell>
          <cell r="E4448">
            <v>250.7</v>
          </cell>
          <cell r="F4448">
            <v>267.77</v>
          </cell>
          <cell r="G4448">
            <v>222.02</v>
          </cell>
          <cell r="H4448">
            <v>4886.91</v>
          </cell>
          <cell r="I4448">
            <v>305.52999999999997</v>
          </cell>
        </row>
        <row r="4449">
          <cell r="A4449">
            <v>38061</v>
          </cell>
          <cell r="B4449">
            <v>2648.9</v>
          </cell>
          <cell r="C4449">
            <v>2756.13</v>
          </cell>
          <cell r="D4449">
            <v>233.48</v>
          </cell>
          <cell r="E4449">
            <v>244.35</v>
          </cell>
          <cell r="F4449">
            <v>261.91000000000003</v>
          </cell>
          <cell r="G4449">
            <v>219.15</v>
          </cell>
          <cell r="H4449">
            <v>4832.22</v>
          </cell>
          <cell r="I4449">
            <v>301.52999999999997</v>
          </cell>
        </row>
        <row r="4450">
          <cell r="A4450">
            <v>38062</v>
          </cell>
          <cell r="B4450">
            <v>2663.67</v>
          </cell>
          <cell r="C4450">
            <v>2773.18</v>
          </cell>
          <cell r="D4450">
            <v>234.63</v>
          </cell>
          <cell r="E4450">
            <v>245.42</v>
          </cell>
          <cell r="F4450">
            <v>262.95999999999998</v>
          </cell>
          <cell r="G4450">
            <v>220.32</v>
          </cell>
          <cell r="H4450">
            <v>4850.46</v>
          </cell>
          <cell r="I4450">
            <v>302.76</v>
          </cell>
        </row>
        <row r="4451">
          <cell r="A4451">
            <v>38063</v>
          </cell>
          <cell r="B4451">
            <v>2701.53</v>
          </cell>
          <cell r="C4451">
            <v>2821.8</v>
          </cell>
          <cell r="D4451">
            <v>238.2</v>
          </cell>
          <cell r="E4451">
            <v>249.63</v>
          </cell>
          <cell r="F4451">
            <v>267.02999999999997</v>
          </cell>
          <cell r="G4451">
            <v>223.29</v>
          </cell>
          <cell r="H4451">
            <v>4917.57</v>
          </cell>
          <cell r="I4451">
            <v>307.01</v>
          </cell>
        </row>
        <row r="4452">
          <cell r="A4452">
            <v>38064</v>
          </cell>
          <cell r="B4452">
            <v>2649.66</v>
          </cell>
          <cell r="C4452">
            <v>2761.66</v>
          </cell>
          <cell r="D4452">
            <v>234.47</v>
          </cell>
          <cell r="E4452">
            <v>245.27</v>
          </cell>
          <cell r="F4452">
            <v>262.74</v>
          </cell>
          <cell r="G4452">
            <v>220.18</v>
          </cell>
          <cell r="H4452">
            <v>4822.46</v>
          </cell>
          <cell r="I4452">
            <v>300.39999999999998</v>
          </cell>
        </row>
        <row r="4453">
          <cell r="A4453">
            <v>38065</v>
          </cell>
          <cell r="B4453">
            <v>2660.31</v>
          </cell>
          <cell r="C4453">
            <v>2769.86</v>
          </cell>
          <cell r="D4453">
            <v>235.54</v>
          </cell>
          <cell r="E4453">
            <v>245.68</v>
          </cell>
          <cell r="F4453">
            <v>263.23</v>
          </cell>
          <cell r="G4453">
            <v>221.75</v>
          </cell>
          <cell r="H4453">
            <v>4828.12</v>
          </cell>
          <cell r="I4453">
            <v>300.27</v>
          </cell>
        </row>
        <row r="4454">
          <cell r="A4454">
            <v>38068</v>
          </cell>
          <cell r="B4454">
            <v>2608.38</v>
          </cell>
          <cell r="C4454">
            <v>2712.11</v>
          </cell>
          <cell r="D4454">
            <v>231.03</v>
          </cell>
          <cell r="E4454">
            <v>240.53</v>
          </cell>
          <cell r="F4454">
            <v>257.55</v>
          </cell>
          <cell r="G4454">
            <v>217.86</v>
          </cell>
          <cell r="H4454">
            <v>4725.54</v>
          </cell>
          <cell r="I4454">
            <v>292.87</v>
          </cell>
        </row>
        <row r="4455">
          <cell r="A4455">
            <v>38069</v>
          </cell>
          <cell r="B4455">
            <v>2614.66</v>
          </cell>
          <cell r="C4455">
            <v>2713.68</v>
          </cell>
          <cell r="D4455">
            <v>231.82</v>
          </cell>
          <cell r="E4455">
            <v>241.01</v>
          </cell>
          <cell r="F4455">
            <v>258.51</v>
          </cell>
          <cell r="G4455">
            <v>218.87</v>
          </cell>
          <cell r="H4455">
            <v>4779.49</v>
          </cell>
          <cell r="I4455">
            <v>295.49</v>
          </cell>
        </row>
        <row r="4456">
          <cell r="A4456">
            <v>38070</v>
          </cell>
          <cell r="B4456">
            <v>2610.85</v>
          </cell>
          <cell r="C4456">
            <v>2702.05</v>
          </cell>
          <cell r="D4456">
            <v>231.29</v>
          </cell>
          <cell r="E4456">
            <v>240.36</v>
          </cell>
          <cell r="F4456">
            <v>257.73</v>
          </cell>
          <cell r="G4456">
            <v>218.46</v>
          </cell>
          <cell r="H4456">
            <v>4740.7</v>
          </cell>
          <cell r="I4456">
            <v>293.73</v>
          </cell>
        </row>
        <row r="4457">
          <cell r="A4457">
            <v>38071</v>
          </cell>
          <cell r="B4457">
            <v>2644.6</v>
          </cell>
          <cell r="C4457">
            <v>2752.43</v>
          </cell>
          <cell r="D4457">
            <v>234.26</v>
          </cell>
          <cell r="E4457">
            <v>244.66</v>
          </cell>
          <cell r="F4457">
            <v>262.23</v>
          </cell>
          <cell r="G4457">
            <v>220.27</v>
          </cell>
          <cell r="H4457">
            <v>4790.88</v>
          </cell>
          <cell r="I4457">
            <v>298.64999999999998</v>
          </cell>
        </row>
        <row r="4458">
          <cell r="A4458">
            <v>38072</v>
          </cell>
          <cell r="B4458">
            <v>2649.47</v>
          </cell>
          <cell r="C4458">
            <v>2763.75</v>
          </cell>
          <cell r="D4458">
            <v>234.69</v>
          </cell>
          <cell r="E4458">
            <v>245.36</v>
          </cell>
          <cell r="F4458">
            <v>262.69</v>
          </cell>
          <cell r="G4458">
            <v>220.47</v>
          </cell>
          <cell r="H4458">
            <v>4771.68</v>
          </cell>
          <cell r="I4458">
            <v>297.07</v>
          </cell>
        </row>
        <row r="4459">
          <cell r="A4459">
            <v>38075</v>
          </cell>
          <cell r="B4459">
            <v>2678.01</v>
          </cell>
          <cell r="C4459">
            <v>2797.68</v>
          </cell>
          <cell r="D4459">
            <v>237.29</v>
          </cell>
          <cell r="E4459">
            <v>248.34</v>
          </cell>
          <cell r="F4459">
            <v>265.66000000000003</v>
          </cell>
          <cell r="G4459">
            <v>222.7</v>
          </cell>
          <cell r="H4459">
            <v>4839.2700000000004</v>
          </cell>
          <cell r="I4459">
            <v>301.77999999999997</v>
          </cell>
        </row>
        <row r="4460">
          <cell r="A4460">
            <v>38076</v>
          </cell>
          <cell r="B4460">
            <v>2680.24</v>
          </cell>
          <cell r="C4460">
            <v>2791.58</v>
          </cell>
          <cell r="D4460">
            <v>237.21</v>
          </cell>
          <cell r="E4460">
            <v>247.78</v>
          </cell>
          <cell r="F4460">
            <v>264.98</v>
          </cell>
          <cell r="G4460">
            <v>223.03</v>
          </cell>
          <cell r="H4460">
            <v>4817.6000000000004</v>
          </cell>
          <cell r="I4460">
            <v>299.97000000000003</v>
          </cell>
        </row>
        <row r="4461">
          <cell r="A4461">
            <v>38077</v>
          </cell>
          <cell r="B4461">
            <v>2663.32</v>
          </cell>
          <cell r="C4461">
            <v>2787.49</v>
          </cell>
          <cell r="D4461">
            <v>236.59</v>
          </cell>
          <cell r="E4461">
            <v>247.9</v>
          </cell>
          <cell r="F4461">
            <v>265.16000000000003</v>
          </cell>
          <cell r="G4461">
            <v>221.81</v>
          </cell>
          <cell r="H4461">
            <v>4838.41</v>
          </cell>
          <cell r="I4461">
            <v>301.42</v>
          </cell>
        </row>
        <row r="4462">
          <cell r="A4462">
            <v>38078</v>
          </cell>
          <cell r="B4462">
            <v>2694.18</v>
          </cell>
          <cell r="C4462">
            <v>2819.7</v>
          </cell>
          <cell r="D4462">
            <v>239.33</v>
          </cell>
          <cell r="E4462">
            <v>250.76</v>
          </cell>
          <cell r="F4462">
            <v>268.48</v>
          </cell>
          <cell r="G4462">
            <v>224.39</v>
          </cell>
          <cell r="H4462">
            <v>4908.6899999999996</v>
          </cell>
          <cell r="I4462">
            <v>305.42</v>
          </cell>
        </row>
        <row r="4463">
          <cell r="A4463">
            <v>38079</v>
          </cell>
          <cell r="B4463">
            <v>2742.54</v>
          </cell>
          <cell r="C4463">
            <v>2885.08</v>
          </cell>
          <cell r="D4463">
            <v>243.34</v>
          </cell>
          <cell r="E4463">
            <v>255.79</v>
          </cell>
          <cell r="F4463">
            <v>273.2</v>
          </cell>
          <cell r="G4463">
            <v>227.48</v>
          </cell>
          <cell r="H4463">
            <v>5000.17</v>
          </cell>
          <cell r="I4463">
            <v>312.17</v>
          </cell>
        </row>
        <row r="4464">
          <cell r="A4464">
            <v>38082</v>
          </cell>
          <cell r="B4464">
            <v>2763.9</v>
          </cell>
          <cell r="C4464">
            <v>2905.88</v>
          </cell>
          <cell r="D4464">
            <v>245</v>
          </cell>
          <cell r="E4464">
            <v>257.69</v>
          </cell>
          <cell r="F4464">
            <v>275.24</v>
          </cell>
          <cell r="G4464">
            <v>228.9</v>
          </cell>
          <cell r="H4464">
            <v>5049.32</v>
          </cell>
          <cell r="I4464">
            <v>314.7</v>
          </cell>
        </row>
        <row r="4465">
          <cell r="A4465">
            <v>38083</v>
          </cell>
          <cell r="B4465">
            <v>2748.4</v>
          </cell>
          <cell r="C4465">
            <v>2865.03</v>
          </cell>
          <cell r="D4465">
            <v>243.8</v>
          </cell>
          <cell r="E4465">
            <v>254.83</v>
          </cell>
          <cell r="F4465">
            <v>272.52999999999997</v>
          </cell>
          <cell r="G4465">
            <v>229.08</v>
          </cell>
          <cell r="H4465">
            <v>4943.6400000000003</v>
          </cell>
          <cell r="I4465">
            <v>301.25</v>
          </cell>
        </row>
        <row r="4466">
          <cell r="A4466">
            <v>38084</v>
          </cell>
          <cell r="B4466">
            <v>2739.65</v>
          </cell>
          <cell r="C4466">
            <v>2851.83</v>
          </cell>
          <cell r="D4466">
            <v>243.38</v>
          </cell>
          <cell r="E4466">
            <v>254.2</v>
          </cell>
          <cell r="F4466">
            <v>272.5</v>
          </cell>
          <cell r="G4466">
            <v>228.84</v>
          </cell>
          <cell r="H4466">
            <v>4957.1099999999997</v>
          </cell>
          <cell r="I4466">
            <v>300.7</v>
          </cell>
        </row>
        <row r="4467">
          <cell r="A4467">
            <v>38085</v>
          </cell>
          <cell r="B4467">
            <v>2752.3</v>
          </cell>
          <cell r="C4467">
            <v>2858.92</v>
          </cell>
          <cell r="D4467">
            <v>244.49</v>
          </cell>
          <cell r="E4467">
            <v>254.93</v>
          </cell>
          <cell r="F4467">
            <v>273.47000000000003</v>
          </cell>
          <cell r="G4467">
            <v>230.23</v>
          </cell>
          <cell r="H4467">
            <v>4970.22</v>
          </cell>
          <cell r="I4467">
            <v>301.8</v>
          </cell>
        </row>
        <row r="4468">
          <cell r="A4468">
            <v>38090</v>
          </cell>
          <cell r="B4468">
            <v>2779.68</v>
          </cell>
          <cell r="C4468">
            <v>2889.91</v>
          </cell>
          <cell r="D4468">
            <v>246.57</v>
          </cell>
          <cell r="E4468">
            <v>257.42</v>
          </cell>
          <cell r="F4468">
            <v>275.52</v>
          </cell>
          <cell r="G4468">
            <v>231.93</v>
          </cell>
          <cell r="H4468">
            <v>4977.88</v>
          </cell>
          <cell r="I4468">
            <v>302.56</v>
          </cell>
        </row>
        <row r="4469">
          <cell r="A4469">
            <v>38091</v>
          </cell>
          <cell r="B4469">
            <v>2741.41</v>
          </cell>
          <cell r="C4469">
            <v>2856.61</v>
          </cell>
          <cell r="D4469">
            <v>242.79</v>
          </cell>
          <cell r="E4469">
            <v>254.56</v>
          </cell>
          <cell r="F4469">
            <v>272.7</v>
          </cell>
          <cell r="G4469">
            <v>227.5</v>
          </cell>
          <cell r="H4469">
            <v>4914.2</v>
          </cell>
          <cell r="I4469">
            <v>298.08999999999997</v>
          </cell>
        </row>
        <row r="4470">
          <cell r="A4470">
            <v>38092</v>
          </cell>
          <cell r="B4470">
            <v>2746.7</v>
          </cell>
          <cell r="C4470">
            <v>2854.53</v>
          </cell>
          <cell r="D4470">
            <v>242.61</v>
          </cell>
          <cell r="E4470">
            <v>254.01</v>
          </cell>
          <cell r="F4470">
            <v>272.3</v>
          </cell>
          <cell r="G4470">
            <v>227.62</v>
          </cell>
          <cell r="H4470">
            <v>4877.1899999999996</v>
          </cell>
          <cell r="I4470">
            <v>296.06</v>
          </cell>
        </row>
        <row r="4471">
          <cell r="A4471">
            <v>38093</v>
          </cell>
          <cell r="B4471">
            <v>2760.23</v>
          </cell>
          <cell r="C4471">
            <v>2866.95</v>
          </cell>
          <cell r="D4471">
            <v>243.98</v>
          </cell>
          <cell r="E4471">
            <v>254.99</v>
          </cell>
          <cell r="F4471">
            <v>273.06</v>
          </cell>
          <cell r="G4471">
            <v>229.27</v>
          </cell>
          <cell r="H4471">
            <v>4861.57</v>
          </cell>
          <cell r="I4471">
            <v>291.86</v>
          </cell>
        </row>
        <row r="4472">
          <cell r="A4472">
            <v>38096</v>
          </cell>
          <cell r="B4472">
            <v>2765.55</v>
          </cell>
          <cell r="C4472">
            <v>2859.24</v>
          </cell>
          <cell r="D4472">
            <v>244.49</v>
          </cell>
          <cell r="E4472">
            <v>254.64</v>
          </cell>
          <cell r="F4472">
            <v>273.01</v>
          </cell>
          <cell r="G4472">
            <v>230.47</v>
          </cell>
          <cell r="H4472">
            <v>4871.6899999999996</v>
          </cell>
          <cell r="I4472">
            <v>293.2</v>
          </cell>
        </row>
        <row r="4473">
          <cell r="A4473">
            <v>38097</v>
          </cell>
          <cell r="B4473">
            <v>2781.85</v>
          </cell>
          <cell r="C4473">
            <v>2878.8</v>
          </cell>
          <cell r="D4473">
            <v>246.19</v>
          </cell>
          <cell r="E4473">
            <v>256.60000000000002</v>
          </cell>
          <cell r="F4473">
            <v>275.05</v>
          </cell>
          <cell r="G4473">
            <v>231.92</v>
          </cell>
          <cell r="H4473">
            <v>4949.9399999999996</v>
          </cell>
          <cell r="I4473">
            <v>297.76</v>
          </cell>
        </row>
        <row r="4474">
          <cell r="A4474">
            <v>38098</v>
          </cell>
          <cell r="B4474">
            <v>2756.89</v>
          </cell>
          <cell r="C4474">
            <v>2855.46</v>
          </cell>
          <cell r="D4474">
            <v>243.73</v>
          </cell>
          <cell r="E4474">
            <v>254.56</v>
          </cell>
          <cell r="F4474">
            <v>273.01</v>
          </cell>
          <cell r="G4474">
            <v>229.18</v>
          </cell>
          <cell r="H4474">
            <v>4902.0200000000004</v>
          </cell>
          <cell r="I4474">
            <v>294.60000000000002</v>
          </cell>
        </row>
        <row r="4475">
          <cell r="A4475">
            <v>38099</v>
          </cell>
          <cell r="B4475">
            <v>2768.05</v>
          </cell>
          <cell r="C4475">
            <v>2877.65</v>
          </cell>
          <cell r="D4475">
            <v>245.13</v>
          </cell>
          <cell r="E4475">
            <v>256.44</v>
          </cell>
          <cell r="F4475">
            <v>274.77</v>
          </cell>
          <cell r="G4475">
            <v>230.16</v>
          </cell>
          <cell r="H4475">
            <v>4975.49</v>
          </cell>
          <cell r="I4475">
            <v>298.95999999999998</v>
          </cell>
        </row>
        <row r="4476">
          <cell r="A4476">
            <v>38100</v>
          </cell>
          <cell r="B4476">
            <v>2778.4</v>
          </cell>
          <cell r="C4476">
            <v>2894.18</v>
          </cell>
          <cell r="D4476">
            <v>246.19</v>
          </cell>
          <cell r="E4476">
            <v>258.06</v>
          </cell>
          <cell r="F4476">
            <v>276.14</v>
          </cell>
          <cell r="G4476">
            <v>230.73</v>
          </cell>
          <cell r="H4476">
            <v>4956.96</v>
          </cell>
          <cell r="I4476">
            <v>297.75</v>
          </cell>
        </row>
        <row r="4477">
          <cell r="A4477">
            <v>38103</v>
          </cell>
          <cell r="B4477">
            <v>2792.35</v>
          </cell>
          <cell r="C4477">
            <v>2886.05</v>
          </cell>
          <cell r="D4477">
            <v>247.07</v>
          </cell>
          <cell r="E4477">
            <v>257.72000000000003</v>
          </cell>
          <cell r="F4477">
            <v>276.24</v>
          </cell>
          <cell r="G4477">
            <v>232.58</v>
          </cell>
          <cell r="H4477">
            <v>4942.5</v>
          </cell>
          <cell r="I4477">
            <v>296.82</v>
          </cell>
        </row>
        <row r="4478">
          <cell r="A4478">
            <v>38104</v>
          </cell>
          <cell r="B4478">
            <v>2795.53</v>
          </cell>
          <cell r="C4478">
            <v>2884.82</v>
          </cell>
          <cell r="D4478">
            <v>246.92</v>
          </cell>
          <cell r="E4478">
            <v>257.55</v>
          </cell>
          <cell r="F4478">
            <v>276.25</v>
          </cell>
          <cell r="G4478">
            <v>232.46</v>
          </cell>
          <cell r="H4478">
            <v>4936.84</v>
          </cell>
          <cell r="I4478">
            <v>296</v>
          </cell>
        </row>
        <row r="4479">
          <cell r="A4479">
            <v>38105</v>
          </cell>
          <cell r="B4479">
            <v>2753.62</v>
          </cell>
          <cell r="C4479">
            <v>2836.67</v>
          </cell>
          <cell r="D4479">
            <v>243.38</v>
          </cell>
          <cell r="E4479">
            <v>253.93</v>
          </cell>
          <cell r="F4479">
            <v>272.29000000000002</v>
          </cell>
          <cell r="G4479">
            <v>229.07</v>
          </cell>
          <cell r="H4479">
            <v>4839.3</v>
          </cell>
          <cell r="I4479">
            <v>290.61</v>
          </cell>
        </row>
        <row r="4480">
          <cell r="A4480">
            <v>38106</v>
          </cell>
          <cell r="B4480">
            <v>2733.72</v>
          </cell>
          <cell r="C4480">
            <v>2806.37</v>
          </cell>
          <cell r="D4480">
            <v>241.25</v>
          </cell>
          <cell r="E4480">
            <v>251.26</v>
          </cell>
          <cell r="F4480">
            <v>269.93</v>
          </cell>
          <cell r="G4480">
            <v>227.42</v>
          </cell>
          <cell r="H4480">
            <v>4795.63</v>
          </cell>
          <cell r="I4480">
            <v>287.32</v>
          </cell>
        </row>
        <row r="4481">
          <cell r="A4481">
            <v>38107</v>
          </cell>
          <cell r="B4481">
            <v>2707.69</v>
          </cell>
          <cell r="C4481">
            <v>2787.48</v>
          </cell>
          <cell r="D4481">
            <v>239.05</v>
          </cell>
          <cell r="E4481">
            <v>249.62</v>
          </cell>
          <cell r="F4481">
            <v>267.97000000000003</v>
          </cell>
          <cell r="G4481">
            <v>224.81</v>
          </cell>
          <cell r="H4481">
            <v>4723.88</v>
          </cell>
          <cell r="I4481">
            <v>282.77</v>
          </cell>
        </row>
        <row r="4482">
          <cell r="A4482">
            <v>38110</v>
          </cell>
          <cell r="B4482">
            <v>2722.97</v>
          </cell>
          <cell r="C4482">
            <v>2806.46</v>
          </cell>
          <cell r="D4482">
            <v>240.39</v>
          </cell>
          <cell r="E4482">
            <v>251.27</v>
          </cell>
          <cell r="F4482">
            <v>269.81</v>
          </cell>
          <cell r="G4482">
            <v>225.88</v>
          </cell>
          <cell r="H4482">
            <v>4754.57</v>
          </cell>
          <cell r="I4482">
            <v>284.58999999999997</v>
          </cell>
        </row>
        <row r="4483">
          <cell r="A4483">
            <v>38111</v>
          </cell>
          <cell r="B4483">
            <v>2737.98</v>
          </cell>
          <cell r="C4483">
            <v>2799.71</v>
          </cell>
          <cell r="D4483">
            <v>241.34</v>
          </cell>
          <cell r="E4483">
            <v>250.79</v>
          </cell>
          <cell r="F4483">
            <v>269.60000000000002</v>
          </cell>
          <cell r="G4483">
            <v>227.97</v>
          </cell>
          <cell r="H4483">
            <v>4753.26</v>
          </cell>
          <cell r="I4483">
            <v>283.73</v>
          </cell>
        </row>
        <row r="4484">
          <cell r="A4484">
            <v>38112</v>
          </cell>
          <cell r="B4484">
            <v>2753.15</v>
          </cell>
          <cell r="C4484">
            <v>2823.37</v>
          </cell>
          <cell r="D4484">
            <v>242.39</v>
          </cell>
          <cell r="E4484">
            <v>252.48</v>
          </cell>
          <cell r="F4484">
            <v>271.75</v>
          </cell>
          <cell r="G4484">
            <v>228.48</v>
          </cell>
          <cell r="H4484">
            <v>4815.55</v>
          </cell>
          <cell r="I4484">
            <v>287.86</v>
          </cell>
        </row>
        <row r="4485">
          <cell r="A4485">
            <v>38113</v>
          </cell>
          <cell r="B4485">
            <v>2721.48</v>
          </cell>
          <cell r="C4485">
            <v>2765.74</v>
          </cell>
          <cell r="D4485">
            <v>239.2</v>
          </cell>
          <cell r="E4485">
            <v>247.54</v>
          </cell>
          <cell r="F4485">
            <v>266.77</v>
          </cell>
          <cell r="G4485">
            <v>226.79</v>
          </cell>
          <cell r="H4485">
            <v>4697.8500000000004</v>
          </cell>
          <cell r="I4485">
            <v>281.72000000000003</v>
          </cell>
        </row>
        <row r="4486">
          <cell r="A4486">
            <v>38114</v>
          </cell>
          <cell r="B4486">
            <v>2725.64</v>
          </cell>
          <cell r="C4486">
            <v>2756.85</v>
          </cell>
          <cell r="D4486">
            <v>239.35</v>
          </cell>
          <cell r="E4486">
            <v>246.92</v>
          </cell>
          <cell r="F4486">
            <v>266.24</v>
          </cell>
          <cell r="G4486">
            <v>227.57</v>
          </cell>
          <cell r="H4486">
            <v>4695.12</v>
          </cell>
          <cell r="I4486">
            <v>281.81</v>
          </cell>
        </row>
        <row r="4487">
          <cell r="A4487">
            <v>38117</v>
          </cell>
          <cell r="B4487">
            <v>2659.03</v>
          </cell>
          <cell r="C4487">
            <v>2684.96</v>
          </cell>
          <cell r="D4487">
            <v>232.99</v>
          </cell>
          <cell r="E4487">
            <v>240.31</v>
          </cell>
          <cell r="F4487">
            <v>258.77999999999997</v>
          </cell>
          <cell r="G4487">
            <v>221.55</v>
          </cell>
          <cell r="H4487">
            <v>4520.8500000000004</v>
          </cell>
          <cell r="I4487">
            <v>271.69</v>
          </cell>
        </row>
        <row r="4488">
          <cell r="A4488">
            <v>38118</v>
          </cell>
          <cell r="B4488">
            <v>2687.34</v>
          </cell>
          <cell r="C4488">
            <v>2721.08</v>
          </cell>
          <cell r="D4488">
            <v>235.53</v>
          </cell>
          <cell r="E4488">
            <v>243.62</v>
          </cell>
          <cell r="F4488">
            <v>262.41000000000003</v>
          </cell>
          <cell r="G4488">
            <v>223.41</v>
          </cell>
          <cell r="H4488">
            <v>4593</v>
          </cell>
          <cell r="I4488">
            <v>275.48</v>
          </cell>
        </row>
        <row r="4489">
          <cell r="A4489">
            <v>38119</v>
          </cell>
          <cell r="B4489">
            <v>2655.73</v>
          </cell>
          <cell r="C4489">
            <v>2680.1</v>
          </cell>
          <cell r="D4489">
            <v>233.13</v>
          </cell>
          <cell r="E4489">
            <v>240.39</v>
          </cell>
          <cell r="F4489">
            <v>259.02</v>
          </cell>
          <cell r="G4489">
            <v>221.74</v>
          </cell>
          <cell r="H4489">
            <v>4523.68</v>
          </cell>
          <cell r="I4489">
            <v>271.25</v>
          </cell>
        </row>
        <row r="4490">
          <cell r="A4490">
            <v>38120</v>
          </cell>
          <cell r="B4490">
            <v>2682.68</v>
          </cell>
          <cell r="C4490">
            <v>2712.5</v>
          </cell>
          <cell r="D4490">
            <v>235.53</v>
          </cell>
          <cell r="E4490">
            <v>243.06</v>
          </cell>
          <cell r="F4490">
            <v>262.16000000000003</v>
          </cell>
          <cell r="G4490">
            <v>223.86</v>
          </cell>
          <cell r="H4490">
            <v>4623.49</v>
          </cell>
          <cell r="I4490">
            <v>276.07</v>
          </cell>
        </row>
        <row r="4491">
          <cell r="A4491">
            <v>38121</v>
          </cell>
          <cell r="B4491">
            <v>2665.67</v>
          </cell>
          <cell r="C4491">
            <v>2694.92</v>
          </cell>
          <cell r="D4491">
            <v>234.04</v>
          </cell>
          <cell r="E4491">
            <v>241.46</v>
          </cell>
          <cell r="F4491">
            <v>260.49</v>
          </cell>
          <cell r="G4491">
            <v>222.5</v>
          </cell>
          <cell r="H4491">
            <v>4580.88</v>
          </cell>
          <cell r="I4491">
            <v>273.33999999999997</v>
          </cell>
        </row>
        <row r="4492">
          <cell r="A4492">
            <v>38124</v>
          </cell>
          <cell r="B4492">
            <v>2626.96</v>
          </cell>
          <cell r="C4492">
            <v>2659.85</v>
          </cell>
          <cell r="D4492">
            <v>230.6</v>
          </cell>
          <cell r="E4492">
            <v>238.19</v>
          </cell>
          <cell r="F4492">
            <v>256.99</v>
          </cell>
          <cell r="G4492">
            <v>218.99</v>
          </cell>
          <cell r="H4492">
            <v>4509.38</v>
          </cell>
          <cell r="I4492">
            <v>268.95999999999998</v>
          </cell>
        </row>
        <row r="4493">
          <cell r="A4493">
            <v>38125</v>
          </cell>
          <cell r="B4493">
            <v>2643.43</v>
          </cell>
          <cell r="C4493">
            <v>2675.75</v>
          </cell>
          <cell r="D4493">
            <v>232.29</v>
          </cell>
          <cell r="E4493">
            <v>239.84</v>
          </cell>
          <cell r="F4493">
            <v>258.77999999999997</v>
          </cell>
          <cell r="G4493">
            <v>220.69</v>
          </cell>
          <cell r="H4493">
            <v>4558.9399999999996</v>
          </cell>
          <cell r="I4493">
            <v>271.79000000000002</v>
          </cell>
        </row>
        <row r="4494">
          <cell r="A4494">
            <v>38126</v>
          </cell>
          <cell r="B4494">
            <v>2683.28</v>
          </cell>
          <cell r="C4494">
            <v>2729.52</v>
          </cell>
          <cell r="D4494">
            <v>236.15</v>
          </cell>
          <cell r="E4494">
            <v>244.44</v>
          </cell>
          <cell r="F4494">
            <v>263.45999999999998</v>
          </cell>
          <cell r="G4494">
            <v>223.85</v>
          </cell>
          <cell r="H4494">
            <v>4640.1400000000003</v>
          </cell>
          <cell r="I4494">
            <v>276.98</v>
          </cell>
        </row>
        <row r="4495">
          <cell r="A4495">
            <v>38127</v>
          </cell>
          <cell r="B4495">
            <v>2666.3</v>
          </cell>
          <cell r="C4495">
            <v>2708.55</v>
          </cell>
          <cell r="D4495">
            <v>234.67</v>
          </cell>
          <cell r="E4495">
            <v>242.57</v>
          </cell>
          <cell r="F4495">
            <v>261.93</v>
          </cell>
          <cell r="G4495">
            <v>222.71</v>
          </cell>
          <cell r="H4495">
            <v>4645.0600000000004</v>
          </cell>
          <cell r="I4495">
            <v>277.24</v>
          </cell>
        </row>
        <row r="4496">
          <cell r="A4496">
            <v>38128</v>
          </cell>
          <cell r="B4496">
            <v>2658.28</v>
          </cell>
          <cell r="C4496">
            <v>2697.46</v>
          </cell>
          <cell r="D4496">
            <v>234.49</v>
          </cell>
          <cell r="E4496">
            <v>242.05</v>
          </cell>
          <cell r="F4496">
            <v>261</v>
          </cell>
          <cell r="G4496">
            <v>222.81</v>
          </cell>
          <cell r="H4496">
            <v>4614.41</v>
          </cell>
          <cell r="I4496">
            <v>274.23</v>
          </cell>
        </row>
        <row r="4497">
          <cell r="A4497">
            <v>38131</v>
          </cell>
          <cell r="B4497">
            <v>2672.9</v>
          </cell>
          <cell r="C4497">
            <v>2716.07</v>
          </cell>
          <cell r="D4497">
            <v>235.73</v>
          </cell>
          <cell r="E4497">
            <v>243.54</v>
          </cell>
          <cell r="F4497">
            <v>262.45999999999998</v>
          </cell>
          <cell r="G4497">
            <v>223.83</v>
          </cell>
          <cell r="H4497">
            <v>4632.3900000000003</v>
          </cell>
          <cell r="I4497">
            <v>275.72000000000003</v>
          </cell>
        </row>
        <row r="4498">
          <cell r="A4498">
            <v>38132</v>
          </cell>
          <cell r="B4498">
            <v>2660.82</v>
          </cell>
          <cell r="C4498">
            <v>2699.36</v>
          </cell>
          <cell r="D4498">
            <v>234.42</v>
          </cell>
          <cell r="E4498">
            <v>241.91</v>
          </cell>
          <cell r="F4498">
            <v>260.7</v>
          </cell>
          <cell r="G4498">
            <v>222.81</v>
          </cell>
          <cell r="H4498">
            <v>4571.2299999999996</v>
          </cell>
          <cell r="I4498">
            <v>272.45999999999998</v>
          </cell>
        </row>
        <row r="4499">
          <cell r="A4499">
            <v>38133</v>
          </cell>
          <cell r="B4499">
            <v>2680.32</v>
          </cell>
          <cell r="C4499">
            <v>2729.62</v>
          </cell>
          <cell r="D4499">
            <v>236.51</v>
          </cell>
          <cell r="E4499">
            <v>244.53</v>
          </cell>
          <cell r="F4499">
            <v>263.13</v>
          </cell>
          <cell r="G4499">
            <v>224.42</v>
          </cell>
          <cell r="H4499">
            <v>4601.28</v>
          </cell>
          <cell r="I4499">
            <v>274.76</v>
          </cell>
        </row>
        <row r="4500">
          <cell r="A4500">
            <v>38134</v>
          </cell>
          <cell r="B4500">
            <v>2688.92</v>
          </cell>
          <cell r="C4500">
            <v>2752.02</v>
          </cell>
          <cell r="D4500">
            <v>237.72</v>
          </cell>
          <cell r="E4500">
            <v>246.32</v>
          </cell>
          <cell r="F4500">
            <v>265.2</v>
          </cell>
          <cell r="G4500">
            <v>225.12</v>
          </cell>
          <cell r="H4500">
            <v>4644.68</v>
          </cell>
          <cell r="I4500">
            <v>277.74</v>
          </cell>
        </row>
        <row r="4501">
          <cell r="A4501">
            <v>38135</v>
          </cell>
          <cell r="B4501">
            <v>2669.36</v>
          </cell>
          <cell r="C4501">
            <v>2736.83</v>
          </cell>
          <cell r="D4501">
            <v>236.93</v>
          </cell>
          <cell r="E4501">
            <v>245.43</v>
          </cell>
          <cell r="F4501">
            <v>263.98</v>
          </cell>
          <cell r="G4501">
            <v>224.43</v>
          </cell>
          <cell r="H4501">
            <v>4653.37</v>
          </cell>
          <cell r="I4501">
            <v>277.85000000000002</v>
          </cell>
        </row>
        <row r="4502">
          <cell r="A4502">
            <v>38138</v>
          </cell>
          <cell r="B4502">
            <v>2675.37</v>
          </cell>
          <cell r="C4502">
            <v>2749.62</v>
          </cell>
          <cell r="D4502">
            <v>237.35</v>
          </cell>
          <cell r="E4502">
            <v>246.37</v>
          </cell>
          <cell r="F4502">
            <v>264.74</v>
          </cell>
          <cell r="G4502">
            <v>224.43</v>
          </cell>
          <cell r="H4502">
            <v>4657.74</v>
          </cell>
          <cell r="I4502">
            <v>278.8</v>
          </cell>
        </row>
        <row r="4503">
          <cell r="A4503">
            <v>38139</v>
          </cell>
          <cell r="B4503">
            <v>2659.66</v>
          </cell>
          <cell r="C4503">
            <v>2713.29</v>
          </cell>
          <cell r="D4503">
            <v>235.75</v>
          </cell>
          <cell r="E4503">
            <v>243.46</v>
          </cell>
          <cell r="F4503">
            <v>261.99</v>
          </cell>
          <cell r="G4503">
            <v>223.92</v>
          </cell>
          <cell r="H4503">
            <v>4628.74</v>
          </cell>
          <cell r="I4503">
            <v>276.58999999999997</v>
          </cell>
        </row>
        <row r="4504">
          <cell r="A4504">
            <v>38140</v>
          </cell>
          <cell r="B4504">
            <v>2667.72</v>
          </cell>
          <cell r="C4504">
            <v>2730.15</v>
          </cell>
          <cell r="D4504">
            <v>236.61</v>
          </cell>
          <cell r="E4504">
            <v>244.78</v>
          </cell>
          <cell r="F4504">
            <v>263.62</v>
          </cell>
          <cell r="G4504">
            <v>224.4</v>
          </cell>
          <cell r="H4504">
            <v>4651.9399999999996</v>
          </cell>
          <cell r="I4504">
            <v>277.58</v>
          </cell>
        </row>
        <row r="4505">
          <cell r="A4505">
            <v>38141</v>
          </cell>
          <cell r="B4505">
            <v>2679.24</v>
          </cell>
          <cell r="C4505">
            <v>2736.72</v>
          </cell>
          <cell r="D4505">
            <v>237.46</v>
          </cell>
          <cell r="E4505">
            <v>245.52</v>
          </cell>
          <cell r="F4505">
            <v>264.45999999999998</v>
          </cell>
          <cell r="G4505">
            <v>225.3</v>
          </cell>
          <cell r="H4505">
            <v>4661.9399999999996</v>
          </cell>
          <cell r="I4505">
            <v>277.68</v>
          </cell>
        </row>
        <row r="4506">
          <cell r="A4506">
            <v>38142</v>
          </cell>
          <cell r="B4506">
            <v>2694.56</v>
          </cell>
          <cell r="C4506">
            <v>2767.87</v>
          </cell>
          <cell r="D4506">
            <v>239.17</v>
          </cell>
          <cell r="E4506">
            <v>248.14</v>
          </cell>
          <cell r="F4506">
            <v>267.13</v>
          </cell>
          <cell r="G4506">
            <v>226.24</v>
          </cell>
          <cell r="H4506">
            <v>4730.87</v>
          </cell>
          <cell r="I4506">
            <v>281.93</v>
          </cell>
        </row>
        <row r="4507">
          <cell r="A4507">
            <v>38145</v>
          </cell>
          <cell r="B4507">
            <v>2714.76</v>
          </cell>
          <cell r="C4507">
            <v>2799.81</v>
          </cell>
          <cell r="D4507">
            <v>240.8</v>
          </cell>
          <cell r="E4507">
            <v>250.49</v>
          </cell>
          <cell r="F4507">
            <v>269.73</v>
          </cell>
          <cell r="G4507">
            <v>227.24</v>
          </cell>
          <cell r="H4507">
            <v>4789.55</v>
          </cell>
          <cell r="I4507">
            <v>285.92</v>
          </cell>
        </row>
        <row r="4508">
          <cell r="A4508">
            <v>38146</v>
          </cell>
          <cell r="B4508">
            <v>2724.99</v>
          </cell>
          <cell r="C4508">
            <v>2800.36</v>
          </cell>
          <cell r="D4508">
            <v>241.46</v>
          </cell>
          <cell r="E4508">
            <v>250.57</v>
          </cell>
          <cell r="F4508">
            <v>269.89</v>
          </cell>
          <cell r="G4508">
            <v>228.35</v>
          </cell>
          <cell r="H4508">
            <v>4793.2299999999996</v>
          </cell>
          <cell r="I4508">
            <v>286.39</v>
          </cell>
        </row>
        <row r="4509">
          <cell r="A4509">
            <v>38147</v>
          </cell>
          <cell r="B4509">
            <v>2727.19</v>
          </cell>
          <cell r="C4509">
            <v>2787.39</v>
          </cell>
          <cell r="D4509">
            <v>241.58</v>
          </cell>
          <cell r="E4509">
            <v>249.63</v>
          </cell>
          <cell r="F4509">
            <v>268.95</v>
          </cell>
          <cell r="G4509">
            <v>229.34</v>
          </cell>
          <cell r="H4509">
            <v>4756.2299999999996</v>
          </cell>
          <cell r="I4509">
            <v>285.08</v>
          </cell>
        </row>
        <row r="4510">
          <cell r="A4510">
            <v>38148</v>
          </cell>
          <cell r="B4510">
            <v>2732.98</v>
          </cell>
          <cell r="C4510">
            <v>2800.18</v>
          </cell>
          <cell r="D4510">
            <v>241.94</v>
          </cell>
          <cell r="E4510">
            <v>250.48</v>
          </cell>
          <cell r="F4510">
            <v>269.52</v>
          </cell>
          <cell r="G4510">
            <v>229.3</v>
          </cell>
          <cell r="H4510">
            <v>4746.68</v>
          </cell>
          <cell r="I4510">
            <v>284.06</v>
          </cell>
        </row>
        <row r="4511">
          <cell r="A4511">
            <v>38149</v>
          </cell>
          <cell r="B4511">
            <v>2730.81</v>
          </cell>
          <cell r="C4511">
            <v>2797.05</v>
          </cell>
          <cell r="D4511">
            <v>241.65</v>
          </cell>
          <cell r="E4511">
            <v>250.04</v>
          </cell>
          <cell r="F4511">
            <v>269.12</v>
          </cell>
          <cell r="G4511">
            <v>229.14</v>
          </cell>
          <cell r="H4511">
            <v>4761.22</v>
          </cell>
          <cell r="I4511">
            <v>285.29000000000002</v>
          </cell>
        </row>
        <row r="4512">
          <cell r="A4512">
            <v>38152</v>
          </cell>
          <cell r="B4512">
            <v>2689.28</v>
          </cell>
          <cell r="C4512">
            <v>2759.27</v>
          </cell>
          <cell r="D4512">
            <v>238.2</v>
          </cell>
          <cell r="E4512">
            <v>246.92</v>
          </cell>
          <cell r="F4512">
            <v>265.76</v>
          </cell>
          <cell r="G4512">
            <v>225.5</v>
          </cell>
          <cell r="H4512">
            <v>4690.84</v>
          </cell>
          <cell r="I4512">
            <v>280.94</v>
          </cell>
        </row>
        <row r="4513">
          <cell r="A4513">
            <v>38153</v>
          </cell>
          <cell r="B4513">
            <v>2710.53</v>
          </cell>
          <cell r="C4513">
            <v>2785.68</v>
          </cell>
          <cell r="D4513">
            <v>239.96</v>
          </cell>
          <cell r="E4513">
            <v>249.03</v>
          </cell>
          <cell r="F4513">
            <v>267.85000000000002</v>
          </cell>
          <cell r="G4513">
            <v>226.93</v>
          </cell>
          <cell r="H4513">
            <v>4724.8599999999997</v>
          </cell>
          <cell r="I4513">
            <v>282.98</v>
          </cell>
        </row>
        <row r="4514">
          <cell r="A4514">
            <v>38154</v>
          </cell>
          <cell r="B4514">
            <v>2740.36</v>
          </cell>
          <cell r="C4514">
            <v>2807.15</v>
          </cell>
          <cell r="D4514">
            <v>242.35</v>
          </cell>
          <cell r="E4514">
            <v>250.51</v>
          </cell>
          <cell r="F4514">
            <v>269.36</v>
          </cell>
          <cell r="G4514">
            <v>230.01</v>
          </cell>
          <cell r="H4514">
            <v>4741.8999999999996</v>
          </cell>
          <cell r="I4514">
            <v>283.79000000000002</v>
          </cell>
        </row>
        <row r="4515">
          <cell r="A4515">
            <v>38155</v>
          </cell>
          <cell r="B4515">
            <v>2745.4</v>
          </cell>
          <cell r="C4515">
            <v>2807.16</v>
          </cell>
          <cell r="D4515">
            <v>242.73</v>
          </cell>
          <cell r="E4515">
            <v>250.64</v>
          </cell>
          <cell r="F4515">
            <v>269.75</v>
          </cell>
          <cell r="G4515">
            <v>230.58</v>
          </cell>
          <cell r="H4515">
            <v>4731.29</v>
          </cell>
          <cell r="I4515">
            <v>283.01</v>
          </cell>
        </row>
        <row r="4516">
          <cell r="A4516">
            <v>38156</v>
          </cell>
          <cell r="B4516">
            <v>2750.05</v>
          </cell>
          <cell r="C4516">
            <v>2822.06</v>
          </cell>
          <cell r="D4516">
            <v>243</v>
          </cell>
          <cell r="E4516">
            <v>251.58</v>
          </cell>
          <cell r="F4516">
            <v>270.55</v>
          </cell>
          <cell r="G4516">
            <v>230.29</v>
          </cell>
          <cell r="H4516">
            <v>4738.8100000000004</v>
          </cell>
          <cell r="I4516">
            <v>283.68</v>
          </cell>
        </row>
        <row r="4517">
          <cell r="A4517">
            <v>38159</v>
          </cell>
          <cell r="B4517">
            <v>2743.16</v>
          </cell>
          <cell r="C4517">
            <v>2816.56</v>
          </cell>
          <cell r="D4517">
            <v>242.71</v>
          </cell>
          <cell r="E4517">
            <v>251.3</v>
          </cell>
          <cell r="F4517">
            <v>270.43</v>
          </cell>
          <cell r="G4517">
            <v>230</v>
          </cell>
          <cell r="H4517">
            <v>4747.17</v>
          </cell>
          <cell r="I4517">
            <v>283.92</v>
          </cell>
        </row>
        <row r="4518">
          <cell r="A4518">
            <v>38160</v>
          </cell>
          <cell r="B4518">
            <v>2704.31</v>
          </cell>
          <cell r="C4518">
            <v>2782.43</v>
          </cell>
          <cell r="D4518">
            <v>240.19</v>
          </cell>
          <cell r="E4518">
            <v>248.84</v>
          </cell>
          <cell r="F4518">
            <v>267.87</v>
          </cell>
          <cell r="G4518">
            <v>227.5</v>
          </cell>
          <cell r="H4518">
            <v>4739.75</v>
          </cell>
          <cell r="I4518">
            <v>282.89</v>
          </cell>
        </row>
        <row r="4519">
          <cell r="A4519">
            <v>38161</v>
          </cell>
          <cell r="B4519">
            <v>2710.41</v>
          </cell>
          <cell r="C4519">
            <v>2793.63</v>
          </cell>
          <cell r="D4519">
            <v>241.02</v>
          </cell>
          <cell r="E4519">
            <v>249.79</v>
          </cell>
          <cell r="F4519">
            <v>268.82</v>
          </cell>
          <cell r="G4519">
            <v>228.22</v>
          </cell>
          <cell r="H4519">
            <v>4795.3500000000004</v>
          </cell>
          <cell r="I4519">
            <v>286.17</v>
          </cell>
        </row>
        <row r="4520">
          <cell r="A4520">
            <v>38162</v>
          </cell>
          <cell r="B4520">
            <v>2723.81</v>
          </cell>
          <cell r="C4520">
            <v>2822.35</v>
          </cell>
          <cell r="D4520">
            <v>242.01</v>
          </cell>
          <cell r="E4520">
            <v>251.94</v>
          </cell>
          <cell r="F4520">
            <v>271.06</v>
          </cell>
          <cell r="G4520">
            <v>228.23</v>
          </cell>
          <cell r="H4520">
            <v>4838.5200000000004</v>
          </cell>
          <cell r="I4520">
            <v>288.99</v>
          </cell>
        </row>
        <row r="4521">
          <cell r="A4521">
            <v>38163</v>
          </cell>
          <cell r="B4521">
            <v>2720.08</v>
          </cell>
          <cell r="C4521">
            <v>2818.86</v>
          </cell>
          <cell r="D4521">
            <v>242.04</v>
          </cell>
          <cell r="E4521">
            <v>251.69</v>
          </cell>
          <cell r="F4521">
            <v>270.76</v>
          </cell>
          <cell r="G4521">
            <v>228.5</v>
          </cell>
          <cell r="H4521">
            <v>4841.7700000000004</v>
          </cell>
          <cell r="I4521">
            <v>289.33999999999997</v>
          </cell>
        </row>
        <row r="4522">
          <cell r="A4522">
            <v>38166</v>
          </cell>
          <cell r="B4522">
            <v>2734.01</v>
          </cell>
          <cell r="C4522">
            <v>2840.04</v>
          </cell>
          <cell r="D4522">
            <v>243.6</v>
          </cell>
          <cell r="E4522">
            <v>253.87</v>
          </cell>
          <cell r="F4522">
            <v>272.69</v>
          </cell>
          <cell r="G4522">
            <v>229.5</v>
          </cell>
          <cell r="H4522">
            <v>4848.21</v>
          </cell>
          <cell r="I4522">
            <v>290.07</v>
          </cell>
        </row>
        <row r="4523">
          <cell r="A4523">
            <v>38167</v>
          </cell>
          <cell r="B4523">
            <v>2714.57</v>
          </cell>
          <cell r="C4523">
            <v>2828.59</v>
          </cell>
          <cell r="D4523">
            <v>242.48</v>
          </cell>
          <cell r="E4523">
            <v>253.22</v>
          </cell>
          <cell r="F4523">
            <v>271.81</v>
          </cell>
          <cell r="G4523">
            <v>228.03</v>
          </cell>
          <cell r="H4523">
            <v>4853.1499999999996</v>
          </cell>
          <cell r="I4523">
            <v>289.99</v>
          </cell>
        </row>
        <row r="4524">
          <cell r="A4524">
            <v>38168</v>
          </cell>
          <cell r="B4524">
            <v>2687.68</v>
          </cell>
          <cell r="C4524">
            <v>2811.08</v>
          </cell>
          <cell r="D4524">
            <v>240.86</v>
          </cell>
          <cell r="E4524">
            <v>252.24</v>
          </cell>
          <cell r="F4524">
            <v>270.60000000000002</v>
          </cell>
          <cell r="G4524">
            <v>225.93</v>
          </cell>
          <cell r="H4524">
            <v>4855.05</v>
          </cell>
          <cell r="I4524">
            <v>290.52999999999997</v>
          </cell>
        </row>
        <row r="4525">
          <cell r="A4525">
            <v>38169</v>
          </cell>
          <cell r="B4525">
            <v>2680.72</v>
          </cell>
          <cell r="C4525">
            <v>2806.62</v>
          </cell>
          <cell r="D4525">
            <v>240.08</v>
          </cell>
          <cell r="E4525">
            <v>251.68</v>
          </cell>
          <cell r="F4525">
            <v>270.29000000000002</v>
          </cell>
          <cell r="G4525">
            <v>224.99</v>
          </cell>
          <cell r="H4525">
            <v>4867.2</v>
          </cell>
          <cell r="I4525">
            <v>291.7</v>
          </cell>
        </row>
        <row r="4526">
          <cell r="A4526">
            <v>38170</v>
          </cell>
          <cell r="B4526">
            <v>2660.89</v>
          </cell>
          <cell r="C4526">
            <v>2783.99</v>
          </cell>
          <cell r="D4526">
            <v>238.44</v>
          </cell>
          <cell r="E4526">
            <v>249.85</v>
          </cell>
          <cell r="F4526">
            <v>268.74</v>
          </cell>
          <cell r="G4526">
            <v>223.53</v>
          </cell>
          <cell r="H4526">
            <v>4840.9799999999996</v>
          </cell>
          <cell r="I4526">
            <v>289.17</v>
          </cell>
        </row>
        <row r="4527">
          <cell r="A4527">
            <v>38173</v>
          </cell>
          <cell r="B4527">
            <v>2661.15</v>
          </cell>
          <cell r="C4527">
            <v>2784.92</v>
          </cell>
          <cell r="D4527">
            <v>238.3</v>
          </cell>
          <cell r="E4527">
            <v>249.7</v>
          </cell>
          <cell r="F4527">
            <v>268.32</v>
          </cell>
          <cell r="G4527">
            <v>223.41</v>
          </cell>
          <cell r="H4527">
            <v>4830.6899999999996</v>
          </cell>
          <cell r="I4527">
            <v>288.37</v>
          </cell>
        </row>
        <row r="4528">
          <cell r="A4528">
            <v>38174</v>
          </cell>
          <cell r="B4528">
            <v>2648.67</v>
          </cell>
          <cell r="C4528">
            <v>2764.89</v>
          </cell>
          <cell r="D4528">
            <v>237.08</v>
          </cell>
          <cell r="E4528">
            <v>247.77</v>
          </cell>
          <cell r="F4528">
            <v>266.35000000000002</v>
          </cell>
          <cell r="G4528">
            <v>222.79</v>
          </cell>
          <cell r="H4528">
            <v>4796.4399999999996</v>
          </cell>
          <cell r="I4528">
            <v>286.33</v>
          </cell>
        </row>
        <row r="4529">
          <cell r="A4529">
            <v>38175</v>
          </cell>
          <cell r="B4529">
            <v>2643.03</v>
          </cell>
          <cell r="C4529">
            <v>2764.31</v>
          </cell>
          <cell r="D4529">
            <v>236.74</v>
          </cell>
          <cell r="E4529">
            <v>247.59</v>
          </cell>
          <cell r="F4529">
            <v>266.08999999999997</v>
          </cell>
          <cell r="G4529">
            <v>222.33</v>
          </cell>
          <cell r="H4529">
            <v>4788.3999999999996</v>
          </cell>
          <cell r="I4529">
            <v>285.5</v>
          </cell>
        </row>
        <row r="4530">
          <cell r="A4530">
            <v>38176</v>
          </cell>
          <cell r="B4530">
            <v>2656.29</v>
          </cell>
          <cell r="C4530">
            <v>2776.88</v>
          </cell>
          <cell r="D4530">
            <v>237.44</v>
          </cell>
          <cell r="E4530">
            <v>248.23</v>
          </cell>
          <cell r="F4530">
            <v>266.86</v>
          </cell>
          <cell r="G4530">
            <v>223.07</v>
          </cell>
          <cell r="H4530">
            <v>4788.3500000000004</v>
          </cell>
          <cell r="I4530">
            <v>285.64</v>
          </cell>
        </row>
        <row r="4531">
          <cell r="A4531">
            <v>38177</v>
          </cell>
          <cell r="B4531">
            <v>2655.89</v>
          </cell>
          <cell r="C4531">
            <v>2776.25</v>
          </cell>
          <cell r="D4531">
            <v>237.32</v>
          </cell>
          <cell r="E4531">
            <v>248.22</v>
          </cell>
          <cell r="F4531">
            <v>266.42</v>
          </cell>
          <cell r="G4531">
            <v>222.87</v>
          </cell>
          <cell r="H4531">
            <v>4762.5600000000004</v>
          </cell>
          <cell r="I4531">
            <v>284.55</v>
          </cell>
        </row>
        <row r="4532">
          <cell r="A4532">
            <v>38180</v>
          </cell>
          <cell r="B4532">
            <v>2640.6</v>
          </cell>
          <cell r="C4532">
            <v>2760.12</v>
          </cell>
          <cell r="D4532">
            <v>236.33</v>
          </cell>
          <cell r="E4532">
            <v>246.99</v>
          </cell>
          <cell r="F4532">
            <v>265.08999999999997</v>
          </cell>
          <cell r="G4532">
            <v>222.08</v>
          </cell>
          <cell r="H4532">
            <v>4712.18</v>
          </cell>
          <cell r="I4532">
            <v>281.67</v>
          </cell>
        </row>
        <row r="4533">
          <cell r="A4533">
            <v>38181</v>
          </cell>
          <cell r="B4533">
            <v>2641.62</v>
          </cell>
          <cell r="C4533">
            <v>2763.2</v>
          </cell>
          <cell r="D4533">
            <v>236.7</v>
          </cell>
          <cell r="E4533">
            <v>247.29</v>
          </cell>
          <cell r="F4533">
            <v>265.31</v>
          </cell>
          <cell r="G4533">
            <v>222.51</v>
          </cell>
          <cell r="H4533">
            <v>4735.0200000000004</v>
          </cell>
          <cell r="I4533">
            <v>282.88</v>
          </cell>
        </row>
        <row r="4534">
          <cell r="A4534">
            <v>38182</v>
          </cell>
          <cell r="B4534">
            <v>2639.46</v>
          </cell>
          <cell r="C4534">
            <v>2754.77</v>
          </cell>
          <cell r="D4534">
            <v>236.23</v>
          </cell>
          <cell r="E4534">
            <v>246.52</v>
          </cell>
          <cell r="F4534">
            <v>264.95999999999998</v>
          </cell>
          <cell r="G4534">
            <v>222.29</v>
          </cell>
          <cell r="H4534">
            <v>4743.5</v>
          </cell>
          <cell r="I4534">
            <v>282.99</v>
          </cell>
        </row>
        <row r="4535">
          <cell r="A4535">
            <v>38183</v>
          </cell>
          <cell r="B4535">
            <v>2607.0100000000002</v>
          </cell>
          <cell r="C4535">
            <v>2715.64</v>
          </cell>
          <cell r="D4535">
            <v>233.8</v>
          </cell>
          <cell r="E4535">
            <v>243.65</v>
          </cell>
          <cell r="F4535">
            <v>261.74</v>
          </cell>
          <cell r="G4535">
            <v>220.27</v>
          </cell>
          <cell r="H4535">
            <v>4648.1499999999996</v>
          </cell>
          <cell r="I4535">
            <v>274.77999999999997</v>
          </cell>
        </row>
        <row r="4536">
          <cell r="A4536">
            <v>38184</v>
          </cell>
          <cell r="B4536">
            <v>2607.67</v>
          </cell>
          <cell r="C4536">
            <v>2713.27</v>
          </cell>
          <cell r="D4536">
            <v>234.32</v>
          </cell>
          <cell r="E4536">
            <v>243.8</v>
          </cell>
          <cell r="F4536">
            <v>261.89999999999998</v>
          </cell>
          <cell r="G4536">
            <v>221.09</v>
          </cell>
          <cell r="H4536">
            <v>4659.97</v>
          </cell>
          <cell r="I4536">
            <v>275.05</v>
          </cell>
        </row>
        <row r="4537">
          <cell r="A4537">
            <v>38187</v>
          </cell>
          <cell r="B4537">
            <v>2593.83</v>
          </cell>
          <cell r="C4537">
            <v>2697.69</v>
          </cell>
          <cell r="D4537">
            <v>233.14</v>
          </cell>
          <cell r="E4537">
            <v>242.46</v>
          </cell>
          <cell r="F4537">
            <v>260.3</v>
          </cell>
          <cell r="G4537">
            <v>220.06</v>
          </cell>
          <cell r="H4537">
            <v>4621.62</v>
          </cell>
          <cell r="I4537">
            <v>272.58</v>
          </cell>
        </row>
        <row r="4538">
          <cell r="A4538">
            <v>38188</v>
          </cell>
          <cell r="B4538">
            <v>2603.33</v>
          </cell>
          <cell r="C4538">
            <v>2708.16</v>
          </cell>
          <cell r="D4538">
            <v>233.53</v>
          </cell>
          <cell r="E4538">
            <v>243.37</v>
          </cell>
          <cell r="F4538">
            <v>261.32</v>
          </cell>
          <cell r="G4538">
            <v>220.02</v>
          </cell>
          <cell r="H4538">
            <v>4625.74</v>
          </cell>
          <cell r="I4538">
            <v>273.08</v>
          </cell>
        </row>
        <row r="4539">
          <cell r="A4539">
            <v>38189</v>
          </cell>
          <cell r="B4539">
            <v>2631.29</v>
          </cell>
          <cell r="C4539">
            <v>2728.91</v>
          </cell>
          <cell r="D4539">
            <v>235.81</v>
          </cell>
          <cell r="E4539">
            <v>245.27</v>
          </cell>
          <cell r="F4539">
            <v>263.7</v>
          </cell>
          <cell r="G4539">
            <v>222.55</v>
          </cell>
          <cell r="H4539">
            <v>4699.3999999999996</v>
          </cell>
          <cell r="I4539">
            <v>278.19</v>
          </cell>
        </row>
        <row r="4540">
          <cell r="A4540">
            <v>38190</v>
          </cell>
          <cell r="B4540">
            <v>2590.62</v>
          </cell>
          <cell r="C4540">
            <v>2680.44</v>
          </cell>
          <cell r="D4540">
            <v>232.2</v>
          </cell>
          <cell r="E4540">
            <v>241.13</v>
          </cell>
          <cell r="F4540">
            <v>259.37</v>
          </cell>
          <cell r="G4540">
            <v>219.48</v>
          </cell>
          <cell r="H4540">
            <v>4599.7700000000004</v>
          </cell>
          <cell r="I4540">
            <v>272.27</v>
          </cell>
        </row>
        <row r="4541">
          <cell r="A4541">
            <v>38191</v>
          </cell>
          <cell r="B4541">
            <v>2600.42</v>
          </cell>
          <cell r="C4541">
            <v>2673.44</v>
          </cell>
          <cell r="D4541">
            <v>232.8</v>
          </cell>
          <cell r="E4541">
            <v>240.79</v>
          </cell>
          <cell r="F4541">
            <v>259.06</v>
          </cell>
          <cell r="G4541">
            <v>220.83</v>
          </cell>
          <cell r="H4541">
            <v>4586.83</v>
          </cell>
          <cell r="I4541">
            <v>271.98</v>
          </cell>
        </row>
        <row r="4542">
          <cell r="A4542">
            <v>38194</v>
          </cell>
          <cell r="B4542">
            <v>2573.39</v>
          </cell>
          <cell r="C4542">
            <v>2640.61</v>
          </cell>
          <cell r="D4542">
            <v>230.71</v>
          </cell>
          <cell r="E4542">
            <v>238.43</v>
          </cell>
          <cell r="F4542">
            <v>256.60000000000002</v>
          </cell>
          <cell r="G4542">
            <v>219.01</v>
          </cell>
          <cell r="H4542">
            <v>4567.05</v>
          </cell>
          <cell r="I4542">
            <v>270.38</v>
          </cell>
        </row>
        <row r="4543">
          <cell r="A4543">
            <v>38195</v>
          </cell>
          <cell r="B4543">
            <v>2601.6999999999998</v>
          </cell>
          <cell r="C4543">
            <v>2670.48</v>
          </cell>
          <cell r="D4543">
            <v>232.67</v>
          </cell>
          <cell r="E4543">
            <v>240.75</v>
          </cell>
          <cell r="F4543">
            <v>259.04000000000002</v>
          </cell>
          <cell r="G4543">
            <v>220.62</v>
          </cell>
          <cell r="H4543">
            <v>4615.97</v>
          </cell>
          <cell r="I4543">
            <v>272.95999999999998</v>
          </cell>
        </row>
        <row r="4544">
          <cell r="A4544">
            <v>38196</v>
          </cell>
          <cell r="B4544">
            <v>2612.41</v>
          </cell>
          <cell r="C4544">
            <v>2665.98</v>
          </cell>
          <cell r="D4544">
            <v>233.45</v>
          </cell>
          <cell r="E4544">
            <v>240.8</v>
          </cell>
          <cell r="F4544">
            <v>259.16000000000003</v>
          </cell>
          <cell r="G4544">
            <v>221.96</v>
          </cell>
          <cell r="H4544">
            <v>4598.29</v>
          </cell>
          <cell r="I4544">
            <v>271.66000000000003</v>
          </cell>
        </row>
        <row r="4545">
          <cell r="A4545">
            <v>38197</v>
          </cell>
          <cell r="B4545">
            <v>2648.52</v>
          </cell>
          <cell r="C4545">
            <v>2717.61</v>
          </cell>
          <cell r="D4545">
            <v>236.09</v>
          </cell>
          <cell r="E4545">
            <v>244.54</v>
          </cell>
          <cell r="F4545">
            <v>262.63</v>
          </cell>
          <cell r="G4545">
            <v>223.67</v>
          </cell>
          <cell r="H4545">
            <v>4641.74</v>
          </cell>
          <cell r="I4545">
            <v>274.79000000000002</v>
          </cell>
        </row>
        <row r="4546">
          <cell r="A4546">
            <v>38198</v>
          </cell>
          <cell r="B4546">
            <v>2650.24</v>
          </cell>
          <cell r="C4546">
            <v>2720.05</v>
          </cell>
          <cell r="D4546">
            <v>236.4</v>
          </cell>
          <cell r="E4546">
            <v>244.74</v>
          </cell>
          <cell r="F4546">
            <v>262.76</v>
          </cell>
          <cell r="G4546">
            <v>224.04</v>
          </cell>
          <cell r="H4546">
            <v>4663.22</v>
          </cell>
          <cell r="I4546">
            <v>275.62</v>
          </cell>
        </row>
        <row r="4547">
          <cell r="A4547">
            <v>38201</v>
          </cell>
          <cell r="B4547">
            <v>2649.08</v>
          </cell>
          <cell r="C4547">
            <v>2696.26</v>
          </cell>
          <cell r="D4547">
            <v>236.14</v>
          </cell>
          <cell r="E4547">
            <v>243.15</v>
          </cell>
          <cell r="F4547">
            <v>261.43</v>
          </cell>
          <cell r="G4547">
            <v>224.86</v>
          </cell>
          <cell r="H4547">
            <v>4654.3</v>
          </cell>
          <cell r="I4547">
            <v>274.88</v>
          </cell>
        </row>
        <row r="4548">
          <cell r="A4548">
            <v>38202</v>
          </cell>
          <cell r="B4548">
            <v>2657.31</v>
          </cell>
          <cell r="C4548">
            <v>2712.45</v>
          </cell>
          <cell r="D4548">
            <v>236.81</v>
          </cell>
          <cell r="E4548">
            <v>244.34</v>
          </cell>
          <cell r="F4548">
            <v>262.8</v>
          </cell>
          <cell r="G4548">
            <v>225.11</v>
          </cell>
          <cell r="H4548">
            <v>4678.34</v>
          </cell>
          <cell r="I4548">
            <v>276.43</v>
          </cell>
        </row>
        <row r="4549">
          <cell r="A4549">
            <v>38203</v>
          </cell>
          <cell r="B4549">
            <v>2639.47</v>
          </cell>
          <cell r="C4549">
            <v>2684.28</v>
          </cell>
          <cell r="D4549">
            <v>234.9</v>
          </cell>
          <cell r="E4549">
            <v>241.69</v>
          </cell>
          <cell r="F4549">
            <v>260.06</v>
          </cell>
          <cell r="G4549">
            <v>223.82</v>
          </cell>
          <cell r="H4549">
            <v>4647.79</v>
          </cell>
          <cell r="I4549">
            <v>274.42</v>
          </cell>
        </row>
        <row r="4550">
          <cell r="A4550">
            <v>38204</v>
          </cell>
          <cell r="B4550">
            <v>2640.7</v>
          </cell>
          <cell r="C4550">
            <v>2689.26</v>
          </cell>
          <cell r="D4550">
            <v>235.29</v>
          </cell>
          <cell r="E4550">
            <v>242.32</v>
          </cell>
          <cell r="F4550">
            <v>260.64</v>
          </cell>
          <cell r="G4550">
            <v>224.01</v>
          </cell>
          <cell r="H4550">
            <v>4674.8900000000003</v>
          </cell>
          <cell r="I4550">
            <v>275.56</v>
          </cell>
        </row>
        <row r="4551">
          <cell r="A4551">
            <v>38205</v>
          </cell>
          <cell r="B4551">
            <v>2578.3000000000002</v>
          </cell>
          <cell r="C4551">
            <v>2618.6799999999998</v>
          </cell>
          <cell r="D4551">
            <v>229.97</v>
          </cell>
          <cell r="E4551">
            <v>236.5</v>
          </cell>
          <cell r="F4551">
            <v>254.66</v>
          </cell>
          <cell r="G4551">
            <v>219.23</v>
          </cell>
          <cell r="H4551">
            <v>4579.8900000000003</v>
          </cell>
          <cell r="I4551">
            <v>269.19</v>
          </cell>
        </row>
        <row r="4552">
          <cell r="A4552">
            <v>38208</v>
          </cell>
          <cell r="B4552">
            <v>2561.35</v>
          </cell>
          <cell r="C4552">
            <v>2596.52</v>
          </cell>
          <cell r="D4552">
            <v>228.01</v>
          </cell>
          <cell r="E4552">
            <v>234.52</v>
          </cell>
          <cell r="F4552">
            <v>252.46</v>
          </cell>
          <cell r="G4552">
            <v>217.34</v>
          </cell>
          <cell r="H4552">
            <v>4542.05</v>
          </cell>
          <cell r="I4552">
            <v>266.83</v>
          </cell>
        </row>
        <row r="4553">
          <cell r="A4553">
            <v>38209</v>
          </cell>
          <cell r="B4553">
            <v>2576.8200000000002</v>
          </cell>
          <cell r="C4553">
            <v>2619.42</v>
          </cell>
          <cell r="D4553">
            <v>229.4</v>
          </cell>
          <cell r="E4553">
            <v>236.34</v>
          </cell>
          <cell r="F4553">
            <v>254.35</v>
          </cell>
          <cell r="G4553">
            <v>218.34</v>
          </cell>
          <cell r="H4553">
            <v>4593.63</v>
          </cell>
          <cell r="I4553">
            <v>269.83</v>
          </cell>
        </row>
        <row r="4554">
          <cell r="A4554">
            <v>38210</v>
          </cell>
          <cell r="B4554">
            <v>2554.7199999999998</v>
          </cell>
          <cell r="C4554">
            <v>2594.4499999999998</v>
          </cell>
          <cell r="D4554">
            <v>227.77</v>
          </cell>
          <cell r="E4554">
            <v>234.47</v>
          </cell>
          <cell r="F4554">
            <v>252.33</v>
          </cell>
          <cell r="G4554">
            <v>216.93</v>
          </cell>
          <cell r="H4554">
            <v>4543.0600000000004</v>
          </cell>
          <cell r="I4554">
            <v>266.51</v>
          </cell>
        </row>
        <row r="4555">
          <cell r="A4555">
            <v>38211</v>
          </cell>
          <cell r="B4555">
            <v>2555.1</v>
          </cell>
          <cell r="C4555">
            <v>2588.8000000000002</v>
          </cell>
          <cell r="D4555">
            <v>227.35</v>
          </cell>
          <cell r="E4555">
            <v>233.94</v>
          </cell>
          <cell r="F4555">
            <v>251.83</v>
          </cell>
          <cell r="G4555">
            <v>216.63</v>
          </cell>
          <cell r="H4555">
            <v>4532.32</v>
          </cell>
          <cell r="I4555">
            <v>265.13</v>
          </cell>
        </row>
        <row r="4556">
          <cell r="A4556">
            <v>38212</v>
          </cell>
          <cell r="B4556">
            <v>2541.84</v>
          </cell>
          <cell r="C4556">
            <v>2580.04</v>
          </cell>
          <cell r="D4556">
            <v>226.57</v>
          </cell>
          <cell r="E4556">
            <v>233.3</v>
          </cell>
          <cell r="F4556">
            <v>251.13</v>
          </cell>
          <cell r="G4556">
            <v>215.75</v>
          </cell>
          <cell r="H4556">
            <v>4516.08</v>
          </cell>
          <cell r="I4556">
            <v>265.12</v>
          </cell>
        </row>
        <row r="4557">
          <cell r="A4557">
            <v>38215</v>
          </cell>
          <cell r="B4557">
            <v>2568.81</v>
          </cell>
          <cell r="C4557">
            <v>2604.75</v>
          </cell>
          <cell r="D4557">
            <v>228.74</v>
          </cell>
          <cell r="E4557">
            <v>235.46</v>
          </cell>
          <cell r="F4557">
            <v>253.36</v>
          </cell>
          <cell r="G4557">
            <v>217.88</v>
          </cell>
          <cell r="H4557">
            <v>4556.49</v>
          </cell>
          <cell r="I4557">
            <v>267.62</v>
          </cell>
        </row>
        <row r="4558">
          <cell r="A4558">
            <v>38216</v>
          </cell>
          <cell r="B4558">
            <v>2569.3200000000002</v>
          </cell>
          <cell r="C4558">
            <v>2617.27</v>
          </cell>
          <cell r="D4558">
            <v>229.06</v>
          </cell>
          <cell r="E4558">
            <v>236.57</v>
          </cell>
          <cell r="F4558">
            <v>254.47</v>
          </cell>
          <cell r="G4558">
            <v>217.57</v>
          </cell>
          <cell r="H4558">
            <v>4582.63</v>
          </cell>
          <cell r="I4558">
            <v>270.02</v>
          </cell>
        </row>
        <row r="4559">
          <cell r="A4559">
            <v>38217</v>
          </cell>
          <cell r="B4559">
            <v>2568.87</v>
          </cell>
          <cell r="C4559">
            <v>2627.37</v>
          </cell>
          <cell r="D4559">
            <v>229.16</v>
          </cell>
          <cell r="E4559">
            <v>237.2</v>
          </cell>
          <cell r="F4559">
            <v>254.73</v>
          </cell>
          <cell r="G4559">
            <v>217.23</v>
          </cell>
          <cell r="H4559">
            <v>4617.1099999999997</v>
          </cell>
          <cell r="I4559">
            <v>271.55</v>
          </cell>
        </row>
        <row r="4560">
          <cell r="A4560">
            <v>38218</v>
          </cell>
          <cell r="B4560">
            <v>2573.7399999999998</v>
          </cell>
          <cell r="C4560">
            <v>2630.71</v>
          </cell>
          <cell r="D4560">
            <v>229.66</v>
          </cell>
          <cell r="E4560">
            <v>237.52</v>
          </cell>
          <cell r="F4560">
            <v>255.32</v>
          </cell>
          <cell r="G4560">
            <v>217.86</v>
          </cell>
          <cell r="H4560">
            <v>4629.41</v>
          </cell>
          <cell r="I4560">
            <v>272.83999999999997</v>
          </cell>
        </row>
        <row r="4561">
          <cell r="A4561">
            <v>38219</v>
          </cell>
          <cell r="B4561">
            <v>2568.14</v>
          </cell>
          <cell r="C4561">
            <v>2624.96</v>
          </cell>
          <cell r="D4561">
            <v>229.09</v>
          </cell>
          <cell r="E4561">
            <v>236.91</v>
          </cell>
          <cell r="F4561">
            <v>254.64</v>
          </cell>
          <cell r="G4561">
            <v>217.34</v>
          </cell>
          <cell r="H4561">
            <v>4620.3999999999996</v>
          </cell>
          <cell r="I4561">
            <v>272.02999999999997</v>
          </cell>
        </row>
        <row r="4562">
          <cell r="A4562">
            <v>38222</v>
          </cell>
          <cell r="B4562">
            <v>2602.19</v>
          </cell>
          <cell r="C4562">
            <v>2662.35</v>
          </cell>
          <cell r="D4562">
            <v>232.17</v>
          </cell>
          <cell r="E4562">
            <v>239.99</v>
          </cell>
          <cell r="F4562">
            <v>257.85000000000002</v>
          </cell>
          <cell r="G4562">
            <v>220.33</v>
          </cell>
          <cell r="H4562">
            <v>4697.47</v>
          </cell>
          <cell r="I4562">
            <v>276.69</v>
          </cell>
        </row>
        <row r="4563">
          <cell r="A4563">
            <v>38223</v>
          </cell>
          <cell r="B4563">
            <v>2595.09</v>
          </cell>
          <cell r="C4563">
            <v>2659.14</v>
          </cell>
          <cell r="D4563">
            <v>231.88</v>
          </cell>
          <cell r="E4563">
            <v>240.06</v>
          </cell>
          <cell r="F4563">
            <v>257.81</v>
          </cell>
          <cell r="G4563">
            <v>219.76</v>
          </cell>
          <cell r="H4563">
            <v>4685.4399999999996</v>
          </cell>
          <cell r="I4563">
            <v>275.77999999999997</v>
          </cell>
        </row>
        <row r="4564">
          <cell r="A4564">
            <v>38224</v>
          </cell>
          <cell r="B4564">
            <v>2604.11</v>
          </cell>
          <cell r="C4564">
            <v>2664.67</v>
          </cell>
          <cell r="D4564">
            <v>232.56</v>
          </cell>
          <cell r="E4564">
            <v>240.49</v>
          </cell>
          <cell r="F4564">
            <v>258.27</v>
          </cell>
          <cell r="G4564">
            <v>220.64</v>
          </cell>
          <cell r="H4564">
            <v>4707.7299999999996</v>
          </cell>
          <cell r="I4564">
            <v>276.91000000000003</v>
          </cell>
        </row>
        <row r="4565">
          <cell r="A4565">
            <v>38225</v>
          </cell>
          <cell r="B4565">
            <v>2628.88</v>
          </cell>
          <cell r="C4565">
            <v>2688.67</v>
          </cell>
          <cell r="D4565">
            <v>234.45</v>
          </cell>
          <cell r="E4565">
            <v>242.56</v>
          </cell>
          <cell r="F4565">
            <v>260.52999999999997</v>
          </cell>
          <cell r="G4565">
            <v>222.34</v>
          </cell>
          <cell r="H4565">
            <v>4758.0600000000004</v>
          </cell>
          <cell r="I4565">
            <v>279.60000000000002</v>
          </cell>
        </row>
        <row r="4566">
          <cell r="A4566">
            <v>38226</v>
          </cell>
          <cell r="B4566">
            <v>2653.99</v>
          </cell>
          <cell r="C4566">
            <v>2704.53</v>
          </cell>
          <cell r="D4566">
            <v>236.24</v>
          </cell>
          <cell r="E4566">
            <v>243.86</v>
          </cell>
          <cell r="F4566">
            <v>261.83999999999997</v>
          </cell>
          <cell r="G4566">
            <v>224.48</v>
          </cell>
          <cell r="H4566">
            <v>4769.49</v>
          </cell>
          <cell r="I4566">
            <v>280.02</v>
          </cell>
        </row>
        <row r="4567">
          <cell r="A4567">
            <v>38229</v>
          </cell>
          <cell r="B4567">
            <v>2649.8</v>
          </cell>
          <cell r="C4567">
            <v>2697.05</v>
          </cell>
          <cell r="D4567">
            <v>235.89</v>
          </cell>
          <cell r="E4567">
            <v>243.28</v>
          </cell>
          <cell r="F4567">
            <v>261.31</v>
          </cell>
          <cell r="G4567">
            <v>224.31</v>
          </cell>
          <cell r="H4567">
            <v>4769.67</v>
          </cell>
          <cell r="I4567">
            <v>280.02999999999997</v>
          </cell>
        </row>
        <row r="4568">
          <cell r="A4568">
            <v>38230</v>
          </cell>
          <cell r="B4568">
            <v>2620.0300000000002</v>
          </cell>
          <cell r="C4568">
            <v>2670.79</v>
          </cell>
          <cell r="D4568">
            <v>233.63</v>
          </cell>
          <cell r="E4568">
            <v>241.33</v>
          </cell>
          <cell r="F4568">
            <v>259.3</v>
          </cell>
          <cell r="G4568">
            <v>221.86</v>
          </cell>
          <cell r="H4568">
            <v>4726.0600000000004</v>
          </cell>
          <cell r="I4568">
            <v>277.56</v>
          </cell>
        </row>
        <row r="4569">
          <cell r="A4569">
            <v>38231</v>
          </cell>
          <cell r="B4569">
            <v>2642.12</v>
          </cell>
          <cell r="C4569">
            <v>2691.67</v>
          </cell>
          <cell r="D4569">
            <v>235.21</v>
          </cell>
          <cell r="E4569">
            <v>243.05</v>
          </cell>
          <cell r="F4569">
            <v>261.39999999999998</v>
          </cell>
          <cell r="G4569">
            <v>223.3</v>
          </cell>
          <cell r="H4569">
            <v>4775.84</v>
          </cell>
          <cell r="I4569">
            <v>280.33</v>
          </cell>
        </row>
        <row r="4570">
          <cell r="A4570">
            <v>38232</v>
          </cell>
          <cell r="B4570">
            <v>2654.84</v>
          </cell>
          <cell r="C4570">
            <v>2711.16</v>
          </cell>
          <cell r="D4570">
            <v>236.11</v>
          </cell>
          <cell r="E4570">
            <v>244.47</v>
          </cell>
          <cell r="F4570">
            <v>262.60000000000002</v>
          </cell>
          <cell r="G4570">
            <v>223.74</v>
          </cell>
          <cell r="H4570">
            <v>4801.01</v>
          </cell>
          <cell r="I4570">
            <v>282.7</v>
          </cell>
        </row>
        <row r="4571">
          <cell r="A4571">
            <v>38233</v>
          </cell>
          <cell r="B4571">
            <v>2680.59</v>
          </cell>
          <cell r="C4571">
            <v>2739.43</v>
          </cell>
          <cell r="D4571">
            <v>237.95</v>
          </cell>
          <cell r="E4571">
            <v>246.48</v>
          </cell>
          <cell r="F4571">
            <v>264.7</v>
          </cell>
          <cell r="G4571">
            <v>225.42</v>
          </cell>
          <cell r="H4571">
            <v>4822.62</v>
          </cell>
          <cell r="I4571">
            <v>283.87</v>
          </cell>
        </row>
        <row r="4572">
          <cell r="A4572">
            <v>38236</v>
          </cell>
          <cell r="B4572">
            <v>2690.19</v>
          </cell>
          <cell r="C4572">
            <v>2748.39</v>
          </cell>
          <cell r="D4572">
            <v>238.79</v>
          </cell>
          <cell r="E4572">
            <v>247.37</v>
          </cell>
          <cell r="F4572">
            <v>265.68</v>
          </cell>
          <cell r="G4572">
            <v>226.2</v>
          </cell>
          <cell r="H4572">
            <v>4835.38</v>
          </cell>
          <cell r="I4572">
            <v>284.52</v>
          </cell>
        </row>
        <row r="4573">
          <cell r="A4573">
            <v>38237</v>
          </cell>
          <cell r="B4573">
            <v>2688.31</v>
          </cell>
          <cell r="C4573">
            <v>2751.93</v>
          </cell>
          <cell r="D4573">
            <v>238.67</v>
          </cell>
          <cell r="E4573">
            <v>247.74</v>
          </cell>
          <cell r="F4573">
            <v>266.02999999999997</v>
          </cell>
          <cell r="G4573">
            <v>225.69</v>
          </cell>
          <cell r="H4573">
            <v>4827.34</v>
          </cell>
          <cell r="I4573">
            <v>283.98</v>
          </cell>
        </row>
        <row r="4574">
          <cell r="A4574">
            <v>38238</v>
          </cell>
          <cell r="B4574">
            <v>2685.71</v>
          </cell>
          <cell r="C4574">
            <v>2746.96</v>
          </cell>
          <cell r="D4574">
            <v>238.6</v>
          </cell>
          <cell r="E4574">
            <v>247.54</v>
          </cell>
          <cell r="F4574">
            <v>265.74</v>
          </cell>
          <cell r="G4574">
            <v>225.72</v>
          </cell>
          <cell r="H4574">
            <v>4828.08</v>
          </cell>
          <cell r="I4574">
            <v>284.25</v>
          </cell>
        </row>
        <row r="4575">
          <cell r="A4575">
            <v>38239</v>
          </cell>
          <cell r="B4575">
            <v>2670.89</v>
          </cell>
          <cell r="C4575">
            <v>2730.74</v>
          </cell>
          <cell r="D4575">
            <v>237.14</v>
          </cell>
          <cell r="E4575">
            <v>246.24</v>
          </cell>
          <cell r="F4575">
            <v>264.33</v>
          </cell>
          <cell r="G4575">
            <v>224.17</v>
          </cell>
          <cell r="H4575">
            <v>4843.9399999999996</v>
          </cell>
          <cell r="I4575">
            <v>286.69</v>
          </cell>
        </row>
        <row r="4576">
          <cell r="A4576">
            <v>38240</v>
          </cell>
          <cell r="B4576">
            <v>2678.49</v>
          </cell>
          <cell r="C4576">
            <v>2745.86</v>
          </cell>
          <cell r="D4576">
            <v>237.95</v>
          </cell>
          <cell r="E4576">
            <v>247.62</v>
          </cell>
          <cell r="F4576">
            <v>265.67</v>
          </cell>
          <cell r="G4576">
            <v>224.51</v>
          </cell>
          <cell r="H4576">
            <v>4867.7299999999996</v>
          </cell>
          <cell r="I4576">
            <v>288.23</v>
          </cell>
        </row>
        <row r="4577">
          <cell r="A4577">
            <v>38243</v>
          </cell>
          <cell r="B4577">
            <v>2698.23</v>
          </cell>
          <cell r="C4577">
            <v>2780.85</v>
          </cell>
          <cell r="D4577">
            <v>240</v>
          </cell>
          <cell r="E4577">
            <v>250.45</v>
          </cell>
          <cell r="F4577">
            <v>268.57</v>
          </cell>
          <cell r="G4577">
            <v>225.87</v>
          </cell>
          <cell r="H4577">
            <v>4927.83</v>
          </cell>
          <cell r="I4577">
            <v>292.01</v>
          </cell>
        </row>
        <row r="4578">
          <cell r="A4578">
            <v>38244</v>
          </cell>
          <cell r="B4578">
            <v>2686.35</v>
          </cell>
          <cell r="C4578">
            <v>2771.67</v>
          </cell>
          <cell r="D4578">
            <v>239.18</v>
          </cell>
          <cell r="E4578">
            <v>249.82</v>
          </cell>
          <cell r="F4578">
            <v>267.67</v>
          </cell>
          <cell r="G4578">
            <v>224.92</v>
          </cell>
          <cell r="H4578">
            <v>4905.58</v>
          </cell>
          <cell r="I4578">
            <v>290.57</v>
          </cell>
        </row>
        <row r="4579">
          <cell r="A4579">
            <v>38245</v>
          </cell>
          <cell r="B4579">
            <v>2684.97</v>
          </cell>
          <cell r="C4579">
            <v>2763.75</v>
          </cell>
          <cell r="D4579">
            <v>238.7</v>
          </cell>
          <cell r="E4579">
            <v>249.2</v>
          </cell>
          <cell r="F4579">
            <v>267.10000000000002</v>
          </cell>
          <cell r="G4579">
            <v>224.57</v>
          </cell>
          <cell r="H4579">
            <v>4886.07</v>
          </cell>
          <cell r="I4579">
            <v>289.58</v>
          </cell>
        </row>
        <row r="4580">
          <cell r="A4580">
            <v>38246</v>
          </cell>
          <cell r="B4580">
            <v>2694.44</v>
          </cell>
          <cell r="C4580">
            <v>2765.87</v>
          </cell>
          <cell r="D4580">
            <v>239.75</v>
          </cell>
          <cell r="E4580">
            <v>249.61</v>
          </cell>
          <cell r="F4580">
            <v>267.39</v>
          </cell>
          <cell r="G4580">
            <v>226.1</v>
          </cell>
          <cell r="H4580">
            <v>4902.5600000000004</v>
          </cell>
          <cell r="I4580">
            <v>290.87</v>
          </cell>
        </row>
        <row r="4581">
          <cell r="A4581">
            <v>38247</v>
          </cell>
          <cell r="B4581">
            <v>2711.1</v>
          </cell>
          <cell r="C4581">
            <v>2788.64</v>
          </cell>
          <cell r="D4581">
            <v>241.11</v>
          </cell>
          <cell r="E4581">
            <v>251.23</v>
          </cell>
          <cell r="F4581">
            <v>268.88</v>
          </cell>
          <cell r="G4581">
            <v>227.24</v>
          </cell>
          <cell r="H4581">
            <v>4923.3</v>
          </cell>
          <cell r="I4581">
            <v>292.43</v>
          </cell>
        </row>
        <row r="4582">
          <cell r="A4582">
            <v>38250</v>
          </cell>
          <cell r="B4582">
            <v>2705.5</v>
          </cell>
          <cell r="C4582">
            <v>2776.1</v>
          </cell>
          <cell r="D4582">
            <v>240.26</v>
          </cell>
          <cell r="E4582">
            <v>250.37</v>
          </cell>
          <cell r="F4582">
            <v>268.17</v>
          </cell>
          <cell r="G4582">
            <v>226.4</v>
          </cell>
          <cell r="H4582">
            <v>4934.96</v>
          </cell>
          <cell r="I4582">
            <v>293.02</v>
          </cell>
        </row>
        <row r="4583">
          <cell r="A4583">
            <v>38251</v>
          </cell>
          <cell r="B4583">
            <v>2724.03</v>
          </cell>
          <cell r="C4583">
            <v>2790.67</v>
          </cell>
          <cell r="D4583">
            <v>241.37</v>
          </cell>
          <cell r="E4583">
            <v>251.66</v>
          </cell>
          <cell r="F4583">
            <v>269.82</v>
          </cell>
          <cell r="G4583">
            <v>227.35</v>
          </cell>
          <cell r="H4583">
            <v>4952.3900000000003</v>
          </cell>
          <cell r="I4583">
            <v>293.77</v>
          </cell>
        </row>
        <row r="4584">
          <cell r="A4584">
            <v>38252</v>
          </cell>
          <cell r="B4584">
            <v>2705.23</v>
          </cell>
          <cell r="C4584">
            <v>2759.68</v>
          </cell>
          <cell r="D4584">
            <v>240.01</v>
          </cell>
          <cell r="E4584">
            <v>249.36</v>
          </cell>
          <cell r="F4584">
            <v>267.69</v>
          </cell>
          <cell r="G4584">
            <v>226.77</v>
          </cell>
          <cell r="H4584">
            <v>4946.6400000000003</v>
          </cell>
          <cell r="I4584">
            <v>293.24</v>
          </cell>
        </row>
        <row r="4585">
          <cell r="A4585">
            <v>38253</v>
          </cell>
          <cell r="B4585">
            <v>2683.58</v>
          </cell>
          <cell r="C4585">
            <v>2735.45</v>
          </cell>
          <cell r="D4585">
            <v>238.22</v>
          </cell>
          <cell r="E4585">
            <v>247.35</v>
          </cell>
          <cell r="F4585">
            <v>265.58999999999997</v>
          </cell>
          <cell r="G4585">
            <v>225.21</v>
          </cell>
          <cell r="H4585">
            <v>4936.43</v>
          </cell>
          <cell r="I4585">
            <v>292.54000000000002</v>
          </cell>
        </row>
        <row r="4586">
          <cell r="A4586">
            <v>38254</v>
          </cell>
          <cell r="B4586">
            <v>2692.08</v>
          </cell>
          <cell r="C4586">
            <v>2740.06</v>
          </cell>
          <cell r="D4586">
            <v>238.94</v>
          </cell>
          <cell r="E4586">
            <v>247.83</v>
          </cell>
          <cell r="F4586">
            <v>265.8</v>
          </cell>
          <cell r="G4586">
            <v>226.11</v>
          </cell>
          <cell r="H4586">
            <v>4938.7</v>
          </cell>
          <cell r="I4586">
            <v>292.67</v>
          </cell>
        </row>
        <row r="4587">
          <cell r="A4587">
            <v>38257</v>
          </cell>
          <cell r="B4587">
            <v>2673.08</v>
          </cell>
          <cell r="C4587">
            <v>2725.1</v>
          </cell>
          <cell r="D4587">
            <v>237.37</v>
          </cell>
          <cell r="E4587">
            <v>246.4</v>
          </cell>
          <cell r="F4587">
            <v>264.19</v>
          </cell>
          <cell r="G4587">
            <v>224.46</v>
          </cell>
          <cell r="H4587">
            <v>4919.3900000000003</v>
          </cell>
          <cell r="I4587">
            <v>291.10000000000002</v>
          </cell>
        </row>
        <row r="4588">
          <cell r="A4588">
            <v>38258</v>
          </cell>
          <cell r="B4588">
            <v>2686.54</v>
          </cell>
          <cell r="C4588">
            <v>2733.69</v>
          </cell>
          <cell r="D4588">
            <v>238.51</v>
          </cell>
          <cell r="E4588">
            <v>247.04</v>
          </cell>
          <cell r="F4588">
            <v>265.11</v>
          </cell>
          <cell r="G4588">
            <v>225.98</v>
          </cell>
          <cell r="H4588">
            <v>4925.51</v>
          </cell>
          <cell r="I4588">
            <v>291.07</v>
          </cell>
        </row>
        <row r="4589">
          <cell r="A4589">
            <v>38259</v>
          </cell>
          <cell r="B4589">
            <v>2690.4</v>
          </cell>
          <cell r="C4589">
            <v>2746.36</v>
          </cell>
          <cell r="D4589">
            <v>239.34</v>
          </cell>
          <cell r="E4589">
            <v>248.45</v>
          </cell>
          <cell r="F4589">
            <v>266.95</v>
          </cell>
          <cell r="G4589">
            <v>226.32</v>
          </cell>
          <cell r="H4589">
            <v>5019.13</v>
          </cell>
          <cell r="I4589">
            <v>296.32</v>
          </cell>
        </row>
        <row r="4590">
          <cell r="A4590">
            <v>38260</v>
          </cell>
          <cell r="B4590">
            <v>2668.47</v>
          </cell>
          <cell r="C4590">
            <v>2726.3</v>
          </cell>
          <cell r="D4590">
            <v>237.74</v>
          </cell>
          <cell r="E4590">
            <v>246.83</v>
          </cell>
          <cell r="F4590">
            <v>265.11</v>
          </cell>
          <cell r="G4590">
            <v>224.76</v>
          </cell>
          <cell r="H4590">
            <v>5003.04</v>
          </cell>
          <cell r="I4590">
            <v>295.58</v>
          </cell>
        </row>
        <row r="4591">
          <cell r="A4591">
            <v>38261</v>
          </cell>
          <cell r="B4591">
            <v>2721.05</v>
          </cell>
          <cell r="C4591">
            <v>2796.08</v>
          </cell>
          <cell r="D4591">
            <v>241.85</v>
          </cell>
          <cell r="E4591">
            <v>252.13</v>
          </cell>
          <cell r="F4591">
            <v>270.32</v>
          </cell>
          <cell r="G4591">
            <v>227.81</v>
          </cell>
          <cell r="H4591">
            <v>5104.7</v>
          </cell>
          <cell r="I4591">
            <v>301.85000000000002</v>
          </cell>
        </row>
        <row r="4592">
          <cell r="A4592">
            <v>38264</v>
          </cell>
          <cell r="B4592">
            <v>2744.82</v>
          </cell>
          <cell r="C4592">
            <v>2823.46</v>
          </cell>
          <cell r="D4592">
            <v>244.18</v>
          </cell>
          <cell r="E4592">
            <v>254.66</v>
          </cell>
          <cell r="F4592">
            <v>273.02999999999997</v>
          </cell>
          <cell r="G4592">
            <v>229.91</v>
          </cell>
          <cell r="H4592">
            <v>5155.05</v>
          </cell>
          <cell r="I4592">
            <v>305.08</v>
          </cell>
        </row>
        <row r="4593">
          <cell r="A4593">
            <v>38265</v>
          </cell>
          <cell r="B4593">
            <v>2752.08</v>
          </cell>
          <cell r="C4593">
            <v>2830.12</v>
          </cell>
          <cell r="D4593">
            <v>244.39</v>
          </cell>
          <cell r="E4593">
            <v>255.12</v>
          </cell>
          <cell r="F4593">
            <v>273.37</v>
          </cell>
          <cell r="G4593">
            <v>229.92</v>
          </cell>
          <cell r="H4593">
            <v>5156.25</v>
          </cell>
          <cell r="I4593">
            <v>304.97000000000003</v>
          </cell>
        </row>
        <row r="4594">
          <cell r="A4594">
            <v>38266</v>
          </cell>
          <cell r="B4594">
            <v>2751.85</v>
          </cell>
          <cell r="C4594">
            <v>2831.88</v>
          </cell>
          <cell r="D4594">
            <v>244.19</v>
          </cell>
          <cell r="E4594">
            <v>255.09</v>
          </cell>
          <cell r="F4594">
            <v>273.24</v>
          </cell>
          <cell r="G4594">
            <v>229.58</v>
          </cell>
          <cell r="H4594">
            <v>5141.8</v>
          </cell>
          <cell r="I4594">
            <v>303.82</v>
          </cell>
        </row>
        <row r="4595">
          <cell r="A4595">
            <v>38267</v>
          </cell>
          <cell r="B4595">
            <v>2749.19</v>
          </cell>
          <cell r="C4595">
            <v>2834.62</v>
          </cell>
          <cell r="D4595">
            <v>244.15</v>
          </cell>
          <cell r="E4595">
            <v>255.19</v>
          </cell>
          <cell r="F4595">
            <v>272.92</v>
          </cell>
          <cell r="G4595">
            <v>229.44</v>
          </cell>
          <cell r="H4595">
            <v>5144.42</v>
          </cell>
          <cell r="I4595">
            <v>304.19</v>
          </cell>
        </row>
        <row r="4596">
          <cell r="A4596">
            <v>38268</v>
          </cell>
          <cell r="B4596">
            <v>2734.09</v>
          </cell>
          <cell r="C4596">
            <v>2816.42</v>
          </cell>
          <cell r="D4596">
            <v>243.07</v>
          </cell>
          <cell r="E4596">
            <v>253.93</v>
          </cell>
          <cell r="F4596">
            <v>271.62</v>
          </cell>
          <cell r="G4596">
            <v>228.52</v>
          </cell>
          <cell r="H4596">
            <v>5115.79</v>
          </cell>
          <cell r="I4596">
            <v>301.98</v>
          </cell>
        </row>
        <row r="4597">
          <cell r="A4597">
            <v>38271</v>
          </cell>
          <cell r="B4597">
            <v>2732</v>
          </cell>
          <cell r="C4597">
            <v>2813.93</v>
          </cell>
          <cell r="D4597">
            <v>242.93</v>
          </cell>
          <cell r="E4597">
            <v>253.66</v>
          </cell>
          <cell r="F4597">
            <v>271.23</v>
          </cell>
          <cell r="G4597">
            <v>228.49</v>
          </cell>
          <cell r="H4597">
            <v>5128.53</v>
          </cell>
          <cell r="I4597">
            <v>301.89999999999998</v>
          </cell>
        </row>
        <row r="4598">
          <cell r="A4598">
            <v>38272</v>
          </cell>
          <cell r="B4598">
            <v>2711.58</v>
          </cell>
          <cell r="C4598">
            <v>2788.07</v>
          </cell>
          <cell r="D4598">
            <v>241.05</v>
          </cell>
          <cell r="E4598">
            <v>251.39</v>
          </cell>
          <cell r="F4598">
            <v>268.99</v>
          </cell>
          <cell r="G4598">
            <v>226.98</v>
          </cell>
          <cell r="H4598">
            <v>5083.04</v>
          </cell>
          <cell r="I4598">
            <v>299.10000000000002</v>
          </cell>
        </row>
        <row r="4599">
          <cell r="A4599">
            <v>38273</v>
          </cell>
          <cell r="B4599">
            <v>2714.54</v>
          </cell>
          <cell r="C4599">
            <v>2792.27</v>
          </cell>
          <cell r="D4599">
            <v>241.6</v>
          </cell>
          <cell r="E4599">
            <v>252.01</v>
          </cell>
          <cell r="F4599">
            <v>269.89999999999998</v>
          </cell>
          <cell r="G4599">
            <v>227.45</v>
          </cell>
          <cell r="H4599">
            <v>5127.47</v>
          </cell>
          <cell r="I4599">
            <v>302.38</v>
          </cell>
        </row>
        <row r="4600">
          <cell r="A4600">
            <v>38274</v>
          </cell>
          <cell r="B4600">
            <v>2696.34</v>
          </cell>
          <cell r="C4600">
            <v>2776.03</v>
          </cell>
          <cell r="D4600">
            <v>239.97</v>
          </cell>
          <cell r="E4600">
            <v>250.61</v>
          </cell>
          <cell r="F4600">
            <v>268.13</v>
          </cell>
          <cell r="G4600">
            <v>225.68</v>
          </cell>
          <cell r="H4600">
            <v>5093.13</v>
          </cell>
          <cell r="I4600">
            <v>300.49</v>
          </cell>
        </row>
        <row r="4601">
          <cell r="A4601">
            <v>38275</v>
          </cell>
          <cell r="B4601">
            <v>2690.5</v>
          </cell>
          <cell r="C4601">
            <v>2773.39</v>
          </cell>
          <cell r="D4601">
            <v>239.49</v>
          </cell>
          <cell r="E4601">
            <v>250.52</v>
          </cell>
          <cell r="F4601">
            <v>267.72000000000003</v>
          </cell>
          <cell r="G4601">
            <v>224.87</v>
          </cell>
          <cell r="H4601">
            <v>5074.6400000000003</v>
          </cell>
          <cell r="I4601">
            <v>300.19</v>
          </cell>
        </row>
        <row r="4602">
          <cell r="A4602">
            <v>38278</v>
          </cell>
          <cell r="B4602">
            <v>2685.01</v>
          </cell>
          <cell r="C4602">
            <v>2768.63</v>
          </cell>
          <cell r="D4602">
            <v>238.77</v>
          </cell>
          <cell r="E4602">
            <v>249.97</v>
          </cell>
          <cell r="F4602">
            <v>267.27999999999997</v>
          </cell>
          <cell r="G4602">
            <v>224.04</v>
          </cell>
          <cell r="H4602">
            <v>5065.82</v>
          </cell>
          <cell r="I4602">
            <v>299.49</v>
          </cell>
        </row>
        <row r="4603">
          <cell r="A4603">
            <v>38279</v>
          </cell>
          <cell r="B4603">
            <v>2711.89</v>
          </cell>
          <cell r="C4603">
            <v>2801.19</v>
          </cell>
          <cell r="D4603">
            <v>241.05</v>
          </cell>
          <cell r="E4603">
            <v>252.5</v>
          </cell>
          <cell r="F4603">
            <v>270.02</v>
          </cell>
          <cell r="G4603">
            <v>226.06</v>
          </cell>
          <cell r="H4603">
            <v>5136</v>
          </cell>
          <cell r="I4603">
            <v>304.3</v>
          </cell>
        </row>
        <row r="4604">
          <cell r="A4604">
            <v>38280</v>
          </cell>
          <cell r="B4604">
            <v>2681.68</v>
          </cell>
          <cell r="C4604">
            <v>2769.26</v>
          </cell>
          <cell r="D4604">
            <v>238.65</v>
          </cell>
          <cell r="E4604">
            <v>250.01</v>
          </cell>
          <cell r="F4604">
            <v>267.41000000000003</v>
          </cell>
          <cell r="G4604">
            <v>223.79</v>
          </cell>
          <cell r="H4604">
            <v>5071.01</v>
          </cell>
          <cell r="I4604">
            <v>299.67</v>
          </cell>
        </row>
        <row r="4605">
          <cell r="A4605">
            <v>38281</v>
          </cell>
          <cell r="B4605">
            <v>2696.1</v>
          </cell>
          <cell r="C4605">
            <v>2786.53</v>
          </cell>
          <cell r="D4605">
            <v>240.06</v>
          </cell>
          <cell r="E4605">
            <v>251.39</v>
          </cell>
          <cell r="F4605">
            <v>268.67</v>
          </cell>
          <cell r="G4605">
            <v>225.2</v>
          </cell>
          <cell r="H4605">
            <v>5069.88</v>
          </cell>
          <cell r="I4605">
            <v>299.54000000000002</v>
          </cell>
        </row>
        <row r="4606">
          <cell r="A4606">
            <v>38282</v>
          </cell>
          <cell r="B4606">
            <v>2688.49</v>
          </cell>
          <cell r="C4606">
            <v>2788.89</v>
          </cell>
          <cell r="D4606">
            <v>239.87</v>
          </cell>
          <cell r="E4606">
            <v>251.73</v>
          </cell>
          <cell r="F4606">
            <v>268.70999999999998</v>
          </cell>
          <cell r="G4606">
            <v>224.57</v>
          </cell>
          <cell r="H4606">
            <v>5056.96</v>
          </cell>
          <cell r="I4606">
            <v>298.41000000000003</v>
          </cell>
        </row>
        <row r="4607">
          <cell r="A4607">
            <v>38285</v>
          </cell>
          <cell r="B4607">
            <v>2638.92</v>
          </cell>
          <cell r="C4607">
            <v>2734.37</v>
          </cell>
          <cell r="D4607">
            <v>235.95</v>
          </cell>
          <cell r="E4607">
            <v>247.28</v>
          </cell>
          <cell r="F4607">
            <v>264.14</v>
          </cell>
          <cell r="G4607">
            <v>221.19</v>
          </cell>
          <cell r="H4607">
            <v>4955.6499999999996</v>
          </cell>
          <cell r="I4607">
            <v>292.32</v>
          </cell>
        </row>
        <row r="4608">
          <cell r="A4608">
            <v>38286</v>
          </cell>
          <cell r="B4608">
            <v>2645.37</v>
          </cell>
          <cell r="C4608">
            <v>2739.37</v>
          </cell>
          <cell r="D4608">
            <v>236.65</v>
          </cell>
          <cell r="E4608">
            <v>247.81</v>
          </cell>
          <cell r="F4608">
            <v>264.82</v>
          </cell>
          <cell r="G4608">
            <v>221.99</v>
          </cell>
          <cell r="H4608">
            <v>4970.13</v>
          </cell>
          <cell r="I4608">
            <v>293.10000000000002</v>
          </cell>
        </row>
        <row r="4609">
          <cell r="A4609">
            <v>38287</v>
          </cell>
          <cell r="B4609">
            <v>2681.18</v>
          </cell>
          <cell r="C4609">
            <v>2787.15</v>
          </cell>
          <cell r="D4609">
            <v>239.48</v>
          </cell>
          <cell r="E4609">
            <v>251.34</v>
          </cell>
          <cell r="F4609">
            <v>268.29000000000002</v>
          </cell>
          <cell r="G4609">
            <v>224.19</v>
          </cell>
          <cell r="H4609">
            <v>5024.76</v>
          </cell>
          <cell r="I4609">
            <v>296.72000000000003</v>
          </cell>
        </row>
        <row r="4610">
          <cell r="A4610">
            <v>38288</v>
          </cell>
          <cell r="B4610">
            <v>2702.64</v>
          </cell>
          <cell r="C4610">
            <v>2818.54</v>
          </cell>
          <cell r="D4610">
            <v>240.94</v>
          </cell>
          <cell r="E4610">
            <v>253.7</v>
          </cell>
          <cell r="F4610">
            <v>270.64</v>
          </cell>
          <cell r="G4610">
            <v>224.88</v>
          </cell>
          <cell r="H4610">
            <v>5022.84</v>
          </cell>
          <cell r="I4610">
            <v>297.29000000000002</v>
          </cell>
        </row>
        <row r="4611">
          <cell r="A4611">
            <v>38289</v>
          </cell>
          <cell r="B4611">
            <v>2692.06</v>
          </cell>
          <cell r="C4611">
            <v>2811.72</v>
          </cell>
          <cell r="D4611">
            <v>240.3</v>
          </cell>
          <cell r="E4611">
            <v>253.2</v>
          </cell>
          <cell r="F4611">
            <v>269.76</v>
          </cell>
          <cell r="G4611">
            <v>224.14</v>
          </cell>
          <cell r="H4611">
            <v>5017.46</v>
          </cell>
          <cell r="I4611">
            <v>296.83</v>
          </cell>
        </row>
        <row r="4612">
          <cell r="A4612">
            <v>38292</v>
          </cell>
          <cell r="B4612">
            <v>2715.1</v>
          </cell>
          <cell r="C4612">
            <v>2834.03</v>
          </cell>
          <cell r="D4612">
            <v>242.29</v>
          </cell>
          <cell r="E4612">
            <v>255.05</v>
          </cell>
          <cell r="F4612">
            <v>271.88</v>
          </cell>
          <cell r="G4612">
            <v>226.2</v>
          </cell>
          <cell r="H4612">
            <v>5074.95</v>
          </cell>
          <cell r="I4612">
            <v>300.38</v>
          </cell>
        </row>
        <row r="4613">
          <cell r="A4613">
            <v>38293</v>
          </cell>
          <cell r="B4613">
            <v>2741.23</v>
          </cell>
          <cell r="C4613">
            <v>2855.16</v>
          </cell>
          <cell r="D4613">
            <v>244.5</v>
          </cell>
          <cell r="E4613">
            <v>256.95999999999998</v>
          </cell>
          <cell r="F4613">
            <v>274.14999999999998</v>
          </cell>
          <cell r="G4613">
            <v>228.6</v>
          </cell>
          <cell r="H4613">
            <v>5126.01</v>
          </cell>
          <cell r="I4613">
            <v>303.54000000000002</v>
          </cell>
        </row>
        <row r="4614">
          <cell r="A4614">
            <v>38294</v>
          </cell>
          <cell r="B4614">
            <v>2755.4</v>
          </cell>
          <cell r="C4614">
            <v>2860.68</v>
          </cell>
          <cell r="D4614">
            <v>245.29</v>
          </cell>
          <cell r="E4614">
            <v>257.41000000000003</v>
          </cell>
          <cell r="F4614">
            <v>275.08</v>
          </cell>
          <cell r="G4614">
            <v>229.66</v>
          </cell>
          <cell r="H4614">
            <v>5136.95</v>
          </cell>
          <cell r="I4614">
            <v>304.22000000000003</v>
          </cell>
        </row>
        <row r="4615">
          <cell r="A4615">
            <v>38295</v>
          </cell>
          <cell r="B4615">
            <v>2748.04</v>
          </cell>
          <cell r="C4615">
            <v>2859.52</v>
          </cell>
          <cell r="D4615">
            <v>244.56</v>
          </cell>
          <cell r="E4615">
            <v>257.18</v>
          </cell>
          <cell r="F4615">
            <v>274.92</v>
          </cell>
          <cell r="G4615">
            <v>228.53</v>
          </cell>
          <cell r="H4615">
            <v>5115.3100000000004</v>
          </cell>
          <cell r="I4615">
            <v>302.70999999999998</v>
          </cell>
        </row>
        <row r="4616">
          <cell r="A4616">
            <v>38296</v>
          </cell>
          <cell r="B4616">
            <v>2761.93</v>
          </cell>
          <cell r="C4616">
            <v>2874.8</v>
          </cell>
          <cell r="D4616">
            <v>245.9</v>
          </cell>
          <cell r="E4616">
            <v>258.64</v>
          </cell>
          <cell r="F4616">
            <v>276.70999999999998</v>
          </cell>
          <cell r="G4616">
            <v>229.75</v>
          </cell>
          <cell r="H4616">
            <v>5148.3599999999997</v>
          </cell>
          <cell r="I4616">
            <v>304.91000000000003</v>
          </cell>
        </row>
        <row r="4617">
          <cell r="A4617">
            <v>38299</v>
          </cell>
          <cell r="B4617">
            <v>2756.45</v>
          </cell>
          <cell r="C4617">
            <v>2872.48</v>
          </cell>
          <cell r="D4617">
            <v>245.6</v>
          </cell>
          <cell r="E4617">
            <v>258.68</v>
          </cell>
          <cell r="F4617">
            <v>276.64</v>
          </cell>
          <cell r="G4617">
            <v>229.17</v>
          </cell>
          <cell r="H4617">
            <v>5139.3</v>
          </cell>
          <cell r="I4617">
            <v>304.52999999999997</v>
          </cell>
        </row>
        <row r="4618">
          <cell r="A4618">
            <v>38300</v>
          </cell>
          <cell r="B4618">
            <v>2754.69</v>
          </cell>
          <cell r="C4618">
            <v>2864.93</v>
          </cell>
          <cell r="D4618">
            <v>245.52</v>
          </cell>
          <cell r="E4618">
            <v>258.35000000000002</v>
          </cell>
          <cell r="F4618">
            <v>276.13</v>
          </cell>
          <cell r="G4618">
            <v>229.3</v>
          </cell>
          <cell r="H4618">
            <v>5136.24</v>
          </cell>
          <cell r="I4618">
            <v>304.77</v>
          </cell>
        </row>
        <row r="4619">
          <cell r="A4619">
            <v>38301</v>
          </cell>
          <cell r="B4619">
            <v>2756.16</v>
          </cell>
          <cell r="C4619">
            <v>2872.66</v>
          </cell>
          <cell r="D4619">
            <v>246.05</v>
          </cell>
          <cell r="E4619">
            <v>259.36</v>
          </cell>
          <cell r="F4619">
            <v>277.45</v>
          </cell>
          <cell r="G4619">
            <v>229.42</v>
          </cell>
          <cell r="H4619">
            <v>5180.01</v>
          </cell>
          <cell r="I4619">
            <v>307.27999999999997</v>
          </cell>
        </row>
        <row r="4620">
          <cell r="A4620">
            <v>38302</v>
          </cell>
          <cell r="B4620">
            <v>2782.57</v>
          </cell>
          <cell r="C4620">
            <v>2903.93</v>
          </cell>
          <cell r="D4620">
            <v>248.32</v>
          </cell>
          <cell r="E4620">
            <v>261.82</v>
          </cell>
          <cell r="F4620">
            <v>280.14999999999998</v>
          </cell>
          <cell r="G4620">
            <v>231.47</v>
          </cell>
          <cell r="H4620">
            <v>5236.55</v>
          </cell>
          <cell r="I4620">
            <v>310.74</v>
          </cell>
        </row>
        <row r="4621">
          <cell r="A4621">
            <v>38303</v>
          </cell>
          <cell r="B4621">
            <v>2793.08</v>
          </cell>
          <cell r="C4621">
            <v>2907.45</v>
          </cell>
          <cell r="D4621">
            <v>249.2</v>
          </cell>
          <cell r="E4621">
            <v>262.13</v>
          </cell>
          <cell r="F4621">
            <v>280.87</v>
          </cell>
          <cell r="G4621">
            <v>232.81</v>
          </cell>
          <cell r="H4621">
            <v>5281.22</v>
          </cell>
          <cell r="I4621">
            <v>313.3</v>
          </cell>
        </row>
        <row r="4622">
          <cell r="A4622">
            <v>38306</v>
          </cell>
          <cell r="B4622">
            <v>2791.45</v>
          </cell>
          <cell r="C4622">
            <v>2898.16</v>
          </cell>
          <cell r="D4622">
            <v>248.89</v>
          </cell>
          <cell r="E4622">
            <v>261.45</v>
          </cell>
          <cell r="F4622">
            <v>280.18</v>
          </cell>
          <cell r="G4622">
            <v>232.8</v>
          </cell>
          <cell r="H4622">
            <v>5284.97</v>
          </cell>
          <cell r="I4622">
            <v>313.45999999999998</v>
          </cell>
        </row>
        <row r="4623">
          <cell r="A4623">
            <v>38307</v>
          </cell>
          <cell r="B4623">
            <v>2772.11</v>
          </cell>
          <cell r="C4623">
            <v>2879.01</v>
          </cell>
          <cell r="D4623">
            <v>247.24</v>
          </cell>
          <cell r="E4623">
            <v>259.66000000000003</v>
          </cell>
          <cell r="F4623">
            <v>278.45999999999998</v>
          </cell>
          <cell r="G4623">
            <v>231.3</v>
          </cell>
          <cell r="H4623">
            <v>5252.77</v>
          </cell>
          <cell r="I4623">
            <v>311.39999999999998</v>
          </cell>
        </row>
        <row r="4624">
          <cell r="A4624">
            <v>38308</v>
          </cell>
          <cell r="B4624">
            <v>2797.33</v>
          </cell>
          <cell r="C4624">
            <v>2922.24</v>
          </cell>
          <cell r="D4624">
            <v>249.45</v>
          </cell>
          <cell r="E4624">
            <v>263.10000000000002</v>
          </cell>
          <cell r="F4624">
            <v>281.87</v>
          </cell>
          <cell r="G4624">
            <v>232.45</v>
          </cell>
          <cell r="H4624">
            <v>5309.55</v>
          </cell>
          <cell r="I4624">
            <v>314.94</v>
          </cell>
        </row>
        <row r="4625">
          <cell r="A4625">
            <v>38309</v>
          </cell>
          <cell r="B4625">
            <v>2798.19</v>
          </cell>
          <cell r="C4625">
            <v>2917.21</v>
          </cell>
          <cell r="D4625">
            <v>249.5</v>
          </cell>
          <cell r="E4625">
            <v>262.83999999999997</v>
          </cell>
          <cell r="F4625">
            <v>281.62</v>
          </cell>
          <cell r="G4625">
            <v>232.76</v>
          </cell>
          <cell r="H4625">
            <v>5315.63</v>
          </cell>
          <cell r="I4625">
            <v>315.36</v>
          </cell>
        </row>
        <row r="4626">
          <cell r="A4626">
            <v>38310</v>
          </cell>
          <cell r="B4626">
            <v>2766.28</v>
          </cell>
          <cell r="C4626">
            <v>2893.08</v>
          </cell>
          <cell r="D4626">
            <v>247.61</v>
          </cell>
          <cell r="E4626">
            <v>261.19</v>
          </cell>
          <cell r="F4626">
            <v>279.86</v>
          </cell>
          <cell r="G4626">
            <v>230.71</v>
          </cell>
          <cell r="H4626">
            <v>5297.02</v>
          </cell>
          <cell r="I4626">
            <v>313.92</v>
          </cell>
        </row>
        <row r="4627">
          <cell r="A4627">
            <v>38313</v>
          </cell>
          <cell r="B4627">
            <v>2750.79</v>
          </cell>
          <cell r="C4627">
            <v>2879.58</v>
          </cell>
          <cell r="D4627">
            <v>246.32</v>
          </cell>
          <cell r="E4627">
            <v>260.08</v>
          </cell>
          <cell r="F4627">
            <v>278.39999999999998</v>
          </cell>
          <cell r="G4627">
            <v>229.3</v>
          </cell>
          <cell r="H4627">
            <v>5264.25</v>
          </cell>
          <cell r="I4627">
            <v>311.93</v>
          </cell>
        </row>
        <row r="4628">
          <cell r="A4628">
            <v>38314</v>
          </cell>
          <cell r="B4628">
            <v>2752.26</v>
          </cell>
          <cell r="C4628">
            <v>2876.88</v>
          </cell>
          <cell r="D4628">
            <v>246.71</v>
          </cell>
          <cell r="E4628">
            <v>259.92</v>
          </cell>
          <cell r="F4628">
            <v>278.17</v>
          </cell>
          <cell r="G4628">
            <v>230.14</v>
          </cell>
          <cell r="H4628">
            <v>5280.43</v>
          </cell>
          <cell r="I4628">
            <v>312.66000000000003</v>
          </cell>
        </row>
        <row r="4629">
          <cell r="A4629">
            <v>38315</v>
          </cell>
          <cell r="B4629">
            <v>2742.82</v>
          </cell>
          <cell r="C4629">
            <v>2876.84</v>
          </cell>
          <cell r="D4629">
            <v>246.4</v>
          </cell>
          <cell r="E4629">
            <v>260.14</v>
          </cell>
          <cell r="F4629">
            <v>278.38</v>
          </cell>
          <cell r="G4629">
            <v>229.39</v>
          </cell>
          <cell r="H4629">
            <v>5312.89</v>
          </cell>
          <cell r="I4629">
            <v>314.2</v>
          </cell>
        </row>
        <row r="4630">
          <cell r="A4630">
            <v>38316</v>
          </cell>
          <cell r="B4630">
            <v>2765.04</v>
          </cell>
          <cell r="C4630">
            <v>2904.16</v>
          </cell>
          <cell r="D4630">
            <v>248.17</v>
          </cell>
          <cell r="E4630">
            <v>262.33</v>
          </cell>
          <cell r="F4630">
            <v>280.72000000000003</v>
          </cell>
          <cell r="G4630">
            <v>230.77</v>
          </cell>
          <cell r="H4630">
            <v>5350.95</v>
          </cell>
          <cell r="I4630">
            <v>316.19</v>
          </cell>
        </row>
        <row r="4631">
          <cell r="A4631">
            <v>38317</v>
          </cell>
          <cell r="B4631">
            <v>2759.02</v>
          </cell>
          <cell r="C4631">
            <v>2898.95</v>
          </cell>
          <cell r="D4631">
            <v>247.78</v>
          </cell>
          <cell r="E4631">
            <v>261.89</v>
          </cell>
          <cell r="F4631">
            <v>280.25</v>
          </cell>
          <cell r="G4631">
            <v>230.44</v>
          </cell>
          <cell r="H4631">
            <v>5358.01</v>
          </cell>
          <cell r="I4631">
            <v>316.19</v>
          </cell>
        </row>
        <row r="4632">
          <cell r="A4632">
            <v>38320</v>
          </cell>
          <cell r="B4632">
            <v>2752.55</v>
          </cell>
          <cell r="C4632">
            <v>2891.15</v>
          </cell>
          <cell r="D4632">
            <v>247.53</v>
          </cell>
          <cell r="E4632">
            <v>261.58</v>
          </cell>
          <cell r="F4632">
            <v>279.85000000000002</v>
          </cell>
          <cell r="G4632">
            <v>230.24</v>
          </cell>
          <cell r="H4632">
            <v>5375.45</v>
          </cell>
          <cell r="I4632">
            <v>317.05</v>
          </cell>
        </row>
        <row r="4633">
          <cell r="A4633">
            <v>38321</v>
          </cell>
          <cell r="B4633">
            <v>2737.67</v>
          </cell>
          <cell r="C4633">
            <v>2876.39</v>
          </cell>
          <cell r="D4633">
            <v>246.51</v>
          </cell>
          <cell r="E4633">
            <v>260.20999999999998</v>
          </cell>
          <cell r="F4633">
            <v>278.08999999999997</v>
          </cell>
          <cell r="G4633">
            <v>229.54</v>
          </cell>
          <cell r="H4633">
            <v>5336.2</v>
          </cell>
          <cell r="I4633">
            <v>314.8</v>
          </cell>
        </row>
        <row r="4634">
          <cell r="A4634">
            <v>38322</v>
          </cell>
          <cell r="B4634">
            <v>2774.33</v>
          </cell>
          <cell r="C4634">
            <v>2913.21</v>
          </cell>
          <cell r="D4634">
            <v>249.29</v>
          </cell>
          <cell r="E4634">
            <v>263.04000000000002</v>
          </cell>
          <cell r="F4634">
            <v>280.79000000000002</v>
          </cell>
          <cell r="G4634">
            <v>232.2</v>
          </cell>
          <cell r="H4634">
            <v>5374.93</v>
          </cell>
          <cell r="I4634">
            <v>316.95999999999998</v>
          </cell>
        </row>
        <row r="4635">
          <cell r="A4635">
            <v>38323</v>
          </cell>
          <cell r="B4635">
            <v>2784.45</v>
          </cell>
          <cell r="C4635">
            <v>2926.73</v>
          </cell>
          <cell r="D4635">
            <v>250.32</v>
          </cell>
          <cell r="E4635">
            <v>264.26</v>
          </cell>
          <cell r="F4635">
            <v>281.97000000000003</v>
          </cell>
          <cell r="G4635">
            <v>233.05</v>
          </cell>
          <cell r="H4635">
            <v>5369.29</v>
          </cell>
          <cell r="I4635">
            <v>317.56</v>
          </cell>
        </row>
        <row r="4636">
          <cell r="A4636">
            <v>38324</v>
          </cell>
          <cell r="B4636">
            <v>2777.69</v>
          </cell>
          <cell r="C4636">
            <v>2911.59</v>
          </cell>
          <cell r="D4636">
            <v>249.74</v>
          </cell>
          <cell r="E4636">
            <v>263.25</v>
          </cell>
          <cell r="F4636">
            <v>281.07</v>
          </cell>
          <cell r="G4636">
            <v>232.85</v>
          </cell>
          <cell r="H4636">
            <v>5332.25</v>
          </cell>
          <cell r="I4636">
            <v>315.27</v>
          </cell>
        </row>
        <row r="4637">
          <cell r="A4637">
            <v>38327</v>
          </cell>
          <cell r="B4637">
            <v>2761.95</v>
          </cell>
          <cell r="C4637">
            <v>2904.51</v>
          </cell>
          <cell r="D4637">
            <v>248.54</v>
          </cell>
          <cell r="E4637">
            <v>262.63</v>
          </cell>
          <cell r="F4637">
            <v>280.17</v>
          </cell>
          <cell r="G4637">
            <v>231.2</v>
          </cell>
          <cell r="H4637">
            <v>5323.51</v>
          </cell>
          <cell r="I4637">
            <v>314.8</v>
          </cell>
        </row>
        <row r="4638">
          <cell r="A4638">
            <v>38328</v>
          </cell>
          <cell r="B4638">
            <v>2774.95</v>
          </cell>
          <cell r="C4638">
            <v>2918.43</v>
          </cell>
          <cell r="D4638">
            <v>249.44</v>
          </cell>
          <cell r="E4638">
            <v>263.68</v>
          </cell>
          <cell r="F4638">
            <v>281.44</v>
          </cell>
          <cell r="G4638">
            <v>231.96</v>
          </cell>
          <cell r="H4638">
            <v>5348.86</v>
          </cell>
          <cell r="I4638">
            <v>316.29000000000002</v>
          </cell>
        </row>
        <row r="4639">
          <cell r="A4639">
            <v>38329</v>
          </cell>
          <cell r="B4639">
            <v>2768.29</v>
          </cell>
          <cell r="C4639">
            <v>2912.44</v>
          </cell>
          <cell r="D4639">
            <v>248.97</v>
          </cell>
          <cell r="E4639">
            <v>263.36</v>
          </cell>
          <cell r="F4639">
            <v>280.68</v>
          </cell>
          <cell r="G4639">
            <v>231.36</v>
          </cell>
          <cell r="H4639">
            <v>5265.17</v>
          </cell>
          <cell r="I4639">
            <v>311.58999999999997</v>
          </cell>
        </row>
        <row r="4640">
          <cell r="A4640">
            <v>38330</v>
          </cell>
          <cell r="B4640">
            <v>2747.17</v>
          </cell>
          <cell r="C4640">
            <v>2888.02</v>
          </cell>
          <cell r="D4640">
            <v>247.19</v>
          </cell>
          <cell r="E4640">
            <v>261.39</v>
          </cell>
          <cell r="F4640">
            <v>278.86</v>
          </cell>
          <cell r="G4640">
            <v>229.78</v>
          </cell>
          <cell r="H4640">
            <v>5213.33</v>
          </cell>
          <cell r="I4640">
            <v>308.05</v>
          </cell>
        </row>
        <row r="4641">
          <cell r="A4641">
            <v>38331</v>
          </cell>
          <cell r="B4641">
            <v>2760.19</v>
          </cell>
          <cell r="C4641">
            <v>2903.96</v>
          </cell>
          <cell r="D4641">
            <v>248.18</v>
          </cell>
          <cell r="E4641">
            <v>262.64999999999998</v>
          </cell>
          <cell r="F4641">
            <v>280.16000000000003</v>
          </cell>
          <cell r="G4641">
            <v>230.53</v>
          </cell>
          <cell r="H4641">
            <v>5247.78</v>
          </cell>
          <cell r="I4641">
            <v>309.62</v>
          </cell>
        </row>
        <row r="4642">
          <cell r="A4642">
            <v>38334</v>
          </cell>
          <cell r="B4642">
            <v>2779.38</v>
          </cell>
          <cell r="C4642">
            <v>2928.43</v>
          </cell>
          <cell r="D4642">
            <v>250.04</v>
          </cell>
          <cell r="E4642">
            <v>264.66000000000003</v>
          </cell>
          <cell r="F4642">
            <v>282.29000000000002</v>
          </cell>
          <cell r="G4642">
            <v>232.21</v>
          </cell>
          <cell r="H4642">
            <v>5275.16</v>
          </cell>
          <cell r="I4642">
            <v>310.56</v>
          </cell>
        </row>
        <row r="4643">
          <cell r="A4643">
            <v>38335</v>
          </cell>
          <cell r="B4643">
            <v>2781.2</v>
          </cell>
          <cell r="C4643">
            <v>2934.1</v>
          </cell>
          <cell r="D4643">
            <v>250.31</v>
          </cell>
          <cell r="E4643">
            <v>265.19</v>
          </cell>
          <cell r="F4643">
            <v>282.85000000000002</v>
          </cell>
          <cell r="G4643">
            <v>232.27</v>
          </cell>
          <cell r="H4643">
            <v>5254.33</v>
          </cell>
          <cell r="I4643">
            <v>309.69</v>
          </cell>
        </row>
        <row r="4644">
          <cell r="A4644">
            <v>38336</v>
          </cell>
          <cell r="B4644">
            <v>2778.11</v>
          </cell>
          <cell r="C4644">
            <v>2921.94</v>
          </cell>
          <cell r="D4644">
            <v>250.18</v>
          </cell>
          <cell r="E4644">
            <v>264.55</v>
          </cell>
          <cell r="F4644">
            <v>282.32</v>
          </cell>
          <cell r="G4644">
            <v>232.56</v>
          </cell>
          <cell r="H4644">
            <v>5244.83</v>
          </cell>
          <cell r="I4644">
            <v>309.10000000000002</v>
          </cell>
        </row>
        <row r="4645">
          <cell r="A4645">
            <v>38337</v>
          </cell>
          <cell r="B4645">
            <v>2786.53</v>
          </cell>
          <cell r="C4645">
            <v>2929.63</v>
          </cell>
          <cell r="D4645">
            <v>251.09</v>
          </cell>
          <cell r="E4645">
            <v>265.25</v>
          </cell>
          <cell r="F4645">
            <v>282.83999999999997</v>
          </cell>
          <cell r="G4645">
            <v>233.62</v>
          </cell>
          <cell r="H4645">
            <v>5242.7700000000004</v>
          </cell>
          <cell r="I4645">
            <v>308.74</v>
          </cell>
        </row>
        <row r="4646">
          <cell r="A4646">
            <v>38338</v>
          </cell>
          <cell r="B4646">
            <v>2756.92</v>
          </cell>
          <cell r="C4646">
            <v>2891.48</v>
          </cell>
          <cell r="D4646">
            <v>249.13</v>
          </cell>
          <cell r="E4646">
            <v>262.58</v>
          </cell>
          <cell r="F4646">
            <v>280.07</v>
          </cell>
          <cell r="G4646">
            <v>232.3</v>
          </cell>
          <cell r="H4646">
            <v>5192.74</v>
          </cell>
          <cell r="I4646">
            <v>305.42</v>
          </cell>
        </row>
        <row r="4647">
          <cell r="A4647">
            <v>38341</v>
          </cell>
          <cell r="B4647">
            <v>2770.26</v>
          </cell>
          <cell r="C4647">
            <v>2906.24</v>
          </cell>
          <cell r="D4647">
            <v>250.29</v>
          </cell>
          <cell r="E4647">
            <v>263.83999999999997</v>
          </cell>
          <cell r="F4647">
            <v>281.73</v>
          </cell>
          <cell r="G4647">
            <v>233.35</v>
          </cell>
          <cell r="H4647">
            <v>5248.85</v>
          </cell>
          <cell r="I4647">
            <v>308.86</v>
          </cell>
        </row>
        <row r="4648">
          <cell r="A4648">
            <v>38342</v>
          </cell>
          <cell r="B4648">
            <v>2761.09</v>
          </cell>
          <cell r="C4648">
            <v>2912.8</v>
          </cell>
          <cell r="D4648">
            <v>249.77</v>
          </cell>
          <cell r="E4648">
            <v>264.41000000000003</v>
          </cell>
          <cell r="F4648">
            <v>282.08</v>
          </cell>
          <cell r="G4648">
            <v>231.93</v>
          </cell>
          <cell r="H4648">
            <v>5282.7</v>
          </cell>
          <cell r="I4648">
            <v>310.77999999999997</v>
          </cell>
        </row>
        <row r="4649">
          <cell r="A4649">
            <v>38343</v>
          </cell>
          <cell r="B4649">
            <v>2776.38</v>
          </cell>
          <cell r="C4649">
            <v>2937.74</v>
          </cell>
          <cell r="D4649">
            <v>250.91</v>
          </cell>
          <cell r="E4649">
            <v>266.31</v>
          </cell>
          <cell r="F4649">
            <v>284.04000000000002</v>
          </cell>
          <cell r="G4649">
            <v>232.41</v>
          </cell>
          <cell r="H4649">
            <v>5306.23</v>
          </cell>
          <cell r="I4649">
            <v>312.3</v>
          </cell>
        </row>
        <row r="4650">
          <cell r="A4650">
            <v>38344</v>
          </cell>
          <cell r="B4650">
            <v>2776.75</v>
          </cell>
          <cell r="C4650">
            <v>2950.92</v>
          </cell>
          <cell r="D4650">
            <v>250.98</v>
          </cell>
          <cell r="E4650">
            <v>267.07</v>
          </cell>
          <cell r="F4650">
            <v>284.64</v>
          </cell>
          <cell r="G4650">
            <v>231.9</v>
          </cell>
          <cell r="H4650">
            <v>5299.51</v>
          </cell>
          <cell r="I4650">
            <v>312.06</v>
          </cell>
        </row>
        <row r="4651">
          <cell r="A4651">
            <v>38345</v>
          </cell>
          <cell r="B4651">
            <v>2780.97</v>
          </cell>
          <cell r="C4651">
            <v>2951.16</v>
          </cell>
          <cell r="D4651">
            <v>251.26</v>
          </cell>
          <cell r="E4651">
            <v>267.10000000000002</v>
          </cell>
          <cell r="F4651">
            <v>284.67</v>
          </cell>
          <cell r="G4651">
            <v>232.39</v>
          </cell>
          <cell r="H4651">
            <v>5309.15</v>
          </cell>
          <cell r="I4651">
            <v>312.55</v>
          </cell>
        </row>
        <row r="4652">
          <cell r="A4652">
            <v>38348</v>
          </cell>
          <cell r="B4652">
            <v>2774.98</v>
          </cell>
          <cell r="C4652">
            <v>2944.16</v>
          </cell>
          <cell r="D4652">
            <v>250.84</v>
          </cell>
          <cell r="E4652">
            <v>266.72000000000003</v>
          </cell>
          <cell r="F4652">
            <v>284.29000000000002</v>
          </cell>
          <cell r="G4652">
            <v>231.94</v>
          </cell>
          <cell r="H4652">
            <v>5304.29</v>
          </cell>
          <cell r="I4652">
            <v>312.26</v>
          </cell>
        </row>
        <row r="4653">
          <cell r="A4653">
            <v>38349</v>
          </cell>
          <cell r="B4653">
            <v>2779.11</v>
          </cell>
          <cell r="C4653">
            <v>2955.11</v>
          </cell>
          <cell r="D4653">
            <v>251.09</v>
          </cell>
          <cell r="E4653">
            <v>267.45</v>
          </cell>
          <cell r="F4653">
            <v>284.89</v>
          </cell>
          <cell r="G4653">
            <v>231.77</v>
          </cell>
          <cell r="H4653">
            <v>5290.56</v>
          </cell>
          <cell r="I4653">
            <v>311.81</v>
          </cell>
        </row>
        <row r="4654">
          <cell r="A4654">
            <v>38350</v>
          </cell>
          <cell r="B4654">
            <v>2777.51</v>
          </cell>
          <cell r="C4654">
            <v>2953.15</v>
          </cell>
          <cell r="D4654">
            <v>251.03</v>
          </cell>
          <cell r="E4654">
            <v>267.32</v>
          </cell>
          <cell r="F4654">
            <v>284.94</v>
          </cell>
          <cell r="G4654">
            <v>231.77</v>
          </cell>
          <cell r="H4654">
            <v>5296.56</v>
          </cell>
          <cell r="I4654">
            <v>312.14999999999998</v>
          </cell>
        </row>
        <row r="4655">
          <cell r="A4655">
            <v>38351</v>
          </cell>
          <cell r="B4655">
            <v>2774.77</v>
          </cell>
          <cell r="C4655">
            <v>2951.24</v>
          </cell>
          <cell r="D4655">
            <v>251.02</v>
          </cell>
          <cell r="E4655">
            <v>267.38</v>
          </cell>
          <cell r="F4655">
            <v>284.92</v>
          </cell>
          <cell r="G4655">
            <v>231.7</v>
          </cell>
          <cell r="H4655">
            <v>5289.68</v>
          </cell>
          <cell r="I4655">
            <v>311.69</v>
          </cell>
        </row>
        <row r="4656">
          <cell r="A4656">
            <v>38352</v>
          </cell>
          <cell r="B4656">
            <v>2775.33</v>
          </cell>
          <cell r="C4656">
            <v>2951.01</v>
          </cell>
          <cell r="D4656">
            <v>251.11</v>
          </cell>
          <cell r="E4656">
            <v>267.41000000000003</v>
          </cell>
          <cell r="F4656">
            <v>284.89999999999998</v>
          </cell>
          <cell r="G4656">
            <v>231.84</v>
          </cell>
          <cell r="H4656">
            <v>5285.26</v>
          </cell>
          <cell r="I4656">
            <v>311.47000000000003</v>
          </cell>
        </row>
        <row r="4657">
          <cell r="A4657">
            <v>38355</v>
          </cell>
          <cell r="B4657">
            <v>2788.55</v>
          </cell>
          <cell r="C4657">
            <v>2970.02</v>
          </cell>
          <cell r="D4657">
            <v>252.55</v>
          </cell>
          <cell r="E4657">
            <v>269.36</v>
          </cell>
          <cell r="F4657">
            <v>287.31</v>
          </cell>
          <cell r="G4657">
            <v>232.83</v>
          </cell>
          <cell r="H4657">
            <v>5328.87</v>
          </cell>
          <cell r="I4657">
            <v>314.11</v>
          </cell>
        </row>
        <row r="4658">
          <cell r="A4658">
            <v>38356</v>
          </cell>
          <cell r="B4658">
            <v>2800.92</v>
          </cell>
          <cell r="C4658">
            <v>2971.12</v>
          </cell>
          <cell r="D4658">
            <v>253.55</v>
          </cell>
          <cell r="E4658">
            <v>269.87</v>
          </cell>
          <cell r="F4658">
            <v>287.60000000000002</v>
          </cell>
          <cell r="G4658">
            <v>234.22</v>
          </cell>
          <cell r="H4658">
            <v>5322.91</v>
          </cell>
          <cell r="I4658">
            <v>314.27999999999997</v>
          </cell>
        </row>
        <row r="4659">
          <cell r="A4659">
            <v>38357</v>
          </cell>
          <cell r="B4659">
            <v>2783.41</v>
          </cell>
          <cell r="C4659">
            <v>2947.19</v>
          </cell>
          <cell r="D4659">
            <v>251.85</v>
          </cell>
          <cell r="E4659">
            <v>267.89</v>
          </cell>
          <cell r="F4659">
            <v>285.38</v>
          </cell>
          <cell r="G4659">
            <v>232.79</v>
          </cell>
          <cell r="H4659">
            <v>5275.99</v>
          </cell>
          <cell r="I4659">
            <v>311.42</v>
          </cell>
        </row>
        <row r="4660">
          <cell r="A4660">
            <v>38358</v>
          </cell>
          <cell r="B4660">
            <v>2799.92</v>
          </cell>
          <cell r="C4660">
            <v>2966.24</v>
          </cell>
          <cell r="D4660">
            <v>253.09</v>
          </cell>
          <cell r="E4660">
            <v>269.49</v>
          </cell>
          <cell r="F4660">
            <v>286.86</v>
          </cell>
          <cell r="G4660">
            <v>233.71</v>
          </cell>
          <cell r="H4660">
            <v>5281.39</v>
          </cell>
          <cell r="I4660">
            <v>311.51</v>
          </cell>
        </row>
        <row r="4661">
          <cell r="A4661">
            <v>38359</v>
          </cell>
          <cell r="B4661">
            <v>2818.4</v>
          </cell>
          <cell r="C4661">
            <v>2979.82</v>
          </cell>
          <cell r="D4661">
            <v>254.72</v>
          </cell>
          <cell r="E4661">
            <v>270.61</v>
          </cell>
          <cell r="F4661">
            <v>287.83</v>
          </cell>
          <cell r="G4661">
            <v>235.73</v>
          </cell>
          <cell r="H4661">
            <v>5311.23</v>
          </cell>
          <cell r="I4661">
            <v>313.3</v>
          </cell>
        </row>
        <row r="4662">
          <cell r="A4662">
            <v>38362</v>
          </cell>
          <cell r="B4662">
            <v>2815.68</v>
          </cell>
          <cell r="C4662">
            <v>2977.21</v>
          </cell>
          <cell r="D4662">
            <v>254.62</v>
          </cell>
          <cell r="E4662">
            <v>270.55</v>
          </cell>
          <cell r="F4662">
            <v>288.06</v>
          </cell>
          <cell r="G4662">
            <v>235.59</v>
          </cell>
          <cell r="H4662">
            <v>5364.45</v>
          </cell>
          <cell r="I4662">
            <v>316.3</v>
          </cell>
        </row>
        <row r="4663">
          <cell r="A4663">
            <v>38363</v>
          </cell>
          <cell r="B4663">
            <v>2791.58</v>
          </cell>
          <cell r="C4663">
            <v>2949.29</v>
          </cell>
          <cell r="D4663">
            <v>252.73</v>
          </cell>
          <cell r="E4663">
            <v>268.33999999999997</v>
          </cell>
          <cell r="F4663">
            <v>285.89999999999998</v>
          </cell>
          <cell r="G4663">
            <v>234.02</v>
          </cell>
          <cell r="H4663">
            <v>5316.6</v>
          </cell>
          <cell r="I4663">
            <v>313.27999999999997</v>
          </cell>
        </row>
        <row r="4664">
          <cell r="A4664">
            <v>38364</v>
          </cell>
          <cell r="B4664">
            <v>2763.16</v>
          </cell>
          <cell r="C4664">
            <v>2924.01</v>
          </cell>
          <cell r="D4664">
            <v>250.79</v>
          </cell>
          <cell r="E4664">
            <v>266.56</v>
          </cell>
          <cell r="F4664">
            <v>283.75</v>
          </cell>
          <cell r="G4664">
            <v>231.99</v>
          </cell>
          <cell r="H4664">
            <v>5228.2</v>
          </cell>
          <cell r="I4664">
            <v>308.17</v>
          </cell>
        </row>
        <row r="4665">
          <cell r="A4665">
            <v>38365</v>
          </cell>
          <cell r="B4665">
            <v>2769.63</v>
          </cell>
          <cell r="C4665">
            <v>2936.32</v>
          </cell>
          <cell r="D4665">
            <v>251.73</v>
          </cell>
          <cell r="E4665">
            <v>267.64999999999998</v>
          </cell>
          <cell r="F4665">
            <v>284.85000000000002</v>
          </cell>
          <cell r="G4665">
            <v>232.78</v>
          </cell>
          <cell r="H4665">
            <v>5251.66</v>
          </cell>
          <cell r="I4665">
            <v>309.37</v>
          </cell>
        </row>
        <row r="4666">
          <cell r="A4666">
            <v>38366</v>
          </cell>
          <cell r="B4666">
            <v>2781.76</v>
          </cell>
          <cell r="C4666">
            <v>2948.22</v>
          </cell>
          <cell r="D4666">
            <v>252.99</v>
          </cell>
          <cell r="E4666">
            <v>268.64999999999998</v>
          </cell>
          <cell r="F4666">
            <v>286.11</v>
          </cell>
          <cell r="G4666">
            <v>234.22</v>
          </cell>
          <cell r="H4666">
            <v>5285.58</v>
          </cell>
          <cell r="I4666">
            <v>311.20999999999998</v>
          </cell>
        </row>
        <row r="4667">
          <cell r="A4667">
            <v>38369</v>
          </cell>
          <cell r="B4667">
            <v>2791.84</v>
          </cell>
          <cell r="C4667">
            <v>2963.06</v>
          </cell>
          <cell r="D4667">
            <v>254.03</v>
          </cell>
          <cell r="E4667">
            <v>270.07</v>
          </cell>
          <cell r="F4667">
            <v>287.75</v>
          </cell>
          <cell r="G4667">
            <v>234.92</v>
          </cell>
          <cell r="H4667">
            <v>5323.59</v>
          </cell>
          <cell r="I4667">
            <v>313.52</v>
          </cell>
        </row>
        <row r="4668">
          <cell r="A4668">
            <v>38370</v>
          </cell>
          <cell r="B4668">
            <v>2794.46</v>
          </cell>
          <cell r="C4668">
            <v>2962.43</v>
          </cell>
          <cell r="D4668">
            <v>254.28</v>
          </cell>
          <cell r="E4668">
            <v>269.98</v>
          </cell>
          <cell r="F4668">
            <v>287.54000000000002</v>
          </cell>
          <cell r="G4668">
            <v>235.46</v>
          </cell>
          <cell r="H4668">
            <v>5316.35</v>
          </cell>
          <cell r="I4668">
            <v>313.08</v>
          </cell>
        </row>
        <row r="4669">
          <cell r="A4669">
            <v>38371</v>
          </cell>
          <cell r="B4669">
            <v>2797.92</v>
          </cell>
          <cell r="C4669">
            <v>2959.9</v>
          </cell>
          <cell r="D4669">
            <v>254.73</v>
          </cell>
          <cell r="E4669">
            <v>270.02999999999997</v>
          </cell>
          <cell r="F4669">
            <v>287.76</v>
          </cell>
          <cell r="G4669">
            <v>236.23</v>
          </cell>
          <cell r="H4669">
            <v>5309.07</v>
          </cell>
          <cell r="I4669">
            <v>312.52</v>
          </cell>
        </row>
        <row r="4670">
          <cell r="A4670">
            <v>38372</v>
          </cell>
          <cell r="B4670">
            <v>2783.58</v>
          </cell>
          <cell r="C4670">
            <v>2937.71</v>
          </cell>
          <cell r="D4670">
            <v>253.69</v>
          </cell>
          <cell r="E4670">
            <v>268.44</v>
          </cell>
          <cell r="F4670">
            <v>285.94</v>
          </cell>
          <cell r="G4670">
            <v>235.67</v>
          </cell>
          <cell r="H4670">
            <v>5230.13</v>
          </cell>
          <cell r="I4670">
            <v>307.61</v>
          </cell>
        </row>
        <row r="4671">
          <cell r="A4671">
            <v>38373</v>
          </cell>
          <cell r="B4671">
            <v>2779.65</v>
          </cell>
          <cell r="C4671">
            <v>2940.87</v>
          </cell>
          <cell r="D4671">
            <v>253.42</v>
          </cell>
          <cell r="E4671">
            <v>268.70999999999998</v>
          </cell>
          <cell r="F4671">
            <v>286.08999999999997</v>
          </cell>
          <cell r="G4671">
            <v>234.96</v>
          </cell>
          <cell r="H4671">
            <v>5220.6899999999996</v>
          </cell>
          <cell r="I4671">
            <v>306.92</v>
          </cell>
        </row>
        <row r="4672">
          <cell r="A4672">
            <v>38376</v>
          </cell>
          <cell r="B4672">
            <v>2784.12</v>
          </cell>
          <cell r="C4672">
            <v>2937.83</v>
          </cell>
          <cell r="D4672">
            <v>253.28</v>
          </cell>
          <cell r="E4672">
            <v>268.13</v>
          </cell>
          <cell r="F4672">
            <v>285.56</v>
          </cell>
          <cell r="G4672">
            <v>235.19</v>
          </cell>
          <cell r="H4672">
            <v>5179.79</v>
          </cell>
          <cell r="I4672">
            <v>304.32</v>
          </cell>
        </row>
        <row r="4673">
          <cell r="A4673">
            <v>38377</v>
          </cell>
          <cell r="B4673">
            <v>2802.42</v>
          </cell>
          <cell r="C4673">
            <v>2958.61</v>
          </cell>
          <cell r="D4673">
            <v>254.94</v>
          </cell>
          <cell r="E4673">
            <v>270.02999999999997</v>
          </cell>
          <cell r="F4673">
            <v>287.38</v>
          </cell>
          <cell r="G4673">
            <v>236.61</v>
          </cell>
          <cell r="H4673">
            <v>5221.49</v>
          </cell>
          <cell r="I4673">
            <v>306.91000000000003</v>
          </cell>
        </row>
        <row r="4674">
          <cell r="A4674">
            <v>38378</v>
          </cell>
          <cell r="B4674">
            <v>2803.74</v>
          </cell>
          <cell r="C4674">
            <v>2956.43</v>
          </cell>
          <cell r="D4674">
            <v>255.03</v>
          </cell>
          <cell r="E4674">
            <v>270.02</v>
          </cell>
          <cell r="F4674">
            <v>287.39</v>
          </cell>
          <cell r="G4674">
            <v>236.78</v>
          </cell>
          <cell r="H4674">
            <v>5214.7700000000004</v>
          </cell>
          <cell r="I4674">
            <v>307.07</v>
          </cell>
        </row>
        <row r="4675">
          <cell r="A4675">
            <v>38379</v>
          </cell>
          <cell r="B4675">
            <v>2820.14</v>
          </cell>
          <cell r="C4675">
            <v>2970.81</v>
          </cell>
          <cell r="D4675">
            <v>256.12</v>
          </cell>
          <cell r="E4675">
            <v>270.98</v>
          </cell>
          <cell r="F4675">
            <v>288.27</v>
          </cell>
          <cell r="G4675">
            <v>237.96</v>
          </cell>
          <cell r="H4675">
            <v>5250.71</v>
          </cell>
          <cell r="I4675">
            <v>310.08</v>
          </cell>
        </row>
        <row r="4676">
          <cell r="A4676">
            <v>38380</v>
          </cell>
          <cell r="B4676">
            <v>2803.26</v>
          </cell>
          <cell r="C4676">
            <v>2955.89</v>
          </cell>
          <cell r="D4676">
            <v>255.14</v>
          </cell>
          <cell r="E4676">
            <v>270.01</v>
          </cell>
          <cell r="F4676">
            <v>287.11</v>
          </cell>
          <cell r="G4676">
            <v>236.98</v>
          </cell>
          <cell r="H4676">
            <v>5216.8900000000003</v>
          </cell>
          <cell r="I4676">
            <v>308.14</v>
          </cell>
        </row>
        <row r="4677">
          <cell r="A4677">
            <v>38383</v>
          </cell>
          <cell r="B4677">
            <v>2819.19</v>
          </cell>
          <cell r="C4677">
            <v>2984.59</v>
          </cell>
          <cell r="D4677">
            <v>256.85000000000002</v>
          </cell>
          <cell r="E4677">
            <v>272.56</v>
          </cell>
          <cell r="F4677">
            <v>289.49</v>
          </cell>
          <cell r="G4677">
            <v>237.95</v>
          </cell>
          <cell r="H4677">
            <v>5267.46</v>
          </cell>
          <cell r="I4677">
            <v>310.72000000000003</v>
          </cell>
        </row>
        <row r="4678">
          <cell r="A4678">
            <v>38384</v>
          </cell>
          <cell r="B4678">
            <v>2844.2</v>
          </cell>
          <cell r="C4678">
            <v>3008.85</v>
          </cell>
          <cell r="D4678">
            <v>258.86</v>
          </cell>
          <cell r="E4678">
            <v>274.52</v>
          </cell>
          <cell r="F4678">
            <v>291.43</v>
          </cell>
          <cell r="G4678">
            <v>239.96</v>
          </cell>
          <cell r="H4678">
            <v>5330.46</v>
          </cell>
          <cell r="I4678">
            <v>314.47000000000003</v>
          </cell>
        </row>
        <row r="4679">
          <cell r="A4679">
            <v>38385</v>
          </cell>
          <cell r="B4679">
            <v>2849.38</v>
          </cell>
          <cell r="C4679">
            <v>3022.35</v>
          </cell>
          <cell r="D4679">
            <v>259.67</v>
          </cell>
          <cell r="E4679">
            <v>275.49</v>
          </cell>
          <cell r="F4679">
            <v>292.38</v>
          </cell>
          <cell r="G4679">
            <v>240.62</v>
          </cell>
          <cell r="H4679">
            <v>5364.32</v>
          </cell>
          <cell r="I4679">
            <v>316.69</v>
          </cell>
        </row>
        <row r="4680">
          <cell r="A4680">
            <v>38386</v>
          </cell>
          <cell r="B4680">
            <v>2846.1</v>
          </cell>
          <cell r="C4680">
            <v>3010.39</v>
          </cell>
          <cell r="D4680">
            <v>259.54000000000002</v>
          </cell>
          <cell r="E4680">
            <v>274.91000000000003</v>
          </cell>
          <cell r="F4680">
            <v>291.8</v>
          </cell>
          <cell r="G4680">
            <v>240.87</v>
          </cell>
          <cell r="H4680">
            <v>5333.34</v>
          </cell>
          <cell r="I4680">
            <v>315.72000000000003</v>
          </cell>
        </row>
        <row r="4681">
          <cell r="A4681">
            <v>38387</v>
          </cell>
          <cell r="B4681">
            <v>2873.96</v>
          </cell>
          <cell r="C4681">
            <v>3037.13</v>
          </cell>
          <cell r="D4681">
            <v>261.92</v>
          </cell>
          <cell r="E4681">
            <v>277.42</v>
          </cell>
          <cell r="F4681">
            <v>294.23</v>
          </cell>
          <cell r="G4681">
            <v>243.09</v>
          </cell>
          <cell r="H4681">
            <v>5369.22</v>
          </cell>
          <cell r="I4681">
            <v>317.86</v>
          </cell>
        </row>
        <row r="4682">
          <cell r="A4682">
            <v>38390</v>
          </cell>
          <cell r="B4682">
            <v>2888.62</v>
          </cell>
          <cell r="C4682">
            <v>3051.97</v>
          </cell>
          <cell r="D4682">
            <v>263.32</v>
          </cell>
          <cell r="E4682">
            <v>278.85000000000002</v>
          </cell>
          <cell r="F4682">
            <v>295.83999999999997</v>
          </cell>
          <cell r="G4682">
            <v>244.44</v>
          </cell>
          <cell r="H4682">
            <v>5423.95</v>
          </cell>
          <cell r="I4682">
            <v>321.06</v>
          </cell>
        </row>
        <row r="4683">
          <cell r="A4683">
            <v>38391</v>
          </cell>
          <cell r="B4683">
            <v>2894.85</v>
          </cell>
          <cell r="C4683">
            <v>3055.89</v>
          </cell>
          <cell r="D4683">
            <v>263.81</v>
          </cell>
          <cell r="E4683">
            <v>279.20999999999998</v>
          </cell>
          <cell r="F4683">
            <v>296.17</v>
          </cell>
          <cell r="G4683">
            <v>245.02</v>
          </cell>
          <cell r="H4683">
            <v>5413.01</v>
          </cell>
          <cell r="I4683">
            <v>321.06</v>
          </cell>
        </row>
        <row r="4684">
          <cell r="A4684">
            <v>38392</v>
          </cell>
          <cell r="B4684">
            <v>2889.57</v>
          </cell>
          <cell r="C4684">
            <v>3044.36</v>
          </cell>
          <cell r="D4684">
            <v>263.39</v>
          </cell>
          <cell r="E4684">
            <v>278.48</v>
          </cell>
          <cell r="F4684">
            <v>295.76</v>
          </cell>
          <cell r="G4684">
            <v>244.87</v>
          </cell>
          <cell r="H4684">
            <v>5448.91</v>
          </cell>
          <cell r="I4684">
            <v>323.16000000000003</v>
          </cell>
        </row>
        <row r="4685">
          <cell r="A4685">
            <v>38393</v>
          </cell>
          <cell r="B4685">
            <v>2889.55</v>
          </cell>
          <cell r="C4685">
            <v>3044</v>
          </cell>
          <cell r="D4685">
            <v>263.13</v>
          </cell>
          <cell r="E4685">
            <v>278.17</v>
          </cell>
          <cell r="F4685">
            <v>295.19</v>
          </cell>
          <cell r="G4685">
            <v>244.65</v>
          </cell>
          <cell r="H4685">
            <v>5382.75</v>
          </cell>
          <cell r="I4685">
            <v>318.88</v>
          </cell>
        </row>
        <row r="4686">
          <cell r="A4686">
            <v>38394</v>
          </cell>
          <cell r="B4686">
            <v>2916</v>
          </cell>
          <cell r="C4686">
            <v>3080.08</v>
          </cell>
          <cell r="D4686">
            <v>265.52</v>
          </cell>
          <cell r="E4686">
            <v>281.16000000000003</v>
          </cell>
          <cell r="F4686">
            <v>298.29000000000002</v>
          </cell>
          <cell r="G4686">
            <v>246.49</v>
          </cell>
          <cell r="H4686">
            <v>5454.44</v>
          </cell>
          <cell r="I4686">
            <v>322.62</v>
          </cell>
        </row>
        <row r="4687">
          <cell r="A4687">
            <v>38397</v>
          </cell>
          <cell r="B4687">
            <v>2919.25</v>
          </cell>
          <cell r="C4687">
            <v>3075.76</v>
          </cell>
          <cell r="D4687">
            <v>265.91000000000003</v>
          </cell>
          <cell r="E4687">
            <v>281.08</v>
          </cell>
          <cell r="F4687">
            <v>298.27999999999997</v>
          </cell>
          <cell r="G4687">
            <v>247.28</v>
          </cell>
          <cell r="H4687">
            <v>5456.53</v>
          </cell>
          <cell r="I4687">
            <v>322.88</v>
          </cell>
        </row>
        <row r="4688">
          <cell r="A4688">
            <v>38398</v>
          </cell>
          <cell r="B4688">
            <v>2928.88</v>
          </cell>
          <cell r="C4688">
            <v>3086.95</v>
          </cell>
          <cell r="D4688">
            <v>266.97000000000003</v>
          </cell>
          <cell r="E4688">
            <v>282.35000000000002</v>
          </cell>
          <cell r="F4688">
            <v>299.67</v>
          </cell>
          <cell r="G4688">
            <v>248.12</v>
          </cell>
          <cell r="H4688">
            <v>5497.52</v>
          </cell>
          <cell r="I4688">
            <v>325.22000000000003</v>
          </cell>
        </row>
        <row r="4689">
          <cell r="A4689">
            <v>38399</v>
          </cell>
          <cell r="B4689">
            <v>2909.59</v>
          </cell>
          <cell r="C4689">
            <v>3068.55</v>
          </cell>
          <cell r="D4689">
            <v>265.35000000000002</v>
          </cell>
          <cell r="E4689">
            <v>280.98</v>
          </cell>
          <cell r="F4689">
            <v>298.08999999999997</v>
          </cell>
          <cell r="G4689">
            <v>246.34</v>
          </cell>
          <cell r="H4689">
            <v>5456.12</v>
          </cell>
          <cell r="I4689">
            <v>322.97000000000003</v>
          </cell>
        </row>
        <row r="4690">
          <cell r="A4690">
            <v>38400</v>
          </cell>
          <cell r="B4690">
            <v>2909.03</v>
          </cell>
          <cell r="C4690">
            <v>3067.34</v>
          </cell>
          <cell r="D4690">
            <v>265.64</v>
          </cell>
          <cell r="E4690">
            <v>281.23</v>
          </cell>
          <cell r="F4690">
            <v>298.43</v>
          </cell>
          <cell r="G4690">
            <v>246.65</v>
          </cell>
          <cell r="H4690">
            <v>5460.73</v>
          </cell>
          <cell r="I4690">
            <v>322.66000000000003</v>
          </cell>
        </row>
        <row r="4691">
          <cell r="A4691">
            <v>38401</v>
          </cell>
          <cell r="B4691">
            <v>2913.61</v>
          </cell>
          <cell r="C4691">
            <v>3072.04</v>
          </cell>
          <cell r="D4691">
            <v>266.01</v>
          </cell>
          <cell r="E4691">
            <v>281.57</v>
          </cell>
          <cell r="F4691">
            <v>298.77</v>
          </cell>
          <cell r="G4691">
            <v>247.04</v>
          </cell>
          <cell r="H4691">
            <v>5435.58</v>
          </cell>
          <cell r="I4691">
            <v>321.51</v>
          </cell>
        </row>
        <row r="4692">
          <cell r="A4692">
            <v>38404</v>
          </cell>
          <cell r="B4692">
            <v>2921.47</v>
          </cell>
          <cell r="C4692">
            <v>3063.64</v>
          </cell>
          <cell r="D4692">
            <v>265.66000000000003</v>
          </cell>
          <cell r="E4692">
            <v>280.37</v>
          </cell>
          <cell r="F4692">
            <v>298.02999999999997</v>
          </cell>
          <cell r="G4692">
            <v>247.41</v>
          </cell>
          <cell r="H4692">
            <v>5439.62</v>
          </cell>
          <cell r="I4692">
            <v>321.45</v>
          </cell>
        </row>
        <row r="4693">
          <cell r="A4693">
            <v>38405</v>
          </cell>
          <cell r="B4693">
            <v>2900.89</v>
          </cell>
          <cell r="C4693">
            <v>3045.24</v>
          </cell>
          <cell r="D4693">
            <v>263.75</v>
          </cell>
          <cell r="E4693">
            <v>278.72000000000003</v>
          </cell>
          <cell r="F4693">
            <v>296.75</v>
          </cell>
          <cell r="G4693">
            <v>245.32</v>
          </cell>
          <cell r="H4693">
            <v>5448.47</v>
          </cell>
          <cell r="I4693">
            <v>322.38</v>
          </cell>
        </row>
        <row r="4694">
          <cell r="A4694">
            <v>38406</v>
          </cell>
          <cell r="B4694">
            <v>2879.67</v>
          </cell>
          <cell r="C4694">
            <v>3028.08</v>
          </cell>
          <cell r="D4694">
            <v>262.3</v>
          </cell>
          <cell r="E4694">
            <v>277.33</v>
          </cell>
          <cell r="F4694">
            <v>295.23</v>
          </cell>
          <cell r="G4694">
            <v>243.85</v>
          </cell>
          <cell r="H4694">
            <v>5435.03</v>
          </cell>
          <cell r="I4694">
            <v>320.86</v>
          </cell>
        </row>
        <row r="4695">
          <cell r="A4695">
            <v>38407</v>
          </cell>
          <cell r="B4695">
            <v>2874.55</v>
          </cell>
          <cell r="C4695">
            <v>3024.8</v>
          </cell>
          <cell r="D4695">
            <v>262.14</v>
          </cell>
          <cell r="E4695">
            <v>277.36</v>
          </cell>
          <cell r="F4695">
            <v>295.44</v>
          </cell>
          <cell r="G4695">
            <v>243.55</v>
          </cell>
          <cell r="H4695">
            <v>5462.06</v>
          </cell>
          <cell r="I4695">
            <v>322.58</v>
          </cell>
        </row>
        <row r="4696">
          <cell r="A4696">
            <v>38408</v>
          </cell>
          <cell r="B4696">
            <v>2907.57</v>
          </cell>
          <cell r="C4696">
            <v>3062.72</v>
          </cell>
          <cell r="D4696">
            <v>265.14</v>
          </cell>
          <cell r="E4696">
            <v>280.54000000000002</v>
          </cell>
          <cell r="F4696">
            <v>298.64</v>
          </cell>
          <cell r="G4696">
            <v>246.32</v>
          </cell>
          <cell r="H4696">
            <v>5519.3</v>
          </cell>
          <cell r="I4696">
            <v>326.24</v>
          </cell>
        </row>
        <row r="4697">
          <cell r="A4697">
            <v>38411</v>
          </cell>
          <cell r="B4697">
            <v>2892.56</v>
          </cell>
          <cell r="C4697">
            <v>3058.32</v>
          </cell>
          <cell r="D4697">
            <v>264.29000000000002</v>
          </cell>
          <cell r="E4697">
            <v>280.02</v>
          </cell>
          <cell r="F4697">
            <v>298.45999999999998</v>
          </cell>
          <cell r="G4697">
            <v>245.22</v>
          </cell>
          <cell r="H4697">
            <v>5536.92</v>
          </cell>
          <cell r="I4697">
            <v>327.01</v>
          </cell>
        </row>
        <row r="4698">
          <cell r="A4698">
            <v>38412</v>
          </cell>
          <cell r="B4698">
            <v>2917.05</v>
          </cell>
          <cell r="C4698">
            <v>3078.44</v>
          </cell>
          <cell r="D4698">
            <v>266.25</v>
          </cell>
          <cell r="E4698">
            <v>281.68</v>
          </cell>
          <cell r="F4698">
            <v>300.27999999999997</v>
          </cell>
          <cell r="G4698">
            <v>247.39</v>
          </cell>
          <cell r="H4698">
            <v>5568.1</v>
          </cell>
          <cell r="I4698">
            <v>328.72</v>
          </cell>
        </row>
        <row r="4699">
          <cell r="A4699">
            <v>38413</v>
          </cell>
          <cell r="B4699">
            <v>2924.06</v>
          </cell>
          <cell r="C4699">
            <v>3082.71</v>
          </cell>
          <cell r="D4699">
            <v>266.16000000000003</v>
          </cell>
          <cell r="E4699">
            <v>281.58999999999997</v>
          </cell>
          <cell r="F4699">
            <v>300.33999999999997</v>
          </cell>
          <cell r="G4699">
            <v>247.29</v>
          </cell>
          <cell r="H4699">
            <v>5564.58</v>
          </cell>
          <cell r="I4699">
            <v>328.68</v>
          </cell>
        </row>
        <row r="4700">
          <cell r="A4700">
            <v>38414</v>
          </cell>
          <cell r="B4700">
            <v>2925.2</v>
          </cell>
          <cell r="C4700">
            <v>3078.11</v>
          </cell>
          <cell r="D4700">
            <v>266.14999999999998</v>
          </cell>
          <cell r="E4700">
            <v>281.25</v>
          </cell>
          <cell r="F4700">
            <v>299.94</v>
          </cell>
          <cell r="G4700">
            <v>247.56</v>
          </cell>
          <cell r="H4700">
            <v>5586.69</v>
          </cell>
          <cell r="I4700">
            <v>329.96</v>
          </cell>
        </row>
        <row r="4701">
          <cell r="A4701">
            <v>38415</v>
          </cell>
          <cell r="B4701">
            <v>2942.49</v>
          </cell>
          <cell r="C4701">
            <v>3106.86</v>
          </cell>
          <cell r="D4701">
            <v>267.91000000000003</v>
          </cell>
          <cell r="E4701">
            <v>283.66000000000003</v>
          </cell>
          <cell r="F4701">
            <v>302.24</v>
          </cell>
          <cell r="G4701">
            <v>248.73</v>
          </cell>
          <cell r="H4701">
            <v>5649.11</v>
          </cell>
          <cell r="I4701">
            <v>332.99</v>
          </cell>
        </row>
        <row r="4702">
          <cell r="A4702">
            <v>38418</v>
          </cell>
          <cell r="B4702">
            <v>2935.12</v>
          </cell>
          <cell r="C4702">
            <v>3114.54</v>
          </cell>
          <cell r="D4702">
            <v>267.68</v>
          </cell>
          <cell r="E4702">
            <v>284.25</v>
          </cell>
          <cell r="F4702">
            <v>302.54000000000002</v>
          </cell>
          <cell r="G4702">
            <v>247.81</v>
          </cell>
          <cell r="H4702">
            <v>5640.42</v>
          </cell>
          <cell r="I4702">
            <v>332.67</v>
          </cell>
        </row>
        <row r="4703">
          <cell r="A4703">
            <v>38419</v>
          </cell>
          <cell r="B4703">
            <v>2921.05</v>
          </cell>
          <cell r="C4703">
            <v>3097.34</v>
          </cell>
          <cell r="D4703">
            <v>266.20999999999998</v>
          </cell>
          <cell r="E4703">
            <v>282.7</v>
          </cell>
          <cell r="F4703">
            <v>300.98</v>
          </cell>
          <cell r="G4703">
            <v>246.46</v>
          </cell>
          <cell r="H4703">
            <v>5600.09</v>
          </cell>
          <cell r="I4703">
            <v>330.52</v>
          </cell>
        </row>
        <row r="4704">
          <cell r="A4704">
            <v>38420</v>
          </cell>
          <cell r="B4704">
            <v>2901.83</v>
          </cell>
          <cell r="C4704">
            <v>3081.99</v>
          </cell>
          <cell r="D4704">
            <v>264.58999999999997</v>
          </cell>
          <cell r="E4704">
            <v>281.42</v>
          </cell>
          <cell r="F4704">
            <v>299.64</v>
          </cell>
          <cell r="G4704">
            <v>244.59</v>
          </cell>
          <cell r="H4704">
            <v>5582.58</v>
          </cell>
          <cell r="I4704">
            <v>330</v>
          </cell>
        </row>
        <row r="4705">
          <cell r="A4705">
            <v>38421</v>
          </cell>
          <cell r="B4705">
            <v>2875.5</v>
          </cell>
          <cell r="C4705">
            <v>3053.66</v>
          </cell>
          <cell r="D4705">
            <v>262.45</v>
          </cell>
          <cell r="E4705">
            <v>279.06</v>
          </cell>
          <cell r="F4705">
            <v>297.41000000000003</v>
          </cell>
          <cell r="G4705">
            <v>242.67</v>
          </cell>
          <cell r="H4705">
            <v>5515.08</v>
          </cell>
          <cell r="I4705">
            <v>326.5</v>
          </cell>
        </row>
        <row r="4706">
          <cell r="A4706">
            <v>38422</v>
          </cell>
          <cell r="B4706">
            <v>2883.63</v>
          </cell>
          <cell r="C4706">
            <v>3060.36</v>
          </cell>
          <cell r="D4706">
            <v>263.05</v>
          </cell>
          <cell r="E4706">
            <v>279.56</v>
          </cell>
          <cell r="F4706">
            <v>298.12</v>
          </cell>
          <cell r="G4706">
            <v>243.34</v>
          </cell>
          <cell r="H4706">
            <v>5542.27</v>
          </cell>
          <cell r="I4706">
            <v>327.93</v>
          </cell>
        </row>
        <row r="4707">
          <cell r="A4707">
            <v>38425</v>
          </cell>
          <cell r="B4707">
            <v>2880.76</v>
          </cell>
          <cell r="C4707">
            <v>3060.72</v>
          </cell>
          <cell r="D4707">
            <v>262.66000000000003</v>
          </cell>
          <cell r="E4707">
            <v>279.39999999999998</v>
          </cell>
          <cell r="F4707">
            <v>297.86</v>
          </cell>
          <cell r="G4707">
            <v>242.77</v>
          </cell>
          <cell r="H4707">
            <v>5545.98</v>
          </cell>
          <cell r="I4707">
            <v>328.13</v>
          </cell>
        </row>
        <row r="4708">
          <cell r="A4708">
            <v>38426</v>
          </cell>
          <cell r="B4708">
            <v>2908.43</v>
          </cell>
          <cell r="C4708">
            <v>3083.73</v>
          </cell>
          <cell r="D4708">
            <v>264.79000000000002</v>
          </cell>
          <cell r="E4708">
            <v>281.08</v>
          </cell>
          <cell r="F4708">
            <v>299.75</v>
          </cell>
          <cell r="G4708">
            <v>245.24</v>
          </cell>
          <cell r="H4708">
            <v>5584.94</v>
          </cell>
          <cell r="I4708">
            <v>330.6</v>
          </cell>
        </row>
        <row r="4709">
          <cell r="A4709">
            <v>38427</v>
          </cell>
          <cell r="B4709">
            <v>2860.34</v>
          </cell>
          <cell r="C4709">
            <v>3032.13</v>
          </cell>
          <cell r="D4709">
            <v>261.12</v>
          </cell>
          <cell r="E4709">
            <v>276.93</v>
          </cell>
          <cell r="F4709">
            <v>295.66000000000003</v>
          </cell>
          <cell r="G4709">
            <v>242.05</v>
          </cell>
          <cell r="H4709">
            <v>5497.77</v>
          </cell>
          <cell r="I4709">
            <v>325.58999999999997</v>
          </cell>
        </row>
        <row r="4710">
          <cell r="A4710">
            <v>38428</v>
          </cell>
          <cell r="B4710">
            <v>2856.31</v>
          </cell>
          <cell r="C4710">
            <v>3039.8</v>
          </cell>
          <cell r="D4710">
            <v>261.12</v>
          </cell>
          <cell r="E4710">
            <v>277.27</v>
          </cell>
          <cell r="F4710">
            <v>295.93</v>
          </cell>
          <cell r="G4710">
            <v>241.76</v>
          </cell>
          <cell r="H4710">
            <v>5529.54</v>
          </cell>
          <cell r="I4710">
            <v>327.08999999999997</v>
          </cell>
        </row>
        <row r="4711">
          <cell r="A4711">
            <v>38429</v>
          </cell>
          <cell r="B4711">
            <v>2862.39</v>
          </cell>
          <cell r="C4711">
            <v>3053.54</v>
          </cell>
          <cell r="D4711">
            <v>261.69</v>
          </cell>
          <cell r="E4711">
            <v>278.39</v>
          </cell>
          <cell r="F4711">
            <v>296.38</v>
          </cell>
          <cell r="G4711">
            <v>241.85</v>
          </cell>
          <cell r="H4711">
            <v>5507.29</v>
          </cell>
          <cell r="I4711">
            <v>325.82</v>
          </cell>
        </row>
        <row r="4712">
          <cell r="A4712">
            <v>38432</v>
          </cell>
          <cell r="B4712">
            <v>2857.27</v>
          </cell>
          <cell r="C4712">
            <v>3038.14</v>
          </cell>
          <cell r="D4712">
            <v>261.06</v>
          </cell>
          <cell r="E4712">
            <v>277.20999999999998</v>
          </cell>
          <cell r="F4712">
            <v>295.33999999999997</v>
          </cell>
          <cell r="G4712">
            <v>241.71</v>
          </cell>
          <cell r="H4712">
            <v>5474.97</v>
          </cell>
          <cell r="I4712">
            <v>324.02</v>
          </cell>
        </row>
        <row r="4713">
          <cell r="A4713">
            <v>38433</v>
          </cell>
          <cell r="B4713">
            <v>2862.72</v>
          </cell>
          <cell r="C4713">
            <v>3050.44</v>
          </cell>
          <cell r="D4713">
            <v>261.55</v>
          </cell>
          <cell r="E4713">
            <v>278.07</v>
          </cell>
          <cell r="F4713">
            <v>296.17</v>
          </cell>
          <cell r="G4713">
            <v>241.88</v>
          </cell>
          <cell r="H4713">
            <v>5497.34</v>
          </cell>
          <cell r="I4713">
            <v>324.92</v>
          </cell>
        </row>
        <row r="4714">
          <cell r="A4714">
            <v>38434</v>
          </cell>
          <cell r="B4714">
            <v>2854.44</v>
          </cell>
          <cell r="C4714">
            <v>3036.85</v>
          </cell>
          <cell r="D4714">
            <v>260.66000000000003</v>
          </cell>
          <cell r="E4714">
            <v>277.19</v>
          </cell>
          <cell r="F4714">
            <v>295.42</v>
          </cell>
          <cell r="G4714">
            <v>240.99</v>
          </cell>
          <cell r="H4714">
            <v>5481.42</v>
          </cell>
          <cell r="I4714">
            <v>323.69</v>
          </cell>
        </row>
        <row r="4715">
          <cell r="A4715">
            <v>38435</v>
          </cell>
          <cell r="B4715">
            <v>2867.44</v>
          </cell>
          <cell r="C4715">
            <v>3060.67</v>
          </cell>
          <cell r="D4715">
            <v>262.17</v>
          </cell>
          <cell r="E4715">
            <v>279.44</v>
          </cell>
          <cell r="F4715">
            <v>297.37</v>
          </cell>
          <cell r="G4715">
            <v>241.85</v>
          </cell>
          <cell r="H4715">
            <v>5491.12</v>
          </cell>
          <cell r="I4715">
            <v>324.27</v>
          </cell>
        </row>
        <row r="4716">
          <cell r="A4716">
            <v>38440</v>
          </cell>
          <cell r="B4716">
            <v>2880.45</v>
          </cell>
          <cell r="C4716">
            <v>3069.35</v>
          </cell>
          <cell r="D4716">
            <v>262.89</v>
          </cell>
          <cell r="E4716">
            <v>279.70999999999998</v>
          </cell>
          <cell r="F4716">
            <v>297.76</v>
          </cell>
          <cell r="G4716">
            <v>242.93</v>
          </cell>
          <cell r="H4716">
            <v>5479.04</v>
          </cell>
          <cell r="I4716">
            <v>324.52</v>
          </cell>
        </row>
        <row r="4717">
          <cell r="A4717">
            <v>38441</v>
          </cell>
          <cell r="B4717">
            <v>2868.52</v>
          </cell>
          <cell r="C4717">
            <v>3056.25</v>
          </cell>
          <cell r="D4717">
            <v>262.08999999999997</v>
          </cell>
          <cell r="E4717">
            <v>278.75</v>
          </cell>
          <cell r="F4717">
            <v>296.82</v>
          </cell>
          <cell r="G4717">
            <v>242.29</v>
          </cell>
          <cell r="H4717">
            <v>5453.04</v>
          </cell>
          <cell r="I4717">
            <v>323.02</v>
          </cell>
        </row>
        <row r="4718">
          <cell r="A4718">
            <v>38442</v>
          </cell>
          <cell r="B4718">
            <v>2866.08</v>
          </cell>
          <cell r="C4718">
            <v>3055.73</v>
          </cell>
          <cell r="D4718">
            <v>262.19</v>
          </cell>
          <cell r="E4718">
            <v>278.89</v>
          </cell>
          <cell r="F4718">
            <v>296.95999999999998</v>
          </cell>
          <cell r="G4718">
            <v>242.34</v>
          </cell>
          <cell r="H4718">
            <v>5471.08</v>
          </cell>
          <cell r="I4718">
            <v>323.88</v>
          </cell>
        </row>
        <row r="4719">
          <cell r="A4719">
            <v>38443</v>
          </cell>
          <cell r="B4719">
            <v>2876.24</v>
          </cell>
          <cell r="C4719">
            <v>3061.11</v>
          </cell>
          <cell r="D4719">
            <v>263.43</v>
          </cell>
          <cell r="E4719">
            <v>279.85000000000002</v>
          </cell>
          <cell r="F4719">
            <v>298.02999999999997</v>
          </cell>
          <cell r="G4719">
            <v>243.79</v>
          </cell>
          <cell r="H4719">
            <v>5508.77</v>
          </cell>
          <cell r="I4719">
            <v>325.77</v>
          </cell>
        </row>
        <row r="4720">
          <cell r="A4720">
            <v>38446</v>
          </cell>
          <cell r="B4720">
            <v>2863.81</v>
          </cell>
          <cell r="C4720">
            <v>3042.17</v>
          </cell>
          <cell r="D4720">
            <v>262.26</v>
          </cell>
          <cell r="E4720">
            <v>278.27</v>
          </cell>
          <cell r="F4720">
            <v>296.31</v>
          </cell>
          <cell r="G4720">
            <v>243.01</v>
          </cell>
          <cell r="H4720">
            <v>5488.16</v>
          </cell>
          <cell r="I4720">
            <v>324</v>
          </cell>
        </row>
        <row r="4721">
          <cell r="A4721">
            <v>38447</v>
          </cell>
          <cell r="B4721">
            <v>2887.58</v>
          </cell>
          <cell r="C4721">
            <v>3064.07</v>
          </cell>
          <cell r="D4721">
            <v>264.47000000000003</v>
          </cell>
          <cell r="E4721">
            <v>280.10000000000002</v>
          </cell>
          <cell r="F4721">
            <v>298.45999999999998</v>
          </cell>
          <cell r="G4721">
            <v>245.48</v>
          </cell>
          <cell r="H4721">
            <v>5539.84</v>
          </cell>
          <cell r="I4721">
            <v>327.14999999999998</v>
          </cell>
        </row>
        <row r="4722">
          <cell r="A4722">
            <v>38448</v>
          </cell>
          <cell r="B4722">
            <v>2896.14</v>
          </cell>
          <cell r="C4722">
            <v>3076.23</v>
          </cell>
          <cell r="D4722">
            <v>265.52</v>
          </cell>
          <cell r="E4722">
            <v>281.52</v>
          </cell>
          <cell r="F4722">
            <v>300.22000000000003</v>
          </cell>
          <cell r="G4722">
            <v>246.21</v>
          </cell>
          <cell r="H4722">
            <v>5587.21</v>
          </cell>
          <cell r="I4722">
            <v>329.29</v>
          </cell>
        </row>
        <row r="4723">
          <cell r="A4723">
            <v>38449</v>
          </cell>
          <cell r="B4723">
            <v>2906.85</v>
          </cell>
          <cell r="C4723">
            <v>3090.72</v>
          </cell>
          <cell r="D4723">
            <v>266.31</v>
          </cell>
          <cell r="E4723">
            <v>282.64</v>
          </cell>
          <cell r="F4723">
            <v>301.36</v>
          </cell>
          <cell r="G4723">
            <v>246.69</v>
          </cell>
          <cell r="H4723">
            <v>5605.63</v>
          </cell>
          <cell r="I4723">
            <v>330.82</v>
          </cell>
        </row>
        <row r="4724">
          <cell r="A4724">
            <v>38450</v>
          </cell>
          <cell r="B4724">
            <v>2909.74</v>
          </cell>
          <cell r="C4724">
            <v>3088.92</v>
          </cell>
          <cell r="D4724">
            <v>266.89</v>
          </cell>
          <cell r="E4724">
            <v>282.83999999999997</v>
          </cell>
          <cell r="F4724">
            <v>301.57</v>
          </cell>
          <cell r="G4724">
            <v>247.57</v>
          </cell>
          <cell r="H4724">
            <v>5606.01</v>
          </cell>
          <cell r="I4724">
            <v>330.71</v>
          </cell>
        </row>
        <row r="4725">
          <cell r="A4725">
            <v>38453</v>
          </cell>
          <cell r="B4725">
            <v>2901.67</v>
          </cell>
          <cell r="C4725">
            <v>3080.6</v>
          </cell>
          <cell r="D4725">
            <v>266.32</v>
          </cell>
          <cell r="E4725">
            <v>282.2</v>
          </cell>
          <cell r="F4725">
            <v>301.04000000000002</v>
          </cell>
          <cell r="G4725">
            <v>247.08</v>
          </cell>
          <cell r="H4725">
            <v>5600.99</v>
          </cell>
          <cell r="I4725">
            <v>330.22</v>
          </cell>
        </row>
        <row r="4726">
          <cell r="A4726">
            <v>38454</v>
          </cell>
          <cell r="B4726">
            <v>2901.59</v>
          </cell>
          <cell r="C4726">
            <v>3080.54</v>
          </cell>
          <cell r="D4726">
            <v>266.64999999999998</v>
          </cell>
          <cell r="E4726">
            <v>282.25</v>
          </cell>
          <cell r="F4726">
            <v>301.04000000000002</v>
          </cell>
          <cell r="G4726">
            <v>247.64</v>
          </cell>
          <cell r="H4726">
            <v>5589.72</v>
          </cell>
          <cell r="I4726">
            <v>329.93</v>
          </cell>
        </row>
        <row r="4727">
          <cell r="A4727">
            <v>38455</v>
          </cell>
          <cell r="B4727">
            <v>2901.59</v>
          </cell>
          <cell r="C4727">
            <v>3080.54</v>
          </cell>
          <cell r="D4727">
            <v>266.64999999999998</v>
          </cell>
          <cell r="E4727">
            <v>282.25</v>
          </cell>
          <cell r="F4727">
            <v>301.04000000000002</v>
          </cell>
          <cell r="G4727">
            <v>247.64</v>
          </cell>
          <cell r="H4727">
            <v>5589.72</v>
          </cell>
          <cell r="I4727">
            <v>329.93</v>
          </cell>
        </row>
        <row r="4728">
          <cell r="A4728">
            <v>38456</v>
          </cell>
          <cell r="B4728">
            <v>2898.57</v>
          </cell>
          <cell r="C4728">
            <v>3075.33</v>
          </cell>
          <cell r="D4728">
            <v>266.01</v>
          </cell>
          <cell r="E4728">
            <v>281.48</v>
          </cell>
          <cell r="F4728">
            <v>300.37</v>
          </cell>
          <cell r="G4728">
            <v>247.13</v>
          </cell>
          <cell r="H4728">
            <v>5589.94</v>
          </cell>
          <cell r="I4728">
            <v>329.52</v>
          </cell>
        </row>
        <row r="4729">
          <cell r="A4729">
            <v>38457</v>
          </cell>
          <cell r="B4729">
            <v>2858.13</v>
          </cell>
          <cell r="C4729">
            <v>3013.79</v>
          </cell>
          <cell r="D4729">
            <v>261.85000000000002</v>
          </cell>
          <cell r="E4729">
            <v>276.06</v>
          </cell>
          <cell r="F4729">
            <v>295.43</v>
          </cell>
          <cell r="G4729">
            <v>244.12</v>
          </cell>
          <cell r="H4729">
            <v>5482.71</v>
          </cell>
          <cell r="I4729">
            <v>322.69</v>
          </cell>
        </row>
        <row r="4730">
          <cell r="A4730">
            <v>38460</v>
          </cell>
          <cell r="B4730">
            <v>2810.43</v>
          </cell>
          <cell r="C4730">
            <v>2947.79</v>
          </cell>
          <cell r="D4730">
            <v>257.27999999999997</v>
          </cell>
          <cell r="E4730">
            <v>270.27999999999997</v>
          </cell>
          <cell r="F4730">
            <v>289.77999999999997</v>
          </cell>
          <cell r="G4730">
            <v>240.68</v>
          </cell>
          <cell r="H4730">
            <v>5392.93</v>
          </cell>
          <cell r="I4730">
            <v>317.99</v>
          </cell>
        </row>
        <row r="4731">
          <cell r="A4731">
            <v>38461</v>
          </cell>
          <cell r="B4731">
            <v>2831.15</v>
          </cell>
          <cell r="C4731">
            <v>2957.37</v>
          </cell>
          <cell r="D4731">
            <v>259.05</v>
          </cell>
          <cell r="E4731">
            <v>271.25</v>
          </cell>
          <cell r="F4731">
            <v>291.10000000000002</v>
          </cell>
          <cell r="G4731">
            <v>243.07</v>
          </cell>
          <cell r="H4731">
            <v>5424.47</v>
          </cell>
          <cell r="I4731">
            <v>320.31</v>
          </cell>
        </row>
        <row r="4732">
          <cell r="A4732">
            <v>38462</v>
          </cell>
          <cell r="B4732">
            <v>2808.85</v>
          </cell>
          <cell r="C4732">
            <v>2944.33</v>
          </cell>
          <cell r="D4732">
            <v>257.66000000000003</v>
          </cell>
          <cell r="E4732">
            <v>270.41000000000003</v>
          </cell>
          <cell r="F4732">
            <v>290.06</v>
          </cell>
          <cell r="G4732">
            <v>241.25</v>
          </cell>
          <cell r="H4732">
            <v>5443.7</v>
          </cell>
          <cell r="I4732">
            <v>321.76</v>
          </cell>
        </row>
        <row r="4733">
          <cell r="A4733">
            <v>38463</v>
          </cell>
          <cell r="B4733">
            <v>2805.43</v>
          </cell>
          <cell r="C4733">
            <v>2950.34</v>
          </cell>
          <cell r="D4733">
            <v>257.27999999999997</v>
          </cell>
          <cell r="E4733">
            <v>270.82</v>
          </cell>
          <cell r="F4733">
            <v>290.39999999999998</v>
          </cell>
          <cell r="G4733">
            <v>240.21</v>
          </cell>
          <cell r="H4733">
            <v>5482.37</v>
          </cell>
          <cell r="I4733">
            <v>324.33999999999997</v>
          </cell>
        </row>
        <row r="4734">
          <cell r="A4734">
            <v>38464</v>
          </cell>
          <cell r="B4734">
            <v>2827.47</v>
          </cell>
          <cell r="C4734">
            <v>2976.39</v>
          </cell>
          <cell r="D4734">
            <v>259.27</v>
          </cell>
          <cell r="E4734">
            <v>272.75</v>
          </cell>
          <cell r="F4734">
            <v>292.32</v>
          </cell>
          <cell r="G4734">
            <v>242.21</v>
          </cell>
          <cell r="H4734">
            <v>5557.01</v>
          </cell>
          <cell r="I4734">
            <v>328.4</v>
          </cell>
        </row>
        <row r="4735">
          <cell r="A4735">
            <v>38467</v>
          </cell>
          <cell r="B4735">
            <v>2842.68</v>
          </cell>
          <cell r="C4735">
            <v>2987.05</v>
          </cell>
          <cell r="D4735">
            <v>260.45</v>
          </cell>
          <cell r="E4735">
            <v>273.48</v>
          </cell>
          <cell r="F4735">
            <v>292.94</v>
          </cell>
          <cell r="G4735">
            <v>243.74</v>
          </cell>
          <cell r="H4735">
            <v>5581.76</v>
          </cell>
          <cell r="I4735">
            <v>329.62</v>
          </cell>
        </row>
        <row r="4736">
          <cell r="A4736">
            <v>38468</v>
          </cell>
          <cell r="B4736">
            <v>2838.62</v>
          </cell>
          <cell r="C4736">
            <v>2983.22</v>
          </cell>
          <cell r="D4736">
            <v>259.52</v>
          </cell>
          <cell r="E4736">
            <v>272.92</v>
          </cell>
          <cell r="F4736">
            <v>292.43</v>
          </cell>
          <cell r="G4736">
            <v>242.52</v>
          </cell>
          <cell r="H4736">
            <v>5550</v>
          </cell>
          <cell r="I4736">
            <v>327.27999999999997</v>
          </cell>
        </row>
        <row r="4737">
          <cell r="A4737">
            <v>38469</v>
          </cell>
          <cell r="B4737">
            <v>2805.78</v>
          </cell>
          <cell r="C4737">
            <v>2942.62</v>
          </cell>
          <cell r="D4737">
            <v>255.99</v>
          </cell>
          <cell r="E4737">
            <v>268.95</v>
          </cell>
          <cell r="F4737">
            <v>288</v>
          </cell>
          <cell r="G4737">
            <v>239.45</v>
          </cell>
          <cell r="H4737">
            <v>5410.17</v>
          </cell>
          <cell r="I4737">
            <v>319.87</v>
          </cell>
        </row>
        <row r="4738">
          <cell r="A4738">
            <v>38470</v>
          </cell>
          <cell r="B4738">
            <v>2812.81</v>
          </cell>
          <cell r="C4738">
            <v>2930.87</v>
          </cell>
          <cell r="D4738">
            <v>255.63</v>
          </cell>
          <cell r="E4738">
            <v>267.74</v>
          </cell>
          <cell r="F4738">
            <v>286.7</v>
          </cell>
          <cell r="G4738">
            <v>239.81</v>
          </cell>
          <cell r="H4738">
            <v>5323.69</v>
          </cell>
          <cell r="I4738">
            <v>315.83</v>
          </cell>
        </row>
        <row r="4739">
          <cell r="A4739">
            <v>38471</v>
          </cell>
          <cell r="B4739">
            <v>2817.41</v>
          </cell>
          <cell r="C4739">
            <v>2930.1</v>
          </cell>
          <cell r="D4739">
            <v>256.06</v>
          </cell>
          <cell r="E4739">
            <v>267.92</v>
          </cell>
          <cell r="F4739">
            <v>286.99</v>
          </cell>
          <cell r="G4739">
            <v>240.43</v>
          </cell>
          <cell r="H4739">
            <v>5307.47</v>
          </cell>
          <cell r="I4739">
            <v>314.91000000000003</v>
          </cell>
        </row>
        <row r="4740">
          <cell r="A4740">
            <v>38474</v>
          </cell>
          <cell r="B4740">
            <v>2823.45</v>
          </cell>
          <cell r="C4740">
            <v>2949.09</v>
          </cell>
          <cell r="D4740">
            <v>256.83</v>
          </cell>
          <cell r="E4740">
            <v>269.79000000000002</v>
          </cell>
          <cell r="F4740">
            <v>288.91000000000003</v>
          </cell>
          <cell r="G4740">
            <v>240.27</v>
          </cell>
          <cell r="H4740">
            <v>5338.86</v>
          </cell>
          <cell r="I4740">
            <v>317.07</v>
          </cell>
        </row>
        <row r="4741">
          <cell r="A4741">
            <v>38475</v>
          </cell>
          <cell r="B4741">
            <v>2840.15</v>
          </cell>
          <cell r="C4741">
            <v>2962.59</v>
          </cell>
          <cell r="D4741">
            <v>257.95999999999998</v>
          </cell>
          <cell r="E4741">
            <v>270.68</v>
          </cell>
          <cell r="F4741">
            <v>289.77</v>
          </cell>
          <cell r="G4741">
            <v>241.56</v>
          </cell>
          <cell r="H4741">
            <v>5356.52</v>
          </cell>
          <cell r="I4741">
            <v>317.95999999999998</v>
          </cell>
        </row>
        <row r="4742">
          <cell r="A4742">
            <v>38476</v>
          </cell>
          <cell r="B4742">
            <v>2860.03</v>
          </cell>
          <cell r="C4742">
            <v>2981.04</v>
          </cell>
          <cell r="D4742">
            <v>259.29000000000002</v>
          </cell>
          <cell r="E4742">
            <v>272.08999999999997</v>
          </cell>
          <cell r="F4742">
            <v>291.48</v>
          </cell>
          <cell r="G4742">
            <v>242.8</v>
          </cell>
          <cell r="H4742">
            <v>5371.86</v>
          </cell>
          <cell r="I4742">
            <v>319.56</v>
          </cell>
        </row>
        <row r="4743">
          <cell r="A4743">
            <v>38477</v>
          </cell>
          <cell r="B4743">
            <v>2876.01</v>
          </cell>
          <cell r="C4743">
            <v>3004.52</v>
          </cell>
          <cell r="D4743">
            <v>260.77</v>
          </cell>
          <cell r="E4743">
            <v>274.04000000000002</v>
          </cell>
          <cell r="F4743">
            <v>292.89999999999998</v>
          </cell>
          <cell r="G4743">
            <v>243.86</v>
          </cell>
          <cell r="H4743">
            <v>5374.03</v>
          </cell>
          <cell r="I4743">
            <v>319.67</v>
          </cell>
        </row>
        <row r="4744">
          <cell r="A4744">
            <v>38478</v>
          </cell>
          <cell r="B4744">
            <v>2892.76</v>
          </cell>
          <cell r="C4744">
            <v>3019.26</v>
          </cell>
          <cell r="D4744">
            <v>261.89999999999998</v>
          </cell>
          <cell r="E4744">
            <v>275.05</v>
          </cell>
          <cell r="F4744">
            <v>294.24</v>
          </cell>
          <cell r="G4744">
            <v>245.06</v>
          </cell>
          <cell r="H4744">
            <v>5463.54</v>
          </cell>
          <cell r="I4744">
            <v>324.99</v>
          </cell>
        </row>
        <row r="4745">
          <cell r="A4745">
            <v>38481</v>
          </cell>
          <cell r="B4745">
            <v>2877.98</v>
          </cell>
          <cell r="C4745">
            <v>3007.1</v>
          </cell>
          <cell r="D4745">
            <v>261.01</v>
          </cell>
          <cell r="E4745">
            <v>274.31</v>
          </cell>
          <cell r="F4745">
            <v>293.54000000000002</v>
          </cell>
          <cell r="G4745">
            <v>244.07</v>
          </cell>
          <cell r="H4745">
            <v>5478.85</v>
          </cell>
          <cell r="I4745">
            <v>326.14999999999998</v>
          </cell>
        </row>
        <row r="4746">
          <cell r="A4746">
            <v>38482</v>
          </cell>
          <cell r="B4746">
            <v>2851.94</v>
          </cell>
          <cell r="C4746">
            <v>2983.42</v>
          </cell>
          <cell r="D4746">
            <v>259.11</v>
          </cell>
          <cell r="E4746">
            <v>272.54000000000002</v>
          </cell>
          <cell r="F4746">
            <v>291.41000000000003</v>
          </cell>
          <cell r="G4746">
            <v>242.09</v>
          </cell>
          <cell r="H4746">
            <v>5454.56</v>
          </cell>
          <cell r="I4746">
            <v>324.58</v>
          </cell>
        </row>
        <row r="4747">
          <cell r="A4747">
            <v>38483</v>
          </cell>
          <cell r="B4747">
            <v>2841.69</v>
          </cell>
          <cell r="C4747">
            <v>2970.5</v>
          </cell>
          <cell r="D4747">
            <v>258.55</v>
          </cell>
          <cell r="E4747">
            <v>272</v>
          </cell>
          <cell r="F4747">
            <v>291.02</v>
          </cell>
          <cell r="G4747">
            <v>241.53</v>
          </cell>
          <cell r="H4747">
            <v>5440.79</v>
          </cell>
          <cell r="I4747">
            <v>324.12</v>
          </cell>
        </row>
        <row r="4748">
          <cell r="A4748">
            <v>38484</v>
          </cell>
          <cell r="B4748">
            <v>2859.63</v>
          </cell>
          <cell r="C4748">
            <v>2993.09</v>
          </cell>
          <cell r="D4748">
            <v>260.13</v>
          </cell>
          <cell r="E4748">
            <v>273.73</v>
          </cell>
          <cell r="F4748">
            <v>292.76</v>
          </cell>
          <cell r="G4748">
            <v>242.95</v>
          </cell>
          <cell r="H4748">
            <v>5470.17</v>
          </cell>
          <cell r="I4748">
            <v>326.2</v>
          </cell>
        </row>
        <row r="4749">
          <cell r="A4749">
            <v>38485</v>
          </cell>
          <cell r="B4749">
            <v>2860.45</v>
          </cell>
          <cell r="C4749">
            <v>2994.52</v>
          </cell>
          <cell r="D4749">
            <v>260.14999999999998</v>
          </cell>
          <cell r="E4749">
            <v>273.87</v>
          </cell>
          <cell r="F4749">
            <v>292.88</v>
          </cell>
          <cell r="G4749">
            <v>242.86</v>
          </cell>
          <cell r="H4749">
            <v>5493.85</v>
          </cell>
          <cell r="I4749">
            <v>327.49</v>
          </cell>
        </row>
        <row r="4750">
          <cell r="A4750">
            <v>38488</v>
          </cell>
          <cell r="B4750">
            <v>2843.98</v>
          </cell>
          <cell r="C4750">
            <v>2988.16</v>
          </cell>
          <cell r="D4750">
            <v>259.06</v>
          </cell>
          <cell r="E4750">
            <v>273.47000000000003</v>
          </cell>
          <cell r="F4750">
            <v>292.52</v>
          </cell>
          <cell r="G4750">
            <v>241.21</v>
          </cell>
          <cell r="H4750">
            <v>5491.74</v>
          </cell>
          <cell r="I4750">
            <v>327.64</v>
          </cell>
        </row>
        <row r="4751">
          <cell r="A4751">
            <v>38489</v>
          </cell>
          <cell r="B4751">
            <v>2850.54</v>
          </cell>
          <cell r="C4751">
            <v>2983.84</v>
          </cell>
          <cell r="D4751">
            <v>259.32</v>
          </cell>
          <cell r="E4751">
            <v>272.98</v>
          </cell>
          <cell r="F4751">
            <v>292.25</v>
          </cell>
          <cell r="G4751">
            <v>242.11</v>
          </cell>
          <cell r="H4751">
            <v>5500.38</v>
          </cell>
          <cell r="I4751">
            <v>328.17</v>
          </cell>
        </row>
        <row r="4752">
          <cell r="A4752">
            <v>38490</v>
          </cell>
          <cell r="B4752">
            <v>2884.51</v>
          </cell>
          <cell r="C4752">
            <v>3036.3</v>
          </cell>
          <cell r="D4752">
            <v>262.29000000000002</v>
          </cell>
          <cell r="E4752">
            <v>277.25</v>
          </cell>
          <cell r="F4752">
            <v>296.35000000000002</v>
          </cell>
          <cell r="G4752">
            <v>243.9</v>
          </cell>
          <cell r="H4752">
            <v>5565.42</v>
          </cell>
          <cell r="I4752">
            <v>332.48</v>
          </cell>
        </row>
        <row r="4753">
          <cell r="A4753">
            <v>38491</v>
          </cell>
          <cell r="B4753">
            <v>2900.26</v>
          </cell>
          <cell r="C4753">
            <v>3051.79</v>
          </cell>
          <cell r="D4753">
            <v>263.52</v>
          </cell>
          <cell r="E4753">
            <v>278.55</v>
          </cell>
          <cell r="F4753">
            <v>297.57</v>
          </cell>
          <cell r="G4753">
            <v>245.05</v>
          </cell>
          <cell r="H4753">
            <v>5576.14</v>
          </cell>
          <cell r="I4753">
            <v>333.2</v>
          </cell>
        </row>
        <row r="4754">
          <cell r="A4754">
            <v>38492</v>
          </cell>
          <cell r="B4754">
            <v>2900.55</v>
          </cell>
          <cell r="C4754">
            <v>3050.45</v>
          </cell>
          <cell r="D4754">
            <v>263.75</v>
          </cell>
          <cell r="E4754">
            <v>278.8</v>
          </cell>
          <cell r="F4754">
            <v>297.74</v>
          </cell>
          <cell r="G4754">
            <v>245.27</v>
          </cell>
          <cell r="H4754">
            <v>5582.93</v>
          </cell>
          <cell r="I4754">
            <v>333.4</v>
          </cell>
        </row>
        <row r="4755">
          <cell r="A4755">
            <v>38495</v>
          </cell>
          <cell r="B4755">
            <v>2916.99</v>
          </cell>
          <cell r="C4755">
            <v>3070.98</v>
          </cell>
          <cell r="D4755">
            <v>264.83999999999997</v>
          </cell>
          <cell r="E4755">
            <v>280.2</v>
          </cell>
          <cell r="F4755">
            <v>299.07</v>
          </cell>
          <cell r="G4755">
            <v>246.06</v>
          </cell>
          <cell r="H4755">
            <v>5584.42</v>
          </cell>
          <cell r="I4755">
            <v>333.98</v>
          </cell>
        </row>
        <row r="4756">
          <cell r="A4756">
            <v>38496</v>
          </cell>
          <cell r="B4756">
            <v>2913.83</v>
          </cell>
          <cell r="C4756">
            <v>3066.55</v>
          </cell>
          <cell r="D4756">
            <v>264.63</v>
          </cell>
          <cell r="E4756">
            <v>279.52999999999997</v>
          </cell>
          <cell r="F4756">
            <v>298.94</v>
          </cell>
          <cell r="G4756">
            <v>246.25</v>
          </cell>
          <cell r="H4756">
            <v>5601.55</v>
          </cell>
          <cell r="I4756">
            <v>334.91</v>
          </cell>
        </row>
        <row r="4757">
          <cell r="A4757">
            <v>38497</v>
          </cell>
          <cell r="B4757">
            <v>2911.39</v>
          </cell>
          <cell r="C4757">
            <v>3059.84</v>
          </cell>
          <cell r="D4757">
            <v>264.48</v>
          </cell>
          <cell r="E4757">
            <v>279.33999999999997</v>
          </cell>
          <cell r="F4757">
            <v>298.91000000000003</v>
          </cell>
          <cell r="G4757">
            <v>246.13</v>
          </cell>
          <cell r="H4757">
            <v>5580.92</v>
          </cell>
          <cell r="I4757">
            <v>333.27</v>
          </cell>
        </row>
        <row r="4758">
          <cell r="A4758">
            <v>38498</v>
          </cell>
          <cell r="B4758">
            <v>2926.96</v>
          </cell>
          <cell r="C4758">
            <v>3086.08</v>
          </cell>
          <cell r="D4758">
            <v>266.33</v>
          </cell>
          <cell r="E4758">
            <v>281.51</v>
          </cell>
          <cell r="F4758">
            <v>301.2</v>
          </cell>
          <cell r="G4758">
            <v>247.68</v>
          </cell>
          <cell r="H4758">
            <v>5626.3</v>
          </cell>
          <cell r="I4758">
            <v>336.21</v>
          </cell>
        </row>
        <row r="4759">
          <cell r="A4759">
            <v>38499</v>
          </cell>
          <cell r="B4759">
            <v>2925.84</v>
          </cell>
          <cell r="C4759">
            <v>3084</v>
          </cell>
          <cell r="D4759">
            <v>266.10000000000002</v>
          </cell>
          <cell r="E4759">
            <v>281.31</v>
          </cell>
          <cell r="F4759">
            <v>301.17</v>
          </cell>
          <cell r="G4759">
            <v>247.42</v>
          </cell>
          <cell r="H4759">
            <v>5638.17</v>
          </cell>
          <cell r="I4759">
            <v>336.78</v>
          </cell>
        </row>
        <row r="4760">
          <cell r="A4760">
            <v>38502</v>
          </cell>
          <cell r="B4760">
            <v>2937.55</v>
          </cell>
          <cell r="C4760">
            <v>3096.54</v>
          </cell>
          <cell r="D4760">
            <v>267.37</v>
          </cell>
          <cell r="E4760">
            <v>282.56</v>
          </cell>
          <cell r="F4760">
            <v>302.41000000000003</v>
          </cell>
          <cell r="G4760">
            <v>248.68</v>
          </cell>
          <cell r="H4760">
            <v>5663.23</v>
          </cell>
          <cell r="I4760">
            <v>338.1</v>
          </cell>
        </row>
        <row r="4761">
          <cell r="A4761">
            <v>38503</v>
          </cell>
          <cell r="B4761">
            <v>2934.75</v>
          </cell>
          <cell r="C4761">
            <v>3076.7</v>
          </cell>
          <cell r="D4761">
            <v>267.29000000000002</v>
          </cell>
          <cell r="E4761">
            <v>281.26</v>
          </cell>
          <cell r="F4761">
            <v>301.37</v>
          </cell>
          <cell r="G4761">
            <v>249.64</v>
          </cell>
          <cell r="H4761">
            <v>5664.19</v>
          </cell>
          <cell r="I4761">
            <v>338.13</v>
          </cell>
        </row>
        <row r="4762">
          <cell r="A4762">
            <v>38504</v>
          </cell>
          <cell r="B4762">
            <v>2979.67</v>
          </cell>
          <cell r="C4762">
            <v>3125.88</v>
          </cell>
          <cell r="D4762">
            <v>270.87</v>
          </cell>
          <cell r="E4762">
            <v>285.32</v>
          </cell>
          <cell r="F4762">
            <v>305.56</v>
          </cell>
          <cell r="G4762">
            <v>252.73</v>
          </cell>
          <cell r="H4762">
            <v>5714.97</v>
          </cell>
          <cell r="I4762">
            <v>341.67</v>
          </cell>
        </row>
        <row r="4763">
          <cell r="A4763">
            <v>38505</v>
          </cell>
          <cell r="B4763">
            <v>2981.02</v>
          </cell>
          <cell r="C4763">
            <v>3131.03</v>
          </cell>
          <cell r="D4763">
            <v>270.83</v>
          </cell>
          <cell r="E4763">
            <v>285.58</v>
          </cell>
          <cell r="F4763">
            <v>305.77999999999997</v>
          </cell>
          <cell r="G4763">
            <v>252.44</v>
          </cell>
          <cell r="H4763">
            <v>5690.34</v>
          </cell>
          <cell r="I4763">
            <v>340.87</v>
          </cell>
        </row>
        <row r="4764">
          <cell r="A4764">
            <v>38506</v>
          </cell>
          <cell r="B4764">
            <v>2969.91</v>
          </cell>
          <cell r="C4764">
            <v>3114.27</v>
          </cell>
          <cell r="D4764">
            <v>270.25</v>
          </cell>
          <cell r="E4764">
            <v>284.56</v>
          </cell>
          <cell r="F4764">
            <v>304.79000000000002</v>
          </cell>
          <cell r="G4764">
            <v>252.25</v>
          </cell>
          <cell r="H4764">
            <v>5682.2</v>
          </cell>
          <cell r="I4764">
            <v>340.22</v>
          </cell>
        </row>
        <row r="4765">
          <cell r="A4765">
            <v>38509</v>
          </cell>
          <cell r="B4765">
            <v>2958.87</v>
          </cell>
          <cell r="C4765">
            <v>3099.2</v>
          </cell>
          <cell r="D4765">
            <v>269.39999999999998</v>
          </cell>
          <cell r="E4765">
            <v>283.45999999999998</v>
          </cell>
          <cell r="F4765">
            <v>303.8</v>
          </cell>
          <cell r="G4765">
            <v>251.63</v>
          </cell>
          <cell r="H4765">
            <v>5673.62</v>
          </cell>
          <cell r="I4765">
            <v>339.18</v>
          </cell>
        </row>
        <row r="4766">
          <cell r="A4766">
            <v>38510</v>
          </cell>
          <cell r="B4766">
            <v>2997.01</v>
          </cell>
          <cell r="C4766">
            <v>3134.82</v>
          </cell>
          <cell r="D4766">
            <v>272.57</v>
          </cell>
          <cell r="E4766">
            <v>286.23</v>
          </cell>
          <cell r="F4766">
            <v>306.67</v>
          </cell>
          <cell r="G4766">
            <v>255.07</v>
          </cell>
          <cell r="H4766">
            <v>5718.17</v>
          </cell>
          <cell r="I4766">
            <v>342.27</v>
          </cell>
        </row>
        <row r="4767">
          <cell r="A4767">
            <v>38511</v>
          </cell>
          <cell r="B4767">
            <v>2988.48</v>
          </cell>
          <cell r="C4767">
            <v>3125.59</v>
          </cell>
          <cell r="D4767">
            <v>271.92</v>
          </cell>
          <cell r="E4767">
            <v>285.77</v>
          </cell>
          <cell r="F4767">
            <v>306.2</v>
          </cell>
          <cell r="G4767">
            <v>254.27</v>
          </cell>
          <cell r="H4767">
            <v>5711.19</v>
          </cell>
          <cell r="I4767">
            <v>342.17</v>
          </cell>
        </row>
        <row r="4768">
          <cell r="A4768">
            <v>38512</v>
          </cell>
          <cell r="B4768">
            <v>2991.1</v>
          </cell>
          <cell r="C4768">
            <v>3122.93</v>
          </cell>
          <cell r="D4768">
            <v>271.98</v>
          </cell>
          <cell r="E4768">
            <v>285.67</v>
          </cell>
          <cell r="F4768">
            <v>306.14999999999998</v>
          </cell>
          <cell r="G4768">
            <v>254.47</v>
          </cell>
          <cell r="H4768">
            <v>5686.34</v>
          </cell>
          <cell r="I4768">
            <v>340.81</v>
          </cell>
        </row>
        <row r="4769">
          <cell r="A4769">
            <v>38513</v>
          </cell>
          <cell r="B4769">
            <v>3007.87</v>
          </cell>
          <cell r="C4769">
            <v>3143.85</v>
          </cell>
          <cell r="D4769">
            <v>273.63</v>
          </cell>
          <cell r="E4769">
            <v>287.55</v>
          </cell>
          <cell r="F4769">
            <v>307.76</v>
          </cell>
          <cell r="G4769">
            <v>255.88</v>
          </cell>
          <cell r="H4769">
            <v>5732.8</v>
          </cell>
          <cell r="I4769">
            <v>343.51</v>
          </cell>
        </row>
        <row r="4770">
          <cell r="A4770">
            <v>38516</v>
          </cell>
          <cell r="B4770">
            <v>3020.61</v>
          </cell>
          <cell r="C4770">
            <v>3159.83</v>
          </cell>
          <cell r="D4770">
            <v>274.72000000000003</v>
          </cell>
          <cell r="E4770">
            <v>288.82</v>
          </cell>
          <cell r="F4770">
            <v>308.89</v>
          </cell>
          <cell r="G4770">
            <v>256.79000000000002</v>
          </cell>
          <cell r="H4770">
            <v>5723.15</v>
          </cell>
          <cell r="I4770">
            <v>343.33</v>
          </cell>
        </row>
        <row r="4771">
          <cell r="A4771">
            <v>38517</v>
          </cell>
          <cell r="B4771">
            <v>3026.22</v>
          </cell>
          <cell r="C4771">
            <v>3162.86</v>
          </cell>
          <cell r="D4771">
            <v>275.10000000000002</v>
          </cell>
          <cell r="E4771">
            <v>289.01</v>
          </cell>
          <cell r="F4771">
            <v>309.26</v>
          </cell>
          <cell r="G4771">
            <v>257.32</v>
          </cell>
          <cell r="H4771">
            <v>5778.25</v>
          </cell>
          <cell r="I4771">
            <v>346.41</v>
          </cell>
        </row>
        <row r="4772">
          <cell r="A4772">
            <v>38518</v>
          </cell>
          <cell r="B4772">
            <v>3012.31</v>
          </cell>
          <cell r="C4772">
            <v>3147.55</v>
          </cell>
          <cell r="D4772">
            <v>273.99</v>
          </cell>
          <cell r="E4772">
            <v>287.77</v>
          </cell>
          <cell r="F4772">
            <v>308.02</v>
          </cell>
          <cell r="G4772">
            <v>256.36</v>
          </cell>
          <cell r="H4772">
            <v>5748.39</v>
          </cell>
          <cell r="I4772">
            <v>344.68</v>
          </cell>
        </row>
        <row r="4773">
          <cell r="A4773">
            <v>38519</v>
          </cell>
          <cell r="B4773">
            <v>3027.79</v>
          </cell>
          <cell r="C4773">
            <v>3160.09</v>
          </cell>
          <cell r="D4773">
            <v>275.51</v>
          </cell>
          <cell r="E4773">
            <v>289.14</v>
          </cell>
          <cell r="F4773">
            <v>309.35000000000002</v>
          </cell>
          <cell r="G4773">
            <v>257.95999999999998</v>
          </cell>
          <cell r="H4773">
            <v>5797.42</v>
          </cell>
          <cell r="I4773">
            <v>347.7</v>
          </cell>
        </row>
        <row r="4774">
          <cell r="A4774">
            <v>38520</v>
          </cell>
          <cell r="B4774">
            <v>3032.24</v>
          </cell>
          <cell r="C4774">
            <v>3178.48</v>
          </cell>
          <cell r="D4774">
            <v>275.87</v>
          </cell>
          <cell r="E4774">
            <v>290.56</v>
          </cell>
          <cell r="F4774">
            <v>310.61</v>
          </cell>
          <cell r="G4774">
            <v>257.42</v>
          </cell>
          <cell r="H4774">
            <v>5832.92</v>
          </cell>
          <cell r="I4774">
            <v>349.21</v>
          </cell>
        </row>
        <row r="4775">
          <cell r="A4775">
            <v>38523</v>
          </cell>
          <cell r="B4775">
            <v>3034.72</v>
          </cell>
          <cell r="C4775">
            <v>3162.14</v>
          </cell>
          <cell r="D4775">
            <v>275.77999999999997</v>
          </cell>
          <cell r="E4775">
            <v>289.14999999999998</v>
          </cell>
          <cell r="F4775">
            <v>309.26</v>
          </cell>
          <cell r="G4775">
            <v>258.45999999999998</v>
          </cell>
          <cell r="H4775">
            <v>5829.93</v>
          </cell>
          <cell r="I4775">
            <v>349.2</v>
          </cell>
        </row>
        <row r="4776">
          <cell r="A4776">
            <v>38524</v>
          </cell>
          <cell r="B4776">
            <v>3051.13</v>
          </cell>
          <cell r="C4776">
            <v>3179.62</v>
          </cell>
          <cell r="D4776">
            <v>277.10000000000002</v>
          </cell>
          <cell r="E4776">
            <v>290.58999999999997</v>
          </cell>
          <cell r="F4776">
            <v>311.08999999999997</v>
          </cell>
          <cell r="G4776">
            <v>259.64999999999998</v>
          </cell>
          <cell r="H4776">
            <v>5862.68</v>
          </cell>
          <cell r="I4776">
            <v>351.41</v>
          </cell>
        </row>
        <row r="4777">
          <cell r="A4777">
            <v>38525</v>
          </cell>
          <cell r="B4777">
            <v>3055.1</v>
          </cell>
          <cell r="C4777">
            <v>3182.08</v>
          </cell>
          <cell r="D4777">
            <v>277.42</v>
          </cell>
          <cell r="E4777">
            <v>291.08999999999997</v>
          </cell>
          <cell r="F4777">
            <v>311.36</v>
          </cell>
          <cell r="G4777">
            <v>259.82</v>
          </cell>
          <cell r="H4777">
            <v>5849.46</v>
          </cell>
          <cell r="I4777">
            <v>351.42</v>
          </cell>
        </row>
        <row r="4778">
          <cell r="A4778">
            <v>38526</v>
          </cell>
          <cell r="B4778">
            <v>3072.31</v>
          </cell>
          <cell r="C4778">
            <v>3190.8</v>
          </cell>
          <cell r="D4778">
            <v>278.58999999999997</v>
          </cell>
          <cell r="E4778">
            <v>291.77</v>
          </cell>
          <cell r="F4778">
            <v>311.95999999999998</v>
          </cell>
          <cell r="G4778">
            <v>261.38</v>
          </cell>
          <cell r="H4778">
            <v>5867.11</v>
          </cell>
          <cell r="I4778">
            <v>352.51</v>
          </cell>
        </row>
        <row r="4779">
          <cell r="A4779">
            <v>38527</v>
          </cell>
          <cell r="B4779">
            <v>3048.82</v>
          </cell>
          <cell r="C4779">
            <v>3161</v>
          </cell>
          <cell r="D4779">
            <v>276.32</v>
          </cell>
          <cell r="E4779">
            <v>289.27</v>
          </cell>
          <cell r="F4779">
            <v>309.5</v>
          </cell>
          <cell r="G4779">
            <v>259.35000000000002</v>
          </cell>
          <cell r="H4779">
            <v>5864.61</v>
          </cell>
          <cell r="I4779">
            <v>352.3</v>
          </cell>
        </row>
        <row r="4780">
          <cell r="A4780">
            <v>38530</v>
          </cell>
          <cell r="B4780">
            <v>3019.22</v>
          </cell>
          <cell r="C4780">
            <v>3132.5</v>
          </cell>
          <cell r="D4780">
            <v>273.64</v>
          </cell>
          <cell r="E4780">
            <v>286.74</v>
          </cell>
          <cell r="F4780">
            <v>306.64999999999998</v>
          </cell>
          <cell r="G4780">
            <v>256.58999999999997</v>
          </cell>
          <cell r="H4780">
            <v>5755.01</v>
          </cell>
          <cell r="I4780">
            <v>345.16</v>
          </cell>
        </row>
        <row r="4781">
          <cell r="A4781">
            <v>38531</v>
          </cell>
          <cell r="B4781">
            <v>3047.17</v>
          </cell>
          <cell r="C4781">
            <v>3162</v>
          </cell>
          <cell r="D4781">
            <v>275.97000000000003</v>
          </cell>
          <cell r="E4781">
            <v>289.22000000000003</v>
          </cell>
          <cell r="F4781">
            <v>308.87</v>
          </cell>
          <cell r="G4781">
            <v>258.75</v>
          </cell>
          <cell r="H4781">
            <v>5780.45</v>
          </cell>
          <cell r="I4781">
            <v>346.7</v>
          </cell>
        </row>
        <row r="4782">
          <cell r="A4782">
            <v>38532</v>
          </cell>
          <cell r="B4782">
            <v>3050.65</v>
          </cell>
          <cell r="C4782">
            <v>3178.56</v>
          </cell>
          <cell r="D4782">
            <v>276.79000000000002</v>
          </cell>
          <cell r="E4782">
            <v>290.92</v>
          </cell>
          <cell r="F4782">
            <v>310.75</v>
          </cell>
          <cell r="G4782">
            <v>258.79000000000002</v>
          </cell>
          <cell r="H4782">
            <v>5814.83</v>
          </cell>
          <cell r="I4782">
            <v>348.83</v>
          </cell>
        </row>
        <row r="4783">
          <cell r="A4783">
            <v>38533</v>
          </cell>
          <cell r="B4783">
            <v>3036.54</v>
          </cell>
          <cell r="C4783">
            <v>3181.54</v>
          </cell>
          <cell r="D4783">
            <v>275.92</v>
          </cell>
          <cell r="E4783">
            <v>291.17</v>
          </cell>
          <cell r="F4783">
            <v>310.75</v>
          </cell>
          <cell r="G4783">
            <v>256.99</v>
          </cell>
          <cell r="H4783">
            <v>5806.28</v>
          </cell>
          <cell r="I4783">
            <v>347.84</v>
          </cell>
        </row>
        <row r="4784">
          <cell r="A4784">
            <v>38534</v>
          </cell>
          <cell r="B4784">
            <v>3062.46</v>
          </cell>
          <cell r="C4784">
            <v>3208.61</v>
          </cell>
          <cell r="D4784">
            <v>278.07</v>
          </cell>
          <cell r="E4784">
            <v>293.39999999999998</v>
          </cell>
          <cell r="F4784">
            <v>312.93</v>
          </cell>
          <cell r="G4784">
            <v>259.02999999999997</v>
          </cell>
          <cell r="H4784">
            <v>5847.56</v>
          </cell>
          <cell r="I4784">
            <v>349.71</v>
          </cell>
        </row>
        <row r="4785">
          <cell r="A4785">
            <v>38537</v>
          </cell>
          <cell r="B4785">
            <v>3077.7</v>
          </cell>
          <cell r="C4785">
            <v>3215.6</v>
          </cell>
          <cell r="D4785">
            <v>278.76</v>
          </cell>
          <cell r="E4785">
            <v>293.83999999999997</v>
          </cell>
          <cell r="F4785">
            <v>313.52999999999997</v>
          </cell>
          <cell r="G4785">
            <v>259.91000000000003</v>
          </cell>
          <cell r="H4785">
            <v>5879.23</v>
          </cell>
          <cell r="I4785">
            <v>351.52</v>
          </cell>
        </row>
        <row r="4786">
          <cell r="A4786">
            <v>38538</v>
          </cell>
          <cell r="B4786">
            <v>3072.59</v>
          </cell>
          <cell r="C4786">
            <v>3207.91</v>
          </cell>
          <cell r="D4786">
            <v>278.14</v>
          </cell>
          <cell r="E4786">
            <v>293.20999999999998</v>
          </cell>
          <cell r="F4786">
            <v>313.02</v>
          </cell>
          <cell r="G4786">
            <v>259.32</v>
          </cell>
          <cell r="H4786">
            <v>5894.89</v>
          </cell>
          <cell r="I4786">
            <v>352.65</v>
          </cell>
        </row>
        <row r="4787">
          <cell r="A4787">
            <v>38539</v>
          </cell>
          <cell r="B4787">
            <v>3091.76</v>
          </cell>
          <cell r="C4787">
            <v>3224.11</v>
          </cell>
          <cell r="D4787">
            <v>279.77999999999997</v>
          </cell>
          <cell r="E4787">
            <v>294.55</v>
          </cell>
          <cell r="F4787">
            <v>314.45999999999998</v>
          </cell>
          <cell r="G4787">
            <v>261.19</v>
          </cell>
          <cell r="H4787">
            <v>5931.57</v>
          </cell>
          <cell r="I4787">
            <v>355.14</v>
          </cell>
        </row>
        <row r="4788">
          <cell r="A4788">
            <v>38540</v>
          </cell>
          <cell r="B4788">
            <v>3034.24</v>
          </cell>
          <cell r="C4788">
            <v>3170.06</v>
          </cell>
          <cell r="D4788">
            <v>274.69</v>
          </cell>
          <cell r="E4788">
            <v>289.92</v>
          </cell>
          <cell r="F4788">
            <v>309.91000000000003</v>
          </cell>
          <cell r="G4788">
            <v>255.8</v>
          </cell>
          <cell r="H4788">
            <v>5825.29</v>
          </cell>
          <cell r="I4788">
            <v>349.16</v>
          </cell>
        </row>
        <row r="4789">
          <cell r="A4789">
            <v>38541</v>
          </cell>
          <cell r="B4789">
            <v>3077.08</v>
          </cell>
          <cell r="C4789">
            <v>3224.59</v>
          </cell>
          <cell r="D4789">
            <v>278.47000000000003</v>
          </cell>
          <cell r="E4789">
            <v>294.37</v>
          </cell>
          <cell r="F4789">
            <v>314.3</v>
          </cell>
          <cell r="G4789">
            <v>258.93</v>
          </cell>
          <cell r="H4789">
            <v>5920.26</v>
          </cell>
          <cell r="I4789">
            <v>355.08</v>
          </cell>
        </row>
        <row r="4790">
          <cell r="A4790">
            <v>38544</v>
          </cell>
          <cell r="B4790">
            <v>3088.92</v>
          </cell>
          <cell r="C4790">
            <v>3246.4</v>
          </cell>
          <cell r="D4790">
            <v>279.93</v>
          </cell>
          <cell r="E4790">
            <v>296.45999999999998</v>
          </cell>
          <cell r="F4790">
            <v>316.52</v>
          </cell>
          <cell r="G4790">
            <v>259.83</v>
          </cell>
          <cell r="H4790">
            <v>5963.38</v>
          </cell>
          <cell r="I4790">
            <v>358.31</v>
          </cell>
        </row>
        <row r="4791">
          <cell r="A4791">
            <v>38545</v>
          </cell>
          <cell r="B4791">
            <v>3072.29</v>
          </cell>
          <cell r="C4791">
            <v>3236.33</v>
          </cell>
          <cell r="D4791">
            <v>278.86</v>
          </cell>
          <cell r="E4791">
            <v>295.66000000000003</v>
          </cell>
          <cell r="F4791">
            <v>315.64</v>
          </cell>
          <cell r="G4791">
            <v>258.55</v>
          </cell>
          <cell r="H4791">
            <v>5957.22</v>
          </cell>
          <cell r="I4791">
            <v>357.74</v>
          </cell>
        </row>
        <row r="4792">
          <cell r="A4792">
            <v>38546</v>
          </cell>
          <cell r="B4792">
            <v>3096.19</v>
          </cell>
          <cell r="C4792">
            <v>3260.67</v>
          </cell>
          <cell r="D4792">
            <v>280.45999999999998</v>
          </cell>
          <cell r="E4792">
            <v>297.55</v>
          </cell>
          <cell r="F4792">
            <v>317.83</v>
          </cell>
          <cell r="G4792">
            <v>259.85000000000002</v>
          </cell>
          <cell r="H4792">
            <v>6015.51</v>
          </cell>
          <cell r="I4792">
            <v>361.32</v>
          </cell>
        </row>
        <row r="4793">
          <cell r="A4793">
            <v>38547</v>
          </cell>
          <cell r="B4793">
            <v>3118.3</v>
          </cell>
          <cell r="C4793">
            <v>3277.2</v>
          </cell>
          <cell r="D4793">
            <v>281.74</v>
          </cell>
          <cell r="E4793">
            <v>298.94</v>
          </cell>
          <cell r="F4793">
            <v>319.29000000000002</v>
          </cell>
          <cell r="G4793">
            <v>261.02</v>
          </cell>
          <cell r="H4793">
            <v>6004.92</v>
          </cell>
          <cell r="I4793">
            <v>360.95</v>
          </cell>
        </row>
        <row r="4794">
          <cell r="A4794">
            <v>38548</v>
          </cell>
          <cell r="B4794">
            <v>3111.28</v>
          </cell>
          <cell r="C4794">
            <v>3278.71</v>
          </cell>
          <cell r="D4794">
            <v>281.23</v>
          </cell>
          <cell r="E4794">
            <v>298.82</v>
          </cell>
          <cell r="F4794">
            <v>319.16000000000003</v>
          </cell>
          <cell r="G4794">
            <v>260.19</v>
          </cell>
          <cell r="H4794">
            <v>5992.22</v>
          </cell>
          <cell r="I4794">
            <v>360.11</v>
          </cell>
        </row>
        <row r="4795">
          <cell r="A4795">
            <v>38551</v>
          </cell>
          <cell r="B4795">
            <v>3104.01</v>
          </cell>
          <cell r="C4795">
            <v>3276.49</v>
          </cell>
          <cell r="D4795">
            <v>280.57</v>
          </cell>
          <cell r="E4795">
            <v>298.77999999999997</v>
          </cell>
          <cell r="F4795">
            <v>319.14999999999998</v>
          </cell>
          <cell r="G4795">
            <v>259.01</v>
          </cell>
          <cell r="H4795">
            <v>5985.5</v>
          </cell>
          <cell r="I4795">
            <v>359.96</v>
          </cell>
        </row>
        <row r="4796">
          <cell r="A4796">
            <v>38552</v>
          </cell>
          <cell r="B4796">
            <v>3112.82</v>
          </cell>
          <cell r="C4796">
            <v>3314.06</v>
          </cell>
          <cell r="D4796">
            <v>281.67</v>
          </cell>
          <cell r="E4796">
            <v>302.06</v>
          </cell>
          <cell r="F4796">
            <v>321.89999999999998</v>
          </cell>
          <cell r="G4796">
            <v>258.23</v>
          </cell>
          <cell r="H4796">
            <v>6021.54</v>
          </cell>
          <cell r="I4796">
            <v>362.34</v>
          </cell>
        </row>
        <row r="4797">
          <cell r="A4797">
            <v>38553</v>
          </cell>
          <cell r="B4797">
            <v>3101.31</v>
          </cell>
          <cell r="C4797">
            <v>3303.88</v>
          </cell>
          <cell r="D4797">
            <v>281.06</v>
          </cell>
          <cell r="E4797">
            <v>301.43</v>
          </cell>
          <cell r="F4797">
            <v>321.36</v>
          </cell>
          <cell r="G4797">
            <v>257.64</v>
          </cell>
          <cell r="H4797">
            <v>5959.92</v>
          </cell>
          <cell r="I4797">
            <v>358.45</v>
          </cell>
        </row>
        <row r="4798">
          <cell r="A4798">
            <v>38554</v>
          </cell>
          <cell r="B4798">
            <v>3095.79</v>
          </cell>
          <cell r="C4798">
            <v>3299.92</v>
          </cell>
          <cell r="D4798">
            <v>281.45999999999998</v>
          </cell>
          <cell r="E4798">
            <v>301.63</v>
          </cell>
          <cell r="F4798">
            <v>321.64</v>
          </cell>
          <cell r="G4798">
            <v>258.2</v>
          </cell>
          <cell r="H4798">
            <v>5923.86</v>
          </cell>
          <cell r="I4798">
            <v>354.74</v>
          </cell>
        </row>
        <row r="4799">
          <cell r="A4799">
            <v>38555</v>
          </cell>
          <cell r="B4799">
            <v>3094.87</v>
          </cell>
          <cell r="C4799">
            <v>3292.92</v>
          </cell>
          <cell r="D4799">
            <v>281.66000000000003</v>
          </cell>
          <cell r="E4799">
            <v>301.33</v>
          </cell>
          <cell r="F4799">
            <v>321.45999999999998</v>
          </cell>
          <cell r="G4799">
            <v>258.8</v>
          </cell>
          <cell r="H4799">
            <v>5935.25</v>
          </cell>
          <cell r="I4799">
            <v>354.37</v>
          </cell>
        </row>
        <row r="4800">
          <cell r="A4800">
            <v>38558</v>
          </cell>
          <cell r="B4800">
            <v>3115.12</v>
          </cell>
          <cell r="C4800">
            <v>3298.27</v>
          </cell>
          <cell r="D4800">
            <v>282.83</v>
          </cell>
          <cell r="E4800">
            <v>301.55</v>
          </cell>
          <cell r="F4800">
            <v>321.83999999999997</v>
          </cell>
          <cell r="G4800">
            <v>260.72000000000003</v>
          </cell>
          <cell r="H4800">
            <v>5956.9</v>
          </cell>
          <cell r="I4800">
            <v>355.01</v>
          </cell>
        </row>
        <row r="4801">
          <cell r="A4801">
            <v>38559</v>
          </cell>
          <cell r="B4801">
            <v>3117.1</v>
          </cell>
          <cell r="C4801">
            <v>3302.98</v>
          </cell>
          <cell r="D4801">
            <v>283</v>
          </cell>
          <cell r="E4801">
            <v>301.87</v>
          </cell>
          <cell r="F4801">
            <v>322.24</v>
          </cell>
          <cell r="G4801">
            <v>260.76</v>
          </cell>
          <cell r="H4801">
            <v>5946.24</v>
          </cell>
          <cell r="I4801">
            <v>355.03</v>
          </cell>
        </row>
        <row r="4802">
          <cell r="A4802">
            <v>38560</v>
          </cell>
          <cell r="B4802">
            <v>3124.08</v>
          </cell>
          <cell r="C4802">
            <v>3310.84</v>
          </cell>
          <cell r="D4802">
            <v>283.79000000000002</v>
          </cell>
          <cell r="E4802">
            <v>302.79000000000002</v>
          </cell>
          <cell r="F4802">
            <v>323.44</v>
          </cell>
          <cell r="G4802">
            <v>261.43</v>
          </cell>
          <cell r="H4802">
            <v>5995.06</v>
          </cell>
          <cell r="I4802">
            <v>358.11</v>
          </cell>
        </row>
        <row r="4803">
          <cell r="A4803">
            <v>38561</v>
          </cell>
          <cell r="B4803">
            <v>3143.03</v>
          </cell>
          <cell r="C4803">
            <v>3333.05</v>
          </cell>
          <cell r="D4803">
            <v>285.2</v>
          </cell>
          <cell r="E4803">
            <v>304.38</v>
          </cell>
          <cell r="F4803">
            <v>325.27</v>
          </cell>
          <cell r="G4803">
            <v>262.64999999999998</v>
          </cell>
          <cell r="H4803">
            <v>6018.31</v>
          </cell>
          <cell r="I4803">
            <v>360.03</v>
          </cell>
        </row>
        <row r="4804">
          <cell r="A4804">
            <v>38562</v>
          </cell>
          <cell r="B4804">
            <v>3139.5</v>
          </cell>
          <cell r="C4804">
            <v>3326.51</v>
          </cell>
          <cell r="D4804">
            <v>285.02999999999997</v>
          </cell>
          <cell r="E4804">
            <v>303.83999999999997</v>
          </cell>
          <cell r="F4804">
            <v>324.76</v>
          </cell>
          <cell r="G4804">
            <v>262.8</v>
          </cell>
          <cell r="H4804">
            <v>6011.58</v>
          </cell>
          <cell r="I4804">
            <v>359.71</v>
          </cell>
        </row>
        <row r="4805">
          <cell r="A4805">
            <v>38565</v>
          </cell>
          <cell r="B4805">
            <v>3140.49</v>
          </cell>
          <cell r="C4805">
            <v>3320.44</v>
          </cell>
          <cell r="D4805">
            <v>285.3</v>
          </cell>
          <cell r="E4805">
            <v>303.82</v>
          </cell>
          <cell r="F4805">
            <v>324.93</v>
          </cell>
          <cell r="G4805">
            <v>263.29000000000002</v>
          </cell>
          <cell r="H4805">
            <v>6009.46</v>
          </cell>
          <cell r="I4805">
            <v>359.52</v>
          </cell>
        </row>
        <row r="4806">
          <cell r="A4806">
            <v>38566</v>
          </cell>
          <cell r="B4806">
            <v>3168.19</v>
          </cell>
          <cell r="C4806">
            <v>3349.91</v>
          </cell>
          <cell r="D4806">
            <v>287.44</v>
          </cell>
          <cell r="E4806">
            <v>305.95</v>
          </cell>
          <cell r="F4806">
            <v>327.49</v>
          </cell>
          <cell r="G4806">
            <v>265.39999999999998</v>
          </cell>
          <cell r="H4806">
            <v>6074.87</v>
          </cell>
          <cell r="I4806">
            <v>363.43</v>
          </cell>
        </row>
        <row r="4807">
          <cell r="A4807">
            <v>38567</v>
          </cell>
          <cell r="B4807">
            <v>3159.09</v>
          </cell>
          <cell r="C4807">
            <v>3343.63</v>
          </cell>
          <cell r="D4807">
            <v>287.08999999999997</v>
          </cell>
          <cell r="E4807">
            <v>305.83999999999997</v>
          </cell>
          <cell r="F4807">
            <v>327.33</v>
          </cell>
          <cell r="G4807">
            <v>264.85000000000002</v>
          </cell>
          <cell r="H4807">
            <v>6080.88</v>
          </cell>
          <cell r="I4807">
            <v>363.77</v>
          </cell>
        </row>
        <row r="4808">
          <cell r="A4808">
            <v>38568</v>
          </cell>
          <cell r="B4808">
            <v>3127.62</v>
          </cell>
          <cell r="C4808">
            <v>3310.62</v>
          </cell>
          <cell r="D4808">
            <v>284.93</v>
          </cell>
          <cell r="E4808">
            <v>303.43</v>
          </cell>
          <cell r="F4808">
            <v>324.95</v>
          </cell>
          <cell r="G4808">
            <v>262.95</v>
          </cell>
          <cell r="H4808">
            <v>6063.11</v>
          </cell>
          <cell r="I4808">
            <v>362.19</v>
          </cell>
        </row>
        <row r="4809">
          <cell r="A4809">
            <v>38569</v>
          </cell>
          <cell r="B4809">
            <v>3115.13</v>
          </cell>
          <cell r="C4809">
            <v>3280.49</v>
          </cell>
          <cell r="D4809">
            <v>283.85000000000002</v>
          </cell>
          <cell r="E4809">
            <v>301.38</v>
          </cell>
          <cell r="F4809">
            <v>323.02</v>
          </cell>
          <cell r="G4809">
            <v>262.68</v>
          </cell>
          <cell r="H4809">
            <v>6045.68</v>
          </cell>
          <cell r="I4809">
            <v>360.86</v>
          </cell>
        </row>
        <row r="4810">
          <cell r="A4810">
            <v>38572</v>
          </cell>
          <cell r="B4810">
            <v>3136.86</v>
          </cell>
          <cell r="C4810">
            <v>3292.41</v>
          </cell>
          <cell r="D4810">
            <v>285.62</v>
          </cell>
          <cell r="E4810">
            <v>302.52</v>
          </cell>
          <cell r="F4810">
            <v>324.35000000000002</v>
          </cell>
          <cell r="G4810">
            <v>264.93</v>
          </cell>
          <cell r="H4810">
            <v>6076.18</v>
          </cell>
          <cell r="I4810">
            <v>362.61</v>
          </cell>
        </row>
        <row r="4811">
          <cell r="A4811">
            <v>38573</v>
          </cell>
          <cell r="B4811">
            <v>3158.71</v>
          </cell>
          <cell r="C4811">
            <v>3331.29</v>
          </cell>
          <cell r="D4811">
            <v>287.36</v>
          </cell>
          <cell r="E4811">
            <v>305.37</v>
          </cell>
          <cell r="F4811">
            <v>326.91000000000003</v>
          </cell>
          <cell r="G4811">
            <v>265.72000000000003</v>
          </cell>
          <cell r="H4811">
            <v>6113.46</v>
          </cell>
          <cell r="I4811">
            <v>365.03</v>
          </cell>
        </row>
        <row r="4812">
          <cell r="A4812">
            <v>38574</v>
          </cell>
          <cell r="B4812">
            <v>3184.86</v>
          </cell>
          <cell r="C4812">
            <v>3370.84</v>
          </cell>
          <cell r="D4812">
            <v>289.76</v>
          </cell>
          <cell r="E4812">
            <v>308.47000000000003</v>
          </cell>
          <cell r="F4812">
            <v>330.05</v>
          </cell>
          <cell r="G4812">
            <v>267.48</v>
          </cell>
          <cell r="H4812">
            <v>6177.39</v>
          </cell>
          <cell r="I4812">
            <v>368.19</v>
          </cell>
        </row>
        <row r="4813">
          <cell r="A4813">
            <v>38575</v>
          </cell>
          <cell r="B4813">
            <v>3176.17</v>
          </cell>
          <cell r="C4813">
            <v>3354.16</v>
          </cell>
          <cell r="D4813">
            <v>288.85000000000002</v>
          </cell>
          <cell r="E4813">
            <v>307.02999999999997</v>
          </cell>
          <cell r="F4813">
            <v>328.85</v>
          </cell>
          <cell r="G4813">
            <v>267.04000000000002</v>
          </cell>
          <cell r="H4813">
            <v>6158.49</v>
          </cell>
          <cell r="I4813">
            <v>366.49</v>
          </cell>
        </row>
        <row r="4814">
          <cell r="A4814">
            <v>38576</v>
          </cell>
          <cell r="B4814">
            <v>3167.13</v>
          </cell>
          <cell r="C4814">
            <v>3334.15</v>
          </cell>
          <cell r="D4814">
            <v>288.2</v>
          </cell>
          <cell r="E4814">
            <v>305.33999999999997</v>
          </cell>
          <cell r="F4814">
            <v>327.20999999999998</v>
          </cell>
          <cell r="G4814">
            <v>267.25</v>
          </cell>
          <cell r="H4814">
            <v>6131.6</v>
          </cell>
          <cell r="I4814">
            <v>365.41</v>
          </cell>
        </row>
        <row r="4815">
          <cell r="A4815">
            <v>38579</v>
          </cell>
          <cell r="B4815">
            <v>3166.54</v>
          </cell>
          <cell r="C4815">
            <v>3326.34</v>
          </cell>
          <cell r="D4815">
            <v>288.08</v>
          </cell>
          <cell r="E4815">
            <v>304.81</v>
          </cell>
          <cell r="F4815">
            <v>326.70999999999998</v>
          </cell>
          <cell r="G4815">
            <v>267.47000000000003</v>
          </cell>
          <cell r="H4815">
            <v>6126.01</v>
          </cell>
          <cell r="I4815">
            <v>364.93</v>
          </cell>
        </row>
        <row r="4816">
          <cell r="A4816">
            <v>38580</v>
          </cell>
          <cell r="B4816">
            <v>3156.78</v>
          </cell>
          <cell r="C4816">
            <v>3307.42</v>
          </cell>
          <cell r="D4816">
            <v>287.39999999999998</v>
          </cell>
          <cell r="E4816">
            <v>303.44</v>
          </cell>
          <cell r="F4816">
            <v>325.47000000000003</v>
          </cell>
          <cell r="G4816">
            <v>267.36</v>
          </cell>
          <cell r="H4816">
            <v>6095.44</v>
          </cell>
          <cell r="I4816">
            <v>363.36</v>
          </cell>
        </row>
        <row r="4817">
          <cell r="A4817">
            <v>38581</v>
          </cell>
          <cell r="B4817">
            <v>3150.6</v>
          </cell>
          <cell r="C4817">
            <v>3298.2</v>
          </cell>
          <cell r="D4817">
            <v>286.66000000000003</v>
          </cell>
          <cell r="E4817">
            <v>302.48</v>
          </cell>
          <cell r="F4817">
            <v>324.81</v>
          </cell>
          <cell r="G4817">
            <v>266.82</v>
          </cell>
          <cell r="H4817">
            <v>6096.87</v>
          </cell>
          <cell r="I4817">
            <v>363</v>
          </cell>
        </row>
        <row r="4818">
          <cell r="A4818">
            <v>38582</v>
          </cell>
          <cell r="B4818">
            <v>3135.51</v>
          </cell>
          <cell r="C4818">
            <v>3283.84</v>
          </cell>
          <cell r="D4818">
            <v>285.75</v>
          </cell>
          <cell r="E4818">
            <v>301.26</v>
          </cell>
          <cell r="F4818">
            <v>323.54000000000002</v>
          </cell>
          <cell r="G4818">
            <v>266.19</v>
          </cell>
          <cell r="H4818">
            <v>6093.56</v>
          </cell>
          <cell r="I4818">
            <v>362.64</v>
          </cell>
        </row>
        <row r="4819">
          <cell r="A4819">
            <v>38583</v>
          </cell>
          <cell r="B4819">
            <v>3169.03</v>
          </cell>
          <cell r="C4819">
            <v>3328.17</v>
          </cell>
          <cell r="D4819">
            <v>288.48</v>
          </cell>
          <cell r="E4819">
            <v>304.68</v>
          </cell>
          <cell r="F4819">
            <v>326.73</v>
          </cell>
          <cell r="G4819">
            <v>268.29000000000002</v>
          </cell>
          <cell r="H4819">
            <v>6134.95</v>
          </cell>
          <cell r="I4819">
            <v>364.92</v>
          </cell>
        </row>
        <row r="4820">
          <cell r="A4820">
            <v>38586</v>
          </cell>
          <cell r="B4820">
            <v>3165.61</v>
          </cell>
          <cell r="C4820">
            <v>3330.44</v>
          </cell>
          <cell r="D4820">
            <v>288.68</v>
          </cell>
          <cell r="E4820">
            <v>305.20999999999998</v>
          </cell>
          <cell r="F4820">
            <v>327.02999999999997</v>
          </cell>
          <cell r="G4820">
            <v>268.20999999999998</v>
          </cell>
          <cell r="H4820">
            <v>6143.07</v>
          </cell>
          <cell r="I4820">
            <v>365.56</v>
          </cell>
        </row>
        <row r="4821">
          <cell r="A4821">
            <v>38587</v>
          </cell>
          <cell r="B4821">
            <v>3140.76</v>
          </cell>
          <cell r="C4821">
            <v>3299.28</v>
          </cell>
          <cell r="D4821">
            <v>287.02999999999997</v>
          </cell>
          <cell r="E4821">
            <v>302.94</v>
          </cell>
          <cell r="F4821">
            <v>324.56</v>
          </cell>
          <cell r="G4821">
            <v>267.11</v>
          </cell>
          <cell r="H4821">
            <v>6110.45</v>
          </cell>
          <cell r="I4821">
            <v>364.02</v>
          </cell>
        </row>
        <row r="4822">
          <cell r="A4822">
            <v>38588</v>
          </cell>
          <cell r="B4822">
            <v>3125.67</v>
          </cell>
          <cell r="C4822">
            <v>3294.25</v>
          </cell>
          <cell r="D4822">
            <v>285.63</v>
          </cell>
          <cell r="E4822">
            <v>302.43</v>
          </cell>
          <cell r="F4822">
            <v>323.7</v>
          </cell>
          <cell r="G4822">
            <v>265.02</v>
          </cell>
          <cell r="H4822">
            <v>6050.51</v>
          </cell>
          <cell r="I4822">
            <v>360.99</v>
          </cell>
        </row>
        <row r="4823">
          <cell r="A4823">
            <v>38589</v>
          </cell>
          <cell r="B4823">
            <v>3100.61</v>
          </cell>
          <cell r="C4823">
            <v>3258.52</v>
          </cell>
          <cell r="D4823">
            <v>283.68</v>
          </cell>
          <cell r="E4823">
            <v>299.74</v>
          </cell>
          <cell r="F4823">
            <v>321.06</v>
          </cell>
          <cell r="G4823">
            <v>263.73</v>
          </cell>
          <cell r="H4823">
            <v>5997.58</v>
          </cell>
          <cell r="I4823">
            <v>357.86</v>
          </cell>
        </row>
        <row r="4824">
          <cell r="A4824">
            <v>38590</v>
          </cell>
          <cell r="B4824">
            <v>3073.63</v>
          </cell>
          <cell r="C4824">
            <v>3224.1</v>
          </cell>
          <cell r="D4824">
            <v>281.82</v>
          </cell>
          <cell r="E4824">
            <v>297.24</v>
          </cell>
          <cell r="F4824">
            <v>318.64999999999998</v>
          </cell>
          <cell r="G4824">
            <v>262.43</v>
          </cell>
          <cell r="H4824">
            <v>5959.19</v>
          </cell>
          <cell r="I4824">
            <v>355.67</v>
          </cell>
        </row>
        <row r="4825">
          <cell r="A4825">
            <v>38593</v>
          </cell>
          <cell r="B4825">
            <v>3084.98</v>
          </cell>
          <cell r="C4825">
            <v>3239.96</v>
          </cell>
          <cell r="D4825">
            <v>282.61</v>
          </cell>
          <cell r="E4825">
            <v>298.27999999999997</v>
          </cell>
          <cell r="F4825">
            <v>319.73</v>
          </cell>
          <cell r="G4825">
            <v>263</v>
          </cell>
          <cell r="H4825">
            <v>5992.55</v>
          </cell>
          <cell r="I4825">
            <v>357.27</v>
          </cell>
        </row>
        <row r="4826">
          <cell r="A4826">
            <v>38594</v>
          </cell>
          <cell r="B4826">
            <v>3087.25</v>
          </cell>
          <cell r="C4826">
            <v>3234.1</v>
          </cell>
          <cell r="D4826">
            <v>282.54000000000002</v>
          </cell>
          <cell r="E4826">
            <v>297.98</v>
          </cell>
          <cell r="F4826">
            <v>319.38</v>
          </cell>
          <cell r="G4826">
            <v>263.11</v>
          </cell>
          <cell r="H4826">
            <v>5992.3</v>
          </cell>
          <cell r="I4826">
            <v>357.59</v>
          </cell>
        </row>
        <row r="4827">
          <cell r="A4827">
            <v>38595</v>
          </cell>
          <cell r="B4827">
            <v>3114.31</v>
          </cell>
          <cell r="C4827">
            <v>3263.78</v>
          </cell>
          <cell r="D4827">
            <v>284.82</v>
          </cell>
          <cell r="E4827">
            <v>300.62</v>
          </cell>
          <cell r="F4827">
            <v>322.27999999999997</v>
          </cell>
          <cell r="G4827">
            <v>265.04000000000002</v>
          </cell>
          <cell r="H4827">
            <v>6061.25</v>
          </cell>
          <cell r="I4827">
            <v>361.44</v>
          </cell>
        </row>
        <row r="4828">
          <cell r="A4828">
            <v>38596</v>
          </cell>
          <cell r="B4828">
            <v>3135.18</v>
          </cell>
          <cell r="C4828">
            <v>3282.29</v>
          </cell>
          <cell r="D4828">
            <v>286.83999999999997</v>
          </cell>
          <cell r="E4828">
            <v>302.26</v>
          </cell>
          <cell r="F4828">
            <v>324.18</v>
          </cell>
          <cell r="G4828">
            <v>267.33</v>
          </cell>
          <cell r="H4828">
            <v>6091.46</v>
          </cell>
          <cell r="I4828">
            <v>363.64</v>
          </cell>
        </row>
        <row r="4829">
          <cell r="A4829">
            <v>38597</v>
          </cell>
          <cell r="B4829">
            <v>3127.07</v>
          </cell>
          <cell r="C4829">
            <v>3274.42</v>
          </cell>
          <cell r="D4829">
            <v>286.70999999999998</v>
          </cell>
          <cell r="E4829">
            <v>301.89</v>
          </cell>
          <cell r="F4829">
            <v>323.93</v>
          </cell>
          <cell r="G4829">
            <v>267.39999999999998</v>
          </cell>
          <cell r="H4829">
            <v>6112.31</v>
          </cell>
          <cell r="I4829">
            <v>364.53</v>
          </cell>
        </row>
        <row r="4830">
          <cell r="A4830">
            <v>38600</v>
          </cell>
          <cell r="B4830">
            <v>3145.82</v>
          </cell>
          <cell r="C4830">
            <v>3303.05</v>
          </cell>
          <cell r="D4830">
            <v>288.33</v>
          </cell>
          <cell r="E4830">
            <v>304.08999999999997</v>
          </cell>
          <cell r="F4830">
            <v>325.73</v>
          </cell>
          <cell r="G4830">
            <v>268.5</v>
          </cell>
          <cell r="H4830">
            <v>6119.02</v>
          </cell>
          <cell r="I4830">
            <v>365.32</v>
          </cell>
        </row>
        <row r="4831">
          <cell r="A4831">
            <v>38601</v>
          </cell>
          <cell r="B4831">
            <v>3176.14</v>
          </cell>
          <cell r="C4831">
            <v>3341.8</v>
          </cell>
          <cell r="D4831">
            <v>290.73</v>
          </cell>
          <cell r="E4831">
            <v>306.95</v>
          </cell>
          <cell r="F4831">
            <v>328.77</v>
          </cell>
          <cell r="G4831">
            <v>270.45999999999998</v>
          </cell>
          <cell r="H4831">
            <v>6149.69</v>
          </cell>
          <cell r="I4831">
            <v>367.57</v>
          </cell>
        </row>
        <row r="4832">
          <cell r="A4832">
            <v>38602</v>
          </cell>
          <cell r="B4832">
            <v>3189.19</v>
          </cell>
          <cell r="C4832">
            <v>3349.46</v>
          </cell>
          <cell r="D4832">
            <v>291.83</v>
          </cell>
          <cell r="E4832">
            <v>307.89</v>
          </cell>
          <cell r="F4832">
            <v>330.11</v>
          </cell>
          <cell r="G4832">
            <v>271.67</v>
          </cell>
          <cell r="H4832">
            <v>6148.72</v>
          </cell>
          <cell r="I4832">
            <v>368.01</v>
          </cell>
        </row>
        <row r="4833">
          <cell r="A4833">
            <v>38603</v>
          </cell>
          <cell r="B4833">
            <v>3188.41</v>
          </cell>
          <cell r="C4833">
            <v>3346.63</v>
          </cell>
          <cell r="D4833">
            <v>291.55</v>
          </cell>
          <cell r="E4833">
            <v>307.69</v>
          </cell>
          <cell r="F4833">
            <v>329.77</v>
          </cell>
          <cell r="G4833">
            <v>271.33</v>
          </cell>
          <cell r="H4833">
            <v>6117.54</v>
          </cell>
          <cell r="I4833">
            <v>366.04</v>
          </cell>
        </row>
        <row r="4834">
          <cell r="A4834">
            <v>38604</v>
          </cell>
          <cell r="B4834">
            <v>3199.35</v>
          </cell>
          <cell r="C4834">
            <v>3359.65</v>
          </cell>
          <cell r="D4834">
            <v>292.45</v>
          </cell>
          <cell r="E4834">
            <v>308.81</v>
          </cell>
          <cell r="F4834">
            <v>331.06</v>
          </cell>
          <cell r="G4834">
            <v>272.04000000000002</v>
          </cell>
          <cell r="H4834">
            <v>6167.79</v>
          </cell>
          <cell r="I4834">
            <v>369.43</v>
          </cell>
        </row>
        <row r="4835">
          <cell r="A4835">
            <v>38607</v>
          </cell>
          <cell r="B4835">
            <v>3203.56</v>
          </cell>
          <cell r="C4835">
            <v>3354.64</v>
          </cell>
          <cell r="D4835">
            <v>293.12</v>
          </cell>
          <cell r="E4835">
            <v>308.69</v>
          </cell>
          <cell r="F4835">
            <v>331.3</v>
          </cell>
          <cell r="G4835">
            <v>273.33</v>
          </cell>
          <cell r="H4835">
            <v>6198.71</v>
          </cell>
          <cell r="I4835">
            <v>371.07</v>
          </cell>
        </row>
        <row r="4836">
          <cell r="A4836">
            <v>38608</v>
          </cell>
          <cell r="B4836">
            <v>3181.33</v>
          </cell>
          <cell r="C4836">
            <v>3325.55</v>
          </cell>
          <cell r="D4836">
            <v>291.08999999999997</v>
          </cell>
          <cell r="E4836">
            <v>306.32</v>
          </cell>
          <cell r="F4836">
            <v>328.88</v>
          </cell>
          <cell r="G4836">
            <v>271.63</v>
          </cell>
          <cell r="H4836">
            <v>6204.92</v>
          </cell>
          <cell r="I4836">
            <v>372.17</v>
          </cell>
        </row>
        <row r="4837">
          <cell r="A4837">
            <v>38609</v>
          </cell>
          <cell r="B4837">
            <v>3192.63</v>
          </cell>
          <cell r="C4837">
            <v>3338.99</v>
          </cell>
          <cell r="D4837">
            <v>292.05</v>
          </cell>
          <cell r="E4837">
            <v>307.38</v>
          </cell>
          <cell r="F4837">
            <v>330.22</v>
          </cell>
          <cell r="G4837">
            <v>272.5</v>
          </cell>
          <cell r="H4837">
            <v>6224.94</v>
          </cell>
          <cell r="I4837">
            <v>373.31</v>
          </cell>
        </row>
        <row r="4838">
          <cell r="A4838">
            <v>38610</v>
          </cell>
          <cell r="B4838">
            <v>3195.14</v>
          </cell>
          <cell r="C4838">
            <v>3339.02</v>
          </cell>
          <cell r="D4838">
            <v>292.13</v>
          </cell>
          <cell r="E4838">
            <v>307.49</v>
          </cell>
          <cell r="F4838">
            <v>330.37</v>
          </cell>
          <cell r="G4838">
            <v>272.54000000000002</v>
          </cell>
          <cell r="H4838">
            <v>6236.1</v>
          </cell>
          <cell r="I4838">
            <v>373.6</v>
          </cell>
        </row>
        <row r="4839">
          <cell r="A4839">
            <v>38611</v>
          </cell>
          <cell r="B4839">
            <v>3212.96</v>
          </cell>
          <cell r="C4839">
            <v>3366.57</v>
          </cell>
          <cell r="D4839">
            <v>293.88</v>
          </cell>
          <cell r="E4839">
            <v>309.8</v>
          </cell>
          <cell r="F4839">
            <v>332.62</v>
          </cell>
          <cell r="G4839">
            <v>273.8</v>
          </cell>
          <cell r="H4839">
            <v>6253.11</v>
          </cell>
          <cell r="I4839">
            <v>373.86</v>
          </cell>
        </row>
        <row r="4840">
          <cell r="A4840">
            <v>38614</v>
          </cell>
          <cell r="B4840">
            <v>3224.72</v>
          </cell>
          <cell r="C4840">
            <v>3356.28</v>
          </cell>
          <cell r="D4840">
            <v>294.60000000000002</v>
          </cell>
          <cell r="E4840">
            <v>309.04000000000002</v>
          </cell>
          <cell r="F4840">
            <v>332.06</v>
          </cell>
          <cell r="G4840">
            <v>275.70999999999998</v>
          </cell>
          <cell r="H4840">
            <v>6265.14</v>
          </cell>
          <cell r="I4840">
            <v>375.03</v>
          </cell>
        </row>
        <row r="4841">
          <cell r="A4841">
            <v>38615</v>
          </cell>
          <cell r="B4841">
            <v>3228.02</v>
          </cell>
          <cell r="C4841">
            <v>3375.79</v>
          </cell>
          <cell r="D4841">
            <v>294.93</v>
          </cell>
          <cell r="E4841">
            <v>310.63</v>
          </cell>
          <cell r="F4841">
            <v>333.53</v>
          </cell>
          <cell r="G4841">
            <v>275</v>
          </cell>
          <cell r="H4841">
            <v>6265.31</v>
          </cell>
          <cell r="I4841">
            <v>375.87</v>
          </cell>
        </row>
        <row r="4842">
          <cell r="A4842">
            <v>38616</v>
          </cell>
          <cell r="B4842">
            <v>3192.71</v>
          </cell>
          <cell r="C4842">
            <v>3326.78</v>
          </cell>
          <cell r="D4842">
            <v>291.89</v>
          </cell>
          <cell r="E4842">
            <v>306.91000000000003</v>
          </cell>
          <cell r="F4842">
            <v>329.84</v>
          </cell>
          <cell r="G4842">
            <v>272.58999999999997</v>
          </cell>
          <cell r="H4842">
            <v>6223.93</v>
          </cell>
          <cell r="I4842">
            <v>373.08</v>
          </cell>
        </row>
        <row r="4843">
          <cell r="A4843">
            <v>38617</v>
          </cell>
          <cell r="B4843">
            <v>3183.99</v>
          </cell>
          <cell r="C4843">
            <v>3312.26</v>
          </cell>
          <cell r="D4843">
            <v>290.83999999999997</v>
          </cell>
          <cell r="E4843">
            <v>305.64</v>
          </cell>
          <cell r="F4843">
            <v>328.61</v>
          </cell>
          <cell r="G4843">
            <v>271.75</v>
          </cell>
          <cell r="H4843">
            <v>6229.52</v>
          </cell>
          <cell r="I4843">
            <v>373.76</v>
          </cell>
        </row>
        <row r="4844">
          <cell r="A4844">
            <v>38618</v>
          </cell>
          <cell r="B4844">
            <v>3197.84</v>
          </cell>
          <cell r="C4844">
            <v>3331.55</v>
          </cell>
          <cell r="D4844">
            <v>292.20999999999998</v>
          </cell>
          <cell r="E4844">
            <v>307.36</v>
          </cell>
          <cell r="F4844">
            <v>330.21</v>
          </cell>
          <cell r="G4844">
            <v>272.8</v>
          </cell>
          <cell r="H4844">
            <v>6209.11</v>
          </cell>
          <cell r="I4844">
            <v>372.94</v>
          </cell>
        </row>
        <row r="4845">
          <cell r="A4845">
            <v>38621</v>
          </cell>
          <cell r="B4845">
            <v>3244.81</v>
          </cell>
          <cell r="C4845">
            <v>3400.93</v>
          </cell>
          <cell r="D4845">
            <v>295.75</v>
          </cell>
          <cell r="E4845">
            <v>312.27999999999997</v>
          </cell>
          <cell r="F4845">
            <v>334.88</v>
          </cell>
          <cell r="G4845">
            <v>275.11</v>
          </cell>
          <cell r="H4845">
            <v>6256.45</v>
          </cell>
          <cell r="I4845">
            <v>375.69</v>
          </cell>
        </row>
        <row r="4846">
          <cell r="A4846">
            <v>38622</v>
          </cell>
          <cell r="B4846">
            <v>3234.72</v>
          </cell>
          <cell r="C4846">
            <v>3384.24</v>
          </cell>
          <cell r="D4846">
            <v>294.81</v>
          </cell>
          <cell r="E4846">
            <v>311.07</v>
          </cell>
          <cell r="F4846">
            <v>333.88</v>
          </cell>
          <cell r="G4846">
            <v>274.43</v>
          </cell>
          <cell r="H4846">
            <v>6247.87</v>
          </cell>
          <cell r="I4846">
            <v>375.12</v>
          </cell>
        </row>
        <row r="4847">
          <cell r="A4847">
            <v>38623</v>
          </cell>
          <cell r="B4847">
            <v>3267.27</v>
          </cell>
          <cell r="C4847">
            <v>3429.42</v>
          </cell>
          <cell r="D4847">
            <v>297.33</v>
          </cell>
          <cell r="E4847">
            <v>314.42</v>
          </cell>
          <cell r="F4847">
            <v>337.31</v>
          </cell>
          <cell r="G4847">
            <v>276.19</v>
          </cell>
          <cell r="H4847">
            <v>6303.15</v>
          </cell>
          <cell r="I4847">
            <v>377.92</v>
          </cell>
        </row>
        <row r="4848">
          <cell r="A4848">
            <v>38624</v>
          </cell>
          <cell r="B4848">
            <v>3253.22</v>
          </cell>
          <cell r="C4848">
            <v>3412.75</v>
          </cell>
          <cell r="D4848">
            <v>296.32</v>
          </cell>
          <cell r="E4848">
            <v>313.29000000000002</v>
          </cell>
          <cell r="F4848">
            <v>336.2</v>
          </cell>
          <cell r="G4848">
            <v>275.31</v>
          </cell>
          <cell r="H4848">
            <v>6331.25</v>
          </cell>
          <cell r="I4848">
            <v>379.3</v>
          </cell>
        </row>
        <row r="4849">
          <cell r="A4849">
            <v>38625</v>
          </cell>
          <cell r="B4849">
            <v>3261.3</v>
          </cell>
          <cell r="C4849">
            <v>3428.51</v>
          </cell>
          <cell r="D4849">
            <v>297.39999999999998</v>
          </cell>
          <cell r="E4849">
            <v>314.81</v>
          </cell>
          <cell r="F4849">
            <v>337.99</v>
          </cell>
          <cell r="G4849">
            <v>276</v>
          </cell>
          <cell r="H4849">
            <v>6367.56</v>
          </cell>
          <cell r="I4849">
            <v>381.95</v>
          </cell>
        </row>
        <row r="4850">
          <cell r="A4850">
            <v>38628</v>
          </cell>
          <cell r="B4850">
            <v>3290.56</v>
          </cell>
          <cell r="C4850">
            <v>3449.34</v>
          </cell>
          <cell r="D4850">
            <v>299.75</v>
          </cell>
          <cell r="E4850">
            <v>316.73</v>
          </cell>
          <cell r="F4850">
            <v>340.57</v>
          </cell>
          <cell r="G4850">
            <v>278.64999999999998</v>
          </cell>
          <cell r="H4850">
            <v>6413.61</v>
          </cell>
          <cell r="I4850">
            <v>384.84</v>
          </cell>
        </row>
        <row r="4851">
          <cell r="A4851">
            <v>38629</v>
          </cell>
          <cell r="B4851">
            <v>3296.04</v>
          </cell>
          <cell r="C4851">
            <v>3464.23</v>
          </cell>
          <cell r="D4851">
            <v>300.61</v>
          </cell>
          <cell r="E4851">
            <v>318.22000000000003</v>
          </cell>
          <cell r="F4851">
            <v>341.94</v>
          </cell>
          <cell r="G4851">
            <v>278.97000000000003</v>
          </cell>
          <cell r="H4851">
            <v>6398.04</v>
          </cell>
          <cell r="I4851">
            <v>383.94</v>
          </cell>
        </row>
        <row r="4852">
          <cell r="A4852">
            <v>38630</v>
          </cell>
          <cell r="B4852">
            <v>3256.37</v>
          </cell>
          <cell r="C4852">
            <v>3418.84</v>
          </cell>
          <cell r="D4852">
            <v>297.52</v>
          </cell>
          <cell r="E4852">
            <v>314.89999999999998</v>
          </cell>
          <cell r="F4852">
            <v>339.04</v>
          </cell>
          <cell r="G4852">
            <v>276.14</v>
          </cell>
          <cell r="H4852">
            <v>6351.8</v>
          </cell>
          <cell r="I4852">
            <v>381.17</v>
          </cell>
        </row>
        <row r="4853">
          <cell r="A4853">
            <v>38631</v>
          </cell>
          <cell r="B4853">
            <v>3215.77</v>
          </cell>
          <cell r="C4853">
            <v>3384.15</v>
          </cell>
          <cell r="D4853">
            <v>293.42</v>
          </cell>
          <cell r="E4853">
            <v>311.56</v>
          </cell>
          <cell r="F4853">
            <v>335.22</v>
          </cell>
          <cell r="G4853">
            <v>271.52999999999997</v>
          </cell>
          <cell r="H4853">
            <v>6257.99</v>
          </cell>
          <cell r="I4853">
            <v>374.95</v>
          </cell>
        </row>
        <row r="4854">
          <cell r="A4854">
            <v>38632</v>
          </cell>
          <cell r="B4854">
            <v>3204.9</v>
          </cell>
          <cell r="C4854">
            <v>3374.1</v>
          </cell>
          <cell r="D4854">
            <v>292.07</v>
          </cell>
          <cell r="E4854">
            <v>310.68</v>
          </cell>
          <cell r="F4854">
            <v>334.39</v>
          </cell>
          <cell r="G4854">
            <v>269.81</v>
          </cell>
          <cell r="H4854">
            <v>6240.33</v>
          </cell>
          <cell r="I4854">
            <v>373.74</v>
          </cell>
        </row>
        <row r="4855">
          <cell r="A4855">
            <v>38635</v>
          </cell>
          <cell r="B4855">
            <v>3212.69</v>
          </cell>
          <cell r="C4855">
            <v>3381.17</v>
          </cell>
          <cell r="D4855">
            <v>292.87</v>
          </cell>
          <cell r="E4855">
            <v>311.33999999999997</v>
          </cell>
          <cell r="F4855">
            <v>335.1</v>
          </cell>
          <cell r="G4855">
            <v>270.7</v>
          </cell>
          <cell r="H4855">
            <v>6269.72</v>
          </cell>
          <cell r="I4855">
            <v>375.3</v>
          </cell>
        </row>
        <row r="4856">
          <cell r="A4856">
            <v>38636</v>
          </cell>
          <cell r="B4856">
            <v>3219.54</v>
          </cell>
          <cell r="C4856">
            <v>3387.46</v>
          </cell>
          <cell r="D4856">
            <v>293.54000000000002</v>
          </cell>
          <cell r="E4856">
            <v>311.93</v>
          </cell>
          <cell r="F4856">
            <v>335.84</v>
          </cell>
          <cell r="G4856">
            <v>271.43</v>
          </cell>
          <cell r="H4856">
            <v>6296.88</v>
          </cell>
          <cell r="I4856">
            <v>376.77</v>
          </cell>
        </row>
        <row r="4857">
          <cell r="A4857">
            <v>38637</v>
          </cell>
          <cell r="B4857">
            <v>3198.6</v>
          </cell>
          <cell r="C4857">
            <v>3359.85</v>
          </cell>
          <cell r="D4857">
            <v>291.44</v>
          </cell>
          <cell r="E4857">
            <v>309.58999999999997</v>
          </cell>
          <cell r="F4857">
            <v>333.34</v>
          </cell>
          <cell r="G4857">
            <v>269.57</v>
          </cell>
          <cell r="H4857">
            <v>6243.8</v>
          </cell>
          <cell r="I4857">
            <v>374.03</v>
          </cell>
        </row>
        <row r="4858">
          <cell r="A4858">
            <v>38638</v>
          </cell>
          <cell r="B4858">
            <v>3171.8</v>
          </cell>
          <cell r="C4858">
            <v>3331.42</v>
          </cell>
          <cell r="D4858">
            <v>288.44</v>
          </cell>
          <cell r="E4858">
            <v>306.36</v>
          </cell>
          <cell r="F4858">
            <v>329.58</v>
          </cell>
          <cell r="G4858">
            <v>266.83999999999997</v>
          </cell>
          <cell r="H4858">
            <v>6121.65</v>
          </cell>
          <cell r="I4858">
            <v>366.6</v>
          </cell>
        </row>
        <row r="4859">
          <cell r="A4859">
            <v>38639</v>
          </cell>
          <cell r="B4859">
            <v>3177.55</v>
          </cell>
          <cell r="C4859">
            <v>3349.58</v>
          </cell>
          <cell r="D4859">
            <v>288.91000000000003</v>
          </cell>
          <cell r="E4859">
            <v>307.44</v>
          </cell>
          <cell r="F4859">
            <v>330.36</v>
          </cell>
          <cell r="G4859">
            <v>266.81</v>
          </cell>
          <cell r="H4859">
            <v>6111.31</v>
          </cell>
          <cell r="I4859">
            <v>365.62</v>
          </cell>
        </row>
        <row r="4860">
          <cell r="A4860">
            <v>38642</v>
          </cell>
          <cell r="B4860">
            <v>3180.38</v>
          </cell>
          <cell r="C4860">
            <v>3356.77</v>
          </cell>
          <cell r="D4860">
            <v>288.83</v>
          </cell>
          <cell r="E4860">
            <v>307.73</v>
          </cell>
          <cell r="F4860">
            <v>330.6</v>
          </cell>
          <cell r="G4860">
            <v>266.41000000000003</v>
          </cell>
          <cell r="H4860">
            <v>6109.42</v>
          </cell>
          <cell r="I4860">
            <v>365.97</v>
          </cell>
        </row>
        <row r="4861">
          <cell r="A4861">
            <v>38643</v>
          </cell>
          <cell r="B4861">
            <v>3178.41</v>
          </cell>
          <cell r="C4861">
            <v>3334.79</v>
          </cell>
          <cell r="D4861">
            <v>288.26</v>
          </cell>
          <cell r="E4861">
            <v>306.01</v>
          </cell>
          <cell r="F4861">
            <v>329.38</v>
          </cell>
          <cell r="G4861">
            <v>266.8</v>
          </cell>
          <cell r="H4861">
            <v>6078.5</v>
          </cell>
          <cell r="I4861">
            <v>364.18</v>
          </cell>
        </row>
        <row r="4862">
          <cell r="A4862">
            <v>38644</v>
          </cell>
          <cell r="B4862">
            <v>3128.38</v>
          </cell>
          <cell r="C4862">
            <v>3279.61</v>
          </cell>
          <cell r="D4862">
            <v>283.26</v>
          </cell>
          <cell r="E4862">
            <v>300.33</v>
          </cell>
          <cell r="F4862">
            <v>323.31</v>
          </cell>
          <cell r="G4862">
            <v>262.48</v>
          </cell>
          <cell r="H4862">
            <v>5967.08</v>
          </cell>
          <cell r="I4862">
            <v>357.18</v>
          </cell>
        </row>
        <row r="4863">
          <cell r="A4863">
            <v>38645</v>
          </cell>
          <cell r="B4863">
            <v>3141.49</v>
          </cell>
          <cell r="C4863">
            <v>3284.78</v>
          </cell>
          <cell r="D4863">
            <v>284.56</v>
          </cell>
          <cell r="E4863">
            <v>300.95</v>
          </cell>
          <cell r="F4863">
            <v>324.60000000000002</v>
          </cell>
          <cell r="G4863">
            <v>264.3</v>
          </cell>
          <cell r="H4863">
            <v>5970.69</v>
          </cell>
          <cell r="I4863">
            <v>356.09</v>
          </cell>
        </row>
        <row r="4864">
          <cell r="A4864">
            <v>38646</v>
          </cell>
          <cell r="B4864">
            <v>3128.14</v>
          </cell>
          <cell r="C4864">
            <v>3271.05</v>
          </cell>
          <cell r="D4864">
            <v>283.27999999999997</v>
          </cell>
          <cell r="E4864">
            <v>299.64</v>
          </cell>
          <cell r="F4864">
            <v>323.13</v>
          </cell>
          <cell r="G4864">
            <v>263.08</v>
          </cell>
          <cell r="H4864">
            <v>5913.45</v>
          </cell>
          <cell r="I4864">
            <v>352.85</v>
          </cell>
        </row>
        <row r="4865">
          <cell r="A4865">
            <v>38649</v>
          </cell>
          <cell r="B4865">
            <v>3162.4</v>
          </cell>
          <cell r="C4865">
            <v>3310.13</v>
          </cell>
          <cell r="D4865">
            <v>286.61</v>
          </cell>
          <cell r="E4865">
            <v>303.17</v>
          </cell>
          <cell r="F4865">
            <v>326.82</v>
          </cell>
          <cell r="G4865">
            <v>266.17</v>
          </cell>
          <cell r="H4865">
            <v>5969.9</v>
          </cell>
          <cell r="I4865">
            <v>356.88</v>
          </cell>
        </row>
        <row r="4866">
          <cell r="A4866">
            <v>38650</v>
          </cell>
          <cell r="B4866">
            <v>3149.74</v>
          </cell>
          <cell r="C4866">
            <v>3292.52</v>
          </cell>
          <cell r="D4866">
            <v>285.77</v>
          </cell>
          <cell r="E4866">
            <v>302.02</v>
          </cell>
          <cell r="F4866">
            <v>326.31</v>
          </cell>
          <cell r="G4866">
            <v>265.60000000000002</v>
          </cell>
          <cell r="H4866">
            <v>6028.11</v>
          </cell>
          <cell r="I4866">
            <v>359.76</v>
          </cell>
        </row>
        <row r="4867">
          <cell r="A4867">
            <v>38651</v>
          </cell>
          <cell r="B4867">
            <v>3165.29</v>
          </cell>
          <cell r="C4867">
            <v>3304.27</v>
          </cell>
          <cell r="D4867">
            <v>286.91000000000003</v>
          </cell>
          <cell r="E4867">
            <v>302.99</v>
          </cell>
          <cell r="F4867">
            <v>327.37</v>
          </cell>
          <cell r="G4867">
            <v>266.86</v>
          </cell>
          <cell r="H4867">
            <v>6058.6</v>
          </cell>
          <cell r="I4867">
            <v>361.52</v>
          </cell>
        </row>
        <row r="4868">
          <cell r="A4868">
            <v>38652</v>
          </cell>
          <cell r="B4868">
            <v>3123.82</v>
          </cell>
          <cell r="C4868">
            <v>3241.14</v>
          </cell>
          <cell r="D4868">
            <v>283.11</v>
          </cell>
          <cell r="E4868">
            <v>297.97000000000003</v>
          </cell>
          <cell r="F4868">
            <v>322.60000000000002</v>
          </cell>
          <cell r="G4868">
            <v>264.14999999999998</v>
          </cell>
          <cell r="H4868">
            <v>6000.88</v>
          </cell>
          <cell r="I4868">
            <v>357.3</v>
          </cell>
        </row>
        <row r="4869">
          <cell r="A4869">
            <v>38653</v>
          </cell>
          <cell r="B4869">
            <v>3131.63</v>
          </cell>
          <cell r="C4869">
            <v>3245.98</v>
          </cell>
          <cell r="D4869">
            <v>283.52</v>
          </cell>
          <cell r="E4869">
            <v>298.11</v>
          </cell>
          <cell r="F4869">
            <v>322.41000000000003</v>
          </cell>
          <cell r="G4869">
            <v>264.76</v>
          </cell>
          <cell r="H4869">
            <v>5996.53</v>
          </cell>
          <cell r="I4869">
            <v>356.96</v>
          </cell>
        </row>
        <row r="4870">
          <cell r="A4870">
            <v>38656</v>
          </cell>
          <cell r="B4870">
            <v>3201.79</v>
          </cell>
          <cell r="C4870">
            <v>3320.15</v>
          </cell>
          <cell r="D4870">
            <v>290.29000000000002</v>
          </cell>
          <cell r="E4870">
            <v>304.52999999999997</v>
          </cell>
          <cell r="F4870">
            <v>329.43</v>
          </cell>
          <cell r="G4870">
            <v>271.66000000000003</v>
          </cell>
          <cell r="H4870">
            <v>6152.46</v>
          </cell>
          <cell r="I4870">
            <v>366.37</v>
          </cell>
        </row>
        <row r="4871">
          <cell r="A4871">
            <v>38657</v>
          </cell>
          <cell r="B4871">
            <v>3199.71</v>
          </cell>
          <cell r="C4871">
            <v>3312.45</v>
          </cell>
          <cell r="D4871">
            <v>290.45</v>
          </cell>
          <cell r="E4871">
            <v>304.5</v>
          </cell>
          <cell r="F4871">
            <v>329.79</v>
          </cell>
          <cell r="G4871">
            <v>271.97000000000003</v>
          </cell>
          <cell r="H4871">
            <v>6164.79</v>
          </cell>
          <cell r="I4871">
            <v>366.92</v>
          </cell>
        </row>
        <row r="4872">
          <cell r="A4872">
            <v>38658</v>
          </cell>
          <cell r="B4872">
            <v>3211.04</v>
          </cell>
          <cell r="C4872">
            <v>3320.62</v>
          </cell>
          <cell r="D4872">
            <v>291.55</v>
          </cell>
          <cell r="E4872">
            <v>305.33999999999997</v>
          </cell>
          <cell r="F4872">
            <v>330.78</v>
          </cell>
          <cell r="G4872">
            <v>273.27</v>
          </cell>
          <cell r="H4872">
            <v>6162.26</v>
          </cell>
          <cell r="I4872">
            <v>366.82</v>
          </cell>
        </row>
        <row r="4873">
          <cell r="A4873">
            <v>38659</v>
          </cell>
          <cell r="B4873">
            <v>3262.36</v>
          </cell>
          <cell r="C4873">
            <v>3361.64</v>
          </cell>
          <cell r="D4873">
            <v>295.88</v>
          </cell>
          <cell r="E4873">
            <v>308.89</v>
          </cell>
          <cell r="F4873">
            <v>334.86</v>
          </cell>
          <cell r="G4873">
            <v>278.13</v>
          </cell>
          <cell r="H4873">
            <v>6263.32</v>
          </cell>
          <cell r="I4873">
            <v>372.66</v>
          </cell>
        </row>
        <row r="4874">
          <cell r="A4874">
            <v>38660</v>
          </cell>
          <cell r="B4874">
            <v>3257.68</v>
          </cell>
          <cell r="C4874">
            <v>3355.28</v>
          </cell>
          <cell r="D4874">
            <v>295.51</v>
          </cell>
          <cell r="E4874">
            <v>308.32</v>
          </cell>
          <cell r="F4874">
            <v>334.34</v>
          </cell>
          <cell r="G4874">
            <v>277.94</v>
          </cell>
          <cell r="H4874">
            <v>6264.09</v>
          </cell>
          <cell r="I4874">
            <v>373.17</v>
          </cell>
        </row>
        <row r="4875">
          <cell r="A4875">
            <v>38663</v>
          </cell>
          <cell r="B4875">
            <v>3268.15</v>
          </cell>
          <cell r="C4875">
            <v>3362.83</v>
          </cell>
          <cell r="D4875">
            <v>296.67</v>
          </cell>
          <cell r="E4875">
            <v>309.2</v>
          </cell>
          <cell r="F4875">
            <v>335.48</v>
          </cell>
          <cell r="G4875">
            <v>279.29000000000002</v>
          </cell>
          <cell r="H4875">
            <v>6270.38</v>
          </cell>
          <cell r="I4875">
            <v>373.23</v>
          </cell>
        </row>
        <row r="4876">
          <cell r="A4876">
            <v>38664</v>
          </cell>
          <cell r="B4876">
            <v>3271.57</v>
          </cell>
          <cell r="C4876">
            <v>3361.75</v>
          </cell>
          <cell r="D4876">
            <v>296.81</v>
          </cell>
          <cell r="E4876">
            <v>309.11</v>
          </cell>
          <cell r="F4876">
            <v>335.49</v>
          </cell>
          <cell r="G4876">
            <v>279.62</v>
          </cell>
          <cell r="H4876">
            <v>6281.18</v>
          </cell>
          <cell r="I4876">
            <v>373.32</v>
          </cell>
        </row>
        <row r="4877">
          <cell r="A4877">
            <v>38665</v>
          </cell>
          <cell r="B4877">
            <v>3264.41</v>
          </cell>
          <cell r="C4877">
            <v>3355.77</v>
          </cell>
          <cell r="D4877">
            <v>296.52</v>
          </cell>
          <cell r="E4877">
            <v>308.92</v>
          </cell>
          <cell r="F4877">
            <v>335.2</v>
          </cell>
          <cell r="G4877">
            <v>279.26</v>
          </cell>
          <cell r="H4877">
            <v>6278.39</v>
          </cell>
          <cell r="I4877">
            <v>373.33</v>
          </cell>
        </row>
        <row r="4878">
          <cell r="A4878">
            <v>38666</v>
          </cell>
          <cell r="B4878">
            <v>3260.79</v>
          </cell>
          <cell r="C4878">
            <v>3361.05</v>
          </cell>
          <cell r="D4878">
            <v>296.72000000000003</v>
          </cell>
          <cell r="E4878">
            <v>309.11</v>
          </cell>
          <cell r="F4878">
            <v>335.44</v>
          </cell>
          <cell r="G4878">
            <v>279.45999999999998</v>
          </cell>
          <cell r="H4878">
            <v>6258.42</v>
          </cell>
          <cell r="I4878">
            <v>372.53</v>
          </cell>
        </row>
        <row r="4879">
          <cell r="A4879">
            <v>38667</v>
          </cell>
          <cell r="B4879">
            <v>3296.75</v>
          </cell>
          <cell r="C4879">
            <v>3406.23</v>
          </cell>
          <cell r="D4879">
            <v>299.85000000000002</v>
          </cell>
          <cell r="E4879">
            <v>312.8</v>
          </cell>
          <cell r="F4879">
            <v>339.58</v>
          </cell>
          <cell r="G4879">
            <v>282.05</v>
          </cell>
          <cell r="H4879">
            <v>6338.55</v>
          </cell>
          <cell r="I4879">
            <v>377.08</v>
          </cell>
        </row>
        <row r="4880">
          <cell r="A4880">
            <v>38670</v>
          </cell>
          <cell r="B4880">
            <v>3295.79</v>
          </cell>
          <cell r="C4880">
            <v>3412.19</v>
          </cell>
          <cell r="D4880">
            <v>299.91000000000003</v>
          </cell>
          <cell r="E4880">
            <v>313.26</v>
          </cell>
          <cell r="F4880">
            <v>339.67</v>
          </cell>
          <cell r="G4880">
            <v>281.79000000000002</v>
          </cell>
          <cell r="H4880">
            <v>6358.28</v>
          </cell>
          <cell r="I4880">
            <v>378.12</v>
          </cell>
        </row>
        <row r="4881">
          <cell r="A4881">
            <v>38671</v>
          </cell>
          <cell r="B4881">
            <v>3281.47</v>
          </cell>
          <cell r="C4881">
            <v>3413.96</v>
          </cell>
          <cell r="D4881">
            <v>299.02</v>
          </cell>
          <cell r="E4881">
            <v>313.10000000000002</v>
          </cell>
          <cell r="F4881">
            <v>339.3</v>
          </cell>
          <cell r="G4881">
            <v>280.32</v>
          </cell>
          <cell r="H4881">
            <v>6309.98</v>
          </cell>
          <cell r="I4881">
            <v>375.12</v>
          </cell>
        </row>
        <row r="4882">
          <cell r="A4882">
            <v>38672</v>
          </cell>
          <cell r="B4882">
            <v>3252.85</v>
          </cell>
          <cell r="C4882">
            <v>3391.59</v>
          </cell>
          <cell r="D4882">
            <v>296.74</v>
          </cell>
          <cell r="E4882">
            <v>311.55</v>
          </cell>
          <cell r="F4882">
            <v>337.46</v>
          </cell>
          <cell r="G4882">
            <v>277.5</v>
          </cell>
          <cell r="H4882">
            <v>6304.91</v>
          </cell>
          <cell r="I4882">
            <v>373.9</v>
          </cell>
        </row>
        <row r="4883">
          <cell r="A4883">
            <v>38673</v>
          </cell>
          <cell r="B4883">
            <v>3265.07</v>
          </cell>
          <cell r="C4883">
            <v>3404.12</v>
          </cell>
          <cell r="D4883">
            <v>298.02999999999997</v>
          </cell>
          <cell r="E4883">
            <v>312.92</v>
          </cell>
          <cell r="F4883">
            <v>339.19</v>
          </cell>
          <cell r="G4883">
            <v>278.69</v>
          </cell>
          <cell r="H4883">
            <v>6344.44</v>
          </cell>
          <cell r="I4883">
            <v>376.27</v>
          </cell>
        </row>
        <row r="4884">
          <cell r="A4884">
            <v>38674</v>
          </cell>
          <cell r="B4884">
            <v>3287.7</v>
          </cell>
          <cell r="C4884">
            <v>3427.18</v>
          </cell>
          <cell r="D4884">
            <v>299.87</v>
          </cell>
          <cell r="E4884">
            <v>314.77</v>
          </cell>
          <cell r="F4884">
            <v>341.56</v>
          </cell>
          <cell r="G4884">
            <v>280.48</v>
          </cell>
          <cell r="H4884">
            <v>6368.8</v>
          </cell>
          <cell r="I4884">
            <v>377.78</v>
          </cell>
        </row>
        <row r="4885">
          <cell r="A4885">
            <v>38677</v>
          </cell>
          <cell r="B4885">
            <v>3296.16</v>
          </cell>
          <cell r="C4885">
            <v>3450.01</v>
          </cell>
          <cell r="D4885">
            <v>300.72000000000003</v>
          </cell>
          <cell r="E4885">
            <v>316.18</v>
          </cell>
          <cell r="F4885">
            <v>343.06</v>
          </cell>
          <cell r="G4885">
            <v>280.85000000000002</v>
          </cell>
          <cell r="H4885">
            <v>6411.11</v>
          </cell>
          <cell r="I4885">
            <v>379.93</v>
          </cell>
        </row>
        <row r="4886">
          <cell r="A4886">
            <v>38678</v>
          </cell>
          <cell r="B4886">
            <v>3301.29</v>
          </cell>
          <cell r="C4886">
            <v>3450.51</v>
          </cell>
          <cell r="D4886">
            <v>300.95999999999998</v>
          </cell>
          <cell r="E4886">
            <v>316.35000000000002</v>
          </cell>
          <cell r="F4886">
            <v>343.33</v>
          </cell>
          <cell r="G4886">
            <v>281.14</v>
          </cell>
          <cell r="H4886">
            <v>6411.15</v>
          </cell>
          <cell r="I4886">
            <v>380.14</v>
          </cell>
        </row>
        <row r="4887">
          <cell r="A4887">
            <v>38679</v>
          </cell>
          <cell r="B4887">
            <v>3312.84</v>
          </cell>
          <cell r="C4887">
            <v>3471.43</v>
          </cell>
          <cell r="D4887">
            <v>302.19</v>
          </cell>
          <cell r="E4887">
            <v>318.16000000000003</v>
          </cell>
          <cell r="F4887">
            <v>345.02</v>
          </cell>
          <cell r="G4887">
            <v>281.86</v>
          </cell>
          <cell r="H4887">
            <v>6437.81</v>
          </cell>
          <cell r="I4887">
            <v>382.02</v>
          </cell>
        </row>
        <row r="4888">
          <cell r="A4888">
            <v>38680</v>
          </cell>
          <cell r="B4888">
            <v>3302.73</v>
          </cell>
          <cell r="C4888">
            <v>3459.15</v>
          </cell>
          <cell r="D4888">
            <v>301.43</v>
          </cell>
          <cell r="E4888">
            <v>317.33999999999997</v>
          </cell>
          <cell r="F4888">
            <v>344.01</v>
          </cell>
          <cell r="G4888">
            <v>281.17</v>
          </cell>
          <cell r="H4888">
            <v>6404.89</v>
          </cell>
          <cell r="I4888">
            <v>379.89</v>
          </cell>
        </row>
        <row r="4889">
          <cell r="A4889">
            <v>38681</v>
          </cell>
          <cell r="B4889">
            <v>3311.52</v>
          </cell>
          <cell r="C4889">
            <v>3466.08</v>
          </cell>
          <cell r="D4889">
            <v>302.31</v>
          </cell>
          <cell r="E4889">
            <v>318.10000000000002</v>
          </cell>
          <cell r="F4889">
            <v>345.11</v>
          </cell>
          <cell r="G4889">
            <v>282.13</v>
          </cell>
          <cell r="H4889">
            <v>6445.65</v>
          </cell>
          <cell r="I4889">
            <v>382.29</v>
          </cell>
        </row>
        <row r="4890">
          <cell r="A4890">
            <v>38684</v>
          </cell>
          <cell r="B4890">
            <v>3280.47</v>
          </cell>
          <cell r="C4890">
            <v>3453.11</v>
          </cell>
          <cell r="D4890">
            <v>300.27999999999997</v>
          </cell>
          <cell r="E4890">
            <v>316.89999999999998</v>
          </cell>
          <cell r="F4890">
            <v>343.57</v>
          </cell>
          <cell r="G4890">
            <v>279.47000000000003</v>
          </cell>
          <cell r="H4890">
            <v>6439.44</v>
          </cell>
          <cell r="I4890">
            <v>381.13</v>
          </cell>
        </row>
        <row r="4891">
          <cell r="A4891">
            <v>38685</v>
          </cell>
          <cell r="B4891">
            <v>3286.86</v>
          </cell>
          <cell r="C4891">
            <v>3463.67</v>
          </cell>
          <cell r="D4891">
            <v>300.95</v>
          </cell>
          <cell r="E4891">
            <v>317.66000000000003</v>
          </cell>
          <cell r="F4891">
            <v>344.04</v>
          </cell>
          <cell r="G4891">
            <v>280.06</v>
          </cell>
          <cell r="H4891">
            <v>6397.54</v>
          </cell>
          <cell r="I4891">
            <v>378.65</v>
          </cell>
        </row>
        <row r="4892">
          <cell r="A4892">
            <v>38686</v>
          </cell>
          <cell r="B4892">
            <v>3264.53</v>
          </cell>
          <cell r="C4892">
            <v>3447.07</v>
          </cell>
          <cell r="D4892">
            <v>299.47000000000003</v>
          </cell>
          <cell r="E4892">
            <v>316.42</v>
          </cell>
          <cell r="F4892">
            <v>342.54</v>
          </cell>
          <cell r="G4892">
            <v>278.42</v>
          </cell>
          <cell r="H4892">
            <v>6353.18</v>
          </cell>
          <cell r="I4892">
            <v>376.4</v>
          </cell>
        </row>
        <row r="4893">
          <cell r="A4893">
            <v>38687</v>
          </cell>
          <cell r="B4893">
            <v>3323.37</v>
          </cell>
          <cell r="C4893">
            <v>3501.54</v>
          </cell>
          <cell r="D4893">
            <v>304.31</v>
          </cell>
          <cell r="E4893">
            <v>320.83</v>
          </cell>
          <cell r="F4893">
            <v>347.73</v>
          </cell>
          <cell r="G4893">
            <v>283.48</v>
          </cell>
          <cell r="H4893">
            <v>6473.89</v>
          </cell>
          <cell r="I4893">
            <v>383.15</v>
          </cell>
        </row>
        <row r="4894">
          <cell r="A4894">
            <v>38688</v>
          </cell>
          <cell r="B4894">
            <v>3345.55</v>
          </cell>
          <cell r="C4894">
            <v>3519.66</v>
          </cell>
          <cell r="D4894">
            <v>306.68</v>
          </cell>
          <cell r="E4894">
            <v>322.52999999999997</v>
          </cell>
          <cell r="F4894">
            <v>350.05</v>
          </cell>
          <cell r="G4894">
            <v>286.35000000000002</v>
          </cell>
          <cell r="H4894">
            <v>6556.96</v>
          </cell>
          <cell r="I4894">
            <v>387.48</v>
          </cell>
        </row>
        <row r="4895">
          <cell r="A4895">
            <v>38691</v>
          </cell>
          <cell r="B4895">
            <v>3330.5</v>
          </cell>
          <cell r="C4895">
            <v>3499.4</v>
          </cell>
          <cell r="D4895">
            <v>305.49</v>
          </cell>
          <cell r="E4895">
            <v>321.31</v>
          </cell>
          <cell r="F4895">
            <v>348.95</v>
          </cell>
          <cell r="G4895">
            <v>285.20999999999998</v>
          </cell>
          <cell r="H4895">
            <v>6542.69</v>
          </cell>
          <cell r="I4895">
            <v>386.74</v>
          </cell>
        </row>
        <row r="4896">
          <cell r="A4896">
            <v>38692</v>
          </cell>
          <cell r="B4896">
            <v>3351.31</v>
          </cell>
          <cell r="C4896">
            <v>3516.84</v>
          </cell>
          <cell r="D4896">
            <v>307.10000000000002</v>
          </cell>
          <cell r="E4896">
            <v>322.92</v>
          </cell>
          <cell r="F4896">
            <v>350.97</v>
          </cell>
          <cell r="G4896">
            <v>286.77999999999997</v>
          </cell>
          <cell r="H4896">
            <v>6611.08</v>
          </cell>
          <cell r="I4896">
            <v>390.38</v>
          </cell>
        </row>
        <row r="4897">
          <cell r="A4897">
            <v>38693</v>
          </cell>
          <cell r="B4897">
            <v>3346.64</v>
          </cell>
          <cell r="C4897">
            <v>3505.34</v>
          </cell>
          <cell r="D4897">
            <v>306.77999999999997</v>
          </cell>
          <cell r="E4897">
            <v>322.3</v>
          </cell>
          <cell r="F4897">
            <v>350.37</v>
          </cell>
          <cell r="G4897">
            <v>286.72000000000003</v>
          </cell>
          <cell r="H4897">
            <v>6648.16</v>
          </cell>
          <cell r="I4897">
            <v>393.07</v>
          </cell>
        </row>
        <row r="4898">
          <cell r="A4898">
            <v>38694</v>
          </cell>
          <cell r="B4898">
            <v>3349.1</v>
          </cell>
          <cell r="C4898">
            <v>3510.38</v>
          </cell>
          <cell r="D4898">
            <v>306.92</v>
          </cell>
          <cell r="E4898">
            <v>322.77999999999997</v>
          </cell>
          <cell r="F4898">
            <v>350.53</v>
          </cell>
          <cell r="G4898">
            <v>286.58</v>
          </cell>
          <cell r="H4898">
            <v>6651.72</v>
          </cell>
          <cell r="I4898">
            <v>393.21</v>
          </cell>
        </row>
        <row r="4899">
          <cell r="A4899">
            <v>38695</v>
          </cell>
          <cell r="B4899">
            <v>3343.57</v>
          </cell>
          <cell r="C4899">
            <v>3500.8</v>
          </cell>
          <cell r="D4899">
            <v>306.86</v>
          </cell>
          <cell r="E4899">
            <v>322.3</v>
          </cell>
          <cell r="F4899">
            <v>350.18</v>
          </cell>
          <cell r="G4899">
            <v>286.86</v>
          </cell>
          <cell r="H4899">
            <v>6647.24</v>
          </cell>
          <cell r="I4899">
            <v>393.07</v>
          </cell>
        </row>
        <row r="4900">
          <cell r="A4900">
            <v>38698</v>
          </cell>
          <cell r="B4900">
            <v>3339.08</v>
          </cell>
          <cell r="C4900">
            <v>3514.07</v>
          </cell>
          <cell r="D4900">
            <v>306.8</v>
          </cell>
          <cell r="E4900">
            <v>323.22000000000003</v>
          </cell>
          <cell r="F4900">
            <v>350.69</v>
          </cell>
          <cell r="G4900">
            <v>286</v>
          </cell>
          <cell r="H4900">
            <v>6625.9</v>
          </cell>
          <cell r="I4900">
            <v>391.77</v>
          </cell>
        </row>
        <row r="4901">
          <cell r="A4901">
            <v>38699</v>
          </cell>
          <cell r="B4901">
            <v>3345.9</v>
          </cell>
          <cell r="C4901">
            <v>3528.34</v>
          </cell>
          <cell r="D4901">
            <v>307.22000000000003</v>
          </cell>
          <cell r="E4901">
            <v>323.83</v>
          </cell>
          <cell r="F4901">
            <v>351.2</v>
          </cell>
          <cell r="G4901">
            <v>286.24</v>
          </cell>
          <cell r="H4901">
            <v>6636.58</v>
          </cell>
          <cell r="I4901">
            <v>392.47</v>
          </cell>
        </row>
        <row r="4902">
          <cell r="A4902">
            <v>38700</v>
          </cell>
          <cell r="B4902">
            <v>3333.92</v>
          </cell>
          <cell r="C4902">
            <v>3519.12</v>
          </cell>
          <cell r="D4902">
            <v>306.31</v>
          </cell>
          <cell r="E4902">
            <v>323.22000000000003</v>
          </cell>
          <cell r="F4902">
            <v>350.29</v>
          </cell>
          <cell r="G4902">
            <v>285.11</v>
          </cell>
          <cell r="H4902">
            <v>6621.29</v>
          </cell>
          <cell r="I4902">
            <v>392.01</v>
          </cell>
        </row>
        <row r="4903">
          <cell r="A4903">
            <v>38701</v>
          </cell>
          <cell r="B4903">
            <v>3322.82</v>
          </cell>
          <cell r="C4903">
            <v>3522.3</v>
          </cell>
          <cell r="D4903">
            <v>305.67</v>
          </cell>
          <cell r="E4903">
            <v>323.43</v>
          </cell>
          <cell r="F4903">
            <v>349.76</v>
          </cell>
          <cell r="G4903">
            <v>283.79000000000002</v>
          </cell>
          <cell r="H4903">
            <v>6573.5</v>
          </cell>
          <cell r="I4903">
            <v>389.13</v>
          </cell>
        </row>
        <row r="4904">
          <cell r="A4904">
            <v>38702</v>
          </cell>
          <cell r="B4904">
            <v>3343.69</v>
          </cell>
          <cell r="C4904">
            <v>3556.76</v>
          </cell>
          <cell r="D4904">
            <v>307.82</v>
          </cell>
          <cell r="E4904">
            <v>326.19</v>
          </cell>
          <cell r="F4904">
            <v>352.18</v>
          </cell>
          <cell r="G4904">
            <v>285.38</v>
          </cell>
          <cell r="H4904">
            <v>6616.1</v>
          </cell>
          <cell r="I4904">
            <v>391.9</v>
          </cell>
        </row>
        <row r="4905">
          <cell r="A4905">
            <v>38705</v>
          </cell>
          <cell r="B4905">
            <v>3337.61</v>
          </cell>
          <cell r="C4905">
            <v>3551.1</v>
          </cell>
          <cell r="D4905">
            <v>307.45</v>
          </cell>
          <cell r="E4905">
            <v>325.87</v>
          </cell>
          <cell r="F4905">
            <v>352.14</v>
          </cell>
          <cell r="G4905">
            <v>284.99</v>
          </cell>
          <cell r="H4905">
            <v>6626.17</v>
          </cell>
          <cell r="I4905">
            <v>392.18</v>
          </cell>
        </row>
        <row r="4906">
          <cell r="A4906">
            <v>38706</v>
          </cell>
          <cell r="B4906">
            <v>3349.22</v>
          </cell>
          <cell r="C4906">
            <v>3561.11</v>
          </cell>
          <cell r="D4906">
            <v>308.58999999999997</v>
          </cell>
          <cell r="E4906">
            <v>326.3</v>
          </cell>
          <cell r="F4906">
            <v>352.41</v>
          </cell>
          <cell r="G4906">
            <v>286.68</v>
          </cell>
          <cell r="H4906">
            <v>6631.85</v>
          </cell>
          <cell r="I4906">
            <v>392.64</v>
          </cell>
        </row>
        <row r="4907">
          <cell r="A4907">
            <v>38707</v>
          </cell>
          <cell r="B4907">
            <v>3363.54</v>
          </cell>
          <cell r="C4907">
            <v>3591.94</v>
          </cell>
          <cell r="D4907">
            <v>310.18</v>
          </cell>
          <cell r="E4907">
            <v>328.92</v>
          </cell>
          <cell r="F4907">
            <v>354.92</v>
          </cell>
          <cell r="G4907">
            <v>287.38</v>
          </cell>
          <cell r="H4907">
            <v>6661.98</v>
          </cell>
          <cell r="I4907">
            <v>394.28</v>
          </cell>
        </row>
        <row r="4908">
          <cell r="A4908">
            <v>38708</v>
          </cell>
          <cell r="B4908">
            <v>3351.6</v>
          </cell>
          <cell r="C4908">
            <v>3591.02</v>
          </cell>
          <cell r="D4908">
            <v>309.55</v>
          </cell>
          <cell r="E4908">
            <v>328.97</v>
          </cell>
          <cell r="F4908">
            <v>354.64</v>
          </cell>
          <cell r="G4908">
            <v>286.2</v>
          </cell>
          <cell r="H4908">
            <v>6662.03</v>
          </cell>
          <cell r="I4908">
            <v>394.36</v>
          </cell>
        </row>
        <row r="4909">
          <cell r="A4909">
            <v>38709</v>
          </cell>
          <cell r="B4909">
            <v>3351.06</v>
          </cell>
          <cell r="C4909">
            <v>3599.47</v>
          </cell>
          <cell r="D4909">
            <v>309.7</v>
          </cell>
          <cell r="E4909">
            <v>329.73</v>
          </cell>
          <cell r="F4909">
            <v>355.33</v>
          </cell>
          <cell r="G4909">
            <v>285.83999999999997</v>
          </cell>
          <cell r="H4909">
            <v>6716.4</v>
          </cell>
          <cell r="I4909">
            <v>397.62</v>
          </cell>
        </row>
        <row r="4910">
          <cell r="A4910">
            <v>38713</v>
          </cell>
          <cell r="B4910">
            <v>3357.87</v>
          </cell>
          <cell r="C4910">
            <v>3612.21</v>
          </cell>
          <cell r="D4910">
            <v>310.54000000000002</v>
          </cell>
          <cell r="E4910">
            <v>330.96</v>
          </cell>
          <cell r="F4910">
            <v>356.85</v>
          </cell>
          <cell r="G4910">
            <v>286.33999999999997</v>
          </cell>
          <cell r="H4910">
            <v>6752.3</v>
          </cell>
          <cell r="I4910">
            <v>399.66</v>
          </cell>
        </row>
        <row r="4911">
          <cell r="A4911">
            <v>38714</v>
          </cell>
          <cell r="B4911">
            <v>3350.41</v>
          </cell>
          <cell r="C4911">
            <v>3605.12</v>
          </cell>
          <cell r="D4911">
            <v>310.11</v>
          </cell>
          <cell r="E4911">
            <v>330.57</v>
          </cell>
          <cell r="F4911">
            <v>356.61</v>
          </cell>
          <cell r="G4911">
            <v>285.87</v>
          </cell>
          <cell r="H4911">
            <v>6750.53</v>
          </cell>
          <cell r="I4911">
            <v>399.13</v>
          </cell>
        </row>
        <row r="4912">
          <cell r="A4912">
            <v>38715</v>
          </cell>
          <cell r="B4912">
            <v>3370.84</v>
          </cell>
          <cell r="C4912">
            <v>3616.33</v>
          </cell>
          <cell r="D4912">
            <v>311.86</v>
          </cell>
          <cell r="E4912">
            <v>331.54</v>
          </cell>
          <cell r="F4912">
            <v>358.05</v>
          </cell>
          <cell r="G4912">
            <v>288.24</v>
          </cell>
          <cell r="H4912">
            <v>6778</v>
          </cell>
          <cell r="I4912">
            <v>400.79</v>
          </cell>
        </row>
        <row r="4913">
          <cell r="A4913">
            <v>38716</v>
          </cell>
          <cell r="B4913">
            <v>3349.1</v>
          </cell>
          <cell r="C4913">
            <v>3578.93</v>
          </cell>
          <cell r="D4913">
            <v>310.02999999999997</v>
          </cell>
          <cell r="E4913">
            <v>328.92</v>
          </cell>
          <cell r="F4913">
            <v>355.7</v>
          </cell>
          <cell r="G4913">
            <v>287.12</v>
          </cell>
          <cell r="H4913">
            <v>6754.78</v>
          </cell>
          <cell r="I4913">
            <v>399.42</v>
          </cell>
        </row>
        <row r="4914">
          <cell r="A4914">
            <v>38719</v>
          </cell>
          <cell r="B4914">
            <v>3359.81</v>
          </cell>
          <cell r="C4914">
            <v>3604.33</v>
          </cell>
          <cell r="D4914">
            <v>311.19</v>
          </cell>
          <cell r="E4914">
            <v>331.2</v>
          </cell>
          <cell r="F4914">
            <v>357.69</v>
          </cell>
          <cell r="G4914">
            <v>287.31</v>
          </cell>
          <cell r="H4914">
            <v>6780.8</v>
          </cell>
          <cell r="I4914">
            <v>401.15</v>
          </cell>
        </row>
        <row r="4915">
          <cell r="A4915">
            <v>38720</v>
          </cell>
          <cell r="B4915">
            <v>3379.72</v>
          </cell>
          <cell r="C4915">
            <v>3614.34</v>
          </cell>
          <cell r="D4915">
            <v>313.04000000000002</v>
          </cell>
          <cell r="E4915">
            <v>332.57</v>
          </cell>
          <cell r="F4915">
            <v>359.52</v>
          </cell>
          <cell r="G4915">
            <v>289.52</v>
          </cell>
          <cell r="H4915">
            <v>6819.82</v>
          </cell>
          <cell r="I4915">
            <v>403.83</v>
          </cell>
        </row>
        <row r="4916">
          <cell r="A4916">
            <v>38721</v>
          </cell>
          <cell r="B4916">
            <v>3415.18</v>
          </cell>
          <cell r="C4916">
            <v>3652.46</v>
          </cell>
          <cell r="D4916">
            <v>316.14</v>
          </cell>
          <cell r="E4916">
            <v>335.91</v>
          </cell>
          <cell r="F4916">
            <v>363.28</v>
          </cell>
          <cell r="G4916">
            <v>292.35000000000002</v>
          </cell>
          <cell r="H4916">
            <v>6873.21</v>
          </cell>
          <cell r="I4916">
            <v>407.52</v>
          </cell>
        </row>
        <row r="4917">
          <cell r="A4917">
            <v>38722</v>
          </cell>
          <cell r="B4917">
            <v>3406.98</v>
          </cell>
          <cell r="C4917">
            <v>3650.24</v>
          </cell>
          <cell r="D4917">
            <v>315.04000000000002</v>
          </cell>
          <cell r="E4917">
            <v>335.45</v>
          </cell>
          <cell r="F4917">
            <v>362.74</v>
          </cell>
          <cell r="G4917">
            <v>290.73</v>
          </cell>
          <cell r="H4917">
            <v>6861.48</v>
          </cell>
          <cell r="I4917">
            <v>407.16</v>
          </cell>
        </row>
        <row r="4918">
          <cell r="A4918">
            <v>38723</v>
          </cell>
          <cell r="B4918">
            <v>3434.42</v>
          </cell>
          <cell r="C4918">
            <v>3666.99</v>
          </cell>
          <cell r="D4918">
            <v>317.10000000000002</v>
          </cell>
          <cell r="E4918">
            <v>336.91</v>
          </cell>
          <cell r="F4918">
            <v>364.24</v>
          </cell>
          <cell r="G4918">
            <v>293.25</v>
          </cell>
          <cell r="H4918">
            <v>6868.36</v>
          </cell>
          <cell r="I4918">
            <v>407.62</v>
          </cell>
        </row>
        <row r="4919">
          <cell r="A4919">
            <v>38726</v>
          </cell>
          <cell r="B4919">
            <v>3442.09</v>
          </cell>
          <cell r="C4919">
            <v>3671.78</v>
          </cell>
          <cell r="D4919">
            <v>317.70999999999998</v>
          </cell>
          <cell r="E4919">
            <v>337.63</v>
          </cell>
          <cell r="F4919">
            <v>365</v>
          </cell>
          <cell r="G4919">
            <v>293.76</v>
          </cell>
          <cell r="H4919">
            <v>6915.31</v>
          </cell>
          <cell r="I4919">
            <v>410.51</v>
          </cell>
        </row>
        <row r="4920">
          <cell r="A4920">
            <v>38727</v>
          </cell>
          <cell r="B4920">
            <v>3416.24</v>
          </cell>
          <cell r="C4920">
            <v>3644.94</v>
          </cell>
          <cell r="D4920">
            <v>315.7</v>
          </cell>
          <cell r="E4920">
            <v>335.69</v>
          </cell>
          <cell r="F4920">
            <v>362.67</v>
          </cell>
          <cell r="G4920">
            <v>291.72000000000003</v>
          </cell>
          <cell r="H4920">
            <v>6835.86</v>
          </cell>
          <cell r="I4920">
            <v>406.28</v>
          </cell>
        </row>
        <row r="4921">
          <cell r="A4921">
            <v>38728</v>
          </cell>
          <cell r="B4921">
            <v>3431.62</v>
          </cell>
          <cell r="C4921">
            <v>3668.61</v>
          </cell>
          <cell r="D4921">
            <v>317.55</v>
          </cell>
          <cell r="E4921">
            <v>338.17</v>
          </cell>
          <cell r="F4921">
            <v>365.37</v>
          </cell>
          <cell r="G4921">
            <v>293.01</v>
          </cell>
          <cell r="H4921">
            <v>6855.26</v>
          </cell>
          <cell r="I4921">
            <v>407.22</v>
          </cell>
        </row>
        <row r="4922">
          <cell r="A4922">
            <v>38729</v>
          </cell>
          <cell r="B4922">
            <v>3444.1</v>
          </cell>
          <cell r="C4922">
            <v>3670.2</v>
          </cell>
          <cell r="D4922">
            <v>318.68</v>
          </cell>
          <cell r="E4922">
            <v>338.6</v>
          </cell>
          <cell r="F4922">
            <v>366.14</v>
          </cell>
          <cell r="G4922">
            <v>294.69</v>
          </cell>
          <cell r="H4922">
            <v>6871.01</v>
          </cell>
          <cell r="I4922">
            <v>407.87</v>
          </cell>
        </row>
        <row r="4923">
          <cell r="A4923">
            <v>38730</v>
          </cell>
          <cell r="B4923">
            <v>3421.37</v>
          </cell>
          <cell r="C4923">
            <v>3629.25</v>
          </cell>
          <cell r="D4923">
            <v>316.87</v>
          </cell>
          <cell r="E4923">
            <v>335.6</v>
          </cell>
          <cell r="F4923">
            <v>363.4</v>
          </cell>
          <cell r="G4923">
            <v>293.92</v>
          </cell>
          <cell r="H4923">
            <v>6821.01</v>
          </cell>
          <cell r="I4923">
            <v>404.88</v>
          </cell>
        </row>
        <row r="4924">
          <cell r="A4924">
            <v>38733</v>
          </cell>
          <cell r="B4924">
            <v>3425.74</v>
          </cell>
          <cell r="C4924">
            <v>3644.41</v>
          </cell>
          <cell r="D4924">
            <v>317.57</v>
          </cell>
          <cell r="E4924">
            <v>336.98</v>
          </cell>
          <cell r="F4924">
            <v>364.79</v>
          </cell>
          <cell r="G4924">
            <v>294.04000000000002</v>
          </cell>
          <cell r="H4924">
            <v>6840.07</v>
          </cell>
          <cell r="I4924">
            <v>405.93</v>
          </cell>
        </row>
        <row r="4925">
          <cell r="A4925">
            <v>38734</v>
          </cell>
          <cell r="B4925">
            <v>3398.12</v>
          </cell>
          <cell r="C4925">
            <v>3610.07</v>
          </cell>
          <cell r="D4925">
            <v>315.23</v>
          </cell>
          <cell r="E4925">
            <v>334.23</v>
          </cell>
          <cell r="F4925">
            <v>362.03</v>
          </cell>
          <cell r="G4925">
            <v>292.10000000000002</v>
          </cell>
          <cell r="H4925">
            <v>6794.52</v>
          </cell>
          <cell r="I4925">
            <v>403.24</v>
          </cell>
        </row>
        <row r="4926">
          <cell r="A4926">
            <v>38735</v>
          </cell>
          <cell r="B4926">
            <v>3364.18</v>
          </cell>
          <cell r="C4926">
            <v>3570.17</v>
          </cell>
          <cell r="D4926">
            <v>312.51</v>
          </cell>
          <cell r="E4926">
            <v>331.17</v>
          </cell>
          <cell r="F4926">
            <v>358.62</v>
          </cell>
          <cell r="G4926">
            <v>289.72000000000003</v>
          </cell>
          <cell r="H4926">
            <v>6682.64</v>
          </cell>
          <cell r="I4926">
            <v>397.53</v>
          </cell>
        </row>
        <row r="4927">
          <cell r="A4927">
            <v>38736</v>
          </cell>
          <cell r="B4927">
            <v>3375.92</v>
          </cell>
          <cell r="C4927">
            <v>3593.22</v>
          </cell>
          <cell r="D4927">
            <v>314.35000000000002</v>
          </cell>
          <cell r="E4927">
            <v>333.66</v>
          </cell>
          <cell r="F4927">
            <v>360.99</v>
          </cell>
          <cell r="G4927">
            <v>290.99</v>
          </cell>
          <cell r="H4927">
            <v>6706.7</v>
          </cell>
          <cell r="I4927">
            <v>400.28</v>
          </cell>
        </row>
        <row r="4928">
          <cell r="A4928">
            <v>38737</v>
          </cell>
          <cell r="B4928">
            <v>3343.73</v>
          </cell>
          <cell r="C4928">
            <v>3550.8</v>
          </cell>
          <cell r="D4928">
            <v>312.45999999999998</v>
          </cell>
          <cell r="E4928">
            <v>330.56</v>
          </cell>
          <cell r="F4928">
            <v>357.93</v>
          </cell>
          <cell r="G4928">
            <v>290.13</v>
          </cell>
          <cell r="H4928">
            <v>6696.13</v>
          </cell>
          <cell r="I4928">
            <v>399.12</v>
          </cell>
        </row>
        <row r="4929">
          <cell r="A4929">
            <v>38740</v>
          </cell>
          <cell r="B4929">
            <v>3340.58</v>
          </cell>
          <cell r="C4929">
            <v>3544.31</v>
          </cell>
          <cell r="D4929">
            <v>311.7</v>
          </cell>
          <cell r="E4929">
            <v>329.93</v>
          </cell>
          <cell r="F4929">
            <v>357.61</v>
          </cell>
          <cell r="G4929">
            <v>289.29000000000002</v>
          </cell>
          <cell r="H4929">
            <v>6691.7</v>
          </cell>
          <cell r="I4929">
            <v>398.49</v>
          </cell>
        </row>
        <row r="4930">
          <cell r="A4930">
            <v>38741</v>
          </cell>
          <cell r="B4930">
            <v>3326.53</v>
          </cell>
          <cell r="C4930">
            <v>3532.68</v>
          </cell>
          <cell r="D4930">
            <v>311</v>
          </cell>
          <cell r="E4930">
            <v>329.51</v>
          </cell>
          <cell r="F4930">
            <v>357.13</v>
          </cell>
          <cell r="G4930">
            <v>288.38</v>
          </cell>
          <cell r="H4930">
            <v>6680.08</v>
          </cell>
          <cell r="I4930">
            <v>397.71</v>
          </cell>
        </row>
        <row r="4931">
          <cell r="A4931">
            <v>38742</v>
          </cell>
          <cell r="B4931">
            <v>3362.19</v>
          </cell>
          <cell r="C4931">
            <v>3578</v>
          </cell>
          <cell r="D4931">
            <v>314.49</v>
          </cell>
          <cell r="E4931">
            <v>333.25</v>
          </cell>
          <cell r="F4931">
            <v>360.37</v>
          </cell>
          <cell r="G4931">
            <v>291.57</v>
          </cell>
          <cell r="H4931">
            <v>6731.44</v>
          </cell>
          <cell r="I4931">
            <v>401.35</v>
          </cell>
        </row>
        <row r="4932">
          <cell r="A4932">
            <v>38743</v>
          </cell>
          <cell r="B4932">
            <v>3400.64</v>
          </cell>
          <cell r="C4932">
            <v>3641.42</v>
          </cell>
          <cell r="D4932">
            <v>317.54000000000002</v>
          </cell>
          <cell r="E4932">
            <v>338.04</v>
          </cell>
          <cell r="F4932">
            <v>364.89</v>
          </cell>
          <cell r="G4932">
            <v>293.11</v>
          </cell>
          <cell r="H4932">
            <v>6762.57</v>
          </cell>
          <cell r="I4932">
            <v>402.79</v>
          </cell>
        </row>
        <row r="4933">
          <cell r="A4933">
            <v>38744</v>
          </cell>
          <cell r="B4933">
            <v>3442.72</v>
          </cell>
          <cell r="C4933">
            <v>3685.48</v>
          </cell>
          <cell r="D4933">
            <v>321.22000000000003</v>
          </cell>
          <cell r="E4933">
            <v>342.2</v>
          </cell>
          <cell r="F4933">
            <v>368.93</v>
          </cell>
          <cell r="G4933">
            <v>296.31</v>
          </cell>
          <cell r="H4933">
            <v>6851</v>
          </cell>
          <cell r="I4933">
            <v>407.77</v>
          </cell>
        </row>
        <row r="4934">
          <cell r="A4934">
            <v>38747</v>
          </cell>
          <cell r="B4934">
            <v>3444.29</v>
          </cell>
          <cell r="C4934">
            <v>3677.52</v>
          </cell>
          <cell r="D4934">
            <v>321.07</v>
          </cell>
          <cell r="E4934">
            <v>341.91</v>
          </cell>
          <cell r="F4934">
            <v>368.75</v>
          </cell>
          <cell r="G4934">
            <v>296.26</v>
          </cell>
          <cell r="H4934">
            <v>6876.02</v>
          </cell>
          <cell r="I4934">
            <v>409.02</v>
          </cell>
        </row>
        <row r="4935">
          <cell r="A4935">
            <v>38748</v>
          </cell>
          <cell r="B4935">
            <v>3446.17</v>
          </cell>
          <cell r="C4935">
            <v>3691.41</v>
          </cell>
          <cell r="D4935">
            <v>321.04000000000002</v>
          </cell>
          <cell r="E4935">
            <v>342.5</v>
          </cell>
          <cell r="F4935">
            <v>369.38</v>
          </cell>
          <cell r="G4935">
            <v>295.72000000000003</v>
          </cell>
          <cell r="H4935">
            <v>6891.86</v>
          </cell>
          <cell r="I4935">
            <v>409.68</v>
          </cell>
        </row>
        <row r="4936">
          <cell r="A4936">
            <v>38749</v>
          </cell>
          <cell r="B4936">
            <v>3474.92</v>
          </cell>
          <cell r="C4936">
            <v>3728.34</v>
          </cell>
          <cell r="D4936">
            <v>324.48</v>
          </cell>
          <cell r="E4936">
            <v>346.05</v>
          </cell>
          <cell r="F4936">
            <v>372.89</v>
          </cell>
          <cell r="G4936">
            <v>299</v>
          </cell>
          <cell r="H4936">
            <v>6967.71</v>
          </cell>
          <cell r="I4936">
            <v>414.64</v>
          </cell>
        </row>
        <row r="4937">
          <cell r="A4937">
            <v>38750</v>
          </cell>
          <cell r="B4937">
            <v>3428.3</v>
          </cell>
          <cell r="C4937">
            <v>3677.05</v>
          </cell>
          <cell r="D4937">
            <v>321.56</v>
          </cell>
          <cell r="E4937">
            <v>342.21</v>
          </cell>
          <cell r="F4937">
            <v>369.36</v>
          </cell>
          <cell r="G4937">
            <v>296.91000000000003</v>
          </cell>
          <cell r="H4937">
            <v>6955.22</v>
          </cell>
          <cell r="I4937">
            <v>413.94</v>
          </cell>
        </row>
        <row r="4938">
          <cell r="A4938">
            <v>38751</v>
          </cell>
          <cell r="B4938">
            <v>3433.28</v>
          </cell>
          <cell r="C4938">
            <v>3678.48</v>
          </cell>
          <cell r="D4938">
            <v>321.77</v>
          </cell>
          <cell r="E4938">
            <v>342.65</v>
          </cell>
          <cell r="F4938">
            <v>369.86</v>
          </cell>
          <cell r="G4938">
            <v>296.92</v>
          </cell>
          <cell r="H4938">
            <v>6909.82</v>
          </cell>
          <cell r="I4938">
            <v>411.33</v>
          </cell>
        </row>
        <row r="4939">
          <cell r="A4939">
            <v>38754</v>
          </cell>
          <cell r="B4939">
            <v>3432.39</v>
          </cell>
          <cell r="C4939">
            <v>3682.32</v>
          </cell>
          <cell r="D4939">
            <v>322.13</v>
          </cell>
          <cell r="E4939">
            <v>343.67</v>
          </cell>
          <cell r="F4939">
            <v>370.8</v>
          </cell>
          <cell r="G4939">
            <v>296.72000000000003</v>
          </cell>
          <cell r="H4939">
            <v>6939.07</v>
          </cell>
          <cell r="I4939">
            <v>412.83</v>
          </cell>
        </row>
        <row r="4940">
          <cell r="A4940">
            <v>38755</v>
          </cell>
          <cell r="B4940">
            <v>3418.8</v>
          </cell>
          <cell r="C4940">
            <v>3680.8</v>
          </cell>
          <cell r="D4940">
            <v>321.10000000000002</v>
          </cell>
          <cell r="E4940">
            <v>343.68</v>
          </cell>
          <cell r="F4940">
            <v>370.47</v>
          </cell>
          <cell r="G4940">
            <v>294.83999999999997</v>
          </cell>
          <cell r="H4940">
            <v>6872.43</v>
          </cell>
          <cell r="I4940">
            <v>409.12</v>
          </cell>
        </row>
        <row r="4941">
          <cell r="A4941">
            <v>38756</v>
          </cell>
          <cell r="B4941">
            <v>3410.51</v>
          </cell>
          <cell r="C4941">
            <v>3671.37</v>
          </cell>
          <cell r="D4941">
            <v>320.56</v>
          </cell>
          <cell r="E4941">
            <v>342.87</v>
          </cell>
          <cell r="F4941">
            <v>369.96</v>
          </cell>
          <cell r="G4941">
            <v>294.54000000000002</v>
          </cell>
          <cell r="H4941">
            <v>6910.92</v>
          </cell>
          <cell r="I4941">
            <v>410.82</v>
          </cell>
        </row>
        <row r="4942">
          <cell r="A4942">
            <v>38757</v>
          </cell>
          <cell r="B4942">
            <v>3453.57</v>
          </cell>
          <cell r="C4942">
            <v>3726.81</v>
          </cell>
          <cell r="D4942">
            <v>324.3</v>
          </cell>
          <cell r="E4942">
            <v>347.15</v>
          </cell>
          <cell r="F4942">
            <v>373.94</v>
          </cell>
          <cell r="G4942">
            <v>297.74</v>
          </cell>
          <cell r="H4942">
            <v>6958.65</v>
          </cell>
          <cell r="I4942">
            <v>414.39</v>
          </cell>
        </row>
        <row r="4943">
          <cell r="A4943">
            <v>38758</v>
          </cell>
          <cell r="B4943">
            <v>3434.26</v>
          </cell>
          <cell r="C4943">
            <v>3695.63</v>
          </cell>
          <cell r="D4943">
            <v>323.08999999999997</v>
          </cell>
          <cell r="E4943">
            <v>345.06</v>
          </cell>
          <cell r="F4943">
            <v>371.96</v>
          </cell>
          <cell r="G4943">
            <v>297.29000000000002</v>
          </cell>
          <cell r="H4943">
            <v>6897.05</v>
          </cell>
          <cell r="I4943">
            <v>411.25</v>
          </cell>
        </row>
        <row r="4944">
          <cell r="A4944">
            <v>38761</v>
          </cell>
          <cell r="B4944">
            <v>3459.54</v>
          </cell>
          <cell r="C4944">
            <v>3727.46</v>
          </cell>
          <cell r="D4944">
            <v>324.7</v>
          </cell>
          <cell r="E4944">
            <v>347.46</v>
          </cell>
          <cell r="F4944">
            <v>374.01</v>
          </cell>
          <cell r="G4944">
            <v>298.2</v>
          </cell>
          <cell r="H4944">
            <v>6880.69</v>
          </cell>
          <cell r="I4944">
            <v>410.72</v>
          </cell>
        </row>
        <row r="4945">
          <cell r="A4945">
            <v>38762</v>
          </cell>
          <cell r="B4945">
            <v>3457.53</v>
          </cell>
          <cell r="C4945">
            <v>3734.48</v>
          </cell>
          <cell r="D4945">
            <v>324.12</v>
          </cell>
          <cell r="E4945">
            <v>347.68</v>
          </cell>
          <cell r="F4945">
            <v>374.1</v>
          </cell>
          <cell r="G4945">
            <v>296.97000000000003</v>
          </cell>
          <cell r="H4945">
            <v>6911.83</v>
          </cell>
          <cell r="I4945">
            <v>412.86</v>
          </cell>
        </row>
        <row r="4946">
          <cell r="A4946">
            <v>38763</v>
          </cell>
          <cell r="B4946">
            <v>3454.54</v>
          </cell>
          <cell r="C4946">
            <v>3729.79</v>
          </cell>
          <cell r="D4946">
            <v>324.51</v>
          </cell>
          <cell r="E4946">
            <v>347.58</v>
          </cell>
          <cell r="F4946">
            <v>373.48</v>
          </cell>
          <cell r="G4946">
            <v>297.75</v>
          </cell>
          <cell r="H4946">
            <v>6945.54</v>
          </cell>
          <cell r="I4946">
            <v>415.44</v>
          </cell>
        </row>
        <row r="4947">
          <cell r="A4947">
            <v>38764</v>
          </cell>
          <cell r="B4947">
            <v>3475.5</v>
          </cell>
          <cell r="C4947">
            <v>3756.47</v>
          </cell>
          <cell r="D4947">
            <v>326.33999999999997</v>
          </cell>
          <cell r="E4947">
            <v>349.81</v>
          </cell>
          <cell r="F4947">
            <v>376.2</v>
          </cell>
          <cell r="G4947">
            <v>299.22000000000003</v>
          </cell>
          <cell r="H4947">
            <v>6975.1</v>
          </cell>
          <cell r="I4947">
            <v>417.6</v>
          </cell>
        </row>
        <row r="4948">
          <cell r="A4948">
            <v>38765</v>
          </cell>
          <cell r="B4948">
            <v>3482.42</v>
          </cell>
          <cell r="C4948">
            <v>3767.7</v>
          </cell>
          <cell r="D4948">
            <v>327.31</v>
          </cell>
          <cell r="E4948">
            <v>351.05</v>
          </cell>
          <cell r="F4948">
            <v>377.22</v>
          </cell>
          <cell r="G4948">
            <v>299.93</v>
          </cell>
          <cell r="H4948">
            <v>6997</v>
          </cell>
          <cell r="I4948">
            <v>418.89</v>
          </cell>
        </row>
        <row r="4949">
          <cell r="A4949">
            <v>38768</v>
          </cell>
          <cell r="B4949">
            <v>3490.61</v>
          </cell>
          <cell r="C4949">
            <v>3766.74</v>
          </cell>
          <cell r="D4949">
            <v>328.08</v>
          </cell>
          <cell r="E4949">
            <v>351.42</v>
          </cell>
          <cell r="F4949">
            <v>378.05</v>
          </cell>
          <cell r="G4949">
            <v>301.02</v>
          </cell>
          <cell r="H4949">
            <v>7037.32</v>
          </cell>
          <cell r="I4949">
            <v>420.94</v>
          </cell>
        </row>
        <row r="4950">
          <cell r="A4950">
            <v>38769</v>
          </cell>
          <cell r="B4950">
            <v>3497.52</v>
          </cell>
          <cell r="C4950">
            <v>3779.51</v>
          </cell>
          <cell r="D4950">
            <v>329.18</v>
          </cell>
          <cell r="E4950">
            <v>352.46</v>
          </cell>
          <cell r="F4950">
            <v>379.53</v>
          </cell>
          <cell r="G4950">
            <v>302.14</v>
          </cell>
          <cell r="H4950">
            <v>7075.13</v>
          </cell>
          <cell r="I4950">
            <v>423.38</v>
          </cell>
        </row>
        <row r="4951">
          <cell r="A4951">
            <v>38770</v>
          </cell>
          <cell r="B4951">
            <v>3511.93</v>
          </cell>
          <cell r="C4951">
            <v>3818.48</v>
          </cell>
          <cell r="D4951">
            <v>331.05</v>
          </cell>
          <cell r="E4951">
            <v>355.58</v>
          </cell>
          <cell r="F4951">
            <v>382.27</v>
          </cell>
          <cell r="G4951">
            <v>302.92</v>
          </cell>
          <cell r="H4951">
            <v>7081.78</v>
          </cell>
          <cell r="I4951">
            <v>423.86</v>
          </cell>
        </row>
        <row r="4952">
          <cell r="A4952">
            <v>38771</v>
          </cell>
          <cell r="B4952">
            <v>3506.28</v>
          </cell>
          <cell r="C4952">
            <v>3813.29</v>
          </cell>
          <cell r="D4952">
            <v>330.45</v>
          </cell>
          <cell r="E4952">
            <v>355.43</v>
          </cell>
          <cell r="F4952">
            <v>381.79</v>
          </cell>
          <cell r="G4952">
            <v>301.95999999999998</v>
          </cell>
          <cell r="H4952">
            <v>7078.62</v>
          </cell>
          <cell r="I4952">
            <v>423.95</v>
          </cell>
        </row>
        <row r="4953">
          <cell r="A4953">
            <v>38772</v>
          </cell>
          <cell r="B4953">
            <v>3514.49</v>
          </cell>
          <cell r="C4953">
            <v>3826</v>
          </cell>
          <cell r="D4953">
            <v>331.49</v>
          </cell>
          <cell r="E4953">
            <v>356.63</v>
          </cell>
          <cell r="F4953">
            <v>382.71</v>
          </cell>
          <cell r="G4953">
            <v>302.83</v>
          </cell>
          <cell r="H4953">
            <v>7146.63</v>
          </cell>
          <cell r="I4953">
            <v>427.04</v>
          </cell>
        </row>
        <row r="4954">
          <cell r="A4954">
            <v>38775</v>
          </cell>
          <cell r="B4954">
            <v>3520.74</v>
          </cell>
          <cell r="C4954">
            <v>3840.56</v>
          </cell>
          <cell r="D4954">
            <v>332.48</v>
          </cell>
          <cell r="E4954">
            <v>358.19</v>
          </cell>
          <cell r="F4954">
            <v>384.24</v>
          </cell>
          <cell r="G4954">
            <v>303.33</v>
          </cell>
          <cell r="H4954">
            <v>7144.75</v>
          </cell>
          <cell r="I4954">
            <v>427.38</v>
          </cell>
        </row>
        <row r="4955">
          <cell r="A4955">
            <v>38776</v>
          </cell>
          <cell r="B4955">
            <v>3469.48</v>
          </cell>
          <cell r="C4955">
            <v>3774.51</v>
          </cell>
          <cell r="D4955">
            <v>327.88</v>
          </cell>
          <cell r="E4955">
            <v>352.8</v>
          </cell>
          <cell r="F4955">
            <v>378.61</v>
          </cell>
          <cell r="G4955">
            <v>299.5</v>
          </cell>
          <cell r="H4955">
            <v>7019.56</v>
          </cell>
          <cell r="I4955">
            <v>420.24</v>
          </cell>
        </row>
        <row r="4956">
          <cell r="A4956">
            <v>38777</v>
          </cell>
          <cell r="B4956">
            <v>3501.74</v>
          </cell>
          <cell r="C4956">
            <v>3806.03</v>
          </cell>
          <cell r="D4956">
            <v>330.74</v>
          </cell>
          <cell r="E4956">
            <v>355.76</v>
          </cell>
          <cell r="F4956">
            <v>382</v>
          </cell>
          <cell r="G4956">
            <v>302.2</v>
          </cell>
          <cell r="H4956">
            <v>7082.27</v>
          </cell>
          <cell r="I4956">
            <v>423.75</v>
          </cell>
        </row>
        <row r="4957">
          <cell r="A4957">
            <v>38778</v>
          </cell>
          <cell r="B4957">
            <v>3463.6</v>
          </cell>
          <cell r="C4957">
            <v>3763.73</v>
          </cell>
          <cell r="D4957">
            <v>327.75</v>
          </cell>
          <cell r="E4957">
            <v>352.4</v>
          </cell>
          <cell r="F4957">
            <v>378.72</v>
          </cell>
          <cell r="G4957">
            <v>299.60000000000002</v>
          </cell>
          <cell r="H4957">
            <v>7074.87</v>
          </cell>
          <cell r="I4957">
            <v>423.39</v>
          </cell>
        </row>
        <row r="4958">
          <cell r="A4958">
            <v>38779</v>
          </cell>
          <cell r="B4958">
            <v>3463.41</v>
          </cell>
          <cell r="C4958">
            <v>3733.95</v>
          </cell>
          <cell r="D4958">
            <v>327.58999999999997</v>
          </cell>
          <cell r="E4958">
            <v>350.69</v>
          </cell>
          <cell r="F4958">
            <v>377.59</v>
          </cell>
          <cell r="G4958">
            <v>300.74</v>
          </cell>
          <cell r="H4958">
            <v>7117.14</v>
          </cell>
          <cell r="I4958">
            <v>425.04</v>
          </cell>
        </row>
        <row r="4959">
          <cell r="A4959">
            <v>38782</v>
          </cell>
          <cell r="B4959">
            <v>3484.46</v>
          </cell>
          <cell r="C4959">
            <v>3754.07</v>
          </cell>
          <cell r="D4959">
            <v>329.41</v>
          </cell>
          <cell r="E4959">
            <v>352.6</v>
          </cell>
          <cell r="F4959">
            <v>379.38</v>
          </cell>
          <cell r="G4959">
            <v>302.44</v>
          </cell>
          <cell r="H4959">
            <v>7147.79</v>
          </cell>
          <cell r="I4959">
            <v>427.25</v>
          </cell>
        </row>
        <row r="4960">
          <cell r="A4960">
            <v>38783</v>
          </cell>
          <cell r="B4960">
            <v>3473.6</v>
          </cell>
          <cell r="C4960">
            <v>3745.2</v>
          </cell>
          <cell r="D4960">
            <v>327.56</v>
          </cell>
          <cell r="E4960">
            <v>350.82</v>
          </cell>
          <cell r="F4960">
            <v>377.23</v>
          </cell>
          <cell r="G4960">
            <v>300.57</v>
          </cell>
          <cell r="H4960">
            <v>7097.22</v>
          </cell>
          <cell r="I4960">
            <v>425.1</v>
          </cell>
        </row>
        <row r="4961">
          <cell r="A4961">
            <v>38784</v>
          </cell>
          <cell r="B4961">
            <v>3452.67</v>
          </cell>
          <cell r="C4961">
            <v>3727.96</v>
          </cell>
          <cell r="D4961">
            <v>324.92</v>
          </cell>
          <cell r="E4961">
            <v>348.59</v>
          </cell>
          <cell r="F4961">
            <v>374.86</v>
          </cell>
          <cell r="G4961">
            <v>297.64</v>
          </cell>
          <cell r="H4961">
            <v>7070.66</v>
          </cell>
          <cell r="I4961">
            <v>423.9</v>
          </cell>
        </row>
        <row r="4962">
          <cell r="A4962">
            <v>38785</v>
          </cell>
          <cell r="B4962">
            <v>3475.88</v>
          </cell>
          <cell r="C4962">
            <v>3757.73</v>
          </cell>
          <cell r="D4962">
            <v>327.5</v>
          </cell>
          <cell r="E4962">
            <v>351.73</v>
          </cell>
          <cell r="F4962">
            <v>377.75</v>
          </cell>
          <cell r="G4962">
            <v>299.7</v>
          </cell>
          <cell r="H4962">
            <v>7159.37</v>
          </cell>
          <cell r="I4962">
            <v>428.87</v>
          </cell>
        </row>
        <row r="4963">
          <cell r="A4963">
            <v>38786</v>
          </cell>
          <cell r="B4963">
            <v>3505.78</v>
          </cell>
          <cell r="C4963">
            <v>3798.46</v>
          </cell>
          <cell r="D4963">
            <v>330.1</v>
          </cell>
          <cell r="E4963">
            <v>355.05</v>
          </cell>
          <cell r="F4963">
            <v>381.26</v>
          </cell>
          <cell r="G4963">
            <v>301.63</v>
          </cell>
          <cell r="H4963">
            <v>7193.65</v>
          </cell>
          <cell r="I4963">
            <v>430.44</v>
          </cell>
        </row>
        <row r="4964">
          <cell r="A4964">
            <v>38789</v>
          </cell>
          <cell r="B4964">
            <v>3529.91</v>
          </cell>
          <cell r="C4964">
            <v>3824.97</v>
          </cell>
          <cell r="D4964">
            <v>332.61</v>
          </cell>
          <cell r="E4964">
            <v>357.9</v>
          </cell>
          <cell r="F4964">
            <v>384.26</v>
          </cell>
          <cell r="G4964">
            <v>303.8</v>
          </cell>
          <cell r="H4964">
            <v>7244.25</v>
          </cell>
          <cell r="I4964">
            <v>433.21</v>
          </cell>
        </row>
        <row r="4965">
          <cell r="A4965">
            <v>38790</v>
          </cell>
          <cell r="B4965">
            <v>3533.71</v>
          </cell>
          <cell r="C4965">
            <v>3833.48</v>
          </cell>
          <cell r="D4965">
            <v>333.26</v>
          </cell>
          <cell r="E4965">
            <v>358.56</v>
          </cell>
          <cell r="F4965">
            <v>385.03</v>
          </cell>
          <cell r="G4965">
            <v>304.43</v>
          </cell>
          <cell r="H4965">
            <v>7272.83</v>
          </cell>
          <cell r="I4965">
            <v>435.38</v>
          </cell>
        </row>
        <row r="4966">
          <cell r="A4966">
            <v>38791</v>
          </cell>
          <cell r="B4966">
            <v>3536.23</v>
          </cell>
          <cell r="C4966">
            <v>3842.16</v>
          </cell>
          <cell r="D4966">
            <v>334</v>
          </cell>
          <cell r="E4966">
            <v>359.83</v>
          </cell>
          <cell r="F4966">
            <v>386.07</v>
          </cell>
          <cell r="G4966">
            <v>304.70999999999998</v>
          </cell>
          <cell r="H4966">
            <v>7286.12</v>
          </cell>
          <cell r="I4966">
            <v>436.34</v>
          </cell>
        </row>
        <row r="4967">
          <cell r="A4967">
            <v>38792</v>
          </cell>
          <cell r="B4967">
            <v>3533.17</v>
          </cell>
          <cell r="C4967">
            <v>3839.71</v>
          </cell>
          <cell r="D4967">
            <v>334.16</v>
          </cell>
          <cell r="E4967">
            <v>359.94</v>
          </cell>
          <cell r="F4967">
            <v>386.16</v>
          </cell>
          <cell r="G4967">
            <v>304.89999999999998</v>
          </cell>
          <cell r="H4967">
            <v>7321.06</v>
          </cell>
          <cell r="I4967">
            <v>438.33</v>
          </cell>
        </row>
        <row r="4968">
          <cell r="A4968">
            <v>38793</v>
          </cell>
          <cell r="B4968">
            <v>3524.45</v>
          </cell>
          <cell r="C4968">
            <v>3832.43</v>
          </cell>
          <cell r="D4968">
            <v>334.41</v>
          </cell>
          <cell r="E4968">
            <v>360.22</v>
          </cell>
          <cell r="F4968">
            <v>386.77</v>
          </cell>
          <cell r="G4968">
            <v>305.13</v>
          </cell>
          <cell r="H4968">
            <v>7365.56</v>
          </cell>
          <cell r="I4968">
            <v>440.24</v>
          </cell>
        </row>
        <row r="4969">
          <cell r="A4969">
            <v>38796</v>
          </cell>
          <cell r="B4969">
            <v>3526.35</v>
          </cell>
          <cell r="C4969">
            <v>3842.1</v>
          </cell>
          <cell r="D4969">
            <v>335.13</v>
          </cell>
          <cell r="E4969">
            <v>361.26</v>
          </cell>
          <cell r="F4969">
            <v>388.09</v>
          </cell>
          <cell r="G4969">
            <v>305.55</v>
          </cell>
          <cell r="H4969">
            <v>7416.98</v>
          </cell>
          <cell r="I4969">
            <v>444.02</v>
          </cell>
        </row>
        <row r="4970">
          <cell r="A4970">
            <v>38797</v>
          </cell>
          <cell r="B4970">
            <v>3531.13</v>
          </cell>
          <cell r="C4970">
            <v>3848.17</v>
          </cell>
          <cell r="D4970">
            <v>335.48</v>
          </cell>
          <cell r="E4970">
            <v>361.76</v>
          </cell>
          <cell r="F4970">
            <v>388.26</v>
          </cell>
          <cell r="G4970">
            <v>305.77999999999997</v>
          </cell>
          <cell r="H4970">
            <v>7400.05</v>
          </cell>
          <cell r="I4970">
            <v>443.58</v>
          </cell>
        </row>
        <row r="4971">
          <cell r="A4971">
            <v>38798</v>
          </cell>
          <cell r="B4971">
            <v>3536.75</v>
          </cell>
          <cell r="C4971">
            <v>3868.48</v>
          </cell>
          <cell r="D4971">
            <v>336.44</v>
          </cell>
          <cell r="E4971">
            <v>362.86</v>
          </cell>
          <cell r="F4971">
            <v>389.38</v>
          </cell>
          <cell r="G4971">
            <v>306.58999999999997</v>
          </cell>
          <cell r="H4971">
            <v>7407.95</v>
          </cell>
          <cell r="I4971">
            <v>443.94</v>
          </cell>
        </row>
        <row r="4972">
          <cell r="A4972">
            <v>38799</v>
          </cell>
          <cell r="B4972">
            <v>3531.37</v>
          </cell>
          <cell r="C4972">
            <v>3860.13</v>
          </cell>
          <cell r="D4972">
            <v>336.17</v>
          </cell>
          <cell r="E4972">
            <v>362.64</v>
          </cell>
          <cell r="F4972">
            <v>389.07</v>
          </cell>
          <cell r="G4972">
            <v>306.27999999999997</v>
          </cell>
          <cell r="H4972">
            <v>7443.12</v>
          </cell>
          <cell r="I4972">
            <v>445.71</v>
          </cell>
        </row>
        <row r="4973">
          <cell r="A4973">
            <v>38800</v>
          </cell>
          <cell r="B4973">
            <v>3548.68</v>
          </cell>
          <cell r="C4973">
            <v>3870.89</v>
          </cell>
          <cell r="D4973">
            <v>337.86</v>
          </cell>
          <cell r="E4973">
            <v>363.79</v>
          </cell>
          <cell r="F4973">
            <v>390.38</v>
          </cell>
          <cell r="G4973">
            <v>308.39</v>
          </cell>
          <cell r="H4973">
            <v>7477.48</v>
          </cell>
          <cell r="I4973">
            <v>447.46</v>
          </cell>
        </row>
        <row r="4974">
          <cell r="A4974">
            <v>38803</v>
          </cell>
          <cell r="B4974">
            <v>3515.92</v>
          </cell>
          <cell r="C4974">
            <v>3827.93</v>
          </cell>
          <cell r="D4974">
            <v>335.23</v>
          </cell>
          <cell r="E4974">
            <v>360.59</v>
          </cell>
          <cell r="F4974">
            <v>387.34</v>
          </cell>
          <cell r="G4974">
            <v>306.32</v>
          </cell>
          <cell r="H4974">
            <v>7468.95</v>
          </cell>
          <cell r="I4974">
            <v>446.68</v>
          </cell>
        </row>
        <row r="4975">
          <cell r="A4975">
            <v>38804</v>
          </cell>
          <cell r="B4975">
            <v>3498.16</v>
          </cell>
          <cell r="C4975">
            <v>3811.45</v>
          </cell>
          <cell r="D4975">
            <v>333.23</v>
          </cell>
          <cell r="E4975">
            <v>358.83</v>
          </cell>
          <cell r="F4975">
            <v>385.81</v>
          </cell>
          <cell r="G4975">
            <v>304.14</v>
          </cell>
          <cell r="H4975">
            <v>7423.05</v>
          </cell>
          <cell r="I4975">
            <v>444.03</v>
          </cell>
        </row>
        <row r="4976">
          <cell r="A4976">
            <v>38805</v>
          </cell>
          <cell r="B4976">
            <v>3505.23</v>
          </cell>
          <cell r="C4976">
            <v>3826.3</v>
          </cell>
          <cell r="D4976">
            <v>333.98</v>
          </cell>
          <cell r="E4976">
            <v>360.25</v>
          </cell>
          <cell r="F4976">
            <v>386.92</v>
          </cell>
          <cell r="G4976">
            <v>304.3</v>
          </cell>
          <cell r="H4976">
            <v>7420.44</v>
          </cell>
          <cell r="I4976">
            <v>444.08</v>
          </cell>
        </row>
        <row r="4977">
          <cell r="A4977">
            <v>38806</v>
          </cell>
          <cell r="B4977">
            <v>3538.72</v>
          </cell>
          <cell r="C4977">
            <v>3874.61</v>
          </cell>
          <cell r="D4977">
            <v>336.64</v>
          </cell>
          <cell r="E4977">
            <v>364.17</v>
          </cell>
          <cell r="F4977">
            <v>390.8</v>
          </cell>
          <cell r="G4977">
            <v>305.82</v>
          </cell>
          <cell r="H4977">
            <v>7523.67</v>
          </cell>
          <cell r="I4977">
            <v>451.78</v>
          </cell>
        </row>
        <row r="4978">
          <cell r="A4978">
            <v>38807</v>
          </cell>
          <cell r="B4978">
            <v>3507.13</v>
          </cell>
          <cell r="C4978">
            <v>3853.74</v>
          </cell>
          <cell r="D4978">
            <v>334.44</v>
          </cell>
          <cell r="E4978">
            <v>362.83</v>
          </cell>
          <cell r="F4978">
            <v>389.17</v>
          </cell>
          <cell r="G4978">
            <v>302.93</v>
          </cell>
          <cell r="H4978">
            <v>7450.99</v>
          </cell>
          <cell r="I4978">
            <v>447.31</v>
          </cell>
        </row>
        <row r="4979">
          <cell r="A4979">
            <v>38810</v>
          </cell>
          <cell r="B4979">
            <v>3535.13</v>
          </cell>
          <cell r="C4979">
            <v>3878.64</v>
          </cell>
          <cell r="D4979">
            <v>337.2</v>
          </cell>
          <cell r="E4979">
            <v>365.25</v>
          </cell>
          <cell r="F4979">
            <v>392.1</v>
          </cell>
          <cell r="G4979">
            <v>305.94</v>
          </cell>
          <cell r="H4979">
            <v>7564.29</v>
          </cell>
          <cell r="I4979">
            <v>453.44</v>
          </cell>
        </row>
        <row r="4980">
          <cell r="A4980">
            <v>38811</v>
          </cell>
          <cell r="B4980">
            <v>3508.7</v>
          </cell>
          <cell r="C4980">
            <v>3850.11</v>
          </cell>
          <cell r="D4980">
            <v>335.55</v>
          </cell>
          <cell r="E4980">
            <v>363.31</v>
          </cell>
          <cell r="F4980">
            <v>390.1</v>
          </cell>
          <cell r="G4980">
            <v>304.55</v>
          </cell>
          <cell r="H4980">
            <v>7504</v>
          </cell>
          <cell r="I4980">
            <v>449.59</v>
          </cell>
        </row>
        <row r="4981">
          <cell r="A4981">
            <v>38812</v>
          </cell>
          <cell r="B4981">
            <v>3524.44</v>
          </cell>
          <cell r="C4981">
            <v>3863.92</v>
          </cell>
          <cell r="D4981">
            <v>336.75</v>
          </cell>
          <cell r="E4981">
            <v>364.58</v>
          </cell>
          <cell r="F4981">
            <v>391.8</v>
          </cell>
          <cell r="G4981">
            <v>305.66000000000003</v>
          </cell>
          <cell r="H4981">
            <v>7564.39</v>
          </cell>
          <cell r="I4981">
            <v>452.9</v>
          </cell>
        </row>
        <row r="4982">
          <cell r="A4982">
            <v>38813</v>
          </cell>
          <cell r="B4982">
            <v>3531.56</v>
          </cell>
          <cell r="C4982">
            <v>3861.29</v>
          </cell>
          <cell r="D4982">
            <v>337.54</v>
          </cell>
          <cell r="E4982">
            <v>364.88</v>
          </cell>
          <cell r="F4982">
            <v>392.2</v>
          </cell>
          <cell r="G4982">
            <v>306.87</v>
          </cell>
          <cell r="H4982">
            <v>7552.7</v>
          </cell>
          <cell r="I4982">
            <v>453.29</v>
          </cell>
        </row>
        <row r="4983">
          <cell r="A4983">
            <v>38814</v>
          </cell>
          <cell r="B4983">
            <v>3522.05</v>
          </cell>
          <cell r="C4983">
            <v>3823.11</v>
          </cell>
          <cell r="D4983">
            <v>336.02</v>
          </cell>
          <cell r="E4983">
            <v>361.88</v>
          </cell>
          <cell r="F4983">
            <v>389.54</v>
          </cell>
          <cell r="G4983">
            <v>306.66000000000003</v>
          </cell>
          <cell r="H4983">
            <v>7510.87</v>
          </cell>
          <cell r="I4983">
            <v>450.93</v>
          </cell>
        </row>
        <row r="4984">
          <cell r="A4984">
            <v>38817</v>
          </cell>
          <cell r="B4984">
            <v>3547.32</v>
          </cell>
          <cell r="C4984">
            <v>3843.52</v>
          </cell>
          <cell r="D4984">
            <v>337.65</v>
          </cell>
          <cell r="E4984">
            <v>363.32</v>
          </cell>
          <cell r="F4984">
            <v>390.89</v>
          </cell>
          <cell r="G4984">
            <v>308.43</v>
          </cell>
          <cell r="H4984">
            <v>7536.08</v>
          </cell>
          <cell r="I4984">
            <v>451.77</v>
          </cell>
        </row>
        <row r="4985">
          <cell r="A4985">
            <v>38818</v>
          </cell>
          <cell r="B4985">
            <v>3511.03</v>
          </cell>
          <cell r="C4985">
            <v>3788.81</v>
          </cell>
          <cell r="D4985">
            <v>333.74</v>
          </cell>
          <cell r="E4985">
            <v>358.21</v>
          </cell>
          <cell r="F4985">
            <v>385.91</v>
          </cell>
          <cell r="G4985">
            <v>305.63</v>
          </cell>
          <cell r="H4985">
            <v>7510.99</v>
          </cell>
          <cell r="I4985">
            <v>451.4</v>
          </cell>
        </row>
        <row r="4986">
          <cell r="A4986">
            <v>38819</v>
          </cell>
          <cell r="B4986">
            <v>3505.97</v>
          </cell>
          <cell r="C4986">
            <v>3776.94</v>
          </cell>
          <cell r="D4986">
            <v>333.08</v>
          </cell>
          <cell r="E4986">
            <v>356.98</v>
          </cell>
          <cell r="F4986">
            <v>384.5</v>
          </cell>
          <cell r="G4986">
            <v>305.45999999999998</v>
          </cell>
          <cell r="H4986">
            <v>7485.59</v>
          </cell>
          <cell r="I4986">
            <v>449.27</v>
          </cell>
        </row>
        <row r="4987">
          <cell r="A4987">
            <v>38820</v>
          </cell>
          <cell r="B4987">
            <v>3518.66</v>
          </cell>
          <cell r="C4987">
            <v>3779.94</v>
          </cell>
          <cell r="D4987">
            <v>334.36</v>
          </cell>
          <cell r="E4987">
            <v>357.42</v>
          </cell>
          <cell r="F4987">
            <v>385.26</v>
          </cell>
          <cell r="G4987">
            <v>307.44</v>
          </cell>
          <cell r="H4987">
            <v>7506.44</v>
          </cell>
          <cell r="I4987">
            <v>450.59</v>
          </cell>
        </row>
        <row r="4988">
          <cell r="A4988">
            <v>38825</v>
          </cell>
          <cell r="B4988">
            <v>3513.62</v>
          </cell>
          <cell r="C4988">
            <v>3770.79</v>
          </cell>
          <cell r="D4988">
            <v>334.04</v>
          </cell>
          <cell r="E4988">
            <v>356.57</v>
          </cell>
          <cell r="F4988">
            <v>384.58</v>
          </cell>
          <cell r="G4988">
            <v>307.60000000000002</v>
          </cell>
          <cell r="H4988">
            <v>7518.96</v>
          </cell>
          <cell r="I4988">
            <v>451.37</v>
          </cell>
        </row>
        <row r="4989">
          <cell r="A4989">
            <v>38826</v>
          </cell>
          <cell r="B4989">
            <v>3551.23</v>
          </cell>
          <cell r="C4989">
            <v>3820.96</v>
          </cell>
          <cell r="D4989">
            <v>337.88</v>
          </cell>
          <cell r="E4989">
            <v>361.13</v>
          </cell>
          <cell r="F4989">
            <v>389.26</v>
          </cell>
          <cell r="G4989">
            <v>310.73</v>
          </cell>
          <cell r="H4989">
            <v>7608.79</v>
          </cell>
          <cell r="I4989">
            <v>456.22</v>
          </cell>
        </row>
        <row r="4990">
          <cell r="A4990">
            <v>38827</v>
          </cell>
          <cell r="B4990">
            <v>3555.3</v>
          </cell>
          <cell r="C4990">
            <v>3860</v>
          </cell>
          <cell r="D4990">
            <v>338.72</v>
          </cell>
          <cell r="E4990">
            <v>364.34</v>
          </cell>
          <cell r="F4990">
            <v>391.91</v>
          </cell>
          <cell r="G4990">
            <v>309.5</v>
          </cell>
          <cell r="H4990">
            <v>7700.67</v>
          </cell>
          <cell r="I4990">
            <v>462.72</v>
          </cell>
        </row>
        <row r="4991">
          <cell r="A4991">
            <v>38828</v>
          </cell>
          <cell r="B4991">
            <v>3577.68</v>
          </cell>
          <cell r="C4991">
            <v>3888.46</v>
          </cell>
          <cell r="D4991">
            <v>341.1</v>
          </cell>
          <cell r="E4991">
            <v>367.22</v>
          </cell>
          <cell r="F4991">
            <v>394.39</v>
          </cell>
          <cell r="G4991">
            <v>311.39999999999998</v>
          </cell>
          <cell r="H4991">
            <v>7677.01</v>
          </cell>
          <cell r="I4991">
            <v>462.55</v>
          </cell>
        </row>
        <row r="4992">
          <cell r="A4992">
            <v>38831</v>
          </cell>
          <cell r="B4992">
            <v>3555.21</v>
          </cell>
          <cell r="C4992">
            <v>3862.27</v>
          </cell>
          <cell r="D4992">
            <v>339.3</v>
          </cell>
          <cell r="E4992">
            <v>365.37</v>
          </cell>
          <cell r="F4992">
            <v>392.73</v>
          </cell>
          <cell r="G4992">
            <v>309.68</v>
          </cell>
          <cell r="H4992">
            <v>7631.64</v>
          </cell>
          <cell r="I4992">
            <v>460.22</v>
          </cell>
        </row>
        <row r="4993">
          <cell r="A4993">
            <v>38832</v>
          </cell>
          <cell r="B4993">
            <v>3551.51</v>
          </cell>
          <cell r="C4993">
            <v>3871.09</v>
          </cell>
          <cell r="D4993">
            <v>339.06</v>
          </cell>
          <cell r="E4993">
            <v>365.79</v>
          </cell>
          <cell r="F4993">
            <v>392.67</v>
          </cell>
          <cell r="G4993">
            <v>308.88</v>
          </cell>
          <cell r="H4993">
            <v>7601.12</v>
          </cell>
          <cell r="I4993">
            <v>458.5</v>
          </cell>
        </row>
        <row r="4994">
          <cell r="A4994">
            <v>38833</v>
          </cell>
          <cell r="B4994">
            <v>3559.48</v>
          </cell>
          <cell r="C4994">
            <v>3887</v>
          </cell>
          <cell r="D4994">
            <v>339.7</v>
          </cell>
          <cell r="E4994">
            <v>367.05</v>
          </cell>
          <cell r="F4994">
            <v>393.88</v>
          </cell>
          <cell r="G4994">
            <v>308.97000000000003</v>
          </cell>
          <cell r="H4994">
            <v>7635.51</v>
          </cell>
          <cell r="I4994">
            <v>460.37</v>
          </cell>
        </row>
        <row r="4995">
          <cell r="A4995">
            <v>38834</v>
          </cell>
          <cell r="B4995">
            <v>3546.52</v>
          </cell>
          <cell r="C4995">
            <v>3865.42</v>
          </cell>
          <cell r="D4995">
            <v>337.84</v>
          </cell>
          <cell r="E4995">
            <v>364.82</v>
          </cell>
          <cell r="F4995">
            <v>391.74</v>
          </cell>
          <cell r="G4995">
            <v>307.45999999999998</v>
          </cell>
          <cell r="H4995">
            <v>7535.69</v>
          </cell>
          <cell r="I4995">
            <v>454.87</v>
          </cell>
        </row>
        <row r="4996">
          <cell r="A4996">
            <v>38835</v>
          </cell>
          <cell r="B4996">
            <v>3536.2</v>
          </cell>
          <cell r="C4996">
            <v>3839.9</v>
          </cell>
          <cell r="D4996">
            <v>336.48</v>
          </cell>
          <cell r="E4996">
            <v>362.34</v>
          </cell>
          <cell r="F4996">
            <v>389.73</v>
          </cell>
          <cell r="G4996">
            <v>307.10000000000002</v>
          </cell>
          <cell r="H4996">
            <v>7455.12</v>
          </cell>
          <cell r="I4996">
            <v>450.89</v>
          </cell>
        </row>
        <row r="4997">
          <cell r="A4997">
            <v>38838</v>
          </cell>
          <cell r="B4997">
            <v>3546.14</v>
          </cell>
          <cell r="C4997">
            <v>3839.9</v>
          </cell>
          <cell r="D4997">
            <v>337.32</v>
          </cell>
          <cell r="E4997">
            <v>362.34</v>
          </cell>
          <cell r="F4997">
            <v>390.04</v>
          </cell>
          <cell r="G4997">
            <v>308.64</v>
          </cell>
          <cell r="H4997">
            <v>7469</v>
          </cell>
          <cell r="I4997">
            <v>451.61</v>
          </cell>
        </row>
        <row r="4998">
          <cell r="A4998">
            <v>38839</v>
          </cell>
          <cell r="B4998">
            <v>3572.21</v>
          </cell>
          <cell r="C4998">
            <v>3862.24</v>
          </cell>
          <cell r="D4998">
            <v>339.89</v>
          </cell>
          <cell r="E4998">
            <v>364.56</v>
          </cell>
          <cell r="F4998">
            <v>392.24</v>
          </cell>
          <cell r="G4998">
            <v>311.48</v>
          </cell>
          <cell r="H4998">
            <v>7511.41</v>
          </cell>
          <cell r="I4998">
            <v>454.91</v>
          </cell>
        </row>
        <row r="4999">
          <cell r="A4999">
            <v>38840</v>
          </cell>
          <cell r="B4999">
            <v>3533.08</v>
          </cell>
          <cell r="C4999">
            <v>3821.97</v>
          </cell>
          <cell r="D4999">
            <v>337.2</v>
          </cell>
          <cell r="E4999">
            <v>361.63</v>
          </cell>
          <cell r="F4999">
            <v>389.1</v>
          </cell>
          <cell r="G4999">
            <v>309.04000000000002</v>
          </cell>
          <cell r="H4999">
            <v>7508.82</v>
          </cell>
          <cell r="I4999">
            <v>454.32</v>
          </cell>
        </row>
        <row r="5000">
          <cell r="A5000">
            <v>38841</v>
          </cell>
          <cell r="B5000">
            <v>3543.48</v>
          </cell>
          <cell r="C5000">
            <v>3843.08</v>
          </cell>
          <cell r="D5000">
            <v>338.76</v>
          </cell>
          <cell r="E5000">
            <v>363.84</v>
          </cell>
          <cell r="F5000">
            <v>391.18</v>
          </cell>
          <cell r="G5000">
            <v>310.02</v>
          </cell>
          <cell r="H5000">
            <v>7558.58</v>
          </cell>
          <cell r="I5000">
            <v>457.2</v>
          </cell>
        </row>
        <row r="5001">
          <cell r="A5001">
            <v>38842</v>
          </cell>
          <cell r="B5001">
            <v>3577.11</v>
          </cell>
          <cell r="C5001">
            <v>3874.32</v>
          </cell>
          <cell r="D5001">
            <v>342.11</v>
          </cell>
          <cell r="E5001">
            <v>367.03</v>
          </cell>
          <cell r="F5001">
            <v>394.74</v>
          </cell>
          <cell r="G5001">
            <v>313.43</v>
          </cell>
          <cell r="H5001">
            <v>7599.65</v>
          </cell>
          <cell r="I5001">
            <v>459.59</v>
          </cell>
        </row>
        <row r="5002">
          <cell r="A5002">
            <v>38845</v>
          </cell>
          <cell r="B5002">
            <v>3574.23</v>
          </cell>
          <cell r="C5002">
            <v>3877.53</v>
          </cell>
          <cell r="D5002">
            <v>342.37</v>
          </cell>
          <cell r="E5002">
            <v>367.82</v>
          </cell>
          <cell r="F5002">
            <v>395.61</v>
          </cell>
          <cell r="G5002">
            <v>313.23</v>
          </cell>
          <cell r="H5002">
            <v>7586.24</v>
          </cell>
          <cell r="I5002">
            <v>459.28</v>
          </cell>
        </row>
        <row r="5003">
          <cell r="A5003">
            <v>38846</v>
          </cell>
          <cell r="B5003">
            <v>3595.3</v>
          </cell>
          <cell r="C5003">
            <v>3890.94</v>
          </cell>
          <cell r="D5003">
            <v>343.84</v>
          </cell>
          <cell r="E5003">
            <v>368.92</v>
          </cell>
          <cell r="F5003">
            <v>396.93</v>
          </cell>
          <cell r="G5003">
            <v>314.98</v>
          </cell>
          <cell r="H5003">
            <v>7617.66</v>
          </cell>
          <cell r="I5003">
            <v>460.88</v>
          </cell>
        </row>
        <row r="5004">
          <cell r="A5004">
            <v>38847</v>
          </cell>
          <cell r="B5004">
            <v>3562.45</v>
          </cell>
          <cell r="C5004">
            <v>3863.56</v>
          </cell>
          <cell r="D5004">
            <v>341.94</v>
          </cell>
          <cell r="E5004">
            <v>367.08</v>
          </cell>
          <cell r="F5004">
            <v>395.07</v>
          </cell>
          <cell r="G5004">
            <v>313.07</v>
          </cell>
          <cell r="H5004">
            <v>7564.32</v>
          </cell>
          <cell r="I5004">
            <v>457.51</v>
          </cell>
        </row>
        <row r="5005">
          <cell r="A5005">
            <v>38848</v>
          </cell>
          <cell r="B5005">
            <v>3549.79</v>
          </cell>
          <cell r="C5005">
            <v>3837.86</v>
          </cell>
          <cell r="D5005">
            <v>340.78</v>
          </cell>
          <cell r="E5005">
            <v>364.82</v>
          </cell>
          <cell r="F5005">
            <v>393.1</v>
          </cell>
          <cell r="G5005">
            <v>312.87</v>
          </cell>
          <cell r="H5005">
            <v>7489.03</v>
          </cell>
          <cell r="I5005">
            <v>453.54</v>
          </cell>
        </row>
        <row r="5006">
          <cell r="A5006">
            <v>38849</v>
          </cell>
          <cell r="B5006">
            <v>3475.24</v>
          </cell>
          <cell r="C5006">
            <v>3750.44</v>
          </cell>
          <cell r="D5006">
            <v>333.68</v>
          </cell>
          <cell r="E5006">
            <v>356.75</v>
          </cell>
          <cell r="F5006">
            <v>384.89</v>
          </cell>
          <cell r="G5006">
            <v>306.77</v>
          </cell>
          <cell r="H5006">
            <v>7291.96</v>
          </cell>
          <cell r="I5006">
            <v>441.9</v>
          </cell>
        </row>
        <row r="5007">
          <cell r="A5007">
            <v>38852</v>
          </cell>
          <cell r="B5007">
            <v>3442.52</v>
          </cell>
          <cell r="C5007">
            <v>3711.16</v>
          </cell>
          <cell r="D5007">
            <v>328.8</v>
          </cell>
          <cell r="E5007">
            <v>351.79</v>
          </cell>
          <cell r="F5007">
            <v>378.99</v>
          </cell>
          <cell r="G5007">
            <v>302.06</v>
          </cell>
          <cell r="H5007">
            <v>7131.92</v>
          </cell>
          <cell r="I5007">
            <v>431.8</v>
          </cell>
        </row>
        <row r="5008">
          <cell r="A5008">
            <v>38853</v>
          </cell>
          <cell r="B5008">
            <v>3458.2</v>
          </cell>
          <cell r="C5008">
            <v>3730.36</v>
          </cell>
          <cell r="D5008">
            <v>329.29</v>
          </cell>
          <cell r="E5008">
            <v>352.26</v>
          </cell>
          <cell r="F5008">
            <v>379.52</v>
          </cell>
          <cell r="G5008">
            <v>302.56</v>
          </cell>
          <cell r="H5008">
            <v>7146.14</v>
          </cell>
          <cell r="I5008">
            <v>432.15</v>
          </cell>
        </row>
        <row r="5009">
          <cell r="A5009">
            <v>38854</v>
          </cell>
          <cell r="B5009">
            <v>3356.42</v>
          </cell>
          <cell r="C5009">
            <v>3605.19</v>
          </cell>
          <cell r="D5009">
            <v>320.08</v>
          </cell>
          <cell r="E5009">
            <v>341.52</v>
          </cell>
          <cell r="F5009">
            <v>368.11</v>
          </cell>
          <cell r="G5009">
            <v>294.86</v>
          </cell>
          <cell r="H5009">
            <v>6921.83</v>
          </cell>
          <cell r="I5009">
            <v>418.9</v>
          </cell>
        </row>
        <row r="5010">
          <cell r="A5010">
            <v>38855</v>
          </cell>
          <cell r="B5010">
            <v>3357.01</v>
          </cell>
          <cell r="C5010">
            <v>3606.33</v>
          </cell>
          <cell r="D5010">
            <v>318.63</v>
          </cell>
          <cell r="E5010">
            <v>340.24</v>
          </cell>
          <cell r="F5010">
            <v>365.91</v>
          </cell>
          <cell r="G5010">
            <v>293.27999999999997</v>
          </cell>
          <cell r="H5010">
            <v>6799.03</v>
          </cell>
          <cell r="I5010">
            <v>410.23</v>
          </cell>
        </row>
        <row r="5011">
          <cell r="A5011">
            <v>38856</v>
          </cell>
          <cell r="B5011">
            <v>3359.13</v>
          </cell>
          <cell r="C5011">
            <v>3625.25</v>
          </cell>
          <cell r="D5011">
            <v>318.77</v>
          </cell>
          <cell r="E5011">
            <v>341.48</v>
          </cell>
          <cell r="F5011">
            <v>366.96</v>
          </cell>
          <cell r="G5011">
            <v>292.47000000000003</v>
          </cell>
          <cell r="H5011">
            <v>6810.56</v>
          </cell>
          <cell r="I5011">
            <v>410.94</v>
          </cell>
        </row>
        <row r="5012">
          <cell r="A5012">
            <v>38859</v>
          </cell>
          <cell r="B5012">
            <v>3284.5</v>
          </cell>
          <cell r="C5012">
            <v>3539.77</v>
          </cell>
          <cell r="D5012">
            <v>309.62</v>
          </cell>
          <cell r="E5012">
            <v>331.38</v>
          </cell>
          <cell r="F5012">
            <v>356.06</v>
          </cell>
          <cell r="G5012">
            <v>284.33999999999997</v>
          </cell>
          <cell r="H5012">
            <v>6541.29</v>
          </cell>
          <cell r="I5012">
            <v>393.49</v>
          </cell>
        </row>
        <row r="5013">
          <cell r="A5013">
            <v>38860</v>
          </cell>
          <cell r="B5013">
            <v>3350.42</v>
          </cell>
          <cell r="C5013">
            <v>3620.28</v>
          </cell>
          <cell r="D5013">
            <v>317.51</v>
          </cell>
          <cell r="E5013">
            <v>339.36</v>
          </cell>
          <cell r="F5013">
            <v>365.17</v>
          </cell>
          <cell r="G5013">
            <v>291.98</v>
          </cell>
          <cell r="H5013">
            <v>6876.54</v>
          </cell>
          <cell r="I5013">
            <v>413.96</v>
          </cell>
        </row>
        <row r="5014">
          <cell r="A5014">
            <v>38861</v>
          </cell>
          <cell r="B5014">
            <v>3302.79</v>
          </cell>
          <cell r="C5014">
            <v>3574.86</v>
          </cell>
          <cell r="D5014">
            <v>313.06</v>
          </cell>
          <cell r="E5014">
            <v>335.5</v>
          </cell>
          <cell r="F5014">
            <v>360.64</v>
          </cell>
          <cell r="G5014">
            <v>287.13</v>
          </cell>
          <cell r="H5014">
            <v>6742.2</v>
          </cell>
          <cell r="I5014">
            <v>406.47</v>
          </cell>
        </row>
        <row r="5015">
          <cell r="A5015">
            <v>38862</v>
          </cell>
          <cell r="B5015">
            <v>3346.84</v>
          </cell>
          <cell r="C5015">
            <v>3635</v>
          </cell>
          <cell r="D5015">
            <v>316.91000000000003</v>
          </cell>
          <cell r="E5015">
            <v>340.18</v>
          </cell>
          <cell r="F5015">
            <v>364.42</v>
          </cell>
          <cell r="G5015">
            <v>290.19</v>
          </cell>
          <cell r="H5015">
            <v>6742.42</v>
          </cell>
          <cell r="I5015">
            <v>406.48</v>
          </cell>
        </row>
        <row r="5016">
          <cell r="A5016">
            <v>38863</v>
          </cell>
          <cell r="B5016">
            <v>3403.64</v>
          </cell>
          <cell r="C5016">
            <v>3699.8</v>
          </cell>
          <cell r="D5016">
            <v>323.17</v>
          </cell>
          <cell r="E5016">
            <v>346.61</v>
          </cell>
          <cell r="F5016">
            <v>372.09</v>
          </cell>
          <cell r="G5016">
            <v>296.16000000000003</v>
          </cell>
          <cell r="H5016">
            <v>6990.24</v>
          </cell>
          <cell r="I5016">
            <v>421.57</v>
          </cell>
        </row>
        <row r="5017">
          <cell r="A5017">
            <v>38866</v>
          </cell>
          <cell r="B5017">
            <v>3395.11</v>
          </cell>
          <cell r="C5017">
            <v>3679.57</v>
          </cell>
          <cell r="D5017">
            <v>322.91000000000003</v>
          </cell>
          <cell r="E5017">
            <v>345.75</v>
          </cell>
          <cell r="F5017">
            <v>371.8</v>
          </cell>
          <cell r="G5017">
            <v>296.42</v>
          </cell>
          <cell r="H5017">
            <v>7028.5</v>
          </cell>
          <cell r="I5017">
            <v>424.43</v>
          </cell>
        </row>
        <row r="5018">
          <cell r="A5018">
            <v>38867</v>
          </cell>
          <cell r="B5018">
            <v>3322.31</v>
          </cell>
          <cell r="C5018">
            <v>3590.91</v>
          </cell>
          <cell r="D5018">
            <v>315.85000000000002</v>
          </cell>
          <cell r="E5018">
            <v>337.83</v>
          </cell>
          <cell r="F5018">
            <v>363.33</v>
          </cell>
          <cell r="G5018">
            <v>290.26</v>
          </cell>
          <cell r="H5018">
            <v>6829.88</v>
          </cell>
          <cell r="I5018">
            <v>412.61</v>
          </cell>
        </row>
        <row r="5019">
          <cell r="A5019">
            <v>38868</v>
          </cell>
          <cell r="B5019">
            <v>3359.05</v>
          </cell>
          <cell r="C5019">
            <v>3637.17</v>
          </cell>
          <cell r="D5019">
            <v>318.86</v>
          </cell>
          <cell r="E5019">
            <v>341.54</v>
          </cell>
          <cell r="F5019">
            <v>366.98</v>
          </cell>
          <cell r="G5019">
            <v>292.60000000000002</v>
          </cell>
          <cell r="H5019">
            <v>6855.49</v>
          </cell>
          <cell r="I5019">
            <v>414.7</v>
          </cell>
        </row>
        <row r="5020">
          <cell r="A5020">
            <v>38869</v>
          </cell>
          <cell r="B5020">
            <v>3374.51</v>
          </cell>
          <cell r="C5020">
            <v>3648.33</v>
          </cell>
          <cell r="D5020">
            <v>320.10000000000002</v>
          </cell>
          <cell r="E5020">
            <v>342.67</v>
          </cell>
          <cell r="F5020">
            <v>368.31</v>
          </cell>
          <cell r="G5020">
            <v>293.91000000000003</v>
          </cell>
          <cell r="H5020">
            <v>6942.77</v>
          </cell>
          <cell r="I5020">
            <v>419.81</v>
          </cell>
        </row>
        <row r="5021">
          <cell r="A5021">
            <v>38870</v>
          </cell>
          <cell r="B5021">
            <v>3375.19</v>
          </cell>
          <cell r="C5021">
            <v>3636.89</v>
          </cell>
          <cell r="D5021">
            <v>320.95999999999998</v>
          </cell>
          <cell r="E5021">
            <v>342.75</v>
          </cell>
          <cell r="F5021">
            <v>368.92</v>
          </cell>
          <cell r="G5021">
            <v>295.41000000000003</v>
          </cell>
          <cell r="H5021">
            <v>6946.63</v>
          </cell>
          <cell r="I5021">
            <v>420.78</v>
          </cell>
        </row>
        <row r="5022">
          <cell r="A5022">
            <v>38873</v>
          </cell>
          <cell r="B5022">
            <v>3354.37</v>
          </cell>
          <cell r="C5022">
            <v>3604.33</v>
          </cell>
          <cell r="D5022">
            <v>318.94</v>
          </cell>
          <cell r="E5022">
            <v>340.05</v>
          </cell>
          <cell r="F5022">
            <v>366.75</v>
          </cell>
          <cell r="G5022">
            <v>294.02</v>
          </cell>
          <cell r="H5022">
            <v>6938.32</v>
          </cell>
          <cell r="I5022">
            <v>419.57</v>
          </cell>
        </row>
        <row r="5023">
          <cell r="A5023">
            <v>38874</v>
          </cell>
          <cell r="B5023">
            <v>3296.57</v>
          </cell>
          <cell r="C5023">
            <v>3529.1</v>
          </cell>
          <cell r="D5023">
            <v>312.57</v>
          </cell>
          <cell r="E5023">
            <v>332.22</v>
          </cell>
          <cell r="F5023">
            <v>358.67</v>
          </cell>
          <cell r="G5023">
            <v>289.05</v>
          </cell>
          <cell r="H5023">
            <v>6835.24</v>
          </cell>
          <cell r="I5023">
            <v>411.77</v>
          </cell>
        </row>
        <row r="5024">
          <cell r="A5024">
            <v>38875</v>
          </cell>
          <cell r="B5024">
            <v>3325.64</v>
          </cell>
          <cell r="C5024">
            <v>3562.36</v>
          </cell>
          <cell r="D5024">
            <v>314.26</v>
          </cell>
          <cell r="E5024">
            <v>334.44</v>
          </cell>
          <cell r="F5024">
            <v>360.34</v>
          </cell>
          <cell r="G5024">
            <v>290.24</v>
          </cell>
          <cell r="H5024">
            <v>6769.37</v>
          </cell>
          <cell r="I5024">
            <v>408.16</v>
          </cell>
        </row>
        <row r="5025">
          <cell r="A5025">
            <v>38876</v>
          </cell>
          <cell r="B5025">
            <v>3240.06</v>
          </cell>
          <cell r="C5025">
            <v>3462.37</v>
          </cell>
          <cell r="D5025">
            <v>305.83999999999997</v>
          </cell>
          <cell r="E5025">
            <v>325.43</v>
          </cell>
          <cell r="F5025">
            <v>349.99</v>
          </cell>
          <cell r="G5025">
            <v>282.51</v>
          </cell>
          <cell r="H5025">
            <v>6464.98</v>
          </cell>
          <cell r="I5025">
            <v>389.62</v>
          </cell>
        </row>
        <row r="5026">
          <cell r="A5026">
            <v>38877</v>
          </cell>
          <cell r="B5026">
            <v>3295.93</v>
          </cell>
          <cell r="C5026">
            <v>3520.99</v>
          </cell>
          <cell r="D5026">
            <v>311.01</v>
          </cell>
          <cell r="E5026">
            <v>330.38</v>
          </cell>
          <cell r="F5026">
            <v>355.62</v>
          </cell>
          <cell r="G5026">
            <v>287.75</v>
          </cell>
          <cell r="H5026">
            <v>6624.53</v>
          </cell>
          <cell r="I5026">
            <v>398.77</v>
          </cell>
        </row>
        <row r="5027">
          <cell r="A5027">
            <v>38880</v>
          </cell>
          <cell r="B5027">
            <v>3269.93</v>
          </cell>
          <cell r="C5027">
            <v>3480.76</v>
          </cell>
          <cell r="D5027">
            <v>308.55</v>
          </cell>
          <cell r="E5027">
            <v>326.95</v>
          </cell>
          <cell r="F5027">
            <v>351.61</v>
          </cell>
          <cell r="G5027">
            <v>286.19</v>
          </cell>
          <cell r="H5027">
            <v>6503.36</v>
          </cell>
          <cell r="I5027">
            <v>391.77</v>
          </cell>
        </row>
        <row r="5028">
          <cell r="A5028">
            <v>38881</v>
          </cell>
          <cell r="B5028">
            <v>3204.56</v>
          </cell>
          <cell r="C5028">
            <v>3408.02</v>
          </cell>
          <cell r="D5028">
            <v>301.66000000000003</v>
          </cell>
          <cell r="E5028">
            <v>319.75</v>
          </cell>
          <cell r="F5028">
            <v>343.37</v>
          </cell>
          <cell r="G5028">
            <v>279.7</v>
          </cell>
          <cell r="H5028">
            <v>6289.04</v>
          </cell>
          <cell r="I5028">
            <v>378.23</v>
          </cell>
        </row>
        <row r="5029">
          <cell r="A5029">
            <v>38882</v>
          </cell>
          <cell r="B5029">
            <v>3204.35</v>
          </cell>
          <cell r="C5029">
            <v>3414.21</v>
          </cell>
          <cell r="D5029">
            <v>302.25</v>
          </cell>
          <cell r="E5029">
            <v>320.27</v>
          </cell>
          <cell r="F5029">
            <v>344.4</v>
          </cell>
          <cell r="G5029">
            <v>280.35000000000002</v>
          </cell>
          <cell r="H5029">
            <v>6371.77</v>
          </cell>
          <cell r="I5029">
            <v>382.52</v>
          </cell>
        </row>
        <row r="5030">
          <cell r="A5030">
            <v>38883</v>
          </cell>
          <cell r="B5030">
            <v>3269.05</v>
          </cell>
          <cell r="C5030">
            <v>3493.25</v>
          </cell>
          <cell r="D5030">
            <v>309.62</v>
          </cell>
          <cell r="E5030">
            <v>328.31</v>
          </cell>
          <cell r="F5030">
            <v>353.17</v>
          </cell>
          <cell r="G5030">
            <v>286.98</v>
          </cell>
          <cell r="H5030">
            <v>6589.54</v>
          </cell>
          <cell r="I5030">
            <v>397.46</v>
          </cell>
        </row>
        <row r="5031">
          <cell r="A5031">
            <v>38884</v>
          </cell>
          <cell r="B5031">
            <v>3247.14</v>
          </cell>
          <cell r="C5031">
            <v>3463.56</v>
          </cell>
          <cell r="D5031">
            <v>307.56</v>
          </cell>
          <cell r="E5031">
            <v>326.01</v>
          </cell>
          <cell r="F5031">
            <v>350.49</v>
          </cell>
          <cell r="G5031">
            <v>285.18</v>
          </cell>
          <cell r="H5031">
            <v>6483.39</v>
          </cell>
          <cell r="I5031">
            <v>391.1</v>
          </cell>
        </row>
        <row r="5032">
          <cell r="A5032">
            <v>38887</v>
          </cell>
          <cell r="B5032">
            <v>3266.68</v>
          </cell>
          <cell r="C5032">
            <v>3490.24</v>
          </cell>
          <cell r="D5032">
            <v>309.77999999999997</v>
          </cell>
          <cell r="E5032">
            <v>328.67</v>
          </cell>
          <cell r="F5032">
            <v>353.39</v>
          </cell>
          <cell r="G5032">
            <v>286.95999999999998</v>
          </cell>
          <cell r="H5032">
            <v>6572.04</v>
          </cell>
          <cell r="I5032">
            <v>396.71</v>
          </cell>
        </row>
        <row r="5033">
          <cell r="A5033">
            <v>38888</v>
          </cell>
          <cell r="B5033">
            <v>3290.68</v>
          </cell>
          <cell r="C5033">
            <v>3514.83</v>
          </cell>
          <cell r="D5033">
            <v>311.39999999999998</v>
          </cell>
          <cell r="E5033">
            <v>330.5</v>
          </cell>
          <cell r="F5033">
            <v>355.11</v>
          </cell>
          <cell r="G5033">
            <v>288.38</v>
          </cell>
          <cell r="H5033">
            <v>6566.88</v>
          </cell>
          <cell r="I5033">
            <v>395.86</v>
          </cell>
        </row>
        <row r="5034">
          <cell r="A5034">
            <v>38889</v>
          </cell>
          <cell r="B5034">
            <v>3292.09</v>
          </cell>
          <cell r="C5034">
            <v>3526.86</v>
          </cell>
          <cell r="D5034">
            <v>311.47000000000003</v>
          </cell>
          <cell r="E5034">
            <v>331.16</v>
          </cell>
          <cell r="F5034">
            <v>355.91</v>
          </cell>
          <cell r="G5034">
            <v>287.93</v>
          </cell>
          <cell r="H5034">
            <v>6602.24</v>
          </cell>
          <cell r="I5034">
            <v>397.57</v>
          </cell>
        </row>
        <row r="5035">
          <cell r="A5035">
            <v>38890</v>
          </cell>
          <cell r="B5035">
            <v>3300.76</v>
          </cell>
          <cell r="C5035">
            <v>3544.85</v>
          </cell>
          <cell r="D5035">
            <v>312.72000000000003</v>
          </cell>
          <cell r="E5035">
            <v>333</v>
          </cell>
          <cell r="F5035">
            <v>357.89</v>
          </cell>
          <cell r="G5035">
            <v>288.64999999999998</v>
          </cell>
          <cell r="H5035">
            <v>6618.13</v>
          </cell>
          <cell r="I5035">
            <v>398.24</v>
          </cell>
        </row>
        <row r="5036">
          <cell r="A5036">
            <v>38891</v>
          </cell>
          <cell r="B5036">
            <v>3306.57</v>
          </cell>
          <cell r="C5036">
            <v>3550.15</v>
          </cell>
          <cell r="D5036">
            <v>313.17</v>
          </cell>
          <cell r="E5036">
            <v>333.5</v>
          </cell>
          <cell r="F5036">
            <v>358.57</v>
          </cell>
          <cell r="G5036">
            <v>289.06</v>
          </cell>
          <cell r="H5036">
            <v>6654.32</v>
          </cell>
          <cell r="I5036">
            <v>400.29</v>
          </cell>
        </row>
        <row r="5037">
          <cell r="A5037">
            <v>38894</v>
          </cell>
          <cell r="B5037">
            <v>3289.82</v>
          </cell>
          <cell r="C5037">
            <v>3534.84</v>
          </cell>
          <cell r="D5037">
            <v>312.3</v>
          </cell>
          <cell r="E5037">
            <v>333.02</v>
          </cell>
          <cell r="F5037">
            <v>357.95</v>
          </cell>
          <cell r="G5037">
            <v>287.87</v>
          </cell>
          <cell r="H5037">
            <v>6660.46</v>
          </cell>
          <cell r="I5037">
            <v>400.68</v>
          </cell>
        </row>
        <row r="5038">
          <cell r="A5038">
            <v>38895</v>
          </cell>
          <cell r="B5038">
            <v>3266.27</v>
          </cell>
          <cell r="C5038">
            <v>3506.93</v>
          </cell>
          <cell r="D5038">
            <v>310.19</v>
          </cell>
          <cell r="E5038">
            <v>330.71</v>
          </cell>
          <cell r="F5038">
            <v>355.33</v>
          </cell>
          <cell r="G5038">
            <v>285.98</v>
          </cell>
          <cell r="H5038">
            <v>6594.17</v>
          </cell>
          <cell r="I5038">
            <v>397.27</v>
          </cell>
        </row>
        <row r="5039">
          <cell r="A5039">
            <v>38896</v>
          </cell>
          <cell r="B5039">
            <v>3275.87</v>
          </cell>
          <cell r="C5039">
            <v>3506.02</v>
          </cell>
          <cell r="D5039">
            <v>310.7</v>
          </cell>
          <cell r="E5039">
            <v>330.28</v>
          </cell>
          <cell r="F5039">
            <v>355.21</v>
          </cell>
          <cell r="G5039">
            <v>287.27999999999997</v>
          </cell>
          <cell r="H5039">
            <v>6568.02</v>
          </cell>
          <cell r="I5039">
            <v>395.04</v>
          </cell>
        </row>
        <row r="5040">
          <cell r="A5040">
            <v>38897</v>
          </cell>
          <cell r="B5040">
            <v>3334.31</v>
          </cell>
          <cell r="C5040">
            <v>3582.61</v>
          </cell>
          <cell r="D5040">
            <v>316.22000000000003</v>
          </cell>
          <cell r="E5040">
            <v>336.65</v>
          </cell>
          <cell r="F5040">
            <v>361.87</v>
          </cell>
          <cell r="G5040">
            <v>291.95999999999998</v>
          </cell>
          <cell r="H5040">
            <v>6723.99</v>
          </cell>
          <cell r="I5040">
            <v>404.15</v>
          </cell>
        </row>
        <row r="5041">
          <cell r="A5041">
            <v>38898</v>
          </cell>
          <cell r="B5041">
            <v>3378.85</v>
          </cell>
          <cell r="C5041">
            <v>3648.92</v>
          </cell>
          <cell r="D5041">
            <v>320.66000000000003</v>
          </cell>
          <cell r="E5041">
            <v>342.65</v>
          </cell>
          <cell r="F5041">
            <v>368.03</v>
          </cell>
          <cell r="G5041">
            <v>294.95</v>
          </cell>
          <cell r="H5041">
            <v>6826.61</v>
          </cell>
          <cell r="I5041">
            <v>411.65</v>
          </cell>
        </row>
        <row r="5042">
          <cell r="A5042">
            <v>38901</v>
          </cell>
          <cell r="B5042">
            <v>3396.78</v>
          </cell>
          <cell r="C5042">
            <v>3662.92</v>
          </cell>
          <cell r="D5042">
            <v>322.2</v>
          </cell>
          <cell r="E5042">
            <v>344.23</v>
          </cell>
          <cell r="F5042">
            <v>369.95</v>
          </cell>
          <cell r="G5042">
            <v>296.42</v>
          </cell>
          <cell r="H5042">
            <v>6854.01</v>
          </cell>
          <cell r="I5042">
            <v>413.62</v>
          </cell>
        </row>
        <row r="5043">
          <cell r="A5043">
            <v>38902</v>
          </cell>
          <cell r="B5043">
            <v>3402.72</v>
          </cell>
          <cell r="C5043">
            <v>3670.75</v>
          </cell>
          <cell r="D5043">
            <v>322.87</v>
          </cell>
          <cell r="E5043">
            <v>344.85</v>
          </cell>
          <cell r="F5043">
            <v>370.75</v>
          </cell>
          <cell r="G5043">
            <v>297.13</v>
          </cell>
          <cell r="H5043">
            <v>6909.61</v>
          </cell>
          <cell r="I5043">
            <v>416.47</v>
          </cell>
        </row>
        <row r="5044">
          <cell r="A5044">
            <v>38903</v>
          </cell>
          <cell r="B5044">
            <v>3365.79</v>
          </cell>
          <cell r="C5044">
            <v>3618.64</v>
          </cell>
          <cell r="D5044">
            <v>318.98</v>
          </cell>
          <cell r="E5044">
            <v>340.29</v>
          </cell>
          <cell r="F5044">
            <v>365.99</v>
          </cell>
          <cell r="G5044">
            <v>293.89</v>
          </cell>
          <cell r="H5044">
            <v>6821.28</v>
          </cell>
          <cell r="I5044">
            <v>410.8</v>
          </cell>
        </row>
        <row r="5045">
          <cell r="A5045">
            <v>38904</v>
          </cell>
          <cell r="B5045">
            <v>3404.24</v>
          </cell>
          <cell r="C5045">
            <v>3662.39</v>
          </cell>
          <cell r="D5045">
            <v>321.94</v>
          </cell>
          <cell r="E5045">
            <v>343.57</v>
          </cell>
          <cell r="F5045">
            <v>369.4</v>
          </cell>
          <cell r="G5045">
            <v>296.52999999999997</v>
          </cell>
          <cell r="H5045">
            <v>6880.46</v>
          </cell>
          <cell r="I5045">
            <v>414.68</v>
          </cell>
        </row>
        <row r="5046">
          <cell r="A5046">
            <v>38905</v>
          </cell>
          <cell r="B5046">
            <v>3398.76</v>
          </cell>
          <cell r="C5046">
            <v>3651.33</v>
          </cell>
          <cell r="D5046">
            <v>321.35000000000002</v>
          </cell>
          <cell r="E5046">
            <v>342.54</v>
          </cell>
          <cell r="F5046">
            <v>368.13</v>
          </cell>
          <cell r="G5046">
            <v>296.32</v>
          </cell>
          <cell r="H5046">
            <v>6841.96</v>
          </cell>
          <cell r="I5046">
            <v>411.63</v>
          </cell>
        </row>
        <row r="5047">
          <cell r="A5047">
            <v>38908</v>
          </cell>
          <cell r="B5047">
            <v>3411.93</v>
          </cell>
          <cell r="C5047">
            <v>3666.51</v>
          </cell>
          <cell r="D5047">
            <v>322.41000000000003</v>
          </cell>
          <cell r="E5047">
            <v>343.94</v>
          </cell>
          <cell r="F5047">
            <v>369.52</v>
          </cell>
          <cell r="G5047">
            <v>297.07</v>
          </cell>
          <cell r="H5047">
            <v>6835.17</v>
          </cell>
          <cell r="I5047">
            <v>411.12</v>
          </cell>
        </row>
        <row r="5048">
          <cell r="A5048">
            <v>38909</v>
          </cell>
          <cell r="B5048">
            <v>3380.41</v>
          </cell>
          <cell r="C5048">
            <v>3617.78</v>
          </cell>
          <cell r="D5048">
            <v>319.45</v>
          </cell>
          <cell r="E5048">
            <v>339.9</v>
          </cell>
          <cell r="F5048">
            <v>365.73</v>
          </cell>
          <cell r="G5048">
            <v>295.08999999999997</v>
          </cell>
          <cell r="H5048">
            <v>6767.38</v>
          </cell>
          <cell r="I5048">
            <v>407.07</v>
          </cell>
        </row>
        <row r="5049">
          <cell r="A5049">
            <v>38910</v>
          </cell>
          <cell r="B5049">
            <v>3380.5</v>
          </cell>
          <cell r="C5049">
            <v>3630.5</v>
          </cell>
          <cell r="D5049">
            <v>320.3</v>
          </cell>
          <cell r="E5049">
            <v>341.4</v>
          </cell>
          <cell r="F5049">
            <v>367.24</v>
          </cell>
          <cell r="G5049">
            <v>295.38</v>
          </cell>
          <cell r="H5049">
            <v>6781.65</v>
          </cell>
          <cell r="I5049">
            <v>408.53</v>
          </cell>
        </row>
        <row r="5050">
          <cell r="A5050">
            <v>38911</v>
          </cell>
          <cell r="B5050">
            <v>3333.93</v>
          </cell>
          <cell r="C5050">
            <v>3562.56</v>
          </cell>
          <cell r="D5050">
            <v>315.64</v>
          </cell>
          <cell r="E5050">
            <v>335.52</v>
          </cell>
          <cell r="F5050">
            <v>361.3</v>
          </cell>
          <cell r="G5050">
            <v>291.83999999999997</v>
          </cell>
          <cell r="H5050">
            <v>6675.2</v>
          </cell>
          <cell r="I5050">
            <v>400.98</v>
          </cell>
        </row>
        <row r="5051">
          <cell r="A5051">
            <v>38912</v>
          </cell>
          <cell r="B5051">
            <v>3293.76</v>
          </cell>
          <cell r="C5051">
            <v>3508.25</v>
          </cell>
          <cell r="D5051">
            <v>311.68</v>
          </cell>
          <cell r="E5051">
            <v>330.75</v>
          </cell>
          <cell r="F5051">
            <v>356.33</v>
          </cell>
          <cell r="G5051">
            <v>288.68</v>
          </cell>
          <cell r="H5051">
            <v>6590.04</v>
          </cell>
          <cell r="I5051">
            <v>395.51</v>
          </cell>
        </row>
        <row r="5052">
          <cell r="A5052">
            <v>38915</v>
          </cell>
          <cell r="B5052">
            <v>3291.25</v>
          </cell>
          <cell r="C5052">
            <v>3498.62</v>
          </cell>
          <cell r="D5052">
            <v>310.39999999999998</v>
          </cell>
          <cell r="E5052">
            <v>328.82</v>
          </cell>
          <cell r="F5052">
            <v>354.26</v>
          </cell>
          <cell r="G5052">
            <v>287.99</v>
          </cell>
          <cell r="H5052">
            <v>6530.36</v>
          </cell>
          <cell r="I5052">
            <v>391.27</v>
          </cell>
        </row>
        <row r="5053">
          <cell r="A5053">
            <v>38916</v>
          </cell>
          <cell r="B5053">
            <v>3288</v>
          </cell>
          <cell r="C5053">
            <v>3492.11</v>
          </cell>
          <cell r="D5053">
            <v>309.82</v>
          </cell>
          <cell r="E5053">
            <v>327.98</v>
          </cell>
          <cell r="F5053">
            <v>352.86</v>
          </cell>
          <cell r="G5053">
            <v>287.63</v>
          </cell>
          <cell r="H5053">
            <v>6480.33</v>
          </cell>
          <cell r="I5053">
            <v>388.48</v>
          </cell>
        </row>
        <row r="5054">
          <cell r="A5054">
            <v>38917</v>
          </cell>
          <cell r="B5054">
            <v>3357.73</v>
          </cell>
          <cell r="C5054">
            <v>3585.65</v>
          </cell>
          <cell r="D5054">
            <v>316.8</v>
          </cell>
          <cell r="E5054">
            <v>336.19</v>
          </cell>
          <cell r="F5054">
            <v>361.36</v>
          </cell>
          <cell r="G5054">
            <v>293.41000000000003</v>
          </cell>
          <cell r="H5054">
            <v>6670.07</v>
          </cell>
          <cell r="I5054">
            <v>401.04</v>
          </cell>
        </row>
        <row r="5055">
          <cell r="A5055">
            <v>38918</v>
          </cell>
          <cell r="B5055">
            <v>3357.92</v>
          </cell>
          <cell r="C5055">
            <v>3589.63</v>
          </cell>
          <cell r="D5055">
            <v>317.5</v>
          </cell>
          <cell r="E5055">
            <v>337.23</v>
          </cell>
          <cell r="F5055">
            <v>362.74</v>
          </cell>
          <cell r="G5055">
            <v>293.79000000000002</v>
          </cell>
          <cell r="H5055">
            <v>6707.48</v>
          </cell>
          <cell r="I5055">
            <v>403.46</v>
          </cell>
        </row>
        <row r="5056">
          <cell r="A5056">
            <v>38919</v>
          </cell>
          <cell r="B5056">
            <v>3331.97</v>
          </cell>
          <cell r="C5056">
            <v>3557.08</v>
          </cell>
          <cell r="D5056">
            <v>314.56</v>
          </cell>
          <cell r="E5056">
            <v>333.57</v>
          </cell>
          <cell r="F5056">
            <v>359.11</v>
          </cell>
          <cell r="G5056">
            <v>291.54000000000002</v>
          </cell>
          <cell r="H5056">
            <v>6627.7</v>
          </cell>
          <cell r="I5056">
            <v>397.92</v>
          </cell>
        </row>
        <row r="5057">
          <cell r="A5057">
            <v>38922</v>
          </cell>
          <cell r="B5057">
            <v>3402.83</v>
          </cell>
          <cell r="C5057">
            <v>3632.93</v>
          </cell>
          <cell r="D5057">
            <v>320.41000000000003</v>
          </cell>
          <cell r="E5057">
            <v>339.92</v>
          </cell>
          <cell r="F5057">
            <v>365.62</v>
          </cell>
          <cell r="G5057">
            <v>296.85000000000002</v>
          </cell>
          <cell r="H5057">
            <v>6715.41</v>
          </cell>
          <cell r="I5057">
            <v>403.15</v>
          </cell>
        </row>
        <row r="5058">
          <cell r="A5058">
            <v>38923</v>
          </cell>
          <cell r="B5058">
            <v>3398.2</v>
          </cell>
          <cell r="C5058">
            <v>3631.5</v>
          </cell>
          <cell r="D5058">
            <v>320.77999999999997</v>
          </cell>
          <cell r="E5058">
            <v>340.19</v>
          </cell>
          <cell r="F5058">
            <v>366.01</v>
          </cell>
          <cell r="G5058">
            <v>297.29000000000002</v>
          </cell>
          <cell r="H5058">
            <v>6734.27</v>
          </cell>
          <cell r="I5058">
            <v>405.05</v>
          </cell>
        </row>
        <row r="5059">
          <cell r="A5059">
            <v>38924</v>
          </cell>
          <cell r="B5059">
            <v>3407.23</v>
          </cell>
          <cell r="C5059">
            <v>3640.75</v>
          </cell>
          <cell r="D5059">
            <v>322.11</v>
          </cell>
          <cell r="E5059">
            <v>341.26</v>
          </cell>
          <cell r="F5059">
            <v>367.39</v>
          </cell>
          <cell r="G5059">
            <v>298.81</v>
          </cell>
          <cell r="H5059">
            <v>6772.05</v>
          </cell>
          <cell r="I5059">
            <v>406.59</v>
          </cell>
        </row>
        <row r="5060">
          <cell r="A5060">
            <v>38925</v>
          </cell>
          <cell r="B5060">
            <v>3441.4</v>
          </cell>
          <cell r="C5060">
            <v>3681.55</v>
          </cell>
          <cell r="D5060">
            <v>325.37</v>
          </cell>
          <cell r="E5060">
            <v>345.1</v>
          </cell>
          <cell r="F5060">
            <v>371.42</v>
          </cell>
          <cell r="G5060">
            <v>301.51</v>
          </cell>
          <cell r="H5060">
            <v>6871</v>
          </cell>
          <cell r="I5060">
            <v>412.17</v>
          </cell>
        </row>
        <row r="5061">
          <cell r="A5061">
            <v>38926</v>
          </cell>
          <cell r="B5061">
            <v>3469.71</v>
          </cell>
          <cell r="C5061">
            <v>3710.6</v>
          </cell>
          <cell r="D5061">
            <v>327.32</v>
          </cell>
          <cell r="E5061">
            <v>347.24</v>
          </cell>
          <cell r="F5061">
            <v>373.84</v>
          </cell>
          <cell r="G5061">
            <v>303.26</v>
          </cell>
          <cell r="H5061">
            <v>6869.55</v>
          </cell>
          <cell r="I5061">
            <v>412.34</v>
          </cell>
        </row>
        <row r="5062">
          <cell r="A5062">
            <v>38929</v>
          </cell>
          <cell r="B5062">
            <v>3449.15</v>
          </cell>
          <cell r="C5062">
            <v>3691.87</v>
          </cell>
          <cell r="D5062">
            <v>326.04000000000002</v>
          </cell>
          <cell r="E5062">
            <v>346.1</v>
          </cell>
          <cell r="F5062">
            <v>372.79</v>
          </cell>
          <cell r="G5062">
            <v>301.88</v>
          </cell>
          <cell r="H5062">
            <v>6829.96</v>
          </cell>
          <cell r="I5062">
            <v>410.69</v>
          </cell>
        </row>
        <row r="5063">
          <cell r="A5063">
            <v>38930</v>
          </cell>
          <cell r="B5063">
            <v>3414.84</v>
          </cell>
          <cell r="C5063">
            <v>3640.6</v>
          </cell>
          <cell r="D5063">
            <v>323.51</v>
          </cell>
          <cell r="E5063">
            <v>342.64</v>
          </cell>
          <cell r="F5063">
            <v>369.56</v>
          </cell>
          <cell r="G5063">
            <v>300.20999999999998</v>
          </cell>
          <cell r="H5063">
            <v>6763.09</v>
          </cell>
          <cell r="I5063">
            <v>407.22</v>
          </cell>
        </row>
        <row r="5064">
          <cell r="A5064">
            <v>38931</v>
          </cell>
          <cell r="B5064">
            <v>3446.74</v>
          </cell>
          <cell r="C5064">
            <v>3696.35</v>
          </cell>
          <cell r="D5064">
            <v>326.8</v>
          </cell>
          <cell r="E5064">
            <v>347.14</v>
          </cell>
          <cell r="F5064">
            <v>373.56</v>
          </cell>
          <cell r="G5064">
            <v>302.39</v>
          </cell>
          <cell r="H5064">
            <v>6861.61</v>
          </cell>
          <cell r="I5064">
            <v>412.4</v>
          </cell>
        </row>
        <row r="5065">
          <cell r="A5065">
            <v>38932</v>
          </cell>
          <cell r="B5065">
            <v>3416.75</v>
          </cell>
          <cell r="C5065">
            <v>3667.91</v>
          </cell>
          <cell r="D5065">
            <v>324.12</v>
          </cell>
          <cell r="E5065">
            <v>344.63</v>
          </cell>
          <cell r="F5065">
            <v>370.52</v>
          </cell>
          <cell r="G5065">
            <v>299.61</v>
          </cell>
          <cell r="H5065">
            <v>6826.46</v>
          </cell>
          <cell r="I5065">
            <v>409.77</v>
          </cell>
        </row>
        <row r="5066">
          <cell r="A5066">
            <v>38933</v>
          </cell>
          <cell r="B5066">
            <v>3463.42</v>
          </cell>
          <cell r="C5066">
            <v>3718.09</v>
          </cell>
          <cell r="D5066">
            <v>327.87</v>
          </cell>
          <cell r="E5066">
            <v>348.67</v>
          </cell>
          <cell r="F5066">
            <v>374.54</v>
          </cell>
          <cell r="G5066">
            <v>303.02999999999997</v>
          </cell>
          <cell r="H5066">
            <v>6859.85</v>
          </cell>
          <cell r="I5066">
            <v>412.22</v>
          </cell>
        </row>
        <row r="5067">
          <cell r="A5067">
            <v>38936</v>
          </cell>
          <cell r="B5067">
            <v>3421.69</v>
          </cell>
          <cell r="C5067">
            <v>3658.25</v>
          </cell>
          <cell r="D5067">
            <v>324.23</v>
          </cell>
          <cell r="E5067">
            <v>343.94</v>
          </cell>
          <cell r="F5067">
            <v>369.79</v>
          </cell>
          <cell r="G5067">
            <v>300.41000000000003</v>
          </cell>
          <cell r="H5067">
            <v>6796.83</v>
          </cell>
          <cell r="I5067">
            <v>407.89</v>
          </cell>
        </row>
        <row r="5068">
          <cell r="A5068">
            <v>38937</v>
          </cell>
          <cell r="B5068">
            <v>3421.5</v>
          </cell>
          <cell r="C5068">
            <v>3668.1</v>
          </cell>
          <cell r="D5068">
            <v>324.44</v>
          </cell>
          <cell r="E5068">
            <v>344.78</v>
          </cell>
          <cell r="F5068">
            <v>370.41</v>
          </cell>
          <cell r="G5068">
            <v>300.08</v>
          </cell>
          <cell r="H5068">
            <v>6805.6</v>
          </cell>
          <cell r="I5068">
            <v>408.46</v>
          </cell>
        </row>
        <row r="5069">
          <cell r="A5069">
            <v>38938</v>
          </cell>
          <cell r="B5069">
            <v>3456.15</v>
          </cell>
          <cell r="C5069">
            <v>3707.19</v>
          </cell>
          <cell r="D5069">
            <v>326.61</v>
          </cell>
          <cell r="E5069">
            <v>347.48</v>
          </cell>
          <cell r="F5069">
            <v>373.4</v>
          </cell>
          <cell r="G5069">
            <v>301.73</v>
          </cell>
          <cell r="H5069">
            <v>6848.34</v>
          </cell>
          <cell r="I5069">
            <v>411.48</v>
          </cell>
        </row>
        <row r="5070">
          <cell r="A5070">
            <v>38939</v>
          </cell>
          <cell r="B5070">
            <v>3427.45</v>
          </cell>
          <cell r="C5070">
            <v>3675.44</v>
          </cell>
          <cell r="D5070">
            <v>324.04000000000002</v>
          </cell>
          <cell r="E5070">
            <v>344.62</v>
          </cell>
          <cell r="F5070">
            <v>370.24</v>
          </cell>
          <cell r="G5070">
            <v>299.47000000000003</v>
          </cell>
          <cell r="H5070">
            <v>6779.15</v>
          </cell>
          <cell r="I5070">
            <v>407.27</v>
          </cell>
        </row>
        <row r="5071">
          <cell r="A5071">
            <v>38940</v>
          </cell>
          <cell r="B5071">
            <v>3427.39</v>
          </cell>
          <cell r="C5071">
            <v>3675.06</v>
          </cell>
          <cell r="D5071">
            <v>324.45</v>
          </cell>
          <cell r="E5071">
            <v>344.66</v>
          </cell>
          <cell r="F5071">
            <v>370.42</v>
          </cell>
          <cell r="G5071">
            <v>300.18</v>
          </cell>
          <cell r="H5071">
            <v>6784.17</v>
          </cell>
          <cell r="I5071">
            <v>407.43</v>
          </cell>
        </row>
        <row r="5072">
          <cell r="A5072">
            <v>38943</v>
          </cell>
          <cell r="B5072">
            <v>3460.5</v>
          </cell>
          <cell r="C5072">
            <v>3719.11</v>
          </cell>
          <cell r="D5072">
            <v>327.36</v>
          </cell>
          <cell r="E5072">
            <v>348.24</v>
          </cell>
          <cell r="F5072">
            <v>373.9</v>
          </cell>
          <cell r="G5072">
            <v>302.45999999999998</v>
          </cell>
          <cell r="H5072">
            <v>6821.83</v>
          </cell>
          <cell r="I5072">
            <v>410.19</v>
          </cell>
        </row>
        <row r="5073">
          <cell r="A5073">
            <v>38944</v>
          </cell>
          <cell r="B5073">
            <v>3493.68</v>
          </cell>
          <cell r="C5073">
            <v>3766.38</v>
          </cell>
          <cell r="D5073">
            <v>330.12</v>
          </cell>
          <cell r="E5073">
            <v>351.75</v>
          </cell>
          <cell r="F5073">
            <v>378.13</v>
          </cell>
          <cell r="G5073">
            <v>304.51</v>
          </cell>
          <cell r="H5073">
            <v>6938.61</v>
          </cell>
          <cell r="I5073">
            <v>415.96</v>
          </cell>
        </row>
        <row r="5074">
          <cell r="A5074">
            <v>38945</v>
          </cell>
          <cell r="B5074">
            <v>3499.21</v>
          </cell>
          <cell r="C5074">
            <v>3791.1</v>
          </cell>
          <cell r="D5074">
            <v>331.43</v>
          </cell>
          <cell r="E5074">
            <v>354.39</v>
          </cell>
          <cell r="F5074">
            <v>380.85</v>
          </cell>
          <cell r="G5074">
            <v>304.66000000000003</v>
          </cell>
          <cell r="H5074">
            <v>6985.51</v>
          </cell>
          <cell r="I5074">
            <v>420.03</v>
          </cell>
        </row>
        <row r="5075">
          <cell r="A5075">
            <v>38946</v>
          </cell>
          <cell r="B5075">
            <v>3497.72</v>
          </cell>
          <cell r="C5075">
            <v>3800.1</v>
          </cell>
          <cell r="D5075">
            <v>331.84</v>
          </cell>
          <cell r="E5075">
            <v>355.49</v>
          </cell>
          <cell r="F5075">
            <v>382.1</v>
          </cell>
          <cell r="G5075">
            <v>304.45999999999998</v>
          </cell>
          <cell r="H5075">
            <v>7029.28</v>
          </cell>
          <cell r="I5075">
            <v>423.16</v>
          </cell>
        </row>
        <row r="5076">
          <cell r="A5076">
            <v>38947</v>
          </cell>
          <cell r="B5076">
            <v>3487.22</v>
          </cell>
          <cell r="C5076">
            <v>3791.4</v>
          </cell>
          <cell r="D5076">
            <v>330.98</v>
          </cell>
          <cell r="E5076">
            <v>354.94</v>
          </cell>
          <cell r="F5076">
            <v>381.34</v>
          </cell>
          <cell r="G5076">
            <v>303.35000000000002</v>
          </cell>
          <cell r="H5076">
            <v>7004.73</v>
          </cell>
          <cell r="I5076">
            <v>421.68</v>
          </cell>
        </row>
        <row r="5077">
          <cell r="A5077">
            <v>38950</v>
          </cell>
          <cell r="B5077">
            <v>3486.72</v>
          </cell>
          <cell r="C5077">
            <v>3777.25</v>
          </cell>
          <cell r="D5077">
            <v>330.69</v>
          </cell>
          <cell r="E5077">
            <v>353.62</v>
          </cell>
          <cell r="F5077">
            <v>380.27</v>
          </cell>
          <cell r="G5077">
            <v>303.95999999999998</v>
          </cell>
          <cell r="H5077">
            <v>7027.83</v>
          </cell>
          <cell r="I5077">
            <v>423.11</v>
          </cell>
        </row>
        <row r="5078">
          <cell r="A5078">
            <v>38951</v>
          </cell>
          <cell r="B5078">
            <v>3500.06</v>
          </cell>
          <cell r="C5078">
            <v>3792.55</v>
          </cell>
          <cell r="D5078">
            <v>331.73</v>
          </cell>
          <cell r="E5078">
            <v>355</v>
          </cell>
          <cell r="F5078">
            <v>381.67</v>
          </cell>
          <cell r="G5078">
            <v>304.67</v>
          </cell>
          <cell r="H5078">
            <v>7080.33</v>
          </cell>
          <cell r="I5078">
            <v>426.09</v>
          </cell>
        </row>
        <row r="5079">
          <cell r="A5079">
            <v>38952</v>
          </cell>
          <cell r="B5079">
            <v>3482.64</v>
          </cell>
          <cell r="C5079">
            <v>3758.98</v>
          </cell>
          <cell r="D5079">
            <v>330.16</v>
          </cell>
          <cell r="E5079">
            <v>352.58</v>
          </cell>
          <cell r="F5079">
            <v>379.52</v>
          </cell>
          <cell r="G5079">
            <v>303.88</v>
          </cell>
          <cell r="H5079">
            <v>7026.97</v>
          </cell>
          <cell r="I5079">
            <v>423.18</v>
          </cell>
        </row>
        <row r="5080">
          <cell r="A5080">
            <v>38953</v>
          </cell>
          <cell r="B5080">
            <v>3494.23</v>
          </cell>
          <cell r="C5080">
            <v>3781.87</v>
          </cell>
          <cell r="D5080">
            <v>331.06</v>
          </cell>
          <cell r="E5080">
            <v>354.48</v>
          </cell>
          <cell r="F5080">
            <v>381.03</v>
          </cell>
          <cell r="G5080">
            <v>303.89999999999998</v>
          </cell>
          <cell r="H5080">
            <v>6997.39</v>
          </cell>
          <cell r="I5080">
            <v>421.07</v>
          </cell>
        </row>
        <row r="5081">
          <cell r="A5081">
            <v>38954</v>
          </cell>
          <cell r="B5081">
            <v>3498.87</v>
          </cell>
          <cell r="C5081">
            <v>3781.17</v>
          </cell>
          <cell r="D5081">
            <v>331.41</v>
          </cell>
          <cell r="E5081">
            <v>354.67</v>
          </cell>
          <cell r="F5081">
            <v>381.12</v>
          </cell>
          <cell r="G5081">
            <v>304.38</v>
          </cell>
          <cell r="H5081">
            <v>6981.74</v>
          </cell>
          <cell r="I5081">
            <v>420.24</v>
          </cell>
        </row>
        <row r="5082">
          <cell r="A5082">
            <v>38957</v>
          </cell>
          <cell r="B5082">
            <v>3514.4</v>
          </cell>
          <cell r="C5082">
            <v>3808.57</v>
          </cell>
          <cell r="D5082">
            <v>332.79</v>
          </cell>
          <cell r="E5082">
            <v>356.83</v>
          </cell>
          <cell r="F5082">
            <v>383.13</v>
          </cell>
          <cell r="G5082">
            <v>305.06</v>
          </cell>
          <cell r="H5082">
            <v>7009.27</v>
          </cell>
          <cell r="I5082">
            <v>421.91</v>
          </cell>
        </row>
        <row r="5083">
          <cell r="A5083">
            <v>38958</v>
          </cell>
          <cell r="B5083">
            <v>3517.59</v>
          </cell>
          <cell r="C5083">
            <v>3806.81</v>
          </cell>
          <cell r="D5083">
            <v>333.6</v>
          </cell>
          <cell r="E5083">
            <v>357.12</v>
          </cell>
          <cell r="F5083">
            <v>383.91</v>
          </cell>
          <cell r="G5083">
            <v>306.3</v>
          </cell>
          <cell r="H5083">
            <v>7030.92</v>
          </cell>
          <cell r="I5083">
            <v>422.62</v>
          </cell>
        </row>
        <row r="5084">
          <cell r="A5084">
            <v>38959</v>
          </cell>
          <cell r="B5084">
            <v>3535.17</v>
          </cell>
          <cell r="C5084">
            <v>3817.86</v>
          </cell>
          <cell r="D5084">
            <v>335.51</v>
          </cell>
          <cell r="E5084">
            <v>358.62</v>
          </cell>
          <cell r="F5084">
            <v>385.57</v>
          </cell>
          <cell r="G5084">
            <v>308.52</v>
          </cell>
          <cell r="H5084">
            <v>7084.68</v>
          </cell>
          <cell r="I5084">
            <v>425.8</v>
          </cell>
        </row>
        <row r="5085">
          <cell r="A5085">
            <v>38960</v>
          </cell>
          <cell r="B5085">
            <v>3522.89</v>
          </cell>
          <cell r="C5085">
            <v>3808.7</v>
          </cell>
          <cell r="D5085">
            <v>334.73</v>
          </cell>
          <cell r="E5085">
            <v>357.92</v>
          </cell>
          <cell r="F5085">
            <v>384.78</v>
          </cell>
          <cell r="G5085">
            <v>307.68</v>
          </cell>
          <cell r="H5085">
            <v>7068.8</v>
          </cell>
          <cell r="I5085">
            <v>424.55</v>
          </cell>
        </row>
        <row r="5086">
          <cell r="A5086">
            <v>38961</v>
          </cell>
          <cell r="B5086">
            <v>3536.75</v>
          </cell>
          <cell r="C5086">
            <v>3820.89</v>
          </cell>
          <cell r="D5086">
            <v>336.43</v>
          </cell>
          <cell r="E5086">
            <v>359.46</v>
          </cell>
          <cell r="F5086">
            <v>386.1</v>
          </cell>
          <cell r="G5086">
            <v>309.5</v>
          </cell>
          <cell r="H5086">
            <v>7036.11</v>
          </cell>
          <cell r="I5086">
            <v>423.07</v>
          </cell>
        </row>
        <row r="5087">
          <cell r="A5087">
            <v>38964</v>
          </cell>
          <cell r="B5087">
            <v>3549.28</v>
          </cell>
          <cell r="C5087">
            <v>3837.61</v>
          </cell>
          <cell r="D5087">
            <v>337.8</v>
          </cell>
          <cell r="E5087">
            <v>361.09</v>
          </cell>
          <cell r="F5087">
            <v>388.12</v>
          </cell>
          <cell r="G5087">
            <v>310.61</v>
          </cell>
          <cell r="H5087">
            <v>7123.12</v>
          </cell>
          <cell r="I5087">
            <v>427.42</v>
          </cell>
        </row>
        <row r="5088">
          <cell r="A5088">
            <v>38965</v>
          </cell>
          <cell r="B5088">
            <v>3537.25</v>
          </cell>
          <cell r="C5088">
            <v>3817.76</v>
          </cell>
          <cell r="D5088">
            <v>336.65</v>
          </cell>
          <cell r="E5088">
            <v>359.4</v>
          </cell>
          <cell r="F5088">
            <v>386.66</v>
          </cell>
          <cell r="G5088">
            <v>309.95</v>
          </cell>
          <cell r="H5088">
            <v>7096.61</v>
          </cell>
          <cell r="I5088">
            <v>426.03</v>
          </cell>
        </row>
        <row r="5089">
          <cell r="A5089">
            <v>38966</v>
          </cell>
          <cell r="B5089">
            <v>3494.78</v>
          </cell>
          <cell r="C5089">
            <v>3772.21</v>
          </cell>
          <cell r="D5089">
            <v>332.98</v>
          </cell>
          <cell r="E5089">
            <v>355.75</v>
          </cell>
          <cell r="F5089">
            <v>382.96</v>
          </cell>
          <cell r="G5089">
            <v>306.33999999999997</v>
          </cell>
          <cell r="H5089">
            <v>7021.35</v>
          </cell>
          <cell r="I5089">
            <v>421.45</v>
          </cell>
        </row>
        <row r="5090">
          <cell r="A5090">
            <v>38967</v>
          </cell>
          <cell r="B5090">
            <v>3461.6</v>
          </cell>
          <cell r="C5090">
            <v>3739.7</v>
          </cell>
          <cell r="D5090">
            <v>329.87</v>
          </cell>
          <cell r="E5090">
            <v>352.77</v>
          </cell>
          <cell r="F5090">
            <v>379.75</v>
          </cell>
          <cell r="G5090">
            <v>303.18</v>
          </cell>
          <cell r="H5090">
            <v>6931.13</v>
          </cell>
          <cell r="I5090">
            <v>415.76</v>
          </cell>
        </row>
        <row r="5091">
          <cell r="A5091">
            <v>38968</v>
          </cell>
          <cell r="B5091">
            <v>3472.82</v>
          </cell>
          <cell r="C5091">
            <v>3750.08</v>
          </cell>
          <cell r="D5091">
            <v>331.22</v>
          </cell>
          <cell r="E5091">
            <v>354.01</v>
          </cell>
          <cell r="F5091">
            <v>381.36</v>
          </cell>
          <cell r="G5091">
            <v>304.58999999999997</v>
          </cell>
          <cell r="H5091">
            <v>6992.5</v>
          </cell>
          <cell r="I5091">
            <v>418.76</v>
          </cell>
        </row>
        <row r="5092">
          <cell r="A5092">
            <v>38971</v>
          </cell>
          <cell r="B5092">
            <v>3454.04</v>
          </cell>
          <cell r="C5092">
            <v>3742.06</v>
          </cell>
          <cell r="D5092">
            <v>329.41</v>
          </cell>
          <cell r="E5092">
            <v>353.06</v>
          </cell>
          <cell r="F5092">
            <v>379.78</v>
          </cell>
          <cell r="G5092">
            <v>302.08</v>
          </cell>
          <cell r="H5092">
            <v>6946.33</v>
          </cell>
          <cell r="I5092">
            <v>414.86</v>
          </cell>
        </row>
        <row r="5093">
          <cell r="A5093">
            <v>38972</v>
          </cell>
          <cell r="B5093">
            <v>3499.53</v>
          </cell>
          <cell r="C5093">
            <v>3788.96</v>
          </cell>
          <cell r="D5093">
            <v>333.64</v>
          </cell>
          <cell r="E5093">
            <v>357.09</v>
          </cell>
          <cell r="F5093">
            <v>384.13</v>
          </cell>
          <cell r="G5093">
            <v>306.39999999999998</v>
          </cell>
          <cell r="H5093">
            <v>7056.07</v>
          </cell>
          <cell r="I5093">
            <v>421.51</v>
          </cell>
        </row>
        <row r="5094">
          <cell r="A5094">
            <v>38973</v>
          </cell>
          <cell r="B5094">
            <v>3506.66</v>
          </cell>
          <cell r="C5094">
            <v>3805.55</v>
          </cell>
          <cell r="D5094">
            <v>334.65</v>
          </cell>
          <cell r="E5094">
            <v>358.53</v>
          </cell>
          <cell r="F5094">
            <v>385.73</v>
          </cell>
          <cell r="G5094">
            <v>307</v>
          </cell>
          <cell r="H5094">
            <v>7132.45</v>
          </cell>
          <cell r="I5094">
            <v>425.94</v>
          </cell>
        </row>
        <row r="5095">
          <cell r="A5095">
            <v>38974</v>
          </cell>
          <cell r="B5095">
            <v>3496.58</v>
          </cell>
          <cell r="C5095">
            <v>3796.59</v>
          </cell>
          <cell r="D5095">
            <v>334.66</v>
          </cell>
          <cell r="E5095">
            <v>358.32</v>
          </cell>
          <cell r="F5095">
            <v>385.46</v>
          </cell>
          <cell r="G5095">
            <v>307.20999999999998</v>
          </cell>
          <cell r="H5095">
            <v>7159.81</v>
          </cell>
          <cell r="I5095">
            <v>427.2</v>
          </cell>
        </row>
        <row r="5096">
          <cell r="A5096">
            <v>38975</v>
          </cell>
          <cell r="B5096">
            <v>3503.1</v>
          </cell>
          <cell r="C5096">
            <v>3812.11</v>
          </cell>
          <cell r="D5096">
            <v>335.68</v>
          </cell>
          <cell r="E5096">
            <v>359.82</v>
          </cell>
          <cell r="F5096">
            <v>386.9</v>
          </cell>
          <cell r="G5096">
            <v>307.79000000000002</v>
          </cell>
          <cell r="H5096">
            <v>7151.24</v>
          </cell>
          <cell r="I5096">
            <v>426.65</v>
          </cell>
        </row>
        <row r="5097">
          <cell r="A5097">
            <v>38978</v>
          </cell>
          <cell r="B5097">
            <v>3504.2</v>
          </cell>
          <cell r="C5097">
            <v>3808.47</v>
          </cell>
          <cell r="D5097">
            <v>335.8</v>
          </cell>
          <cell r="E5097">
            <v>359.8</v>
          </cell>
          <cell r="F5097">
            <v>387.5</v>
          </cell>
          <cell r="G5097">
            <v>308.02999999999997</v>
          </cell>
          <cell r="H5097">
            <v>7192.61</v>
          </cell>
          <cell r="I5097">
            <v>428.71</v>
          </cell>
        </row>
        <row r="5098">
          <cell r="A5098">
            <v>38979</v>
          </cell>
          <cell r="B5098">
            <v>3480.57</v>
          </cell>
          <cell r="C5098">
            <v>3780.18</v>
          </cell>
          <cell r="D5098">
            <v>333.97</v>
          </cell>
          <cell r="E5098">
            <v>357.49</v>
          </cell>
          <cell r="F5098">
            <v>385.41</v>
          </cell>
          <cell r="G5098">
            <v>306.64999999999998</v>
          </cell>
          <cell r="H5098">
            <v>7156.78</v>
          </cell>
          <cell r="I5098">
            <v>427.19</v>
          </cell>
        </row>
        <row r="5099">
          <cell r="A5099">
            <v>38980</v>
          </cell>
          <cell r="B5099">
            <v>3524.07</v>
          </cell>
          <cell r="C5099">
            <v>3841.31</v>
          </cell>
          <cell r="D5099">
            <v>337.53</v>
          </cell>
          <cell r="E5099">
            <v>362.23</v>
          </cell>
          <cell r="F5099">
            <v>390.19</v>
          </cell>
          <cell r="G5099">
            <v>309.12</v>
          </cell>
          <cell r="H5099">
            <v>7191.43</v>
          </cell>
          <cell r="I5099">
            <v>429.17</v>
          </cell>
        </row>
        <row r="5100">
          <cell r="A5100">
            <v>38981</v>
          </cell>
          <cell r="B5100">
            <v>3538.65</v>
          </cell>
          <cell r="C5100">
            <v>3857.14</v>
          </cell>
          <cell r="D5100">
            <v>339</v>
          </cell>
          <cell r="E5100">
            <v>363.41</v>
          </cell>
          <cell r="F5100">
            <v>391.14</v>
          </cell>
          <cell r="G5100">
            <v>310.8</v>
          </cell>
          <cell r="H5100">
            <v>7181.34</v>
          </cell>
          <cell r="I5100">
            <v>429.02</v>
          </cell>
        </row>
        <row r="5101">
          <cell r="A5101">
            <v>38982</v>
          </cell>
          <cell r="B5101">
            <v>3497.63</v>
          </cell>
          <cell r="C5101">
            <v>3812.73</v>
          </cell>
          <cell r="D5101">
            <v>335.11</v>
          </cell>
          <cell r="E5101">
            <v>359.6</v>
          </cell>
          <cell r="F5101">
            <v>387.41</v>
          </cell>
          <cell r="G5101">
            <v>306.92</v>
          </cell>
          <cell r="H5101">
            <v>7078.36</v>
          </cell>
          <cell r="I5101">
            <v>423.46</v>
          </cell>
        </row>
        <row r="5102">
          <cell r="A5102">
            <v>38985</v>
          </cell>
          <cell r="B5102">
            <v>3496.71</v>
          </cell>
          <cell r="C5102">
            <v>3822.12</v>
          </cell>
          <cell r="D5102">
            <v>334.93</v>
          </cell>
          <cell r="E5102">
            <v>359.99</v>
          </cell>
          <cell r="F5102">
            <v>387.22</v>
          </cell>
          <cell r="G5102">
            <v>306.25</v>
          </cell>
          <cell r="H5102">
            <v>6998</v>
          </cell>
          <cell r="I5102">
            <v>418.44</v>
          </cell>
        </row>
        <row r="5103">
          <cell r="A5103">
            <v>38986</v>
          </cell>
          <cell r="B5103">
            <v>3542.18</v>
          </cell>
          <cell r="C5103">
            <v>3872.92</v>
          </cell>
          <cell r="D5103">
            <v>339.52</v>
          </cell>
          <cell r="E5103">
            <v>364.45</v>
          </cell>
          <cell r="F5103">
            <v>392.11</v>
          </cell>
          <cell r="G5103">
            <v>310.87</v>
          </cell>
          <cell r="H5103">
            <v>7092.75</v>
          </cell>
          <cell r="I5103">
            <v>424.19</v>
          </cell>
        </row>
        <row r="5104">
          <cell r="A5104">
            <v>38987</v>
          </cell>
          <cell r="B5104">
            <v>3552.97</v>
          </cell>
          <cell r="C5104">
            <v>3896.18</v>
          </cell>
          <cell r="D5104">
            <v>341.38</v>
          </cell>
          <cell r="E5104">
            <v>367.03</v>
          </cell>
          <cell r="F5104">
            <v>394.82</v>
          </cell>
          <cell r="G5104">
            <v>312.06</v>
          </cell>
          <cell r="H5104">
            <v>7218.25</v>
          </cell>
          <cell r="I5104">
            <v>430.93</v>
          </cell>
        </row>
        <row r="5105">
          <cell r="A5105">
            <v>38988</v>
          </cell>
          <cell r="B5105">
            <v>3553.53</v>
          </cell>
          <cell r="C5105">
            <v>3894.98</v>
          </cell>
          <cell r="D5105">
            <v>341.63</v>
          </cell>
          <cell r="E5105">
            <v>367.41</v>
          </cell>
          <cell r="F5105">
            <v>395.15</v>
          </cell>
          <cell r="G5105">
            <v>312.2</v>
          </cell>
          <cell r="H5105">
            <v>7234.48</v>
          </cell>
          <cell r="I5105">
            <v>432.49</v>
          </cell>
        </row>
        <row r="5106">
          <cell r="A5106">
            <v>38989</v>
          </cell>
          <cell r="B5106">
            <v>3551.04</v>
          </cell>
          <cell r="C5106">
            <v>3899.41</v>
          </cell>
          <cell r="D5106">
            <v>341.43</v>
          </cell>
          <cell r="E5106">
            <v>367.92</v>
          </cell>
          <cell r="F5106">
            <v>395.37</v>
          </cell>
          <cell r="G5106">
            <v>311.38</v>
          </cell>
          <cell r="H5106">
            <v>7202.73</v>
          </cell>
          <cell r="I5106">
            <v>431.6</v>
          </cell>
        </row>
        <row r="5107">
          <cell r="A5107">
            <v>38992</v>
          </cell>
          <cell r="B5107">
            <v>3552.38</v>
          </cell>
          <cell r="C5107">
            <v>3892.48</v>
          </cell>
          <cell r="D5107">
            <v>341.39</v>
          </cell>
          <cell r="E5107">
            <v>367.49</v>
          </cell>
          <cell r="F5107">
            <v>394.73</v>
          </cell>
          <cell r="G5107">
            <v>311.69</v>
          </cell>
          <cell r="H5107">
            <v>7167.15</v>
          </cell>
          <cell r="I5107">
            <v>429.27</v>
          </cell>
        </row>
        <row r="5108">
          <cell r="A5108">
            <v>38993</v>
          </cell>
          <cell r="B5108">
            <v>3545.05</v>
          </cell>
          <cell r="C5108">
            <v>3880.14</v>
          </cell>
          <cell r="D5108">
            <v>340.52</v>
          </cell>
          <cell r="E5108">
            <v>366.25</v>
          </cell>
          <cell r="F5108">
            <v>393.37</v>
          </cell>
          <cell r="G5108">
            <v>311.14999999999998</v>
          </cell>
          <cell r="H5108">
            <v>7110.35</v>
          </cell>
          <cell r="I5108">
            <v>425.61</v>
          </cell>
        </row>
        <row r="5109">
          <cell r="A5109">
            <v>38994</v>
          </cell>
          <cell r="B5109">
            <v>3573.44</v>
          </cell>
          <cell r="C5109">
            <v>3914.73</v>
          </cell>
          <cell r="D5109">
            <v>343.01</v>
          </cell>
          <cell r="E5109">
            <v>369.03</v>
          </cell>
          <cell r="F5109">
            <v>396.31</v>
          </cell>
          <cell r="G5109">
            <v>313.33999999999997</v>
          </cell>
          <cell r="H5109">
            <v>7162.93</v>
          </cell>
          <cell r="I5109">
            <v>428.38</v>
          </cell>
        </row>
        <row r="5110">
          <cell r="A5110">
            <v>38995</v>
          </cell>
          <cell r="B5110">
            <v>3590.12</v>
          </cell>
          <cell r="C5110">
            <v>3939.86</v>
          </cell>
          <cell r="D5110">
            <v>344.99</v>
          </cell>
          <cell r="E5110">
            <v>371.44</v>
          </cell>
          <cell r="F5110">
            <v>399.19</v>
          </cell>
          <cell r="G5110">
            <v>314.89999999999998</v>
          </cell>
          <cell r="H5110">
            <v>7271.69</v>
          </cell>
          <cell r="I5110">
            <v>434.45</v>
          </cell>
        </row>
        <row r="5111">
          <cell r="A5111">
            <v>38996</v>
          </cell>
          <cell r="B5111">
            <v>3599.72</v>
          </cell>
          <cell r="C5111">
            <v>3940.31</v>
          </cell>
          <cell r="D5111">
            <v>345.55</v>
          </cell>
          <cell r="E5111">
            <v>371.41</v>
          </cell>
          <cell r="F5111">
            <v>399.3</v>
          </cell>
          <cell r="G5111">
            <v>315.97000000000003</v>
          </cell>
          <cell r="H5111">
            <v>7269.12</v>
          </cell>
          <cell r="I5111">
            <v>434.32</v>
          </cell>
        </row>
        <row r="5112">
          <cell r="A5112">
            <v>38999</v>
          </cell>
          <cell r="B5112">
            <v>3605.16</v>
          </cell>
          <cell r="C5112">
            <v>3939.48</v>
          </cell>
          <cell r="D5112">
            <v>345.94</v>
          </cell>
          <cell r="E5112">
            <v>371.78</v>
          </cell>
          <cell r="F5112">
            <v>399.88</v>
          </cell>
          <cell r="G5112">
            <v>316.37</v>
          </cell>
          <cell r="H5112">
            <v>7294.25</v>
          </cell>
          <cell r="I5112">
            <v>435.89</v>
          </cell>
        </row>
        <row r="5113">
          <cell r="A5113">
            <v>39000</v>
          </cell>
          <cell r="B5113">
            <v>3630.45</v>
          </cell>
          <cell r="C5113">
            <v>3960.67</v>
          </cell>
          <cell r="D5113">
            <v>348.26</v>
          </cell>
          <cell r="E5113">
            <v>374.06</v>
          </cell>
          <cell r="F5113">
            <v>402.56</v>
          </cell>
          <cell r="G5113">
            <v>318.67</v>
          </cell>
          <cell r="H5113">
            <v>7372.05</v>
          </cell>
          <cell r="I5113">
            <v>440.91</v>
          </cell>
        </row>
        <row r="5114">
          <cell r="A5114">
            <v>39001</v>
          </cell>
          <cell r="B5114">
            <v>3635.14</v>
          </cell>
          <cell r="C5114">
            <v>3967.39</v>
          </cell>
          <cell r="D5114">
            <v>348.57</v>
          </cell>
          <cell r="E5114">
            <v>374.56</v>
          </cell>
          <cell r="F5114">
            <v>403.08</v>
          </cell>
          <cell r="G5114">
            <v>318.81</v>
          </cell>
          <cell r="H5114">
            <v>7418.27</v>
          </cell>
          <cell r="I5114">
            <v>443.75</v>
          </cell>
        </row>
        <row r="5115">
          <cell r="A5115">
            <v>39002</v>
          </cell>
          <cell r="B5115">
            <v>3666.68</v>
          </cell>
          <cell r="C5115">
            <v>3999.89</v>
          </cell>
          <cell r="D5115">
            <v>351.42</v>
          </cell>
          <cell r="E5115">
            <v>377.52</v>
          </cell>
          <cell r="F5115">
            <v>406.24</v>
          </cell>
          <cell r="G5115">
            <v>321.5</v>
          </cell>
          <cell r="H5115">
            <v>7500.48</v>
          </cell>
          <cell r="I5115">
            <v>448.66</v>
          </cell>
        </row>
        <row r="5116">
          <cell r="A5116">
            <v>39003</v>
          </cell>
          <cell r="B5116">
            <v>3679.19</v>
          </cell>
          <cell r="C5116">
            <v>3999.07</v>
          </cell>
          <cell r="D5116">
            <v>352.38</v>
          </cell>
          <cell r="E5116">
            <v>377.67</v>
          </cell>
          <cell r="F5116">
            <v>406.2</v>
          </cell>
          <cell r="G5116">
            <v>323.14999999999998</v>
          </cell>
          <cell r="H5116">
            <v>7492.63</v>
          </cell>
          <cell r="I5116">
            <v>448.82</v>
          </cell>
        </row>
        <row r="5117">
          <cell r="A5117">
            <v>39006</v>
          </cell>
          <cell r="B5117">
            <v>3684.24</v>
          </cell>
          <cell r="C5117">
            <v>4001.97</v>
          </cell>
          <cell r="D5117">
            <v>353.08</v>
          </cell>
          <cell r="E5117">
            <v>378.32</v>
          </cell>
          <cell r="F5117">
            <v>406.84</v>
          </cell>
          <cell r="G5117">
            <v>323.89</v>
          </cell>
          <cell r="H5117">
            <v>7523.57</v>
          </cell>
          <cell r="I5117">
            <v>451.06</v>
          </cell>
        </row>
        <row r="5118">
          <cell r="A5118">
            <v>39007</v>
          </cell>
          <cell r="B5118">
            <v>3647.58</v>
          </cell>
          <cell r="C5118">
            <v>3949.57</v>
          </cell>
          <cell r="D5118">
            <v>349.26</v>
          </cell>
          <cell r="E5118">
            <v>373.52</v>
          </cell>
          <cell r="F5118">
            <v>401.89</v>
          </cell>
          <cell r="G5118">
            <v>321</v>
          </cell>
          <cell r="H5118">
            <v>7430.03</v>
          </cell>
          <cell r="I5118">
            <v>445.33</v>
          </cell>
        </row>
        <row r="5119">
          <cell r="A5119">
            <v>39008</v>
          </cell>
          <cell r="B5119">
            <v>3679.89</v>
          </cell>
          <cell r="C5119">
            <v>3991.38</v>
          </cell>
          <cell r="D5119">
            <v>352.59</v>
          </cell>
          <cell r="E5119">
            <v>377.35</v>
          </cell>
          <cell r="F5119">
            <v>405.9</v>
          </cell>
          <cell r="G5119">
            <v>323.8</v>
          </cell>
          <cell r="H5119">
            <v>7516.39</v>
          </cell>
          <cell r="I5119">
            <v>450.63</v>
          </cell>
        </row>
        <row r="5120">
          <cell r="A5120">
            <v>39009</v>
          </cell>
          <cell r="B5120">
            <v>3676.46</v>
          </cell>
          <cell r="C5120">
            <v>3986.82</v>
          </cell>
          <cell r="D5120">
            <v>352.58</v>
          </cell>
          <cell r="E5120">
            <v>377.32</v>
          </cell>
          <cell r="F5120">
            <v>406.09</v>
          </cell>
          <cell r="G5120">
            <v>323.81</v>
          </cell>
          <cell r="H5120">
            <v>7502.47</v>
          </cell>
          <cell r="I5120">
            <v>449.63</v>
          </cell>
        </row>
        <row r="5121">
          <cell r="A5121">
            <v>39010</v>
          </cell>
          <cell r="B5121">
            <v>3685.7</v>
          </cell>
          <cell r="C5121">
            <v>3998.19</v>
          </cell>
          <cell r="D5121">
            <v>353.65</v>
          </cell>
          <cell r="E5121">
            <v>378.38</v>
          </cell>
          <cell r="F5121">
            <v>407.51</v>
          </cell>
          <cell r="G5121">
            <v>324.88</v>
          </cell>
          <cell r="H5121">
            <v>7555.23</v>
          </cell>
          <cell r="I5121">
            <v>453.12</v>
          </cell>
        </row>
        <row r="5122">
          <cell r="A5122">
            <v>39013</v>
          </cell>
          <cell r="B5122">
            <v>3702.44</v>
          </cell>
          <cell r="C5122">
            <v>4019.02</v>
          </cell>
          <cell r="D5122">
            <v>354.84</v>
          </cell>
          <cell r="E5122">
            <v>380.15</v>
          </cell>
          <cell r="F5122">
            <v>409.3</v>
          </cell>
          <cell r="G5122">
            <v>325.54000000000002</v>
          </cell>
          <cell r="H5122">
            <v>7585.13</v>
          </cell>
          <cell r="I5122">
            <v>454.5</v>
          </cell>
        </row>
        <row r="5123">
          <cell r="A5123">
            <v>39014</v>
          </cell>
          <cell r="B5123">
            <v>3698.3</v>
          </cell>
          <cell r="C5123">
            <v>4014.01</v>
          </cell>
          <cell r="D5123">
            <v>354.9</v>
          </cell>
          <cell r="E5123">
            <v>379.93</v>
          </cell>
          <cell r="F5123">
            <v>408.82</v>
          </cell>
          <cell r="G5123">
            <v>325.85000000000002</v>
          </cell>
          <cell r="H5123">
            <v>7563.27</v>
          </cell>
          <cell r="I5123">
            <v>454</v>
          </cell>
        </row>
        <row r="5124">
          <cell r="A5124">
            <v>39015</v>
          </cell>
          <cell r="B5124">
            <v>3708.49</v>
          </cell>
          <cell r="C5124">
            <v>4019.14</v>
          </cell>
          <cell r="D5124">
            <v>356.01</v>
          </cell>
          <cell r="E5124">
            <v>380.87</v>
          </cell>
          <cell r="F5124">
            <v>409.84</v>
          </cell>
          <cell r="G5124">
            <v>327.07</v>
          </cell>
          <cell r="H5124">
            <v>7564.33</v>
          </cell>
          <cell r="I5124">
            <v>454.92</v>
          </cell>
        </row>
        <row r="5125">
          <cell r="A5125">
            <v>39016</v>
          </cell>
          <cell r="B5125">
            <v>3697.31</v>
          </cell>
          <cell r="C5125">
            <v>4027.29</v>
          </cell>
          <cell r="D5125">
            <v>355.46</v>
          </cell>
          <cell r="E5125">
            <v>381.23</v>
          </cell>
          <cell r="F5125">
            <v>410.17</v>
          </cell>
          <cell r="G5125">
            <v>325.74</v>
          </cell>
          <cell r="H5125">
            <v>7582.76</v>
          </cell>
          <cell r="I5125">
            <v>456.24</v>
          </cell>
        </row>
        <row r="5126">
          <cell r="A5126">
            <v>39017</v>
          </cell>
          <cell r="B5126">
            <v>3689.33</v>
          </cell>
          <cell r="C5126">
            <v>4017.27</v>
          </cell>
          <cell r="D5126">
            <v>354.55</v>
          </cell>
          <cell r="E5126">
            <v>380.24</v>
          </cell>
          <cell r="F5126">
            <v>409.41</v>
          </cell>
          <cell r="G5126">
            <v>324.91000000000003</v>
          </cell>
          <cell r="H5126">
            <v>7560.53</v>
          </cell>
          <cell r="I5126">
            <v>454.93</v>
          </cell>
        </row>
        <row r="5127">
          <cell r="A5127">
            <v>39020</v>
          </cell>
          <cell r="B5127">
            <v>3676.64</v>
          </cell>
          <cell r="C5127">
            <v>4004.92</v>
          </cell>
          <cell r="D5127">
            <v>353.41</v>
          </cell>
          <cell r="E5127">
            <v>378.99</v>
          </cell>
          <cell r="F5127">
            <v>407.89</v>
          </cell>
          <cell r="G5127">
            <v>323.91000000000003</v>
          </cell>
          <cell r="H5127">
            <v>7510.79</v>
          </cell>
          <cell r="I5127">
            <v>451.84</v>
          </cell>
        </row>
        <row r="5128">
          <cell r="A5128">
            <v>39021</v>
          </cell>
          <cell r="B5128">
            <v>3669.15</v>
          </cell>
          <cell r="C5128">
            <v>4004.8</v>
          </cell>
          <cell r="D5128">
            <v>353.34</v>
          </cell>
          <cell r="E5128">
            <v>379.26</v>
          </cell>
          <cell r="F5128">
            <v>407.79</v>
          </cell>
          <cell r="G5128">
            <v>323.54000000000002</v>
          </cell>
          <cell r="H5128">
            <v>7545.03</v>
          </cell>
          <cell r="I5128">
            <v>453.68</v>
          </cell>
        </row>
        <row r="5129">
          <cell r="A5129">
            <v>39022</v>
          </cell>
          <cell r="B5129">
            <v>3683.11</v>
          </cell>
          <cell r="C5129">
            <v>4014.34</v>
          </cell>
          <cell r="D5129">
            <v>354.6</v>
          </cell>
          <cell r="E5129">
            <v>380.39</v>
          </cell>
          <cell r="F5129">
            <v>409.41</v>
          </cell>
          <cell r="G5129">
            <v>324.88</v>
          </cell>
          <cell r="H5129">
            <v>7604</v>
          </cell>
          <cell r="I5129">
            <v>457.04</v>
          </cell>
        </row>
        <row r="5130">
          <cell r="A5130">
            <v>39023</v>
          </cell>
          <cell r="B5130">
            <v>3669.38</v>
          </cell>
          <cell r="C5130">
            <v>3974.62</v>
          </cell>
          <cell r="D5130">
            <v>353.19</v>
          </cell>
          <cell r="E5130">
            <v>377.41</v>
          </cell>
          <cell r="F5130">
            <v>406.86</v>
          </cell>
          <cell r="G5130">
            <v>324.87</v>
          </cell>
          <cell r="H5130">
            <v>7527.78</v>
          </cell>
          <cell r="I5130">
            <v>452.99</v>
          </cell>
        </row>
        <row r="5131">
          <cell r="A5131">
            <v>39024</v>
          </cell>
          <cell r="B5131">
            <v>3679.12</v>
          </cell>
          <cell r="C5131">
            <v>3990.46</v>
          </cell>
          <cell r="D5131">
            <v>354.33</v>
          </cell>
          <cell r="E5131">
            <v>379.06</v>
          </cell>
          <cell r="F5131">
            <v>408.61</v>
          </cell>
          <cell r="G5131">
            <v>325.54000000000002</v>
          </cell>
          <cell r="H5131">
            <v>7562.62</v>
          </cell>
          <cell r="I5131">
            <v>454.84</v>
          </cell>
        </row>
        <row r="5132">
          <cell r="A5132">
            <v>39027</v>
          </cell>
          <cell r="B5132">
            <v>3720.46</v>
          </cell>
          <cell r="C5132">
            <v>4045.22</v>
          </cell>
          <cell r="D5132">
            <v>358.27</v>
          </cell>
          <cell r="E5132">
            <v>383.62</v>
          </cell>
          <cell r="F5132">
            <v>413.54</v>
          </cell>
          <cell r="G5132">
            <v>328.86</v>
          </cell>
          <cell r="H5132">
            <v>7695.07</v>
          </cell>
          <cell r="I5132">
            <v>462.14</v>
          </cell>
        </row>
        <row r="5133">
          <cell r="A5133">
            <v>39028</v>
          </cell>
          <cell r="B5133">
            <v>3739.41</v>
          </cell>
          <cell r="C5133">
            <v>4072.86</v>
          </cell>
          <cell r="D5133">
            <v>359.84</v>
          </cell>
          <cell r="E5133">
            <v>385.71</v>
          </cell>
          <cell r="F5133">
            <v>415.68</v>
          </cell>
          <cell r="G5133">
            <v>329.94</v>
          </cell>
          <cell r="H5133">
            <v>7719.12</v>
          </cell>
          <cell r="I5133">
            <v>463.75</v>
          </cell>
        </row>
        <row r="5134">
          <cell r="A5134">
            <v>39029</v>
          </cell>
          <cell r="B5134">
            <v>3731.05</v>
          </cell>
          <cell r="C5134">
            <v>4073.81</v>
          </cell>
          <cell r="D5134">
            <v>359.56</v>
          </cell>
          <cell r="E5134">
            <v>385.78</v>
          </cell>
          <cell r="F5134">
            <v>415.39</v>
          </cell>
          <cell r="G5134">
            <v>329.38</v>
          </cell>
          <cell r="H5134">
            <v>7739.29</v>
          </cell>
          <cell r="I5134">
            <v>464</v>
          </cell>
        </row>
        <row r="5135">
          <cell r="A5135">
            <v>39030</v>
          </cell>
          <cell r="B5135">
            <v>3717.17</v>
          </cell>
          <cell r="C5135">
            <v>4073</v>
          </cell>
          <cell r="D5135">
            <v>358.92</v>
          </cell>
          <cell r="E5135">
            <v>385.85</v>
          </cell>
          <cell r="F5135">
            <v>415.55</v>
          </cell>
          <cell r="G5135">
            <v>328.13</v>
          </cell>
          <cell r="H5135">
            <v>7766.67</v>
          </cell>
          <cell r="I5135">
            <v>465.86</v>
          </cell>
        </row>
        <row r="5136">
          <cell r="A5136">
            <v>39031</v>
          </cell>
          <cell r="B5136">
            <v>3704.19</v>
          </cell>
          <cell r="C5136">
            <v>4063.84</v>
          </cell>
          <cell r="D5136">
            <v>358.47</v>
          </cell>
          <cell r="E5136">
            <v>385.56</v>
          </cell>
          <cell r="F5136">
            <v>415.06</v>
          </cell>
          <cell r="G5136">
            <v>327.56</v>
          </cell>
          <cell r="H5136">
            <v>7721.35</v>
          </cell>
          <cell r="I5136">
            <v>463.59</v>
          </cell>
        </row>
        <row r="5137">
          <cell r="A5137">
            <v>39034</v>
          </cell>
          <cell r="B5137">
            <v>3705.55</v>
          </cell>
          <cell r="C5137">
            <v>4086.14</v>
          </cell>
          <cell r="D5137">
            <v>359.22</v>
          </cell>
          <cell r="E5137">
            <v>387.5</v>
          </cell>
          <cell r="F5137">
            <v>416.86</v>
          </cell>
          <cell r="G5137">
            <v>327.25</v>
          </cell>
          <cell r="H5137">
            <v>7745.96</v>
          </cell>
          <cell r="I5137">
            <v>464.64</v>
          </cell>
        </row>
        <row r="5138">
          <cell r="A5138">
            <v>39035</v>
          </cell>
          <cell r="B5138">
            <v>3693.9</v>
          </cell>
          <cell r="C5138">
            <v>4084.33</v>
          </cell>
          <cell r="D5138">
            <v>358.23</v>
          </cell>
          <cell r="E5138">
            <v>387.05</v>
          </cell>
          <cell r="F5138">
            <v>416.4</v>
          </cell>
          <cell r="G5138">
            <v>325.82</v>
          </cell>
          <cell r="H5138">
            <v>7757.36</v>
          </cell>
          <cell r="I5138">
            <v>465.93</v>
          </cell>
        </row>
        <row r="5139">
          <cell r="A5139">
            <v>39036</v>
          </cell>
          <cell r="B5139">
            <v>3714.41</v>
          </cell>
          <cell r="C5139">
            <v>4108.83</v>
          </cell>
          <cell r="D5139">
            <v>360.24</v>
          </cell>
          <cell r="E5139">
            <v>389.61</v>
          </cell>
          <cell r="F5139">
            <v>419.12</v>
          </cell>
          <cell r="G5139">
            <v>327.31</v>
          </cell>
          <cell r="H5139">
            <v>7846.9</v>
          </cell>
          <cell r="I5139">
            <v>470.75</v>
          </cell>
        </row>
        <row r="5140">
          <cell r="A5140">
            <v>39037</v>
          </cell>
          <cell r="B5140">
            <v>3720.5</v>
          </cell>
          <cell r="C5140">
            <v>4109.8100000000004</v>
          </cell>
          <cell r="D5140">
            <v>361.04</v>
          </cell>
          <cell r="E5140">
            <v>389.99</v>
          </cell>
          <cell r="F5140">
            <v>419.43</v>
          </cell>
          <cell r="G5140">
            <v>328.46</v>
          </cell>
          <cell r="H5140">
            <v>7836.29</v>
          </cell>
          <cell r="I5140">
            <v>470.56</v>
          </cell>
        </row>
        <row r="5141">
          <cell r="A5141">
            <v>39038</v>
          </cell>
          <cell r="B5141">
            <v>3689.96</v>
          </cell>
          <cell r="C5141">
            <v>4080.03</v>
          </cell>
          <cell r="D5141">
            <v>358.25</v>
          </cell>
          <cell r="E5141">
            <v>387.28</v>
          </cell>
          <cell r="F5141">
            <v>416.34</v>
          </cell>
          <cell r="G5141">
            <v>325.66000000000003</v>
          </cell>
          <cell r="H5141">
            <v>7725.46</v>
          </cell>
          <cell r="I5141">
            <v>463.62</v>
          </cell>
        </row>
        <row r="5142">
          <cell r="A5142">
            <v>39041</v>
          </cell>
          <cell r="B5142">
            <v>3703.42</v>
          </cell>
          <cell r="C5142">
            <v>4095.75</v>
          </cell>
          <cell r="D5142">
            <v>359.48</v>
          </cell>
          <cell r="E5142">
            <v>388.2</v>
          </cell>
          <cell r="F5142">
            <v>417.56</v>
          </cell>
          <cell r="G5142">
            <v>327.12</v>
          </cell>
          <cell r="H5142">
            <v>7752.06</v>
          </cell>
          <cell r="I5142">
            <v>465.86</v>
          </cell>
        </row>
        <row r="5143">
          <cell r="A5143">
            <v>39042</v>
          </cell>
          <cell r="B5143">
            <v>3701.66</v>
          </cell>
          <cell r="C5143">
            <v>4096.0600000000004</v>
          </cell>
          <cell r="D5143">
            <v>359.98</v>
          </cell>
          <cell r="E5143">
            <v>388.9</v>
          </cell>
          <cell r="F5143">
            <v>418.38</v>
          </cell>
          <cell r="G5143">
            <v>327.45</v>
          </cell>
          <cell r="H5143">
            <v>7779.99</v>
          </cell>
          <cell r="I5143">
            <v>468.18</v>
          </cell>
        </row>
        <row r="5144">
          <cell r="A5144">
            <v>39043</v>
          </cell>
          <cell r="B5144">
            <v>3691</v>
          </cell>
          <cell r="C5144">
            <v>4094.97</v>
          </cell>
          <cell r="D5144">
            <v>359.55</v>
          </cell>
          <cell r="E5144">
            <v>389.52</v>
          </cell>
          <cell r="F5144">
            <v>419.23</v>
          </cell>
          <cell r="G5144">
            <v>326.12</v>
          </cell>
          <cell r="H5144">
            <v>7806.02</v>
          </cell>
          <cell r="I5144">
            <v>471.5</v>
          </cell>
        </row>
        <row r="5145">
          <cell r="A5145">
            <v>39044</v>
          </cell>
          <cell r="B5145">
            <v>3682.07</v>
          </cell>
          <cell r="C5145">
            <v>4085.76</v>
          </cell>
          <cell r="D5145">
            <v>358.69</v>
          </cell>
          <cell r="E5145">
            <v>388.61</v>
          </cell>
          <cell r="F5145">
            <v>418.47</v>
          </cell>
          <cell r="G5145">
            <v>325.3</v>
          </cell>
          <cell r="H5145">
            <v>7805.27</v>
          </cell>
          <cell r="I5145">
            <v>471.34</v>
          </cell>
        </row>
        <row r="5146">
          <cell r="A5146">
            <v>39045</v>
          </cell>
          <cell r="B5146">
            <v>3650.82</v>
          </cell>
          <cell r="C5146">
            <v>4048.16</v>
          </cell>
          <cell r="D5146">
            <v>355.98</v>
          </cell>
          <cell r="E5146">
            <v>385.6</v>
          </cell>
          <cell r="F5146">
            <v>414.91</v>
          </cell>
          <cell r="G5146">
            <v>322.93</v>
          </cell>
          <cell r="H5146">
            <v>7721.78</v>
          </cell>
          <cell r="I5146">
            <v>467.67</v>
          </cell>
        </row>
        <row r="5147">
          <cell r="A5147">
            <v>39048</v>
          </cell>
          <cell r="B5147">
            <v>3596.47</v>
          </cell>
          <cell r="C5147">
            <v>3978.25</v>
          </cell>
          <cell r="D5147">
            <v>350.6</v>
          </cell>
          <cell r="E5147">
            <v>379.21</v>
          </cell>
          <cell r="F5147">
            <v>407.88</v>
          </cell>
          <cell r="G5147">
            <v>318.52999999999997</v>
          </cell>
          <cell r="H5147">
            <v>7538.63</v>
          </cell>
          <cell r="I5147">
            <v>456.8</v>
          </cell>
        </row>
        <row r="5148">
          <cell r="A5148">
            <v>39049</v>
          </cell>
          <cell r="B5148">
            <v>3591.66</v>
          </cell>
          <cell r="C5148">
            <v>3975.11</v>
          </cell>
          <cell r="D5148">
            <v>349.54</v>
          </cell>
          <cell r="E5148">
            <v>378.02</v>
          </cell>
          <cell r="F5148">
            <v>406.12</v>
          </cell>
          <cell r="G5148">
            <v>317.61</v>
          </cell>
          <cell r="H5148">
            <v>7490.83</v>
          </cell>
          <cell r="I5148">
            <v>452.88</v>
          </cell>
        </row>
        <row r="5149">
          <cell r="A5149">
            <v>39050</v>
          </cell>
          <cell r="B5149">
            <v>3629.67</v>
          </cell>
          <cell r="C5149">
            <v>4023.09</v>
          </cell>
          <cell r="D5149">
            <v>354.23</v>
          </cell>
          <cell r="E5149">
            <v>383.25</v>
          </cell>
          <cell r="F5149">
            <v>411.91</v>
          </cell>
          <cell r="G5149">
            <v>321.73</v>
          </cell>
          <cell r="H5149">
            <v>7641.09</v>
          </cell>
          <cell r="I5149">
            <v>461.98</v>
          </cell>
        </row>
        <row r="5150">
          <cell r="A5150">
            <v>39051</v>
          </cell>
          <cell r="B5150">
            <v>3602</v>
          </cell>
          <cell r="C5150">
            <v>3987.23</v>
          </cell>
          <cell r="D5150">
            <v>351.78</v>
          </cell>
          <cell r="E5150">
            <v>379.98</v>
          </cell>
          <cell r="F5150">
            <v>408.55</v>
          </cell>
          <cell r="G5150">
            <v>320.04000000000002</v>
          </cell>
          <cell r="H5150">
            <v>7575.82</v>
          </cell>
          <cell r="I5150">
            <v>458.62</v>
          </cell>
        </row>
        <row r="5151">
          <cell r="A5151">
            <v>39052</v>
          </cell>
          <cell r="B5151">
            <v>3566.38</v>
          </cell>
          <cell r="C5151">
            <v>3932.09</v>
          </cell>
          <cell r="D5151">
            <v>349.31</v>
          </cell>
          <cell r="E5151">
            <v>376.13</v>
          </cell>
          <cell r="F5151">
            <v>404.75</v>
          </cell>
          <cell r="G5151">
            <v>318.82</v>
          </cell>
          <cell r="H5151">
            <v>7529.67</v>
          </cell>
          <cell r="I5151">
            <v>456.14</v>
          </cell>
        </row>
        <row r="5152">
          <cell r="A5152">
            <v>39055</v>
          </cell>
          <cell r="B5152">
            <v>3587.91</v>
          </cell>
          <cell r="C5152">
            <v>3962.93</v>
          </cell>
          <cell r="D5152">
            <v>351.59</v>
          </cell>
          <cell r="E5152">
            <v>378.81</v>
          </cell>
          <cell r="F5152">
            <v>407.77</v>
          </cell>
          <cell r="G5152">
            <v>320.7</v>
          </cell>
          <cell r="H5152">
            <v>7633.83</v>
          </cell>
          <cell r="I5152">
            <v>461.18</v>
          </cell>
        </row>
        <row r="5153">
          <cell r="A5153">
            <v>39056</v>
          </cell>
          <cell r="B5153">
            <v>3608.98</v>
          </cell>
          <cell r="C5153">
            <v>4007.94</v>
          </cell>
          <cell r="D5153">
            <v>353.91</v>
          </cell>
          <cell r="E5153">
            <v>382.49</v>
          </cell>
          <cell r="F5153">
            <v>411.19</v>
          </cell>
          <cell r="G5153">
            <v>321.79000000000002</v>
          </cell>
          <cell r="H5153">
            <v>7731.43</v>
          </cell>
          <cell r="I5153">
            <v>466.65</v>
          </cell>
        </row>
        <row r="5154">
          <cell r="A5154">
            <v>39057</v>
          </cell>
          <cell r="E5154">
            <v>382.55</v>
          </cell>
        </row>
        <row r="5155">
          <cell r="A5155">
            <v>39058</v>
          </cell>
          <cell r="E5155">
            <v>384.64</v>
          </cell>
        </row>
        <row r="5156">
          <cell r="A5156">
            <v>39059</v>
          </cell>
          <cell r="E5156">
            <v>384.86</v>
          </cell>
        </row>
        <row r="5157">
          <cell r="A5157">
            <v>39062</v>
          </cell>
          <cell r="E5157">
            <v>387.64</v>
          </cell>
        </row>
        <row r="5158">
          <cell r="A5158">
            <v>39063</v>
          </cell>
          <cell r="E5158">
            <v>388.09</v>
          </cell>
        </row>
        <row r="5159">
          <cell r="A5159">
            <v>39064</v>
          </cell>
          <cell r="E5159">
            <v>391.19</v>
          </cell>
        </row>
        <row r="5160">
          <cell r="A5160">
            <v>39065</v>
          </cell>
          <cell r="E5160">
            <v>393.19</v>
          </cell>
        </row>
        <row r="5161">
          <cell r="A5161">
            <v>39066</v>
          </cell>
          <cell r="E5161">
            <v>395.49</v>
          </cell>
        </row>
        <row r="5162">
          <cell r="A5162">
            <v>39069</v>
          </cell>
          <cell r="E5162">
            <v>395.22</v>
          </cell>
        </row>
        <row r="5163">
          <cell r="A5163">
            <v>39070</v>
          </cell>
          <cell r="E5163">
            <v>392.52</v>
          </cell>
        </row>
        <row r="5164">
          <cell r="A5164">
            <v>39071</v>
          </cell>
          <cell r="E5164">
            <v>394.42</v>
          </cell>
        </row>
        <row r="5165">
          <cell r="A5165">
            <v>39072</v>
          </cell>
          <cell r="E5165">
            <v>393.97</v>
          </cell>
        </row>
        <row r="5166">
          <cell r="A5166">
            <v>39073</v>
          </cell>
          <cell r="E5166">
            <v>390.7</v>
          </cell>
        </row>
        <row r="5167">
          <cell r="A5167">
            <v>39078</v>
          </cell>
          <cell r="E5167">
            <v>395.7</v>
          </cell>
        </row>
        <row r="5168">
          <cell r="A5168">
            <v>39079</v>
          </cell>
          <cell r="E5168">
            <v>395.76</v>
          </cell>
        </row>
        <row r="5169">
          <cell r="A5169">
            <v>39080</v>
          </cell>
          <cell r="E5169">
            <v>396.25</v>
          </cell>
        </row>
        <row r="5170">
          <cell r="A5170">
            <v>39084</v>
          </cell>
          <cell r="E5170">
            <v>400.98</v>
          </cell>
        </row>
        <row r="5171">
          <cell r="A5171">
            <v>39085</v>
          </cell>
          <cell r="E5171">
            <v>401.15</v>
          </cell>
        </row>
        <row r="5172">
          <cell r="A5172">
            <v>39086</v>
          </cell>
          <cell r="E5172">
            <v>399.51</v>
          </cell>
        </row>
        <row r="5173">
          <cell r="A5173">
            <v>39087</v>
          </cell>
          <cell r="E5173">
            <v>395.94</v>
          </cell>
        </row>
        <row r="5174">
          <cell r="A5174">
            <v>39090</v>
          </cell>
          <cell r="E5174">
            <v>396.02</v>
          </cell>
        </row>
        <row r="5175">
          <cell r="A5175">
            <v>39091</v>
          </cell>
          <cell r="E5175">
            <v>396.81</v>
          </cell>
        </row>
        <row r="5176">
          <cell r="A5176">
            <v>39092</v>
          </cell>
          <cell r="E5176">
            <v>393.71</v>
          </cell>
        </row>
        <row r="5177">
          <cell r="A5177">
            <v>39093</v>
          </cell>
          <cell r="E5177">
            <v>400.19</v>
          </cell>
        </row>
        <row r="5178">
          <cell r="A5178">
            <v>39094</v>
          </cell>
          <cell r="E5178">
            <v>401.35</v>
          </cell>
        </row>
        <row r="5179">
          <cell r="A5179">
            <v>39097</v>
          </cell>
          <cell r="E5179">
            <v>402.95</v>
          </cell>
        </row>
        <row r="5180">
          <cell r="A5180">
            <v>39098</v>
          </cell>
          <cell r="E5180">
            <v>401.31</v>
          </cell>
        </row>
        <row r="5181">
          <cell r="A5181">
            <v>39099</v>
          </cell>
          <cell r="E5181">
            <v>399.93</v>
          </cell>
        </row>
        <row r="5182">
          <cell r="A5182">
            <v>39100</v>
          </cell>
          <cell r="E5182">
            <v>399.54</v>
          </cell>
        </row>
        <row r="5183">
          <cell r="A5183">
            <v>39101</v>
          </cell>
          <cell r="E5183">
            <v>402.9</v>
          </cell>
        </row>
        <row r="5184">
          <cell r="A5184">
            <v>39104</v>
          </cell>
          <cell r="E5184">
            <v>400.79</v>
          </cell>
        </row>
        <row r="5185">
          <cell r="A5185">
            <v>39105</v>
          </cell>
          <cell r="E5185">
            <v>400.4</v>
          </cell>
        </row>
        <row r="5186">
          <cell r="A5186">
            <v>39106</v>
          </cell>
          <cell r="E5186">
            <v>404.72</v>
          </cell>
        </row>
        <row r="5187">
          <cell r="A5187">
            <v>39107</v>
          </cell>
          <cell r="E5187">
            <v>403.45</v>
          </cell>
        </row>
        <row r="5188">
          <cell r="A5188">
            <v>39108</v>
          </cell>
          <cell r="E5188">
            <v>401.12</v>
          </cell>
        </row>
        <row r="5189">
          <cell r="A5189">
            <v>39111</v>
          </cell>
          <cell r="E5189">
            <v>403</v>
          </cell>
        </row>
        <row r="5190">
          <cell r="A5190">
            <v>39112</v>
          </cell>
          <cell r="E5190">
            <v>402.2</v>
          </cell>
        </row>
        <row r="5191">
          <cell r="A5191">
            <v>39113</v>
          </cell>
          <cell r="E5191">
            <v>404.9</v>
          </cell>
        </row>
        <row r="5192">
          <cell r="A5192">
            <v>39114</v>
          </cell>
          <cell r="E5192">
            <v>403.74</v>
          </cell>
        </row>
        <row r="5193">
          <cell r="A5193">
            <v>39115</v>
          </cell>
          <cell r="E5193">
            <v>408.79</v>
          </cell>
        </row>
        <row r="5194">
          <cell r="A5194">
            <v>39118</v>
          </cell>
          <cell r="E5194">
            <v>409.03</v>
          </cell>
        </row>
        <row r="5195">
          <cell r="A5195">
            <v>39119</v>
          </cell>
          <cell r="E5195">
            <v>409.47</v>
          </cell>
        </row>
        <row r="5196">
          <cell r="A5196">
            <v>39120</v>
          </cell>
          <cell r="E5196">
            <v>411.54</v>
          </cell>
        </row>
        <row r="5197">
          <cell r="A5197">
            <v>39121</v>
          </cell>
          <cell r="E5197">
            <v>410.8</v>
          </cell>
        </row>
        <row r="5198">
          <cell r="A5198">
            <v>39122</v>
          </cell>
          <cell r="E5198">
            <v>411.1</v>
          </cell>
        </row>
        <row r="5199">
          <cell r="A5199">
            <v>39125</v>
          </cell>
          <cell r="E5199">
            <v>407.98</v>
          </cell>
        </row>
        <row r="5200">
          <cell r="A5200">
            <v>39126</v>
          </cell>
          <cell r="E5200">
            <v>410.24</v>
          </cell>
        </row>
        <row r="5201">
          <cell r="A5201">
            <v>39127</v>
          </cell>
          <cell r="E5201">
            <v>413.47</v>
          </cell>
        </row>
        <row r="5202">
          <cell r="A5202">
            <v>39128</v>
          </cell>
          <cell r="E5202">
            <v>413.43</v>
          </cell>
        </row>
        <row r="5203">
          <cell r="A5203">
            <v>39129</v>
          </cell>
          <cell r="E5203">
            <v>412.87</v>
          </cell>
        </row>
        <row r="5204">
          <cell r="A5204">
            <v>39132</v>
          </cell>
          <cell r="E5204">
            <v>415.37</v>
          </cell>
        </row>
        <row r="5205">
          <cell r="A5205">
            <v>39133</v>
          </cell>
          <cell r="E5205">
            <v>413.69</v>
          </cell>
        </row>
        <row r="5206">
          <cell r="A5206">
            <v>39134</v>
          </cell>
          <cell r="E5206">
            <v>411.95</v>
          </cell>
        </row>
        <row r="5207">
          <cell r="A5207">
            <v>39135</v>
          </cell>
          <cell r="E5207">
            <v>412.95</v>
          </cell>
        </row>
        <row r="5208">
          <cell r="A5208">
            <v>39136</v>
          </cell>
          <cell r="E5208">
            <v>413.27</v>
          </cell>
        </row>
        <row r="5209">
          <cell r="A5209">
            <v>39139</v>
          </cell>
          <cell r="E5209">
            <v>415.28</v>
          </cell>
        </row>
        <row r="5210">
          <cell r="A5210">
            <v>39140</v>
          </cell>
          <cell r="E5210">
            <v>402.6</v>
          </cell>
        </row>
        <row r="5211">
          <cell r="A5211">
            <v>39141</v>
          </cell>
          <cell r="E5211">
            <v>397.25</v>
          </cell>
        </row>
        <row r="5212">
          <cell r="A5212">
            <v>39142</v>
          </cell>
          <cell r="E5212">
            <v>392.24</v>
          </cell>
        </row>
        <row r="5213">
          <cell r="A5213">
            <v>39143</v>
          </cell>
          <cell r="E5213">
            <v>391.46</v>
          </cell>
        </row>
        <row r="5214">
          <cell r="A5214">
            <v>39146</v>
          </cell>
          <cell r="E5214">
            <v>387.06</v>
          </cell>
        </row>
        <row r="5215">
          <cell r="A5215">
            <v>39147</v>
          </cell>
          <cell r="E5215">
            <v>390.18</v>
          </cell>
        </row>
        <row r="5216">
          <cell r="A5216">
            <v>39148</v>
          </cell>
          <cell r="E5216">
            <v>392.03</v>
          </cell>
        </row>
        <row r="5217">
          <cell r="A5217">
            <v>39149</v>
          </cell>
          <cell r="E5217">
            <v>397.91</v>
          </cell>
        </row>
        <row r="5218">
          <cell r="A5218">
            <v>39150</v>
          </cell>
          <cell r="E5218">
            <v>398.16</v>
          </cell>
        </row>
        <row r="5219">
          <cell r="A5219">
            <v>39153</v>
          </cell>
          <cell r="E5219">
            <v>397.07</v>
          </cell>
        </row>
        <row r="5220">
          <cell r="A5220">
            <v>39154</v>
          </cell>
          <cell r="E5220">
            <v>392.51</v>
          </cell>
        </row>
        <row r="5221">
          <cell r="A5221">
            <v>39155</v>
          </cell>
          <cell r="E5221">
            <v>382.23</v>
          </cell>
        </row>
        <row r="5222">
          <cell r="A5222">
            <v>39156</v>
          </cell>
          <cell r="E5222">
            <v>389.85</v>
          </cell>
        </row>
        <row r="5223">
          <cell r="A5223">
            <v>39157</v>
          </cell>
          <cell r="E5223">
            <v>390.07</v>
          </cell>
        </row>
        <row r="5224">
          <cell r="A5224">
            <v>39160</v>
          </cell>
          <cell r="E5224">
            <v>396.59</v>
          </cell>
        </row>
        <row r="5225">
          <cell r="A5225">
            <v>39161</v>
          </cell>
          <cell r="E5225">
            <v>398.88</v>
          </cell>
        </row>
        <row r="5226">
          <cell r="A5226">
            <v>39162</v>
          </cell>
          <cell r="E5226">
            <v>399.79</v>
          </cell>
        </row>
        <row r="5227">
          <cell r="A5227">
            <v>39163</v>
          </cell>
          <cell r="E5227">
            <v>407.21</v>
          </cell>
        </row>
        <row r="5228">
          <cell r="A5228">
            <v>39164</v>
          </cell>
          <cell r="E5228">
            <v>409.44</v>
          </cell>
        </row>
        <row r="5229">
          <cell r="A5229">
            <v>39167</v>
          </cell>
          <cell r="E5229">
            <v>405.8</v>
          </cell>
        </row>
        <row r="5230">
          <cell r="A5230">
            <v>39168</v>
          </cell>
          <cell r="E5230">
            <v>406.15</v>
          </cell>
        </row>
        <row r="5231">
          <cell r="A5231">
            <v>39169</v>
          </cell>
          <cell r="E5231">
            <v>403.65</v>
          </cell>
        </row>
        <row r="5232">
          <cell r="A5232">
            <v>39170</v>
          </cell>
          <cell r="E5232">
            <v>408.74</v>
          </cell>
        </row>
        <row r="5233">
          <cell r="A5233">
            <v>39171</v>
          </cell>
          <cell r="E5233">
            <v>408.97</v>
          </cell>
        </row>
        <row r="5234">
          <cell r="A5234">
            <v>39174</v>
          </cell>
          <cell r="E5234">
            <v>410.14</v>
          </cell>
        </row>
        <row r="5235">
          <cell r="A5235">
            <v>39175</v>
          </cell>
          <cell r="E5235">
            <v>415.11</v>
          </cell>
        </row>
        <row r="5236">
          <cell r="A5236">
            <v>39176</v>
          </cell>
          <cell r="E5236">
            <v>415.49</v>
          </cell>
        </row>
        <row r="5237">
          <cell r="A5237">
            <v>39177</v>
          </cell>
          <cell r="E5237">
            <v>417.12</v>
          </cell>
        </row>
        <row r="5238">
          <cell r="A5238">
            <v>39182</v>
          </cell>
          <cell r="E5238">
            <v>420.11</v>
          </cell>
        </row>
        <row r="5239">
          <cell r="A5239">
            <v>39183</v>
          </cell>
          <cell r="E5239">
            <v>419.3</v>
          </cell>
        </row>
        <row r="5240">
          <cell r="A5240">
            <v>39184</v>
          </cell>
          <cell r="E5240">
            <v>417.91</v>
          </cell>
        </row>
        <row r="5241">
          <cell r="A5241">
            <v>39185</v>
          </cell>
          <cell r="E5241">
            <v>420.81</v>
          </cell>
        </row>
        <row r="5242">
          <cell r="A5242">
            <v>39188</v>
          </cell>
          <cell r="E5242">
            <v>426.04</v>
          </cell>
        </row>
        <row r="5243">
          <cell r="A5243">
            <v>39189</v>
          </cell>
          <cell r="E5243">
            <v>425.89</v>
          </cell>
        </row>
        <row r="5244">
          <cell r="A5244">
            <v>39190</v>
          </cell>
          <cell r="E5244">
            <v>423.5</v>
          </cell>
        </row>
        <row r="5245">
          <cell r="A5245">
            <v>39191</v>
          </cell>
          <cell r="E5245">
            <v>422.07</v>
          </cell>
        </row>
        <row r="5246">
          <cell r="A5246">
            <v>39192</v>
          </cell>
          <cell r="E5246">
            <v>428.52</v>
          </cell>
        </row>
        <row r="5247">
          <cell r="A5247">
            <v>39195</v>
          </cell>
          <cell r="E5247">
            <v>427.27</v>
          </cell>
        </row>
        <row r="5248">
          <cell r="A5248">
            <v>39196</v>
          </cell>
          <cell r="E5248">
            <v>423.71</v>
          </cell>
        </row>
        <row r="5249">
          <cell r="A5249">
            <v>39197</v>
          </cell>
          <cell r="B5249">
            <v>3875.78</v>
          </cell>
          <cell r="C5249">
            <v>4404.4399999999996</v>
          </cell>
          <cell r="D5249">
            <v>387.8</v>
          </cell>
          <cell r="E5249">
            <v>427.22</v>
          </cell>
          <cell r="F5249">
            <v>458.55</v>
          </cell>
          <cell r="G5249">
            <v>345.53</v>
          </cell>
          <cell r="H5249">
            <v>8882.4500000000007</v>
          </cell>
          <cell r="I5249">
            <v>539.6</v>
          </cell>
        </row>
        <row r="5250">
          <cell r="A5250">
            <v>39198</v>
          </cell>
          <cell r="B5250">
            <v>3878.72</v>
          </cell>
          <cell r="C5250">
            <v>4414.21</v>
          </cell>
          <cell r="D5250">
            <v>388.4</v>
          </cell>
          <cell r="E5250">
            <v>428.22</v>
          </cell>
          <cell r="F5250">
            <v>459.95</v>
          </cell>
          <cell r="G5250">
            <v>345.76</v>
          </cell>
          <cell r="H5250">
            <v>8955.66</v>
          </cell>
          <cell r="I5250">
            <v>543.85</v>
          </cell>
        </row>
        <row r="5251">
          <cell r="A5251">
            <v>39199</v>
          </cell>
          <cell r="B5251">
            <v>3850.56</v>
          </cell>
          <cell r="C5251">
            <v>4383.13</v>
          </cell>
          <cell r="D5251">
            <v>386.1</v>
          </cell>
          <cell r="E5251">
            <v>425.83</v>
          </cell>
          <cell r="F5251">
            <v>457.25</v>
          </cell>
          <cell r="G5251">
            <v>343.59</v>
          </cell>
          <cell r="H5251">
            <v>8892.89</v>
          </cell>
          <cell r="I5251">
            <v>540.95000000000005</v>
          </cell>
        </row>
        <row r="5252">
          <cell r="A5252">
            <v>39202</v>
          </cell>
          <cell r="B5252">
            <v>3858.21</v>
          </cell>
          <cell r="C5252">
            <v>4392.34</v>
          </cell>
          <cell r="D5252">
            <v>386.93</v>
          </cell>
          <cell r="E5252">
            <v>426.32</v>
          </cell>
          <cell r="F5252">
            <v>457.84</v>
          </cell>
          <cell r="G5252">
            <v>344.7</v>
          </cell>
          <cell r="H5252">
            <v>8923.25</v>
          </cell>
          <cell r="I5252">
            <v>542.33000000000004</v>
          </cell>
        </row>
        <row r="5253">
          <cell r="A5253">
            <v>39203</v>
          </cell>
          <cell r="B5253">
            <v>3853.7</v>
          </cell>
          <cell r="C5253">
            <v>4392.41</v>
          </cell>
          <cell r="D5253">
            <v>386.77</v>
          </cell>
          <cell r="E5253">
            <v>426.36</v>
          </cell>
          <cell r="F5253">
            <v>457.72</v>
          </cell>
          <cell r="G5253">
            <v>344.37</v>
          </cell>
          <cell r="H5253">
            <v>8927.9599999999991</v>
          </cell>
          <cell r="I5253">
            <v>542.55999999999995</v>
          </cell>
        </row>
        <row r="5254">
          <cell r="A5254">
            <v>39204</v>
          </cell>
          <cell r="B5254">
            <v>3872.76</v>
          </cell>
          <cell r="C5254">
            <v>4415.4799999999996</v>
          </cell>
          <cell r="D5254">
            <v>388.64</v>
          </cell>
          <cell r="E5254">
            <v>428.56</v>
          </cell>
          <cell r="F5254">
            <v>459.89</v>
          </cell>
          <cell r="G5254">
            <v>345.9</v>
          </cell>
          <cell r="H5254">
            <v>8987.0499999999993</v>
          </cell>
          <cell r="I5254">
            <v>546.78</v>
          </cell>
        </row>
        <row r="5255">
          <cell r="A5255">
            <v>39205</v>
          </cell>
          <cell r="B5255">
            <v>3888.84</v>
          </cell>
          <cell r="C5255">
            <v>4427.32</v>
          </cell>
          <cell r="D5255">
            <v>389.72</v>
          </cell>
          <cell r="E5255">
            <v>429.11</v>
          </cell>
          <cell r="F5255">
            <v>459.9</v>
          </cell>
          <cell r="G5255">
            <v>347.43</v>
          </cell>
          <cell r="H5255">
            <v>8963.92</v>
          </cell>
          <cell r="I5255">
            <v>544.70000000000005</v>
          </cell>
        </row>
        <row r="5256">
          <cell r="A5256">
            <v>39206</v>
          </cell>
          <cell r="B5256">
            <v>3911.73</v>
          </cell>
          <cell r="C5256">
            <v>4445.59</v>
          </cell>
          <cell r="D5256">
            <v>392.73</v>
          </cell>
          <cell r="E5256">
            <v>431.7</v>
          </cell>
          <cell r="F5256">
            <v>462.73</v>
          </cell>
          <cell r="G5256">
            <v>350.76</v>
          </cell>
          <cell r="H5256">
            <v>8983.0400000000009</v>
          </cell>
          <cell r="I5256">
            <v>546.29</v>
          </cell>
        </row>
        <row r="5257">
          <cell r="A5257">
            <v>39209</v>
          </cell>
          <cell r="B5257">
            <v>3903.83</v>
          </cell>
          <cell r="C5257">
            <v>4441.3100000000004</v>
          </cell>
          <cell r="D5257">
            <v>392.88</v>
          </cell>
          <cell r="E5257">
            <v>432.03</v>
          </cell>
          <cell r="F5257">
            <v>463.18</v>
          </cell>
          <cell r="G5257">
            <v>350.74</v>
          </cell>
          <cell r="H5257">
            <v>9027.9</v>
          </cell>
          <cell r="I5257">
            <v>548.44000000000005</v>
          </cell>
        </row>
        <row r="5258">
          <cell r="A5258">
            <v>39210</v>
          </cell>
          <cell r="B5258">
            <v>3880.8</v>
          </cell>
          <cell r="C5258">
            <v>4411.32</v>
          </cell>
          <cell r="D5258">
            <v>389.79</v>
          </cell>
          <cell r="E5258">
            <v>428.27</v>
          </cell>
          <cell r="F5258">
            <v>458.55</v>
          </cell>
          <cell r="G5258">
            <v>348.31</v>
          </cell>
          <cell r="H5258">
            <v>8827.7199999999993</v>
          </cell>
          <cell r="I5258">
            <v>537.11</v>
          </cell>
        </row>
        <row r="5259">
          <cell r="A5259">
            <v>39211</v>
          </cell>
          <cell r="B5259">
            <v>3897.13</v>
          </cell>
          <cell r="C5259">
            <v>4425.03</v>
          </cell>
          <cell r="D5259">
            <v>390.58</v>
          </cell>
          <cell r="E5259">
            <v>429.19</v>
          </cell>
          <cell r="F5259">
            <v>459.54</v>
          </cell>
          <cell r="G5259">
            <v>348.97</v>
          </cell>
          <cell r="H5259">
            <v>8791.1</v>
          </cell>
          <cell r="I5259">
            <v>535.58000000000004</v>
          </cell>
        </row>
        <row r="5260">
          <cell r="A5260">
            <v>39212</v>
          </cell>
          <cell r="B5260">
            <v>3860.99</v>
          </cell>
          <cell r="C5260">
            <v>4391.87</v>
          </cell>
          <cell r="D5260">
            <v>387.72</v>
          </cell>
          <cell r="E5260">
            <v>426.28</v>
          </cell>
          <cell r="F5260">
            <v>456.31</v>
          </cell>
          <cell r="G5260">
            <v>346.21</v>
          </cell>
          <cell r="H5260">
            <v>8685.82</v>
          </cell>
          <cell r="I5260">
            <v>530.66</v>
          </cell>
        </row>
        <row r="5261">
          <cell r="A5261">
            <v>39213</v>
          </cell>
          <cell r="B5261">
            <v>3885.74</v>
          </cell>
          <cell r="C5261">
            <v>4423.07</v>
          </cell>
          <cell r="D5261">
            <v>389.78</v>
          </cell>
          <cell r="E5261">
            <v>428.69</v>
          </cell>
          <cell r="F5261">
            <v>458.81</v>
          </cell>
          <cell r="G5261">
            <v>347.92</v>
          </cell>
          <cell r="H5261">
            <v>8736.99</v>
          </cell>
          <cell r="I5261">
            <v>532.97</v>
          </cell>
        </row>
        <row r="5262">
          <cell r="A5262">
            <v>39216</v>
          </cell>
          <cell r="B5262">
            <v>3872.62</v>
          </cell>
          <cell r="C5262">
            <v>4413.72</v>
          </cell>
          <cell r="D5262">
            <v>388.96</v>
          </cell>
          <cell r="E5262">
            <v>428</v>
          </cell>
          <cell r="F5262">
            <v>458.25</v>
          </cell>
          <cell r="G5262">
            <v>347</v>
          </cell>
          <cell r="H5262">
            <v>8835.44</v>
          </cell>
          <cell r="I5262">
            <v>539.17999999999995</v>
          </cell>
        </row>
        <row r="5263">
          <cell r="A5263">
            <v>39217</v>
          </cell>
          <cell r="B5263">
            <v>3884.63</v>
          </cell>
          <cell r="C5263">
            <v>4441.03</v>
          </cell>
          <cell r="D5263">
            <v>390.21</v>
          </cell>
          <cell r="E5263">
            <v>430.35</v>
          </cell>
          <cell r="F5263">
            <v>460.43</v>
          </cell>
          <cell r="G5263">
            <v>347.26</v>
          </cell>
          <cell r="H5263">
            <v>8882.5400000000009</v>
          </cell>
          <cell r="I5263">
            <v>542.37</v>
          </cell>
        </row>
        <row r="5264">
          <cell r="A5264">
            <v>39218</v>
          </cell>
          <cell r="B5264">
            <v>3867.53</v>
          </cell>
          <cell r="C5264">
            <v>4422.62</v>
          </cell>
          <cell r="D5264">
            <v>389.47</v>
          </cell>
          <cell r="E5264">
            <v>429.24</v>
          </cell>
          <cell r="F5264">
            <v>459.19</v>
          </cell>
          <cell r="G5264">
            <v>346.86</v>
          </cell>
          <cell r="H5264">
            <v>8890.94</v>
          </cell>
          <cell r="I5264">
            <v>542.79</v>
          </cell>
        </row>
        <row r="5265">
          <cell r="A5265">
            <v>39219</v>
          </cell>
          <cell r="B5265">
            <v>3875.39</v>
          </cell>
          <cell r="C5265">
            <v>4428.57</v>
          </cell>
          <cell r="D5265">
            <v>390.39</v>
          </cell>
          <cell r="E5265">
            <v>430.22</v>
          </cell>
          <cell r="F5265">
            <v>459.85</v>
          </cell>
          <cell r="G5265">
            <v>347.71</v>
          </cell>
          <cell r="H5265">
            <v>8869.9599999999991</v>
          </cell>
          <cell r="I5265">
            <v>541.74</v>
          </cell>
        </row>
        <row r="5266">
          <cell r="A5266">
            <v>39220</v>
          </cell>
          <cell r="B5266">
            <v>3916.56</v>
          </cell>
          <cell r="C5266">
            <v>4480.8100000000004</v>
          </cell>
          <cell r="D5266">
            <v>393.95</v>
          </cell>
          <cell r="E5266">
            <v>434.71</v>
          </cell>
          <cell r="F5266">
            <v>464.3</v>
          </cell>
          <cell r="G5266">
            <v>350.37</v>
          </cell>
          <cell r="H5266">
            <v>8949.77</v>
          </cell>
          <cell r="I5266">
            <v>546.70000000000005</v>
          </cell>
        </row>
        <row r="5267">
          <cell r="A5267">
            <v>39223</v>
          </cell>
          <cell r="B5267">
            <v>3905.7</v>
          </cell>
          <cell r="C5267">
            <v>4465.54</v>
          </cell>
          <cell r="D5267">
            <v>393.36</v>
          </cell>
          <cell r="E5267">
            <v>433.73</v>
          </cell>
          <cell r="F5267">
            <v>463.41</v>
          </cell>
          <cell r="G5267">
            <v>350.14</v>
          </cell>
          <cell r="H5267">
            <v>8958.94</v>
          </cell>
          <cell r="I5267">
            <v>548.04</v>
          </cell>
        </row>
        <row r="5268">
          <cell r="A5268">
            <v>39224</v>
          </cell>
          <cell r="B5268">
            <v>3897.35</v>
          </cell>
          <cell r="C5268">
            <v>4469.88</v>
          </cell>
          <cell r="D5268">
            <v>393.39</v>
          </cell>
          <cell r="E5268">
            <v>434.49</v>
          </cell>
          <cell r="F5268">
            <v>463.86</v>
          </cell>
          <cell r="G5268">
            <v>349.52</v>
          </cell>
          <cell r="H5268">
            <v>8943.91</v>
          </cell>
          <cell r="I5268">
            <v>548.04</v>
          </cell>
        </row>
        <row r="5269">
          <cell r="A5269">
            <v>39225</v>
          </cell>
          <cell r="B5269">
            <v>3929.59</v>
          </cell>
          <cell r="C5269">
            <v>4499.6899999999996</v>
          </cell>
          <cell r="D5269">
            <v>396.39</v>
          </cell>
          <cell r="E5269">
            <v>437.42</v>
          </cell>
          <cell r="F5269">
            <v>467.56</v>
          </cell>
          <cell r="G5269">
            <v>352.54</v>
          </cell>
          <cell r="H5269">
            <v>9077.89</v>
          </cell>
          <cell r="I5269">
            <v>555.01</v>
          </cell>
        </row>
        <row r="5270">
          <cell r="A5270">
            <v>39226</v>
          </cell>
          <cell r="B5270">
            <v>3897.23</v>
          </cell>
          <cell r="C5270">
            <v>4452.7</v>
          </cell>
          <cell r="D5270">
            <v>393.55</v>
          </cell>
          <cell r="E5270">
            <v>433.74</v>
          </cell>
          <cell r="F5270">
            <v>463.85</v>
          </cell>
          <cell r="G5270">
            <v>350.48</v>
          </cell>
          <cell r="H5270">
            <v>9042.64</v>
          </cell>
          <cell r="I5270">
            <v>552.85</v>
          </cell>
        </row>
        <row r="5271">
          <cell r="A5271">
            <v>39227</v>
          </cell>
          <cell r="B5271">
            <v>3907.14</v>
          </cell>
          <cell r="C5271">
            <v>4463.5200000000004</v>
          </cell>
          <cell r="D5271">
            <v>393.48</v>
          </cell>
          <cell r="E5271">
            <v>434.08</v>
          </cell>
          <cell r="F5271">
            <v>464.06</v>
          </cell>
          <cell r="G5271">
            <v>350.07</v>
          </cell>
          <cell r="H5271">
            <v>9013.84</v>
          </cell>
          <cell r="I5271">
            <v>551.54999999999995</v>
          </cell>
        </row>
        <row r="5272">
          <cell r="A5272">
            <v>39230</v>
          </cell>
          <cell r="B5272">
            <v>3912.33</v>
          </cell>
          <cell r="C5272">
            <v>4475.46</v>
          </cell>
          <cell r="D5272">
            <v>394.08</v>
          </cell>
          <cell r="E5272">
            <v>435.19</v>
          </cell>
          <cell r="F5272">
            <v>465.1</v>
          </cell>
          <cell r="G5272">
            <v>350.2</v>
          </cell>
          <cell r="H5272">
            <v>9044.67</v>
          </cell>
          <cell r="I5272">
            <v>553.5</v>
          </cell>
        </row>
        <row r="5273">
          <cell r="A5273">
            <v>39231</v>
          </cell>
          <cell r="B5273">
            <v>3915.27</v>
          </cell>
          <cell r="C5273">
            <v>4474.8100000000004</v>
          </cell>
          <cell r="D5273">
            <v>394.39</v>
          </cell>
          <cell r="E5273">
            <v>435.47</v>
          </cell>
          <cell r="F5273">
            <v>465.21</v>
          </cell>
          <cell r="G5273">
            <v>350.52</v>
          </cell>
          <cell r="H5273">
            <v>8970.3700000000008</v>
          </cell>
          <cell r="I5273">
            <v>549.64</v>
          </cell>
        </row>
        <row r="5274">
          <cell r="A5274">
            <v>39232</v>
          </cell>
          <cell r="B5274">
            <v>3913.5</v>
          </cell>
          <cell r="C5274">
            <v>4468.72</v>
          </cell>
          <cell r="D5274">
            <v>393.65</v>
          </cell>
          <cell r="E5274">
            <v>434.49</v>
          </cell>
          <cell r="F5274">
            <v>464.06</v>
          </cell>
          <cell r="G5274">
            <v>350.01</v>
          </cell>
          <cell r="H5274">
            <v>8922.09</v>
          </cell>
          <cell r="I5274">
            <v>547.09</v>
          </cell>
        </row>
        <row r="5275">
          <cell r="A5275">
            <v>39233</v>
          </cell>
          <cell r="B5275">
            <v>3933.16</v>
          </cell>
          <cell r="C5275">
            <v>4512.6499999999996</v>
          </cell>
          <cell r="D5275">
            <v>396.74</v>
          </cell>
          <cell r="E5275">
            <v>439.24</v>
          </cell>
          <cell r="F5275">
            <v>468.87</v>
          </cell>
          <cell r="G5275">
            <v>351.58</v>
          </cell>
          <cell r="H5275">
            <v>9030.83</v>
          </cell>
          <cell r="I5275">
            <v>554.44000000000005</v>
          </cell>
        </row>
        <row r="5276">
          <cell r="A5276">
            <v>39234</v>
          </cell>
          <cell r="B5276">
            <v>3972.45</v>
          </cell>
          <cell r="C5276">
            <v>4556.97</v>
          </cell>
          <cell r="D5276">
            <v>400.31</v>
          </cell>
          <cell r="E5276">
            <v>442.87</v>
          </cell>
          <cell r="F5276">
            <v>472.63</v>
          </cell>
          <cell r="G5276">
            <v>355.03</v>
          </cell>
          <cell r="H5276">
            <v>9134.91</v>
          </cell>
          <cell r="I5276">
            <v>559.99</v>
          </cell>
        </row>
        <row r="5277">
          <cell r="A5277">
            <v>39237</v>
          </cell>
          <cell r="B5277">
            <v>3961.24</v>
          </cell>
          <cell r="C5277">
            <v>4537.8100000000004</v>
          </cell>
          <cell r="D5277">
            <v>399.02</v>
          </cell>
          <cell r="E5277">
            <v>441.1</v>
          </cell>
          <cell r="F5277">
            <v>470.65</v>
          </cell>
          <cell r="G5277">
            <v>354.2</v>
          </cell>
          <cell r="H5277">
            <v>9106.11</v>
          </cell>
          <cell r="I5277">
            <v>557.80999999999995</v>
          </cell>
        </row>
        <row r="5278">
          <cell r="A5278">
            <v>39238</v>
          </cell>
          <cell r="B5278">
            <v>3940.6</v>
          </cell>
          <cell r="C5278">
            <v>4513.18</v>
          </cell>
          <cell r="D5278">
            <v>396.61</v>
          </cell>
          <cell r="E5278">
            <v>438.53</v>
          </cell>
          <cell r="F5278">
            <v>468.04</v>
          </cell>
          <cell r="G5278">
            <v>351.97</v>
          </cell>
          <cell r="H5278">
            <v>9082.5</v>
          </cell>
          <cell r="I5278">
            <v>556.54</v>
          </cell>
        </row>
        <row r="5279">
          <cell r="A5279">
            <v>39239</v>
          </cell>
          <cell r="B5279">
            <v>3887.09</v>
          </cell>
          <cell r="C5279">
            <v>4437.29</v>
          </cell>
          <cell r="D5279">
            <v>390.07</v>
          </cell>
          <cell r="E5279">
            <v>430.25</v>
          </cell>
          <cell r="F5279">
            <v>460.22</v>
          </cell>
          <cell r="G5279">
            <v>347.09</v>
          </cell>
          <cell r="H5279">
            <v>9015.33</v>
          </cell>
          <cell r="I5279">
            <v>551.80999999999995</v>
          </cell>
        </row>
        <row r="5280">
          <cell r="A5280">
            <v>39240</v>
          </cell>
          <cell r="B5280">
            <v>3853.49</v>
          </cell>
          <cell r="C5280">
            <v>4381.45</v>
          </cell>
          <cell r="D5280">
            <v>385.46</v>
          </cell>
          <cell r="E5280">
            <v>425.02</v>
          </cell>
          <cell r="F5280">
            <v>453.72</v>
          </cell>
          <cell r="G5280">
            <v>343.12</v>
          </cell>
          <cell r="H5280">
            <v>8792.7000000000007</v>
          </cell>
          <cell r="I5280">
            <v>538.85</v>
          </cell>
        </row>
        <row r="5281">
          <cell r="A5281">
            <v>39241</v>
          </cell>
          <cell r="B5281">
            <v>3855.36</v>
          </cell>
          <cell r="C5281">
            <v>4376.42</v>
          </cell>
          <cell r="D5281">
            <v>385.09</v>
          </cell>
          <cell r="E5281">
            <v>424.34</v>
          </cell>
          <cell r="F5281">
            <v>453.08</v>
          </cell>
          <cell r="G5281">
            <v>343.03</v>
          </cell>
          <cell r="H5281">
            <v>8792.18</v>
          </cell>
          <cell r="I5281">
            <v>538.92999999999995</v>
          </cell>
        </row>
        <row r="5282">
          <cell r="A5282">
            <v>39244</v>
          </cell>
          <cell r="B5282">
            <v>3887.54</v>
          </cell>
          <cell r="C5282">
            <v>4415.5</v>
          </cell>
          <cell r="D5282">
            <v>388.88</v>
          </cell>
          <cell r="E5282">
            <v>428.7</v>
          </cell>
          <cell r="F5282">
            <v>457.33</v>
          </cell>
          <cell r="G5282">
            <v>346.24</v>
          </cell>
          <cell r="H5282">
            <v>8861.6</v>
          </cell>
          <cell r="I5282">
            <v>544.37</v>
          </cell>
        </row>
        <row r="5283">
          <cell r="A5283">
            <v>39245</v>
          </cell>
          <cell r="B5283">
            <v>3865.56</v>
          </cell>
          <cell r="C5283">
            <v>4383.0200000000004</v>
          </cell>
          <cell r="D5283">
            <v>386.8</v>
          </cell>
          <cell r="E5283">
            <v>425.74</v>
          </cell>
          <cell r="F5283">
            <v>453.96</v>
          </cell>
          <cell r="G5283">
            <v>344.97</v>
          </cell>
          <cell r="H5283">
            <v>8717.9500000000007</v>
          </cell>
          <cell r="I5283">
            <v>535.88</v>
          </cell>
        </row>
        <row r="5284">
          <cell r="A5284">
            <v>39246</v>
          </cell>
          <cell r="B5284">
            <v>3879.38</v>
          </cell>
          <cell r="C5284">
            <v>4401.68</v>
          </cell>
          <cell r="D5284">
            <v>388.22</v>
          </cell>
          <cell r="E5284">
            <v>427.12</v>
          </cell>
          <cell r="F5284">
            <v>455.06</v>
          </cell>
          <cell r="G5284">
            <v>346.41</v>
          </cell>
          <cell r="H5284">
            <v>8769.3799999999992</v>
          </cell>
          <cell r="I5284">
            <v>538.70000000000005</v>
          </cell>
        </row>
        <row r="5285">
          <cell r="A5285">
            <v>39247</v>
          </cell>
          <cell r="B5285">
            <v>3942.39</v>
          </cell>
          <cell r="C5285">
            <v>4485.04</v>
          </cell>
          <cell r="D5285">
            <v>394.29</v>
          </cell>
          <cell r="E5285">
            <v>434.92</v>
          </cell>
          <cell r="F5285">
            <v>463.05</v>
          </cell>
          <cell r="G5285">
            <v>350.83</v>
          </cell>
          <cell r="H5285">
            <v>8913.85</v>
          </cell>
          <cell r="I5285">
            <v>548.05999999999995</v>
          </cell>
        </row>
        <row r="5286">
          <cell r="A5286">
            <v>39248</v>
          </cell>
          <cell r="B5286">
            <v>3991.83</v>
          </cell>
          <cell r="C5286">
            <v>4551</v>
          </cell>
          <cell r="D5286">
            <v>399.27</v>
          </cell>
          <cell r="E5286">
            <v>440.89</v>
          </cell>
          <cell r="F5286">
            <v>469.03</v>
          </cell>
          <cell r="G5286">
            <v>354.84</v>
          </cell>
          <cell r="H5286">
            <v>9027.44</v>
          </cell>
          <cell r="I5286">
            <v>555.01</v>
          </cell>
        </row>
        <row r="5287">
          <cell r="A5287">
            <v>39251</v>
          </cell>
          <cell r="B5287">
            <v>3976.87</v>
          </cell>
          <cell r="C5287">
            <v>4530.22</v>
          </cell>
          <cell r="D5287">
            <v>397.87</v>
          </cell>
          <cell r="E5287">
            <v>439.22</v>
          </cell>
          <cell r="F5287">
            <v>467.64</v>
          </cell>
          <cell r="G5287">
            <v>353.7</v>
          </cell>
          <cell r="H5287">
            <v>9047.43</v>
          </cell>
          <cell r="I5287">
            <v>555.76</v>
          </cell>
        </row>
        <row r="5288">
          <cell r="A5288">
            <v>39252</v>
          </cell>
          <cell r="B5288">
            <v>3962.95</v>
          </cell>
          <cell r="C5288">
            <v>4527.22</v>
          </cell>
          <cell r="D5288">
            <v>396.42</v>
          </cell>
          <cell r="E5288">
            <v>438.27</v>
          </cell>
          <cell r="F5288">
            <v>466.47</v>
          </cell>
          <cell r="G5288">
            <v>351.86</v>
          </cell>
          <cell r="H5288">
            <v>9016.94</v>
          </cell>
          <cell r="I5288">
            <v>553.91999999999996</v>
          </cell>
        </row>
        <row r="5289">
          <cell r="A5289">
            <v>39253</v>
          </cell>
          <cell r="B5289">
            <v>3978.78</v>
          </cell>
          <cell r="C5289">
            <v>4545.6099999999997</v>
          </cell>
          <cell r="D5289">
            <v>397.85</v>
          </cell>
          <cell r="E5289">
            <v>439.9</v>
          </cell>
          <cell r="F5289">
            <v>468.63</v>
          </cell>
          <cell r="G5289">
            <v>353.07</v>
          </cell>
          <cell r="H5289">
            <v>9130.6200000000008</v>
          </cell>
          <cell r="I5289">
            <v>560.38</v>
          </cell>
        </row>
        <row r="5290">
          <cell r="A5290">
            <v>39254</v>
          </cell>
          <cell r="B5290">
            <v>3933.98</v>
          </cell>
          <cell r="C5290">
            <v>4488.66</v>
          </cell>
          <cell r="D5290">
            <v>393.7</v>
          </cell>
          <cell r="E5290">
            <v>434.93</v>
          </cell>
          <cell r="F5290">
            <v>463.17</v>
          </cell>
          <cell r="G5290">
            <v>349.73</v>
          </cell>
          <cell r="H5290">
            <v>9014.7199999999993</v>
          </cell>
          <cell r="I5290">
            <v>552.83000000000004</v>
          </cell>
        </row>
        <row r="5291">
          <cell r="A5291">
            <v>39255</v>
          </cell>
          <cell r="B5291">
            <v>3922.84</v>
          </cell>
          <cell r="C5291">
            <v>4479.3599999999997</v>
          </cell>
          <cell r="D5291">
            <v>392.43</v>
          </cell>
          <cell r="E5291">
            <v>433.72</v>
          </cell>
          <cell r="F5291">
            <v>461.97</v>
          </cell>
          <cell r="G5291">
            <v>348.42</v>
          </cell>
          <cell r="H5291">
            <v>9015.3799999999992</v>
          </cell>
          <cell r="I5291">
            <v>552.69000000000005</v>
          </cell>
        </row>
        <row r="5292">
          <cell r="A5292">
            <v>39258</v>
          </cell>
          <cell r="B5292">
            <v>3921.8</v>
          </cell>
          <cell r="C5292">
            <v>4471.13</v>
          </cell>
          <cell r="D5292">
            <v>391.94</v>
          </cell>
          <cell r="E5292">
            <v>432.74</v>
          </cell>
          <cell r="F5292">
            <v>460.8</v>
          </cell>
          <cell r="G5292">
            <v>348.39</v>
          </cell>
          <cell r="H5292">
            <v>8965.02</v>
          </cell>
          <cell r="I5292">
            <v>549.29</v>
          </cell>
        </row>
        <row r="5293">
          <cell r="A5293">
            <v>39259</v>
          </cell>
          <cell r="B5293">
            <v>3900.19</v>
          </cell>
          <cell r="C5293">
            <v>4433.04</v>
          </cell>
          <cell r="D5293">
            <v>389.52</v>
          </cell>
          <cell r="E5293">
            <v>429.43</v>
          </cell>
          <cell r="F5293">
            <v>457.35</v>
          </cell>
          <cell r="G5293">
            <v>346.78</v>
          </cell>
          <cell r="H5293">
            <v>8907.1299999999992</v>
          </cell>
          <cell r="I5293">
            <v>545.83000000000004</v>
          </cell>
        </row>
        <row r="5294">
          <cell r="A5294">
            <v>39260</v>
          </cell>
          <cell r="B5294">
            <v>3886.99</v>
          </cell>
          <cell r="C5294">
            <v>4412.12</v>
          </cell>
          <cell r="D5294">
            <v>387.69</v>
          </cell>
          <cell r="E5294">
            <v>427.15</v>
          </cell>
          <cell r="F5294">
            <v>455.12</v>
          </cell>
          <cell r="G5294">
            <v>345.38</v>
          </cell>
          <cell r="H5294">
            <v>8869.1</v>
          </cell>
          <cell r="I5294">
            <v>542.99</v>
          </cell>
        </row>
        <row r="5295">
          <cell r="A5295">
            <v>39261</v>
          </cell>
          <cell r="B5295">
            <v>3922.48</v>
          </cell>
          <cell r="C5295">
            <v>4457.99</v>
          </cell>
          <cell r="D5295">
            <v>391.6</v>
          </cell>
          <cell r="E5295">
            <v>431.9</v>
          </cell>
          <cell r="F5295">
            <v>460.43</v>
          </cell>
          <cell r="G5295">
            <v>348.48</v>
          </cell>
          <cell r="H5295">
            <v>9030.57</v>
          </cell>
          <cell r="I5295">
            <v>552.52</v>
          </cell>
        </row>
        <row r="5296">
          <cell r="A5296">
            <v>39262</v>
          </cell>
          <cell r="B5296">
            <v>3946.98</v>
          </cell>
          <cell r="C5296">
            <v>4489.7700000000004</v>
          </cell>
          <cell r="D5296">
            <v>393.71</v>
          </cell>
          <cell r="E5296">
            <v>434.76</v>
          </cell>
          <cell r="F5296">
            <v>463.26</v>
          </cell>
          <cell r="G5296">
            <v>349.89</v>
          </cell>
          <cell r="H5296">
            <v>9027.76</v>
          </cell>
          <cell r="I5296">
            <v>552.67999999999995</v>
          </cell>
        </row>
        <row r="5297">
          <cell r="A5297">
            <v>39265</v>
          </cell>
          <cell r="B5297">
            <v>3929.78</v>
          </cell>
          <cell r="C5297">
            <v>4470.26</v>
          </cell>
          <cell r="D5297">
            <v>392.23</v>
          </cell>
          <cell r="E5297">
            <v>433.51</v>
          </cell>
          <cell r="F5297">
            <v>462.48</v>
          </cell>
          <cell r="G5297">
            <v>348.24</v>
          </cell>
          <cell r="H5297">
            <v>9047.65</v>
          </cell>
          <cell r="I5297">
            <v>555.39</v>
          </cell>
        </row>
        <row r="5298">
          <cell r="A5298">
            <v>39266</v>
          </cell>
          <cell r="B5298">
            <v>3964.11</v>
          </cell>
          <cell r="C5298">
            <v>4513.01</v>
          </cell>
          <cell r="D5298">
            <v>395.71</v>
          </cell>
          <cell r="E5298">
            <v>436.98</v>
          </cell>
          <cell r="F5298">
            <v>466.17</v>
          </cell>
          <cell r="G5298">
            <v>351.65</v>
          </cell>
          <cell r="H5298">
            <v>9187.31</v>
          </cell>
          <cell r="I5298">
            <v>563.73</v>
          </cell>
        </row>
        <row r="5299">
          <cell r="A5299">
            <v>39267</v>
          </cell>
          <cell r="B5299">
            <v>3976.44</v>
          </cell>
          <cell r="C5299">
            <v>4524.24</v>
          </cell>
          <cell r="D5299">
            <v>397.5</v>
          </cell>
          <cell r="E5299">
            <v>438.87</v>
          </cell>
          <cell r="F5299">
            <v>468.41</v>
          </cell>
          <cell r="G5299">
            <v>353.33</v>
          </cell>
          <cell r="H5299">
            <v>9249.06</v>
          </cell>
          <cell r="I5299">
            <v>567.72</v>
          </cell>
        </row>
        <row r="5300">
          <cell r="A5300">
            <v>39268</v>
          </cell>
          <cell r="B5300">
            <v>3948.25</v>
          </cell>
          <cell r="C5300">
            <v>4491.87</v>
          </cell>
          <cell r="D5300">
            <v>394.93</v>
          </cell>
          <cell r="E5300">
            <v>435.71</v>
          </cell>
          <cell r="F5300">
            <v>465.3</v>
          </cell>
          <cell r="G5300">
            <v>351.32</v>
          </cell>
          <cell r="H5300">
            <v>9218.94</v>
          </cell>
          <cell r="I5300">
            <v>565.64</v>
          </cell>
        </row>
        <row r="5301">
          <cell r="A5301">
            <v>39269</v>
          </cell>
          <cell r="B5301">
            <v>3979.32</v>
          </cell>
          <cell r="C5301">
            <v>4524.45</v>
          </cell>
          <cell r="D5301">
            <v>397.27</v>
          </cell>
          <cell r="E5301">
            <v>438.69</v>
          </cell>
          <cell r="F5301">
            <v>467.95</v>
          </cell>
          <cell r="G5301">
            <v>353.06</v>
          </cell>
          <cell r="H5301">
            <v>9249.7999999999993</v>
          </cell>
          <cell r="I5301">
            <v>567.26</v>
          </cell>
        </row>
        <row r="5302">
          <cell r="A5302">
            <v>39272</v>
          </cell>
          <cell r="B5302">
            <v>3993.61</v>
          </cell>
          <cell r="C5302">
            <v>4528.76</v>
          </cell>
          <cell r="D5302">
            <v>398.52</v>
          </cell>
          <cell r="E5302">
            <v>439.43</v>
          </cell>
          <cell r="F5302">
            <v>469.17</v>
          </cell>
          <cell r="G5302">
            <v>354.72</v>
          </cell>
          <cell r="H5302">
            <v>9308.27</v>
          </cell>
          <cell r="I5302">
            <v>570.59</v>
          </cell>
        </row>
        <row r="5303">
          <cell r="A5303">
            <v>39273</v>
          </cell>
          <cell r="B5303">
            <v>3943.86</v>
          </cell>
          <cell r="C5303">
            <v>4474.1499999999996</v>
          </cell>
          <cell r="D5303">
            <v>394.02</v>
          </cell>
          <cell r="E5303">
            <v>434.55</v>
          </cell>
          <cell r="F5303">
            <v>464.54</v>
          </cell>
          <cell r="G5303">
            <v>350.66</v>
          </cell>
          <cell r="H5303">
            <v>9232.1200000000008</v>
          </cell>
          <cell r="I5303">
            <v>566.4</v>
          </cell>
        </row>
        <row r="5304">
          <cell r="A5304">
            <v>39274</v>
          </cell>
          <cell r="B5304">
            <v>3924.35</v>
          </cell>
          <cell r="C5304">
            <v>4447.5200000000004</v>
          </cell>
          <cell r="D5304">
            <v>392.72</v>
          </cell>
          <cell r="E5304">
            <v>432.24</v>
          </cell>
          <cell r="F5304">
            <v>462.57</v>
          </cell>
          <cell r="G5304">
            <v>350.26</v>
          </cell>
          <cell r="H5304">
            <v>9224.5300000000007</v>
          </cell>
          <cell r="I5304">
            <v>566.26</v>
          </cell>
        </row>
        <row r="5305">
          <cell r="A5305">
            <v>39275</v>
          </cell>
          <cell r="B5305">
            <v>3974.65</v>
          </cell>
          <cell r="C5305">
            <v>4517.7</v>
          </cell>
          <cell r="D5305">
            <v>397.34</v>
          </cell>
          <cell r="E5305">
            <v>438.33</v>
          </cell>
          <cell r="F5305">
            <v>468.41</v>
          </cell>
          <cell r="G5305">
            <v>353.5</v>
          </cell>
          <cell r="H5305">
            <v>9387.59</v>
          </cell>
          <cell r="I5305">
            <v>575.36</v>
          </cell>
        </row>
        <row r="5306">
          <cell r="A5306">
            <v>39276</v>
          </cell>
          <cell r="B5306">
            <v>3991.91</v>
          </cell>
          <cell r="C5306">
            <v>4542.57</v>
          </cell>
          <cell r="D5306">
            <v>399.02</v>
          </cell>
          <cell r="E5306">
            <v>440.18</v>
          </cell>
          <cell r="F5306">
            <v>470.16</v>
          </cell>
          <cell r="G5306">
            <v>355.01</v>
          </cell>
          <cell r="H5306">
            <v>9426.65</v>
          </cell>
          <cell r="I5306">
            <v>578.30999999999995</v>
          </cell>
        </row>
        <row r="5307">
          <cell r="A5307">
            <v>39279</v>
          </cell>
          <cell r="B5307">
            <v>3998.93</v>
          </cell>
          <cell r="C5307">
            <v>4557.57</v>
          </cell>
          <cell r="D5307">
            <v>399.71</v>
          </cell>
          <cell r="E5307">
            <v>441.18</v>
          </cell>
          <cell r="F5307">
            <v>471.41</v>
          </cell>
          <cell r="G5307">
            <v>355.4</v>
          </cell>
          <cell r="H5307">
            <v>9449.2000000000007</v>
          </cell>
          <cell r="I5307">
            <v>579.97</v>
          </cell>
        </row>
        <row r="5308">
          <cell r="A5308">
            <v>39280</v>
          </cell>
          <cell r="B5308">
            <v>3982.39</v>
          </cell>
          <cell r="C5308">
            <v>4538.3100000000004</v>
          </cell>
          <cell r="D5308">
            <v>397.79</v>
          </cell>
          <cell r="E5308">
            <v>439.05</v>
          </cell>
          <cell r="F5308">
            <v>468.79</v>
          </cell>
          <cell r="G5308">
            <v>353.71</v>
          </cell>
          <cell r="H5308">
            <v>9385.5300000000007</v>
          </cell>
          <cell r="I5308">
            <v>576.26</v>
          </cell>
        </row>
        <row r="5309">
          <cell r="A5309">
            <v>39281</v>
          </cell>
          <cell r="B5309">
            <v>3925.29</v>
          </cell>
          <cell r="C5309">
            <v>4472.22</v>
          </cell>
          <cell r="D5309">
            <v>393.14</v>
          </cell>
          <cell r="E5309">
            <v>433.56</v>
          </cell>
          <cell r="F5309">
            <v>463.17</v>
          </cell>
          <cell r="G5309">
            <v>349.89</v>
          </cell>
          <cell r="H5309">
            <v>9335.2000000000007</v>
          </cell>
          <cell r="I5309">
            <v>573</v>
          </cell>
        </row>
        <row r="5310">
          <cell r="A5310">
            <v>39282</v>
          </cell>
          <cell r="B5310">
            <v>3965.05</v>
          </cell>
          <cell r="C5310">
            <v>4522.6400000000003</v>
          </cell>
          <cell r="D5310">
            <v>396.94</v>
          </cell>
          <cell r="E5310">
            <v>437.88</v>
          </cell>
          <cell r="F5310">
            <v>467.8</v>
          </cell>
          <cell r="G5310">
            <v>353.15</v>
          </cell>
          <cell r="H5310">
            <v>9397.98</v>
          </cell>
          <cell r="I5310">
            <v>577.25</v>
          </cell>
        </row>
        <row r="5311">
          <cell r="A5311">
            <v>39283</v>
          </cell>
          <cell r="B5311">
            <v>3910</v>
          </cell>
          <cell r="C5311">
            <v>4445.2299999999996</v>
          </cell>
          <cell r="D5311">
            <v>392.59</v>
          </cell>
          <cell r="E5311">
            <v>431.55</v>
          </cell>
          <cell r="F5311">
            <v>461.55</v>
          </cell>
          <cell r="G5311">
            <v>350.63</v>
          </cell>
          <cell r="H5311">
            <v>9274.68</v>
          </cell>
          <cell r="I5311">
            <v>570.83000000000004</v>
          </cell>
        </row>
        <row r="5312">
          <cell r="A5312">
            <v>39286</v>
          </cell>
          <cell r="B5312">
            <v>3939.24</v>
          </cell>
          <cell r="C5312">
            <v>4482.75</v>
          </cell>
          <cell r="D5312">
            <v>394.99</v>
          </cell>
          <cell r="E5312">
            <v>434.52</v>
          </cell>
          <cell r="F5312">
            <v>464</v>
          </cell>
          <cell r="G5312">
            <v>352.48</v>
          </cell>
          <cell r="H5312">
            <v>9295.02</v>
          </cell>
          <cell r="I5312">
            <v>572.38</v>
          </cell>
        </row>
        <row r="5313">
          <cell r="A5313">
            <v>39287</v>
          </cell>
          <cell r="B5313">
            <v>3877.44</v>
          </cell>
          <cell r="C5313">
            <v>4412.0600000000004</v>
          </cell>
          <cell r="D5313">
            <v>388.94</v>
          </cell>
          <cell r="E5313">
            <v>427.91</v>
          </cell>
          <cell r="F5313">
            <v>457.4</v>
          </cell>
          <cell r="G5313">
            <v>347.04</v>
          </cell>
          <cell r="H5313">
            <v>9148.86</v>
          </cell>
          <cell r="I5313">
            <v>563.49</v>
          </cell>
        </row>
        <row r="5314">
          <cell r="A5314">
            <v>39288</v>
          </cell>
          <cell r="B5314">
            <v>3841.5</v>
          </cell>
          <cell r="C5314">
            <v>4360.8999999999996</v>
          </cell>
          <cell r="D5314">
            <v>385.5</v>
          </cell>
          <cell r="E5314">
            <v>423.57</v>
          </cell>
          <cell r="F5314">
            <v>452.5</v>
          </cell>
          <cell r="G5314">
            <v>344.47</v>
          </cell>
          <cell r="H5314">
            <v>9030.56</v>
          </cell>
          <cell r="I5314">
            <v>556.32000000000005</v>
          </cell>
        </row>
        <row r="5315">
          <cell r="A5315">
            <v>39289</v>
          </cell>
          <cell r="B5315">
            <v>3735.19</v>
          </cell>
          <cell r="C5315">
            <v>4252.92</v>
          </cell>
          <cell r="D5315">
            <v>374.56</v>
          </cell>
          <cell r="E5315">
            <v>412.75</v>
          </cell>
          <cell r="F5315">
            <v>440.99</v>
          </cell>
          <cell r="G5315">
            <v>333.62</v>
          </cell>
          <cell r="H5315">
            <v>8756.32</v>
          </cell>
          <cell r="I5315">
            <v>539.94000000000005</v>
          </cell>
        </row>
        <row r="5316">
          <cell r="A5316">
            <v>39290</v>
          </cell>
          <cell r="B5316">
            <v>3720.33</v>
          </cell>
          <cell r="C5316">
            <v>4244.58</v>
          </cell>
          <cell r="D5316">
            <v>372.69</v>
          </cell>
          <cell r="E5316">
            <v>410.83</v>
          </cell>
          <cell r="F5316">
            <v>439.45</v>
          </cell>
          <cell r="G5316">
            <v>331.85</v>
          </cell>
          <cell r="H5316">
            <v>8761.57</v>
          </cell>
          <cell r="I5316">
            <v>539.66</v>
          </cell>
        </row>
        <row r="5317">
          <cell r="A5317">
            <v>39293</v>
          </cell>
          <cell r="B5317">
            <v>3710.74</v>
          </cell>
          <cell r="C5317">
            <v>4239.18</v>
          </cell>
          <cell r="D5317">
            <v>372.03</v>
          </cell>
          <cell r="E5317">
            <v>410.29</v>
          </cell>
          <cell r="F5317">
            <v>439.55</v>
          </cell>
          <cell r="G5317">
            <v>331.1</v>
          </cell>
          <cell r="H5317">
            <v>8832.74</v>
          </cell>
          <cell r="I5317">
            <v>543.41</v>
          </cell>
        </row>
        <row r="5318">
          <cell r="A5318">
            <v>39294</v>
          </cell>
          <cell r="B5318">
            <v>3794.29</v>
          </cell>
          <cell r="C5318">
            <v>4315.6899999999996</v>
          </cell>
          <cell r="D5318">
            <v>380.07</v>
          </cell>
          <cell r="E5318">
            <v>418.05</v>
          </cell>
          <cell r="F5318">
            <v>447.61</v>
          </cell>
          <cell r="G5318">
            <v>339.22</v>
          </cell>
          <cell r="H5318">
            <v>8938.6299999999992</v>
          </cell>
          <cell r="I5318">
            <v>550.91999999999996</v>
          </cell>
        </row>
        <row r="5319">
          <cell r="A5319">
            <v>39295</v>
          </cell>
          <cell r="B5319">
            <v>3738.61</v>
          </cell>
          <cell r="C5319">
            <v>4237.05</v>
          </cell>
          <cell r="D5319">
            <v>374.16</v>
          </cell>
          <cell r="E5319">
            <v>410.89</v>
          </cell>
          <cell r="F5319">
            <v>441</v>
          </cell>
          <cell r="G5319">
            <v>334.51</v>
          </cell>
          <cell r="H5319">
            <v>8752.2800000000007</v>
          </cell>
          <cell r="I5319">
            <v>538.39</v>
          </cell>
        </row>
        <row r="5320">
          <cell r="A5320">
            <v>39296</v>
          </cell>
          <cell r="B5320">
            <v>3770.93</v>
          </cell>
          <cell r="C5320">
            <v>4288.66</v>
          </cell>
          <cell r="D5320">
            <v>376.93</v>
          </cell>
          <cell r="E5320">
            <v>414.55</v>
          </cell>
          <cell r="F5320">
            <v>443.62</v>
          </cell>
          <cell r="G5320">
            <v>336.45</v>
          </cell>
          <cell r="H5320">
            <v>8933.73</v>
          </cell>
          <cell r="I5320">
            <v>550.20000000000005</v>
          </cell>
        </row>
        <row r="5321">
          <cell r="A5321">
            <v>39297</v>
          </cell>
          <cell r="B5321">
            <v>3718.31</v>
          </cell>
          <cell r="C5321">
            <v>4229.1899999999996</v>
          </cell>
          <cell r="D5321">
            <v>372.03</v>
          </cell>
          <cell r="E5321">
            <v>409.39</v>
          </cell>
          <cell r="F5321">
            <v>438.29</v>
          </cell>
          <cell r="G5321">
            <v>331.88</v>
          </cell>
          <cell r="H5321">
            <v>8827.2800000000007</v>
          </cell>
          <cell r="I5321">
            <v>541.64</v>
          </cell>
        </row>
        <row r="5322">
          <cell r="A5322">
            <v>39300</v>
          </cell>
          <cell r="B5322">
            <v>3692.23</v>
          </cell>
          <cell r="C5322">
            <v>4202.78</v>
          </cell>
          <cell r="D5322">
            <v>368.64</v>
          </cell>
          <cell r="E5322">
            <v>406.11</v>
          </cell>
          <cell r="F5322">
            <v>434.92</v>
          </cell>
          <cell r="G5322">
            <v>328.46</v>
          </cell>
          <cell r="H5322">
            <v>8688.44</v>
          </cell>
          <cell r="I5322">
            <v>532.89</v>
          </cell>
        </row>
        <row r="5323">
          <cell r="A5323">
            <v>39301</v>
          </cell>
          <cell r="B5323">
            <v>3754.95</v>
          </cell>
          <cell r="C5323">
            <v>4276.8</v>
          </cell>
          <cell r="D5323">
            <v>373.62</v>
          </cell>
          <cell r="E5323">
            <v>411.44</v>
          </cell>
          <cell r="F5323">
            <v>440.21</v>
          </cell>
          <cell r="G5323">
            <v>333.02</v>
          </cell>
          <cell r="H5323">
            <v>8759.68</v>
          </cell>
          <cell r="I5323">
            <v>537.73</v>
          </cell>
        </row>
        <row r="5324">
          <cell r="A5324">
            <v>39302</v>
          </cell>
          <cell r="B5324">
            <v>3823.07</v>
          </cell>
          <cell r="C5324">
            <v>4364.22</v>
          </cell>
          <cell r="D5324">
            <v>381.05</v>
          </cell>
          <cell r="E5324">
            <v>419.6</v>
          </cell>
          <cell r="F5324">
            <v>449.14</v>
          </cell>
          <cell r="G5324">
            <v>339.69</v>
          </cell>
          <cell r="H5324">
            <v>8971.9699999999993</v>
          </cell>
          <cell r="I5324">
            <v>551.86</v>
          </cell>
        </row>
        <row r="5325">
          <cell r="A5325">
            <v>39303</v>
          </cell>
          <cell r="B5325">
            <v>3751.48</v>
          </cell>
          <cell r="C5325">
            <v>4275.18</v>
          </cell>
          <cell r="D5325">
            <v>374.27</v>
          </cell>
          <cell r="E5325">
            <v>411.61</v>
          </cell>
          <cell r="F5325">
            <v>440.64</v>
          </cell>
          <cell r="G5325">
            <v>334.1</v>
          </cell>
          <cell r="H5325">
            <v>8735.57</v>
          </cell>
          <cell r="I5325">
            <v>537.79999999999995</v>
          </cell>
        </row>
        <row r="5326">
          <cell r="A5326">
            <v>39304</v>
          </cell>
          <cell r="B5326">
            <v>3630.04</v>
          </cell>
          <cell r="C5326">
            <v>4161.29</v>
          </cell>
          <cell r="D5326">
            <v>362.77</v>
          </cell>
          <cell r="E5326">
            <v>400.86</v>
          </cell>
          <cell r="F5326">
            <v>428.86</v>
          </cell>
          <cell r="G5326">
            <v>322.14999999999998</v>
          </cell>
          <cell r="H5326">
            <v>8447.7099999999991</v>
          </cell>
          <cell r="I5326">
            <v>520.32000000000005</v>
          </cell>
        </row>
        <row r="5327">
          <cell r="A5327">
            <v>39307</v>
          </cell>
          <cell r="B5327">
            <v>3722.1</v>
          </cell>
          <cell r="C5327">
            <v>4255.79</v>
          </cell>
          <cell r="D5327">
            <v>370.91</v>
          </cell>
          <cell r="E5327">
            <v>408.95</v>
          </cell>
          <cell r="F5327">
            <v>437</v>
          </cell>
          <cell r="G5327">
            <v>330.18</v>
          </cell>
          <cell r="H5327">
            <v>8675.9</v>
          </cell>
          <cell r="I5327">
            <v>534.59</v>
          </cell>
        </row>
        <row r="5328">
          <cell r="A5328">
            <v>39308</v>
          </cell>
          <cell r="B5328">
            <v>3668.03</v>
          </cell>
          <cell r="C5328">
            <v>4195.6000000000004</v>
          </cell>
          <cell r="D5328">
            <v>366.34</v>
          </cell>
          <cell r="E5328">
            <v>404.49</v>
          </cell>
          <cell r="F5328">
            <v>432.18</v>
          </cell>
          <cell r="G5328">
            <v>325.58999999999997</v>
          </cell>
          <cell r="H5328">
            <v>8600.4699999999993</v>
          </cell>
          <cell r="I5328">
            <v>530.1</v>
          </cell>
        </row>
        <row r="5329">
          <cell r="A5329">
            <v>39309</v>
          </cell>
          <cell r="B5329">
            <v>3665.72</v>
          </cell>
          <cell r="C5329">
            <v>4183.0600000000004</v>
          </cell>
          <cell r="D5329">
            <v>365.36</v>
          </cell>
          <cell r="E5329">
            <v>403.04</v>
          </cell>
          <cell r="F5329">
            <v>431.11</v>
          </cell>
          <cell r="G5329">
            <v>325.06</v>
          </cell>
          <cell r="H5329">
            <v>8487.0300000000007</v>
          </cell>
          <cell r="I5329">
            <v>522.51</v>
          </cell>
        </row>
        <row r="5330">
          <cell r="A5330">
            <v>39310</v>
          </cell>
          <cell r="B5330">
            <v>3546.67</v>
          </cell>
          <cell r="C5330">
            <v>4062.33</v>
          </cell>
          <cell r="D5330">
            <v>352.37</v>
          </cell>
          <cell r="E5330">
            <v>389.54</v>
          </cell>
          <cell r="F5330">
            <v>416.88</v>
          </cell>
          <cell r="G5330">
            <v>312.77</v>
          </cell>
          <cell r="H5330">
            <v>8176.8</v>
          </cell>
          <cell r="I5330">
            <v>501.2</v>
          </cell>
        </row>
        <row r="5331">
          <cell r="A5331">
            <v>39311</v>
          </cell>
          <cell r="B5331">
            <v>3642.63</v>
          </cell>
          <cell r="C5331">
            <v>4157.2</v>
          </cell>
          <cell r="D5331">
            <v>359.98</v>
          </cell>
          <cell r="E5331">
            <v>396.58</v>
          </cell>
          <cell r="F5331">
            <v>424.67</v>
          </cell>
          <cell r="G5331">
            <v>320.74</v>
          </cell>
          <cell r="H5331">
            <v>8377</v>
          </cell>
          <cell r="I5331">
            <v>513.41</v>
          </cell>
        </row>
        <row r="5332">
          <cell r="A5332">
            <v>39314</v>
          </cell>
          <cell r="B5332">
            <v>3658.19</v>
          </cell>
          <cell r="C5332">
            <v>4173.29</v>
          </cell>
          <cell r="D5332">
            <v>362.33</v>
          </cell>
          <cell r="E5332">
            <v>399.21</v>
          </cell>
          <cell r="F5332">
            <v>427.78</v>
          </cell>
          <cell r="G5332">
            <v>322.79000000000002</v>
          </cell>
          <cell r="H5332">
            <v>8482.5</v>
          </cell>
          <cell r="I5332">
            <v>521.23</v>
          </cell>
        </row>
        <row r="5333">
          <cell r="A5333">
            <v>39315</v>
          </cell>
          <cell r="B5333">
            <v>3659.66</v>
          </cell>
          <cell r="C5333">
            <v>4175.07</v>
          </cell>
          <cell r="D5333">
            <v>362.39</v>
          </cell>
          <cell r="E5333">
            <v>399.88</v>
          </cell>
          <cell r="F5333">
            <v>428.16</v>
          </cell>
          <cell r="G5333">
            <v>322.3</v>
          </cell>
          <cell r="H5333">
            <v>8392.7999999999993</v>
          </cell>
          <cell r="I5333">
            <v>517.96</v>
          </cell>
        </row>
        <row r="5334">
          <cell r="A5334">
            <v>39316</v>
          </cell>
          <cell r="B5334">
            <v>3705.52</v>
          </cell>
          <cell r="C5334">
            <v>4226.5200000000004</v>
          </cell>
          <cell r="D5334">
            <v>368.62</v>
          </cell>
          <cell r="E5334">
            <v>406.25</v>
          </cell>
          <cell r="F5334">
            <v>434.79</v>
          </cell>
          <cell r="G5334">
            <v>328.3</v>
          </cell>
          <cell r="H5334">
            <v>8571.02</v>
          </cell>
          <cell r="I5334">
            <v>530.41</v>
          </cell>
        </row>
        <row r="5335">
          <cell r="A5335">
            <v>39317</v>
          </cell>
          <cell r="B5335">
            <v>3708.05</v>
          </cell>
          <cell r="C5335">
            <v>4225.8900000000003</v>
          </cell>
          <cell r="D5335">
            <v>369.33</v>
          </cell>
          <cell r="E5335">
            <v>406.71</v>
          </cell>
          <cell r="F5335">
            <v>435.35</v>
          </cell>
          <cell r="G5335">
            <v>329.22</v>
          </cell>
          <cell r="H5335">
            <v>8610.84</v>
          </cell>
          <cell r="I5335">
            <v>531.97</v>
          </cell>
        </row>
        <row r="5336">
          <cell r="A5336">
            <v>39318</v>
          </cell>
          <cell r="B5336">
            <v>3717.2</v>
          </cell>
          <cell r="C5336">
            <v>4238.63</v>
          </cell>
          <cell r="D5336">
            <v>370.52</v>
          </cell>
          <cell r="E5336">
            <v>408.24</v>
          </cell>
          <cell r="F5336">
            <v>437.29</v>
          </cell>
          <cell r="G5336">
            <v>330.09</v>
          </cell>
          <cell r="H5336">
            <v>8679.43</v>
          </cell>
          <cell r="I5336">
            <v>536.16999999999996</v>
          </cell>
        </row>
        <row r="5337">
          <cell r="A5337">
            <v>39321</v>
          </cell>
          <cell r="B5337">
            <v>3721.94</v>
          </cell>
          <cell r="C5337">
            <v>4240.95</v>
          </cell>
          <cell r="D5337">
            <v>371.09</v>
          </cell>
          <cell r="E5337">
            <v>408.84</v>
          </cell>
          <cell r="F5337">
            <v>437.94</v>
          </cell>
          <cell r="G5337">
            <v>330.62</v>
          </cell>
          <cell r="H5337">
            <v>8642.89</v>
          </cell>
          <cell r="I5337">
            <v>535.25</v>
          </cell>
        </row>
        <row r="5338">
          <cell r="A5338">
            <v>39322</v>
          </cell>
          <cell r="B5338">
            <v>3656.63</v>
          </cell>
          <cell r="C5338">
            <v>4170.68</v>
          </cell>
          <cell r="D5338">
            <v>364.66</v>
          </cell>
          <cell r="E5338">
            <v>402.4</v>
          </cell>
          <cell r="F5338">
            <v>430.96</v>
          </cell>
          <cell r="G5338">
            <v>324.32</v>
          </cell>
          <cell r="H5338">
            <v>8441.74</v>
          </cell>
          <cell r="I5338">
            <v>523.11</v>
          </cell>
        </row>
        <row r="5339">
          <cell r="A5339">
            <v>39323</v>
          </cell>
          <cell r="B5339">
            <v>3676.23</v>
          </cell>
          <cell r="C5339">
            <v>4193.58</v>
          </cell>
          <cell r="D5339">
            <v>366.81</v>
          </cell>
          <cell r="E5339">
            <v>404.68</v>
          </cell>
          <cell r="F5339">
            <v>433.25</v>
          </cell>
          <cell r="G5339">
            <v>326.31</v>
          </cell>
          <cell r="H5339">
            <v>8567.0300000000007</v>
          </cell>
          <cell r="I5339">
            <v>530.9</v>
          </cell>
        </row>
        <row r="5340">
          <cell r="A5340">
            <v>39324</v>
          </cell>
          <cell r="B5340">
            <v>3716.65</v>
          </cell>
          <cell r="C5340">
            <v>4246.12</v>
          </cell>
          <cell r="D5340">
            <v>370.99</v>
          </cell>
          <cell r="E5340">
            <v>409.31</v>
          </cell>
          <cell r="F5340">
            <v>437.63</v>
          </cell>
          <cell r="G5340">
            <v>330.01</v>
          </cell>
          <cell r="H5340">
            <v>8677.66</v>
          </cell>
          <cell r="I5340">
            <v>537.97</v>
          </cell>
        </row>
        <row r="5341">
          <cell r="A5341">
            <v>39325</v>
          </cell>
          <cell r="B5341">
            <v>3765.56</v>
          </cell>
          <cell r="C5341">
            <v>4294.5600000000004</v>
          </cell>
          <cell r="D5341">
            <v>375.94</v>
          </cell>
          <cell r="E5341">
            <v>414.3</v>
          </cell>
          <cell r="F5341">
            <v>442.83</v>
          </cell>
          <cell r="G5341">
            <v>334.83</v>
          </cell>
          <cell r="H5341">
            <v>8774.02</v>
          </cell>
          <cell r="I5341">
            <v>544.58000000000004</v>
          </cell>
        </row>
        <row r="5342">
          <cell r="A5342">
            <v>39328</v>
          </cell>
          <cell r="B5342">
            <v>3771.5</v>
          </cell>
          <cell r="C5342">
            <v>4295.99</v>
          </cell>
          <cell r="D5342">
            <v>376.99</v>
          </cell>
          <cell r="E5342">
            <v>415.1</v>
          </cell>
          <cell r="F5342">
            <v>443.78</v>
          </cell>
          <cell r="G5342">
            <v>336.09</v>
          </cell>
          <cell r="H5342">
            <v>8818.42</v>
          </cell>
          <cell r="I5342">
            <v>546.91999999999996</v>
          </cell>
        </row>
        <row r="5343">
          <cell r="A5343">
            <v>39329</v>
          </cell>
          <cell r="B5343">
            <v>3804.17</v>
          </cell>
          <cell r="C5343">
            <v>4324.3500000000004</v>
          </cell>
          <cell r="D5343">
            <v>379.47</v>
          </cell>
          <cell r="E5343">
            <v>417.54</v>
          </cell>
          <cell r="F5343">
            <v>446.57</v>
          </cell>
          <cell r="G5343">
            <v>338.54</v>
          </cell>
          <cell r="H5343">
            <v>8884.2999999999993</v>
          </cell>
          <cell r="I5343">
            <v>551.32000000000005</v>
          </cell>
        </row>
        <row r="5344">
          <cell r="A5344">
            <v>39330</v>
          </cell>
          <cell r="B5344">
            <v>3740.82</v>
          </cell>
          <cell r="C5344">
            <v>4235.41</v>
          </cell>
          <cell r="D5344">
            <v>372.66</v>
          </cell>
          <cell r="E5344">
            <v>409.3</v>
          </cell>
          <cell r="F5344">
            <v>438.32</v>
          </cell>
          <cell r="G5344">
            <v>333.14</v>
          </cell>
          <cell r="H5344">
            <v>8747.36</v>
          </cell>
          <cell r="I5344">
            <v>542.37</v>
          </cell>
        </row>
        <row r="5345">
          <cell r="A5345">
            <v>39331</v>
          </cell>
          <cell r="B5345">
            <v>3761.14</v>
          </cell>
          <cell r="C5345">
            <v>4256.12</v>
          </cell>
          <cell r="D5345">
            <v>373.84</v>
          </cell>
          <cell r="E5345">
            <v>410.76</v>
          </cell>
          <cell r="F5345">
            <v>439.52</v>
          </cell>
          <cell r="G5345">
            <v>334.05</v>
          </cell>
          <cell r="H5345">
            <v>8770.7099999999991</v>
          </cell>
          <cell r="I5345">
            <v>545.23</v>
          </cell>
        </row>
        <row r="5346">
          <cell r="A5346">
            <v>39332</v>
          </cell>
          <cell r="B5346">
            <v>3684.56</v>
          </cell>
          <cell r="C5346">
            <v>4162.42</v>
          </cell>
          <cell r="D5346">
            <v>365.58</v>
          </cell>
          <cell r="E5346">
            <v>401.32</v>
          </cell>
          <cell r="F5346">
            <v>429.93</v>
          </cell>
          <cell r="G5346">
            <v>326.98</v>
          </cell>
          <cell r="H5346">
            <v>8580.35</v>
          </cell>
          <cell r="I5346">
            <v>533.19000000000005</v>
          </cell>
        </row>
        <row r="5347">
          <cell r="A5347">
            <v>39335</v>
          </cell>
          <cell r="B5347">
            <v>3656.12</v>
          </cell>
          <cell r="C5347">
            <v>4136.45</v>
          </cell>
          <cell r="D5347">
            <v>362.23</v>
          </cell>
          <cell r="E5347">
            <v>397.98</v>
          </cell>
          <cell r="F5347">
            <v>426.2</v>
          </cell>
          <cell r="G5347">
            <v>323.69</v>
          </cell>
          <cell r="H5347">
            <v>8490.75</v>
          </cell>
          <cell r="I5347">
            <v>526.82000000000005</v>
          </cell>
        </row>
        <row r="5348">
          <cell r="A5348">
            <v>39336</v>
          </cell>
          <cell r="B5348">
            <v>3720.06</v>
          </cell>
          <cell r="C5348">
            <v>4197.3500000000004</v>
          </cell>
          <cell r="D5348">
            <v>368.41</v>
          </cell>
          <cell r="E5348">
            <v>403.9</v>
          </cell>
          <cell r="F5348">
            <v>432.6</v>
          </cell>
          <cell r="G5348">
            <v>329.98</v>
          </cell>
          <cell r="H5348">
            <v>8684.81</v>
          </cell>
          <cell r="I5348">
            <v>538.79</v>
          </cell>
        </row>
        <row r="5349">
          <cell r="A5349">
            <v>39337</v>
          </cell>
          <cell r="B5349">
            <v>3728.31</v>
          </cell>
          <cell r="C5349">
            <v>4210.6899999999996</v>
          </cell>
          <cell r="D5349">
            <v>369.23</v>
          </cell>
          <cell r="E5349">
            <v>404.76</v>
          </cell>
          <cell r="F5349">
            <v>433.94</v>
          </cell>
          <cell r="G5349">
            <v>330.75</v>
          </cell>
          <cell r="H5349">
            <v>8729.84</v>
          </cell>
          <cell r="I5349">
            <v>540.02</v>
          </cell>
        </row>
        <row r="5350">
          <cell r="A5350">
            <v>39338</v>
          </cell>
          <cell r="B5350">
            <v>3765.34</v>
          </cell>
          <cell r="C5350">
            <v>4249.01</v>
          </cell>
          <cell r="D5350">
            <v>372.21</v>
          </cell>
          <cell r="E5350">
            <v>408.2</v>
          </cell>
          <cell r="F5350">
            <v>437.78</v>
          </cell>
          <cell r="G5350">
            <v>333.27</v>
          </cell>
          <cell r="H5350">
            <v>8846.5499999999993</v>
          </cell>
          <cell r="I5350">
            <v>545.86</v>
          </cell>
        </row>
        <row r="5351">
          <cell r="A5351">
            <v>39339</v>
          </cell>
          <cell r="B5351">
            <v>3723.39</v>
          </cell>
          <cell r="C5351">
            <v>4221.34</v>
          </cell>
          <cell r="D5351">
            <v>367.75</v>
          </cell>
          <cell r="E5351">
            <v>405.17</v>
          </cell>
          <cell r="F5351">
            <v>434.1</v>
          </cell>
          <cell r="G5351">
            <v>327.63</v>
          </cell>
          <cell r="H5351">
            <v>8759.86</v>
          </cell>
          <cell r="I5351">
            <v>541.29999999999995</v>
          </cell>
        </row>
        <row r="5352">
          <cell r="A5352">
            <v>39342</v>
          </cell>
          <cell r="B5352">
            <v>3676.82</v>
          </cell>
          <cell r="C5352">
            <v>4184.6099999999997</v>
          </cell>
          <cell r="D5352">
            <v>362.18</v>
          </cell>
          <cell r="E5352">
            <v>400.66</v>
          </cell>
          <cell r="F5352">
            <v>429.16</v>
          </cell>
          <cell r="G5352">
            <v>321.23</v>
          </cell>
          <cell r="H5352">
            <v>8646.82</v>
          </cell>
          <cell r="I5352">
            <v>534.65</v>
          </cell>
        </row>
        <row r="5353">
          <cell r="A5353">
            <v>39343</v>
          </cell>
          <cell r="B5353">
            <v>3731.94</v>
          </cell>
          <cell r="C5353">
            <v>4264.42</v>
          </cell>
          <cell r="D5353">
            <v>367.67</v>
          </cell>
          <cell r="E5353">
            <v>407.63</v>
          </cell>
          <cell r="F5353">
            <v>435.95</v>
          </cell>
          <cell r="G5353">
            <v>325.31</v>
          </cell>
          <cell r="H5353">
            <v>8760.39</v>
          </cell>
          <cell r="I5353">
            <v>542.16999999999996</v>
          </cell>
        </row>
        <row r="5354">
          <cell r="A5354">
            <v>39344</v>
          </cell>
          <cell r="B5354">
            <v>3831.76</v>
          </cell>
          <cell r="C5354">
            <v>4389.33</v>
          </cell>
          <cell r="D5354">
            <v>377.53</v>
          </cell>
          <cell r="E5354">
            <v>419.18</v>
          </cell>
          <cell r="F5354">
            <v>448.38</v>
          </cell>
          <cell r="G5354">
            <v>333.49</v>
          </cell>
          <cell r="H5354">
            <v>9101</v>
          </cell>
          <cell r="I5354">
            <v>563.87</v>
          </cell>
        </row>
        <row r="5355">
          <cell r="A5355">
            <v>39345</v>
          </cell>
          <cell r="B5355">
            <v>3808.99</v>
          </cell>
          <cell r="C5355">
            <v>4366.16</v>
          </cell>
          <cell r="D5355">
            <v>374.95</v>
          </cell>
          <cell r="E5355">
            <v>416.69</v>
          </cell>
          <cell r="F5355">
            <v>445.42</v>
          </cell>
          <cell r="G5355">
            <v>330.87</v>
          </cell>
          <cell r="H5355">
            <v>9008.93</v>
          </cell>
          <cell r="I5355">
            <v>559.16999999999996</v>
          </cell>
        </row>
        <row r="5356">
          <cell r="A5356">
            <v>39346</v>
          </cell>
          <cell r="B5356">
            <v>3822.94</v>
          </cell>
          <cell r="C5356">
            <v>4370.3500000000004</v>
          </cell>
          <cell r="D5356">
            <v>376.74</v>
          </cell>
          <cell r="E5356">
            <v>418.46</v>
          </cell>
          <cell r="F5356">
            <v>446.96</v>
          </cell>
          <cell r="G5356">
            <v>332.64</v>
          </cell>
          <cell r="H5356">
            <v>9053.0300000000007</v>
          </cell>
          <cell r="I5356">
            <v>562.87</v>
          </cell>
        </row>
        <row r="5357">
          <cell r="A5357">
            <v>39349</v>
          </cell>
          <cell r="B5357">
            <v>3819.93</v>
          </cell>
          <cell r="C5357">
            <v>4360.63</v>
          </cell>
          <cell r="D5357">
            <v>376.55</v>
          </cell>
          <cell r="E5357">
            <v>417.79</v>
          </cell>
          <cell r="F5357">
            <v>446.26</v>
          </cell>
          <cell r="G5357">
            <v>332.88</v>
          </cell>
          <cell r="H5357">
            <v>9004.23</v>
          </cell>
          <cell r="I5357">
            <v>560.77</v>
          </cell>
        </row>
        <row r="5358">
          <cell r="A5358">
            <v>39350</v>
          </cell>
          <cell r="B5358">
            <v>3779.93</v>
          </cell>
          <cell r="C5358">
            <v>4328.8900000000003</v>
          </cell>
          <cell r="D5358">
            <v>372.4</v>
          </cell>
          <cell r="E5358">
            <v>414.19</v>
          </cell>
          <cell r="F5358">
            <v>442.35</v>
          </cell>
          <cell r="G5358">
            <v>328.33</v>
          </cell>
          <cell r="H5358">
            <v>8885.6299999999992</v>
          </cell>
          <cell r="I5358">
            <v>553.51</v>
          </cell>
        </row>
        <row r="5359">
          <cell r="A5359">
            <v>39351</v>
          </cell>
          <cell r="B5359">
            <v>3797.68</v>
          </cell>
          <cell r="C5359">
            <v>4364.3999999999996</v>
          </cell>
          <cell r="D5359">
            <v>375.03</v>
          </cell>
          <cell r="E5359">
            <v>417.76</v>
          </cell>
          <cell r="F5359">
            <v>445.74</v>
          </cell>
          <cell r="G5359">
            <v>330.06</v>
          </cell>
          <cell r="H5359">
            <v>8970.9699999999993</v>
          </cell>
          <cell r="I5359">
            <v>560.54</v>
          </cell>
        </row>
        <row r="5360">
          <cell r="A5360">
            <v>39352</v>
          </cell>
          <cell r="B5360">
            <v>3822.4</v>
          </cell>
          <cell r="C5360">
            <v>4388.9799999999996</v>
          </cell>
          <cell r="D5360">
            <v>377.96</v>
          </cell>
          <cell r="E5360">
            <v>420.49</v>
          </cell>
          <cell r="F5360">
            <v>448.52</v>
          </cell>
          <cell r="G5360">
            <v>333.12</v>
          </cell>
          <cell r="H5360">
            <v>9096.06</v>
          </cell>
          <cell r="I5360">
            <v>567.26</v>
          </cell>
        </row>
        <row r="5361">
          <cell r="A5361">
            <v>39353</v>
          </cell>
          <cell r="B5361">
            <v>3820.33</v>
          </cell>
          <cell r="C5361">
            <v>4381.71</v>
          </cell>
          <cell r="D5361">
            <v>377.86</v>
          </cell>
          <cell r="E5361">
            <v>419.92</v>
          </cell>
          <cell r="F5361">
            <v>448.51</v>
          </cell>
          <cell r="G5361">
            <v>333.44</v>
          </cell>
          <cell r="H5361">
            <v>9140.7000000000007</v>
          </cell>
          <cell r="I5361">
            <v>568.48</v>
          </cell>
        </row>
        <row r="5362">
          <cell r="A5362">
            <v>39356</v>
          </cell>
          <cell r="B5362">
            <v>3845.95</v>
          </cell>
          <cell r="C5362">
            <v>4409.6499999999996</v>
          </cell>
          <cell r="D5362">
            <v>380.86</v>
          </cell>
          <cell r="E5362">
            <v>423.13</v>
          </cell>
          <cell r="F5362">
            <v>452.2</v>
          </cell>
          <cell r="G5362">
            <v>336.2</v>
          </cell>
          <cell r="H5362">
            <v>9192.7000000000007</v>
          </cell>
          <cell r="I5362">
            <v>571.28</v>
          </cell>
        </row>
        <row r="5363">
          <cell r="A5363">
            <v>39357</v>
          </cell>
          <cell r="B5363">
            <v>3866.03</v>
          </cell>
          <cell r="C5363">
            <v>4427.01</v>
          </cell>
          <cell r="D5363">
            <v>382.78</v>
          </cell>
          <cell r="E5363">
            <v>425.23</v>
          </cell>
          <cell r="F5363">
            <v>454.16</v>
          </cell>
          <cell r="G5363">
            <v>337.91</v>
          </cell>
          <cell r="H5363">
            <v>9160.2999999999993</v>
          </cell>
          <cell r="I5363">
            <v>570.46</v>
          </cell>
        </row>
        <row r="5364">
          <cell r="A5364">
            <v>39358</v>
          </cell>
          <cell r="B5364">
            <v>3868.06</v>
          </cell>
          <cell r="C5364">
            <v>4421.58</v>
          </cell>
          <cell r="D5364">
            <v>383.59</v>
          </cell>
          <cell r="E5364">
            <v>425.62</v>
          </cell>
          <cell r="F5364">
            <v>454.58</v>
          </cell>
          <cell r="G5364">
            <v>339.1</v>
          </cell>
          <cell r="H5364">
            <v>9171.73</v>
          </cell>
          <cell r="I5364">
            <v>570.16</v>
          </cell>
        </row>
        <row r="5365">
          <cell r="A5365">
            <v>39359</v>
          </cell>
          <cell r="B5365">
            <v>3874.79</v>
          </cell>
          <cell r="C5365">
            <v>4420.3900000000003</v>
          </cell>
          <cell r="D5365">
            <v>384.18</v>
          </cell>
          <cell r="E5365">
            <v>425.66</v>
          </cell>
          <cell r="F5365">
            <v>454.55</v>
          </cell>
          <cell r="G5365">
            <v>340.16</v>
          </cell>
          <cell r="H5365">
            <v>9130.11</v>
          </cell>
          <cell r="I5365">
            <v>567.34</v>
          </cell>
        </row>
        <row r="5366">
          <cell r="A5366">
            <v>39360</v>
          </cell>
          <cell r="B5366">
            <v>3903.72</v>
          </cell>
          <cell r="C5366">
            <v>4455.3100000000004</v>
          </cell>
          <cell r="D5366">
            <v>386.93</v>
          </cell>
          <cell r="E5366">
            <v>429.12</v>
          </cell>
          <cell r="F5366">
            <v>457.96</v>
          </cell>
          <cell r="G5366">
            <v>342.23</v>
          </cell>
          <cell r="H5366">
            <v>9239.51</v>
          </cell>
          <cell r="I5366">
            <v>573.66</v>
          </cell>
        </row>
        <row r="5367">
          <cell r="A5367">
            <v>39363</v>
          </cell>
          <cell r="B5367">
            <v>3884.72</v>
          </cell>
          <cell r="C5367">
            <v>4435.87</v>
          </cell>
          <cell r="D5367">
            <v>385.86</v>
          </cell>
          <cell r="E5367">
            <v>428.04</v>
          </cell>
          <cell r="F5367">
            <v>457.14</v>
          </cell>
          <cell r="G5367">
            <v>341.19</v>
          </cell>
          <cell r="H5367">
            <v>9195.0400000000009</v>
          </cell>
          <cell r="I5367">
            <v>572.29999999999995</v>
          </cell>
        </row>
        <row r="5368">
          <cell r="A5368">
            <v>39364</v>
          </cell>
          <cell r="B5368">
            <v>3898.55</v>
          </cell>
          <cell r="C5368">
            <v>4447.58</v>
          </cell>
          <cell r="D5368">
            <v>387.84</v>
          </cell>
          <cell r="E5368">
            <v>429.8</v>
          </cell>
          <cell r="F5368">
            <v>459.05</v>
          </cell>
          <cell r="G5368">
            <v>343.33</v>
          </cell>
          <cell r="H5368">
            <v>9239.39</v>
          </cell>
          <cell r="I5368">
            <v>574.28</v>
          </cell>
        </row>
        <row r="5369">
          <cell r="A5369">
            <v>39365</v>
          </cell>
          <cell r="B5369">
            <v>3897.18</v>
          </cell>
          <cell r="C5369">
            <v>4442.6099999999997</v>
          </cell>
          <cell r="D5369">
            <v>388.23</v>
          </cell>
          <cell r="E5369">
            <v>429.63</v>
          </cell>
          <cell r="F5369">
            <v>459.15</v>
          </cell>
          <cell r="G5369">
            <v>344.2</v>
          </cell>
          <cell r="H5369">
            <v>9266.59</v>
          </cell>
          <cell r="I5369">
            <v>576.79999999999995</v>
          </cell>
        </row>
        <row r="5370">
          <cell r="A5370">
            <v>39366</v>
          </cell>
          <cell r="B5370">
            <v>3922.85</v>
          </cell>
          <cell r="C5370">
            <v>4473.57</v>
          </cell>
          <cell r="D5370">
            <v>390.43</v>
          </cell>
          <cell r="E5370">
            <v>432.25</v>
          </cell>
          <cell r="F5370">
            <v>461.86</v>
          </cell>
          <cell r="G5370">
            <v>345.99</v>
          </cell>
          <cell r="H5370">
            <v>9403.24</v>
          </cell>
          <cell r="I5370">
            <v>585.76</v>
          </cell>
        </row>
        <row r="5371">
          <cell r="A5371">
            <v>39367</v>
          </cell>
          <cell r="B5371">
            <v>3932.44</v>
          </cell>
          <cell r="C5371">
            <v>4476.0200000000004</v>
          </cell>
          <cell r="D5371">
            <v>390.63</v>
          </cell>
          <cell r="E5371">
            <v>432.27</v>
          </cell>
          <cell r="F5371">
            <v>461.52</v>
          </cell>
          <cell r="G5371">
            <v>346.34</v>
          </cell>
          <cell r="H5371">
            <v>9345.2900000000009</v>
          </cell>
          <cell r="I5371">
            <v>581.22</v>
          </cell>
        </row>
        <row r="5372">
          <cell r="A5372">
            <v>39370</v>
          </cell>
          <cell r="B5372">
            <v>3895.83</v>
          </cell>
          <cell r="C5372">
            <v>4434.9799999999996</v>
          </cell>
          <cell r="D5372">
            <v>386.95</v>
          </cell>
          <cell r="E5372">
            <v>428.32</v>
          </cell>
          <cell r="F5372">
            <v>458.07</v>
          </cell>
          <cell r="G5372">
            <v>342.97</v>
          </cell>
          <cell r="H5372">
            <v>9269.1299999999992</v>
          </cell>
          <cell r="I5372">
            <v>576.63</v>
          </cell>
        </row>
        <row r="5373">
          <cell r="A5373">
            <v>39371</v>
          </cell>
          <cell r="B5373">
            <v>3863.65</v>
          </cell>
          <cell r="C5373">
            <v>4420.91</v>
          </cell>
          <cell r="D5373">
            <v>384.03</v>
          </cell>
          <cell r="E5373">
            <v>426.27</v>
          </cell>
          <cell r="F5373">
            <v>454.26</v>
          </cell>
          <cell r="G5373">
            <v>339.36</v>
          </cell>
          <cell r="H5373">
            <v>8959.0499999999993</v>
          </cell>
          <cell r="I5373">
            <v>559.36</v>
          </cell>
        </row>
        <row r="5374">
          <cell r="A5374">
            <v>39372</v>
          </cell>
          <cell r="B5374">
            <v>3878.1</v>
          </cell>
          <cell r="C5374">
            <v>4441.8</v>
          </cell>
          <cell r="D5374">
            <v>386.62</v>
          </cell>
          <cell r="E5374">
            <v>428.91</v>
          </cell>
          <cell r="F5374">
            <v>456.51</v>
          </cell>
          <cell r="G5374">
            <v>341.85</v>
          </cell>
          <cell r="H5374">
            <v>9004.17</v>
          </cell>
          <cell r="I5374">
            <v>563.6</v>
          </cell>
        </row>
        <row r="5375">
          <cell r="A5375">
            <v>39373</v>
          </cell>
          <cell r="B5375">
            <v>3848.14</v>
          </cell>
          <cell r="C5375">
            <v>4420.38</v>
          </cell>
          <cell r="D5375">
            <v>383.36</v>
          </cell>
          <cell r="E5375">
            <v>426.26</v>
          </cell>
          <cell r="F5375">
            <v>453.56</v>
          </cell>
          <cell r="G5375">
            <v>338.13</v>
          </cell>
          <cell r="H5375">
            <v>8905.09</v>
          </cell>
          <cell r="I5375">
            <v>559.16999999999996</v>
          </cell>
        </row>
        <row r="5376">
          <cell r="A5376">
            <v>39374</v>
          </cell>
          <cell r="B5376">
            <v>3819.9</v>
          </cell>
          <cell r="C5376">
            <v>4411.26</v>
          </cell>
          <cell r="D5376">
            <v>380.88</v>
          </cell>
          <cell r="E5376">
            <v>424.89</v>
          </cell>
          <cell r="F5376">
            <v>451.41</v>
          </cell>
          <cell r="G5376">
            <v>334.73</v>
          </cell>
          <cell r="H5376">
            <v>8830.59</v>
          </cell>
          <cell r="I5376">
            <v>554.54</v>
          </cell>
        </row>
        <row r="5377">
          <cell r="A5377">
            <v>39377</v>
          </cell>
          <cell r="B5377">
            <v>3777.24</v>
          </cell>
          <cell r="C5377">
            <v>4356.24</v>
          </cell>
          <cell r="D5377">
            <v>375.82</v>
          </cell>
          <cell r="E5377">
            <v>419.2</v>
          </cell>
          <cell r="F5377">
            <v>445.2</v>
          </cell>
          <cell r="G5377">
            <v>330.33</v>
          </cell>
          <cell r="H5377">
            <v>8633.5499999999993</v>
          </cell>
          <cell r="I5377">
            <v>542.61</v>
          </cell>
        </row>
        <row r="5378">
          <cell r="A5378">
            <v>39378</v>
          </cell>
          <cell r="B5378">
            <v>3800.49</v>
          </cell>
          <cell r="C5378">
            <v>4378.42</v>
          </cell>
          <cell r="D5378">
            <v>379.78</v>
          </cell>
          <cell r="E5378">
            <v>422.76</v>
          </cell>
          <cell r="F5378">
            <v>449.37</v>
          </cell>
          <cell r="G5378">
            <v>334.56</v>
          </cell>
          <cell r="H5378">
            <v>8834.0400000000009</v>
          </cell>
          <cell r="I5378">
            <v>555.65</v>
          </cell>
        </row>
        <row r="5379">
          <cell r="A5379">
            <v>39379</v>
          </cell>
          <cell r="B5379">
            <v>3778.71</v>
          </cell>
          <cell r="C5379">
            <v>4357.1400000000003</v>
          </cell>
          <cell r="D5379">
            <v>377.45</v>
          </cell>
          <cell r="E5379">
            <v>420.32</v>
          </cell>
          <cell r="F5379">
            <v>446.44</v>
          </cell>
          <cell r="G5379">
            <v>332.38</v>
          </cell>
          <cell r="H5379">
            <v>8722.3700000000008</v>
          </cell>
          <cell r="I5379">
            <v>549.78</v>
          </cell>
        </row>
        <row r="5380">
          <cell r="A5380">
            <v>39380</v>
          </cell>
          <cell r="B5380">
            <v>3816.66</v>
          </cell>
          <cell r="C5380">
            <v>4412.12</v>
          </cell>
          <cell r="D5380">
            <v>381.83</v>
          </cell>
          <cell r="E5380">
            <v>425.6</v>
          </cell>
          <cell r="F5380">
            <v>451.78</v>
          </cell>
          <cell r="G5380">
            <v>335.87</v>
          </cell>
          <cell r="H5380">
            <v>8857.3700000000008</v>
          </cell>
          <cell r="I5380">
            <v>558.42999999999995</v>
          </cell>
        </row>
        <row r="5381">
          <cell r="A5381">
            <v>39381</v>
          </cell>
          <cell r="B5381">
            <v>3843.82</v>
          </cell>
          <cell r="C5381">
            <v>4440.2299999999996</v>
          </cell>
          <cell r="D5381">
            <v>383.95</v>
          </cell>
          <cell r="E5381">
            <v>427.75</v>
          </cell>
          <cell r="F5381">
            <v>453.94</v>
          </cell>
          <cell r="G5381">
            <v>337.93</v>
          </cell>
          <cell r="H5381">
            <v>8905.48</v>
          </cell>
          <cell r="I5381">
            <v>561.51</v>
          </cell>
        </row>
        <row r="5382">
          <cell r="A5382">
            <v>39384</v>
          </cell>
          <cell r="B5382">
            <v>3872.79</v>
          </cell>
          <cell r="C5382">
            <v>4471.46</v>
          </cell>
          <cell r="D5382">
            <v>386.6</v>
          </cell>
          <cell r="E5382">
            <v>430.53</v>
          </cell>
          <cell r="F5382">
            <v>456.53</v>
          </cell>
          <cell r="G5382">
            <v>340.42</v>
          </cell>
          <cell r="H5382">
            <v>8946.3700000000008</v>
          </cell>
          <cell r="I5382">
            <v>564.35</v>
          </cell>
        </row>
        <row r="5383">
          <cell r="A5383">
            <v>39385</v>
          </cell>
          <cell r="B5383">
            <v>3852.31</v>
          </cell>
          <cell r="C5383">
            <v>4462.95</v>
          </cell>
          <cell r="D5383">
            <v>384.9</v>
          </cell>
          <cell r="E5383">
            <v>428.97</v>
          </cell>
          <cell r="F5383">
            <v>454.66</v>
          </cell>
          <cell r="G5383">
            <v>338.62</v>
          </cell>
          <cell r="H5383">
            <v>8906.14</v>
          </cell>
          <cell r="I5383">
            <v>561.20000000000005</v>
          </cell>
        </row>
        <row r="5384">
          <cell r="A5384">
            <v>39386</v>
          </cell>
          <cell r="B5384">
            <v>3885.12</v>
          </cell>
          <cell r="C5384">
            <v>4489.79</v>
          </cell>
          <cell r="D5384">
            <v>388.43</v>
          </cell>
          <cell r="E5384">
            <v>432.1</v>
          </cell>
          <cell r="F5384">
            <v>458.11</v>
          </cell>
          <cell r="G5384">
            <v>342.42</v>
          </cell>
          <cell r="H5384">
            <v>8983.89</v>
          </cell>
          <cell r="I5384">
            <v>565.1</v>
          </cell>
        </row>
        <row r="5385">
          <cell r="A5385">
            <v>39387</v>
          </cell>
          <cell r="B5385">
            <v>3815.78</v>
          </cell>
          <cell r="C5385">
            <v>4415.2700000000004</v>
          </cell>
          <cell r="D5385">
            <v>382.57</v>
          </cell>
          <cell r="E5385">
            <v>425.45</v>
          </cell>
          <cell r="F5385">
            <v>451.21</v>
          </cell>
          <cell r="G5385">
            <v>337.37</v>
          </cell>
          <cell r="H5385">
            <v>8839.7199999999993</v>
          </cell>
          <cell r="I5385">
            <v>557.82000000000005</v>
          </cell>
        </row>
        <row r="5386">
          <cell r="A5386">
            <v>39388</v>
          </cell>
          <cell r="B5386">
            <v>3783.53</v>
          </cell>
          <cell r="C5386">
            <v>4410.08</v>
          </cell>
          <cell r="D5386">
            <v>379.92</v>
          </cell>
          <cell r="E5386">
            <v>424.35</v>
          </cell>
          <cell r="F5386">
            <v>449.08</v>
          </cell>
          <cell r="G5386">
            <v>333.43</v>
          </cell>
          <cell r="H5386">
            <v>8749.2999999999993</v>
          </cell>
          <cell r="I5386">
            <v>553.21</v>
          </cell>
        </row>
        <row r="5387">
          <cell r="A5387">
            <v>39391</v>
          </cell>
          <cell r="B5387">
            <v>3762.99</v>
          </cell>
          <cell r="C5387">
            <v>4392.8</v>
          </cell>
          <cell r="D5387">
            <v>377.32</v>
          </cell>
          <cell r="E5387">
            <v>421.85</v>
          </cell>
          <cell r="F5387">
            <v>446.72</v>
          </cell>
          <cell r="G5387">
            <v>330.81</v>
          </cell>
          <cell r="H5387">
            <v>8766.14</v>
          </cell>
          <cell r="I5387">
            <v>553.09</v>
          </cell>
        </row>
        <row r="5388">
          <cell r="A5388">
            <v>39392</v>
          </cell>
          <cell r="B5388">
            <v>3774.41</v>
          </cell>
          <cell r="C5388">
            <v>4407.34</v>
          </cell>
          <cell r="D5388">
            <v>378.64</v>
          </cell>
          <cell r="E5388">
            <v>423.41</v>
          </cell>
          <cell r="F5388">
            <v>449.03</v>
          </cell>
          <cell r="G5388">
            <v>331.88</v>
          </cell>
          <cell r="H5388">
            <v>8885.1</v>
          </cell>
          <cell r="I5388">
            <v>560.57000000000005</v>
          </cell>
        </row>
        <row r="5389">
          <cell r="A5389">
            <v>39393</v>
          </cell>
          <cell r="B5389">
            <v>3757.22</v>
          </cell>
          <cell r="C5389">
            <v>4400.34</v>
          </cell>
          <cell r="D5389">
            <v>375.58</v>
          </cell>
          <cell r="E5389">
            <v>421.36</v>
          </cell>
          <cell r="F5389">
            <v>446.8</v>
          </cell>
          <cell r="G5389">
            <v>328.01</v>
          </cell>
          <cell r="H5389">
            <v>8890.94</v>
          </cell>
          <cell r="I5389">
            <v>560.22</v>
          </cell>
        </row>
        <row r="5390">
          <cell r="A5390">
            <v>39394</v>
          </cell>
          <cell r="B5390">
            <v>3735.45</v>
          </cell>
          <cell r="C5390">
            <v>4363.6000000000004</v>
          </cell>
          <cell r="D5390">
            <v>373.48</v>
          </cell>
          <cell r="E5390">
            <v>417.77</v>
          </cell>
          <cell r="F5390">
            <v>443.27</v>
          </cell>
          <cell r="G5390">
            <v>327.25</v>
          </cell>
          <cell r="H5390">
            <v>8808.65</v>
          </cell>
          <cell r="I5390">
            <v>553.59</v>
          </cell>
        </row>
        <row r="5391">
          <cell r="A5391">
            <v>39395</v>
          </cell>
          <cell r="B5391">
            <v>3673.35</v>
          </cell>
          <cell r="C5391">
            <v>4297.83</v>
          </cell>
          <cell r="D5391">
            <v>367.57</v>
          </cell>
          <cell r="E5391">
            <v>411.96</v>
          </cell>
          <cell r="F5391">
            <v>436.73</v>
          </cell>
          <cell r="G5391">
            <v>321.38</v>
          </cell>
          <cell r="H5391">
            <v>8614.19</v>
          </cell>
          <cell r="I5391">
            <v>539.38</v>
          </cell>
        </row>
        <row r="5392">
          <cell r="A5392">
            <v>39398</v>
          </cell>
          <cell r="B5392">
            <v>3687.42</v>
          </cell>
          <cell r="C5392">
            <v>4302.88</v>
          </cell>
          <cell r="D5392">
            <v>367.69</v>
          </cell>
          <cell r="E5392">
            <v>412.4</v>
          </cell>
          <cell r="F5392">
            <v>437.28</v>
          </cell>
          <cell r="G5392">
            <v>321.2</v>
          </cell>
          <cell r="H5392">
            <v>8584.2999999999993</v>
          </cell>
          <cell r="I5392">
            <v>535.83000000000004</v>
          </cell>
        </row>
        <row r="5393">
          <cell r="A5393">
            <v>39399</v>
          </cell>
          <cell r="B5393">
            <v>3711.87</v>
          </cell>
          <cell r="C5393">
            <v>4311.9799999999996</v>
          </cell>
          <cell r="D5393">
            <v>368.52</v>
          </cell>
          <cell r="E5393">
            <v>412.54</v>
          </cell>
          <cell r="F5393">
            <v>437.36</v>
          </cell>
          <cell r="G5393">
            <v>322.63</v>
          </cell>
          <cell r="H5393">
            <v>8561.15</v>
          </cell>
          <cell r="I5393">
            <v>532.59</v>
          </cell>
        </row>
        <row r="5394">
          <cell r="A5394">
            <v>39400</v>
          </cell>
          <cell r="B5394">
            <v>3733.05</v>
          </cell>
          <cell r="C5394">
            <v>4338.28</v>
          </cell>
          <cell r="D5394">
            <v>370.46</v>
          </cell>
          <cell r="E5394">
            <v>415.08</v>
          </cell>
          <cell r="F5394">
            <v>440.45</v>
          </cell>
          <cell r="G5394">
            <v>324</v>
          </cell>
          <cell r="H5394">
            <v>8619.44</v>
          </cell>
          <cell r="I5394">
            <v>536.91999999999996</v>
          </cell>
        </row>
        <row r="5395">
          <cell r="A5395">
            <v>39401</v>
          </cell>
          <cell r="B5395">
            <v>3692.59</v>
          </cell>
          <cell r="C5395">
            <v>4301.4399999999996</v>
          </cell>
          <cell r="D5395">
            <v>365.82</v>
          </cell>
          <cell r="E5395">
            <v>410.82</v>
          </cell>
          <cell r="F5395">
            <v>435.9</v>
          </cell>
          <cell r="G5395">
            <v>319.12</v>
          </cell>
          <cell r="H5395">
            <v>8476.1299999999992</v>
          </cell>
          <cell r="I5395">
            <v>527.42999999999995</v>
          </cell>
        </row>
        <row r="5396">
          <cell r="A5396">
            <v>39402</v>
          </cell>
          <cell r="B5396">
            <v>3660.02</v>
          </cell>
          <cell r="C5396">
            <v>4282.3999999999996</v>
          </cell>
          <cell r="D5396">
            <v>362.72</v>
          </cell>
          <cell r="E5396">
            <v>408.26</v>
          </cell>
          <cell r="F5396">
            <v>432.76</v>
          </cell>
          <cell r="G5396">
            <v>315.62</v>
          </cell>
          <cell r="H5396">
            <v>8386.81</v>
          </cell>
          <cell r="I5396">
            <v>520.79999999999995</v>
          </cell>
        </row>
        <row r="5397">
          <cell r="A5397">
            <v>39405</v>
          </cell>
          <cell r="B5397">
            <v>3592.79</v>
          </cell>
          <cell r="C5397">
            <v>4226.7</v>
          </cell>
          <cell r="D5397">
            <v>354.7</v>
          </cell>
          <cell r="E5397">
            <v>401.08</v>
          </cell>
          <cell r="F5397">
            <v>424.13</v>
          </cell>
          <cell r="G5397">
            <v>307.05</v>
          </cell>
          <cell r="H5397">
            <v>8193.76</v>
          </cell>
          <cell r="I5397">
            <v>508.44</v>
          </cell>
        </row>
        <row r="5398">
          <cell r="A5398">
            <v>39406</v>
          </cell>
          <cell r="B5398">
            <v>3627.96</v>
          </cell>
          <cell r="C5398">
            <v>4277.24</v>
          </cell>
          <cell r="D5398">
            <v>358.65</v>
          </cell>
          <cell r="E5398">
            <v>405.25</v>
          </cell>
          <cell r="F5398">
            <v>428.29</v>
          </cell>
          <cell r="G5398">
            <v>310.72000000000003</v>
          </cell>
          <cell r="H5398">
            <v>8290.77</v>
          </cell>
          <cell r="I5398">
            <v>515.35</v>
          </cell>
        </row>
        <row r="5399">
          <cell r="A5399">
            <v>39407</v>
          </cell>
          <cell r="B5399">
            <v>3537.48</v>
          </cell>
          <cell r="C5399">
            <v>4195.58</v>
          </cell>
          <cell r="D5399">
            <v>349.18</v>
          </cell>
          <cell r="E5399">
            <v>396.21</v>
          </cell>
          <cell r="F5399">
            <v>418.5</v>
          </cell>
          <cell r="G5399">
            <v>301.08</v>
          </cell>
          <cell r="H5399">
            <v>8074.26</v>
          </cell>
          <cell r="I5399">
            <v>500.24</v>
          </cell>
        </row>
        <row r="5400">
          <cell r="A5400">
            <v>39408</v>
          </cell>
          <cell r="B5400">
            <v>3570.13</v>
          </cell>
          <cell r="C5400">
            <v>4208.92</v>
          </cell>
          <cell r="D5400">
            <v>351.86</v>
          </cell>
          <cell r="E5400">
            <v>397.56</v>
          </cell>
          <cell r="F5400">
            <v>420.3</v>
          </cell>
          <cell r="G5400">
            <v>304.85000000000002</v>
          </cell>
          <cell r="H5400">
            <v>8087.34</v>
          </cell>
          <cell r="I5400">
            <v>500.92</v>
          </cell>
        </row>
        <row r="5401">
          <cell r="A5401">
            <v>39409</v>
          </cell>
          <cell r="B5401">
            <v>3630.97</v>
          </cell>
          <cell r="C5401">
            <v>4268.53</v>
          </cell>
          <cell r="D5401">
            <v>357.74</v>
          </cell>
          <cell r="E5401">
            <v>403.69</v>
          </cell>
          <cell r="F5401">
            <v>426.88</v>
          </cell>
          <cell r="G5401">
            <v>310.39</v>
          </cell>
          <cell r="H5401">
            <v>8163.6</v>
          </cell>
          <cell r="I5401">
            <v>507.17</v>
          </cell>
        </row>
        <row r="5402">
          <cell r="A5402">
            <v>39412</v>
          </cell>
          <cell r="B5402">
            <v>3598.26</v>
          </cell>
          <cell r="C5402">
            <v>4238</v>
          </cell>
          <cell r="D5402">
            <v>355.78</v>
          </cell>
          <cell r="E5402">
            <v>401.49</v>
          </cell>
          <cell r="F5402">
            <v>425.19</v>
          </cell>
          <cell r="G5402">
            <v>308.68</v>
          </cell>
          <cell r="H5402">
            <v>8222.92</v>
          </cell>
          <cell r="I5402">
            <v>511.79</v>
          </cell>
        </row>
        <row r="5403">
          <cell r="A5403">
            <v>39413</v>
          </cell>
          <cell r="B5403">
            <v>3594.62</v>
          </cell>
          <cell r="C5403">
            <v>4224.4399999999996</v>
          </cell>
          <cell r="D5403">
            <v>354.27</v>
          </cell>
          <cell r="E5403">
            <v>400.34</v>
          </cell>
          <cell r="F5403">
            <v>424.04</v>
          </cell>
          <cell r="G5403">
            <v>306.89</v>
          </cell>
          <cell r="H5403">
            <v>8090.09</v>
          </cell>
          <cell r="I5403">
            <v>502.51</v>
          </cell>
        </row>
        <row r="5404">
          <cell r="A5404">
            <v>39414</v>
          </cell>
          <cell r="B5404">
            <v>3690.74</v>
          </cell>
          <cell r="C5404">
            <v>4321.74</v>
          </cell>
          <cell r="D5404">
            <v>364.09</v>
          </cell>
          <cell r="E5404">
            <v>409.93</v>
          </cell>
          <cell r="F5404">
            <v>434.25</v>
          </cell>
          <cell r="G5404">
            <v>316.7</v>
          </cell>
          <cell r="H5404">
            <v>8349.7199999999993</v>
          </cell>
          <cell r="I5404">
            <v>519.78</v>
          </cell>
        </row>
        <row r="5405">
          <cell r="A5405">
            <v>39415</v>
          </cell>
          <cell r="B5405">
            <v>3711.03</v>
          </cell>
          <cell r="C5405">
            <v>4347</v>
          </cell>
          <cell r="D5405">
            <v>365.72</v>
          </cell>
          <cell r="E5405">
            <v>412.1</v>
          </cell>
          <cell r="F5405">
            <v>436.68</v>
          </cell>
          <cell r="G5405">
            <v>317.83999999999997</v>
          </cell>
          <cell r="H5405">
            <v>8383.85</v>
          </cell>
          <cell r="I5405">
            <v>522.07000000000005</v>
          </cell>
        </row>
        <row r="5406">
          <cell r="A5406">
            <v>39416</v>
          </cell>
          <cell r="B5406">
            <v>3752.67</v>
          </cell>
          <cell r="C5406">
            <v>4394.95</v>
          </cell>
          <cell r="D5406">
            <v>370.36</v>
          </cell>
          <cell r="E5406">
            <v>417.26</v>
          </cell>
          <cell r="F5406">
            <v>441.6</v>
          </cell>
          <cell r="G5406">
            <v>321.93</v>
          </cell>
          <cell r="H5406">
            <v>8435.33</v>
          </cell>
          <cell r="I5406">
            <v>526.52</v>
          </cell>
        </row>
        <row r="5407">
          <cell r="A5407">
            <v>39419</v>
          </cell>
          <cell r="B5407">
            <v>3737.75</v>
          </cell>
          <cell r="C5407">
            <v>4371.67</v>
          </cell>
          <cell r="D5407">
            <v>368.81</v>
          </cell>
          <cell r="E5407">
            <v>415.15</v>
          </cell>
          <cell r="F5407">
            <v>439.08</v>
          </cell>
          <cell r="G5407">
            <v>320.89999999999998</v>
          </cell>
          <cell r="H5407">
            <v>8452.65</v>
          </cell>
          <cell r="I5407">
            <v>526.05999999999995</v>
          </cell>
        </row>
        <row r="5408">
          <cell r="A5408">
            <v>39420</v>
          </cell>
          <cell r="B5408">
            <v>3690.82</v>
          </cell>
          <cell r="C5408">
            <v>4339.1000000000004</v>
          </cell>
          <cell r="D5408">
            <v>363.34</v>
          </cell>
          <cell r="E5408">
            <v>410.63</v>
          </cell>
          <cell r="F5408">
            <v>434.39</v>
          </cell>
          <cell r="G5408">
            <v>314.70999999999998</v>
          </cell>
          <cell r="H5408">
            <v>8288.2999999999993</v>
          </cell>
          <cell r="I5408">
            <v>513.63</v>
          </cell>
        </row>
        <row r="5409">
          <cell r="A5409">
            <v>39421</v>
          </cell>
          <cell r="B5409">
            <v>3755.45</v>
          </cell>
          <cell r="C5409">
            <v>4410</v>
          </cell>
          <cell r="D5409">
            <v>369.61</v>
          </cell>
          <cell r="E5409">
            <v>417.39</v>
          </cell>
          <cell r="F5409">
            <v>441.54</v>
          </cell>
          <cell r="G5409">
            <v>320.42</v>
          </cell>
          <cell r="H5409">
            <v>8452.5499999999993</v>
          </cell>
          <cell r="I5409">
            <v>523.91999999999996</v>
          </cell>
        </row>
        <row r="5410">
          <cell r="A5410">
            <v>39422</v>
          </cell>
          <cell r="B5410">
            <v>3755.14</v>
          </cell>
          <cell r="C5410">
            <v>4414.66</v>
          </cell>
          <cell r="D5410">
            <v>369.87</v>
          </cell>
          <cell r="E5410">
            <v>417.86</v>
          </cell>
          <cell r="F5410">
            <v>441.97</v>
          </cell>
          <cell r="G5410">
            <v>320.5</v>
          </cell>
          <cell r="H5410">
            <v>8486.9</v>
          </cell>
          <cell r="I5410">
            <v>525.41999999999996</v>
          </cell>
        </row>
        <row r="5411">
          <cell r="A5411">
            <v>39423</v>
          </cell>
          <cell r="B5411">
            <v>3786.01</v>
          </cell>
          <cell r="C5411">
            <v>4446.34</v>
          </cell>
          <cell r="D5411">
            <v>372.88</v>
          </cell>
          <cell r="E5411">
            <v>420.95</v>
          </cell>
          <cell r="F5411">
            <v>444.91</v>
          </cell>
          <cell r="G5411">
            <v>323.37</v>
          </cell>
          <cell r="H5411">
            <v>8493.67</v>
          </cell>
          <cell r="I5411">
            <v>528.52</v>
          </cell>
        </row>
        <row r="5412">
          <cell r="A5412">
            <v>39426</v>
          </cell>
          <cell r="B5412">
            <v>3804.55</v>
          </cell>
          <cell r="C5412">
            <v>4465.5200000000004</v>
          </cell>
          <cell r="D5412">
            <v>375.06</v>
          </cell>
          <cell r="E5412">
            <v>423.14</v>
          </cell>
          <cell r="F5412">
            <v>447.43</v>
          </cell>
          <cell r="G5412">
            <v>325.5</v>
          </cell>
          <cell r="H5412">
            <v>8558.2099999999991</v>
          </cell>
          <cell r="I5412">
            <v>532.69000000000005</v>
          </cell>
        </row>
        <row r="5413">
          <cell r="A5413">
            <v>39427</v>
          </cell>
          <cell r="B5413">
            <v>3783.36</v>
          </cell>
          <cell r="C5413">
            <v>4449.95</v>
          </cell>
          <cell r="D5413">
            <v>373.55</v>
          </cell>
          <cell r="E5413">
            <v>421.96</v>
          </cell>
          <cell r="F5413">
            <v>446.11</v>
          </cell>
          <cell r="G5413">
            <v>323.74</v>
          </cell>
          <cell r="H5413">
            <v>8550.39</v>
          </cell>
          <cell r="I5413">
            <v>532.74</v>
          </cell>
        </row>
        <row r="5414">
          <cell r="A5414">
            <v>39428</v>
          </cell>
          <cell r="B5414">
            <v>3800.96</v>
          </cell>
          <cell r="C5414">
            <v>4469.47</v>
          </cell>
          <cell r="D5414">
            <v>374.75</v>
          </cell>
          <cell r="E5414">
            <v>422.81</v>
          </cell>
          <cell r="F5414">
            <v>446.75</v>
          </cell>
          <cell r="G5414">
            <v>325.22000000000003</v>
          </cell>
          <cell r="H5414">
            <v>8539.19</v>
          </cell>
          <cell r="I5414">
            <v>533.32000000000005</v>
          </cell>
        </row>
        <row r="5415">
          <cell r="A5415">
            <v>39429</v>
          </cell>
          <cell r="B5415">
            <v>3704.74</v>
          </cell>
          <cell r="C5415">
            <v>4370.76</v>
          </cell>
          <cell r="D5415">
            <v>365.61</v>
          </cell>
          <cell r="E5415">
            <v>413.36</v>
          </cell>
          <cell r="F5415">
            <v>436.73</v>
          </cell>
          <cell r="G5415">
            <v>316.52999999999997</v>
          </cell>
          <cell r="H5415">
            <v>8344.6299999999992</v>
          </cell>
          <cell r="I5415">
            <v>519.46</v>
          </cell>
        </row>
        <row r="5416">
          <cell r="A5416">
            <v>39430</v>
          </cell>
          <cell r="B5416">
            <v>3721.8</v>
          </cell>
          <cell r="C5416">
            <v>4384.6499999999996</v>
          </cell>
          <cell r="D5416">
            <v>367.24</v>
          </cell>
          <cell r="E5416">
            <v>414.78</v>
          </cell>
          <cell r="F5416">
            <v>438.04</v>
          </cell>
          <cell r="G5416">
            <v>318.31</v>
          </cell>
          <cell r="H5416">
            <v>8319.7900000000009</v>
          </cell>
          <cell r="I5416">
            <v>518.64</v>
          </cell>
        </row>
        <row r="5417">
          <cell r="A5417">
            <v>39433</v>
          </cell>
          <cell r="B5417">
            <v>3659.76</v>
          </cell>
          <cell r="C5417">
            <v>4312.47</v>
          </cell>
          <cell r="D5417">
            <v>360.83</v>
          </cell>
          <cell r="E5417">
            <v>407.54</v>
          </cell>
          <cell r="F5417">
            <v>430.33</v>
          </cell>
          <cell r="G5417">
            <v>312.75</v>
          </cell>
          <cell r="H5417">
            <v>8108.23</v>
          </cell>
          <cell r="I5417">
            <v>504.02</v>
          </cell>
        </row>
        <row r="5418">
          <cell r="A5418">
            <v>39434</v>
          </cell>
          <cell r="B5418">
            <v>3651.77</v>
          </cell>
          <cell r="C5418">
            <v>4309.1400000000003</v>
          </cell>
          <cell r="D5418">
            <v>360.43</v>
          </cell>
          <cell r="E5418">
            <v>407.51</v>
          </cell>
          <cell r="F5418">
            <v>429.6</v>
          </cell>
          <cell r="G5418">
            <v>312.02999999999997</v>
          </cell>
          <cell r="H5418">
            <v>8065.59</v>
          </cell>
          <cell r="I5418">
            <v>501</v>
          </cell>
        </row>
        <row r="5419">
          <cell r="A5419">
            <v>39435</v>
          </cell>
          <cell r="B5419">
            <v>3634.4</v>
          </cell>
          <cell r="C5419">
            <v>4301.34</v>
          </cell>
          <cell r="D5419">
            <v>358.74</v>
          </cell>
          <cell r="E5419">
            <v>406.14</v>
          </cell>
          <cell r="F5419">
            <v>427.88</v>
          </cell>
          <cell r="G5419">
            <v>310.11</v>
          </cell>
          <cell r="H5419">
            <v>8081.53</v>
          </cell>
          <cell r="I5419">
            <v>501.38</v>
          </cell>
        </row>
        <row r="5420">
          <cell r="A5420">
            <v>39436</v>
          </cell>
          <cell r="B5420">
            <v>3644.53</v>
          </cell>
          <cell r="C5420">
            <v>4314.7</v>
          </cell>
          <cell r="D5420">
            <v>359.46</v>
          </cell>
          <cell r="E5420">
            <v>407.15</v>
          </cell>
          <cell r="F5420">
            <v>428.81</v>
          </cell>
          <cell r="G5420">
            <v>310.57</v>
          </cell>
          <cell r="H5420">
            <v>8092.35</v>
          </cell>
          <cell r="I5420">
            <v>502.97</v>
          </cell>
        </row>
        <row r="5421">
          <cell r="A5421">
            <v>39437</v>
          </cell>
          <cell r="B5421">
            <v>3693.14</v>
          </cell>
          <cell r="C5421">
            <v>4384.55</v>
          </cell>
          <cell r="D5421">
            <v>364.49</v>
          </cell>
          <cell r="E5421">
            <v>413.29</v>
          </cell>
          <cell r="F5421">
            <v>434.83</v>
          </cell>
          <cell r="G5421">
            <v>314.52</v>
          </cell>
          <cell r="H5421">
            <v>8250.2000000000007</v>
          </cell>
          <cell r="I5421">
            <v>513.77</v>
          </cell>
        </row>
        <row r="5422">
          <cell r="A5422">
            <v>39440</v>
          </cell>
          <cell r="B5422">
            <v>3695.36</v>
          </cell>
          <cell r="C5422">
            <v>4388.38</v>
          </cell>
          <cell r="D5422">
            <v>364.8</v>
          </cell>
          <cell r="E5422">
            <v>414.01</v>
          </cell>
          <cell r="F5422">
            <v>435.17</v>
          </cell>
          <cell r="G5422">
            <v>314.45999999999998</v>
          </cell>
          <cell r="H5422">
            <v>8241.35</v>
          </cell>
          <cell r="I5422">
            <v>513.4</v>
          </cell>
        </row>
        <row r="5423">
          <cell r="A5423">
            <v>39443</v>
          </cell>
          <cell r="B5423">
            <v>3699.89</v>
          </cell>
          <cell r="C5423">
            <v>4404.6099999999997</v>
          </cell>
          <cell r="D5423">
            <v>365.09</v>
          </cell>
          <cell r="E5423">
            <v>414.62</v>
          </cell>
          <cell r="F5423">
            <v>436.25</v>
          </cell>
          <cell r="G5423">
            <v>314.47000000000003</v>
          </cell>
          <cell r="H5423">
            <v>8260.61</v>
          </cell>
          <cell r="I5423">
            <v>513.88</v>
          </cell>
        </row>
        <row r="5424">
          <cell r="A5424">
            <v>39444</v>
          </cell>
          <cell r="B5424">
            <v>3683.25</v>
          </cell>
          <cell r="C5424">
            <v>4404.6400000000003</v>
          </cell>
          <cell r="D5424">
            <v>364.39</v>
          </cell>
          <cell r="E5424">
            <v>415.07</v>
          </cell>
          <cell r="F5424">
            <v>436.94</v>
          </cell>
          <cell r="G5424">
            <v>312.77999999999997</v>
          </cell>
          <cell r="H5424">
            <v>8313.85</v>
          </cell>
          <cell r="I5424">
            <v>516.4</v>
          </cell>
        </row>
        <row r="5425">
          <cell r="A5425">
            <v>39447</v>
          </cell>
          <cell r="B5425">
            <v>3683.79</v>
          </cell>
          <cell r="C5425">
            <v>4399.72</v>
          </cell>
          <cell r="D5425">
            <v>364.64</v>
          </cell>
          <cell r="E5425">
            <v>414.9</v>
          </cell>
          <cell r="F5425">
            <v>437.01</v>
          </cell>
          <cell r="G5425">
            <v>313.39999999999998</v>
          </cell>
          <cell r="H5425">
            <v>8319.3799999999992</v>
          </cell>
          <cell r="I5425">
            <v>516.75</v>
          </cell>
        </row>
        <row r="5426">
          <cell r="A5426">
            <v>39449</v>
          </cell>
          <cell r="B5426">
            <v>3634.71</v>
          </cell>
          <cell r="C5426">
            <v>4339.2299999999996</v>
          </cell>
          <cell r="D5426">
            <v>360.08</v>
          </cell>
          <cell r="E5426">
            <v>409.93</v>
          </cell>
          <cell r="F5426">
            <v>432.79</v>
          </cell>
          <cell r="G5426">
            <v>309.27999999999997</v>
          </cell>
          <cell r="H5426">
            <v>8188.88</v>
          </cell>
          <cell r="I5426">
            <v>509.16</v>
          </cell>
        </row>
        <row r="5427">
          <cell r="A5427">
            <v>39450</v>
          </cell>
          <cell r="B5427">
            <v>3641.12</v>
          </cell>
          <cell r="C5427">
            <v>4333.42</v>
          </cell>
          <cell r="D5427">
            <v>358.95</v>
          </cell>
          <cell r="E5427">
            <v>408.2</v>
          </cell>
          <cell r="F5427">
            <v>430.21</v>
          </cell>
          <cell r="G5427">
            <v>308.7</v>
          </cell>
          <cell r="H5427">
            <v>8187.74</v>
          </cell>
          <cell r="I5427">
            <v>508.19</v>
          </cell>
        </row>
        <row r="5428">
          <cell r="A5428">
            <v>39451</v>
          </cell>
          <cell r="B5428">
            <v>3579.05</v>
          </cell>
          <cell r="C5428">
            <v>4270.53</v>
          </cell>
          <cell r="D5428">
            <v>352</v>
          </cell>
          <cell r="E5428">
            <v>401.62</v>
          </cell>
          <cell r="F5428">
            <v>422.6</v>
          </cell>
          <cell r="G5428">
            <v>301.57</v>
          </cell>
          <cell r="H5428">
            <v>7937.31</v>
          </cell>
          <cell r="I5428">
            <v>492.65</v>
          </cell>
        </row>
        <row r="5429">
          <cell r="A5429">
            <v>39454</v>
          </cell>
          <cell r="B5429">
            <v>3593.63</v>
          </cell>
          <cell r="C5429">
            <v>4283.37</v>
          </cell>
          <cell r="D5429">
            <v>351.27</v>
          </cell>
          <cell r="E5429">
            <v>400.89</v>
          </cell>
          <cell r="F5429">
            <v>421.28</v>
          </cell>
          <cell r="G5429">
            <v>300.85000000000002</v>
          </cell>
          <cell r="H5429">
            <v>7858.79</v>
          </cell>
          <cell r="I5429">
            <v>484.68</v>
          </cell>
        </row>
        <row r="5430">
          <cell r="A5430">
            <v>39455</v>
          </cell>
          <cell r="B5430">
            <v>3614.48</v>
          </cell>
          <cell r="C5430">
            <v>4295.2299999999996</v>
          </cell>
          <cell r="D5430">
            <v>353.43</v>
          </cell>
          <cell r="E5430">
            <v>402.46</v>
          </cell>
          <cell r="F5430">
            <v>424.31</v>
          </cell>
          <cell r="G5430">
            <v>303.48</v>
          </cell>
          <cell r="H5430">
            <v>7951.65</v>
          </cell>
          <cell r="I5430">
            <v>490.37</v>
          </cell>
        </row>
        <row r="5431">
          <cell r="A5431">
            <v>39456</v>
          </cell>
          <cell r="B5431">
            <v>3578.68</v>
          </cell>
          <cell r="C5431">
            <v>4258.32</v>
          </cell>
          <cell r="D5431">
            <v>348.77</v>
          </cell>
          <cell r="E5431">
            <v>397.75</v>
          </cell>
          <cell r="F5431">
            <v>419.81</v>
          </cell>
          <cell r="G5431">
            <v>298.95999999999998</v>
          </cell>
          <cell r="H5431">
            <v>7762.33</v>
          </cell>
          <cell r="I5431">
            <v>477.92</v>
          </cell>
        </row>
        <row r="5432">
          <cell r="A5432">
            <v>39457</v>
          </cell>
          <cell r="B5432">
            <v>3554.23</v>
          </cell>
          <cell r="C5432">
            <v>4237.62</v>
          </cell>
          <cell r="D5432">
            <v>345.38</v>
          </cell>
          <cell r="E5432">
            <v>394.54</v>
          </cell>
          <cell r="F5432">
            <v>416.43</v>
          </cell>
          <cell r="G5432">
            <v>295.48</v>
          </cell>
          <cell r="H5432">
            <v>7671.82</v>
          </cell>
          <cell r="I5432">
            <v>472.22</v>
          </cell>
        </row>
        <row r="5433">
          <cell r="A5433">
            <v>39458</v>
          </cell>
          <cell r="B5433">
            <v>3539.2</v>
          </cell>
          <cell r="C5433">
            <v>4225.3100000000004</v>
          </cell>
          <cell r="D5433">
            <v>343.69</v>
          </cell>
          <cell r="E5433">
            <v>393.54</v>
          </cell>
          <cell r="F5433">
            <v>414.49</v>
          </cell>
          <cell r="G5433">
            <v>293.23</v>
          </cell>
          <cell r="H5433">
            <v>7613.11</v>
          </cell>
          <cell r="I5433">
            <v>468.96</v>
          </cell>
        </row>
        <row r="5434">
          <cell r="A5434">
            <v>39461</v>
          </cell>
          <cell r="B5434">
            <v>3539.03</v>
          </cell>
          <cell r="C5434">
            <v>4236.68</v>
          </cell>
          <cell r="D5434">
            <v>344.78</v>
          </cell>
          <cell r="E5434">
            <v>395.38</v>
          </cell>
          <cell r="F5434">
            <v>416.86</v>
          </cell>
          <cell r="G5434">
            <v>293.64999999999998</v>
          </cell>
          <cell r="H5434">
            <v>7726.81</v>
          </cell>
          <cell r="I5434">
            <v>475.57</v>
          </cell>
        </row>
        <row r="5435">
          <cell r="A5435">
            <v>39462</v>
          </cell>
          <cell r="B5435">
            <v>3458.77</v>
          </cell>
          <cell r="C5435">
            <v>4140.9399999999996</v>
          </cell>
          <cell r="D5435">
            <v>335.94</v>
          </cell>
          <cell r="E5435">
            <v>384.81</v>
          </cell>
          <cell r="F5435">
            <v>405.57</v>
          </cell>
          <cell r="G5435">
            <v>286.48</v>
          </cell>
          <cell r="H5435">
            <v>7476.27</v>
          </cell>
          <cell r="I5435">
            <v>460.57</v>
          </cell>
        </row>
        <row r="5436">
          <cell r="A5436">
            <v>39463</v>
          </cell>
          <cell r="B5436">
            <v>3432.42</v>
          </cell>
          <cell r="C5436">
            <v>4108.34</v>
          </cell>
          <cell r="D5436">
            <v>332.75</v>
          </cell>
          <cell r="E5436">
            <v>380.82</v>
          </cell>
          <cell r="F5436">
            <v>400.93</v>
          </cell>
          <cell r="G5436">
            <v>284.06</v>
          </cell>
          <cell r="H5436">
            <v>7343.94</v>
          </cell>
          <cell r="I5436">
            <v>451.61</v>
          </cell>
        </row>
        <row r="5437">
          <cell r="A5437">
            <v>39464</v>
          </cell>
          <cell r="B5437">
            <v>3402.38</v>
          </cell>
          <cell r="C5437">
            <v>4065.76</v>
          </cell>
          <cell r="D5437">
            <v>331.07</v>
          </cell>
          <cell r="E5437">
            <v>377.9</v>
          </cell>
          <cell r="F5437">
            <v>397.96</v>
          </cell>
          <cell r="G5437">
            <v>283.51</v>
          </cell>
          <cell r="H5437">
            <v>7340.04</v>
          </cell>
          <cell r="I5437">
            <v>450.74</v>
          </cell>
        </row>
        <row r="5438">
          <cell r="A5438">
            <v>39465</v>
          </cell>
          <cell r="B5438">
            <v>3351.65</v>
          </cell>
          <cell r="C5438">
            <v>3995.17</v>
          </cell>
          <cell r="D5438">
            <v>327.52999999999997</v>
          </cell>
          <cell r="E5438">
            <v>372.91</v>
          </cell>
          <cell r="F5438">
            <v>392.99</v>
          </cell>
          <cell r="G5438">
            <v>281.29000000000002</v>
          </cell>
          <cell r="H5438">
            <v>7239.37</v>
          </cell>
          <cell r="I5438">
            <v>443.84</v>
          </cell>
        </row>
        <row r="5439">
          <cell r="A5439">
            <v>39468</v>
          </cell>
          <cell r="B5439">
            <v>3138.48</v>
          </cell>
          <cell r="C5439">
            <v>3703.05</v>
          </cell>
          <cell r="D5439">
            <v>308.77</v>
          </cell>
          <cell r="E5439">
            <v>348.68</v>
          </cell>
          <cell r="F5439">
            <v>369.03</v>
          </cell>
          <cell r="G5439">
            <v>267.68</v>
          </cell>
          <cell r="H5439">
            <v>6846.3</v>
          </cell>
          <cell r="I5439">
            <v>419.79</v>
          </cell>
        </row>
        <row r="5440">
          <cell r="A5440">
            <v>39469</v>
          </cell>
          <cell r="B5440">
            <v>3201.03</v>
          </cell>
          <cell r="C5440">
            <v>3753.68</v>
          </cell>
          <cell r="D5440">
            <v>315.55</v>
          </cell>
          <cell r="E5440">
            <v>354.18</v>
          </cell>
          <cell r="F5440">
            <v>375.92</v>
          </cell>
          <cell r="G5440">
            <v>275.43</v>
          </cell>
          <cell r="H5440">
            <v>7070.02</v>
          </cell>
          <cell r="I5440">
            <v>433.43</v>
          </cell>
        </row>
        <row r="5441">
          <cell r="A5441">
            <v>39470</v>
          </cell>
          <cell r="B5441">
            <v>3092.17</v>
          </cell>
          <cell r="C5441">
            <v>3577.99</v>
          </cell>
          <cell r="D5441">
            <v>306.02999999999997</v>
          </cell>
          <cell r="E5441">
            <v>340.34</v>
          </cell>
          <cell r="F5441">
            <v>363.27</v>
          </cell>
          <cell r="G5441">
            <v>269.89</v>
          </cell>
          <cell r="H5441">
            <v>6868.62</v>
          </cell>
          <cell r="I5441">
            <v>421.42</v>
          </cell>
        </row>
        <row r="5442">
          <cell r="A5442">
            <v>39471</v>
          </cell>
          <cell r="B5442">
            <v>3259.99</v>
          </cell>
          <cell r="C5442">
            <v>3809.07</v>
          </cell>
          <cell r="D5442">
            <v>322.08</v>
          </cell>
          <cell r="E5442">
            <v>360.81</v>
          </cell>
          <cell r="F5442">
            <v>383.21</v>
          </cell>
          <cell r="G5442">
            <v>281.75</v>
          </cell>
          <cell r="H5442">
            <v>7230.98</v>
          </cell>
          <cell r="I5442">
            <v>447.29</v>
          </cell>
        </row>
        <row r="5443">
          <cell r="A5443">
            <v>39472</v>
          </cell>
          <cell r="B5443">
            <v>3246.01</v>
          </cell>
          <cell r="C5443">
            <v>3777.06</v>
          </cell>
          <cell r="D5443">
            <v>322.23</v>
          </cell>
          <cell r="E5443">
            <v>359.94</v>
          </cell>
          <cell r="F5443">
            <v>382.64</v>
          </cell>
          <cell r="G5443">
            <v>282.79000000000002</v>
          </cell>
          <cell r="H5443">
            <v>7315.99</v>
          </cell>
          <cell r="I5443">
            <v>454.21</v>
          </cell>
        </row>
        <row r="5444">
          <cell r="A5444">
            <v>39475</v>
          </cell>
          <cell r="B5444">
            <v>3212.47</v>
          </cell>
          <cell r="C5444">
            <v>3765.41</v>
          </cell>
          <cell r="D5444">
            <v>318.7</v>
          </cell>
          <cell r="E5444">
            <v>358.02</v>
          </cell>
          <cell r="F5444">
            <v>379.63</v>
          </cell>
          <cell r="G5444">
            <v>277.93</v>
          </cell>
          <cell r="H5444">
            <v>7167.6</v>
          </cell>
          <cell r="I5444">
            <v>443.73</v>
          </cell>
        </row>
        <row r="5445">
          <cell r="A5445">
            <v>39476</v>
          </cell>
          <cell r="B5445">
            <v>3256.69</v>
          </cell>
          <cell r="C5445">
            <v>3810.01</v>
          </cell>
          <cell r="D5445">
            <v>324.31</v>
          </cell>
          <cell r="E5445">
            <v>363.89</v>
          </cell>
          <cell r="F5445">
            <v>385.87</v>
          </cell>
          <cell r="G5445">
            <v>283.2</v>
          </cell>
          <cell r="H5445">
            <v>7269.85</v>
          </cell>
          <cell r="I5445">
            <v>450.94</v>
          </cell>
        </row>
        <row r="5446">
          <cell r="A5446">
            <v>39477</v>
          </cell>
          <cell r="B5446">
            <v>3237.77</v>
          </cell>
          <cell r="C5446">
            <v>3789.31</v>
          </cell>
          <cell r="D5446">
            <v>322.19</v>
          </cell>
          <cell r="E5446">
            <v>361.45</v>
          </cell>
          <cell r="F5446">
            <v>383.57</v>
          </cell>
          <cell r="G5446">
            <v>281.39</v>
          </cell>
          <cell r="H5446">
            <v>7287.4</v>
          </cell>
          <cell r="I5446">
            <v>451.11</v>
          </cell>
        </row>
        <row r="5447">
          <cell r="A5447">
            <v>39478</v>
          </cell>
          <cell r="B5447">
            <v>3240.75</v>
          </cell>
          <cell r="C5447">
            <v>3792.8</v>
          </cell>
          <cell r="D5447">
            <v>322.16000000000003</v>
          </cell>
          <cell r="E5447">
            <v>360.56</v>
          </cell>
          <cell r="F5447">
            <v>382.65</v>
          </cell>
          <cell r="G5447">
            <v>282.13</v>
          </cell>
          <cell r="H5447">
            <v>7238.61</v>
          </cell>
          <cell r="I5447">
            <v>448.47</v>
          </cell>
        </row>
        <row r="5448">
          <cell r="A5448">
            <v>39479</v>
          </cell>
          <cell r="B5448">
            <v>3300.97</v>
          </cell>
          <cell r="C5448">
            <v>3867.47</v>
          </cell>
          <cell r="D5448">
            <v>328.42</v>
          </cell>
          <cell r="E5448">
            <v>368.06</v>
          </cell>
          <cell r="F5448">
            <v>390.81</v>
          </cell>
          <cell r="G5448">
            <v>287.17</v>
          </cell>
          <cell r="H5448">
            <v>7427.67</v>
          </cell>
          <cell r="I5448">
            <v>461.1</v>
          </cell>
        </row>
        <row r="5449">
          <cell r="A5449">
            <v>39482</v>
          </cell>
          <cell r="B5449">
            <v>3300.35</v>
          </cell>
          <cell r="C5449">
            <v>3867.16</v>
          </cell>
          <cell r="D5449">
            <v>329.13</v>
          </cell>
          <cell r="E5449">
            <v>369.01</v>
          </cell>
          <cell r="F5449">
            <v>391.29</v>
          </cell>
          <cell r="G5449">
            <v>287.64999999999998</v>
          </cell>
          <cell r="H5449">
            <v>7514.72</v>
          </cell>
          <cell r="I5449">
            <v>466.3</v>
          </cell>
        </row>
        <row r="5450">
          <cell r="A5450">
            <v>39483</v>
          </cell>
          <cell r="B5450">
            <v>3202.51</v>
          </cell>
          <cell r="C5450">
            <v>3717.08</v>
          </cell>
          <cell r="D5450">
            <v>318.73</v>
          </cell>
          <cell r="E5450">
            <v>354.86</v>
          </cell>
          <cell r="F5450">
            <v>377.11</v>
          </cell>
          <cell r="G5450">
            <v>280.73</v>
          </cell>
          <cell r="H5450">
            <v>7274</v>
          </cell>
          <cell r="I5450">
            <v>449.81</v>
          </cell>
        </row>
        <row r="5451">
          <cell r="A5451">
            <v>39484</v>
          </cell>
          <cell r="B5451">
            <v>3202.51</v>
          </cell>
          <cell r="C5451">
            <v>3717.08</v>
          </cell>
          <cell r="D5451">
            <v>318.73</v>
          </cell>
          <cell r="E5451">
            <v>354.86</v>
          </cell>
          <cell r="F5451">
            <v>377.11</v>
          </cell>
          <cell r="G5451">
            <v>280.73</v>
          </cell>
          <cell r="H5451">
            <v>7274</v>
          </cell>
          <cell r="I5451">
            <v>449.81</v>
          </cell>
        </row>
        <row r="5452">
          <cell r="A5452">
            <v>39485</v>
          </cell>
          <cell r="B5452">
            <v>3216.03</v>
          </cell>
          <cell r="C5452">
            <v>3760.12</v>
          </cell>
          <cell r="D5452">
            <v>320.35000000000002</v>
          </cell>
          <cell r="E5452">
            <v>358.22</v>
          </cell>
          <cell r="F5452">
            <v>380.36</v>
          </cell>
          <cell r="G5452">
            <v>280.81</v>
          </cell>
          <cell r="H5452">
            <v>7294.52</v>
          </cell>
          <cell r="I5452">
            <v>451.75</v>
          </cell>
        </row>
        <row r="5453">
          <cell r="A5453">
            <v>39486</v>
          </cell>
          <cell r="B5453">
            <v>3167.99</v>
          </cell>
          <cell r="C5453">
            <v>3701.17</v>
          </cell>
          <cell r="D5453">
            <v>315.5</v>
          </cell>
          <cell r="E5453">
            <v>352.1</v>
          </cell>
          <cell r="F5453">
            <v>373.99</v>
          </cell>
          <cell r="G5453">
            <v>277.16000000000003</v>
          </cell>
          <cell r="H5453">
            <v>7176.61</v>
          </cell>
          <cell r="I5453">
            <v>444.69</v>
          </cell>
        </row>
        <row r="5454">
          <cell r="A5454">
            <v>39489</v>
          </cell>
          <cell r="B5454">
            <v>3137.83</v>
          </cell>
          <cell r="C5454">
            <v>3678.16</v>
          </cell>
          <cell r="D5454">
            <v>312.58999999999997</v>
          </cell>
          <cell r="E5454">
            <v>349.67</v>
          </cell>
          <cell r="F5454">
            <v>371.09</v>
          </cell>
          <cell r="G5454">
            <v>273.89</v>
          </cell>
          <cell r="H5454">
            <v>7132.87</v>
          </cell>
          <cell r="I5454">
            <v>442.6</v>
          </cell>
        </row>
        <row r="5455">
          <cell r="A5455">
            <v>39490</v>
          </cell>
          <cell r="B5455">
            <v>3246.93</v>
          </cell>
          <cell r="C5455">
            <v>3803.76</v>
          </cell>
          <cell r="D5455">
            <v>323.02999999999997</v>
          </cell>
          <cell r="E5455">
            <v>361.42</v>
          </cell>
          <cell r="F5455">
            <v>383.27</v>
          </cell>
          <cell r="G5455">
            <v>282.99</v>
          </cell>
          <cell r="H5455">
            <v>7439.17</v>
          </cell>
          <cell r="I5455">
            <v>461.36</v>
          </cell>
        </row>
        <row r="5456">
          <cell r="A5456">
            <v>39491</v>
          </cell>
          <cell r="B5456">
            <v>3241.67</v>
          </cell>
          <cell r="C5456">
            <v>3803.21</v>
          </cell>
          <cell r="D5456">
            <v>323.3</v>
          </cell>
          <cell r="E5456">
            <v>362.5</v>
          </cell>
          <cell r="F5456">
            <v>384.12</v>
          </cell>
          <cell r="G5456">
            <v>282.55</v>
          </cell>
          <cell r="H5456">
            <v>7468.97</v>
          </cell>
          <cell r="I5456">
            <v>463</v>
          </cell>
        </row>
        <row r="5457">
          <cell r="A5457">
            <v>39492</v>
          </cell>
          <cell r="B5457">
            <v>3237.83</v>
          </cell>
          <cell r="C5457">
            <v>3797.89</v>
          </cell>
          <cell r="D5457">
            <v>323.66000000000003</v>
          </cell>
          <cell r="E5457">
            <v>362.58</v>
          </cell>
          <cell r="F5457">
            <v>384.59</v>
          </cell>
          <cell r="G5457">
            <v>283.13</v>
          </cell>
          <cell r="H5457">
            <v>7512.7</v>
          </cell>
          <cell r="I5457">
            <v>466.27</v>
          </cell>
        </row>
        <row r="5458">
          <cell r="A5458">
            <v>39493</v>
          </cell>
          <cell r="B5458">
            <v>3167.64</v>
          </cell>
          <cell r="C5458">
            <v>3719.28</v>
          </cell>
          <cell r="D5458">
            <v>317.36</v>
          </cell>
          <cell r="E5458">
            <v>355.95</v>
          </cell>
          <cell r="F5458">
            <v>378.03</v>
          </cell>
          <cell r="G5458">
            <v>277.25</v>
          </cell>
          <cell r="H5458">
            <v>7412.11</v>
          </cell>
          <cell r="I5458">
            <v>459.88</v>
          </cell>
        </row>
        <row r="5459">
          <cell r="A5459">
            <v>39496</v>
          </cell>
          <cell r="B5459">
            <v>3236.7</v>
          </cell>
          <cell r="C5459">
            <v>3795.12</v>
          </cell>
          <cell r="D5459">
            <v>323.52999999999997</v>
          </cell>
          <cell r="E5459">
            <v>362.43</v>
          </cell>
          <cell r="F5459">
            <v>384.62</v>
          </cell>
          <cell r="G5459">
            <v>283.02</v>
          </cell>
          <cell r="H5459">
            <v>7578.14</v>
          </cell>
          <cell r="I5459">
            <v>470.81</v>
          </cell>
        </row>
        <row r="5460">
          <cell r="A5460">
            <v>39497</v>
          </cell>
          <cell r="B5460">
            <v>3240.99</v>
          </cell>
          <cell r="C5460">
            <v>3805.27</v>
          </cell>
          <cell r="D5460">
            <v>324.16000000000003</v>
          </cell>
          <cell r="E5460">
            <v>364.01</v>
          </cell>
          <cell r="F5460">
            <v>386.13</v>
          </cell>
          <cell r="G5460">
            <v>282.82</v>
          </cell>
          <cell r="H5460">
            <v>7632.13</v>
          </cell>
          <cell r="I5460">
            <v>473.34</v>
          </cell>
        </row>
        <row r="5461">
          <cell r="A5461">
            <v>39498</v>
          </cell>
          <cell r="B5461">
            <v>3197.71</v>
          </cell>
          <cell r="C5461">
            <v>3758.47</v>
          </cell>
          <cell r="D5461">
            <v>320.33</v>
          </cell>
          <cell r="E5461">
            <v>359.65</v>
          </cell>
          <cell r="F5461">
            <v>381.45</v>
          </cell>
          <cell r="G5461">
            <v>279.54000000000002</v>
          </cell>
          <cell r="H5461">
            <v>7531.37</v>
          </cell>
          <cell r="I5461">
            <v>467.57</v>
          </cell>
        </row>
        <row r="5462">
          <cell r="A5462">
            <v>39499</v>
          </cell>
          <cell r="B5462">
            <v>3219.52</v>
          </cell>
          <cell r="C5462">
            <v>3778.21</v>
          </cell>
          <cell r="D5462">
            <v>322.43</v>
          </cell>
          <cell r="E5462">
            <v>361.67</v>
          </cell>
          <cell r="F5462">
            <v>383.96</v>
          </cell>
          <cell r="G5462">
            <v>281.66000000000003</v>
          </cell>
          <cell r="H5462">
            <v>7574.86</v>
          </cell>
          <cell r="I5462">
            <v>471.41</v>
          </cell>
        </row>
        <row r="5463">
          <cell r="A5463">
            <v>39500</v>
          </cell>
          <cell r="B5463">
            <v>3199.61</v>
          </cell>
          <cell r="C5463">
            <v>3737.11</v>
          </cell>
          <cell r="D5463">
            <v>319.88</v>
          </cell>
          <cell r="E5463">
            <v>357.95</v>
          </cell>
          <cell r="F5463">
            <v>380.59</v>
          </cell>
          <cell r="G5463">
            <v>280.17</v>
          </cell>
          <cell r="H5463">
            <v>7469.17</v>
          </cell>
          <cell r="I5463">
            <v>465.64</v>
          </cell>
        </row>
        <row r="5464">
          <cell r="A5464">
            <v>39503</v>
          </cell>
          <cell r="B5464">
            <v>3256.89</v>
          </cell>
          <cell r="C5464">
            <v>3798.99</v>
          </cell>
          <cell r="D5464">
            <v>325.3</v>
          </cell>
          <cell r="E5464">
            <v>363.62</v>
          </cell>
          <cell r="F5464">
            <v>386.68</v>
          </cell>
          <cell r="G5464">
            <v>285.26</v>
          </cell>
          <cell r="H5464">
            <v>7596.83</v>
          </cell>
          <cell r="I5464">
            <v>473.06</v>
          </cell>
        </row>
        <row r="5465">
          <cell r="A5465">
            <v>39504</v>
          </cell>
          <cell r="B5465">
            <v>3308.61</v>
          </cell>
          <cell r="C5465">
            <v>3855.03</v>
          </cell>
          <cell r="D5465">
            <v>330.01</v>
          </cell>
          <cell r="E5465">
            <v>368.92</v>
          </cell>
          <cell r="F5465">
            <v>392.42</v>
          </cell>
          <cell r="G5465">
            <v>289.36</v>
          </cell>
          <cell r="H5465">
            <v>7695.7</v>
          </cell>
          <cell r="I5465">
            <v>479.7</v>
          </cell>
        </row>
        <row r="5466">
          <cell r="A5466">
            <v>39505</v>
          </cell>
          <cell r="B5466">
            <v>3301.02</v>
          </cell>
          <cell r="C5466">
            <v>3856.69</v>
          </cell>
          <cell r="D5466">
            <v>329.39</v>
          </cell>
          <cell r="E5466">
            <v>368.62</v>
          </cell>
          <cell r="F5466">
            <v>392.72</v>
          </cell>
          <cell r="G5466">
            <v>288.48</v>
          </cell>
          <cell r="H5466">
            <v>7723.4</v>
          </cell>
          <cell r="I5466">
            <v>481.73</v>
          </cell>
        </row>
        <row r="5467">
          <cell r="A5467">
            <v>39506</v>
          </cell>
          <cell r="B5467">
            <v>3239.58</v>
          </cell>
          <cell r="C5467">
            <v>3784.27</v>
          </cell>
          <cell r="D5467">
            <v>323.33999999999997</v>
          </cell>
          <cell r="E5467">
            <v>362.02</v>
          </cell>
          <cell r="F5467">
            <v>386.4</v>
          </cell>
          <cell r="G5467">
            <v>283.02</v>
          </cell>
          <cell r="H5467">
            <v>7626.52</v>
          </cell>
          <cell r="I5467">
            <v>474.65</v>
          </cell>
        </row>
        <row r="5468">
          <cell r="A5468">
            <v>39507</v>
          </cell>
          <cell r="B5468">
            <v>3188.82</v>
          </cell>
          <cell r="C5468">
            <v>3724.5</v>
          </cell>
          <cell r="D5468">
            <v>318.95</v>
          </cell>
          <cell r="E5468">
            <v>356.76</v>
          </cell>
          <cell r="F5468">
            <v>381.28</v>
          </cell>
          <cell r="G5468">
            <v>279.5</v>
          </cell>
          <cell r="H5468">
            <v>7524.9</v>
          </cell>
          <cell r="I5468">
            <v>466.9</v>
          </cell>
        </row>
        <row r="5469">
          <cell r="A5469">
            <v>39510</v>
          </cell>
          <cell r="B5469">
            <v>3143.9</v>
          </cell>
          <cell r="C5469">
            <v>3675.51</v>
          </cell>
          <cell r="D5469">
            <v>314.45999999999998</v>
          </cell>
          <cell r="E5469">
            <v>351.98</v>
          </cell>
          <cell r="F5469">
            <v>376.1</v>
          </cell>
          <cell r="G5469">
            <v>275.33999999999997</v>
          </cell>
          <cell r="H5469">
            <v>7437.48</v>
          </cell>
          <cell r="I5469">
            <v>460.04</v>
          </cell>
        </row>
        <row r="5470">
          <cell r="A5470">
            <v>39511</v>
          </cell>
          <cell r="B5470">
            <v>3095.37</v>
          </cell>
          <cell r="C5470">
            <v>3610.2</v>
          </cell>
          <cell r="D5470">
            <v>310.26</v>
          </cell>
          <cell r="E5470">
            <v>346.13</v>
          </cell>
          <cell r="F5470">
            <v>370.24</v>
          </cell>
          <cell r="G5470">
            <v>272.66000000000003</v>
          </cell>
          <cell r="H5470">
            <v>7297.8</v>
          </cell>
          <cell r="I5470">
            <v>450.96</v>
          </cell>
        </row>
        <row r="5471">
          <cell r="A5471">
            <v>39512</v>
          </cell>
          <cell r="B5471">
            <v>3140.77</v>
          </cell>
          <cell r="C5471">
            <v>3684.54</v>
          </cell>
          <cell r="D5471">
            <v>315.61</v>
          </cell>
          <cell r="E5471">
            <v>353.46</v>
          </cell>
          <cell r="F5471">
            <v>377.06</v>
          </cell>
          <cell r="G5471">
            <v>276.18</v>
          </cell>
          <cell r="H5471">
            <v>7416.42</v>
          </cell>
          <cell r="I5471">
            <v>459.97</v>
          </cell>
        </row>
        <row r="5472">
          <cell r="A5472">
            <v>39513</v>
          </cell>
          <cell r="B5472">
            <v>3090</v>
          </cell>
          <cell r="C5472">
            <v>3617.68</v>
          </cell>
          <cell r="D5472">
            <v>311.42</v>
          </cell>
          <cell r="E5472">
            <v>347.74</v>
          </cell>
          <cell r="F5472">
            <v>371.59</v>
          </cell>
          <cell r="G5472">
            <v>273.39999999999998</v>
          </cell>
          <cell r="H5472">
            <v>7306.67</v>
          </cell>
          <cell r="I5472">
            <v>453.37</v>
          </cell>
        </row>
        <row r="5473">
          <cell r="A5473">
            <v>39514</v>
          </cell>
          <cell r="B5473">
            <v>3057.09</v>
          </cell>
          <cell r="C5473">
            <v>3576.68</v>
          </cell>
          <cell r="D5473">
            <v>307.98</v>
          </cell>
          <cell r="E5473">
            <v>343.62</v>
          </cell>
          <cell r="F5473">
            <v>367.12</v>
          </cell>
          <cell r="G5473">
            <v>270.63</v>
          </cell>
          <cell r="H5473">
            <v>7207.24</v>
          </cell>
          <cell r="I5473">
            <v>446.38</v>
          </cell>
        </row>
        <row r="5474">
          <cell r="A5474">
            <v>39517</v>
          </cell>
          <cell r="B5474">
            <v>3023.25</v>
          </cell>
          <cell r="C5474">
            <v>3546.1</v>
          </cell>
          <cell r="D5474">
            <v>304.14999999999998</v>
          </cell>
          <cell r="E5474">
            <v>339.68</v>
          </cell>
          <cell r="F5474">
            <v>362.69</v>
          </cell>
          <cell r="G5474">
            <v>266.98</v>
          </cell>
          <cell r="H5474">
            <v>7084.42</v>
          </cell>
          <cell r="I5474">
            <v>438.34</v>
          </cell>
        </row>
        <row r="5475">
          <cell r="A5475">
            <v>39518</v>
          </cell>
          <cell r="B5475">
            <v>3059.29</v>
          </cell>
          <cell r="C5475">
            <v>3606.59</v>
          </cell>
          <cell r="D5475">
            <v>307.82</v>
          </cell>
          <cell r="E5475">
            <v>344.88</v>
          </cell>
          <cell r="F5475">
            <v>367.79</v>
          </cell>
          <cell r="G5475">
            <v>269.23</v>
          </cell>
          <cell r="H5475">
            <v>7161.78</v>
          </cell>
          <cell r="I5475">
            <v>441.1</v>
          </cell>
        </row>
        <row r="5476">
          <cell r="A5476">
            <v>39519</v>
          </cell>
          <cell r="B5476">
            <v>3097.49</v>
          </cell>
          <cell r="C5476">
            <v>3647.64</v>
          </cell>
          <cell r="D5476">
            <v>311.48</v>
          </cell>
          <cell r="E5476">
            <v>348.82</v>
          </cell>
          <cell r="F5476">
            <v>371.94</v>
          </cell>
          <cell r="G5476">
            <v>272.58999999999997</v>
          </cell>
          <cell r="H5476">
            <v>7247.88</v>
          </cell>
          <cell r="I5476">
            <v>446.68</v>
          </cell>
        </row>
        <row r="5477">
          <cell r="A5477">
            <v>39520</v>
          </cell>
          <cell r="B5477">
            <v>3055.81</v>
          </cell>
          <cell r="C5477">
            <v>3599.58</v>
          </cell>
          <cell r="D5477">
            <v>307.26</v>
          </cell>
          <cell r="E5477">
            <v>343.62</v>
          </cell>
          <cell r="F5477">
            <v>367.26</v>
          </cell>
          <cell r="G5477">
            <v>269.3</v>
          </cell>
          <cell r="H5477">
            <v>7150.72</v>
          </cell>
          <cell r="I5477">
            <v>440.13</v>
          </cell>
        </row>
        <row r="5478">
          <cell r="A5478">
            <v>39521</v>
          </cell>
          <cell r="B5478">
            <v>3017.31</v>
          </cell>
          <cell r="C5478">
            <v>3566.59</v>
          </cell>
          <cell r="D5478">
            <v>304.14999999999998</v>
          </cell>
          <cell r="E5478">
            <v>341.03</v>
          </cell>
          <cell r="F5478">
            <v>364.12</v>
          </cell>
          <cell r="G5478">
            <v>265.8</v>
          </cell>
          <cell r="H5478">
            <v>7049.48</v>
          </cell>
          <cell r="I5478">
            <v>434.84</v>
          </cell>
        </row>
        <row r="5479">
          <cell r="A5479">
            <v>39524</v>
          </cell>
          <cell r="B5479">
            <v>2873.33</v>
          </cell>
          <cell r="C5479">
            <v>3431.82</v>
          </cell>
          <cell r="D5479">
            <v>290.26</v>
          </cell>
          <cell r="E5479">
            <v>328.12</v>
          </cell>
          <cell r="F5479">
            <v>350.22</v>
          </cell>
          <cell r="G5479">
            <v>251.35</v>
          </cell>
          <cell r="H5479">
            <v>6781.09</v>
          </cell>
          <cell r="I5479">
            <v>417.19</v>
          </cell>
        </row>
        <row r="5480">
          <cell r="A5480">
            <v>39525</v>
          </cell>
          <cell r="B5480">
            <v>2986.74</v>
          </cell>
          <cell r="C5480">
            <v>3558.66</v>
          </cell>
          <cell r="D5480">
            <v>300.57</v>
          </cell>
          <cell r="E5480">
            <v>338.78</v>
          </cell>
          <cell r="F5480">
            <v>361.25</v>
          </cell>
          <cell r="G5480">
            <v>261.14</v>
          </cell>
          <cell r="H5480">
            <v>6978</v>
          </cell>
          <cell r="I5480">
            <v>430.2</v>
          </cell>
        </row>
        <row r="5481">
          <cell r="A5481">
            <v>39526</v>
          </cell>
          <cell r="B5481">
            <v>2951.15</v>
          </cell>
          <cell r="C5481">
            <v>3529.54</v>
          </cell>
          <cell r="D5481">
            <v>297.48</v>
          </cell>
          <cell r="E5481">
            <v>335.91</v>
          </cell>
          <cell r="F5481">
            <v>358.88</v>
          </cell>
          <cell r="G5481">
            <v>257.92</v>
          </cell>
          <cell r="H5481">
            <v>6876.11</v>
          </cell>
          <cell r="I5481">
            <v>422.7</v>
          </cell>
        </row>
        <row r="5482">
          <cell r="A5482">
            <v>39527</v>
          </cell>
          <cell r="B5482">
            <v>2941.32</v>
          </cell>
          <cell r="C5482">
            <v>3505.9</v>
          </cell>
          <cell r="D5482">
            <v>296.83</v>
          </cell>
          <cell r="E5482">
            <v>334.3</v>
          </cell>
          <cell r="F5482">
            <v>357.01</v>
          </cell>
          <cell r="G5482">
            <v>258.12</v>
          </cell>
          <cell r="H5482">
            <v>6784.42</v>
          </cell>
          <cell r="I5482">
            <v>416.29</v>
          </cell>
        </row>
        <row r="5483">
          <cell r="A5483">
            <v>39532</v>
          </cell>
          <cell r="B5483">
            <v>3036.15</v>
          </cell>
          <cell r="C5483">
            <v>3632.59</v>
          </cell>
          <cell r="D5483">
            <v>306.63</v>
          </cell>
          <cell r="E5483">
            <v>345.83</v>
          </cell>
          <cell r="F5483">
            <v>368.75</v>
          </cell>
          <cell r="G5483">
            <v>266.22000000000003</v>
          </cell>
          <cell r="H5483">
            <v>7073.33</v>
          </cell>
          <cell r="I5483">
            <v>434.83</v>
          </cell>
        </row>
        <row r="5484">
          <cell r="A5484">
            <v>39533</v>
          </cell>
          <cell r="B5484">
            <v>3010.18</v>
          </cell>
          <cell r="C5484">
            <v>3611.45</v>
          </cell>
          <cell r="D5484">
            <v>304.63</v>
          </cell>
          <cell r="E5484">
            <v>344.75</v>
          </cell>
          <cell r="F5484">
            <v>367.71</v>
          </cell>
          <cell r="G5484">
            <v>263.45999999999998</v>
          </cell>
          <cell r="H5484">
            <v>7076.24</v>
          </cell>
          <cell r="I5484">
            <v>435.56</v>
          </cell>
        </row>
        <row r="5485">
          <cell r="A5485">
            <v>39534</v>
          </cell>
          <cell r="B5485">
            <v>3047.62</v>
          </cell>
          <cell r="C5485">
            <v>3652.11</v>
          </cell>
          <cell r="D5485">
            <v>308.45999999999998</v>
          </cell>
          <cell r="E5485">
            <v>348.66</v>
          </cell>
          <cell r="F5485">
            <v>372.15</v>
          </cell>
          <cell r="G5485">
            <v>267.14</v>
          </cell>
          <cell r="H5485">
            <v>7179.78</v>
          </cell>
          <cell r="I5485">
            <v>441.4</v>
          </cell>
        </row>
        <row r="5486">
          <cell r="A5486">
            <v>39535</v>
          </cell>
          <cell r="B5486">
            <v>3029.86</v>
          </cell>
          <cell r="C5486">
            <v>3641.05</v>
          </cell>
          <cell r="D5486">
            <v>306.69</v>
          </cell>
          <cell r="E5486">
            <v>347.74</v>
          </cell>
          <cell r="F5486">
            <v>371.12</v>
          </cell>
          <cell r="G5486">
            <v>264.67</v>
          </cell>
          <cell r="H5486">
            <v>7187.38</v>
          </cell>
          <cell r="I5486">
            <v>442.26</v>
          </cell>
        </row>
        <row r="5487">
          <cell r="A5487">
            <v>39538</v>
          </cell>
          <cell r="B5487">
            <v>3017.98</v>
          </cell>
          <cell r="C5487">
            <v>3628.06</v>
          </cell>
          <cell r="D5487">
            <v>305.95999999999998</v>
          </cell>
          <cell r="E5487">
            <v>346.99</v>
          </cell>
          <cell r="F5487">
            <v>370.68</v>
          </cell>
          <cell r="G5487">
            <v>263.98</v>
          </cell>
          <cell r="H5487">
            <v>7186.9</v>
          </cell>
          <cell r="I5487">
            <v>442.88</v>
          </cell>
        </row>
        <row r="5488">
          <cell r="A5488">
            <v>39539</v>
          </cell>
          <cell r="B5488">
            <v>3128.95</v>
          </cell>
          <cell r="C5488">
            <v>3753.55</v>
          </cell>
          <cell r="D5488">
            <v>316.07</v>
          </cell>
          <cell r="E5488">
            <v>358.11</v>
          </cell>
          <cell r="F5488">
            <v>382.1</v>
          </cell>
          <cell r="G5488">
            <v>273.01</v>
          </cell>
          <cell r="H5488">
            <v>7409.5</v>
          </cell>
          <cell r="I5488">
            <v>457.6</v>
          </cell>
        </row>
        <row r="5489">
          <cell r="A5489">
            <v>39540</v>
          </cell>
          <cell r="B5489">
            <v>3176.71</v>
          </cell>
          <cell r="C5489">
            <v>3797.9</v>
          </cell>
          <cell r="D5489">
            <v>319.66000000000003</v>
          </cell>
          <cell r="E5489">
            <v>361.9</v>
          </cell>
          <cell r="F5489">
            <v>386.19</v>
          </cell>
          <cell r="G5489">
            <v>276.33</v>
          </cell>
          <cell r="H5489">
            <v>7499.34</v>
          </cell>
          <cell r="I5489">
            <v>461.74</v>
          </cell>
        </row>
        <row r="5490">
          <cell r="A5490">
            <v>39541</v>
          </cell>
          <cell r="B5490">
            <v>3165.02</v>
          </cell>
          <cell r="C5490">
            <v>3774.94</v>
          </cell>
          <cell r="D5490">
            <v>317.97000000000003</v>
          </cell>
          <cell r="E5490">
            <v>359.36</v>
          </cell>
          <cell r="F5490">
            <v>383.4</v>
          </cell>
          <cell r="G5490">
            <v>275.42</v>
          </cell>
          <cell r="H5490">
            <v>7438.85</v>
          </cell>
          <cell r="I5490">
            <v>458.15</v>
          </cell>
        </row>
        <row r="5491">
          <cell r="A5491">
            <v>39542</v>
          </cell>
          <cell r="B5491">
            <v>3180.23</v>
          </cell>
          <cell r="C5491">
            <v>3795.2</v>
          </cell>
          <cell r="D5491">
            <v>319.14999999999998</v>
          </cell>
          <cell r="E5491">
            <v>361.09</v>
          </cell>
          <cell r="F5491">
            <v>385.2</v>
          </cell>
          <cell r="G5491">
            <v>276.10000000000002</v>
          </cell>
          <cell r="H5491">
            <v>7387.84</v>
          </cell>
          <cell r="I5491">
            <v>456.65</v>
          </cell>
        </row>
        <row r="5492">
          <cell r="A5492">
            <v>39545</v>
          </cell>
          <cell r="B5492">
            <v>3209.09</v>
          </cell>
          <cell r="C5492">
            <v>3828.46</v>
          </cell>
          <cell r="D5492">
            <v>322.01</v>
          </cell>
          <cell r="E5492">
            <v>364.33</v>
          </cell>
          <cell r="F5492">
            <v>388.47</v>
          </cell>
          <cell r="G5492">
            <v>278.57</v>
          </cell>
          <cell r="H5492">
            <v>7529.11</v>
          </cell>
          <cell r="I5492">
            <v>464.73</v>
          </cell>
        </row>
        <row r="5493">
          <cell r="A5493">
            <v>39546</v>
          </cell>
          <cell r="B5493">
            <v>3186.22</v>
          </cell>
          <cell r="C5493">
            <v>3810.51</v>
          </cell>
          <cell r="D5493">
            <v>318.74</v>
          </cell>
          <cell r="E5493">
            <v>361.74</v>
          </cell>
          <cell r="F5493">
            <v>385.47</v>
          </cell>
          <cell r="G5493">
            <v>274.79000000000002</v>
          </cell>
          <cell r="H5493">
            <v>7463.77</v>
          </cell>
          <cell r="I5493">
            <v>459.91</v>
          </cell>
        </row>
        <row r="5494">
          <cell r="A5494">
            <v>39547</v>
          </cell>
          <cell r="B5494">
            <v>3166.77</v>
          </cell>
          <cell r="C5494">
            <v>3775.93</v>
          </cell>
          <cell r="D5494">
            <v>316.52999999999997</v>
          </cell>
          <cell r="E5494">
            <v>358.99</v>
          </cell>
          <cell r="F5494">
            <v>382.13</v>
          </cell>
          <cell r="G5494">
            <v>273.08</v>
          </cell>
          <cell r="H5494">
            <v>7393.28</v>
          </cell>
          <cell r="I5494">
            <v>456.76</v>
          </cell>
        </row>
        <row r="5495">
          <cell r="A5495">
            <v>39548</v>
          </cell>
          <cell r="B5495">
            <v>3154.45</v>
          </cell>
          <cell r="C5495">
            <v>3758.05</v>
          </cell>
          <cell r="D5495">
            <v>315.24</v>
          </cell>
          <cell r="E5495">
            <v>357.29</v>
          </cell>
          <cell r="F5495">
            <v>380.21</v>
          </cell>
          <cell r="G5495">
            <v>272.18</v>
          </cell>
          <cell r="H5495">
            <v>7338.41</v>
          </cell>
          <cell r="I5495">
            <v>453.81</v>
          </cell>
        </row>
        <row r="5496">
          <cell r="A5496">
            <v>39549</v>
          </cell>
          <cell r="B5496">
            <v>3102.29</v>
          </cell>
          <cell r="C5496">
            <v>3699.99</v>
          </cell>
          <cell r="D5496">
            <v>310.74</v>
          </cell>
          <cell r="E5496">
            <v>352.68</v>
          </cell>
          <cell r="F5496">
            <v>375.3</v>
          </cell>
          <cell r="G5496">
            <v>267.86</v>
          </cell>
          <cell r="H5496">
            <v>7240.28</v>
          </cell>
          <cell r="I5496">
            <v>447.51</v>
          </cell>
        </row>
        <row r="5497">
          <cell r="A5497">
            <v>39552</v>
          </cell>
          <cell r="B5497">
            <v>3074.6</v>
          </cell>
          <cell r="C5497">
            <v>3671.28</v>
          </cell>
          <cell r="D5497">
            <v>308.26</v>
          </cell>
          <cell r="E5497">
            <v>349.9</v>
          </cell>
          <cell r="F5497">
            <v>372.06</v>
          </cell>
          <cell r="G5497">
            <v>265.69</v>
          </cell>
          <cell r="H5497">
            <v>7178.25</v>
          </cell>
          <cell r="I5497">
            <v>443.58</v>
          </cell>
        </row>
        <row r="5498">
          <cell r="A5498">
            <v>39553</v>
          </cell>
          <cell r="B5498">
            <v>3089.46</v>
          </cell>
          <cell r="C5498">
            <v>3690.75</v>
          </cell>
          <cell r="D5498">
            <v>309.58</v>
          </cell>
          <cell r="E5498">
            <v>351.44</v>
          </cell>
          <cell r="F5498">
            <v>373.75</v>
          </cell>
          <cell r="G5498">
            <v>266.79000000000002</v>
          </cell>
          <cell r="H5498">
            <v>7220.73</v>
          </cell>
          <cell r="I5498">
            <v>445.72</v>
          </cell>
        </row>
        <row r="5499">
          <cell r="A5499">
            <v>39554</v>
          </cell>
          <cell r="B5499">
            <v>3142.78</v>
          </cell>
          <cell r="C5499">
            <v>3748.56</v>
          </cell>
          <cell r="D5499">
            <v>314.95</v>
          </cell>
          <cell r="E5499">
            <v>357.66</v>
          </cell>
          <cell r="F5499">
            <v>379.7</v>
          </cell>
          <cell r="G5499">
            <v>271.32</v>
          </cell>
          <cell r="H5499">
            <v>7383.87</v>
          </cell>
          <cell r="I5499">
            <v>456.02</v>
          </cell>
        </row>
        <row r="5500">
          <cell r="A5500">
            <v>39555</v>
          </cell>
          <cell r="B5500">
            <v>3116.58</v>
          </cell>
          <cell r="C5500">
            <v>3725.23</v>
          </cell>
          <cell r="D5500">
            <v>313.17</v>
          </cell>
          <cell r="E5500">
            <v>355.75</v>
          </cell>
          <cell r="F5500">
            <v>376.98</v>
          </cell>
          <cell r="G5500">
            <v>269.69</v>
          </cell>
          <cell r="H5500">
            <v>7188.53</v>
          </cell>
          <cell r="I5500">
            <v>440.89</v>
          </cell>
        </row>
        <row r="5501">
          <cell r="A5501">
            <v>39556</v>
          </cell>
          <cell r="B5501">
            <v>3198.43</v>
          </cell>
          <cell r="C5501">
            <v>3808.59</v>
          </cell>
          <cell r="D5501">
            <v>320.69</v>
          </cell>
          <cell r="E5501">
            <v>363.56</v>
          </cell>
          <cell r="F5501">
            <v>384.97</v>
          </cell>
          <cell r="G5501">
            <v>276.8</v>
          </cell>
          <cell r="H5501">
            <v>7255.95</v>
          </cell>
          <cell r="I5501">
            <v>445.67</v>
          </cell>
        </row>
        <row r="5502">
          <cell r="A5502">
            <v>39559</v>
          </cell>
          <cell r="B5502">
            <v>3165.53</v>
          </cell>
          <cell r="C5502">
            <v>3769.89</v>
          </cell>
          <cell r="D5502">
            <v>316.95999999999998</v>
          </cell>
          <cell r="E5502">
            <v>360.24</v>
          </cell>
          <cell r="F5502">
            <v>382.16</v>
          </cell>
          <cell r="G5502">
            <v>272.79000000000002</v>
          </cell>
          <cell r="H5502">
            <v>7238.3</v>
          </cell>
          <cell r="I5502">
            <v>444.87</v>
          </cell>
        </row>
        <row r="5503">
          <cell r="A5503">
            <v>39560</v>
          </cell>
          <cell r="B5503">
            <v>3148.61</v>
          </cell>
          <cell r="C5503">
            <v>3736.12</v>
          </cell>
          <cell r="D5503">
            <v>315.5</v>
          </cell>
          <cell r="E5503">
            <v>357.59</v>
          </cell>
          <cell r="F5503">
            <v>379.74</v>
          </cell>
          <cell r="G5503">
            <v>272.39999999999998</v>
          </cell>
          <cell r="H5503">
            <v>7220.9</v>
          </cell>
          <cell r="I5503">
            <v>444.67</v>
          </cell>
        </row>
        <row r="5504">
          <cell r="A5504">
            <v>39561</v>
          </cell>
          <cell r="B5504">
            <v>3163.87</v>
          </cell>
          <cell r="C5504">
            <v>3763.55</v>
          </cell>
          <cell r="D5504">
            <v>317.41000000000003</v>
          </cell>
          <cell r="E5504">
            <v>360.49</v>
          </cell>
          <cell r="F5504">
            <v>382.13</v>
          </cell>
          <cell r="G5504">
            <v>273.42</v>
          </cell>
          <cell r="H5504">
            <v>7284.55</v>
          </cell>
          <cell r="I5504">
            <v>448.42</v>
          </cell>
        </row>
        <row r="5505">
          <cell r="A5505">
            <v>39562</v>
          </cell>
          <cell r="B5505">
            <v>3166.29</v>
          </cell>
          <cell r="C5505">
            <v>3761.96</v>
          </cell>
          <cell r="D5505">
            <v>317.64999999999998</v>
          </cell>
          <cell r="E5505">
            <v>360.16</v>
          </cell>
          <cell r="F5505">
            <v>382.23</v>
          </cell>
          <cell r="G5505">
            <v>274.14</v>
          </cell>
          <cell r="H5505">
            <v>7237.15</v>
          </cell>
          <cell r="I5505">
            <v>444.59</v>
          </cell>
        </row>
        <row r="5506">
          <cell r="A5506">
            <v>39563</v>
          </cell>
          <cell r="B5506">
            <v>3210.45</v>
          </cell>
          <cell r="C5506">
            <v>3794.39</v>
          </cell>
          <cell r="D5506">
            <v>321.7</v>
          </cell>
          <cell r="E5506">
            <v>363.54</v>
          </cell>
          <cell r="F5506">
            <v>386.25</v>
          </cell>
          <cell r="G5506">
            <v>278.68</v>
          </cell>
          <cell r="H5506">
            <v>7428.21</v>
          </cell>
          <cell r="I5506">
            <v>454.38</v>
          </cell>
        </row>
        <row r="5507">
          <cell r="A5507">
            <v>39566</v>
          </cell>
          <cell r="B5507">
            <v>3229.19</v>
          </cell>
          <cell r="C5507">
            <v>3814.76</v>
          </cell>
          <cell r="D5507">
            <v>323.62</v>
          </cell>
          <cell r="E5507">
            <v>365.66</v>
          </cell>
          <cell r="F5507">
            <v>388.76</v>
          </cell>
          <cell r="G5507">
            <v>280.39</v>
          </cell>
          <cell r="H5507">
            <v>7468.6</v>
          </cell>
          <cell r="I5507">
            <v>458.52</v>
          </cell>
        </row>
        <row r="5508">
          <cell r="A5508">
            <v>39567</v>
          </cell>
          <cell r="B5508">
            <v>3213.04</v>
          </cell>
          <cell r="C5508">
            <v>3793.63</v>
          </cell>
          <cell r="D5508">
            <v>320.67</v>
          </cell>
          <cell r="E5508">
            <v>363.31</v>
          </cell>
          <cell r="F5508">
            <v>385.75</v>
          </cell>
          <cell r="G5508">
            <v>276.98</v>
          </cell>
          <cell r="H5508">
            <v>7360.62</v>
          </cell>
          <cell r="I5508">
            <v>451.99</v>
          </cell>
        </row>
        <row r="5509">
          <cell r="A5509">
            <v>39568</v>
          </cell>
          <cell r="B5509">
            <v>3237.2</v>
          </cell>
          <cell r="C5509">
            <v>3825.02</v>
          </cell>
          <cell r="D5509">
            <v>323.08999999999997</v>
          </cell>
          <cell r="E5509">
            <v>366.23</v>
          </cell>
          <cell r="F5509">
            <v>388.57</v>
          </cell>
          <cell r="G5509">
            <v>278.92</v>
          </cell>
          <cell r="H5509">
            <v>7424.02</v>
          </cell>
          <cell r="I5509">
            <v>457.57</v>
          </cell>
        </row>
        <row r="5510">
          <cell r="A5510">
            <v>39569</v>
          </cell>
          <cell r="B5510">
            <v>3240.61</v>
          </cell>
          <cell r="C5510">
            <v>3825.02</v>
          </cell>
          <cell r="D5510">
            <v>323.58999999999997</v>
          </cell>
          <cell r="E5510">
            <v>366.23</v>
          </cell>
          <cell r="F5510">
            <v>388.6</v>
          </cell>
          <cell r="G5510">
            <v>279.83999999999997</v>
          </cell>
          <cell r="H5510">
            <v>7416.02</v>
          </cell>
          <cell r="I5510">
            <v>457.15</v>
          </cell>
        </row>
        <row r="5511">
          <cell r="A5511">
            <v>39570</v>
          </cell>
          <cell r="B5511">
            <v>3294.28</v>
          </cell>
          <cell r="C5511">
            <v>3877.5</v>
          </cell>
          <cell r="D5511">
            <v>329.21</v>
          </cell>
          <cell r="E5511">
            <v>371.56</v>
          </cell>
          <cell r="F5511">
            <v>394.22</v>
          </cell>
          <cell r="G5511">
            <v>285.60000000000002</v>
          </cell>
          <cell r="H5511">
            <v>7550.29</v>
          </cell>
          <cell r="I5511">
            <v>464.15</v>
          </cell>
        </row>
        <row r="5512">
          <cell r="A5512">
            <v>39573</v>
          </cell>
          <cell r="B5512">
            <v>3281.34</v>
          </cell>
          <cell r="C5512">
            <v>3872.15</v>
          </cell>
          <cell r="D5512">
            <v>328.28</v>
          </cell>
          <cell r="E5512">
            <v>371.2</v>
          </cell>
          <cell r="F5512">
            <v>393.91</v>
          </cell>
          <cell r="G5512">
            <v>284.18</v>
          </cell>
          <cell r="H5512">
            <v>7553.73</v>
          </cell>
          <cell r="I5512">
            <v>464.22</v>
          </cell>
        </row>
        <row r="5513">
          <cell r="A5513">
            <v>39574</v>
          </cell>
          <cell r="B5513">
            <v>3262.2</v>
          </cell>
          <cell r="C5513">
            <v>3845.08</v>
          </cell>
          <cell r="D5513">
            <v>326.69</v>
          </cell>
          <cell r="E5513">
            <v>368.95</v>
          </cell>
          <cell r="F5513">
            <v>391.4</v>
          </cell>
          <cell r="G5513">
            <v>283.22000000000003</v>
          </cell>
          <cell r="H5513">
            <v>7550.31</v>
          </cell>
          <cell r="I5513">
            <v>463.33</v>
          </cell>
        </row>
        <row r="5514">
          <cell r="A5514">
            <v>39575</v>
          </cell>
          <cell r="B5514">
            <v>3286.5</v>
          </cell>
          <cell r="C5514">
            <v>3871.78</v>
          </cell>
          <cell r="D5514">
            <v>329.35</v>
          </cell>
          <cell r="E5514">
            <v>372</v>
          </cell>
          <cell r="F5514">
            <v>395.13</v>
          </cell>
          <cell r="G5514">
            <v>285.48</v>
          </cell>
          <cell r="H5514">
            <v>7655.07</v>
          </cell>
          <cell r="I5514">
            <v>471.52</v>
          </cell>
        </row>
        <row r="5515">
          <cell r="A5515">
            <v>39576</v>
          </cell>
          <cell r="B5515">
            <v>3275.63</v>
          </cell>
          <cell r="C5515">
            <v>3855.86</v>
          </cell>
          <cell r="D5515">
            <v>329.28</v>
          </cell>
          <cell r="E5515">
            <v>370.78</v>
          </cell>
          <cell r="F5515">
            <v>394.28</v>
          </cell>
          <cell r="G5515">
            <v>286.41000000000003</v>
          </cell>
          <cell r="H5515">
            <v>7675.18</v>
          </cell>
          <cell r="I5515">
            <v>472</v>
          </cell>
        </row>
        <row r="5516">
          <cell r="A5516">
            <v>39577</v>
          </cell>
          <cell r="B5516">
            <v>3228.33</v>
          </cell>
          <cell r="C5516">
            <v>3801.59</v>
          </cell>
          <cell r="D5516">
            <v>324.85000000000002</v>
          </cell>
          <cell r="E5516">
            <v>366.12</v>
          </cell>
          <cell r="F5516">
            <v>389.55</v>
          </cell>
          <cell r="G5516">
            <v>282.27999999999997</v>
          </cell>
          <cell r="H5516">
            <v>7578.72</v>
          </cell>
          <cell r="I5516">
            <v>465.54</v>
          </cell>
        </row>
        <row r="5517">
          <cell r="A5517">
            <v>39580</v>
          </cell>
          <cell r="B5517">
            <v>3239.33</v>
          </cell>
          <cell r="C5517">
            <v>3812.69</v>
          </cell>
          <cell r="D5517">
            <v>325.95</v>
          </cell>
          <cell r="E5517">
            <v>367.37</v>
          </cell>
          <cell r="F5517">
            <v>390.41</v>
          </cell>
          <cell r="G5517">
            <v>283.22000000000003</v>
          </cell>
          <cell r="H5517">
            <v>7608.21</v>
          </cell>
          <cell r="I5517">
            <v>467.2</v>
          </cell>
        </row>
        <row r="5518">
          <cell r="A5518">
            <v>39581</v>
          </cell>
          <cell r="B5518">
            <v>3239.02</v>
          </cell>
          <cell r="C5518">
            <v>3817.07</v>
          </cell>
          <cell r="D5518">
            <v>325.57</v>
          </cell>
          <cell r="E5518">
            <v>367.9</v>
          </cell>
          <cell r="F5518">
            <v>391.28</v>
          </cell>
          <cell r="G5518">
            <v>282.06</v>
          </cell>
          <cell r="H5518">
            <v>7626.96</v>
          </cell>
          <cell r="I5518">
            <v>467.37</v>
          </cell>
        </row>
        <row r="5519">
          <cell r="A5519">
            <v>39582</v>
          </cell>
          <cell r="B5519">
            <v>3257.9</v>
          </cell>
          <cell r="C5519">
            <v>3857.46</v>
          </cell>
          <cell r="D5519">
            <v>327.2</v>
          </cell>
          <cell r="E5519">
            <v>371.37</v>
          </cell>
          <cell r="F5519">
            <v>394.27</v>
          </cell>
          <cell r="G5519">
            <v>282.04000000000002</v>
          </cell>
          <cell r="H5519">
            <v>7652.93</v>
          </cell>
          <cell r="I5519">
            <v>470.56</v>
          </cell>
        </row>
        <row r="5520">
          <cell r="A5520">
            <v>39583</v>
          </cell>
          <cell r="B5520">
            <v>3271.5</v>
          </cell>
          <cell r="C5520">
            <v>3854.86</v>
          </cell>
          <cell r="D5520">
            <v>328.41</v>
          </cell>
          <cell r="E5520">
            <v>371.31</v>
          </cell>
          <cell r="F5520">
            <v>395.17</v>
          </cell>
          <cell r="G5520">
            <v>284.32</v>
          </cell>
          <cell r="H5520">
            <v>7712.29</v>
          </cell>
          <cell r="I5520">
            <v>472.65</v>
          </cell>
        </row>
        <row r="5521">
          <cell r="A5521">
            <v>39584</v>
          </cell>
          <cell r="B5521">
            <v>3280.49</v>
          </cell>
          <cell r="C5521">
            <v>3862.91</v>
          </cell>
          <cell r="D5521">
            <v>329.86</v>
          </cell>
          <cell r="E5521">
            <v>372.54</v>
          </cell>
          <cell r="F5521">
            <v>396.49</v>
          </cell>
          <cell r="G5521">
            <v>285.94</v>
          </cell>
          <cell r="H5521">
            <v>7784.91</v>
          </cell>
          <cell r="I5521">
            <v>478.03</v>
          </cell>
        </row>
        <row r="5522">
          <cell r="A5522">
            <v>39587</v>
          </cell>
          <cell r="B5522">
            <v>3305.37</v>
          </cell>
          <cell r="C5522">
            <v>3882.28</v>
          </cell>
          <cell r="D5522">
            <v>332.87</v>
          </cell>
          <cell r="E5522">
            <v>375.21</v>
          </cell>
          <cell r="F5522">
            <v>399.89</v>
          </cell>
          <cell r="G5522">
            <v>289.18</v>
          </cell>
          <cell r="H5522">
            <v>7918.05</v>
          </cell>
          <cell r="I5522">
            <v>486.63</v>
          </cell>
        </row>
        <row r="5523">
          <cell r="A5523">
            <v>39588</v>
          </cell>
          <cell r="B5523">
            <v>3241.76</v>
          </cell>
          <cell r="C5523">
            <v>3822.31</v>
          </cell>
          <cell r="D5523">
            <v>325.97000000000003</v>
          </cell>
          <cell r="E5523">
            <v>368.52</v>
          </cell>
          <cell r="F5523">
            <v>392.8</v>
          </cell>
          <cell r="G5523">
            <v>282.25</v>
          </cell>
          <cell r="H5523">
            <v>7755.58</v>
          </cell>
          <cell r="I5523">
            <v>475.26</v>
          </cell>
        </row>
        <row r="5524">
          <cell r="A5524">
            <v>39589</v>
          </cell>
          <cell r="B5524">
            <v>3216.66</v>
          </cell>
          <cell r="C5524">
            <v>3794.13</v>
          </cell>
          <cell r="D5524">
            <v>323.16000000000003</v>
          </cell>
          <cell r="E5524">
            <v>365.66</v>
          </cell>
          <cell r="F5524">
            <v>389.99</v>
          </cell>
          <cell r="G5524">
            <v>279.54000000000002</v>
          </cell>
          <cell r="H5524">
            <v>7684.48</v>
          </cell>
          <cell r="I5524">
            <v>472.38</v>
          </cell>
        </row>
        <row r="5525">
          <cell r="A5525">
            <v>39590</v>
          </cell>
          <cell r="B5525">
            <v>3229.27</v>
          </cell>
          <cell r="C5525">
            <v>3793.03</v>
          </cell>
          <cell r="D5525">
            <v>324.41000000000003</v>
          </cell>
          <cell r="E5525">
            <v>365.77</v>
          </cell>
          <cell r="F5525">
            <v>390.42</v>
          </cell>
          <cell r="G5525">
            <v>281.74</v>
          </cell>
          <cell r="H5525">
            <v>7760.44</v>
          </cell>
          <cell r="I5525">
            <v>475.41</v>
          </cell>
        </row>
        <row r="5526">
          <cell r="A5526">
            <v>39591</v>
          </cell>
          <cell r="B5526">
            <v>3169.43</v>
          </cell>
          <cell r="C5526">
            <v>3725.82</v>
          </cell>
          <cell r="D5526">
            <v>319.02</v>
          </cell>
          <cell r="E5526">
            <v>359.47</v>
          </cell>
          <cell r="F5526">
            <v>384.15</v>
          </cell>
          <cell r="G5526">
            <v>277.26</v>
          </cell>
          <cell r="H5526">
            <v>7649.62</v>
          </cell>
          <cell r="I5526">
            <v>467.83</v>
          </cell>
        </row>
        <row r="5527">
          <cell r="A5527">
            <v>39594</v>
          </cell>
          <cell r="B5527">
            <v>3162.16</v>
          </cell>
          <cell r="C5527">
            <v>3724.9</v>
          </cell>
          <cell r="D5527">
            <v>318.27</v>
          </cell>
          <cell r="E5527">
            <v>359.07</v>
          </cell>
          <cell r="F5527">
            <v>382.89</v>
          </cell>
          <cell r="G5527">
            <v>276.22000000000003</v>
          </cell>
          <cell r="H5527">
            <v>7600.79</v>
          </cell>
          <cell r="I5527">
            <v>464.83</v>
          </cell>
        </row>
        <row r="5528">
          <cell r="A5528">
            <v>39595</v>
          </cell>
          <cell r="B5528">
            <v>3146.1</v>
          </cell>
          <cell r="C5528">
            <v>3711.03</v>
          </cell>
          <cell r="D5528">
            <v>317.19</v>
          </cell>
          <cell r="E5528">
            <v>357.82</v>
          </cell>
          <cell r="F5528">
            <v>381.92</v>
          </cell>
          <cell r="G5528">
            <v>275.31</v>
          </cell>
          <cell r="H5528">
            <v>7551.51</v>
          </cell>
          <cell r="I5528">
            <v>461.76</v>
          </cell>
        </row>
        <row r="5529">
          <cell r="A5529">
            <v>39596</v>
          </cell>
          <cell r="B5529">
            <v>3169.69</v>
          </cell>
          <cell r="C5529">
            <v>3743.18</v>
          </cell>
          <cell r="D5529">
            <v>320.14999999999998</v>
          </cell>
          <cell r="E5529">
            <v>361.31</v>
          </cell>
          <cell r="F5529">
            <v>385.17</v>
          </cell>
          <cell r="G5529">
            <v>277.75</v>
          </cell>
          <cell r="H5529">
            <v>7592.86</v>
          </cell>
          <cell r="I5529">
            <v>464.64</v>
          </cell>
        </row>
        <row r="5530">
          <cell r="A5530">
            <v>39597</v>
          </cell>
          <cell r="B5530">
            <v>3178.92</v>
          </cell>
          <cell r="C5530">
            <v>3752.24</v>
          </cell>
          <cell r="D5530">
            <v>320.91000000000003</v>
          </cell>
          <cell r="E5530">
            <v>361.84</v>
          </cell>
          <cell r="F5530">
            <v>385.95</v>
          </cell>
          <cell r="G5530">
            <v>278.69</v>
          </cell>
          <cell r="H5530">
            <v>7593.62</v>
          </cell>
          <cell r="I5530">
            <v>464.3</v>
          </cell>
        </row>
        <row r="5531">
          <cell r="A5531">
            <v>39598</v>
          </cell>
          <cell r="B5531">
            <v>3182.53</v>
          </cell>
          <cell r="C5531">
            <v>3777.85</v>
          </cell>
          <cell r="D5531">
            <v>322.12</v>
          </cell>
          <cell r="E5531">
            <v>364.68</v>
          </cell>
          <cell r="F5531">
            <v>388.45</v>
          </cell>
          <cell r="G5531">
            <v>278.47000000000003</v>
          </cell>
          <cell r="H5531">
            <v>7663.35</v>
          </cell>
          <cell r="I5531">
            <v>468.64</v>
          </cell>
        </row>
        <row r="5532">
          <cell r="A5532">
            <v>39601</v>
          </cell>
          <cell r="B5532">
            <v>3151.47</v>
          </cell>
          <cell r="C5532">
            <v>3720.5</v>
          </cell>
          <cell r="D5532">
            <v>318.44</v>
          </cell>
          <cell r="E5532">
            <v>359.53</v>
          </cell>
          <cell r="F5532">
            <v>384.42</v>
          </cell>
          <cell r="G5532">
            <v>276.14</v>
          </cell>
          <cell r="H5532">
            <v>7568.48</v>
          </cell>
          <cell r="I5532">
            <v>462.7</v>
          </cell>
        </row>
        <row r="5533">
          <cell r="A5533">
            <v>39602</v>
          </cell>
          <cell r="B5533">
            <v>3173.35</v>
          </cell>
          <cell r="C5533">
            <v>3737.34</v>
          </cell>
          <cell r="D5533">
            <v>321.05</v>
          </cell>
          <cell r="E5533">
            <v>361.37</v>
          </cell>
          <cell r="F5533">
            <v>386.53</v>
          </cell>
          <cell r="G5533">
            <v>279.35000000000002</v>
          </cell>
          <cell r="H5533">
            <v>7606.07</v>
          </cell>
          <cell r="I5533">
            <v>465.9</v>
          </cell>
        </row>
        <row r="5534">
          <cell r="A5534">
            <v>39603</v>
          </cell>
          <cell r="B5534">
            <v>3123.17</v>
          </cell>
          <cell r="C5534">
            <v>3699.05</v>
          </cell>
          <cell r="D5534">
            <v>317.07</v>
          </cell>
          <cell r="E5534">
            <v>357.86</v>
          </cell>
          <cell r="F5534">
            <v>382.76</v>
          </cell>
          <cell r="G5534">
            <v>275.05</v>
          </cell>
          <cell r="H5534">
            <v>7473.81</v>
          </cell>
          <cell r="I5534">
            <v>458.58</v>
          </cell>
        </row>
        <row r="5535">
          <cell r="A5535">
            <v>39604</v>
          </cell>
          <cell r="B5535">
            <v>3119.39</v>
          </cell>
          <cell r="C5535">
            <v>3682.83</v>
          </cell>
          <cell r="D5535">
            <v>316.61</v>
          </cell>
          <cell r="E5535">
            <v>357.26</v>
          </cell>
          <cell r="F5535">
            <v>382.21</v>
          </cell>
          <cell r="G5535">
            <v>274.73</v>
          </cell>
          <cell r="H5535">
            <v>7432.4</v>
          </cell>
          <cell r="I5535">
            <v>455.01</v>
          </cell>
        </row>
        <row r="5536">
          <cell r="A5536">
            <v>39605</v>
          </cell>
          <cell r="B5536">
            <v>3049.72</v>
          </cell>
          <cell r="C5536">
            <v>3596.7</v>
          </cell>
          <cell r="D5536">
            <v>310.29000000000002</v>
          </cell>
          <cell r="E5536">
            <v>349.23</v>
          </cell>
          <cell r="F5536">
            <v>374.67</v>
          </cell>
          <cell r="G5536">
            <v>270.02</v>
          </cell>
          <cell r="H5536">
            <v>7417.13</v>
          </cell>
          <cell r="I5536">
            <v>452.86</v>
          </cell>
        </row>
        <row r="5537">
          <cell r="A5537">
            <v>39608</v>
          </cell>
          <cell r="B5537">
            <v>3041.11</v>
          </cell>
          <cell r="C5537">
            <v>3597.34</v>
          </cell>
          <cell r="D5537">
            <v>308.70999999999998</v>
          </cell>
          <cell r="E5537">
            <v>347.75</v>
          </cell>
          <cell r="F5537">
            <v>372.33</v>
          </cell>
          <cell r="G5537">
            <v>268.38</v>
          </cell>
          <cell r="H5537">
            <v>7295.32</v>
          </cell>
          <cell r="I5537">
            <v>446.22</v>
          </cell>
        </row>
        <row r="5538">
          <cell r="A5538">
            <v>39609</v>
          </cell>
          <cell r="B5538">
            <v>3024.84</v>
          </cell>
          <cell r="C5538">
            <v>3574.7</v>
          </cell>
          <cell r="D5538">
            <v>306.61</v>
          </cell>
          <cell r="E5538">
            <v>345.14</v>
          </cell>
          <cell r="F5538">
            <v>369.46</v>
          </cell>
          <cell r="G5538">
            <v>266.77</v>
          </cell>
          <cell r="H5538">
            <v>7233.53</v>
          </cell>
          <cell r="I5538">
            <v>441.44</v>
          </cell>
        </row>
        <row r="5539">
          <cell r="A5539">
            <v>39610</v>
          </cell>
          <cell r="B5539">
            <v>2970.4</v>
          </cell>
          <cell r="C5539">
            <v>3509.39</v>
          </cell>
          <cell r="D5539">
            <v>301.37</v>
          </cell>
          <cell r="E5539">
            <v>339.03</v>
          </cell>
          <cell r="F5539">
            <v>363.22</v>
          </cell>
          <cell r="G5539">
            <v>262.39</v>
          </cell>
          <cell r="H5539">
            <v>7133.49</v>
          </cell>
          <cell r="I5539">
            <v>434.53</v>
          </cell>
        </row>
        <row r="5540">
          <cell r="A5540">
            <v>39611</v>
          </cell>
          <cell r="B5540">
            <v>2999.82</v>
          </cell>
          <cell r="C5540">
            <v>3542.59</v>
          </cell>
          <cell r="D5540">
            <v>304.10000000000002</v>
          </cell>
          <cell r="E5540">
            <v>341.89</v>
          </cell>
          <cell r="F5540">
            <v>366.07</v>
          </cell>
          <cell r="G5540">
            <v>264.94</v>
          </cell>
          <cell r="H5540">
            <v>7177.42</v>
          </cell>
          <cell r="I5540">
            <v>437.06</v>
          </cell>
        </row>
        <row r="5541">
          <cell r="A5541">
            <v>39612</v>
          </cell>
          <cell r="B5541">
            <v>3022.18</v>
          </cell>
          <cell r="C5541">
            <v>3562.67</v>
          </cell>
          <cell r="D5541">
            <v>305.7</v>
          </cell>
          <cell r="E5541">
            <v>343.33</v>
          </cell>
          <cell r="F5541">
            <v>367.56</v>
          </cell>
          <cell r="G5541">
            <v>266.66000000000003</v>
          </cell>
          <cell r="H5541">
            <v>7208.28</v>
          </cell>
          <cell r="I5541">
            <v>439.21</v>
          </cell>
        </row>
        <row r="5542">
          <cell r="A5542">
            <v>39615</v>
          </cell>
          <cell r="B5542">
            <v>3009.36</v>
          </cell>
          <cell r="C5542">
            <v>3532.83</v>
          </cell>
          <cell r="D5542">
            <v>304.89999999999998</v>
          </cell>
          <cell r="E5542">
            <v>341.5</v>
          </cell>
          <cell r="F5542">
            <v>366.15</v>
          </cell>
          <cell r="G5542">
            <v>266.76</v>
          </cell>
          <cell r="H5542">
            <v>7232.25</v>
          </cell>
          <cell r="I5542">
            <v>441.16</v>
          </cell>
        </row>
        <row r="5543">
          <cell r="A5543">
            <v>39616</v>
          </cell>
          <cell r="B5543">
            <v>3026.19</v>
          </cell>
          <cell r="C5543">
            <v>3555.58</v>
          </cell>
          <cell r="D5543">
            <v>306.33999999999997</v>
          </cell>
          <cell r="E5543">
            <v>343.55</v>
          </cell>
          <cell r="F5543">
            <v>368.15</v>
          </cell>
          <cell r="G5543">
            <v>267.64</v>
          </cell>
          <cell r="H5543">
            <v>7298.47</v>
          </cell>
          <cell r="I5543">
            <v>445</v>
          </cell>
        </row>
        <row r="5544">
          <cell r="A5544">
            <v>39617</v>
          </cell>
          <cell r="B5544">
            <v>2989.48</v>
          </cell>
          <cell r="C5544">
            <v>3507.97</v>
          </cell>
          <cell r="D5544">
            <v>301.74</v>
          </cell>
          <cell r="E5544">
            <v>338.17</v>
          </cell>
          <cell r="F5544">
            <v>362.75</v>
          </cell>
          <cell r="G5544">
            <v>263.81</v>
          </cell>
          <cell r="H5544">
            <v>7178.23</v>
          </cell>
          <cell r="I5544">
            <v>436.65</v>
          </cell>
        </row>
        <row r="5545">
          <cell r="A5545">
            <v>39618</v>
          </cell>
          <cell r="B5545">
            <v>2976.35</v>
          </cell>
          <cell r="C5545">
            <v>3486.71</v>
          </cell>
          <cell r="D5545">
            <v>300.24</v>
          </cell>
          <cell r="E5545">
            <v>335.85</v>
          </cell>
          <cell r="F5545">
            <v>360.23</v>
          </cell>
          <cell r="G5545">
            <v>263.06</v>
          </cell>
          <cell r="H5545">
            <v>7103.81</v>
          </cell>
          <cell r="I5545">
            <v>432.22</v>
          </cell>
        </row>
        <row r="5546">
          <cell r="A5546">
            <v>39619</v>
          </cell>
          <cell r="B5546">
            <v>2923.37</v>
          </cell>
          <cell r="C5546">
            <v>3426.58</v>
          </cell>
          <cell r="D5546">
            <v>295.08</v>
          </cell>
          <cell r="E5546">
            <v>330.2</v>
          </cell>
          <cell r="F5546">
            <v>354.75</v>
          </cell>
          <cell r="G5546">
            <v>258.43</v>
          </cell>
          <cell r="H5546">
            <v>7057.09</v>
          </cell>
          <cell r="I5546">
            <v>429.45</v>
          </cell>
        </row>
        <row r="5547">
          <cell r="A5547">
            <v>39622</v>
          </cell>
          <cell r="B5547">
            <v>2931</v>
          </cell>
          <cell r="C5547">
            <v>3427.33</v>
          </cell>
          <cell r="D5547">
            <v>294.81</v>
          </cell>
          <cell r="E5547">
            <v>329.18</v>
          </cell>
          <cell r="F5547">
            <v>352.95</v>
          </cell>
          <cell r="G5547">
            <v>258.81</v>
          </cell>
          <cell r="H5547">
            <v>6940.36</v>
          </cell>
          <cell r="I5547">
            <v>422.75</v>
          </cell>
        </row>
        <row r="5548">
          <cell r="A5548">
            <v>39623</v>
          </cell>
          <cell r="B5548">
            <v>2926.48</v>
          </cell>
          <cell r="C5548">
            <v>3404.52</v>
          </cell>
          <cell r="D5548">
            <v>292.54000000000002</v>
          </cell>
          <cell r="E5548">
            <v>326.3</v>
          </cell>
          <cell r="F5548">
            <v>350.19</v>
          </cell>
          <cell r="G5548">
            <v>257.11</v>
          </cell>
          <cell r="H5548">
            <v>6866.09</v>
          </cell>
          <cell r="I5548">
            <v>417.93</v>
          </cell>
        </row>
        <row r="5549">
          <cell r="A5549">
            <v>39624</v>
          </cell>
          <cell r="B5549">
            <v>2958.27</v>
          </cell>
          <cell r="C5549">
            <v>3460.4</v>
          </cell>
          <cell r="D5549">
            <v>296.10000000000002</v>
          </cell>
          <cell r="E5549">
            <v>331.62</v>
          </cell>
          <cell r="F5549">
            <v>355.25</v>
          </cell>
          <cell r="G5549">
            <v>259.08</v>
          </cell>
          <cell r="H5549">
            <v>6990.24</v>
          </cell>
          <cell r="I5549">
            <v>426.45</v>
          </cell>
        </row>
        <row r="5550">
          <cell r="A5550">
            <v>39625</v>
          </cell>
          <cell r="B5550">
            <v>2888.88</v>
          </cell>
          <cell r="C5550">
            <v>3366.35</v>
          </cell>
          <cell r="D5550">
            <v>288.48</v>
          </cell>
          <cell r="E5550">
            <v>322.79000000000002</v>
          </cell>
          <cell r="F5550">
            <v>346.44</v>
          </cell>
          <cell r="G5550">
            <v>252.67</v>
          </cell>
          <cell r="H5550">
            <v>6812.48</v>
          </cell>
          <cell r="I5550">
            <v>415.1</v>
          </cell>
        </row>
        <row r="5551">
          <cell r="A5551">
            <v>39626</v>
          </cell>
          <cell r="B5551">
            <v>2876.06</v>
          </cell>
          <cell r="C5551">
            <v>3340.27</v>
          </cell>
          <cell r="D5551">
            <v>287.33999999999997</v>
          </cell>
          <cell r="E5551">
            <v>320.79000000000002</v>
          </cell>
          <cell r="F5551">
            <v>343.99</v>
          </cell>
          <cell r="G5551">
            <v>252.29</v>
          </cell>
          <cell r="H5551">
            <v>6667.25</v>
          </cell>
          <cell r="I5551">
            <v>408.45</v>
          </cell>
        </row>
        <row r="5552">
          <cell r="A5552">
            <v>39629</v>
          </cell>
          <cell r="B5552">
            <v>2906.42</v>
          </cell>
          <cell r="C5552">
            <v>3352.81</v>
          </cell>
          <cell r="D5552">
            <v>289.39</v>
          </cell>
          <cell r="E5552">
            <v>321.61</v>
          </cell>
          <cell r="F5552">
            <v>345.21</v>
          </cell>
          <cell r="G5552">
            <v>255.35</v>
          </cell>
          <cell r="H5552">
            <v>6662.67</v>
          </cell>
          <cell r="I5552">
            <v>407.65</v>
          </cell>
        </row>
        <row r="5553">
          <cell r="A5553">
            <v>39630</v>
          </cell>
          <cell r="B5553">
            <v>2850.49</v>
          </cell>
          <cell r="C5553">
            <v>3292.86</v>
          </cell>
          <cell r="D5553">
            <v>283</v>
          </cell>
          <cell r="E5553">
            <v>314.8</v>
          </cell>
          <cell r="F5553">
            <v>338.17</v>
          </cell>
          <cell r="G5553">
            <v>249.46</v>
          </cell>
          <cell r="H5553">
            <v>6574.64</v>
          </cell>
          <cell r="I5553">
            <v>400.11</v>
          </cell>
        </row>
        <row r="5554">
          <cell r="A5554">
            <v>39631</v>
          </cell>
          <cell r="B5554">
            <v>2840.56</v>
          </cell>
          <cell r="C5554">
            <v>3288.52</v>
          </cell>
          <cell r="D5554">
            <v>280.69</v>
          </cell>
          <cell r="E5554">
            <v>313.33999999999997</v>
          </cell>
          <cell r="F5554">
            <v>336.85</v>
          </cell>
          <cell r="G5554">
            <v>246.48</v>
          </cell>
          <cell r="H5554">
            <v>6589.57</v>
          </cell>
          <cell r="I5554">
            <v>400.34</v>
          </cell>
        </row>
        <row r="5555">
          <cell r="A5555">
            <v>39632</v>
          </cell>
          <cell r="B5555">
            <v>2873.68</v>
          </cell>
          <cell r="C5555">
            <v>3330.9</v>
          </cell>
          <cell r="D5555">
            <v>283.08</v>
          </cell>
          <cell r="E5555">
            <v>316.14</v>
          </cell>
          <cell r="F5555">
            <v>338.82</v>
          </cell>
          <cell r="G5555">
            <v>248.46</v>
          </cell>
          <cell r="H5555">
            <v>6578.41</v>
          </cell>
          <cell r="I5555">
            <v>399.18</v>
          </cell>
        </row>
        <row r="5556">
          <cell r="A5556">
            <v>39633</v>
          </cell>
          <cell r="B5556">
            <v>2837.58</v>
          </cell>
          <cell r="C5556">
            <v>3275.2</v>
          </cell>
          <cell r="D5556">
            <v>279.52999999999997</v>
          </cell>
          <cell r="E5556">
            <v>311.18</v>
          </cell>
          <cell r="F5556">
            <v>334.32</v>
          </cell>
          <cell r="G5556">
            <v>246.19</v>
          </cell>
          <cell r="H5556">
            <v>6531.21</v>
          </cell>
          <cell r="I5556">
            <v>396.52</v>
          </cell>
        </row>
        <row r="5557">
          <cell r="A5557">
            <v>39636</v>
          </cell>
          <cell r="B5557">
            <v>2869</v>
          </cell>
          <cell r="C5557">
            <v>3332.66</v>
          </cell>
          <cell r="D5557">
            <v>283.17</v>
          </cell>
          <cell r="E5557">
            <v>316.19</v>
          </cell>
          <cell r="F5557">
            <v>338.8</v>
          </cell>
          <cell r="G5557">
            <v>248.58</v>
          </cell>
          <cell r="H5557">
            <v>6615.51</v>
          </cell>
          <cell r="I5557">
            <v>401.99</v>
          </cell>
        </row>
        <row r="5558">
          <cell r="A5558">
            <v>39637</v>
          </cell>
          <cell r="B5558">
            <v>2837.82</v>
          </cell>
          <cell r="C5558">
            <v>3287.6</v>
          </cell>
          <cell r="D5558">
            <v>278.97000000000003</v>
          </cell>
          <cell r="E5558">
            <v>310.95999999999998</v>
          </cell>
          <cell r="F5558">
            <v>333.43</v>
          </cell>
          <cell r="G5558">
            <v>245.36</v>
          </cell>
          <cell r="H5558">
            <v>6453.07</v>
          </cell>
          <cell r="I5558">
            <v>391.68</v>
          </cell>
        </row>
        <row r="5559">
          <cell r="A5559">
            <v>39638</v>
          </cell>
          <cell r="B5559">
            <v>2885.71</v>
          </cell>
          <cell r="C5559">
            <v>3342.48</v>
          </cell>
          <cell r="D5559">
            <v>283.89999999999998</v>
          </cell>
          <cell r="E5559">
            <v>316.47000000000003</v>
          </cell>
          <cell r="F5559">
            <v>339.26</v>
          </cell>
          <cell r="G5559">
            <v>249.68</v>
          </cell>
          <cell r="H5559">
            <v>6582.46</v>
          </cell>
          <cell r="I5559">
            <v>400.14</v>
          </cell>
        </row>
        <row r="5560">
          <cell r="A5560">
            <v>39639</v>
          </cell>
          <cell r="B5560">
            <v>2833.72</v>
          </cell>
          <cell r="C5560">
            <v>3283.01</v>
          </cell>
          <cell r="D5560">
            <v>277.95</v>
          </cell>
          <cell r="E5560">
            <v>310.38</v>
          </cell>
          <cell r="F5560">
            <v>332.91</v>
          </cell>
          <cell r="G5560">
            <v>243.99</v>
          </cell>
          <cell r="H5560">
            <v>6494.03</v>
          </cell>
          <cell r="I5560">
            <v>394.4</v>
          </cell>
        </row>
        <row r="5561">
          <cell r="A5561">
            <v>39640</v>
          </cell>
          <cell r="B5561">
            <v>2756.09</v>
          </cell>
          <cell r="C5561">
            <v>3197.78</v>
          </cell>
          <cell r="D5561">
            <v>270.36</v>
          </cell>
          <cell r="E5561">
            <v>301.77</v>
          </cell>
          <cell r="F5561">
            <v>324.24</v>
          </cell>
          <cell r="G5561">
            <v>237.44</v>
          </cell>
          <cell r="H5561">
            <v>6382.13</v>
          </cell>
          <cell r="I5561">
            <v>387.92</v>
          </cell>
        </row>
        <row r="5562">
          <cell r="A5562">
            <v>39643</v>
          </cell>
          <cell r="B5562">
            <v>2770.39</v>
          </cell>
          <cell r="C5562">
            <v>3216.24</v>
          </cell>
          <cell r="D5562">
            <v>272.47000000000003</v>
          </cell>
          <cell r="E5562">
            <v>303.95</v>
          </cell>
          <cell r="F5562">
            <v>326.27999999999997</v>
          </cell>
          <cell r="G5562">
            <v>239.44</v>
          </cell>
          <cell r="H5562">
            <v>6375.45</v>
          </cell>
          <cell r="I5562">
            <v>387.76</v>
          </cell>
        </row>
        <row r="5563">
          <cell r="A5563">
            <v>39644</v>
          </cell>
          <cell r="B5563">
            <v>2710.85</v>
          </cell>
          <cell r="C5563">
            <v>3142.73</v>
          </cell>
          <cell r="D5563">
            <v>266.51</v>
          </cell>
          <cell r="E5563">
            <v>296.60000000000002</v>
          </cell>
          <cell r="F5563">
            <v>319.2</v>
          </cell>
          <cell r="G5563">
            <v>234.8</v>
          </cell>
          <cell r="H5563">
            <v>6257.58</v>
          </cell>
          <cell r="I5563">
            <v>379.07</v>
          </cell>
        </row>
        <row r="5564">
          <cell r="A5564">
            <v>39644</v>
          </cell>
          <cell r="B5564">
            <v>2710.85</v>
          </cell>
          <cell r="C5564">
            <v>3142.73</v>
          </cell>
          <cell r="D5564">
            <v>266.51</v>
          </cell>
          <cell r="E5564">
            <v>296.60000000000002</v>
          </cell>
          <cell r="F5564">
            <v>319.2</v>
          </cell>
          <cell r="G5564">
            <v>234.8</v>
          </cell>
          <cell r="H5564">
            <v>6257.58</v>
          </cell>
          <cell r="I5564">
            <v>379.07</v>
          </cell>
        </row>
        <row r="5565">
          <cell r="A5565">
            <v>39645</v>
          </cell>
          <cell r="B5565">
            <v>2715.62</v>
          </cell>
          <cell r="C5565">
            <v>3174.76</v>
          </cell>
          <cell r="D5565">
            <v>268.5</v>
          </cell>
          <cell r="E5565">
            <v>300.07</v>
          </cell>
          <cell r="F5565">
            <v>322.07</v>
          </cell>
          <cell r="G5565">
            <v>235.48</v>
          </cell>
          <cell r="H5565">
            <v>6292.73</v>
          </cell>
          <cell r="I5565">
            <v>380.49</v>
          </cell>
        </row>
        <row r="5566">
          <cell r="A5566">
            <v>39646</v>
          </cell>
          <cell r="B5566">
            <v>2787.49</v>
          </cell>
          <cell r="C5566">
            <v>3256.09</v>
          </cell>
          <cell r="D5566">
            <v>276.27</v>
          </cell>
          <cell r="E5566">
            <v>308.60000000000002</v>
          </cell>
          <cell r="F5566">
            <v>331.24</v>
          </cell>
          <cell r="G5566">
            <v>242.42</v>
          </cell>
          <cell r="H5566">
            <v>6547.36</v>
          </cell>
          <cell r="I5566">
            <v>397.07</v>
          </cell>
        </row>
        <row r="5567">
          <cell r="A5567">
            <v>39647</v>
          </cell>
          <cell r="B5567">
            <v>2836.17</v>
          </cell>
          <cell r="C5567">
            <v>3321.53</v>
          </cell>
          <cell r="D5567">
            <v>280.69</v>
          </cell>
          <cell r="E5567">
            <v>314.10000000000002</v>
          </cell>
          <cell r="F5567">
            <v>336.56</v>
          </cell>
          <cell r="G5567">
            <v>245.83</v>
          </cell>
          <cell r="H5567">
            <v>6656.42</v>
          </cell>
          <cell r="I5567">
            <v>402.24</v>
          </cell>
        </row>
        <row r="5568">
          <cell r="A5568">
            <v>39650</v>
          </cell>
          <cell r="B5568">
            <v>2850.94</v>
          </cell>
          <cell r="C5568">
            <v>3333.92</v>
          </cell>
          <cell r="D5568">
            <v>282.36</v>
          </cell>
          <cell r="E5568">
            <v>316.08999999999997</v>
          </cell>
          <cell r="F5568">
            <v>338.8</v>
          </cell>
          <cell r="G5568">
            <v>247.19</v>
          </cell>
          <cell r="H5568">
            <v>6720.96</v>
          </cell>
          <cell r="I5568">
            <v>406.62</v>
          </cell>
        </row>
        <row r="5569">
          <cell r="A5569">
            <v>39651</v>
          </cell>
          <cell r="B5569">
            <v>2831.33</v>
          </cell>
          <cell r="C5569">
            <v>3326.24</v>
          </cell>
          <cell r="D5569">
            <v>280.89999999999998</v>
          </cell>
          <cell r="E5569">
            <v>314.58999999999997</v>
          </cell>
          <cell r="F5569">
            <v>337.3</v>
          </cell>
          <cell r="G5569">
            <v>245.79</v>
          </cell>
          <cell r="H5569">
            <v>6569.75</v>
          </cell>
          <cell r="I5569">
            <v>398.26</v>
          </cell>
        </row>
        <row r="5570">
          <cell r="A5570">
            <v>39652</v>
          </cell>
          <cell r="B5570">
            <v>2890.68</v>
          </cell>
          <cell r="C5570">
            <v>3387.5</v>
          </cell>
          <cell r="D5570">
            <v>286.77</v>
          </cell>
          <cell r="E5570">
            <v>320.69</v>
          </cell>
          <cell r="F5570">
            <v>343.39</v>
          </cell>
          <cell r="G5570">
            <v>251.33</v>
          </cell>
          <cell r="H5570">
            <v>6625.52</v>
          </cell>
          <cell r="I5570">
            <v>401.6</v>
          </cell>
        </row>
        <row r="5571">
          <cell r="A5571">
            <v>39653</v>
          </cell>
          <cell r="B5571">
            <v>2859.88</v>
          </cell>
          <cell r="C5571">
            <v>3354.58</v>
          </cell>
          <cell r="D5571">
            <v>282.20999999999998</v>
          </cell>
          <cell r="E5571">
            <v>315.92</v>
          </cell>
          <cell r="F5571">
            <v>338.83</v>
          </cell>
          <cell r="G5571">
            <v>247.06</v>
          </cell>
          <cell r="H5571">
            <v>6530.08</v>
          </cell>
          <cell r="I5571">
            <v>394.07</v>
          </cell>
        </row>
        <row r="5572">
          <cell r="A5572">
            <v>39654</v>
          </cell>
          <cell r="B5572">
            <v>2857.21</v>
          </cell>
          <cell r="C5572">
            <v>3351.13</v>
          </cell>
          <cell r="D5572">
            <v>281.76</v>
          </cell>
          <cell r="E5572">
            <v>315.60000000000002</v>
          </cell>
          <cell r="F5572">
            <v>338.1</v>
          </cell>
          <cell r="G5572">
            <v>246.5</v>
          </cell>
          <cell r="H5572">
            <v>6546.88</v>
          </cell>
          <cell r="I5572">
            <v>394.33</v>
          </cell>
        </row>
        <row r="5573">
          <cell r="A5573">
            <v>39657</v>
          </cell>
          <cell r="B5573">
            <v>2826.94</v>
          </cell>
          <cell r="C5573">
            <v>3313.41</v>
          </cell>
          <cell r="D5573">
            <v>278.73</v>
          </cell>
          <cell r="E5573">
            <v>311.57</v>
          </cell>
          <cell r="F5573">
            <v>334.56</v>
          </cell>
          <cell r="G5573">
            <v>244.4</v>
          </cell>
          <cell r="H5573">
            <v>6515.48</v>
          </cell>
          <cell r="I5573">
            <v>392.8</v>
          </cell>
        </row>
        <row r="5574">
          <cell r="A5574">
            <v>39658</v>
          </cell>
          <cell r="B5574">
            <v>2840.1</v>
          </cell>
          <cell r="C5574">
            <v>3324.86</v>
          </cell>
          <cell r="D5574">
            <v>279.64</v>
          </cell>
          <cell r="E5574">
            <v>312.26</v>
          </cell>
          <cell r="F5574">
            <v>335.29</v>
          </cell>
          <cell r="G5574">
            <v>245.48</v>
          </cell>
          <cell r="H5574">
            <v>6517.41</v>
          </cell>
          <cell r="I5574">
            <v>392.79</v>
          </cell>
        </row>
        <row r="5575">
          <cell r="A5575">
            <v>39659</v>
          </cell>
          <cell r="B5575">
            <v>2882.47</v>
          </cell>
          <cell r="C5575">
            <v>3367.33</v>
          </cell>
          <cell r="D5575">
            <v>284</v>
          </cell>
          <cell r="E5575">
            <v>316.07</v>
          </cell>
          <cell r="F5575">
            <v>339.8</v>
          </cell>
          <cell r="G5575">
            <v>250.21</v>
          </cell>
          <cell r="H5575">
            <v>6623.81</v>
          </cell>
          <cell r="I5575">
            <v>400.57</v>
          </cell>
        </row>
        <row r="5576">
          <cell r="A5576">
            <v>39660</v>
          </cell>
          <cell r="B5576">
            <v>2881.35</v>
          </cell>
          <cell r="C5576">
            <v>3367.82</v>
          </cell>
          <cell r="D5576">
            <v>283.76</v>
          </cell>
          <cell r="E5576">
            <v>315.83999999999997</v>
          </cell>
          <cell r="F5576">
            <v>339.85</v>
          </cell>
          <cell r="G5576">
            <v>249.96</v>
          </cell>
          <cell r="H5576">
            <v>6655.23</v>
          </cell>
          <cell r="I5576">
            <v>401.81</v>
          </cell>
        </row>
        <row r="5577">
          <cell r="A5577">
            <v>39661</v>
          </cell>
          <cell r="B5577">
            <v>2852.56</v>
          </cell>
          <cell r="C5577">
            <v>3316.61</v>
          </cell>
          <cell r="D5577">
            <v>280.24</v>
          </cell>
          <cell r="E5577">
            <v>310.86</v>
          </cell>
          <cell r="F5577">
            <v>335.36</v>
          </cell>
          <cell r="G5577">
            <v>247.77</v>
          </cell>
          <cell r="H5577">
            <v>6540.78</v>
          </cell>
          <cell r="I5577">
            <v>394.57</v>
          </cell>
        </row>
        <row r="5578">
          <cell r="A5578">
            <v>39664</v>
          </cell>
          <cell r="B5578">
            <v>2823.94</v>
          </cell>
          <cell r="C5578">
            <v>3289.26</v>
          </cell>
          <cell r="D5578">
            <v>277.58999999999997</v>
          </cell>
          <cell r="E5578">
            <v>308.61</v>
          </cell>
          <cell r="F5578">
            <v>332.75</v>
          </cell>
          <cell r="G5578">
            <v>244.84</v>
          </cell>
          <cell r="H5578">
            <v>6513.7</v>
          </cell>
          <cell r="I5578">
            <v>391.48</v>
          </cell>
        </row>
        <row r="5579">
          <cell r="A5579">
            <v>39665</v>
          </cell>
          <cell r="B5579">
            <v>2898.86</v>
          </cell>
          <cell r="C5579">
            <v>3380.09</v>
          </cell>
          <cell r="D5579">
            <v>285.01</v>
          </cell>
          <cell r="E5579">
            <v>317.16000000000003</v>
          </cell>
          <cell r="F5579">
            <v>341.11</v>
          </cell>
          <cell r="G5579">
            <v>251.12</v>
          </cell>
          <cell r="H5579">
            <v>6663.1</v>
          </cell>
          <cell r="I5579">
            <v>399.79</v>
          </cell>
        </row>
        <row r="5580">
          <cell r="A5580">
            <v>39666</v>
          </cell>
          <cell r="B5580">
            <v>2918.3</v>
          </cell>
          <cell r="C5580">
            <v>3409.02</v>
          </cell>
          <cell r="D5580">
            <v>287.66000000000003</v>
          </cell>
          <cell r="E5580">
            <v>320.57</v>
          </cell>
          <cell r="F5580">
            <v>344.58</v>
          </cell>
          <cell r="G5580">
            <v>253.07</v>
          </cell>
          <cell r="H5580">
            <v>6751.16</v>
          </cell>
          <cell r="I5580">
            <v>405.32</v>
          </cell>
        </row>
        <row r="5581">
          <cell r="A5581">
            <v>39667</v>
          </cell>
          <cell r="B5581">
            <v>2911.58</v>
          </cell>
          <cell r="C5581">
            <v>3397.25</v>
          </cell>
          <cell r="D5581">
            <v>286.89</v>
          </cell>
          <cell r="E5581">
            <v>319.5</v>
          </cell>
          <cell r="F5581">
            <v>343.57</v>
          </cell>
          <cell r="G5581">
            <v>252.57</v>
          </cell>
          <cell r="H5581">
            <v>6711.19</v>
          </cell>
          <cell r="I5581">
            <v>403.59</v>
          </cell>
        </row>
        <row r="5582">
          <cell r="A5582">
            <v>39668</v>
          </cell>
          <cell r="B5582">
            <v>2928.31</v>
          </cell>
          <cell r="C5582">
            <v>3408.48</v>
          </cell>
          <cell r="D5582">
            <v>289.27999999999997</v>
          </cell>
          <cell r="E5582">
            <v>321.39999999999998</v>
          </cell>
          <cell r="F5582">
            <v>345.85</v>
          </cell>
          <cell r="G5582">
            <v>255.33</v>
          </cell>
          <cell r="H5582">
            <v>6747.53</v>
          </cell>
          <cell r="I5582">
            <v>405.16</v>
          </cell>
        </row>
        <row r="5583">
          <cell r="A5583">
            <v>39671</v>
          </cell>
          <cell r="B5583">
            <v>2962.67</v>
          </cell>
          <cell r="C5583">
            <v>3445.66</v>
          </cell>
          <cell r="D5583">
            <v>293.06</v>
          </cell>
          <cell r="E5583">
            <v>325.45</v>
          </cell>
          <cell r="F5583">
            <v>350.32</v>
          </cell>
          <cell r="G5583">
            <v>258.79000000000002</v>
          </cell>
          <cell r="H5583">
            <v>6847.68</v>
          </cell>
          <cell r="I5583">
            <v>410.71</v>
          </cell>
        </row>
        <row r="5584">
          <cell r="A5584">
            <v>39672</v>
          </cell>
          <cell r="B5584">
            <v>2955.31</v>
          </cell>
          <cell r="C5584">
            <v>3436.85</v>
          </cell>
          <cell r="D5584">
            <v>291.83999999999997</v>
          </cell>
          <cell r="E5584">
            <v>324.37</v>
          </cell>
          <cell r="F5584">
            <v>349.03</v>
          </cell>
          <cell r="G5584">
            <v>257.47000000000003</v>
          </cell>
          <cell r="H5584">
            <v>6812.02</v>
          </cell>
          <cell r="I5584">
            <v>408.47</v>
          </cell>
        </row>
        <row r="5585">
          <cell r="A5585">
            <v>39673</v>
          </cell>
          <cell r="B5585">
            <v>2887.69</v>
          </cell>
          <cell r="C5585">
            <v>3354.75</v>
          </cell>
          <cell r="D5585">
            <v>284.44</v>
          </cell>
          <cell r="E5585">
            <v>316.57</v>
          </cell>
          <cell r="F5585">
            <v>341.37</v>
          </cell>
          <cell r="G5585">
            <v>250.6</v>
          </cell>
          <cell r="H5585">
            <v>6633.2</v>
          </cell>
          <cell r="I5585">
            <v>398.75</v>
          </cell>
        </row>
        <row r="5586">
          <cell r="A5586">
            <v>39674</v>
          </cell>
          <cell r="B5586">
            <v>2902.07</v>
          </cell>
          <cell r="C5586">
            <v>3356.84</v>
          </cell>
          <cell r="D5586">
            <v>285.91000000000003</v>
          </cell>
          <cell r="E5586">
            <v>317.14</v>
          </cell>
          <cell r="F5586">
            <v>342.13</v>
          </cell>
          <cell r="G5586">
            <v>252.79</v>
          </cell>
          <cell r="H5586">
            <v>6715.02</v>
          </cell>
          <cell r="I5586">
            <v>403.59</v>
          </cell>
        </row>
        <row r="5587">
          <cell r="A5587">
            <v>39675</v>
          </cell>
          <cell r="B5587">
            <v>2905.88</v>
          </cell>
          <cell r="C5587">
            <v>3367.62</v>
          </cell>
          <cell r="D5587">
            <v>287.25</v>
          </cell>
          <cell r="E5587">
            <v>318.83999999999997</v>
          </cell>
          <cell r="F5587">
            <v>344.18</v>
          </cell>
          <cell r="G5587">
            <v>253.79</v>
          </cell>
          <cell r="H5587">
            <v>6739.9</v>
          </cell>
          <cell r="I5587">
            <v>405.11</v>
          </cell>
        </row>
        <row r="5588">
          <cell r="A5588">
            <v>39678</v>
          </cell>
          <cell r="B5588">
            <v>2905.6</v>
          </cell>
          <cell r="C5588">
            <v>3366.09</v>
          </cell>
          <cell r="D5588">
            <v>286.95</v>
          </cell>
          <cell r="E5588">
            <v>318.56</v>
          </cell>
          <cell r="F5588">
            <v>343.89</v>
          </cell>
          <cell r="G5588">
            <v>253.49</v>
          </cell>
          <cell r="H5588">
            <v>6752.26</v>
          </cell>
          <cell r="I5588">
            <v>405.98</v>
          </cell>
        </row>
        <row r="5589">
          <cell r="A5589">
            <v>39679</v>
          </cell>
          <cell r="B5589">
            <v>2835.38</v>
          </cell>
          <cell r="C5589">
            <v>3279.75</v>
          </cell>
          <cell r="D5589">
            <v>279.70999999999998</v>
          </cell>
          <cell r="E5589">
            <v>310.39</v>
          </cell>
          <cell r="F5589">
            <v>335.44</v>
          </cell>
          <cell r="G5589">
            <v>247.2</v>
          </cell>
          <cell r="H5589">
            <v>6515.41</v>
          </cell>
          <cell r="I5589">
            <v>392.83</v>
          </cell>
        </row>
        <row r="5590">
          <cell r="A5590">
            <v>39680</v>
          </cell>
          <cell r="B5590">
            <v>2846.73</v>
          </cell>
          <cell r="C5590">
            <v>3295.28</v>
          </cell>
          <cell r="D5590">
            <v>280.76</v>
          </cell>
          <cell r="E5590">
            <v>311.73</v>
          </cell>
          <cell r="F5590">
            <v>336.43</v>
          </cell>
          <cell r="G5590">
            <v>247.97</v>
          </cell>
          <cell r="H5590">
            <v>6562.78</v>
          </cell>
          <cell r="I5590">
            <v>395.79</v>
          </cell>
        </row>
        <row r="5591">
          <cell r="A5591">
            <v>39681</v>
          </cell>
          <cell r="B5591">
            <v>2818.87</v>
          </cell>
          <cell r="C5591">
            <v>3248.92</v>
          </cell>
          <cell r="D5591">
            <v>278.44</v>
          </cell>
          <cell r="E5591">
            <v>307.79000000000002</v>
          </cell>
          <cell r="F5591">
            <v>332.68</v>
          </cell>
          <cell r="G5591">
            <v>247.09</v>
          </cell>
          <cell r="H5591">
            <v>6602.65</v>
          </cell>
          <cell r="I5591">
            <v>397.01</v>
          </cell>
        </row>
        <row r="5592">
          <cell r="A5592">
            <v>39682</v>
          </cell>
          <cell r="B5592">
            <v>2868.7</v>
          </cell>
          <cell r="C5592">
            <v>3312.41</v>
          </cell>
          <cell r="D5592">
            <v>283.82</v>
          </cell>
          <cell r="E5592">
            <v>314.07</v>
          </cell>
          <cell r="F5592">
            <v>338.95</v>
          </cell>
          <cell r="G5592">
            <v>251.59</v>
          </cell>
          <cell r="H5592">
            <v>6762.21</v>
          </cell>
          <cell r="I5592">
            <v>406.9</v>
          </cell>
        </row>
        <row r="5593">
          <cell r="A5593">
            <v>39685</v>
          </cell>
          <cell r="B5593">
            <v>2853.18</v>
          </cell>
          <cell r="C5593">
            <v>3280.41</v>
          </cell>
          <cell r="D5593">
            <v>282.14999999999998</v>
          </cell>
          <cell r="E5593">
            <v>311.24</v>
          </cell>
          <cell r="F5593">
            <v>336.24</v>
          </cell>
          <cell r="G5593">
            <v>250.93</v>
          </cell>
          <cell r="H5593">
            <v>6684.09</v>
          </cell>
          <cell r="I5593">
            <v>402.31</v>
          </cell>
        </row>
        <row r="5594">
          <cell r="A5594">
            <v>39686</v>
          </cell>
          <cell r="B5594">
            <v>2861.43</v>
          </cell>
          <cell r="C5594">
            <v>3297.42</v>
          </cell>
          <cell r="D5594">
            <v>282.74</v>
          </cell>
          <cell r="E5594">
            <v>312.66000000000003</v>
          </cell>
          <cell r="F5594">
            <v>337.87</v>
          </cell>
          <cell r="G5594">
            <v>250.8</v>
          </cell>
          <cell r="H5594">
            <v>6715.82</v>
          </cell>
          <cell r="I5594">
            <v>403.81</v>
          </cell>
        </row>
        <row r="5595">
          <cell r="A5595">
            <v>39687</v>
          </cell>
          <cell r="B5595">
            <v>2868.82</v>
          </cell>
          <cell r="C5595">
            <v>3299.15</v>
          </cell>
          <cell r="D5595">
            <v>283.25</v>
          </cell>
          <cell r="E5595">
            <v>312.83</v>
          </cell>
          <cell r="F5595">
            <v>337.97</v>
          </cell>
          <cell r="G5595">
            <v>251.59</v>
          </cell>
          <cell r="H5595">
            <v>6742.22</v>
          </cell>
          <cell r="I5595">
            <v>404.57</v>
          </cell>
        </row>
        <row r="5596">
          <cell r="A5596">
            <v>39688</v>
          </cell>
          <cell r="B5596">
            <v>2911.52</v>
          </cell>
          <cell r="C5596">
            <v>3359.42</v>
          </cell>
          <cell r="D5596">
            <v>287.20999999999998</v>
          </cell>
          <cell r="E5596">
            <v>318.14</v>
          </cell>
          <cell r="F5596">
            <v>343.57</v>
          </cell>
          <cell r="G5596">
            <v>254.31</v>
          </cell>
          <cell r="H5596">
            <v>6816.08</v>
          </cell>
          <cell r="I5596">
            <v>408.8</v>
          </cell>
        </row>
        <row r="5597">
          <cell r="A5597">
            <v>39689</v>
          </cell>
          <cell r="B5597">
            <v>2915.64</v>
          </cell>
          <cell r="C5597">
            <v>3365.63</v>
          </cell>
          <cell r="D5597">
            <v>288.18</v>
          </cell>
          <cell r="E5597">
            <v>319.45</v>
          </cell>
          <cell r="F5597">
            <v>344.71</v>
          </cell>
          <cell r="G5597">
            <v>254.97</v>
          </cell>
          <cell r="H5597">
            <v>6753.51</v>
          </cell>
          <cell r="I5597">
            <v>406.02</v>
          </cell>
        </row>
        <row r="5598">
          <cell r="A5598">
            <v>39692</v>
          </cell>
          <cell r="B5598">
            <v>2902.17</v>
          </cell>
          <cell r="C5598">
            <v>3364.4</v>
          </cell>
          <cell r="D5598">
            <v>287.18</v>
          </cell>
          <cell r="E5598">
            <v>319.06</v>
          </cell>
          <cell r="F5598">
            <v>344.5</v>
          </cell>
          <cell r="G5598">
            <v>253.47</v>
          </cell>
          <cell r="H5598">
            <v>6742.16</v>
          </cell>
          <cell r="I5598">
            <v>405.11</v>
          </cell>
        </row>
        <row r="5599">
          <cell r="A5599">
            <v>39693</v>
          </cell>
          <cell r="B5599">
            <v>2925.11</v>
          </cell>
          <cell r="C5599">
            <v>3416.46</v>
          </cell>
          <cell r="D5599">
            <v>290.08</v>
          </cell>
          <cell r="E5599">
            <v>323.87</v>
          </cell>
          <cell r="F5599">
            <v>349.15</v>
          </cell>
          <cell r="G5599">
            <v>254.68</v>
          </cell>
          <cell r="H5599">
            <v>6772.62</v>
          </cell>
          <cell r="I5599">
            <v>405.64</v>
          </cell>
        </row>
        <row r="5600">
          <cell r="A5600">
            <v>39694</v>
          </cell>
          <cell r="B5600">
            <v>2883.72</v>
          </cell>
          <cell r="C5600">
            <v>3368.97</v>
          </cell>
          <cell r="D5600">
            <v>285.58</v>
          </cell>
          <cell r="E5600">
            <v>319.63</v>
          </cell>
          <cell r="F5600">
            <v>344.92</v>
          </cell>
          <cell r="G5600">
            <v>250.07</v>
          </cell>
          <cell r="H5600">
            <v>6648.4</v>
          </cell>
          <cell r="I5600">
            <v>397.26</v>
          </cell>
        </row>
        <row r="5601">
          <cell r="A5601">
            <v>39695</v>
          </cell>
          <cell r="B5601">
            <v>2811.93</v>
          </cell>
          <cell r="C5601">
            <v>3274.82</v>
          </cell>
          <cell r="D5601">
            <v>278.18</v>
          </cell>
          <cell r="E5601">
            <v>310.37</v>
          </cell>
          <cell r="F5601">
            <v>335.35</v>
          </cell>
          <cell r="G5601">
            <v>244.43</v>
          </cell>
          <cell r="H5601">
            <v>6431.99</v>
          </cell>
          <cell r="I5601">
            <v>384.36</v>
          </cell>
        </row>
        <row r="5602">
          <cell r="A5602">
            <v>39696</v>
          </cell>
          <cell r="B5602">
            <v>2754.4</v>
          </cell>
          <cell r="C5602">
            <v>3185.83</v>
          </cell>
          <cell r="D5602">
            <v>272.24</v>
          </cell>
          <cell r="E5602">
            <v>302.17</v>
          </cell>
          <cell r="F5602">
            <v>327.55</v>
          </cell>
          <cell r="G5602">
            <v>240.54</v>
          </cell>
          <cell r="H5602">
            <v>6195.21</v>
          </cell>
          <cell r="I5602">
            <v>369.23</v>
          </cell>
        </row>
        <row r="5603">
          <cell r="A5603">
            <v>39699</v>
          </cell>
          <cell r="B5603">
            <v>2846.46</v>
          </cell>
          <cell r="C5603">
            <v>3284.12</v>
          </cell>
          <cell r="D5603">
            <v>281.3</v>
          </cell>
          <cell r="E5603">
            <v>311.58999999999997</v>
          </cell>
          <cell r="F5603">
            <v>337.08</v>
          </cell>
          <cell r="G5603">
            <v>249.08</v>
          </cell>
          <cell r="H5603">
            <v>6401.65</v>
          </cell>
          <cell r="I5603">
            <v>379.37</v>
          </cell>
        </row>
        <row r="5604">
          <cell r="A5604">
            <v>39700</v>
          </cell>
          <cell r="B5604">
            <v>2842.13</v>
          </cell>
          <cell r="C5604">
            <v>3261.07</v>
          </cell>
          <cell r="D5604">
            <v>279.60000000000002</v>
          </cell>
          <cell r="E5604">
            <v>308.8</v>
          </cell>
          <cell r="F5604">
            <v>334.21</v>
          </cell>
          <cell r="G5604">
            <v>248.35</v>
          </cell>
          <cell r="H5604">
            <v>6281.13</v>
          </cell>
          <cell r="I5604">
            <v>371.06</v>
          </cell>
        </row>
        <row r="5605">
          <cell r="A5605">
            <v>39701</v>
          </cell>
          <cell r="B5605">
            <v>2820.53</v>
          </cell>
          <cell r="C5605">
            <v>3242.02</v>
          </cell>
          <cell r="D5605">
            <v>277.35000000000002</v>
          </cell>
          <cell r="E5605">
            <v>306.58999999999997</v>
          </cell>
          <cell r="F5605">
            <v>331.81</v>
          </cell>
          <cell r="G5605">
            <v>246.12</v>
          </cell>
          <cell r="H5605">
            <v>6252.24</v>
          </cell>
          <cell r="I5605">
            <v>369.41</v>
          </cell>
        </row>
        <row r="5606">
          <cell r="A5606">
            <v>39702</v>
          </cell>
          <cell r="B5606">
            <v>2807.54</v>
          </cell>
          <cell r="C5606">
            <v>3222.1</v>
          </cell>
          <cell r="D5606">
            <v>275.66000000000003</v>
          </cell>
          <cell r="E5606">
            <v>304.27</v>
          </cell>
          <cell r="F5606">
            <v>329.3</v>
          </cell>
          <cell r="G5606">
            <v>245.02</v>
          </cell>
          <cell r="H5606">
            <v>6192.62</v>
          </cell>
          <cell r="I5606">
            <v>365.63</v>
          </cell>
        </row>
        <row r="5607">
          <cell r="A5607">
            <v>39703</v>
          </cell>
          <cell r="B5607">
            <v>2858.68</v>
          </cell>
          <cell r="C5607">
            <v>3278.02</v>
          </cell>
          <cell r="D5607">
            <v>280.41000000000003</v>
          </cell>
          <cell r="E5607">
            <v>309.23</v>
          </cell>
          <cell r="F5607">
            <v>334.55</v>
          </cell>
          <cell r="G5607">
            <v>249.48</v>
          </cell>
          <cell r="H5607">
            <v>6355.13</v>
          </cell>
          <cell r="I5607">
            <v>374.77</v>
          </cell>
        </row>
        <row r="5608">
          <cell r="A5608">
            <v>39706</v>
          </cell>
          <cell r="B5608">
            <v>2744.81</v>
          </cell>
          <cell r="C5608">
            <v>3151.17</v>
          </cell>
          <cell r="D5608">
            <v>270.68</v>
          </cell>
          <cell r="E5608">
            <v>298.29000000000002</v>
          </cell>
          <cell r="F5608">
            <v>323.10000000000002</v>
          </cell>
          <cell r="G5608">
            <v>241</v>
          </cell>
          <cell r="H5608">
            <v>6158.56</v>
          </cell>
          <cell r="I5608">
            <v>362.5</v>
          </cell>
        </row>
        <row r="5609">
          <cell r="A5609">
            <v>39707</v>
          </cell>
          <cell r="B5609">
            <v>2658.77</v>
          </cell>
          <cell r="C5609">
            <v>3088.43</v>
          </cell>
          <cell r="D5609">
            <v>263.54000000000002</v>
          </cell>
          <cell r="E5609">
            <v>292.82</v>
          </cell>
          <cell r="F5609">
            <v>316.52999999999997</v>
          </cell>
          <cell r="G5609">
            <v>232.59</v>
          </cell>
          <cell r="H5609">
            <v>6016.15</v>
          </cell>
          <cell r="I5609">
            <v>352.39</v>
          </cell>
        </row>
        <row r="5610">
          <cell r="A5610">
            <v>39708</v>
          </cell>
          <cell r="B5610">
            <v>2597.65</v>
          </cell>
          <cell r="C5610">
            <v>3018.77</v>
          </cell>
          <cell r="D5610">
            <v>258.04000000000002</v>
          </cell>
          <cell r="E5610">
            <v>285.58</v>
          </cell>
          <cell r="F5610">
            <v>309.18</v>
          </cell>
          <cell r="G5610">
            <v>228.7</v>
          </cell>
          <cell r="H5610">
            <v>5815.42</v>
          </cell>
          <cell r="I5610">
            <v>340.28</v>
          </cell>
        </row>
        <row r="5611">
          <cell r="A5611">
            <v>39709</v>
          </cell>
          <cell r="B5611">
            <v>2569.4499999999998</v>
          </cell>
          <cell r="C5611">
            <v>3000.83</v>
          </cell>
          <cell r="D5611">
            <v>256.77</v>
          </cell>
          <cell r="E5611">
            <v>283.39</v>
          </cell>
          <cell r="F5611">
            <v>307.66000000000003</v>
          </cell>
          <cell r="G5611">
            <v>228.23</v>
          </cell>
          <cell r="H5611">
            <v>5848.71</v>
          </cell>
          <cell r="I5611">
            <v>341.68</v>
          </cell>
        </row>
        <row r="5612">
          <cell r="A5612">
            <v>39710</v>
          </cell>
          <cell r="B5612">
            <v>2809.38</v>
          </cell>
          <cell r="C5612">
            <v>3253.52</v>
          </cell>
          <cell r="D5612">
            <v>278.18</v>
          </cell>
          <cell r="E5612">
            <v>306.82</v>
          </cell>
          <cell r="F5612">
            <v>331.57</v>
          </cell>
          <cell r="G5612">
            <v>247.44</v>
          </cell>
          <cell r="H5612">
            <v>6375.08</v>
          </cell>
          <cell r="I5612">
            <v>373.52</v>
          </cell>
        </row>
        <row r="5613">
          <cell r="A5613">
            <v>39713</v>
          </cell>
          <cell r="B5613">
            <v>2745.32</v>
          </cell>
          <cell r="C5613">
            <v>3181.77</v>
          </cell>
          <cell r="D5613">
            <v>272.35000000000002</v>
          </cell>
          <cell r="E5613">
            <v>300.57</v>
          </cell>
          <cell r="F5613">
            <v>325.33</v>
          </cell>
          <cell r="G5613">
            <v>242.11</v>
          </cell>
          <cell r="H5613">
            <v>6272.02</v>
          </cell>
          <cell r="I5613">
            <v>367.43</v>
          </cell>
        </row>
        <row r="5614">
          <cell r="A5614">
            <v>39714</v>
          </cell>
          <cell r="B5614">
            <v>2710.11</v>
          </cell>
          <cell r="C5614">
            <v>3139.83</v>
          </cell>
          <cell r="D5614">
            <v>267.31</v>
          </cell>
          <cell r="E5614">
            <v>295.43</v>
          </cell>
          <cell r="F5614">
            <v>319.72000000000003</v>
          </cell>
          <cell r="G5614">
            <v>237.27</v>
          </cell>
          <cell r="H5614">
            <v>6124.96</v>
          </cell>
          <cell r="I5614">
            <v>358.64</v>
          </cell>
        </row>
        <row r="5615">
          <cell r="A5615">
            <v>39715</v>
          </cell>
          <cell r="B5615">
            <v>2690.54</v>
          </cell>
          <cell r="C5615">
            <v>3119.83</v>
          </cell>
          <cell r="D5615">
            <v>265.66000000000003</v>
          </cell>
          <cell r="E5615">
            <v>293.60000000000002</v>
          </cell>
          <cell r="F5615">
            <v>317.67</v>
          </cell>
          <cell r="G5615">
            <v>235.81</v>
          </cell>
          <cell r="H5615">
            <v>6068.14</v>
          </cell>
          <cell r="I5615">
            <v>355.49</v>
          </cell>
        </row>
        <row r="5616">
          <cell r="A5616">
            <v>39716</v>
          </cell>
          <cell r="B5616">
            <v>2761.75</v>
          </cell>
          <cell r="C5616">
            <v>3207.11</v>
          </cell>
          <cell r="D5616">
            <v>271.01</v>
          </cell>
          <cell r="E5616">
            <v>300.18</v>
          </cell>
          <cell r="F5616">
            <v>324.64999999999998</v>
          </cell>
          <cell r="G5616">
            <v>239.99</v>
          </cell>
          <cell r="H5616">
            <v>6169.69</v>
          </cell>
          <cell r="I5616">
            <v>360.74</v>
          </cell>
        </row>
        <row r="5617">
          <cell r="A5617">
            <v>39717</v>
          </cell>
          <cell r="B5617">
            <v>2722.07</v>
          </cell>
          <cell r="C5617">
            <v>3156.46</v>
          </cell>
          <cell r="D5617">
            <v>265.92</v>
          </cell>
          <cell r="E5617">
            <v>294.8</v>
          </cell>
          <cell r="F5617">
            <v>318.60000000000002</v>
          </cell>
          <cell r="G5617">
            <v>235.27</v>
          </cell>
          <cell r="H5617">
            <v>5998.72</v>
          </cell>
          <cell r="I5617">
            <v>350.44</v>
          </cell>
        </row>
        <row r="5618">
          <cell r="A5618">
            <v>39720</v>
          </cell>
          <cell r="B5618">
            <v>2588.7199999999998</v>
          </cell>
          <cell r="C5618">
            <v>3008.19</v>
          </cell>
          <cell r="D5618">
            <v>251.43</v>
          </cell>
          <cell r="E5618">
            <v>279.2</v>
          </cell>
          <cell r="F5618">
            <v>302.01</v>
          </cell>
          <cell r="G5618">
            <v>222.05</v>
          </cell>
          <cell r="H5618">
            <v>5625.45</v>
          </cell>
          <cell r="I5618">
            <v>327.71</v>
          </cell>
        </row>
        <row r="5619">
          <cell r="A5619">
            <v>39721</v>
          </cell>
          <cell r="B5619">
            <v>2635.13</v>
          </cell>
          <cell r="C5619">
            <v>3038.2</v>
          </cell>
          <cell r="D5619">
            <v>256.05</v>
          </cell>
          <cell r="E5619">
            <v>282.61</v>
          </cell>
          <cell r="F5619">
            <v>305.89999999999998</v>
          </cell>
          <cell r="G5619">
            <v>227.59</v>
          </cell>
          <cell r="H5619">
            <v>5617.29</v>
          </cell>
          <cell r="I5619">
            <v>327.69</v>
          </cell>
        </row>
        <row r="5620">
          <cell r="A5620">
            <v>39722</v>
          </cell>
          <cell r="B5620">
            <v>2663.08</v>
          </cell>
          <cell r="C5620">
            <v>3067.35</v>
          </cell>
          <cell r="D5620">
            <v>257.75</v>
          </cell>
          <cell r="E5620">
            <v>284.20999999999998</v>
          </cell>
          <cell r="F5620">
            <v>307.77999999999997</v>
          </cell>
          <cell r="G5620">
            <v>229.34</v>
          </cell>
          <cell r="H5620">
            <v>5634.21</v>
          </cell>
          <cell r="I5620">
            <v>327.47000000000003</v>
          </cell>
        </row>
        <row r="5621">
          <cell r="A5621">
            <v>39723</v>
          </cell>
          <cell r="B5621">
            <v>2629.17</v>
          </cell>
          <cell r="C5621">
            <v>3007.51</v>
          </cell>
          <cell r="D5621">
            <v>254.24</v>
          </cell>
          <cell r="E5621">
            <v>279.24</v>
          </cell>
          <cell r="F5621">
            <v>302.89999999999998</v>
          </cell>
          <cell r="G5621">
            <v>227.15</v>
          </cell>
          <cell r="H5621">
            <v>5493.71</v>
          </cell>
          <cell r="I5621">
            <v>318.26</v>
          </cell>
        </row>
        <row r="5622">
          <cell r="A5622">
            <v>39724</v>
          </cell>
          <cell r="B5622">
            <v>2726.67</v>
          </cell>
          <cell r="C5622">
            <v>3113.82</v>
          </cell>
          <cell r="D5622">
            <v>261.43</v>
          </cell>
          <cell r="E5622">
            <v>286.8</v>
          </cell>
          <cell r="F5622">
            <v>311.14999999999998</v>
          </cell>
          <cell r="G5622">
            <v>233.84</v>
          </cell>
          <cell r="H5622">
            <v>5700.2</v>
          </cell>
          <cell r="I5622">
            <v>328.22</v>
          </cell>
        </row>
        <row r="5623">
          <cell r="A5623">
            <v>39727</v>
          </cell>
          <cell r="B5623">
            <v>2522.79</v>
          </cell>
          <cell r="C5623">
            <v>2868.97</v>
          </cell>
          <cell r="D5623">
            <v>241.5</v>
          </cell>
          <cell r="E5623">
            <v>264.08999999999997</v>
          </cell>
          <cell r="F5623">
            <v>287.76</v>
          </cell>
          <cell r="G5623">
            <v>216.74</v>
          </cell>
          <cell r="H5623">
            <v>5209.62</v>
          </cell>
          <cell r="I5623">
            <v>299.44</v>
          </cell>
        </row>
        <row r="5624">
          <cell r="A5624">
            <v>39728</v>
          </cell>
          <cell r="B5624">
            <v>2527.12</v>
          </cell>
          <cell r="C5624">
            <v>2879.45</v>
          </cell>
          <cell r="D5624">
            <v>240.72</v>
          </cell>
          <cell r="E5624">
            <v>262.51</v>
          </cell>
          <cell r="F5624">
            <v>285.57</v>
          </cell>
          <cell r="G5624">
            <v>216.64</v>
          </cell>
          <cell r="H5624">
            <v>5140.62</v>
          </cell>
          <cell r="I5624">
            <v>296.18</v>
          </cell>
        </row>
        <row r="5625">
          <cell r="A5625">
            <v>39729</v>
          </cell>
          <cell r="B5625">
            <v>2360.38</v>
          </cell>
          <cell r="C5625">
            <v>2694.55</v>
          </cell>
          <cell r="D5625">
            <v>226.31</v>
          </cell>
          <cell r="E5625">
            <v>247.01</v>
          </cell>
          <cell r="F5625">
            <v>269.22000000000003</v>
          </cell>
          <cell r="G5625">
            <v>203.5</v>
          </cell>
          <cell r="H5625">
            <v>4840.7299999999996</v>
          </cell>
          <cell r="I5625">
            <v>279.37</v>
          </cell>
        </row>
        <row r="5626">
          <cell r="A5626">
            <v>39730</v>
          </cell>
          <cell r="B5626">
            <v>2291.77</v>
          </cell>
          <cell r="C5626">
            <v>2629.04</v>
          </cell>
          <cell r="D5626">
            <v>221.78</v>
          </cell>
          <cell r="E5626">
            <v>242.21</v>
          </cell>
          <cell r="F5626">
            <v>263.39999999999998</v>
          </cell>
          <cell r="G5626">
            <v>199.3</v>
          </cell>
          <cell r="H5626">
            <v>4835.3100000000004</v>
          </cell>
          <cell r="I5626">
            <v>280.41000000000003</v>
          </cell>
        </row>
        <row r="5627">
          <cell r="A5627">
            <v>39731</v>
          </cell>
          <cell r="B5627">
            <v>2094.5</v>
          </cell>
          <cell r="C5627">
            <v>2421.87</v>
          </cell>
          <cell r="D5627">
            <v>205.13</v>
          </cell>
          <cell r="E5627">
            <v>224.39</v>
          </cell>
          <cell r="F5627">
            <v>245.15</v>
          </cell>
          <cell r="G5627">
            <v>184.03</v>
          </cell>
          <cell r="H5627">
            <v>4556.22</v>
          </cell>
          <cell r="I5627">
            <v>265.87</v>
          </cell>
        </row>
        <row r="5628">
          <cell r="A5628">
            <v>39734</v>
          </cell>
          <cell r="B5628">
            <v>2319.85</v>
          </cell>
          <cell r="C5628">
            <v>2688.32</v>
          </cell>
          <cell r="D5628">
            <v>225.37</v>
          </cell>
          <cell r="E5628">
            <v>247.89</v>
          </cell>
          <cell r="F5628">
            <v>269.49</v>
          </cell>
          <cell r="G5628">
            <v>201.03</v>
          </cell>
          <cell r="H5628">
            <v>4913.3900000000003</v>
          </cell>
          <cell r="I5628">
            <v>282.24</v>
          </cell>
        </row>
        <row r="5629">
          <cell r="A5629">
            <v>39735</v>
          </cell>
          <cell r="B5629">
            <v>2408.75</v>
          </cell>
          <cell r="C5629">
            <v>2756.74</v>
          </cell>
          <cell r="D5629">
            <v>232.22</v>
          </cell>
          <cell r="E5629">
            <v>254.41</v>
          </cell>
          <cell r="F5629">
            <v>277.26</v>
          </cell>
          <cell r="G5629">
            <v>208.01</v>
          </cell>
          <cell r="H5629">
            <v>5055.79</v>
          </cell>
          <cell r="I5629">
            <v>291.02</v>
          </cell>
        </row>
        <row r="5630">
          <cell r="A5630">
            <v>39736</v>
          </cell>
          <cell r="B5630">
            <v>2249.5100000000002</v>
          </cell>
          <cell r="C5630">
            <v>2578.06</v>
          </cell>
          <cell r="D5630">
            <v>217.17</v>
          </cell>
          <cell r="E5630">
            <v>238.44</v>
          </cell>
          <cell r="F5630">
            <v>260.18</v>
          </cell>
          <cell r="G5630">
            <v>194.08</v>
          </cell>
          <cell r="H5630">
            <v>4696.4399999999996</v>
          </cell>
          <cell r="I5630">
            <v>269.56</v>
          </cell>
        </row>
        <row r="5631">
          <cell r="A5631">
            <v>39737</v>
          </cell>
          <cell r="B5631">
            <v>2137.39</v>
          </cell>
          <cell r="C5631">
            <v>2423.8000000000002</v>
          </cell>
          <cell r="D5631">
            <v>206.4</v>
          </cell>
          <cell r="E5631">
            <v>225.38</v>
          </cell>
          <cell r="F5631">
            <v>247.69</v>
          </cell>
          <cell r="G5631">
            <v>185.5</v>
          </cell>
          <cell r="H5631">
            <v>4487.66</v>
          </cell>
          <cell r="I5631">
            <v>256.04000000000002</v>
          </cell>
        </row>
        <row r="5632">
          <cell r="A5632">
            <v>39738</v>
          </cell>
          <cell r="B5632">
            <v>2266.14</v>
          </cell>
          <cell r="C5632">
            <v>2532.17</v>
          </cell>
          <cell r="D5632">
            <v>214.27</v>
          </cell>
          <cell r="E5632">
            <v>232.57</v>
          </cell>
          <cell r="F5632">
            <v>256.36</v>
          </cell>
          <cell r="G5632">
            <v>193.76</v>
          </cell>
          <cell r="H5632">
            <v>4624.84</v>
          </cell>
          <cell r="I5632">
            <v>264.02999999999997</v>
          </cell>
        </row>
        <row r="5633">
          <cell r="A5633">
            <v>39741</v>
          </cell>
          <cell r="B5633">
            <v>2368.5500000000002</v>
          </cell>
          <cell r="C5633">
            <v>2613.6799999999998</v>
          </cell>
          <cell r="D5633">
            <v>222.01</v>
          </cell>
          <cell r="E5633">
            <v>239.27</v>
          </cell>
          <cell r="F5633">
            <v>263.57</v>
          </cell>
          <cell r="G5633">
            <v>202.2</v>
          </cell>
          <cell r="H5633">
            <v>4896.1499999999996</v>
          </cell>
          <cell r="I5633">
            <v>277.81</v>
          </cell>
        </row>
        <row r="5634">
          <cell r="A5634">
            <v>39742</v>
          </cell>
          <cell r="B5634">
            <v>2343.86</v>
          </cell>
          <cell r="C5634">
            <v>2598.9699999999998</v>
          </cell>
          <cell r="D5634">
            <v>220.9</v>
          </cell>
          <cell r="E5634">
            <v>238.75</v>
          </cell>
          <cell r="F5634">
            <v>263.14999999999998</v>
          </cell>
          <cell r="G5634">
            <v>200.63</v>
          </cell>
          <cell r="H5634">
            <v>4871.6899999999996</v>
          </cell>
          <cell r="I5634">
            <v>277.39999999999998</v>
          </cell>
        </row>
        <row r="5635">
          <cell r="A5635">
            <v>39743</v>
          </cell>
          <cell r="B5635">
            <v>2226.85</v>
          </cell>
          <cell r="C5635">
            <v>2457.9699999999998</v>
          </cell>
          <cell r="D5635">
            <v>209.57</v>
          </cell>
          <cell r="E5635">
            <v>226.22</v>
          </cell>
          <cell r="F5635">
            <v>250.58</v>
          </cell>
          <cell r="G5635">
            <v>190.57</v>
          </cell>
          <cell r="H5635">
            <v>4599.84</v>
          </cell>
          <cell r="I5635">
            <v>261.55</v>
          </cell>
        </row>
        <row r="5636">
          <cell r="A5636">
            <v>39744</v>
          </cell>
          <cell r="B5636">
            <v>2226.6799999999998</v>
          </cell>
          <cell r="C5636">
            <v>2452.0300000000002</v>
          </cell>
          <cell r="D5636">
            <v>208.72</v>
          </cell>
          <cell r="E5636">
            <v>224.82</v>
          </cell>
          <cell r="F5636">
            <v>248.91</v>
          </cell>
          <cell r="G5636">
            <v>190.21</v>
          </cell>
          <cell r="H5636">
            <v>4608.18</v>
          </cell>
          <cell r="I5636">
            <v>259.8</v>
          </cell>
        </row>
        <row r="5637">
          <cell r="A5637">
            <v>39745</v>
          </cell>
          <cell r="B5637">
            <v>2118.33</v>
          </cell>
          <cell r="C5637">
            <v>2333.2800000000002</v>
          </cell>
          <cell r="D5637">
            <v>198.82</v>
          </cell>
          <cell r="E5637">
            <v>214.62</v>
          </cell>
          <cell r="F5637">
            <v>238.67</v>
          </cell>
          <cell r="G5637">
            <v>180.79</v>
          </cell>
          <cell r="H5637">
            <v>4370.59</v>
          </cell>
          <cell r="I5637">
            <v>246.32</v>
          </cell>
        </row>
        <row r="5638">
          <cell r="A5638">
            <v>39748</v>
          </cell>
          <cell r="B5638">
            <v>2058.16</v>
          </cell>
          <cell r="C5638">
            <v>2293.0500000000002</v>
          </cell>
          <cell r="D5638">
            <v>195.04</v>
          </cell>
          <cell r="E5638">
            <v>209.22</v>
          </cell>
          <cell r="F5638">
            <v>232.89</v>
          </cell>
          <cell r="G5638">
            <v>178.48</v>
          </cell>
          <cell r="H5638">
            <v>4251.6400000000003</v>
          </cell>
          <cell r="I5638">
            <v>238.67</v>
          </cell>
        </row>
        <row r="5639">
          <cell r="A5639">
            <v>39749</v>
          </cell>
          <cell r="B5639">
            <v>2061.7399999999998</v>
          </cell>
          <cell r="C5639">
            <v>2381.6799999999998</v>
          </cell>
          <cell r="D5639">
            <v>199.44</v>
          </cell>
          <cell r="E5639">
            <v>215.23</v>
          </cell>
          <cell r="F5639">
            <v>238.06</v>
          </cell>
          <cell r="G5639">
            <v>181.41</v>
          </cell>
          <cell r="H5639">
            <v>4276.18</v>
          </cell>
          <cell r="I5639">
            <v>239.79</v>
          </cell>
        </row>
        <row r="5640">
          <cell r="A5640">
            <v>39750</v>
          </cell>
          <cell r="B5640">
            <v>2266.15</v>
          </cell>
          <cell r="C5640">
            <v>2515.2399999999998</v>
          </cell>
          <cell r="D5640">
            <v>213.72</v>
          </cell>
          <cell r="E5640">
            <v>228.84</v>
          </cell>
          <cell r="F5640">
            <v>252.73</v>
          </cell>
          <cell r="G5640">
            <v>195.92</v>
          </cell>
          <cell r="H5640">
            <v>4535.92</v>
          </cell>
          <cell r="I5640">
            <v>256.08</v>
          </cell>
        </row>
        <row r="5641">
          <cell r="A5641">
            <v>39751</v>
          </cell>
          <cell r="B5641">
            <v>2263.86</v>
          </cell>
          <cell r="C5641">
            <v>2528.04</v>
          </cell>
          <cell r="D5641">
            <v>216.24</v>
          </cell>
          <cell r="E5641">
            <v>231.71</v>
          </cell>
          <cell r="F5641">
            <v>255.58</v>
          </cell>
          <cell r="G5641">
            <v>198.08</v>
          </cell>
          <cell r="H5641">
            <v>4717.93</v>
          </cell>
          <cell r="I5641">
            <v>267.52</v>
          </cell>
        </row>
        <row r="5642">
          <cell r="A5642">
            <v>39752</v>
          </cell>
          <cell r="B5642">
            <v>2331.4299999999998</v>
          </cell>
          <cell r="C5642">
            <v>2591.7600000000002</v>
          </cell>
          <cell r="D5642">
            <v>222.07</v>
          </cell>
          <cell r="E5642">
            <v>237.67</v>
          </cell>
          <cell r="F5642">
            <v>262.58999999999997</v>
          </cell>
          <cell r="G5642">
            <v>203.67</v>
          </cell>
          <cell r="H5642">
            <v>4739.37</v>
          </cell>
          <cell r="I5642">
            <v>268.64</v>
          </cell>
        </row>
        <row r="5643">
          <cell r="A5643">
            <v>39755</v>
          </cell>
          <cell r="B5643">
            <v>2339.89</v>
          </cell>
          <cell r="C5643">
            <v>2610.04</v>
          </cell>
          <cell r="D5643">
            <v>223.38</v>
          </cell>
          <cell r="E5643">
            <v>240.54</v>
          </cell>
          <cell r="F5643">
            <v>266.17</v>
          </cell>
          <cell r="G5643">
            <v>203.64</v>
          </cell>
          <cell r="H5643">
            <v>4903.12</v>
          </cell>
          <cell r="I5643">
            <v>278.31</v>
          </cell>
        </row>
        <row r="5644">
          <cell r="A5644">
            <v>39756</v>
          </cell>
          <cell r="B5644">
            <v>2436.0100000000002</v>
          </cell>
          <cell r="C5644">
            <v>2755.12</v>
          </cell>
          <cell r="D5644">
            <v>233.5</v>
          </cell>
          <cell r="E5644">
            <v>253.08</v>
          </cell>
          <cell r="F5644">
            <v>278.77999999999997</v>
          </cell>
          <cell r="G5644">
            <v>211.5</v>
          </cell>
          <cell r="H5644">
            <v>5210.26</v>
          </cell>
          <cell r="I5644">
            <v>296.27</v>
          </cell>
        </row>
        <row r="5645">
          <cell r="A5645">
            <v>39757</v>
          </cell>
          <cell r="B5645">
            <v>2373.58</v>
          </cell>
          <cell r="C5645">
            <v>2710.65</v>
          </cell>
          <cell r="D5645">
            <v>228.13</v>
          </cell>
          <cell r="E5645">
            <v>248.67</v>
          </cell>
          <cell r="F5645">
            <v>272.45</v>
          </cell>
          <cell r="G5645">
            <v>205.46</v>
          </cell>
          <cell r="H5645">
            <v>5097.92</v>
          </cell>
          <cell r="I5645">
            <v>288.74</v>
          </cell>
        </row>
        <row r="5646">
          <cell r="A5646">
            <v>39758</v>
          </cell>
          <cell r="B5646">
            <v>2241.5</v>
          </cell>
          <cell r="C5646">
            <v>2542.04</v>
          </cell>
          <cell r="D5646">
            <v>215.46</v>
          </cell>
          <cell r="E5646">
            <v>233.36</v>
          </cell>
          <cell r="F5646">
            <v>256.83</v>
          </cell>
          <cell r="G5646">
            <v>195.3</v>
          </cell>
          <cell r="H5646">
            <v>4729.82</v>
          </cell>
          <cell r="I5646">
            <v>267.5</v>
          </cell>
        </row>
        <row r="5647">
          <cell r="A5647">
            <v>39759</v>
          </cell>
          <cell r="B5647">
            <v>2284.2199999999998</v>
          </cell>
          <cell r="C5647">
            <v>2602.54</v>
          </cell>
          <cell r="D5647">
            <v>219.6</v>
          </cell>
          <cell r="E5647">
            <v>238.35</v>
          </cell>
          <cell r="F5647">
            <v>261.88</v>
          </cell>
          <cell r="G5647">
            <v>198.63</v>
          </cell>
          <cell r="H5647">
            <v>4845.1899999999996</v>
          </cell>
          <cell r="I5647">
            <v>273.01</v>
          </cell>
        </row>
        <row r="5648">
          <cell r="A5648">
            <v>39762</v>
          </cell>
          <cell r="B5648">
            <v>2299.36</v>
          </cell>
          <cell r="C5648">
            <v>2625.84</v>
          </cell>
          <cell r="D5648">
            <v>220.96</v>
          </cell>
          <cell r="E5648">
            <v>240.61</v>
          </cell>
          <cell r="F5648">
            <v>264.58</v>
          </cell>
          <cell r="G5648">
            <v>199.2</v>
          </cell>
          <cell r="H5648">
            <v>4910.8999999999996</v>
          </cell>
          <cell r="I5648">
            <v>276.79000000000002</v>
          </cell>
        </row>
        <row r="5649">
          <cell r="A5649">
            <v>39763</v>
          </cell>
          <cell r="B5649">
            <v>2209.2800000000002</v>
          </cell>
          <cell r="C5649">
            <v>2483.61</v>
          </cell>
          <cell r="D5649">
            <v>212.17</v>
          </cell>
          <cell r="E5649">
            <v>229.14</v>
          </cell>
          <cell r="F5649">
            <v>253.08</v>
          </cell>
          <cell r="G5649">
            <v>192.86</v>
          </cell>
          <cell r="H5649">
            <v>4639.93</v>
          </cell>
          <cell r="I5649">
            <v>260.45</v>
          </cell>
        </row>
        <row r="5650">
          <cell r="A5650">
            <v>39764</v>
          </cell>
          <cell r="B5650">
            <v>2137.96</v>
          </cell>
          <cell r="C5650">
            <v>2400.7399999999998</v>
          </cell>
          <cell r="D5650">
            <v>205.22</v>
          </cell>
          <cell r="E5650">
            <v>222.28</v>
          </cell>
          <cell r="F5650">
            <v>245.43</v>
          </cell>
          <cell r="G5650">
            <v>186.02</v>
          </cell>
          <cell r="H5650">
            <v>4447.97</v>
          </cell>
          <cell r="I5650">
            <v>249.02</v>
          </cell>
        </row>
        <row r="5651">
          <cell r="A5651">
            <v>39765</v>
          </cell>
          <cell r="B5651">
            <v>2133.2800000000002</v>
          </cell>
          <cell r="C5651">
            <v>2429.94</v>
          </cell>
          <cell r="D5651">
            <v>204.08</v>
          </cell>
          <cell r="E5651">
            <v>223.54</v>
          </cell>
          <cell r="F5651">
            <v>246.09</v>
          </cell>
          <cell r="G5651">
            <v>182.89</v>
          </cell>
          <cell r="H5651">
            <v>4456.5200000000004</v>
          </cell>
          <cell r="I5651">
            <v>249.42</v>
          </cell>
        </row>
        <row r="5652">
          <cell r="A5652">
            <v>39766</v>
          </cell>
          <cell r="B5652">
            <v>2154.02</v>
          </cell>
          <cell r="C5652">
            <v>2456.4299999999998</v>
          </cell>
          <cell r="D5652">
            <v>205.56</v>
          </cell>
          <cell r="E5652">
            <v>225.4</v>
          </cell>
          <cell r="F5652">
            <v>248.09</v>
          </cell>
          <cell r="G5652">
            <v>184</v>
          </cell>
          <cell r="H5652">
            <v>4446.24</v>
          </cell>
          <cell r="I5652">
            <v>248.8</v>
          </cell>
        </row>
        <row r="5653">
          <cell r="A5653">
            <v>39769</v>
          </cell>
          <cell r="B5653">
            <v>2096.67</v>
          </cell>
          <cell r="C5653">
            <v>2364.83</v>
          </cell>
          <cell r="D5653">
            <v>200.36</v>
          </cell>
          <cell r="E5653">
            <v>218.08</v>
          </cell>
          <cell r="F5653">
            <v>240.24</v>
          </cell>
          <cell r="G5653">
            <v>180.7</v>
          </cell>
          <cell r="H5653">
            <v>4371</v>
          </cell>
          <cell r="I5653">
            <v>244.44</v>
          </cell>
        </row>
        <row r="5654">
          <cell r="A5654">
            <v>39770</v>
          </cell>
          <cell r="B5654">
            <v>2127.89</v>
          </cell>
          <cell r="C5654">
            <v>2390.1</v>
          </cell>
          <cell r="D5654">
            <v>201.91</v>
          </cell>
          <cell r="E5654">
            <v>219.22</v>
          </cell>
          <cell r="F5654">
            <v>240.97</v>
          </cell>
          <cell r="G5654">
            <v>182.57</v>
          </cell>
          <cell r="H5654">
            <v>4345.01</v>
          </cell>
          <cell r="I5654">
            <v>242.78</v>
          </cell>
        </row>
        <row r="5655">
          <cell r="A5655">
            <v>39771</v>
          </cell>
          <cell r="B5655">
            <v>2032.29</v>
          </cell>
          <cell r="C5655">
            <v>2295.36</v>
          </cell>
          <cell r="D5655">
            <v>193.77</v>
          </cell>
          <cell r="E5655">
            <v>210.43</v>
          </cell>
          <cell r="F5655">
            <v>231.38</v>
          </cell>
          <cell r="G5655">
            <v>175.16</v>
          </cell>
          <cell r="H5655">
            <v>4148.6099999999997</v>
          </cell>
          <cell r="I5655">
            <v>232.57</v>
          </cell>
        </row>
        <row r="5656">
          <cell r="A5656">
            <v>39772</v>
          </cell>
          <cell r="B5656">
            <v>1955.99</v>
          </cell>
          <cell r="C5656">
            <v>2225.9899999999998</v>
          </cell>
          <cell r="D5656">
            <v>186.75</v>
          </cell>
          <cell r="E5656">
            <v>203.84</v>
          </cell>
          <cell r="F5656">
            <v>223.69</v>
          </cell>
          <cell r="G5656">
            <v>167.96</v>
          </cell>
          <cell r="H5656">
            <v>4016.53</v>
          </cell>
          <cell r="I5656">
            <v>224.83</v>
          </cell>
        </row>
        <row r="5657">
          <cell r="A5657">
            <v>39773</v>
          </cell>
          <cell r="B5657">
            <v>1894.31</v>
          </cell>
          <cell r="C5657">
            <v>2165.91</v>
          </cell>
          <cell r="D5657">
            <v>182.13</v>
          </cell>
          <cell r="E5657">
            <v>198.93</v>
          </cell>
          <cell r="F5657">
            <v>217.8</v>
          </cell>
          <cell r="G5657">
            <v>163.69999999999999</v>
          </cell>
          <cell r="H5657">
            <v>3851.22</v>
          </cell>
          <cell r="I5657">
            <v>216.49</v>
          </cell>
        </row>
        <row r="5658">
          <cell r="A5658">
            <v>39776</v>
          </cell>
          <cell r="B5658">
            <v>2075.88</v>
          </cell>
          <cell r="C5658">
            <v>2380.3000000000002</v>
          </cell>
          <cell r="D5658">
            <v>197.51</v>
          </cell>
          <cell r="E5658">
            <v>216.4</v>
          </cell>
          <cell r="F5658">
            <v>235.75</v>
          </cell>
          <cell r="G5658">
            <v>176.94</v>
          </cell>
          <cell r="H5658">
            <v>4245.5600000000004</v>
          </cell>
          <cell r="I5658">
            <v>237.22</v>
          </cell>
        </row>
        <row r="5659">
          <cell r="A5659">
            <v>39777</v>
          </cell>
          <cell r="B5659">
            <v>2085.4</v>
          </cell>
          <cell r="C5659">
            <v>2385.9</v>
          </cell>
          <cell r="D5659">
            <v>198.77</v>
          </cell>
          <cell r="E5659">
            <v>217.78</v>
          </cell>
          <cell r="F5659">
            <v>237.41</v>
          </cell>
          <cell r="G5659">
            <v>178.08</v>
          </cell>
          <cell r="H5659">
            <v>4333.12</v>
          </cell>
          <cell r="I5659">
            <v>242.24</v>
          </cell>
        </row>
        <row r="5660">
          <cell r="A5660">
            <v>39778</v>
          </cell>
          <cell r="B5660">
            <v>2084.75</v>
          </cell>
          <cell r="C5660">
            <v>2373.8200000000002</v>
          </cell>
          <cell r="D5660">
            <v>198.85</v>
          </cell>
          <cell r="E5660">
            <v>216.74</v>
          </cell>
          <cell r="F5660">
            <v>236.41</v>
          </cell>
          <cell r="G5660">
            <v>179.09</v>
          </cell>
          <cell r="H5660">
            <v>4285.51</v>
          </cell>
          <cell r="I5660">
            <v>240.62</v>
          </cell>
        </row>
        <row r="5661">
          <cell r="A5661">
            <v>39779</v>
          </cell>
          <cell r="B5661">
            <v>2128.86</v>
          </cell>
          <cell r="C5661">
            <v>2427.9699999999998</v>
          </cell>
          <cell r="D5661">
            <v>203.62</v>
          </cell>
          <cell r="E5661">
            <v>221.9</v>
          </cell>
          <cell r="F5661">
            <v>242.51</v>
          </cell>
          <cell r="G5661">
            <v>183.42</v>
          </cell>
          <cell r="H5661">
            <v>4450.1400000000003</v>
          </cell>
          <cell r="I5661">
            <v>249.96</v>
          </cell>
        </row>
        <row r="5662">
          <cell r="A5662">
            <v>39780</v>
          </cell>
          <cell r="B5662">
            <v>2159.04</v>
          </cell>
          <cell r="C5662">
            <v>2430.31</v>
          </cell>
          <cell r="D5662">
            <v>206.25</v>
          </cell>
          <cell r="E5662">
            <v>222.34</v>
          </cell>
          <cell r="F5662">
            <v>244.31</v>
          </cell>
          <cell r="G5662">
            <v>187.82</v>
          </cell>
          <cell r="H5662">
            <v>4443.53</v>
          </cell>
          <cell r="I5662">
            <v>249.03</v>
          </cell>
        </row>
        <row r="5663">
          <cell r="A5663">
            <v>39783</v>
          </cell>
          <cell r="B5663">
            <v>2029.66</v>
          </cell>
          <cell r="C5663">
            <v>2288.39</v>
          </cell>
          <cell r="D5663">
            <v>193.91</v>
          </cell>
          <cell r="E5663">
            <v>210.25</v>
          </cell>
          <cell r="F5663">
            <v>231.49</v>
          </cell>
          <cell r="G5663">
            <v>175.56</v>
          </cell>
          <cell r="H5663">
            <v>4143.6899999999996</v>
          </cell>
          <cell r="I5663">
            <v>233</v>
          </cell>
        </row>
        <row r="5664">
          <cell r="A5664">
            <v>39784</v>
          </cell>
          <cell r="B5664">
            <v>2065.39</v>
          </cell>
          <cell r="C5664">
            <v>2354.13</v>
          </cell>
          <cell r="D5664">
            <v>197.2</v>
          </cell>
          <cell r="E5664">
            <v>215.35</v>
          </cell>
          <cell r="F5664">
            <v>236.17</v>
          </cell>
          <cell r="G5664">
            <v>177.27</v>
          </cell>
          <cell r="H5664">
            <v>4301.45</v>
          </cell>
          <cell r="I5664">
            <v>240.75</v>
          </cell>
        </row>
        <row r="5665">
          <cell r="A5665">
            <v>39785</v>
          </cell>
          <cell r="B5665">
            <v>2081.2800000000002</v>
          </cell>
          <cell r="C5665">
            <v>2369.52</v>
          </cell>
          <cell r="D5665">
            <v>198.29</v>
          </cell>
          <cell r="E5665">
            <v>216.44</v>
          </cell>
          <cell r="F5665">
            <v>237.48</v>
          </cell>
          <cell r="G5665">
            <v>178.33</v>
          </cell>
          <cell r="H5665">
            <v>4330.7</v>
          </cell>
          <cell r="I5665">
            <v>241.59</v>
          </cell>
        </row>
        <row r="5666">
          <cell r="A5666">
            <v>39786</v>
          </cell>
          <cell r="B5666">
            <v>2071.7399999999998</v>
          </cell>
          <cell r="C5666">
            <v>2368.7199999999998</v>
          </cell>
          <cell r="D5666">
            <v>197.4</v>
          </cell>
          <cell r="E5666">
            <v>216.26</v>
          </cell>
          <cell r="F5666">
            <v>237.51</v>
          </cell>
          <cell r="G5666">
            <v>176.87</v>
          </cell>
          <cell r="H5666">
            <v>4294.3999999999996</v>
          </cell>
          <cell r="I5666">
            <v>240.82</v>
          </cell>
        </row>
        <row r="5667">
          <cell r="A5667">
            <v>39787</v>
          </cell>
          <cell r="B5667">
            <v>1993.19</v>
          </cell>
          <cell r="C5667">
            <v>2252.09</v>
          </cell>
          <cell r="D5667">
            <v>189.84</v>
          </cell>
          <cell r="E5667">
            <v>206.5</v>
          </cell>
          <cell r="F5667">
            <v>227.25</v>
          </cell>
          <cell r="G5667">
            <v>171.33</v>
          </cell>
          <cell r="H5667">
            <v>4049.39</v>
          </cell>
          <cell r="I5667">
            <v>226.86</v>
          </cell>
        </row>
        <row r="5668">
          <cell r="A5668">
            <v>39790</v>
          </cell>
          <cell r="B5668">
            <v>2139.64</v>
          </cell>
          <cell r="C5668">
            <v>2449.2800000000002</v>
          </cell>
          <cell r="D5668">
            <v>202.61</v>
          </cell>
          <cell r="E5668">
            <v>221.6</v>
          </cell>
          <cell r="F5668">
            <v>243.29</v>
          </cell>
          <cell r="G5668">
            <v>181.85</v>
          </cell>
          <cell r="H5668">
            <v>4449.08</v>
          </cell>
          <cell r="I5668">
            <v>248.21</v>
          </cell>
        </row>
        <row r="5669">
          <cell r="A5669">
            <v>39791</v>
          </cell>
          <cell r="B5669">
            <v>2161.83</v>
          </cell>
          <cell r="C5669">
            <v>2480.79</v>
          </cell>
          <cell r="D5669">
            <v>205.33</v>
          </cell>
          <cell r="E5669">
            <v>224.62</v>
          </cell>
          <cell r="F5669">
            <v>246.11</v>
          </cell>
          <cell r="G5669">
            <v>184.25</v>
          </cell>
          <cell r="H5669">
            <v>4513.54</v>
          </cell>
          <cell r="I5669">
            <v>252.02</v>
          </cell>
        </row>
        <row r="5670">
          <cell r="A5670">
            <v>39792</v>
          </cell>
          <cell r="B5670">
            <v>2157.64</v>
          </cell>
          <cell r="C5670">
            <v>2495.58</v>
          </cell>
          <cell r="D5670">
            <v>205.37</v>
          </cell>
          <cell r="E5670">
            <v>226.37</v>
          </cell>
          <cell r="F5670">
            <v>247.05</v>
          </cell>
          <cell r="G5670">
            <v>182.85</v>
          </cell>
          <cell r="H5670">
            <v>4511.72</v>
          </cell>
          <cell r="I5670">
            <v>253.91</v>
          </cell>
        </row>
        <row r="5671">
          <cell r="A5671">
            <v>39793</v>
          </cell>
          <cell r="B5671">
            <v>2141.87</v>
          </cell>
          <cell r="C5671">
            <v>2485.39</v>
          </cell>
          <cell r="D5671">
            <v>203.79</v>
          </cell>
          <cell r="E5671">
            <v>225.08</v>
          </cell>
          <cell r="F5671">
            <v>245.02</v>
          </cell>
          <cell r="G5671">
            <v>181.08</v>
          </cell>
          <cell r="H5671">
            <v>4436.1899999999996</v>
          </cell>
          <cell r="I5671">
            <v>250.07</v>
          </cell>
        </row>
        <row r="5672">
          <cell r="A5672">
            <v>39794</v>
          </cell>
          <cell r="B5672">
            <v>2079.83</v>
          </cell>
          <cell r="C5672">
            <v>2418.91</v>
          </cell>
          <cell r="D5672">
            <v>198.22</v>
          </cell>
          <cell r="E5672">
            <v>219.66</v>
          </cell>
          <cell r="F5672">
            <v>239.22</v>
          </cell>
          <cell r="G5672">
            <v>175.5</v>
          </cell>
          <cell r="H5672">
            <v>4274.03</v>
          </cell>
          <cell r="I5672">
            <v>241.17</v>
          </cell>
        </row>
        <row r="5673">
          <cell r="A5673">
            <v>39797</v>
          </cell>
          <cell r="B5673">
            <v>2068.19</v>
          </cell>
          <cell r="C5673">
            <v>2407.4699999999998</v>
          </cell>
          <cell r="D5673">
            <v>197.51</v>
          </cell>
          <cell r="E5673">
            <v>218.95</v>
          </cell>
          <cell r="F5673">
            <v>237.3</v>
          </cell>
          <cell r="G5673">
            <v>174.81</v>
          </cell>
          <cell r="H5673">
            <v>4206.5600000000004</v>
          </cell>
          <cell r="I5673">
            <v>237.42</v>
          </cell>
        </row>
        <row r="5674">
          <cell r="A5674">
            <v>39798</v>
          </cell>
          <cell r="B5674">
            <v>2089.67</v>
          </cell>
          <cell r="C5674">
            <v>2450.36</v>
          </cell>
          <cell r="D5674">
            <v>199.01</v>
          </cell>
          <cell r="E5674">
            <v>222.08</v>
          </cell>
          <cell r="F5674">
            <v>240.35</v>
          </cell>
          <cell r="G5674">
            <v>174.9</v>
          </cell>
          <cell r="H5674">
            <v>4219.05</v>
          </cell>
          <cell r="I5674">
            <v>238.42</v>
          </cell>
        </row>
        <row r="5675">
          <cell r="A5675">
            <v>39799</v>
          </cell>
          <cell r="B5675">
            <v>2063.63</v>
          </cell>
          <cell r="C5675">
            <v>2444.46</v>
          </cell>
          <cell r="D5675">
            <v>197.51</v>
          </cell>
          <cell r="E5675">
            <v>221.71</v>
          </cell>
          <cell r="F5675">
            <v>240.77</v>
          </cell>
          <cell r="G5675">
            <v>172.5</v>
          </cell>
          <cell r="H5675">
            <v>4254.24</v>
          </cell>
          <cell r="I5675">
            <v>240.04</v>
          </cell>
        </row>
        <row r="5676">
          <cell r="A5676">
            <v>39800</v>
          </cell>
          <cell r="B5676">
            <v>2058.84</v>
          </cell>
          <cell r="C5676">
            <v>2452.42</v>
          </cell>
          <cell r="D5676">
            <v>197.31</v>
          </cell>
          <cell r="E5676">
            <v>222.57</v>
          </cell>
          <cell r="F5676">
            <v>241.9</v>
          </cell>
          <cell r="G5676">
            <v>171.43</v>
          </cell>
          <cell r="H5676">
            <v>4291.71</v>
          </cell>
          <cell r="I5676">
            <v>240.98</v>
          </cell>
        </row>
        <row r="5677">
          <cell r="A5677">
            <v>39801</v>
          </cell>
          <cell r="B5677">
            <v>2052.98</v>
          </cell>
          <cell r="C5677">
            <v>2444.14</v>
          </cell>
          <cell r="D5677">
            <v>196.43</v>
          </cell>
          <cell r="E5677">
            <v>221.47</v>
          </cell>
          <cell r="F5677">
            <v>240.21</v>
          </cell>
          <cell r="G5677">
            <v>170.74</v>
          </cell>
          <cell r="H5677">
            <v>4268.08</v>
          </cell>
          <cell r="I5677">
            <v>239.69</v>
          </cell>
        </row>
        <row r="5678">
          <cell r="A5678">
            <v>39804</v>
          </cell>
          <cell r="B5678">
            <v>2024.07</v>
          </cell>
          <cell r="C5678">
            <v>2397.65</v>
          </cell>
          <cell r="D5678">
            <v>193.32</v>
          </cell>
          <cell r="E5678">
            <v>217.71</v>
          </cell>
          <cell r="F5678">
            <v>236.89</v>
          </cell>
          <cell r="G5678">
            <v>168.26</v>
          </cell>
          <cell r="H5678">
            <v>4185.4399999999996</v>
          </cell>
          <cell r="I5678">
            <v>234.84</v>
          </cell>
        </row>
        <row r="5679">
          <cell r="A5679">
            <v>39805</v>
          </cell>
          <cell r="B5679">
            <v>2015.16</v>
          </cell>
          <cell r="C5679">
            <v>2382.14</v>
          </cell>
          <cell r="D5679">
            <v>193.05</v>
          </cell>
          <cell r="E5679">
            <v>217.18</v>
          </cell>
          <cell r="F5679">
            <v>236.61</v>
          </cell>
          <cell r="G5679">
            <v>168.2</v>
          </cell>
          <cell r="H5679">
            <v>4158.5600000000004</v>
          </cell>
          <cell r="I5679">
            <v>233.73</v>
          </cell>
        </row>
        <row r="5680">
          <cell r="A5680">
            <v>39806</v>
          </cell>
          <cell r="B5680">
            <v>2009.08</v>
          </cell>
          <cell r="C5680">
            <v>2377.42</v>
          </cell>
          <cell r="D5680">
            <v>192.42</v>
          </cell>
          <cell r="E5680">
            <v>216.66</v>
          </cell>
          <cell r="F5680">
            <v>236.34</v>
          </cell>
          <cell r="G5680">
            <v>167.5</v>
          </cell>
          <cell r="H5680">
            <v>4131.72</v>
          </cell>
          <cell r="I5680">
            <v>232.45</v>
          </cell>
        </row>
        <row r="5681">
          <cell r="A5681">
            <v>39811</v>
          </cell>
          <cell r="B5681">
            <v>2023.26</v>
          </cell>
          <cell r="C5681">
            <v>2388.3000000000002</v>
          </cell>
          <cell r="D5681">
            <v>193.46</v>
          </cell>
          <cell r="E5681">
            <v>217.92</v>
          </cell>
          <cell r="F5681">
            <v>238.81</v>
          </cell>
          <cell r="G5681">
            <v>168.32</v>
          </cell>
          <cell r="H5681">
            <v>4167.3500000000004</v>
          </cell>
          <cell r="I5681">
            <v>234.11</v>
          </cell>
        </row>
        <row r="5682">
          <cell r="A5682">
            <v>39812</v>
          </cell>
          <cell r="B5682">
            <v>2065.46</v>
          </cell>
          <cell r="C5682">
            <v>2451.48</v>
          </cell>
          <cell r="D5682">
            <v>196.9</v>
          </cell>
          <cell r="E5682">
            <v>222.81</v>
          </cell>
          <cell r="F5682">
            <v>243.39</v>
          </cell>
          <cell r="G5682">
            <v>170.47</v>
          </cell>
          <cell r="H5682">
            <v>4238.25</v>
          </cell>
          <cell r="I5682">
            <v>239.26</v>
          </cell>
        </row>
        <row r="5683">
          <cell r="A5683">
            <v>39813</v>
          </cell>
          <cell r="B5683">
            <v>2083.9</v>
          </cell>
          <cell r="C5683">
            <v>2447.62</v>
          </cell>
          <cell r="D5683">
            <v>198.36</v>
          </cell>
          <cell r="E5683">
            <v>222.7</v>
          </cell>
          <cell r="F5683">
            <v>243.59</v>
          </cell>
          <cell r="G5683">
            <v>173.21</v>
          </cell>
          <cell r="H5683">
            <v>4240.96</v>
          </cell>
          <cell r="I5683">
            <v>239.43</v>
          </cell>
        </row>
        <row r="5684">
          <cell r="A5684">
            <v>39815</v>
          </cell>
          <cell r="B5684">
            <v>2143.5700000000002</v>
          </cell>
          <cell r="C5684">
            <v>2536.4699999999998</v>
          </cell>
          <cell r="D5684">
            <v>204.46</v>
          </cell>
          <cell r="E5684">
            <v>230.58</v>
          </cell>
          <cell r="F5684">
            <v>250.7</v>
          </cell>
          <cell r="G5684">
            <v>177.68</v>
          </cell>
          <cell r="H5684">
            <v>4465.37</v>
          </cell>
          <cell r="I5684">
            <v>252.05</v>
          </cell>
        </row>
        <row r="5685">
          <cell r="A5685">
            <v>39818</v>
          </cell>
          <cell r="B5685">
            <v>2183.35</v>
          </cell>
          <cell r="C5685">
            <v>2553.41</v>
          </cell>
          <cell r="D5685">
            <v>208.69</v>
          </cell>
          <cell r="E5685">
            <v>232.9</v>
          </cell>
          <cell r="F5685">
            <v>254.59</v>
          </cell>
          <cell r="G5685">
            <v>183.4</v>
          </cell>
          <cell r="H5685">
            <v>4606.46</v>
          </cell>
          <cell r="I5685">
            <v>259.92</v>
          </cell>
        </row>
        <row r="5686">
          <cell r="A5686">
            <v>39819</v>
          </cell>
          <cell r="B5686">
            <v>2216.62</v>
          </cell>
          <cell r="C5686">
            <v>2578.4299999999998</v>
          </cell>
          <cell r="D5686">
            <v>212.87</v>
          </cell>
          <cell r="E5686">
            <v>235.48</v>
          </cell>
          <cell r="F5686">
            <v>257.32</v>
          </cell>
          <cell r="G5686">
            <v>188.83</v>
          </cell>
          <cell r="H5686">
            <v>4672.75</v>
          </cell>
          <cell r="I5686">
            <v>263.39</v>
          </cell>
        </row>
        <row r="5687">
          <cell r="A5687">
            <v>39820</v>
          </cell>
          <cell r="B5687">
            <v>2184.1</v>
          </cell>
          <cell r="C5687">
            <v>2538.5500000000002</v>
          </cell>
          <cell r="D5687">
            <v>210.31</v>
          </cell>
          <cell r="E5687">
            <v>232.6</v>
          </cell>
          <cell r="F5687">
            <v>254.64</v>
          </cell>
          <cell r="G5687">
            <v>186.59</v>
          </cell>
          <cell r="H5687">
            <v>4632.24</v>
          </cell>
          <cell r="I5687">
            <v>260.41000000000003</v>
          </cell>
        </row>
        <row r="5688">
          <cell r="A5688">
            <v>39821</v>
          </cell>
          <cell r="B5688">
            <v>2171.5300000000002</v>
          </cell>
          <cell r="C5688">
            <v>2516.56</v>
          </cell>
          <cell r="D5688">
            <v>208.77</v>
          </cell>
          <cell r="E5688">
            <v>230.46</v>
          </cell>
          <cell r="F5688">
            <v>252.51</v>
          </cell>
          <cell r="G5688">
            <v>185.59</v>
          </cell>
          <cell r="H5688">
            <v>4539.95</v>
          </cell>
          <cell r="I5688">
            <v>254.89</v>
          </cell>
        </row>
        <row r="5689">
          <cell r="A5689">
            <v>39822</v>
          </cell>
          <cell r="B5689">
            <v>2158.9499999999998</v>
          </cell>
          <cell r="C5689">
            <v>2486.59</v>
          </cell>
          <cell r="D5689">
            <v>207.82</v>
          </cell>
          <cell r="E5689">
            <v>228.2</v>
          </cell>
          <cell r="F5689">
            <v>250.17</v>
          </cell>
          <cell r="G5689">
            <v>185.77</v>
          </cell>
          <cell r="H5689">
            <v>4522.57</v>
          </cell>
          <cell r="I5689">
            <v>254.44</v>
          </cell>
        </row>
        <row r="5690">
          <cell r="A5690">
            <v>39825</v>
          </cell>
          <cell r="B5690">
            <v>2129.1799999999998</v>
          </cell>
          <cell r="C5690">
            <v>2451.87</v>
          </cell>
          <cell r="D5690">
            <v>204.53</v>
          </cell>
          <cell r="E5690">
            <v>224.92</v>
          </cell>
          <cell r="F5690">
            <v>246.51</v>
          </cell>
          <cell r="G5690">
            <v>182.55</v>
          </cell>
          <cell r="H5690">
            <v>4429.4399999999996</v>
          </cell>
          <cell r="I5690">
            <v>249.64</v>
          </cell>
        </row>
        <row r="5691">
          <cell r="A5691">
            <v>39826</v>
          </cell>
          <cell r="B5691">
            <v>2105.54</v>
          </cell>
          <cell r="C5691">
            <v>2411.2800000000002</v>
          </cell>
          <cell r="D5691">
            <v>201.66</v>
          </cell>
          <cell r="E5691">
            <v>221.38</v>
          </cell>
          <cell r="F5691">
            <v>243</v>
          </cell>
          <cell r="G5691">
            <v>180.32</v>
          </cell>
          <cell r="H5691">
            <v>4320.5600000000004</v>
          </cell>
          <cell r="I5691">
            <v>243.65</v>
          </cell>
        </row>
        <row r="5692">
          <cell r="A5692">
            <v>39827</v>
          </cell>
          <cell r="B5692">
            <v>2010.28</v>
          </cell>
          <cell r="C5692">
            <v>2298.46</v>
          </cell>
          <cell r="D5692">
            <v>192.87</v>
          </cell>
          <cell r="E5692">
            <v>211.63</v>
          </cell>
          <cell r="F5692">
            <v>232.95</v>
          </cell>
          <cell r="G5692">
            <v>172.54</v>
          </cell>
          <cell r="H5692">
            <v>4060.85</v>
          </cell>
          <cell r="I5692">
            <v>229.68</v>
          </cell>
        </row>
        <row r="5693">
          <cell r="A5693">
            <v>39828</v>
          </cell>
          <cell r="B5693">
            <v>1987.31</v>
          </cell>
          <cell r="C5693">
            <v>2257.67</v>
          </cell>
          <cell r="D5693">
            <v>191.17</v>
          </cell>
          <cell r="E5693">
            <v>208.42</v>
          </cell>
          <cell r="F5693">
            <v>230.58</v>
          </cell>
          <cell r="G5693">
            <v>172.15</v>
          </cell>
          <cell r="H5693">
            <v>4101.6499999999996</v>
          </cell>
          <cell r="I5693">
            <v>231.29</v>
          </cell>
        </row>
        <row r="5694">
          <cell r="A5694">
            <v>39829</v>
          </cell>
          <cell r="B5694">
            <v>2005.89</v>
          </cell>
          <cell r="C5694">
            <v>2281.4499999999998</v>
          </cell>
          <cell r="D5694">
            <v>192.96</v>
          </cell>
          <cell r="E5694">
            <v>210.32</v>
          </cell>
          <cell r="F5694">
            <v>232.69</v>
          </cell>
          <cell r="G5694">
            <v>173.81</v>
          </cell>
          <cell r="H5694">
            <v>4226.54</v>
          </cell>
          <cell r="I5694">
            <v>238.16</v>
          </cell>
        </row>
        <row r="5695">
          <cell r="A5695">
            <v>39832</v>
          </cell>
          <cell r="B5695">
            <v>1973.99</v>
          </cell>
          <cell r="C5695">
            <v>2252.39</v>
          </cell>
          <cell r="D5695">
            <v>189.72</v>
          </cell>
          <cell r="E5695">
            <v>207.32</v>
          </cell>
          <cell r="F5695">
            <v>229.39</v>
          </cell>
          <cell r="G5695">
            <v>170.45</v>
          </cell>
          <cell r="H5695">
            <v>4155.17</v>
          </cell>
          <cell r="I5695">
            <v>233.76</v>
          </cell>
        </row>
        <row r="5696">
          <cell r="A5696">
            <v>39833</v>
          </cell>
          <cell r="B5696">
            <v>1935.88</v>
          </cell>
          <cell r="C5696">
            <v>2200.8000000000002</v>
          </cell>
          <cell r="D5696">
            <v>185.7</v>
          </cell>
          <cell r="E5696">
            <v>202.92</v>
          </cell>
          <cell r="F5696">
            <v>225.01</v>
          </cell>
          <cell r="G5696">
            <v>166.85</v>
          </cell>
          <cell r="H5696">
            <v>4022.14</v>
          </cell>
          <cell r="I5696">
            <v>226.62</v>
          </cell>
        </row>
        <row r="5697">
          <cell r="A5697">
            <v>39834</v>
          </cell>
          <cell r="B5697">
            <v>1916.85</v>
          </cell>
          <cell r="C5697">
            <v>2188.4299999999998</v>
          </cell>
          <cell r="D5697">
            <v>184.52</v>
          </cell>
          <cell r="E5697">
            <v>202.16</v>
          </cell>
          <cell r="F5697">
            <v>224.92</v>
          </cell>
          <cell r="G5697">
            <v>165.34</v>
          </cell>
          <cell r="H5697">
            <v>4135.82</v>
          </cell>
          <cell r="I5697">
            <v>232.23</v>
          </cell>
        </row>
        <row r="5698">
          <cell r="A5698">
            <v>39835</v>
          </cell>
          <cell r="B5698">
            <v>1898.46</v>
          </cell>
          <cell r="C5698">
            <v>2160.0700000000002</v>
          </cell>
          <cell r="D5698">
            <v>182.85</v>
          </cell>
          <cell r="E5698">
            <v>199.88</v>
          </cell>
          <cell r="F5698">
            <v>222.7</v>
          </cell>
          <cell r="G5698">
            <v>164.21</v>
          </cell>
          <cell r="H5698">
            <v>4083.8</v>
          </cell>
          <cell r="I5698">
            <v>228.54</v>
          </cell>
        </row>
        <row r="5699">
          <cell r="A5699">
            <v>39836</v>
          </cell>
          <cell r="B5699">
            <v>1901.77</v>
          </cell>
          <cell r="C5699">
            <v>2147.87</v>
          </cell>
          <cell r="D5699">
            <v>182.49</v>
          </cell>
          <cell r="E5699">
            <v>198.78</v>
          </cell>
          <cell r="F5699">
            <v>221.54</v>
          </cell>
          <cell r="G5699">
            <v>164.48</v>
          </cell>
          <cell r="H5699">
            <v>4081.65</v>
          </cell>
          <cell r="I5699">
            <v>228.74</v>
          </cell>
        </row>
        <row r="5700">
          <cell r="A5700">
            <v>39839</v>
          </cell>
          <cell r="B5700">
            <v>1963.78</v>
          </cell>
          <cell r="C5700">
            <v>2226.77</v>
          </cell>
          <cell r="D5700">
            <v>188.06</v>
          </cell>
          <cell r="E5700">
            <v>205.36</v>
          </cell>
          <cell r="F5700">
            <v>228.24</v>
          </cell>
          <cell r="G5700">
            <v>169.07</v>
          </cell>
          <cell r="H5700">
            <v>4236.6499999999996</v>
          </cell>
          <cell r="I5700">
            <v>236.54</v>
          </cell>
        </row>
        <row r="5701">
          <cell r="A5701">
            <v>39840</v>
          </cell>
          <cell r="B5701">
            <v>1963.83</v>
          </cell>
          <cell r="C5701">
            <v>2224.62</v>
          </cell>
          <cell r="D5701">
            <v>188.31</v>
          </cell>
          <cell r="E5701">
            <v>205.33</v>
          </cell>
          <cell r="F5701">
            <v>227.64</v>
          </cell>
          <cell r="G5701">
            <v>169.57</v>
          </cell>
          <cell r="H5701">
            <v>4193.68</v>
          </cell>
          <cell r="I5701">
            <v>235.1</v>
          </cell>
        </row>
        <row r="5702">
          <cell r="A5702">
            <v>39841</v>
          </cell>
          <cell r="B5702">
            <v>2020.5</v>
          </cell>
          <cell r="C5702">
            <v>2322.7800000000002</v>
          </cell>
          <cell r="D5702">
            <v>194.32</v>
          </cell>
          <cell r="E5702">
            <v>213.45</v>
          </cell>
          <cell r="F5702">
            <v>235</v>
          </cell>
          <cell r="G5702">
            <v>173.65</v>
          </cell>
          <cell r="H5702">
            <v>4319.01</v>
          </cell>
          <cell r="I5702">
            <v>242.34</v>
          </cell>
        </row>
        <row r="5703">
          <cell r="A5703">
            <v>39842</v>
          </cell>
          <cell r="B5703">
            <v>1984.47</v>
          </cell>
          <cell r="C5703">
            <v>2269.4</v>
          </cell>
          <cell r="D5703">
            <v>190.79</v>
          </cell>
          <cell r="E5703">
            <v>209.04</v>
          </cell>
          <cell r="F5703">
            <v>230.36</v>
          </cell>
          <cell r="G5703">
            <v>170.95</v>
          </cell>
          <cell r="H5703">
            <v>4204.97</v>
          </cell>
          <cell r="I5703">
            <v>236.31</v>
          </cell>
        </row>
        <row r="5704">
          <cell r="A5704">
            <v>39843</v>
          </cell>
          <cell r="B5704">
            <v>1983.48</v>
          </cell>
          <cell r="C5704">
            <v>2236.98</v>
          </cell>
          <cell r="D5704">
            <v>191.23</v>
          </cell>
          <cell r="E5704">
            <v>207.09</v>
          </cell>
          <cell r="F5704">
            <v>229.15</v>
          </cell>
          <cell r="G5704">
            <v>173.39</v>
          </cell>
          <cell r="H5704">
            <v>4203.8</v>
          </cell>
          <cell r="I5704">
            <v>236.15</v>
          </cell>
        </row>
        <row r="5705">
          <cell r="A5705">
            <v>39846</v>
          </cell>
          <cell r="B5705">
            <v>1938.31</v>
          </cell>
          <cell r="C5705">
            <v>2198.7399999999998</v>
          </cell>
          <cell r="D5705">
            <v>186.32</v>
          </cell>
          <cell r="E5705">
            <v>203.18</v>
          </cell>
          <cell r="F5705">
            <v>224.25</v>
          </cell>
          <cell r="G5705">
            <v>167.75</v>
          </cell>
          <cell r="H5705">
            <v>4068.15</v>
          </cell>
          <cell r="I5705">
            <v>228.83</v>
          </cell>
        </row>
        <row r="5706">
          <cell r="A5706">
            <v>39847</v>
          </cell>
          <cell r="B5706">
            <v>1976.81</v>
          </cell>
          <cell r="C5706">
            <v>2244.89</v>
          </cell>
          <cell r="D5706">
            <v>189.78</v>
          </cell>
          <cell r="E5706">
            <v>206.66</v>
          </cell>
          <cell r="F5706">
            <v>228.07</v>
          </cell>
          <cell r="G5706">
            <v>171.11</v>
          </cell>
          <cell r="H5706">
            <v>4161.75</v>
          </cell>
          <cell r="I5706">
            <v>233.33</v>
          </cell>
        </row>
        <row r="5707">
          <cell r="A5707">
            <v>39848</v>
          </cell>
          <cell r="B5707">
            <v>2018.24</v>
          </cell>
          <cell r="C5707">
            <v>2297.73</v>
          </cell>
          <cell r="D5707">
            <v>194.67</v>
          </cell>
          <cell r="E5707">
            <v>211.55</v>
          </cell>
          <cell r="F5707">
            <v>232.69</v>
          </cell>
          <cell r="G5707">
            <v>175.9</v>
          </cell>
          <cell r="H5707">
            <v>4318.16</v>
          </cell>
          <cell r="I5707">
            <v>242.69</v>
          </cell>
        </row>
        <row r="5708">
          <cell r="A5708">
            <v>39849</v>
          </cell>
          <cell r="B5708">
            <v>2012.71</v>
          </cell>
          <cell r="C5708">
            <v>2293.23</v>
          </cell>
          <cell r="D5708">
            <v>194.5</v>
          </cell>
          <cell r="E5708">
            <v>211.1</v>
          </cell>
          <cell r="F5708">
            <v>231.25</v>
          </cell>
          <cell r="G5708">
            <v>175.96</v>
          </cell>
          <cell r="H5708">
            <v>4285.03</v>
          </cell>
          <cell r="I5708">
            <v>241.65</v>
          </cell>
        </row>
        <row r="5709">
          <cell r="A5709">
            <v>39850</v>
          </cell>
          <cell r="B5709">
            <v>2045.76</v>
          </cell>
          <cell r="C5709">
            <v>2343.66</v>
          </cell>
          <cell r="D5709">
            <v>198.53</v>
          </cell>
          <cell r="E5709">
            <v>215.92</v>
          </cell>
          <cell r="F5709">
            <v>235.98</v>
          </cell>
          <cell r="G5709">
            <v>179.23</v>
          </cell>
          <cell r="H5709">
            <v>4472.34</v>
          </cell>
          <cell r="I5709">
            <v>252.13</v>
          </cell>
        </row>
        <row r="5710">
          <cell r="A5710">
            <v>39853</v>
          </cell>
          <cell r="B5710">
            <v>2045.23</v>
          </cell>
          <cell r="C5710">
            <v>2348.9499999999998</v>
          </cell>
          <cell r="D5710">
            <v>199.35</v>
          </cell>
          <cell r="E5710">
            <v>217.07</v>
          </cell>
          <cell r="F5710">
            <v>237.49</v>
          </cell>
          <cell r="G5710">
            <v>179.76</v>
          </cell>
          <cell r="H5710">
            <v>4576.32</v>
          </cell>
          <cell r="I5710">
            <v>257.33999999999997</v>
          </cell>
        </row>
        <row r="5711">
          <cell r="A5711">
            <v>39854</v>
          </cell>
          <cell r="B5711">
            <v>1991.07</v>
          </cell>
          <cell r="C5711">
            <v>2268.15</v>
          </cell>
          <cell r="D5711">
            <v>193.82</v>
          </cell>
          <cell r="E5711">
            <v>210.39</v>
          </cell>
          <cell r="F5711">
            <v>231.66</v>
          </cell>
          <cell r="G5711">
            <v>175.33</v>
          </cell>
          <cell r="H5711">
            <v>4448.6899999999996</v>
          </cell>
          <cell r="I5711">
            <v>250.19</v>
          </cell>
        </row>
        <row r="5712">
          <cell r="A5712">
            <v>39855</v>
          </cell>
          <cell r="B5712">
            <v>1984.26</v>
          </cell>
          <cell r="C5712">
            <v>2267.9</v>
          </cell>
          <cell r="D5712">
            <v>193.13</v>
          </cell>
          <cell r="E5712">
            <v>210.46</v>
          </cell>
          <cell r="F5712">
            <v>231.41</v>
          </cell>
          <cell r="G5712">
            <v>174.01</v>
          </cell>
          <cell r="H5712">
            <v>4365.18</v>
          </cell>
          <cell r="I5712">
            <v>246.45</v>
          </cell>
        </row>
        <row r="5713">
          <cell r="A5713">
            <v>39856</v>
          </cell>
          <cell r="B5713">
            <v>1961.57</v>
          </cell>
          <cell r="C5713">
            <v>2214.9499999999998</v>
          </cell>
          <cell r="D5713">
            <v>190.64</v>
          </cell>
          <cell r="E5713">
            <v>205.94</v>
          </cell>
          <cell r="F5713">
            <v>227.6</v>
          </cell>
          <cell r="G5713">
            <v>173.28</v>
          </cell>
          <cell r="H5713">
            <v>4329.53</v>
          </cell>
          <cell r="I5713">
            <v>244.07</v>
          </cell>
        </row>
        <row r="5714">
          <cell r="A5714">
            <v>39857</v>
          </cell>
          <cell r="B5714">
            <v>1966.27</v>
          </cell>
          <cell r="C5714">
            <v>2228.29</v>
          </cell>
          <cell r="D5714">
            <v>191.27</v>
          </cell>
          <cell r="E5714">
            <v>207.02</v>
          </cell>
          <cell r="F5714">
            <v>228.88</v>
          </cell>
          <cell r="G5714">
            <v>173.52</v>
          </cell>
          <cell r="H5714">
            <v>4394.07</v>
          </cell>
          <cell r="I5714">
            <v>247.14</v>
          </cell>
        </row>
        <row r="5715">
          <cell r="A5715">
            <v>39860</v>
          </cell>
          <cell r="B5715">
            <v>1939.39</v>
          </cell>
          <cell r="C5715">
            <v>2193.64</v>
          </cell>
          <cell r="D5715">
            <v>188.67</v>
          </cell>
          <cell r="E5715">
            <v>204.03</v>
          </cell>
          <cell r="F5715">
            <v>226.16</v>
          </cell>
          <cell r="G5715">
            <v>171.31</v>
          </cell>
          <cell r="H5715">
            <v>4356.37</v>
          </cell>
          <cell r="I5715">
            <v>244.48</v>
          </cell>
        </row>
        <row r="5716">
          <cell r="A5716">
            <v>39861</v>
          </cell>
          <cell r="B5716">
            <v>1893.08</v>
          </cell>
          <cell r="C5716">
            <v>2119.98</v>
          </cell>
          <cell r="D5716">
            <v>183.98</v>
          </cell>
          <cell r="E5716">
            <v>197.17</v>
          </cell>
          <cell r="F5716">
            <v>218.7</v>
          </cell>
          <cell r="G5716">
            <v>168.57</v>
          </cell>
          <cell r="H5716">
            <v>4151.45</v>
          </cell>
          <cell r="I5716">
            <v>233.43</v>
          </cell>
        </row>
        <row r="5717">
          <cell r="A5717">
            <v>39862</v>
          </cell>
          <cell r="B5717">
            <v>1889.86</v>
          </cell>
          <cell r="C5717">
            <v>2118.4699999999998</v>
          </cell>
          <cell r="D5717">
            <v>183.35</v>
          </cell>
          <cell r="E5717">
            <v>196.63</v>
          </cell>
          <cell r="F5717">
            <v>218.38</v>
          </cell>
          <cell r="G5717">
            <v>167.87</v>
          </cell>
          <cell r="H5717">
            <v>4153.54</v>
          </cell>
          <cell r="I5717">
            <v>233.51</v>
          </cell>
        </row>
        <row r="5718">
          <cell r="A5718">
            <v>39863</v>
          </cell>
          <cell r="B5718">
            <v>1886.28</v>
          </cell>
          <cell r="C5718">
            <v>2114.84</v>
          </cell>
          <cell r="D5718">
            <v>183.39</v>
          </cell>
          <cell r="E5718">
            <v>196.7</v>
          </cell>
          <cell r="F5718">
            <v>218.65</v>
          </cell>
          <cell r="G5718">
            <v>167.88</v>
          </cell>
          <cell r="H5718">
            <v>4168.53</v>
          </cell>
          <cell r="I5718">
            <v>233.6</v>
          </cell>
        </row>
        <row r="5719">
          <cell r="A5719">
            <v>39864</v>
          </cell>
          <cell r="B5719">
            <v>1814.48</v>
          </cell>
          <cell r="C5719">
            <v>2011.68</v>
          </cell>
          <cell r="D5719">
            <v>176.93</v>
          </cell>
          <cell r="E5719">
            <v>188.3</v>
          </cell>
          <cell r="F5719">
            <v>209.94</v>
          </cell>
          <cell r="G5719">
            <v>163.19999999999999</v>
          </cell>
          <cell r="H5719">
            <v>3987.54</v>
          </cell>
          <cell r="I5719">
            <v>223.43</v>
          </cell>
        </row>
        <row r="5720">
          <cell r="A5720">
            <v>39867</v>
          </cell>
          <cell r="B5720">
            <v>1801.29</v>
          </cell>
          <cell r="C5720">
            <v>1991.63</v>
          </cell>
          <cell r="D5720">
            <v>175.29</v>
          </cell>
          <cell r="E5720">
            <v>185.93</v>
          </cell>
          <cell r="F5720">
            <v>207.33</v>
          </cell>
          <cell r="G5720">
            <v>162.22999999999999</v>
          </cell>
          <cell r="H5720">
            <v>3923.21</v>
          </cell>
          <cell r="I5720">
            <v>219.94</v>
          </cell>
        </row>
        <row r="5721">
          <cell r="A5721">
            <v>39868</v>
          </cell>
          <cell r="B5721">
            <v>1776.42</v>
          </cell>
          <cell r="C5721">
            <v>1977.5</v>
          </cell>
          <cell r="D5721">
            <v>172.86</v>
          </cell>
          <cell r="E5721">
            <v>184.34</v>
          </cell>
          <cell r="F5721">
            <v>204.97</v>
          </cell>
          <cell r="G5721">
            <v>159.13999999999999</v>
          </cell>
          <cell r="H5721">
            <v>3842.88</v>
          </cell>
          <cell r="I5721">
            <v>215.52</v>
          </cell>
        </row>
        <row r="5722">
          <cell r="A5722">
            <v>39869</v>
          </cell>
          <cell r="B5722">
            <v>1769.68</v>
          </cell>
          <cell r="C5722">
            <v>1965.26</v>
          </cell>
          <cell r="D5722">
            <v>172.31</v>
          </cell>
          <cell r="E5722">
            <v>183.18</v>
          </cell>
          <cell r="F5722">
            <v>203.95</v>
          </cell>
          <cell r="G5722">
            <v>159.13</v>
          </cell>
          <cell r="H5722">
            <v>3821.37</v>
          </cell>
          <cell r="I5722">
            <v>214.14</v>
          </cell>
        </row>
        <row r="5723">
          <cell r="A5723">
            <v>39870</v>
          </cell>
          <cell r="B5723">
            <v>1811.34</v>
          </cell>
          <cell r="C5723">
            <v>2021.14</v>
          </cell>
          <cell r="D5723">
            <v>176.14</v>
          </cell>
          <cell r="E5723">
            <v>187.41</v>
          </cell>
          <cell r="F5723">
            <v>208.34</v>
          </cell>
          <cell r="G5723">
            <v>162.52000000000001</v>
          </cell>
          <cell r="H5723">
            <v>3954.97</v>
          </cell>
          <cell r="I5723">
            <v>220.4</v>
          </cell>
        </row>
        <row r="5724">
          <cell r="A5724">
            <v>39871</v>
          </cell>
          <cell r="B5724">
            <v>1770.41</v>
          </cell>
          <cell r="C5724">
            <v>1976.23</v>
          </cell>
          <cell r="D5724">
            <v>172.92</v>
          </cell>
          <cell r="E5724">
            <v>184.27</v>
          </cell>
          <cell r="F5724">
            <v>205.14</v>
          </cell>
          <cell r="G5724">
            <v>159.31</v>
          </cell>
          <cell r="H5724">
            <v>3880.26</v>
          </cell>
          <cell r="I5724">
            <v>216.38</v>
          </cell>
        </row>
        <row r="5725">
          <cell r="A5725">
            <v>39874</v>
          </cell>
          <cell r="B5725">
            <v>1670.84</v>
          </cell>
          <cell r="C5725">
            <v>1882.79</v>
          </cell>
          <cell r="D5725">
            <v>164.3</v>
          </cell>
          <cell r="E5725">
            <v>176.39</v>
          </cell>
          <cell r="F5725">
            <v>195.99</v>
          </cell>
          <cell r="G5725">
            <v>150.27000000000001</v>
          </cell>
          <cell r="H5725">
            <v>3699.29</v>
          </cell>
          <cell r="I5725">
            <v>206.49</v>
          </cell>
        </row>
        <row r="5726">
          <cell r="A5726">
            <v>39875</v>
          </cell>
          <cell r="B5726">
            <v>1642.63</v>
          </cell>
          <cell r="C5726">
            <v>1864.73</v>
          </cell>
          <cell r="D5726">
            <v>161.34</v>
          </cell>
          <cell r="E5726">
            <v>174.14</v>
          </cell>
          <cell r="F5726">
            <v>192.99</v>
          </cell>
          <cell r="G5726">
            <v>146.78</v>
          </cell>
          <cell r="H5726">
            <v>3607.62</v>
          </cell>
          <cell r="I5726">
            <v>202.13</v>
          </cell>
        </row>
        <row r="5727">
          <cell r="A5727">
            <v>39876</v>
          </cell>
          <cell r="B5727">
            <v>1704.5</v>
          </cell>
          <cell r="C5727">
            <v>1943.46</v>
          </cell>
          <cell r="D5727">
            <v>167.62</v>
          </cell>
          <cell r="E5727">
            <v>181.01</v>
          </cell>
          <cell r="F5727">
            <v>200.21</v>
          </cell>
          <cell r="G5727">
            <v>152.41999999999999</v>
          </cell>
          <cell r="H5727">
            <v>3782.79</v>
          </cell>
          <cell r="I5727">
            <v>211.49</v>
          </cell>
        </row>
        <row r="5728">
          <cell r="A5728">
            <v>39877</v>
          </cell>
          <cell r="B5728">
            <v>1646.72</v>
          </cell>
          <cell r="C5728">
            <v>1852.25</v>
          </cell>
          <cell r="D5728">
            <v>161.59</v>
          </cell>
          <cell r="E5728">
            <v>173.05</v>
          </cell>
          <cell r="F5728">
            <v>192.5</v>
          </cell>
          <cell r="G5728">
            <v>148.15</v>
          </cell>
          <cell r="H5728">
            <v>3618.71</v>
          </cell>
          <cell r="I5728">
            <v>202.55</v>
          </cell>
        </row>
        <row r="5729">
          <cell r="A5729">
            <v>39878</v>
          </cell>
          <cell r="B5729">
            <v>1629.18</v>
          </cell>
          <cell r="C5729">
            <v>1817.24</v>
          </cell>
          <cell r="D5729">
            <v>159.52000000000001</v>
          </cell>
          <cell r="E5729">
            <v>170.17</v>
          </cell>
          <cell r="F5729">
            <v>189.69</v>
          </cell>
          <cell r="G5729">
            <v>146.82</v>
          </cell>
          <cell r="H5729">
            <v>3561.1</v>
          </cell>
          <cell r="I5729">
            <v>198.8</v>
          </cell>
        </row>
        <row r="5730">
          <cell r="A5730">
            <v>39881</v>
          </cell>
          <cell r="B5730">
            <v>1614.75</v>
          </cell>
          <cell r="C5730">
            <v>1809.98</v>
          </cell>
          <cell r="D5730">
            <v>157.97</v>
          </cell>
          <cell r="E5730">
            <v>169.38</v>
          </cell>
          <cell r="F5730">
            <v>189.09</v>
          </cell>
          <cell r="G5730">
            <v>144.65</v>
          </cell>
          <cell r="H5730">
            <v>3646.94</v>
          </cell>
          <cell r="I5730">
            <v>202.42</v>
          </cell>
        </row>
        <row r="5731">
          <cell r="A5731">
            <v>39882</v>
          </cell>
          <cell r="B5731">
            <v>1702.53</v>
          </cell>
          <cell r="C5731">
            <v>1919.53</v>
          </cell>
          <cell r="D5731">
            <v>165.99</v>
          </cell>
          <cell r="E5731">
            <v>178.7</v>
          </cell>
          <cell r="F5731">
            <v>199.23</v>
          </cell>
          <cell r="G5731">
            <v>151.38999999999999</v>
          </cell>
          <cell r="H5731">
            <v>3859.61</v>
          </cell>
          <cell r="I5731">
            <v>214.53</v>
          </cell>
        </row>
        <row r="5732">
          <cell r="A5732">
            <v>39883</v>
          </cell>
          <cell r="B5732">
            <v>1702.6</v>
          </cell>
          <cell r="C5732">
            <v>1932.79</v>
          </cell>
          <cell r="D5732">
            <v>166.24</v>
          </cell>
          <cell r="E5732">
            <v>179.68</v>
          </cell>
          <cell r="F5732">
            <v>200.77</v>
          </cell>
          <cell r="G5732">
            <v>151.03</v>
          </cell>
          <cell r="H5732">
            <v>3965.98</v>
          </cell>
          <cell r="I5732">
            <v>220.31</v>
          </cell>
        </row>
        <row r="5733">
          <cell r="A5733">
            <v>39884</v>
          </cell>
          <cell r="B5733">
            <v>1715.65</v>
          </cell>
          <cell r="C5733">
            <v>1962.64</v>
          </cell>
          <cell r="D5733">
            <v>167.36</v>
          </cell>
          <cell r="E5733">
            <v>182.07</v>
          </cell>
          <cell r="F5733">
            <v>202.21</v>
          </cell>
          <cell r="G5733">
            <v>151.04</v>
          </cell>
          <cell r="H5733">
            <v>3989.86</v>
          </cell>
          <cell r="I5733">
            <v>222.25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ld Model ---&gt;"/>
      <sheetName val="Val"/>
      <sheetName val="Data"/>
      <sheetName val="CROCI"/>
      <sheetName val="Old Financials"/>
      <sheetName val="InterimsDP"/>
      <sheetName val="Civil"/>
      <sheetName val="Defence old"/>
      <sheetName val="MarineDP"/>
      <sheetName val="EnergyDP"/>
      <sheetName val="Tognum"/>
      <sheetName val="R4"/>
      <sheetName val="Structure"/>
      <sheetName val="CA progs"/>
      <sheetName val="Divisional table"/>
      <sheetName val="CA margins vs peers"/>
      <sheetName val="Marine orders chart"/>
      <sheetName val="Tognum fit Marine"/>
      <sheetName val="Tognum fit Pow Gen"/>
      <sheetName val="RR cost base"/>
      <sheetName val="DORS"/>
      <sheetName val="GS vs cons - Mar 2012"/>
      <sheetName val="Tognum - ROI"/>
      <sheetName val="DCF-old"/>
      <sheetName val="SOTP-old"/>
      <sheetName val="FX table"/>
      <sheetName val="R1"/>
      <sheetName val="R1b"/>
      <sheetName val="Chart-civil sales mix"/>
      <sheetName val="Thrust"/>
      <sheetName val="Ch1"/>
      <sheetName val="Ch2"/>
      <sheetName val="Ch3 data"/>
      <sheetName val="Ch3"/>
      <sheetName val="Ch 4"/>
      <sheetName val="Z2_GS"/>
      <sheetName val="Z3 ROIC"/>
      <sheetName val="R2"/>
      <sheetName val="R3"/>
      <sheetName val="R5"/>
      <sheetName val="P1"/>
      <sheetName val="P2"/>
      <sheetName val="P3"/>
      <sheetName val="P4"/>
      <sheetName val="P5"/>
      <sheetName val="P8"/>
      <sheetName val="Sheet1 (2)"/>
      <sheetName val="Sheet1"/>
      <sheetName val="Sheet2"/>
    </sheetNames>
    <sheetDataSet>
      <sheetData sheetId="0"/>
      <sheetData sheetId="1">
        <row r="29">
          <cell r="C29">
            <v>274.89999999999998</v>
          </cell>
        </row>
      </sheetData>
      <sheetData sheetId="2">
        <row r="6">
          <cell r="B6">
            <v>1990</v>
          </cell>
        </row>
      </sheetData>
      <sheetData sheetId="3">
        <row r="10">
          <cell r="B10">
            <v>1702</v>
          </cell>
        </row>
      </sheetData>
      <sheetData sheetId="4">
        <row r="2">
          <cell r="A2" t="str">
            <v>Rolls-Royce (£)</v>
          </cell>
          <cell r="B2"/>
          <cell r="C2">
            <v>0</v>
          </cell>
          <cell r="D2">
            <v>0</v>
          </cell>
          <cell r="E2">
            <v>0</v>
          </cell>
          <cell r="F2">
            <v>0</v>
          </cell>
          <cell r="G2">
            <v>26</v>
          </cell>
          <cell r="H2"/>
          <cell r="I2"/>
          <cell r="J2"/>
          <cell r="K2"/>
          <cell r="L2"/>
          <cell r="M2"/>
          <cell r="N2"/>
          <cell r="O2"/>
          <cell r="P2"/>
          <cell r="Q2"/>
          <cell r="R2"/>
          <cell r="S2"/>
          <cell r="T2"/>
        </row>
        <row r="3">
          <cell r="A3" t="str">
            <v>Year to December</v>
          </cell>
          <cell r="B3"/>
          <cell r="C3"/>
          <cell r="D3"/>
          <cell r="E3"/>
          <cell r="F3"/>
          <cell r="G3"/>
          <cell r="H3"/>
          <cell r="I3"/>
          <cell r="J3"/>
          <cell r="Q3"/>
          <cell r="R3"/>
          <cell r="T3"/>
        </row>
        <row r="4">
          <cell r="A4"/>
          <cell r="B4"/>
          <cell r="C4"/>
          <cell r="D4"/>
          <cell r="E4"/>
          <cell r="F4"/>
          <cell r="G4"/>
          <cell r="H4"/>
          <cell r="I4"/>
          <cell r="J4"/>
          <cell r="K4"/>
          <cell r="L4"/>
          <cell r="M4"/>
          <cell r="N4"/>
          <cell r="O4"/>
          <cell r="P4"/>
          <cell r="Q4"/>
          <cell r="R4"/>
          <cell r="S4"/>
          <cell r="T4"/>
        </row>
        <row r="5">
          <cell r="A5"/>
          <cell r="B5"/>
          <cell r="C5"/>
          <cell r="D5"/>
          <cell r="E5"/>
          <cell r="F5"/>
          <cell r="G5"/>
          <cell r="H5"/>
          <cell r="I5"/>
          <cell r="J5"/>
          <cell r="K5"/>
          <cell r="L5"/>
          <cell r="M5"/>
          <cell r="N5"/>
          <cell r="O5"/>
          <cell r="P5"/>
          <cell r="Q5"/>
          <cell r="R5"/>
          <cell r="S5"/>
          <cell r="T5"/>
        </row>
        <row r="6">
          <cell r="A6"/>
          <cell r="B6"/>
          <cell r="C6"/>
          <cell r="D6"/>
          <cell r="E6"/>
          <cell r="F6"/>
          <cell r="G6"/>
          <cell r="H6"/>
          <cell r="I6"/>
          <cell r="J6"/>
          <cell r="K6"/>
          <cell r="L6"/>
          <cell r="M6"/>
          <cell r="N6"/>
          <cell r="O6"/>
          <cell r="P6"/>
          <cell r="Q6"/>
          <cell r="R6"/>
          <cell r="S6"/>
          <cell r="T6"/>
        </row>
        <row r="7">
          <cell r="A7"/>
          <cell r="B7" t="str">
            <v>UK GAAP</v>
          </cell>
          <cell r="C7" t="str">
            <v>UK GAAP</v>
          </cell>
          <cell r="D7" t="str">
            <v>UK GAAP</v>
          </cell>
          <cell r="E7" t="str">
            <v>UK GAAP</v>
          </cell>
          <cell r="F7" t="str">
            <v>UK GAAP</v>
          </cell>
          <cell r="G7" t="str">
            <v>UK GAAP</v>
          </cell>
          <cell r="H7" t="str">
            <v>UK GAAP</v>
          </cell>
          <cell r="I7" t="str">
            <v>UK GAAP</v>
          </cell>
          <cell r="J7" t="str">
            <v>UK GAAP</v>
          </cell>
          <cell r="K7" t="str">
            <v>UK GAAP</v>
          </cell>
          <cell r="L7" t="str">
            <v>UK GAAP</v>
          </cell>
          <cell r="M7" t="str">
            <v>UK GAAP</v>
          </cell>
          <cell r="N7" t="str">
            <v>UK GAAP</v>
          </cell>
          <cell r="O7" t="str">
            <v>UK GAAP</v>
          </cell>
          <cell r="P7" t="str">
            <v>UK GAAP</v>
          </cell>
          <cell r="Q7" t="str">
            <v>IFRS</v>
          </cell>
          <cell r="R7" t="str">
            <v>IFRS</v>
          </cell>
          <cell r="S7" t="str">
            <v>IFRS</v>
          </cell>
          <cell r="T7" t="str">
            <v>IFRS</v>
          </cell>
        </row>
        <row r="8">
          <cell r="A8"/>
          <cell r="B8">
            <v>1990</v>
          </cell>
          <cell r="C8">
            <v>1991</v>
          </cell>
          <cell r="D8">
            <v>1992</v>
          </cell>
          <cell r="E8">
            <v>1993</v>
          </cell>
          <cell r="F8">
            <v>1994</v>
          </cell>
          <cell r="G8">
            <v>1995</v>
          </cell>
          <cell r="H8">
            <v>1996</v>
          </cell>
          <cell r="I8">
            <v>1997</v>
          </cell>
          <cell r="J8">
            <v>1998</v>
          </cell>
          <cell r="K8">
            <v>1999</v>
          </cell>
          <cell r="L8">
            <v>2000</v>
          </cell>
          <cell r="M8">
            <v>2001</v>
          </cell>
          <cell r="N8">
            <v>2002</v>
          </cell>
          <cell r="O8">
            <v>2003</v>
          </cell>
          <cell r="P8">
            <v>2004</v>
          </cell>
          <cell r="Q8" t="str">
            <v>2004pf</v>
          </cell>
          <cell r="R8">
            <v>2005</v>
          </cell>
          <cell r="S8">
            <v>2006</v>
          </cell>
          <cell r="T8">
            <v>2007</v>
          </cell>
        </row>
        <row r="9">
          <cell r="A9"/>
          <cell r="B9"/>
          <cell r="C9"/>
          <cell r="D9"/>
          <cell r="E9"/>
          <cell r="F9"/>
          <cell r="G9"/>
          <cell r="H9"/>
          <cell r="I9"/>
          <cell r="J9"/>
          <cell r="K9"/>
          <cell r="L9"/>
          <cell r="M9"/>
          <cell r="N9"/>
          <cell r="O9"/>
          <cell r="P9"/>
          <cell r="Q9"/>
          <cell r="R9"/>
          <cell r="S9"/>
          <cell r="T9"/>
        </row>
        <row r="10">
          <cell r="A10"/>
          <cell r="B10"/>
          <cell r="C10"/>
          <cell r="D10"/>
          <cell r="E10"/>
          <cell r="F10"/>
          <cell r="G10"/>
          <cell r="H10"/>
          <cell r="I10"/>
          <cell r="J10"/>
          <cell r="K10"/>
          <cell r="L10"/>
          <cell r="M10"/>
          <cell r="N10"/>
          <cell r="O10"/>
          <cell r="P10"/>
          <cell r="Q10"/>
          <cell r="R10"/>
          <cell r="S10"/>
          <cell r="T10"/>
        </row>
        <row r="11">
          <cell r="A11" t="str">
            <v>Divisional sales</v>
          </cell>
          <cell r="B11"/>
          <cell r="C11"/>
          <cell r="D11"/>
          <cell r="E11"/>
          <cell r="F11"/>
          <cell r="G11"/>
          <cell r="H11"/>
          <cell r="I11"/>
          <cell r="J11"/>
          <cell r="K11"/>
          <cell r="L11"/>
          <cell r="M11"/>
          <cell r="N11"/>
          <cell r="O11"/>
          <cell r="P11"/>
          <cell r="Q11"/>
          <cell r="R11"/>
          <cell r="S11"/>
          <cell r="T11"/>
        </row>
        <row r="12">
          <cell r="A12" t="str">
            <v>Civil Aerospace</v>
          </cell>
          <cell r="B12"/>
          <cell r="C12"/>
          <cell r="D12"/>
          <cell r="E12"/>
          <cell r="F12"/>
          <cell r="G12"/>
          <cell r="H12"/>
          <cell r="I12"/>
          <cell r="J12"/>
          <cell r="K12">
            <v>2544</v>
          </cell>
          <cell r="L12">
            <v>3150</v>
          </cell>
          <cell r="M12">
            <v>3443</v>
          </cell>
          <cell r="N12">
            <v>2739</v>
          </cell>
          <cell r="O12">
            <v>2694</v>
          </cell>
          <cell r="P12">
            <v>3040</v>
          </cell>
          <cell r="Q12">
            <v>3040</v>
          </cell>
          <cell r="R12">
            <v>3406</v>
          </cell>
          <cell r="S12">
            <v>3907</v>
          </cell>
          <cell r="T12">
            <v>4038</v>
          </cell>
        </row>
        <row r="13">
          <cell r="A13" t="str">
            <v>Defence</v>
          </cell>
          <cell r="B13"/>
          <cell r="C13"/>
          <cell r="D13"/>
          <cell r="E13"/>
          <cell r="F13"/>
          <cell r="G13"/>
          <cell r="H13"/>
          <cell r="I13"/>
          <cell r="J13"/>
          <cell r="K13">
            <v>1138</v>
          </cell>
          <cell r="L13">
            <v>1403</v>
          </cell>
          <cell r="M13">
            <v>1400</v>
          </cell>
          <cell r="N13">
            <v>1376</v>
          </cell>
          <cell r="O13">
            <v>1398</v>
          </cell>
          <cell r="P13">
            <v>1374</v>
          </cell>
          <cell r="Q13">
            <v>1374</v>
          </cell>
          <cell r="R13">
            <v>1420</v>
          </cell>
          <cell r="S13">
            <v>1601</v>
          </cell>
          <cell r="T13">
            <v>1673</v>
          </cell>
        </row>
        <row r="14">
          <cell r="A14" t="str">
            <v>Marine</v>
          </cell>
          <cell r="B14"/>
          <cell r="C14"/>
          <cell r="D14"/>
          <cell r="E14"/>
          <cell r="F14"/>
          <cell r="G14"/>
          <cell r="H14"/>
          <cell r="I14"/>
          <cell r="J14"/>
          <cell r="K14">
            <v>385</v>
          </cell>
          <cell r="L14">
            <v>751</v>
          </cell>
          <cell r="M14">
            <v>827</v>
          </cell>
          <cell r="N14">
            <v>984</v>
          </cell>
          <cell r="O14">
            <v>1003</v>
          </cell>
          <cell r="P14">
            <v>963</v>
          </cell>
          <cell r="Q14">
            <v>963</v>
          </cell>
          <cell r="R14">
            <v>1097</v>
          </cell>
          <cell r="S14">
            <v>1299</v>
          </cell>
          <cell r="T14">
            <v>1548</v>
          </cell>
        </row>
        <row r="15">
          <cell r="A15" t="str">
            <v>Energy</v>
          </cell>
          <cell r="B15"/>
          <cell r="C15"/>
          <cell r="D15"/>
          <cell r="E15"/>
          <cell r="F15"/>
          <cell r="G15"/>
          <cell r="H15"/>
          <cell r="I15"/>
          <cell r="J15"/>
          <cell r="K15">
            <v>482</v>
          </cell>
          <cell r="L15">
            <v>476</v>
          </cell>
          <cell r="M15">
            <v>608</v>
          </cell>
          <cell r="N15">
            <v>639</v>
          </cell>
          <cell r="O15">
            <v>508</v>
          </cell>
          <cell r="P15">
            <v>489</v>
          </cell>
          <cell r="Q15">
            <v>489</v>
          </cell>
          <cell r="R15">
            <v>535</v>
          </cell>
          <cell r="S15">
            <v>546</v>
          </cell>
          <cell r="T15">
            <v>558</v>
          </cell>
        </row>
        <row r="16">
          <cell r="A16" t="str">
            <v>Bergen</v>
          </cell>
          <cell r="B16"/>
          <cell r="C16"/>
          <cell r="D16"/>
          <cell r="E16"/>
          <cell r="F16"/>
          <cell r="G16"/>
          <cell r="H16"/>
          <cell r="I16"/>
          <cell r="J16"/>
          <cell r="K16"/>
          <cell r="L16"/>
          <cell r="M16"/>
          <cell r="N16"/>
          <cell r="O16"/>
          <cell r="P16"/>
          <cell r="Q16"/>
          <cell r="R16"/>
          <cell r="S16"/>
          <cell r="T16"/>
        </row>
        <row r="17">
          <cell r="A17" t="str">
            <v>Tognum</v>
          </cell>
          <cell r="B17"/>
          <cell r="C17"/>
          <cell r="D17"/>
          <cell r="E17"/>
          <cell r="F17"/>
          <cell r="G17"/>
          <cell r="H17"/>
          <cell r="I17"/>
          <cell r="J17"/>
          <cell r="K17"/>
          <cell r="L17"/>
          <cell r="M17"/>
          <cell r="N17"/>
          <cell r="O17"/>
          <cell r="P17"/>
          <cell r="Q17"/>
          <cell r="R17"/>
          <cell r="S17"/>
          <cell r="T17"/>
        </row>
        <row r="18">
          <cell r="A18" t="str">
            <v>Intra-segment</v>
          </cell>
          <cell r="B18"/>
          <cell r="C18"/>
          <cell r="D18"/>
          <cell r="E18"/>
          <cell r="F18"/>
          <cell r="G18"/>
          <cell r="H18"/>
          <cell r="I18"/>
          <cell r="J18"/>
          <cell r="K18"/>
          <cell r="L18"/>
          <cell r="M18"/>
          <cell r="N18"/>
          <cell r="O18"/>
          <cell r="P18"/>
          <cell r="Q18"/>
          <cell r="R18"/>
          <cell r="S18"/>
          <cell r="T18"/>
        </row>
        <row r="19">
          <cell r="A19" t="str">
            <v>Financial Services</v>
          </cell>
          <cell r="B19"/>
          <cell r="C19"/>
          <cell r="D19"/>
          <cell r="E19"/>
          <cell r="F19"/>
          <cell r="G19"/>
          <cell r="H19"/>
          <cell r="I19"/>
          <cell r="J19"/>
          <cell r="K19">
            <v>37</v>
          </cell>
          <cell r="L19">
            <v>40</v>
          </cell>
          <cell r="M19">
            <v>50</v>
          </cell>
          <cell r="N19">
            <v>50</v>
          </cell>
          <cell r="O19">
            <v>42</v>
          </cell>
          <cell r="P19">
            <v>73</v>
          </cell>
          <cell r="Q19">
            <v>81</v>
          </cell>
          <cell r="R19"/>
          <cell r="S19"/>
          <cell r="T19"/>
        </row>
        <row r="20">
          <cell r="A20" t="str">
            <v>For disposal</v>
          </cell>
          <cell r="B20"/>
          <cell r="C20"/>
          <cell r="D20"/>
          <cell r="E20"/>
          <cell r="F20"/>
          <cell r="G20"/>
          <cell r="H20"/>
          <cell r="I20"/>
          <cell r="J20"/>
          <cell r="K20">
            <v>48</v>
          </cell>
          <cell r="L20">
            <v>44</v>
          </cell>
          <cell r="M20"/>
          <cell r="N20"/>
          <cell r="O20"/>
          <cell r="P20"/>
          <cell r="Q20"/>
          <cell r="R20"/>
          <cell r="S20"/>
          <cell r="T20"/>
        </row>
        <row r="21">
          <cell r="A21" t="str">
            <v>Adjustment for FX</v>
          </cell>
          <cell r="B21"/>
          <cell r="C21"/>
          <cell r="D21"/>
          <cell r="E21"/>
          <cell r="F21"/>
          <cell r="G21"/>
          <cell r="H21"/>
          <cell r="I21"/>
          <cell r="J21"/>
          <cell r="K21"/>
          <cell r="L21"/>
          <cell r="M21"/>
          <cell r="N21"/>
          <cell r="O21"/>
          <cell r="P21"/>
          <cell r="Q21"/>
          <cell r="R21"/>
          <cell r="S21"/>
          <cell r="T21"/>
        </row>
        <row r="22">
          <cell r="A22" t="str">
            <v>Total sales</v>
          </cell>
          <cell r="B22">
            <v>3670</v>
          </cell>
          <cell r="C22">
            <v>3515</v>
          </cell>
          <cell r="D22">
            <v>3562</v>
          </cell>
          <cell r="E22">
            <v>3518</v>
          </cell>
          <cell r="F22">
            <v>3163</v>
          </cell>
          <cell r="G22">
            <v>3597</v>
          </cell>
          <cell r="H22">
            <v>4291</v>
          </cell>
          <cell r="I22">
            <v>4348</v>
          </cell>
          <cell r="J22">
            <v>4496</v>
          </cell>
          <cell r="K22">
            <v>4634</v>
          </cell>
          <cell r="L22">
            <v>5864</v>
          </cell>
          <cell r="M22">
            <v>6328</v>
          </cell>
          <cell r="N22">
            <v>5788</v>
          </cell>
          <cell r="O22">
            <v>5645</v>
          </cell>
          <cell r="P22">
            <v>5939</v>
          </cell>
          <cell r="Q22">
            <v>5947</v>
          </cell>
          <cell r="R22">
            <v>6458</v>
          </cell>
          <cell r="S22">
            <v>7353</v>
          </cell>
          <cell r="T22">
            <v>7817</v>
          </cell>
        </row>
        <row r="23">
          <cell r="A23"/>
          <cell r="B23"/>
          <cell r="C23"/>
          <cell r="D23"/>
          <cell r="E23"/>
          <cell r="F23"/>
          <cell r="G23"/>
          <cell r="H23"/>
          <cell r="I23"/>
          <cell r="J23"/>
          <cell r="K23"/>
          <cell r="L23"/>
          <cell r="M23"/>
          <cell r="N23"/>
          <cell r="O23"/>
          <cell r="P23"/>
          <cell r="Q23"/>
          <cell r="R23"/>
          <cell r="S23"/>
          <cell r="T23"/>
        </row>
        <row r="24">
          <cell r="A24" t="str">
            <v>Divisional sales growth</v>
          </cell>
          <cell r="B24"/>
          <cell r="C24"/>
          <cell r="D24"/>
          <cell r="E24"/>
          <cell r="F24"/>
          <cell r="G24"/>
          <cell r="H24"/>
          <cell r="I24"/>
          <cell r="J24"/>
          <cell r="K24"/>
          <cell r="L24"/>
          <cell r="M24"/>
          <cell r="N24"/>
          <cell r="O24"/>
          <cell r="P24"/>
          <cell r="Q24"/>
          <cell r="R24"/>
          <cell r="S24"/>
          <cell r="T24"/>
        </row>
        <row r="25">
          <cell r="A25" t="str">
            <v>Civil Aerospace</v>
          </cell>
          <cell r="B25"/>
          <cell r="C25"/>
          <cell r="D25"/>
          <cell r="E25"/>
          <cell r="F25"/>
          <cell r="G25"/>
          <cell r="H25"/>
          <cell r="I25"/>
          <cell r="J25"/>
          <cell r="K25" t="str">
            <v>n/a</v>
          </cell>
          <cell r="L25">
            <v>0.2382075471698113</v>
          </cell>
          <cell r="M25">
            <v>9.3015873015872996E-2</v>
          </cell>
          <cell r="N25">
            <v>-0.20447284345047922</v>
          </cell>
          <cell r="O25">
            <v>-1.6429353778751321E-2</v>
          </cell>
          <cell r="P25">
            <v>0.12843355605048257</v>
          </cell>
          <cell r="Q25"/>
          <cell r="R25">
            <v>0.12039473684210522</v>
          </cell>
          <cell r="S25">
            <v>0.14709336465061651</v>
          </cell>
          <cell r="T25">
            <v>3.3529562324033702E-2</v>
          </cell>
        </row>
        <row r="26">
          <cell r="A26" t="str">
            <v>Defence</v>
          </cell>
          <cell r="B26"/>
          <cell r="C26"/>
          <cell r="D26"/>
          <cell r="E26"/>
          <cell r="F26"/>
          <cell r="G26"/>
          <cell r="H26"/>
          <cell r="I26"/>
          <cell r="J26"/>
          <cell r="K26" t="str">
            <v>n/a</v>
          </cell>
          <cell r="L26">
            <v>0.23286467486818974</v>
          </cell>
          <cell r="M26">
            <v>-2.1382751247327469E-3</v>
          </cell>
          <cell r="N26">
            <v>-1.7142857142857126E-2</v>
          </cell>
          <cell r="O26">
            <v>1.5988372093023173E-2</v>
          </cell>
          <cell r="P26">
            <v>-1.7167381974248941E-2</v>
          </cell>
          <cell r="Q26"/>
          <cell r="R26">
            <v>3.3478893740902516E-2</v>
          </cell>
          <cell r="S26">
            <v>0.12746478873239431</v>
          </cell>
          <cell r="T26">
            <v>4.4971892567145622E-2</v>
          </cell>
        </row>
        <row r="27">
          <cell r="A27" t="str">
            <v>Marine</v>
          </cell>
          <cell r="B27"/>
          <cell r="C27"/>
          <cell r="D27"/>
          <cell r="E27"/>
          <cell r="F27"/>
          <cell r="G27"/>
          <cell r="H27"/>
          <cell r="I27"/>
          <cell r="J27"/>
          <cell r="K27" t="str">
            <v>n/a</v>
          </cell>
          <cell r="L27">
            <v>0.95064935064935074</v>
          </cell>
          <cell r="M27">
            <v>0.10119840213049258</v>
          </cell>
          <cell r="N27">
            <v>0.18984280532043529</v>
          </cell>
          <cell r="O27">
            <v>1.9308943089430874E-2</v>
          </cell>
          <cell r="P27">
            <v>-3.9880358923230275E-2</v>
          </cell>
          <cell r="Q27"/>
          <cell r="R27">
            <v>0.13914849428868115</v>
          </cell>
          <cell r="S27">
            <v>0.1841385597082954</v>
          </cell>
          <cell r="T27">
            <v>0.19168591224018483</v>
          </cell>
        </row>
        <row r="28">
          <cell r="A28" t="str">
            <v>Energy</v>
          </cell>
          <cell r="B28"/>
          <cell r="C28"/>
          <cell r="D28"/>
          <cell r="E28"/>
          <cell r="F28"/>
          <cell r="G28"/>
          <cell r="H28"/>
          <cell r="I28"/>
          <cell r="J28"/>
          <cell r="K28" t="str">
            <v>n/a</v>
          </cell>
          <cell r="L28">
            <v>-1.2448132780082943E-2</v>
          </cell>
          <cell r="M28">
            <v>0.2773109243697478</v>
          </cell>
          <cell r="N28">
            <v>5.0986842105263053E-2</v>
          </cell>
          <cell r="O28">
            <v>-0.20500782472613455</v>
          </cell>
          <cell r="P28">
            <v>-3.7401574803149651E-2</v>
          </cell>
          <cell r="Q28"/>
          <cell r="R28">
            <v>9.4069529652351713E-2</v>
          </cell>
          <cell r="S28">
            <v>2.0560747663551426E-2</v>
          </cell>
          <cell r="T28">
            <v>2.19780219780219E-2</v>
          </cell>
        </row>
        <row r="29">
          <cell r="A29" t="str">
            <v>Bergen</v>
          </cell>
          <cell r="B29"/>
          <cell r="C29"/>
          <cell r="D29"/>
          <cell r="E29"/>
          <cell r="F29"/>
          <cell r="G29"/>
          <cell r="H29"/>
          <cell r="I29"/>
          <cell r="J29"/>
          <cell r="K29"/>
          <cell r="L29"/>
          <cell r="M29"/>
          <cell r="N29"/>
          <cell r="O29"/>
          <cell r="P29"/>
          <cell r="Q29"/>
          <cell r="R29"/>
          <cell r="S29"/>
          <cell r="T29"/>
        </row>
        <row r="30">
          <cell r="A30" t="str">
            <v>Tognum</v>
          </cell>
          <cell r="B30"/>
          <cell r="C30"/>
          <cell r="D30"/>
          <cell r="E30"/>
          <cell r="F30"/>
          <cell r="G30"/>
          <cell r="H30"/>
          <cell r="I30"/>
          <cell r="J30"/>
          <cell r="K30"/>
          <cell r="L30"/>
          <cell r="M30"/>
          <cell r="N30"/>
          <cell r="O30"/>
          <cell r="P30"/>
          <cell r="Q30"/>
          <cell r="R30"/>
          <cell r="S30"/>
          <cell r="T30"/>
        </row>
        <row r="31">
          <cell r="A31" t="str">
            <v>Financial Services</v>
          </cell>
          <cell r="B31"/>
          <cell r="C31"/>
          <cell r="D31"/>
          <cell r="E31"/>
          <cell r="F31"/>
          <cell r="G31"/>
          <cell r="H31"/>
          <cell r="I31"/>
          <cell r="J31"/>
          <cell r="K31" t="str">
            <v>n/a</v>
          </cell>
          <cell r="L31">
            <v>8.1081081081081141E-2</v>
          </cell>
          <cell r="M31">
            <v>0.25</v>
          </cell>
          <cell r="N31">
            <v>0</v>
          </cell>
          <cell r="O31">
            <v>-0.16000000000000003</v>
          </cell>
          <cell r="P31">
            <v>0.73809523809523814</v>
          </cell>
          <cell r="Q31"/>
          <cell r="R31"/>
          <cell r="S31"/>
          <cell r="T31"/>
        </row>
        <row r="32">
          <cell r="A32" t="str">
            <v>Total sales growth</v>
          </cell>
          <cell r="B32"/>
          <cell r="C32"/>
          <cell r="D32"/>
          <cell r="E32"/>
          <cell r="F32"/>
          <cell r="G32"/>
          <cell r="H32"/>
          <cell r="I32"/>
          <cell r="J32"/>
          <cell r="K32" t="str">
            <v>n/a</v>
          </cell>
          <cell r="L32">
            <v>0.2654294346137247</v>
          </cell>
          <cell r="M32">
            <v>7.9126875852660206E-2</v>
          </cell>
          <cell r="N32">
            <v>-8.5335018963337506E-2</v>
          </cell>
          <cell r="O32">
            <v>-2.4706288873531435E-2</v>
          </cell>
          <cell r="P32">
            <v>5.2081488042515556E-2</v>
          </cell>
          <cell r="Q32"/>
          <cell r="R32">
            <v>8.5925676811837937E-2</v>
          </cell>
          <cell r="S32">
            <v>0.13858779807990085</v>
          </cell>
          <cell r="T32">
            <v>6.3103495172038615E-2</v>
          </cell>
        </row>
        <row r="33">
          <cell r="A33"/>
          <cell r="B33"/>
          <cell r="C33"/>
          <cell r="D33"/>
          <cell r="E33"/>
          <cell r="F33"/>
          <cell r="G33"/>
          <cell r="H33"/>
          <cell r="I33"/>
          <cell r="J33"/>
          <cell r="K33"/>
          <cell r="L33"/>
          <cell r="M33"/>
          <cell r="N33"/>
          <cell r="O33"/>
          <cell r="P33"/>
          <cell r="Q33"/>
          <cell r="R33"/>
          <cell r="S33"/>
          <cell r="T33"/>
        </row>
        <row r="34">
          <cell r="A34"/>
          <cell r="B34"/>
          <cell r="C34"/>
          <cell r="D34"/>
          <cell r="E34"/>
          <cell r="F34"/>
          <cell r="G34"/>
          <cell r="H34"/>
          <cell r="I34"/>
          <cell r="J34"/>
          <cell r="K34"/>
          <cell r="L34"/>
          <cell r="M34"/>
          <cell r="N34"/>
          <cell r="O34"/>
          <cell r="P34"/>
          <cell r="Q34"/>
          <cell r="R34"/>
          <cell r="S34"/>
          <cell r="T34"/>
        </row>
        <row r="35">
          <cell r="A35" t="str">
            <v>Divisional EBITA</v>
          </cell>
          <cell r="B35"/>
          <cell r="C35"/>
          <cell r="D35"/>
          <cell r="E35"/>
          <cell r="F35"/>
          <cell r="G35"/>
          <cell r="H35"/>
          <cell r="I35"/>
          <cell r="J35"/>
          <cell r="K35"/>
          <cell r="L35"/>
          <cell r="M35"/>
          <cell r="N35"/>
          <cell r="O35"/>
          <cell r="P35"/>
          <cell r="Q35"/>
          <cell r="R35"/>
          <cell r="S35"/>
          <cell r="T35"/>
        </row>
        <row r="36">
          <cell r="A36" t="str">
            <v>Civil Aerospace</v>
          </cell>
          <cell r="K36">
            <v>224</v>
          </cell>
          <cell r="L36">
            <v>332</v>
          </cell>
          <cell r="M36">
            <v>347</v>
          </cell>
          <cell r="N36">
            <v>150</v>
          </cell>
          <cell r="O36">
            <v>131</v>
          </cell>
          <cell r="P36">
            <v>170</v>
          </cell>
          <cell r="Q36">
            <v>194</v>
          </cell>
          <cell r="R36">
            <v>454</v>
          </cell>
          <cell r="S36">
            <v>519</v>
          </cell>
          <cell r="T36">
            <v>564</v>
          </cell>
        </row>
        <row r="37">
          <cell r="A37" t="str">
            <v>Defence</v>
          </cell>
          <cell r="K37">
            <v>182</v>
          </cell>
          <cell r="L37">
            <v>154</v>
          </cell>
          <cell r="M37">
            <v>175</v>
          </cell>
          <cell r="N37">
            <v>183</v>
          </cell>
          <cell r="O37">
            <v>147</v>
          </cell>
          <cell r="P37">
            <v>155</v>
          </cell>
          <cell r="Q37">
            <v>179</v>
          </cell>
          <cell r="R37">
            <v>180</v>
          </cell>
          <cell r="S37">
            <v>193</v>
          </cell>
          <cell r="T37">
            <v>199</v>
          </cell>
        </row>
        <row r="38">
          <cell r="A38" t="str">
            <v>Marine</v>
          </cell>
          <cell r="K38">
            <v>43</v>
          </cell>
          <cell r="L38">
            <v>67</v>
          </cell>
          <cell r="M38">
            <v>73</v>
          </cell>
          <cell r="N38">
            <v>82</v>
          </cell>
          <cell r="O38">
            <v>78</v>
          </cell>
          <cell r="P38">
            <v>67</v>
          </cell>
          <cell r="Q38">
            <v>78</v>
          </cell>
          <cell r="R38">
            <v>89</v>
          </cell>
          <cell r="S38">
            <v>101</v>
          </cell>
          <cell r="T38">
            <v>113</v>
          </cell>
        </row>
        <row r="39">
          <cell r="A39" t="str">
            <v>Energy</v>
          </cell>
          <cell r="K39">
            <v>-30</v>
          </cell>
          <cell r="L39">
            <v>-48</v>
          </cell>
          <cell r="M39">
            <v>-64</v>
          </cell>
          <cell r="N39">
            <v>-41</v>
          </cell>
          <cell r="O39">
            <v>23</v>
          </cell>
          <cell r="P39">
            <v>14</v>
          </cell>
          <cell r="Q39">
            <v>14</v>
          </cell>
          <cell r="R39">
            <v>1</v>
          </cell>
          <cell r="S39">
            <v>-18</v>
          </cell>
          <cell r="T39">
            <v>5</v>
          </cell>
        </row>
        <row r="40">
          <cell r="A40" t="str">
            <v>Financial Services</v>
          </cell>
          <cell r="B40"/>
          <cell r="C40"/>
          <cell r="D40"/>
          <cell r="E40"/>
          <cell r="F40"/>
          <cell r="G40"/>
          <cell r="H40"/>
          <cell r="I40"/>
          <cell r="J40"/>
          <cell r="K40">
            <v>24</v>
          </cell>
          <cell r="L40">
            <v>56</v>
          </cell>
          <cell r="M40">
            <v>63</v>
          </cell>
          <cell r="N40">
            <v>-12</v>
          </cell>
          <cell r="O40">
            <v>-4</v>
          </cell>
          <cell r="P40">
            <v>9</v>
          </cell>
          <cell r="Q40">
            <v>-7</v>
          </cell>
          <cell r="R40"/>
          <cell r="S40"/>
          <cell r="T40"/>
        </row>
        <row r="41">
          <cell r="A41" t="str">
            <v>Materials Handling</v>
          </cell>
          <cell r="B41"/>
          <cell r="C41"/>
          <cell r="D41"/>
          <cell r="E41"/>
          <cell r="F41"/>
          <cell r="G41"/>
          <cell r="H41"/>
          <cell r="I41"/>
          <cell r="J41"/>
          <cell r="K41">
            <v>-22</v>
          </cell>
          <cell r="L41">
            <v>-2</v>
          </cell>
          <cell r="M41"/>
          <cell r="N41"/>
          <cell r="O41"/>
          <cell r="P41"/>
          <cell r="Q41"/>
          <cell r="R41"/>
          <cell r="S41"/>
          <cell r="T41"/>
        </row>
        <row r="42">
          <cell r="A42" t="str">
            <v>Central costs</v>
          </cell>
          <cell r="K42"/>
          <cell r="L42"/>
          <cell r="M42"/>
          <cell r="N42"/>
          <cell r="O42"/>
          <cell r="P42"/>
          <cell r="Q42">
            <v>-41</v>
          </cell>
          <cell r="R42">
            <v>-45</v>
          </cell>
          <cell r="S42">
            <v>-47</v>
          </cell>
          <cell r="T42">
            <v>-49</v>
          </cell>
        </row>
        <row r="43">
          <cell r="A43" t="str">
            <v>Bergen</v>
          </cell>
          <cell r="K43"/>
          <cell r="L43"/>
          <cell r="M43"/>
          <cell r="N43"/>
          <cell r="O43"/>
          <cell r="P43"/>
          <cell r="Q43"/>
          <cell r="R43"/>
          <cell r="S43"/>
          <cell r="T43"/>
        </row>
        <row r="44">
          <cell r="A44" t="str">
            <v>Tognum</v>
          </cell>
          <cell r="K44"/>
          <cell r="L44"/>
          <cell r="M44"/>
          <cell r="N44"/>
          <cell r="O44"/>
          <cell r="P44"/>
          <cell r="Q44"/>
          <cell r="R44"/>
          <cell r="S44"/>
          <cell r="T44"/>
        </row>
        <row r="45">
          <cell r="A45" t="str">
            <v>Intra-segment</v>
          </cell>
          <cell r="K45"/>
          <cell r="L45"/>
          <cell r="M45"/>
          <cell r="N45"/>
          <cell r="O45"/>
          <cell r="P45"/>
          <cell r="Q45"/>
          <cell r="R45"/>
          <cell r="S45"/>
          <cell r="T45"/>
        </row>
        <row r="46">
          <cell r="A46" t="str">
            <v>Total EBITA</v>
          </cell>
          <cell r="B46">
            <v>233</v>
          </cell>
          <cell r="C46">
            <v>125</v>
          </cell>
          <cell r="D46">
            <v>102</v>
          </cell>
          <cell r="E46">
            <v>88</v>
          </cell>
          <cell r="F46">
            <v>100</v>
          </cell>
          <cell r="G46">
            <v>155</v>
          </cell>
          <cell r="H46">
            <v>227</v>
          </cell>
          <cell r="I46">
            <v>288</v>
          </cell>
          <cell r="J46">
            <v>333</v>
          </cell>
          <cell r="K46">
            <v>421</v>
          </cell>
          <cell r="L46">
            <v>559</v>
          </cell>
          <cell r="M46">
            <v>594</v>
          </cell>
          <cell r="N46">
            <v>362</v>
          </cell>
          <cell r="O46">
            <v>375</v>
          </cell>
          <cell r="P46">
            <v>415</v>
          </cell>
          <cell r="Q46">
            <v>417</v>
          </cell>
          <cell r="R46">
            <v>679</v>
          </cell>
          <cell r="S46">
            <v>748</v>
          </cell>
          <cell r="T46">
            <v>832</v>
          </cell>
        </row>
        <row r="47">
          <cell r="A47" t="str">
            <v>yoy change</v>
          </cell>
          <cell r="B47"/>
          <cell r="C47"/>
          <cell r="D47"/>
          <cell r="E47"/>
          <cell r="F47"/>
          <cell r="G47"/>
          <cell r="H47"/>
          <cell r="I47"/>
          <cell r="J47"/>
          <cell r="K47"/>
          <cell r="L47"/>
          <cell r="M47"/>
          <cell r="N47"/>
          <cell r="O47"/>
          <cell r="P47"/>
          <cell r="Q47"/>
          <cell r="R47" t="str">
            <v>y/y</v>
          </cell>
          <cell r="S47">
            <v>0.10162002945508108</v>
          </cell>
          <cell r="T47">
            <v>0.11229946524064172</v>
          </cell>
        </row>
        <row r="48">
          <cell r="A48"/>
          <cell r="B48"/>
          <cell r="C48"/>
          <cell r="D48"/>
          <cell r="E48"/>
          <cell r="F48"/>
          <cell r="G48"/>
          <cell r="H48"/>
          <cell r="I48"/>
          <cell r="J48"/>
          <cell r="K48"/>
          <cell r="L48"/>
          <cell r="M48"/>
          <cell r="N48"/>
          <cell r="O48"/>
          <cell r="P48"/>
          <cell r="Q48"/>
          <cell r="R48"/>
          <cell r="S48"/>
          <cell r="T48"/>
        </row>
        <row r="49">
          <cell r="A49"/>
          <cell r="B49"/>
          <cell r="C49"/>
          <cell r="D49"/>
          <cell r="E49"/>
          <cell r="F49"/>
          <cell r="G49"/>
          <cell r="H49"/>
          <cell r="I49"/>
          <cell r="J49"/>
          <cell r="K49"/>
          <cell r="L49"/>
          <cell r="M49"/>
          <cell r="N49"/>
          <cell r="O49"/>
          <cell r="P49"/>
          <cell r="Q49"/>
          <cell r="R49"/>
          <cell r="S49"/>
          <cell r="T49"/>
        </row>
        <row r="50">
          <cell r="A50"/>
          <cell r="B50"/>
          <cell r="C50"/>
          <cell r="D50"/>
          <cell r="E50"/>
          <cell r="F50"/>
          <cell r="G50"/>
          <cell r="H50"/>
          <cell r="I50"/>
          <cell r="J50"/>
          <cell r="K50"/>
          <cell r="L50"/>
          <cell r="M50"/>
          <cell r="N50"/>
          <cell r="O50"/>
          <cell r="P50"/>
          <cell r="Q50"/>
          <cell r="R50"/>
          <cell r="S50"/>
          <cell r="T50"/>
        </row>
        <row r="51">
          <cell r="A51" t="str">
            <v>Divisional EBITA margin</v>
          </cell>
          <cell r="B51"/>
          <cell r="C51"/>
          <cell r="D51"/>
          <cell r="E51"/>
          <cell r="F51"/>
          <cell r="G51"/>
          <cell r="H51"/>
          <cell r="I51"/>
          <cell r="J51"/>
          <cell r="K51"/>
          <cell r="L51"/>
          <cell r="M51"/>
          <cell r="N51"/>
          <cell r="O51"/>
          <cell r="P51"/>
          <cell r="Q51"/>
          <cell r="R51"/>
          <cell r="S51"/>
          <cell r="T51"/>
        </row>
        <row r="52">
          <cell r="A52" t="str">
            <v>Civil Aerospace</v>
          </cell>
          <cell r="B52"/>
          <cell r="C52"/>
          <cell r="D52"/>
          <cell r="E52"/>
          <cell r="F52"/>
          <cell r="G52"/>
          <cell r="H52"/>
          <cell r="I52"/>
          <cell r="J52"/>
          <cell r="K52">
            <v>8.8050314465408799E-2</v>
          </cell>
          <cell r="L52">
            <v>0.10539682539682539</v>
          </cell>
          <cell r="M52">
            <v>0.10078419982573338</v>
          </cell>
          <cell r="N52">
            <v>5.4764512595837894E-2</v>
          </cell>
          <cell r="O52">
            <v>4.8626577579806977E-2</v>
          </cell>
          <cell r="P52">
            <v>5.5921052631578948E-2</v>
          </cell>
          <cell r="Q52">
            <v>6.3815789473684215E-2</v>
          </cell>
          <cell r="R52">
            <v>0.13329418672930124</v>
          </cell>
          <cell r="S52">
            <v>0.13283849500895828</v>
          </cell>
          <cell r="T52">
            <v>0.13967310549777118</v>
          </cell>
        </row>
        <row r="53">
          <cell r="A53" t="str">
            <v>Defence</v>
          </cell>
          <cell r="B53"/>
          <cell r="C53"/>
          <cell r="D53"/>
          <cell r="E53"/>
          <cell r="F53"/>
          <cell r="G53"/>
          <cell r="H53"/>
          <cell r="I53"/>
          <cell r="J53"/>
          <cell r="K53">
            <v>0.15992970123022848</v>
          </cell>
          <cell r="L53">
            <v>0.1097647897362794</v>
          </cell>
          <cell r="M53">
            <v>0.125</v>
          </cell>
          <cell r="N53">
            <v>0.13299418604651161</v>
          </cell>
          <cell r="O53">
            <v>0.10515021459227468</v>
          </cell>
          <cell r="P53">
            <v>0.11280931586608442</v>
          </cell>
          <cell r="Q53">
            <v>0.13027656477438138</v>
          </cell>
          <cell r="R53">
            <v>0.12676056338028169</v>
          </cell>
          <cell r="S53">
            <v>0.12054965646470955</v>
          </cell>
          <cell r="T53">
            <v>0.11894799760908548</v>
          </cell>
        </row>
        <row r="54">
          <cell r="A54" t="str">
            <v>Marine</v>
          </cell>
          <cell r="B54"/>
          <cell r="C54"/>
          <cell r="D54"/>
          <cell r="E54"/>
          <cell r="F54"/>
          <cell r="G54"/>
          <cell r="H54"/>
          <cell r="I54"/>
          <cell r="J54"/>
          <cell r="K54">
            <v>0.11168831168831168</v>
          </cell>
          <cell r="L54">
            <v>8.9214380825565917E-2</v>
          </cell>
          <cell r="M54">
            <v>8.8270858524788387E-2</v>
          </cell>
          <cell r="N54">
            <v>8.3333333333333329E-2</v>
          </cell>
          <cell r="O54">
            <v>7.7766699900299108E-2</v>
          </cell>
          <cell r="P54">
            <v>6.9574247144340601E-2</v>
          </cell>
          <cell r="Q54">
            <v>8.0996884735202487E-2</v>
          </cell>
          <cell r="R54">
            <v>8.1130355515041025E-2</v>
          </cell>
          <cell r="S54">
            <v>7.7752117013086985E-2</v>
          </cell>
          <cell r="T54">
            <v>7.2997416020671835E-2</v>
          </cell>
        </row>
        <row r="55">
          <cell r="A55" t="str">
            <v>Energy</v>
          </cell>
          <cell r="B55"/>
          <cell r="C55"/>
          <cell r="D55"/>
          <cell r="E55"/>
          <cell r="F55"/>
          <cell r="G55"/>
          <cell r="H55"/>
          <cell r="I55"/>
          <cell r="J55"/>
          <cell r="K55">
            <v>-6.2240663900414939E-2</v>
          </cell>
          <cell r="L55">
            <v>-0.10084033613445378</v>
          </cell>
          <cell r="M55">
            <v>-0.10526315789473684</v>
          </cell>
          <cell r="N55">
            <v>-6.416275430359937E-2</v>
          </cell>
          <cell r="O55">
            <v>4.5275590551181105E-2</v>
          </cell>
          <cell r="P55">
            <v>2.8629856850715747E-2</v>
          </cell>
          <cell r="Q55">
            <v>2.8629856850715747E-2</v>
          </cell>
          <cell r="R55">
            <v>1.869158878504673E-3</v>
          </cell>
          <cell r="S55">
            <v>-3.2967032967032968E-2</v>
          </cell>
          <cell r="T55">
            <v>8.9605734767025085E-3</v>
          </cell>
        </row>
        <row r="56">
          <cell r="A56" t="str">
            <v>Bergen</v>
          </cell>
          <cell r="B56"/>
          <cell r="C56"/>
          <cell r="D56"/>
          <cell r="E56"/>
          <cell r="F56"/>
          <cell r="G56"/>
          <cell r="H56"/>
          <cell r="I56"/>
          <cell r="J56"/>
          <cell r="K56"/>
          <cell r="L56"/>
          <cell r="M56"/>
          <cell r="N56"/>
          <cell r="O56"/>
          <cell r="P56"/>
          <cell r="Q56"/>
          <cell r="R56"/>
          <cell r="S56"/>
          <cell r="T56"/>
        </row>
        <row r="57">
          <cell r="A57" t="str">
            <v>Tognum</v>
          </cell>
          <cell r="B57"/>
          <cell r="C57"/>
          <cell r="D57"/>
          <cell r="E57"/>
          <cell r="F57"/>
          <cell r="G57"/>
          <cell r="H57"/>
          <cell r="I57"/>
          <cell r="J57"/>
          <cell r="K57"/>
          <cell r="L57"/>
          <cell r="M57"/>
          <cell r="N57"/>
          <cell r="O57"/>
          <cell r="P57"/>
          <cell r="Q57"/>
          <cell r="R57"/>
          <cell r="S57"/>
          <cell r="T57"/>
        </row>
        <row r="58">
          <cell r="A58" t="str">
            <v>Financial Services</v>
          </cell>
          <cell r="B58"/>
          <cell r="C58"/>
          <cell r="D58"/>
          <cell r="E58"/>
          <cell r="F58"/>
          <cell r="G58"/>
          <cell r="H58"/>
          <cell r="I58"/>
          <cell r="J58"/>
          <cell r="K58"/>
          <cell r="L58"/>
          <cell r="M58"/>
          <cell r="N58"/>
          <cell r="O58"/>
          <cell r="P58"/>
          <cell r="Q58"/>
          <cell r="R58"/>
          <cell r="S58"/>
          <cell r="T58"/>
        </row>
        <row r="59">
          <cell r="A59" t="str">
            <v>Materials Handling</v>
          </cell>
          <cell r="B59"/>
          <cell r="C59"/>
          <cell r="D59"/>
          <cell r="E59"/>
          <cell r="F59"/>
          <cell r="G59"/>
          <cell r="H59"/>
          <cell r="I59"/>
          <cell r="J59"/>
          <cell r="K59"/>
          <cell r="L59"/>
          <cell r="M59"/>
          <cell r="N59"/>
          <cell r="O59"/>
          <cell r="P59"/>
          <cell r="Q59"/>
          <cell r="R59"/>
          <cell r="S59"/>
          <cell r="T59"/>
        </row>
        <row r="60">
          <cell r="A60" t="str">
            <v>Central costs</v>
          </cell>
          <cell r="B60"/>
          <cell r="C60"/>
          <cell r="D60"/>
          <cell r="E60"/>
          <cell r="F60"/>
          <cell r="G60"/>
          <cell r="H60"/>
          <cell r="I60"/>
          <cell r="J60"/>
          <cell r="K60"/>
          <cell r="L60"/>
          <cell r="M60"/>
          <cell r="N60"/>
          <cell r="O60"/>
          <cell r="P60"/>
          <cell r="Q60"/>
          <cell r="R60"/>
          <cell r="S60"/>
          <cell r="T60"/>
        </row>
        <row r="61">
          <cell r="A61" t="str">
            <v>Total EBITA margin</v>
          </cell>
          <cell r="B61">
            <v>6.3487738419618522E-2</v>
          </cell>
          <cell r="C61">
            <v>3.5561877667140827E-2</v>
          </cell>
          <cell r="D61">
            <v>2.8635597978663673E-2</v>
          </cell>
          <cell r="E61">
            <v>2.5014212620807278E-2</v>
          </cell>
          <cell r="F61">
            <v>3.1615554852987671E-2</v>
          </cell>
          <cell r="G61">
            <v>4.3091465109813737E-2</v>
          </cell>
          <cell r="H61">
            <v>5.2901421580051268E-2</v>
          </cell>
          <cell r="I61">
            <v>6.6237350505979758E-2</v>
          </cell>
          <cell r="J61">
            <v>7.4065836298932389E-2</v>
          </cell>
          <cell r="K61">
            <v>9.0850237375917131E-2</v>
          </cell>
          <cell r="L61">
            <v>9.5327421555252381E-2</v>
          </cell>
          <cell r="M61">
            <v>9.3868520859671303E-2</v>
          </cell>
          <cell r="N61">
            <v>6.2543192812715961E-2</v>
          </cell>
          <cell r="O61">
            <v>6.6430469441984052E-2</v>
          </cell>
          <cell r="P61">
            <v>6.9877083684121905E-2</v>
          </cell>
          <cell r="Q61">
            <v>7.011938792668572E-2</v>
          </cell>
          <cell r="R61">
            <v>0.10514091049860638</v>
          </cell>
          <cell r="S61">
            <v>0.10172718618251055</v>
          </cell>
          <cell r="T61">
            <v>0.10643469361647691</v>
          </cell>
        </row>
        <row r="62">
          <cell r="A62"/>
          <cell r="B62"/>
          <cell r="C62"/>
          <cell r="D62"/>
          <cell r="E62"/>
          <cell r="F62"/>
          <cell r="G62"/>
          <cell r="H62"/>
          <cell r="I62"/>
          <cell r="J62"/>
          <cell r="K62"/>
          <cell r="L62"/>
          <cell r="M62"/>
          <cell r="N62"/>
          <cell r="O62"/>
          <cell r="P62"/>
          <cell r="Q62"/>
          <cell r="R62"/>
          <cell r="S62"/>
          <cell r="T62"/>
        </row>
        <row r="63">
          <cell r="A63" t="str">
            <v>Summary of underlying P&amp;L</v>
          </cell>
          <cell r="B63"/>
          <cell r="C63"/>
          <cell r="D63"/>
          <cell r="E63"/>
          <cell r="F63"/>
          <cell r="G63"/>
          <cell r="H63"/>
          <cell r="I63"/>
          <cell r="J63"/>
          <cell r="K63"/>
          <cell r="L63"/>
          <cell r="M63"/>
          <cell r="N63"/>
          <cell r="O63"/>
          <cell r="P63"/>
          <cell r="Q63"/>
          <cell r="R63"/>
          <cell r="S63"/>
          <cell r="T63"/>
        </row>
        <row r="64">
          <cell r="A64" t="str">
            <v>RR defined underlying EBITA</v>
          </cell>
          <cell r="B64">
            <v>233</v>
          </cell>
          <cell r="C64">
            <v>125</v>
          </cell>
          <cell r="D64">
            <v>102</v>
          </cell>
          <cell r="E64">
            <v>88</v>
          </cell>
          <cell r="F64">
            <v>100</v>
          </cell>
          <cell r="G64">
            <v>155</v>
          </cell>
          <cell r="H64">
            <v>227</v>
          </cell>
          <cell r="I64">
            <v>288</v>
          </cell>
          <cell r="J64">
            <v>333</v>
          </cell>
          <cell r="K64">
            <v>421</v>
          </cell>
          <cell r="L64">
            <v>559</v>
          </cell>
          <cell r="M64">
            <v>594</v>
          </cell>
          <cell r="N64">
            <v>362</v>
          </cell>
          <cell r="O64">
            <v>375</v>
          </cell>
          <cell r="P64">
            <v>415</v>
          </cell>
          <cell r="Q64">
            <v>417</v>
          </cell>
          <cell r="R64">
            <v>679</v>
          </cell>
          <cell r="S64">
            <v>748</v>
          </cell>
          <cell r="T64">
            <v>832</v>
          </cell>
        </row>
        <row r="65">
          <cell r="A65" t="str">
            <v>RR defined underlying finance charge</v>
          </cell>
          <cell r="B65">
            <v>-7</v>
          </cell>
          <cell r="C65">
            <v>-16</v>
          </cell>
          <cell r="D65">
            <v>-18</v>
          </cell>
          <cell r="E65">
            <v>-12</v>
          </cell>
          <cell r="F65">
            <v>1</v>
          </cell>
          <cell r="G65">
            <v>-12</v>
          </cell>
          <cell r="H65">
            <v>-7</v>
          </cell>
          <cell r="I65">
            <v>-13</v>
          </cell>
          <cell r="J65">
            <v>-17</v>
          </cell>
          <cell r="K65">
            <v>-53</v>
          </cell>
          <cell r="L65">
            <v>-123</v>
          </cell>
          <cell r="M65">
            <v>-119</v>
          </cell>
          <cell r="N65">
            <v>-107</v>
          </cell>
          <cell r="O65">
            <v>-90</v>
          </cell>
          <cell r="P65">
            <v>-70</v>
          </cell>
          <cell r="Q65">
            <v>-52</v>
          </cell>
          <cell r="R65">
            <v>-86</v>
          </cell>
          <cell r="S65">
            <v>-43</v>
          </cell>
          <cell r="T65">
            <v>-32</v>
          </cell>
        </row>
        <row r="66">
          <cell r="A66" t="str">
            <v>RR defined underlying PTP</v>
          </cell>
          <cell r="B66">
            <v>226</v>
          </cell>
          <cell r="C66">
            <v>109</v>
          </cell>
          <cell r="D66">
            <v>84</v>
          </cell>
          <cell r="E66">
            <v>76</v>
          </cell>
          <cell r="F66">
            <v>101</v>
          </cell>
          <cell r="G66">
            <v>143</v>
          </cell>
          <cell r="H66">
            <v>220</v>
          </cell>
          <cell r="I66">
            <v>275</v>
          </cell>
          <cell r="J66">
            <v>316</v>
          </cell>
          <cell r="K66">
            <v>368</v>
          </cell>
          <cell r="L66">
            <v>436</v>
          </cell>
          <cell r="M66">
            <v>475</v>
          </cell>
          <cell r="N66">
            <v>255</v>
          </cell>
          <cell r="O66">
            <v>285</v>
          </cell>
          <cell r="P66">
            <v>345</v>
          </cell>
          <cell r="Q66">
            <v>365</v>
          </cell>
          <cell r="R66">
            <v>593</v>
          </cell>
          <cell r="S66">
            <v>705</v>
          </cell>
          <cell r="T66">
            <v>800</v>
          </cell>
        </row>
        <row r="67">
          <cell r="A67" t="str">
            <v>RR defined underlying tax charge</v>
          </cell>
          <cell r="B67">
            <v>-36</v>
          </cell>
          <cell r="C67">
            <v>-34</v>
          </cell>
          <cell r="D67">
            <v>-27</v>
          </cell>
          <cell r="E67">
            <v>-18</v>
          </cell>
          <cell r="F67">
            <v>-20</v>
          </cell>
          <cell r="G67">
            <v>-31</v>
          </cell>
          <cell r="H67">
            <v>-30</v>
          </cell>
          <cell r="I67">
            <v>-51</v>
          </cell>
          <cell r="J67">
            <v>-61</v>
          </cell>
          <cell r="K67">
            <v>-72</v>
          </cell>
          <cell r="L67">
            <v>-99</v>
          </cell>
          <cell r="M67">
            <v>-154</v>
          </cell>
          <cell r="N67">
            <v>-76</v>
          </cell>
          <cell r="O67">
            <v>-84</v>
          </cell>
          <cell r="P67">
            <v>-99</v>
          </cell>
          <cell r="Q67">
            <v>-100</v>
          </cell>
          <cell r="R67">
            <v>-170</v>
          </cell>
          <cell r="S67">
            <v>-190</v>
          </cell>
          <cell r="T67">
            <v>-193</v>
          </cell>
        </row>
        <row r="68">
          <cell r="A68" t="str">
            <v>Underlying tax rate</v>
          </cell>
          <cell r="B68">
            <v>-0.15929203539823009</v>
          </cell>
          <cell r="C68">
            <v>-0.31192660550458717</v>
          </cell>
          <cell r="D68">
            <v>-0.32142857142857145</v>
          </cell>
          <cell r="E68">
            <v>-0.23684210526315788</v>
          </cell>
          <cell r="F68">
            <v>-0.19801980198019803</v>
          </cell>
          <cell r="G68">
            <v>-0.21678321678321677</v>
          </cell>
          <cell r="H68">
            <v>-0.13636363636363635</v>
          </cell>
          <cell r="I68">
            <v>-0.18545454545454546</v>
          </cell>
          <cell r="J68">
            <v>-0.19303797468354431</v>
          </cell>
          <cell r="K68">
            <v>-0.19565217391304349</v>
          </cell>
          <cell r="L68">
            <v>-0.22706422018348624</v>
          </cell>
          <cell r="M68">
            <v>-0.32421052631578945</v>
          </cell>
          <cell r="N68">
            <v>-0.29803921568627451</v>
          </cell>
          <cell r="O68">
            <v>-0.29473684210526313</v>
          </cell>
          <cell r="P68">
            <v>-0.28695652173913044</v>
          </cell>
          <cell r="Q68">
            <v>-0.27397260273972601</v>
          </cell>
          <cell r="R68">
            <v>-0.28667790893760542</v>
          </cell>
          <cell r="S68">
            <v>-0.26950354609929078</v>
          </cell>
          <cell r="T68">
            <v>-0.24124999999999999</v>
          </cell>
        </row>
        <row r="69">
          <cell r="A69" t="str">
            <v>Minorities</v>
          </cell>
          <cell r="B69">
            <v>-6</v>
          </cell>
          <cell r="C69">
            <v>5</v>
          </cell>
          <cell r="D69">
            <v>7</v>
          </cell>
          <cell r="E69">
            <v>5</v>
          </cell>
          <cell r="F69">
            <v>0</v>
          </cell>
          <cell r="G69">
            <v>-2</v>
          </cell>
          <cell r="H69">
            <v>-3</v>
          </cell>
          <cell r="I69">
            <v>-1</v>
          </cell>
          <cell r="J69">
            <v>-2</v>
          </cell>
          <cell r="K69">
            <v>-2</v>
          </cell>
          <cell r="L69">
            <v>0</v>
          </cell>
          <cell r="M69">
            <v>0</v>
          </cell>
          <cell r="N69">
            <v>0</v>
          </cell>
          <cell r="O69">
            <v>0</v>
          </cell>
          <cell r="P69">
            <v>-1</v>
          </cell>
          <cell r="Q69">
            <v>-1</v>
          </cell>
          <cell r="R69">
            <v>3</v>
          </cell>
          <cell r="S69">
            <v>4</v>
          </cell>
          <cell r="T69">
            <v>6</v>
          </cell>
        </row>
        <row r="70">
          <cell r="A70" t="str">
            <v>RR defined underlying Net Income</v>
          </cell>
          <cell r="B70">
            <v>184</v>
          </cell>
          <cell r="C70">
            <v>80</v>
          </cell>
          <cell r="D70">
            <v>64</v>
          </cell>
          <cell r="E70">
            <v>63</v>
          </cell>
          <cell r="F70">
            <v>81</v>
          </cell>
          <cell r="G70">
            <v>110</v>
          </cell>
          <cell r="H70">
            <v>187</v>
          </cell>
          <cell r="I70">
            <v>223</v>
          </cell>
          <cell r="J70">
            <v>253</v>
          </cell>
          <cell r="K70">
            <v>294</v>
          </cell>
          <cell r="L70">
            <v>337</v>
          </cell>
          <cell r="M70">
            <v>321</v>
          </cell>
          <cell r="N70">
            <v>179</v>
          </cell>
          <cell r="O70">
            <v>201</v>
          </cell>
          <cell r="P70">
            <v>245</v>
          </cell>
          <cell r="Q70">
            <v>264</v>
          </cell>
          <cell r="R70">
            <v>426</v>
          </cell>
          <cell r="S70">
            <v>519</v>
          </cell>
          <cell r="T70">
            <v>613</v>
          </cell>
        </row>
        <row r="71">
          <cell r="A71" t="str">
            <v>Avg. no. of shares</v>
          </cell>
          <cell r="B71">
            <v>961</v>
          </cell>
          <cell r="C71">
            <v>962</v>
          </cell>
          <cell r="D71">
            <v>966</v>
          </cell>
          <cell r="E71">
            <v>1058</v>
          </cell>
          <cell r="F71">
            <v>1224</v>
          </cell>
          <cell r="G71">
            <v>1386</v>
          </cell>
          <cell r="H71">
            <v>1472</v>
          </cell>
          <cell r="I71">
            <v>1478</v>
          </cell>
          <cell r="J71">
            <v>1496</v>
          </cell>
          <cell r="K71">
            <v>1506</v>
          </cell>
          <cell r="L71">
            <v>1558</v>
          </cell>
          <cell r="M71">
            <v>1589</v>
          </cell>
          <cell r="N71">
            <v>1612</v>
          </cell>
          <cell r="O71">
            <v>1647</v>
          </cell>
          <cell r="P71">
            <v>1690</v>
          </cell>
          <cell r="Q71">
            <v>1690</v>
          </cell>
          <cell r="R71">
            <v>1740</v>
          </cell>
          <cell r="S71">
            <v>1741</v>
          </cell>
          <cell r="T71">
            <v>1800</v>
          </cell>
        </row>
        <row r="72">
          <cell r="A72" t="str">
            <v>RR defined underlying EPS (p)</v>
          </cell>
          <cell r="B72">
            <v>19.146722164412068</v>
          </cell>
          <cell r="C72">
            <v>8.3160083160083165</v>
          </cell>
          <cell r="D72">
            <v>6.625258799171843</v>
          </cell>
          <cell r="E72">
            <v>5.9546313799621924</v>
          </cell>
          <cell r="F72">
            <v>6.6176470588235299</v>
          </cell>
          <cell r="G72">
            <v>7.9365079365079358</v>
          </cell>
          <cell r="H72">
            <v>12.703804347826086</v>
          </cell>
          <cell r="I72">
            <v>15.087956698240864</v>
          </cell>
          <cell r="J72">
            <v>16.911764705882355</v>
          </cell>
          <cell r="K72">
            <v>19.52191235059761</v>
          </cell>
          <cell r="L72">
            <v>21.630295250320923</v>
          </cell>
          <cell r="M72">
            <v>20.201384518565135</v>
          </cell>
          <cell r="N72">
            <v>11.104218362282877</v>
          </cell>
          <cell r="O72">
            <v>12.2040072859745</v>
          </cell>
          <cell r="P72">
            <v>14.497041420118343</v>
          </cell>
          <cell r="Q72">
            <v>15.621301775147927</v>
          </cell>
          <cell r="R72">
            <v>24.482758620689655</v>
          </cell>
          <cell r="S72">
            <v>29.810453762205629</v>
          </cell>
          <cell r="T72">
            <v>34.055555555555557</v>
          </cell>
        </row>
        <row r="73">
          <cell r="A73" t="str">
            <v>EPS growth y/y</v>
          </cell>
          <cell r="B73">
            <v>-0.12385321100917424</v>
          </cell>
          <cell r="C73">
            <v>-0.56566934827804383</v>
          </cell>
          <cell r="D73">
            <v>-0.20331262939958594</v>
          </cell>
          <cell r="E73">
            <v>-0.10122282608695665</v>
          </cell>
          <cell r="F73">
            <v>0.11134453781512632</v>
          </cell>
          <cell r="G73">
            <v>0.19929453262786567</v>
          </cell>
          <cell r="H73">
            <v>0.60067934782608701</v>
          </cell>
          <cell r="I73">
            <v>0.18767231335885315</v>
          </cell>
          <cell r="J73">
            <v>0.12087839620153029</v>
          </cell>
          <cell r="K73">
            <v>0.15433916507881507</v>
          </cell>
          <cell r="L73">
            <v>0.10800083833276575</v>
          </cell>
          <cell r="M73">
            <v>-6.6060620773754297E-2</v>
          </cell>
          <cell r="N73">
            <v>-0.45032389477671364</v>
          </cell>
          <cell r="O73">
            <v>9.9042443854240103E-2</v>
          </cell>
          <cell r="P73">
            <v>0.1878919014395477</v>
          </cell>
          <cell r="Q73" t="str">
            <v>n/a</v>
          </cell>
          <cell r="R73">
            <v>0.56726750261233039</v>
          </cell>
          <cell r="S73">
            <v>0.21761008324501874</v>
          </cell>
          <cell r="T73">
            <v>0.14240312566902169</v>
          </cell>
        </row>
        <row r="74">
          <cell r="A74"/>
          <cell r="B74"/>
          <cell r="C74"/>
          <cell r="D74"/>
          <cell r="E74"/>
          <cell r="F74"/>
          <cell r="G74"/>
          <cell r="H74"/>
          <cell r="I74"/>
          <cell r="J74"/>
          <cell r="K74"/>
          <cell r="L74"/>
          <cell r="M74"/>
          <cell r="N74"/>
          <cell r="O74"/>
          <cell r="P74"/>
          <cell r="Q74"/>
          <cell r="R74"/>
          <cell r="S74"/>
          <cell r="T74"/>
        </row>
        <row r="75">
          <cell r="A75" t="str">
            <v>RR defined underlying EBITA margin</v>
          </cell>
          <cell r="B75">
            <v>6.3487738419618522E-2</v>
          </cell>
          <cell r="C75">
            <v>3.5561877667140827E-2</v>
          </cell>
          <cell r="D75">
            <v>2.8635597978663673E-2</v>
          </cell>
          <cell r="E75">
            <v>2.5014212620807278E-2</v>
          </cell>
          <cell r="F75">
            <v>3.1615554852987671E-2</v>
          </cell>
          <cell r="G75">
            <v>4.3091465109813737E-2</v>
          </cell>
          <cell r="H75">
            <v>5.2901421580051268E-2</v>
          </cell>
          <cell r="I75">
            <v>6.6237350505979758E-2</v>
          </cell>
          <cell r="J75">
            <v>7.4065836298932389E-2</v>
          </cell>
          <cell r="K75">
            <v>9.0850237375917131E-2</v>
          </cell>
          <cell r="L75">
            <v>9.5327421555252381E-2</v>
          </cell>
          <cell r="M75">
            <v>9.3868520859671303E-2</v>
          </cell>
          <cell r="N75">
            <v>6.2543192812715961E-2</v>
          </cell>
          <cell r="O75">
            <v>6.6430469441984052E-2</v>
          </cell>
          <cell r="P75">
            <v>6.9877083684121905E-2</v>
          </cell>
          <cell r="Q75">
            <v>7.011938792668572E-2</v>
          </cell>
          <cell r="R75">
            <v>0.10514091049860638</v>
          </cell>
          <cell r="S75">
            <v>0.10172718618251055</v>
          </cell>
          <cell r="T75">
            <v>0.10643469361647691</v>
          </cell>
        </row>
        <row r="76">
          <cell r="A76" t="str">
            <v>RR defined underlying PTP margin</v>
          </cell>
          <cell r="B76">
            <v>6.1580381471389646E-2</v>
          </cell>
          <cell r="C76">
            <v>3.1009957325746799E-2</v>
          </cell>
          <cell r="D76">
            <v>2.3582257158899493E-2</v>
          </cell>
          <cell r="E76">
            <v>2.1603183627060828E-2</v>
          </cell>
          <cell r="F76">
            <v>3.1931710401517543E-2</v>
          </cell>
          <cell r="G76">
            <v>3.9755351681957186E-2</v>
          </cell>
          <cell r="H76">
            <v>5.1270100209741321E-2</v>
          </cell>
          <cell r="I76">
            <v>6.3247470101195954E-2</v>
          </cell>
          <cell r="J76">
            <v>7.0284697508896793E-2</v>
          </cell>
          <cell r="K76">
            <v>7.9413034095813559E-2</v>
          </cell>
          <cell r="L76">
            <v>7.4351978171896316E-2</v>
          </cell>
          <cell r="M76">
            <v>7.5063211125158028E-2</v>
          </cell>
          <cell r="N76">
            <v>4.4056668970283347E-2</v>
          </cell>
          <cell r="O76">
            <v>5.0487156775907885E-2</v>
          </cell>
          <cell r="P76">
            <v>5.8090587641017009E-2</v>
          </cell>
          <cell r="Q76">
            <v>6.1375483437027076E-2</v>
          </cell>
          <cell r="R76">
            <v>9.1824094146794669E-2</v>
          </cell>
          <cell r="S76">
            <v>9.5879232966136277E-2</v>
          </cell>
          <cell r="T76">
            <v>0.10234105155430472</v>
          </cell>
        </row>
        <row r="77">
          <cell r="A77" t="str">
            <v>RR defined underlying Net Income margin</v>
          </cell>
          <cell r="B77">
            <v>5.0136239782016347E-2</v>
          </cell>
          <cell r="C77">
            <v>2.2759601706970129E-2</v>
          </cell>
          <cell r="D77">
            <v>1.7967434025828188E-2</v>
          </cell>
          <cell r="E77">
            <v>1.7907902217168845E-2</v>
          </cell>
          <cell r="F77">
            <v>2.5608599430920014E-2</v>
          </cell>
          <cell r="G77">
            <v>3.0581039755351681E-2</v>
          </cell>
          <cell r="H77">
            <v>4.3579585178280124E-2</v>
          </cell>
          <cell r="I77">
            <v>5.1287948482060718E-2</v>
          </cell>
          <cell r="J77">
            <v>5.6272241992882562E-2</v>
          </cell>
          <cell r="K77">
            <v>6.3444108761329304E-2</v>
          </cell>
          <cell r="L77">
            <v>5.7469304229195085E-2</v>
          </cell>
          <cell r="M77">
            <v>5.0726927939317316E-2</v>
          </cell>
          <cell r="N77">
            <v>3.0926053904630268E-2</v>
          </cell>
          <cell r="O77">
            <v>3.5606731620903456E-2</v>
          </cell>
          <cell r="P77">
            <v>4.125273615086715E-2</v>
          </cell>
          <cell r="Q77">
            <v>4.4392130485959309E-2</v>
          </cell>
          <cell r="R77">
            <v>6.5964694951997527E-2</v>
          </cell>
          <cell r="S77">
            <v>7.0583435332517333E-2</v>
          </cell>
          <cell r="T77">
            <v>7.8418830753485991E-2</v>
          </cell>
        </row>
        <row r="78">
          <cell r="A78"/>
          <cell r="B78"/>
          <cell r="C78"/>
          <cell r="D78"/>
          <cell r="E78"/>
          <cell r="F78"/>
          <cell r="G78"/>
          <cell r="H78"/>
          <cell r="I78"/>
          <cell r="J78"/>
          <cell r="K78"/>
          <cell r="L78"/>
          <cell r="M78"/>
          <cell r="N78"/>
          <cell r="O78"/>
          <cell r="P78"/>
          <cell r="Q78"/>
          <cell r="R78"/>
          <cell r="S78"/>
          <cell r="T78"/>
        </row>
        <row r="79">
          <cell r="A79" t="str">
            <v>Net (debt) / Cash</v>
          </cell>
          <cell r="B79">
            <v>170</v>
          </cell>
          <cell r="C79">
            <v>18</v>
          </cell>
          <cell r="D79">
            <v>84</v>
          </cell>
          <cell r="E79">
            <v>397</v>
          </cell>
          <cell r="F79">
            <v>285</v>
          </cell>
          <cell r="G79">
            <v>314</v>
          </cell>
          <cell r="H79">
            <v>284</v>
          </cell>
          <cell r="I79">
            <v>213</v>
          </cell>
          <cell r="J79">
            <v>302</v>
          </cell>
          <cell r="K79">
            <v>-694</v>
          </cell>
          <cell r="L79">
            <v>-690</v>
          </cell>
          <cell r="M79">
            <v>-501</v>
          </cell>
          <cell r="N79">
            <v>-595</v>
          </cell>
          <cell r="O79">
            <v>-323</v>
          </cell>
          <cell r="P79">
            <v>-80</v>
          </cell>
          <cell r="Q79">
            <v>-149</v>
          </cell>
          <cell r="R79">
            <v>335</v>
          </cell>
          <cell r="S79">
            <v>826</v>
          </cell>
          <cell r="T79">
            <v>888</v>
          </cell>
        </row>
        <row r="80">
          <cell r="A80" t="str">
            <v>Avg net (debt) / Cash</v>
          </cell>
          <cell r="B80">
            <v>95</v>
          </cell>
          <cell r="C80">
            <v>-19</v>
          </cell>
          <cell r="D80">
            <v>49</v>
          </cell>
          <cell r="E80">
            <v>-159</v>
          </cell>
          <cell r="F80">
            <v>118</v>
          </cell>
          <cell r="G80">
            <v>-96</v>
          </cell>
          <cell r="H80">
            <v>50</v>
          </cell>
          <cell r="I80">
            <v>65</v>
          </cell>
          <cell r="J80">
            <v>-180</v>
          </cell>
          <cell r="K80">
            <v>-573</v>
          </cell>
          <cell r="L80">
            <v>-1323</v>
          </cell>
          <cell r="M80">
            <v>-990</v>
          </cell>
          <cell r="N80">
            <v>-1090</v>
          </cell>
          <cell r="O80">
            <v>-950</v>
          </cell>
          <cell r="P80">
            <v>-560</v>
          </cell>
          <cell r="Q80">
            <v>-632</v>
          </cell>
          <cell r="R80">
            <v>-260</v>
          </cell>
          <cell r="S80">
            <v>150</v>
          </cell>
          <cell r="T80">
            <v>350</v>
          </cell>
        </row>
        <row r="81">
          <cell r="A81"/>
          <cell r="B81"/>
          <cell r="C81"/>
          <cell r="D81"/>
          <cell r="E81"/>
          <cell r="F81"/>
          <cell r="G81"/>
          <cell r="H81"/>
          <cell r="I81"/>
          <cell r="J81"/>
          <cell r="K81"/>
          <cell r="L81"/>
          <cell r="M81"/>
          <cell r="N81"/>
          <cell r="O81"/>
          <cell r="P81"/>
          <cell r="Q81"/>
          <cell r="R81"/>
          <cell r="S81"/>
          <cell r="T81"/>
        </row>
        <row r="82">
          <cell r="A82" t="str">
            <v>Checking underlying P&amp;L</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-0.20591715976335934</v>
          </cell>
          <cell r="Q82">
            <v>0</v>
          </cell>
          <cell r="R82">
            <v>0</v>
          </cell>
          <cell r="S82">
            <v>0</v>
          </cell>
          <cell r="T82">
            <v>0</v>
          </cell>
        </row>
        <row r="83">
          <cell r="A83" t="str">
            <v>PTP</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-0.10000000000002274</v>
          </cell>
          <cell r="Q83">
            <v>0</v>
          </cell>
          <cell r="R83">
            <v>0</v>
          </cell>
          <cell r="S83">
            <v>0</v>
          </cell>
          <cell r="T83">
            <v>0</v>
          </cell>
        </row>
        <row r="84">
          <cell r="A84" t="str">
            <v>Net Income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-0.10000000000002274</v>
          </cell>
          <cell r="Q84">
            <v>0</v>
          </cell>
          <cell r="R84">
            <v>0</v>
          </cell>
          <cell r="S84">
            <v>0</v>
          </cell>
          <cell r="T84">
            <v>0</v>
          </cell>
        </row>
        <row r="85">
          <cell r="A85" t="str">
            <v>EPS</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-5.9171597633138617E-3</v>
          </cell>
          <cell r="Q85">
            <v>0</v>
          </cell>
          <cell r="R85">
            <v>0</v>
          </cell>
          <cell r="S85">
            <v>0</v>
          </cell>
          <cell r="T85">
            <v>0</v>
          </cell>
        </row>
        <row r="86">
          <cell r="A86"/>
          <cell r="B86"/>
          <cell r="C86"/>
          <cell r="D86"/>
          <cell r="E86"/>
          <cell r="F86"/>
          <cell r="G86"/>
          <cell r="H86"/>
          <cell r="I86"/>
          <cell r="J86"/>
          <cell r="K86"/>
          <cell r="L86"/>
          <cell r="M86"/>
          <cell r="N86"/>
          <cell r="O86"/>
          <cell r="P86"/>
          <cell r="Q86"/>
          <cell r="R86"/>
          <cell r="S86"/>
          <cell r="T86"/>
        </row>
        <row r="87">
          <cell r="A87" t="str">
            <v>Rolls-Royce (year to Dec)</v>
          </cell>
          <cell r="B87"/>
          <cell r="C87"/>
          <cell r="D87"/>
          <cell r="E87"/>
          <cell r="F87"/>
          <cell r="G87"/>
          <cell r="H87"/>
          <cell r="I87"/>
          <cell r="J87"/>
          <cell r="K87"/>
          <cell r="L87"/>
          <cell r="M87"/>
          <cell r="N87"/>
          <cell r="O87"/>
          <cell r="P87"/>
          <cell r="Q87"/>
          <cell r="R87"/>
          <cell r="S87"/>
          <cell r="T87"/>
        </row>
        <row r="88">
          <cell r="A88"/>
          <cell r="B88"/>
          <cell r="C88"/>
          <cell r="D88"/>
          <cell r="E88"/>
          <cell r="F88"/>
          <cell r="G88"/>
          <cell r="H88"/>
          <cell r="I88"/>
          <cell r="J88"/>
          <cell r="K88"/>
          <cell r="L88"/>
          <cell r="M88"/>
          <cell r="N88"/>
          <cell r="O88"/>
          <cell r="P88"/>
          <cell r="Q88"/>
          <cell r="R88"/>
          <cell r="S88"/>
          <cell r="T88"/>
        </row>
        <row r="89">
          <cell r="A89"/>
          <cell r="B89"/>
          <cell r="C89"/>
          <cell r="D89"/>
          <cell r="E89"/>
          <cell r="F89"/>
          <cell r="G89"/>
          <cell r="H89"/>
          <cell r="I89"/>
          <cell r="J89"/>
          <cell r="K89"/>
          <cell r="L89"/>
          <cell r="M89"/>
          <cell r="N89"/>
          <cell r="O89"/>
          <cell r="P89"/>
          <cell r="Q89"/>
          <cell r="R89"/>
          <cell r="S89"/>
          <cell r="T89"/>
        </row>
        <row r="90">
          <cell r="A90"/>
          <cell r="B90" t="str">
            <v>UK GAAP</v>
          </cell>
          <cell r="C90" t="str">
            <v>UK GAAP</v>
          </cell>
          <cell r="D90" t="str">
            <v>UK GAAP</v>
          </cell>
          <cell r="E90" t="str">
            <v>UK GAAP</v>
          </cell>
          <cell r="F90" t="str">
            <v>UK GAAP</v>
          </cell>
          <cell r="G90" t="str">
            <v>UK GAAP</v>
          </cell>
          <cell r="H90" t="str">
            <v>UK GAAP</v>
          </cell>
          <cell r="I90" t="str">
            <v>UK GAAP</v>
          </cell>
          <cell r="J90" t="str">
            <v>UK GAAP</v>
          </cell>
          <cell r="K90" t="str">
            <v>UK GAAP</v>
          </cell>
          <cell r="L90" t="str">
            <v>UK GAAP</v>
          </cell>
          <cell r="M90" t="str">
            <v>UK GAAP</v>
          </cell>
          <cell r="N90" t="str">
            <v>UK GAAP</v>
          </cell>
          <cell r="O90" t="str">
            <v>UK GAAP</v>
          </cell>
          <cell r="P90" t="str">
            <v>UK GAAP</v>
          </cell>
          <cell r="Q90" t="str">
            <v>IFRS</v>
          </cell>
          <cell r="R90" t="str">
            <v>IFRS</v>
          </cell>
          <cell r="S90" t="str">
            <v>IFRS</v>
          </cell>
          <cell r="T90" t="str">
            <v>IFRS</v>
          </cell>
        </row>
        <row r="91">
          <cell r="A91" t="str">
            <v>Profit and loss</v>
          </cell>
          <cell r="B91">
            <v>1990</v>
          </cell>
          <cell r="C91">
            <v>1991</v>
          </cell>
          <cell r="D91">
            <v>1992</v>
          </cell>
          <cell r="E91">
            <v>1993</v>
          </cell>
          <cell r="F91">
            <v>1994</v>
          </cell>
          <cell r="G91">
            <v>1995</v>
          </cell>
          <cell r="H91">
            <v>1996</v>
          </cell>
          <cell r="I91">
            <v>1997</v>
          </cell>
          <cell r="J91">
            <v>1998</v>
          </cell>
          <cell r="K91">
            <v>1999</v>
          </cell>
          <cell r="L91">
            <v>2000</v>
          </cell>
          <cell r="M91">
            <v>2001</v>
          </cell>
          <cell r="N91">
            <v>2002</v>
          </cell>
          <cell r="O91">
            <v>2003</v>
          </cell>
          <cell r="P91">
            <v>2004</v>
          </cell>
          <cell r="Q91" t="str">
            <v>2004pf</v>
          </cell>
          <cell r="R91">
            <v>2005</v>
          </cell>
          <cell r="S91">
            <v>2006</v>
          </cell>
          <cell r="T91">
            <v>2007</v>
          </cell>
        </row>
        <row r="92">
          <cell r="A92"/>
          <cell r="B92"/>
          <cell r="C92"/>
          <cell r="D92"/>
          <cell r="E92"/>
          <cell r="F92"/>
          <cell r="G92"/>
          <cell r="H92"/>
          <cell r="I92"/>
          <cell r="J92"/>
          <cell r="K92"/>
          <cell r="L92"/>
          <cell r="M92"/>
          <cell r="N92"/>
          <cell r="O92"/>
          <cell r="P92"/>
          <cell r="Q92"/>
          <cell r="R92"/>
          <cell r="S92"/>
          <cell r="T92"/>
        </row>
        <row r="93">
          <cell r="A93" t="str">
            <v>Group sales (inc JVs)</v>
          </cell>
          <cell r="B93"/>
          <cell r="C93"/>
          <cell r="D93"/>
          <cell r="E93"/>
          <cell r="F93"/>
          <cell r="G93"/>
          <cell r="H93"/>
          <cell r="I93">
            <v>4552</v>
          </cell>
          <cell r="J93">
            <v>4687</v>
          </cell>
          <cell r="K93">
            <v>4697</v>
          </cell>
          <cell r="L93">
            <v>5955</v>
          </cell>
          <cell r="M93">
            <v>6680</v>
          </cell>
          <cell r="N93">
            <v>6072</v>
          </cell>
          <cell r="O93">
            <v>6038</v>
          </cell>
          <cell r="P93">
            <v>6229</v>
          </cell>
          <cell r="Q93"/>
          <cell r="R93"/>
          <cell r="S93"/>
          <cell r="T93"/>
        </row>
        <row r="94">
          <cell r="A94" t="str">
            <v>Sales to JVs</v>
          </cell>
          <cell r="B94"/>
          <cell r="C94"/>
          <cell r="D94"/>
          <cell r="E94"/>
          <cell r="F94"/>
          <cell r="G94"/>
          <cell r="H94"/>
          <cell r="I94">
            <v>629</v>
          </cell>
          <cell r="J94">
            <v>701</v>
          </cell>
          <cell r="K94">
            <v>799</v>
          </cell>
          <cell r="L94">
            <v>893</v>
          </cell>
          <cell r="M94">
            <v>871</v>
          </cell>
          <cell r="N94">
            <v>948</v>
          </cell>
          <cell r="O94">
            <v>936</v>
          </cell>
          <cell r="P94">
            <v>965</v>
          </cell>
          <cell r="Q94"/>
          <cell r="R94"/>
          <cell r="S94"/>
          <cell r="T94"/>
        </row>
        <row r="95">
          <cell r="A95" t="str">
            <v>Less share of JV turnover</v>
          </cell>
          <cell r="B95"/>
          <cell r="C95"/>
          <cell r="D95"/>
          <cell r="E95"/>
          <cell r="F95"/>
          <cell r="G95"/>
          <cell r="H95"/>
          <cell r="I95">
            <v>-833</v>
          </cell>
          <cell r="J95">
            <v>-892</v>
          </cell>
          <cell r="K95">
            <v>-862</v>
          </cell>
          <cell r="L95">
            <v>-984</v>
          </cell>
          <cell r="M95">
            <v>-1223</v>
          </cell>
          <cell r="N95">
            <v>-1232</v>
          </cell>
          <cell r="O95">
            <v>-1329</v>
          </cell>
          <cell r="P95">
            <v>-1255</v>
          </cell>
          <cell r="Q95"/>
          <cell r="R95"/>
          <cell r="S95"/>
          <cell r="T95"/>
        </row>
        <row r="96">
          <cell r="A96" t="str">
            <v>Statutory sales (subsidiary only)</v>
          </cell>
          <cell r="B96">
            <v>3670</v>
          </cell>
          <cell r="C96">
            <v>3515</v>
          </cell>
          <cell r="D96">
            <v>3562</v>
          </cell>
          <cell r="E96">
            <v>3518</v>
          </cell>
          <cell r="F96">
            <v>3163</v>
          </cell>
          <cell r="G96">
            <v>3597</v>
          </cell>
          <cell r="H96">
            <v>4291</v>
          </cell>
          <cell r="I96">
            <v>4348</v>
          </cell>
          <cell r="J96">
            <v>4496</v>
          </cell>
          <cell r="K96">
            <v>4634</v>
          </cell>
          <cell r="L96">
            <v>5864</v>
          </cell>
          <cell r="M96">
            <v>6328</v>
          </cell>
          <cell r="N96">
            <v>5788</v>
          </cell>
          <cell r="O96">
            <v>5645</v>
          </cell>
          <cell r="P96">
            <v>5939</v>
          </cell>
          <cell r="Q96">
            <v>5947</v>
          </cell>
          <cell r="R96">
            <v>6603</v>
          </cell>
          <cell r="S96">
            <v>7156</v>
          </cell>
          <cell r="T96">
            <v>7435</v>
          </cell>
        </row>
        <row r="97">
          <cell r="A97" t="str">
            <v>FX adjustment to reach underlying sales</v>
          </cell>
          <cell r="B97"/>
          <cell r="C97"/>
          <cell r="D97"/>
          <cell r="E97"/>
          <cell r="F97"/>
          <cell r="G97"/>
          <cell r="H97"/>
          <cell r="I97"/>
          <cell r="J97"/>
          <cell r="K97"/>
          <cell r="L97"/>
          <cell r="M97"/>
          <cell r="N97"/>
          <cell r="O97"/>
          <cell r="P97"/>
          <cell r="Q97">
            <v>-1</v>
          </cell>
          <cell r="R97">
            <v>-145</v>
          </cell>
          <cell r="S97">
            <v>197</v>
          </cell>
          <cell r="T97">
            <v>382</v>
          </cell>
        </row>
        <row r="98">
          <cell r="A98" t="str">
            <v>RR defined underlying sales</v>
          </cell>
          <cell r="B98">
            <v>3670</v>
          </cell>
          <cell r="C98">
            <v>3515</v>
          </cell>
          <cell r="D98">
            <v>3562</v>
          </cell>
          <cell r="E98">
            <v>3518</v>
          </cell>
          <cell r="F98">
            <v>3163</v>
          </cell>
          <cell r="G98">
            <v>3597</v>
          </cell>
          <cell r="H98">
            <v>4291</v>
          </cell>
          <cell r="I98">
            <v>4348</v>
          </cell>
          <cell r="J98">
            <v>4496</v>
          </cell>
          <cell r="K98">
            <v>4634</v>
          </cell>
          <cell r="L98">
            <v>5864</v>
          </cell>
          <cell r="M98">
            <v>6328</v>
          </cell>
          <cell r="N98">
            <v>5788</v>
          </cell>
          <cell r="O98">
            <v>5645</v>
          </cell>
          <cell r="P98">
            <v>5939</v>
          </cell>
          <cell r="Q98">
            <v>5946</v>
          </cell>
          <cell r="R98">
            <v>6458</v>
          </cell>
          <cell r="S98">
            <v>7353</v>
          </cell>
          <cell r="T98">
            <v>7817</v>
          </cell>
        </row>
        <row r="99">
          <cell r="A99" t="str">
            <v>Change y/y</v>
          </cell>
          <cell r="B99">
            <v>0.23902768399729912</v>
          </cell>
          <cell r="C99">
            <v>-4.2234332425068133E-2</v>
          </cell>
          <cell r="D99">
            <v>1.3371266002844884E-2</v>
          </cell>
          <cell r="E99">
            <v>-1.2352610892756855E-2</v>
          </cell>
          <cell r="F99">
            <v>-0.10090960773166568</v>
          </cell>
          <cell r="G99">
            <v>0.13721150806196647</v>
          </cell>
          <cell r="H99">
            <v>0.19293855991103692</v>
          </cell>
          <cell r="I99">
            <v>1.3283616872523885E-2</v>
          </cell>
          <cell r="J99">
            <v>3.4038638454461756E-2</v>
          </cell>
          <cell r="K99">
            <v>3.0693950177935969E-2</v>
          </cell>
          <cell r="L99">
            <v>0.2654294346137247</v>
          </cell>
          <cell r="M99">
            <v>7.9126875852660206E-2</v>
          </cell>
          <cell r="N99">
            <v>-8.5335018963337506E-2</v>
          </cell>
          <cell r="O99">
            <v>-2.4706288873531435E-2</v>
          </cell>
          <cell r="P99">
            <v>5.2081488042515556E-2</v>
          </cell>
          <cell r="Q99" t="str">
            <v>n/a</v>
          </cell>
          <cell r="R99">
            <v>8.6108308106289888E-2</v>
          </cell>
          <cell r="S99">
            <v>0.13858779807990085</v>
          </cell>
          <cell r="T99">
            <v>6.3103495172038615E-2</v>
          </cell>
        </row>
        <row r="100">
          <cell r="A100"/>
          <cell r="B100"/>
          <cell r="C100"/>
          <cell r="D100"/>
          <cell r="E100"/>
          <cell r="F100"/>
          <cell r="G100"/>
          <cell r="H100"/>
          <cell r="I100"/>
          <cell r="J100"/>
          <cell r="K100"/>
          <cell r="L100"/>
          <cell r="M100"/>
          <cell r="N100"/>
          <cell r="O100"/>
          <cell r="P100"/>
          <cell r="Q100"/>
          <cell r="R100"/>
          <cell r="S100"/>
          <cell r="T100"/>
        </row>
        <row r="101">
          <cell r="A101" t="str">
            <v>Statutory defined Cost of sales (inc Depreciation)</v>
          </cell>
          <cell r="B101">
            <v>-3013</v>
          </cell>
          <cell r="C101">
            <v>-3017</v>
          </cell>
          <cell r="D101">
            <v>-3307</v>
          </cell>
          <cell r="E101">
            <v>-2995</v>
          </cell>
          <cell r="F101">
            <v>-2646</v>
          </cell>
          <cell r="G101">
            <v>-2994</v>
          </cell>
          <cell r="H101">
            <v>-3699</v>
          </cell>
          <cell r="I101">
            <v>-3573</v>
          </cell>
          <cell r="J101">
            <v>-3689</v>
          </cell>
          <cell r="K101">
            <v>-3787</v>
          </cell>
          <cell r="L101">
            <v>-5005</v>
          </cell>
          <cell r="M101">
            <v>-5406</v>
          </cell>
          <cell r="N101">
            <v>-4915</v>
          </cell>
          <cell r="O101">
            <v>-4714</v>
          </cell>
          <cell r="P101">
            <v>-4812</v>
          </cell>
          <cell r="Q101">
            <v>-4744</v>
          </cell>
          <cell r="R101">
            <v>-4924</v>
          </cell>
          <cell r="S101">
            <v>-5527</v>
          </cell>
          <cell r="T101">
            <v>-6003</v>
          </cell>
        </row>
        <row r="102">
          <cell r="A102" t="str">
            <v>Statutory defined Gross Profit</v>
          </cell>
          <cell r="B102">
            <v>657</v>
          </cell>
          <cell r="C102">
            <v>498</v>
          </cell>
          <cell r="D102">
            <v>255</v>
          </cell>
          <cell r="E102">
            <v>523</v>
          </cell>
          <cell r="F102">
            <v>517</v>
          </cell>
          <cell r="G102">
            <v>603</v>
          </cell>
          <cell r="H102">
            <v>592</v>
          </cell>
          <cell r="I102">
            <v>775</v>
          </cell>
          <cell r="J102">
            <v>807</v>
          </cell>
          <cell r="K102">
            <v>847</v>
          </cell>
          <cell r="L102">
            <v>859</v>
          </cell>
          <cell r="M102">
            <v>922</v>
          </cell>
          <cell r="N102">
            <v>873</v>
          </cell>
          <cell r="O102">
            <v>931</v>
          </cell>
          <cell r="P102">
            <v>1127</v>
          </cell>
          <cell r="Q102">
            <v>1203</v>
          </cell>
          <cell r="R102">
            <v>1679</v>
          </cell>
          <cell r="S102">
            <v>1629</v>
          </cell>
          <cell r="T102">
            <v>1432</v>
          </cell>
        </row>
        <row r="103">
          <cell r="A103" t="str">
            <v>Statutory defined Gross Margin</v>
          </cell>
          <cell r="B103">
            <v>0.1790190735694823</v>
          </cell>
          <cell r="C103">
            <v>0.14167852062588904</v>
          </cell>
          <cell r="D103">
            <v>7.1588994946659185E-2</v>
          </cell>
          <cell r="E103">
            <v>0.14866401364411597</v>
          </cell>
          <cell r="F103">
            <v>0.16345241858994625</v>
          </cell>
          <cell r="G103">
            <v>0.16763969974979148</v>
          </cell>
          <cell r="H103">
            <v>0.137963178746213</v>
          </cell>
          <cell r="I103">
            <v>0.17824287028518859</v>
          </cell>
          <cell r="J103">
            <v>0.17949288256227758</v>
          </cell>
          <cell r="K103">
            <v>0.18277945619335348</v>
          </cell>
          <cell r="L103">
            <v>0.14648703956343792</v>
          </cell>
          <cell r="M103">
            <v>0.1457016434892541</v>
          </cell>
          <cell r="N103">
            <v>0.15082930200414651</v>
          </cell>
          <cell r="O103">
            <v>0.16492471213463242</v>
          </cell>
          <cell r="P103">
            <v>0.1897625862939889</v>
          </cell>
          <cell r="Q103">
            <v>0.20228686732806456</v>
          </cell>
          <cell r="R103">
            <v>0.25427835832197487</v>
          </cell>
          <cell r="S103">
            <v>0.2276411403018446</v>
          </cell>
          <cell r="T103">
            <v>0.19260255548083388</v>
          </cell>
        </row>
        <row r="104">
          <cell r="A104"/>
          <cell r="B104"/>
          <cell r="C104"/>
          <cell r="D104"/>
          <cell r="E104"/>
          <cell r="F104"/>
          <cell r="G104"/>
          <cell r="H104"/>
          <cell r="I104"/>
          <cell r="J104"/>
          <cell r="K104"/>
          <cell r="L104"/>
          <cell r="M104"/>
          <cell r="N104"/>
          <cell r="O104"/>
          <cell r="P104"/>
          <cell r="Q104"/>
          <cell r="R104"/>
          <cell r="S104"/>
          <cell r="T104"/>
        </row>
        <row r="105">
          <cell r="A105" t="str">
            <v>Depreciation (for info only)</v>
          </cell>
          <cell r="B105">
            <v>-69</v>
          </cell>
          <cell r="C105">
            <v>-105</v>
          </cell>
          <cell r="D105">
            <v>-104</v>
          </cell>
          <cell r="E105">
            <v>-105</v>
          </cell>
          <cell r="F105">
            <v>-109</v>
          </cell>
          <cell r="G105">
            <v>-116</v>
          </cell>
          <cell r="H105">
            <v>-103</v>
          </cell>
          <cell r="I105">
            <v>-100</v>
          </cell>
          <cell r="J105">
            <v>-113</v>
          </cell>
          <cell r="K105">
            <v>-105</v>
          </cell>
          <cell r="L105">
            <v>-178</v>
          </cell>
          <cell r="M105">
            <v>-198</v>
          </cell>
          <cell r="N105">
            <v>-236</v>
          </cell>
          <cell r="O105">
            <v>-223</v>
          </cell>
          <cell r="P105">
            <v>-223</v>
          </cell>
          <cell r="Q105">
            <v>-242</v>
          </cell>
          <cell r="R105">
            <v>-200</v>
          </cell>
          <cell r="S105">
            <v>-171</v>
          </cell>
          <cell r="T105">
            <v>-170</v>
          </cell>
        </row>
        <row r="106">
          <cell r="A106" t="str">
            <v>as a % of statutory sales</v>
          </cell>
          <cell r="B106">
            <v>-1.8801089918256131E-2</v>
          </cell>
          <cell r="C106">
            <v>-2.9871977240398292E-2</v>
          </cell>
          <cell r="D106">
            <v>-2.9197080291970802E-2</v>
          </cell>
          <cell r="E106">
            <v>-2.9846503695281409E-2</v>
          </cell>
          <cell r="F106">
            <v>-3.4460954789756561E-2</v>
          </cell>
          <cell r="G106">
            <v>-3.2249096469279953E-2</v>
          </cell>
          <cell r="H106">
            <v>-2.4003728734560709E-2</v>
          </cell>
          <cell r="I106">
            <v>-2.2999080036798528E-2</v>
          </cell>
          <cell r="J106">
            <v>-2.5133451957295373E-2</v>
          </cell>
          <cell r="K106">
            <v>-2.2658610271903322E-2</v>
          </cell>
          <cell r="L106">
            <v>-3.0354706684856753E-2</v>
          </cell>
          <cell r="M106">
            <v>-3.1289506953223765E-2</v>
          </cell>
          <cell r="N106">
            <v>-4.0774015203870077E-2</v>
          </cell>
          <cell r="O106">
            <v>-3.950398582816652E-2</v>
          </cell>
          <cell r="P106">
            <v>-3.7548408823034181E-2</v>
          </cell>
          <cell r="Q106">
            <v>-4.0699630003363609E-2</v>
          </cell>
          <cell r="R106">
            <v>-3.0969340353050479E-2</v>
          </cell>
          <cell r="S106">
            <v>-2.3255813953488372E-2</v>
          </cell>
          <cell r="T106">
            <v>-2.1747473455289754E-2</v>
          </cell>
        </row>
        <row r="107">
          <cell r="A107" t="str">
            <v>Intangible amortisation (for info only)</v>
          </cell>
          <cell r="B107"/>
          <cell r="C107"/>
          <cell r="D107"/>
          <cell r="E107"/>
          <cell r="F107"/>
          <cell r="G107"/>
          <cell r="H107"/>
          <cell r="I107"/>
          <cell r="J107"/>
          <cell r="K107">
            <v>0</v>
          </cell>
          <cell r="L107">
            <v>-12</v>
          </cell>
          <cell r="M107">
            <v>-12</v>
          </cell>
          <cell r="N107">
            <v>-22</v>
          </cell>
          <cell r="O107">
            <v>-15</v>
          </cell>
          <cell r="P107">
            <v>-15</v>
          </cell>
          <cell r="Q107">
            <v>-58</v>
          </cell>
          <cell r="R107">
            <v>-54</v>
          </cell>
          <cell r="S107">
            <v>-60</v>
          </cell>
          <cell r="T107">
            <v>-63</v>
          </cell>
        </row>
        <row r="108">
          <cell r="A108" t="str">
            <v>Amortised R&amp;D</v>
          </cell>
          <cell r="B108"/>
          <cell r="C108"/>
          <cell r="D108"/>
          <cell r="E108"/>
          <cell r="F108"/>
          <cell r="G108"/>
          <cell r="H108"/>
          <cell r="I108"/>
          <cell r="J108"/>
          <cell r="K108"/>
          <cell r="L108"/>
          <cell r="M108"/>
          <cell r="N108"/>
          <cell r="O108"/>
          <cell r="P108"/>
          <cell r="Q108">
            <v>-17</v>
          </cell>
          <cell r="R108">
            <v>-13</v>
          </cell>
          <cell r="S108">
            <v>-16</v>
          </cell>
          <cell r="T108">
            <v>-18</v>
          </cell>
        </row>
        <row r="109">
          <cell r="A109" t="str">
            <v>Amortisation of recoverable engine costs</v>
          </cell>
          <cell r="B109"/>
          <cell r="C109"/>
          <cell r="D109"/>
          <cell r="E109"/>
          <cell r="F109"/>
          <cell r="G109"/>
          <cell r="H109"/>
          <cell r="I109"/>
          <cell r="J109"/>
          <cell r="K109"/>
          <cell r="L109"/>
          <cell r="M109"/>
          <cell r="N109"/>
          <cell r="O109"/>
          <cell r="P109"/>
          <cell r="Q109">
            <v>-26</v>
          </cell>
          <cell r="R109">
            <v>-32</v>
          </cell>
          <cell r="S109">
            <v>-30</v>
          </cell>
          <cell r="T109">
            <v>-28</v>
          </cell>
        </row>
        <row r="110">
          <cell r="A110" t="str">
            <v>Amortisation of certification and participation fees</v>
          </cell>
          <cell r="B110"/>
          <cell r="C110"/>
          <cell r="D110"/>
          <cell r="E110"/>
          <cell r="F110"/>
          <cell r="G110"/>
          <cell r="H110"/>
          <cell r="I110"/>
          <cell r="J110"/>
          <cell r="K110"/>
          <cell r="L110">
            <v>-14</v>
          </cell>
          <cell r="M110">
            <v>-12</v>
          </cell>
          <cell r="N110">
            <v>-22</v>
          </cell>
          <cell r="O110">
            <v>-15</v>
          </cell>
          <cell r="P110">
            <v>-15</v>
          </cell>
          <cell r="Q110">
            <v>-15</v>
          </cell>
          <cell r="R110">
            <v>-9</v>
          </cell>
          <cell r="S110">
            <v>-5</v>
          </cell>
          <cell r="T110">
            <v>-7</v>
          </cell>
        </row>
        <row r="111">
          <cell r="A111" t="str">
            <v>Amortisation of other intangibles</v>
          </cell>
          <cell r="B111"/>
          <cell r="C111"/>
          <cell r="D111"/>
          <cell r="E111"/>
          <cell r="F111"/>
          <cell r="G111"/>
          <cell r="H111"/>
          <cell r="I111"/>
          <cell r="J111"/>
          <cell r="K111"/>
          <cell r="L111"/>
          <cell r="M111"/>
          <cell r="N111"/>
          <cell r="O111"/>
          <cell r="P111"/>
          <cell r="Q111"/>
          <cell r="R111"/>
          <cell r="S111">
            <v>-9</v>
          </cell>
          <cell r="T111">
            <v>-10</v>
          </cell>
        </row>
        <row r="112">
          <cell r="A112"/>
          <cell r="B112"/>
          <cell r="C112"/>
          <cell r="D112"/>
          <cell r="E112"/>
          <cell r="F112"/>
          <cell r="G112"/>
          <cell r="H112"/>
          <cell r="I112"/>
          <cell r="J112"/>
          <cell r="K112"/>
          <cell r="L112"/>
          <cell r="M112"/>
          <cell r="N112"/>
          <cell r="O112"/>
          <cell r="P112"/>
          <cell r="Q112"/>
          <cell r="R112"/>
          <cell r="S112"/>
          <cell r="T112"/>
        </row>
        <row r="113">
          <cell r="A113" t="str">
            <v>Expensed R&amp;D</v>
          </cell>
          <cell r="B113">
            <v>-237</v>
          </cell>
          <cell r="C113">
            <v>-216</v>
          </cell>
          <cell r="D113">
            <v>-229</v>
          </cell>
          <cell r="E113">
            <v>-253</v>
          </cell>
          <cell r="F113">
            <v>-218</v>
          </cell>
          <cell r="G113">
            <v>-206</v>
          </cell>
          <cell r="H113">
            <v>-217</v>
          </cell>
          <cell r="I113">
            <v>-268</v>
          </cell>
          <cell r="J113">
            <v>-310</v>
          </cell>
          <cell r="K113">
            <v>-337</v>
          </cell>
          <cell r="L113">
            <v>-371</v>
          </cell>
          <cell r="M113">
            <v>-358</v>
          </cell>
          <cell r="N113">
            <v>-297</v>
          </cell>
          <cell r="O113">
            <v>-281</v>
          </cell>
          <cell r="P113">
            <v>-282</v>
          </cell>
          <cell r="Q113">
            <v>-288</v>
          </cell>
          <cell r="R113">
            <v>-282</v>
          </cell>
          <cell r="S113">
            <v>-370</v>
          </cell>
          <cell r="T113">
            <v>-381</v>
          </cell>
        </row>
        <row r="114">
          <cell r="A114" t="str">
            <v>As a % of underlying sales</v>
          </cell>
          <cell r="B114">
            <v>-6.4577656675749315E-2</v>
          </cell>
          <cell r="C114">
            <v>-6.1450924608819346E-2</v>
          </cell>
          <cell r="D114">
            <v>-6.4289724873666479E-2</v>
          </cell>
          <cell r="E114">
            <v>-7.1915861284820914E-2</v>
          </cell>
          <cell r="F114">
            <v>-6.8921909579513121E-2</v>
          </cell>
          <cell r="G114">
            <v>-5.7269947178204057E-2</v>
          </cell>
          <cell r="H114">
            <v>-5.0570962479608482E-2</v>
          </cell>
          <cell r="I114">
            <v>-6.1637534498620056E-2</v>
          </cell>
          <cell r="J114">
            <v>-6.8950177935943061E-2</v>
          </cell>
          <cell r="K114">
            <v>-7.2723349158394471E-2</v>
          </cell>
          <cell r="L114">
            <v>-6.326739427012279E-2</v>
          </cell>
          <cell r="M114">
            <v>-5.6573957016434889E-2</v>
          </cell>
          <cell r="N114">
            <v>-5.1313061506565311E-2</v>
          </cell>
          <cell r="O114">
            <v>-4.9778565101860052E-2</v>
          </cell>
          <cell r="P114">
            <v>-4.7482741202222595E-2</v>
          </cell>
          <cell r="Q114">
            <v>-4.843592330978809E-2</v>
          </cell>
          <cell r="R114">
            <v>-4.3666769897801175E-2</v>
          </cell>
          <cell r="S114">
            <v>-5.0319597443220454E-2</v>
          </cell>
          <cell r="T114">
            <v>-4.8739925802737623E-2</v>
          </cell>
        </row>
        <row r="115">
          <cell r="A115" t="str">
            <v>Net capitalised R&amp;D (for info only)</v>
          </cell>
          <cell r="B115"/>
          <cell r="C115"/>
          <cell r="D115"/>
          <cell r="E115"/>
          <cell r="F115"/>
          <cell r="G115"/>
          <cell r="H115"/>
          <cell r="I115"/>
          <cell r="J115"/>
          <cell r="K115"/>
          <cell r="L115"/>
          <cell r="M115"/>
          <cell r="N115"/>
          <cell r="O115"/>
          <cell r="P115"/>
          <cell r="Q115">
            <v>5</v>
          </cell>
          <cell r="R115">
            <v>57</v>
          </cell>
          <cell r="S115">
            <v>25</v>
          </cell>
          <cell r="T115">
            <v>73</v>
          </cell>
        </row>
        <row r="116">
          <cell r="A116" t="str">
            <v xml:space="preserve">Gross capitalised R&amp;D </v>
          </cell>
          <cell r="B116"/>
          <cell r="C116"/>
          <cell r="D116"/>
          <cell r="E116"/>
          <cell r="F116"/>
          <cell r="G116"/>
          <cell r="H116"/>
          <cell r="I116"/>
          <cell r="J116"/>
          <cell r="K116"/>
          <cell r="L116"/>
          <cell r="M116"/>
          <cell r="N116"/>
          <cell r="O116"/>
          <cell r="P116"/>
          <cell r="Q116">
            <v>22</v>
          </cell>
          <cell r="R116">
            <v>70</v>
          </cell>
          <cell r="S116">
            <v>41</v>
          </cell>
          <cell r="T116">
            <v>91</v>
          </cell>
        </row>
        <row r="117">
          <cell r="A117" t="str">
            <v>% of R&amp;D capitalised</v>
          </cell>
          <cell r="B117"/>
          <cell r="C117"/>
          <cell r="D117"/>
          <cell r="E117"/>
          <cell r="F117"/>
          <cell r="G117"/>
          <cell r="H117"/>
          <cell r="I117"/>
          <cell r="J117"/>
          <cell r="K117"/>
          <cell r="L117"/>
          <cell r="M117"/>
          <cell r="N117"/>
          <cell r="O117"/>
          <cell r="P117"/>
          <cell r="Q117">
            <v>-7.5085324232081918E-2</v>
          </cell>
          <cell r="R117">
            <v>-0.20648967551622419</v>
          </cell>
          <cell r="S117">
            <v>-0.10379746835443038</v>
          </cell>
          <cell r="T117">
            <v>-0.20044052863436124</v>
          </cell>
        </row>
        <row r="118">
          <cell r="A118" t="str">
            <v>Cash R&amp;D (for info only)</v>
          </cell>
          <cell r="B118">
            <v>-237</v>
          </cell>
          <cell r="C118">
            <v>-216</v>
          </cell>
          <cell r="D118">
            <v>-229</v>
          </cell>
          <cell r="E118">
            <v>-253</v>
          </cell>
          <cell r="F118">
            <v>-218</v>
          </cell>
          <cell r="G118">
            <v>-206</v>
          </cell>
          <cell r="H118">
            <v>-217</v>
          </cell>
          <cell r="I118">
            <v>-268</v>
          </cell>
          <cell r="J118">
            <v>-310</v>
          </cell>
          <cell r="K118">
            <v>-337</v>
          </cell>
          <cell r="L118">
            <v>-371</v>
          </cell>
          <cell r="M118">
            <v>-358</v>
          </cell>
          <cell r="N118">
            <v>-297</v>
          </cell>
          <cell r="O118">
            <v>-281</v>
          </cell>
          <cell r="P118">
            <v>-282</v>
          </cell>
          <cell r="Q118">
            <v>-293</v>
          </cell>
          <cell r="R118">
            <v>-339</v>
          </cell>
          <cell r="S118">
            <v>-395</v>
          </cell>
          <cell r="T118">
            <v>-454</v>
          </cell>
        </row>
        <row r="119">
          <cell r="A119" t="str">
            <v>As a % underlying sales (ex-Tognum sales)</v>
          </cell>
          <cell r="B119">
            <v>-6.4577656675749315E-2</v>
          </cell>
          <cell r="C119">
            <v>-6.1450924608819346E-2</v>
          </cell>
          <cell r="D119">
            <v>-6.4289724873666479E-2</v>
          </cell>
          <cell r="E119">
            <v>-7.1915861284820914E-2</v>
          </cell>
          <cell r="F119">
            <v>-6.8921909579513121E-2</v>
          </cell>
          <cell r="G119">
            <v>-5.7269947178204057E-2</v>
          </cell>
          <cell r="H119">
            <v>-5.0570962479608482E-2</v>
          </cell>
          <cell r="I119">
            <v>-6.1637534498620056E-2</v>
          </cell>
          <cell r="J119">
            <v>-6.8950177935943061E-2</v>
          </cell>
          <cell r="K119">
            <v>-7.2723349158394471E-2</v>
          </cell>
          <cell r="L119">
            <v>-6.326739427012279E-2</v>
          </cell>
          <cell r="M119">
            <v>-5.6573957016434889E-2</v>
          </cell>
          <cell r="N119">
            <v>-5.1313061506565311E-2</v>
          </cell>
          <cell r="O119">
            <v>-4.9778565101860052E-2</v>
          </cell>
          <cell r="P119">
            <v>-4.7482741202222595E-2</v>
          </cell>
          <cell r="Q119">
            <v>-4.9276824756138579E-2</v>
          </cell>
          <cell r="R119">
            <v>-5.2493031898420563E-2</v>
          </cell>
          <cell r="S119">
            <v>-5.3719570243438056E-2</v>
          </cell>
          <cell r="T119">
            <v>-5.8078546757067931E-2</v>
          </cell>
        </row>
        <row r="120">
          <cell r="A120"/>
          <cell r="B120"/>
          <cell r="C120"/>
          <cell r="D120"/>
          <cell r="E120"/>
          <cell r="F120"/>
          <cell r="G120"/>
          <cell r="H120"/>
          <cell r="I120"/>
          <cell r="J120"/>
          <cell r="K120"/>
          <cell r="L120"/>
          <cell r="M120"/>
          <cell r="N120"/>
          <cell r="O120"/>
          <cell r="P120"/>
          <cell r="Q120"/>
          <cell r="R120"/>
          <cell r="S120"/>
          <cell r="T120"/>
        </row>
        <row r="121">
          <cell r="A121" t="str">
            <v>Statutory defined Commercial &amp; Admin costs</v>
          </cell>
          <cell r="B121">
            <v>-239</v>
          </cell>
          <cell r="C121">
            <v>-221</v>
          </cell>
          <cell r="D121">
            <v>-198</v>
          </cell>
          <cell r="E121">
            <v>-194</v>
          </cell>
          <cell r="F121">
            <v>-208</v>
          </cell>
          <cell r="G121">
            <v>-251</v>
          </cell>
          <cell r="H121">
            <v>-275</v>
          </cell>
          <cell r="I121">
            <v>-288</v>
          </cell>
          <cell r="J121">
            <v>-318</v>
          </cell>
          <cell r="K121">
            <v>-366</v>
          </cell>
          <cell r="L121">
            <v>-539</v>
          </cell>
          <cell r="M121">
            <v>-569</v>
          </cell>
          <cell r="N121">
            <v>-566</v>
          </cell>
          <cell r="O121">
            <v>-580</v>
          </cell>
          <cell r="P121">
            <v>-598</v>
          </cell>
          <cell r="Q121">
            <v>-599</v>
          </cell>
          <cell r="R121">
            <v>-624</v>
          </cell>
          <cell r="S121">
            <v>-671</v>
          </cell>
          <cell r="T121">
            <v>-653</v>
          </cell>
        </row>
        <row r="122">
          <cell r="A122" t="str">
            <v>As a % of statutory sales</v>
          </cell>
          <cell r="B122">
            <v>-6.5122615803814718E-2</v>
          </cell>
          <cell r="C122">
            <v>-6.2873399715504985E-2</v>
          </cell>
          <cell r="D122">
            <v>-5.5586749017405949E-2</v>
          </cell>
          <cell r="E122">
            <v>-5.5144968732234227E-2</v>
          </cell>
          <cell r="F122">
            <v>-6.5760354094214352E-2</v>
          </cell>
          <cell r="G122">
            <v>-6.9780372532666113E-2</v>
          </cell>
          <cell r="H122">
            <v>-6.4087625262176651E-2</v>
          </cell>
          <cell r="I122">
            <v>-6.6237350505979758E-2</v>
          </cell>
          <cell r="J122">
            <v>-7.0729537366548037E-2</v>
          </cell>
          <cell r="K122">
            <v>-7.8981441519205872E-2</v>
          </cell>
          <cell r="L122">
            <v>-9.1916780354706684E-2</v>
          </cell>
          <cell r="M122">
            <v>-8.9917825537294563E-2</v>
          </cell>
          <cell r="N122">
            <v>-9.7788527988942636E-2</v>
          </cell>
          <cell r="O122">
            <v>-0.10274579273693533</v>
          </cell>
          <cell r="P122">
            <v>-0.10069035191109614</v>
          </cell>
          <cell r="Q122">
            <v>-0.10073999327278843</v>
          </cell>
          <cell r="R122">
            <v>-9.6624341901517502E-2</v>
          </cell>
          <cell r="S122">
            <v>-9.1255269957840335E-2</v>
          </cell>
          <cell r="T122">
            <v>-8.3535883331201224E-2</v>
          </cell>
        </row>
        <row r="123">
          <cell r="A123"/>
          <cell r="B123"/>
          <cell r="C123"/>
          <cell r="D123"/>
          <cell r="E123"/>
          <cell r="F123"/>
          <cell r="G123"/>
          <cell r="H123"/>
          <cell r="I123"/>
          <cell r="J123"/>
          <cell r="K123"/>
          <cell r="L123"/>
          <cell r="M123"/>
          <cell r="N123"/>
          <cell r="O123"/>
          <cell r="P123"/>
          <cell r="Q123"/>
          <cell r="R123"/>
          <cell r="S123"/>
          <cell r="T123"/>
        </row>
        <row r="124">
          <cell r="A124" t="str">
            <v>Risk revenue sharing partner payments (inc. in COGS) - for info only</v>
          </cell>
          <cell r="B124"/>
          <cell r="C124"/>
          <cell r="D124"/>
          <cell r="E124"/>
          <cell r="F124"/>
          <cell r="G124"/>
          <cell r="H124"/>
          <cell r="I124"/>
          <cell r="J124">
            <v>-63</v>
          </cell>
          <cell r="K124">
            <v>-99</v>
          </cell>
          <cell r="L124">
            <v>-129</v>
          </cell>
          <cell r="M124">
            <v>-113</v>
          </cell>
          <cell r="N124">
            <v>-139</v>
          </cell>
          <cell r="O124">
            <v>-179</v>
          </cell>
          <cell r="P124">
            <v>-240</v>
          </cell>
          <cell r="Q124">
            <v>-150</v>
          </cell>
          <cell r="R124">
            <v>-146</v>
          </cell>
          <cell r="S124">
            <v>-162</v>
          </cell>
          <cell r="T124">
            <v>-199</v>
          </cell>
        </row>
        <row r="125">
          <cell r="A125" t="str">
            <v>Other operating income (RRSP receipts)</v>
          </cell>
          <cell r="B125"/>
          <cell r="C125"/>
          <cell r="D125"/>
          <cell r="E125"/>
          <cell r="F125"/>
          <cell r="G125"/>
          <cell r="H125"/>
          <cell r="I125"/>
          <cell r="J125"/>
          <cell r="K125">
            <v>232</v>
          </cell>
          <cell r="L125">
            <v>341</v>
          </cell>
          <cell r="M125">
            <v>239</v>
          </cell>
          <cell r="N125">
            <v>158</v>
          </cell>
          <cell r="O125">
            <v>153</v>
          </cell>
          <cell r="P125">
            <v>73</v>
          </cell>
          <cell r="Q125">
            <v>73</v>
          </cell>
          <cell r="R125">
            <v>60</v>
          </cell>
          <cell r="S125">
            <v>57</v>
          </cell>
          <cell r="T125">
            <v>50</v>
          </cell>
        </row>
        <row r="126">
          <cell r="A126" t="str">
            <v>Associates (included in EBIT under IFRS)</v>
          </cell>
          <cell r="B126"/>
          <cell r="C126"/>
          <cell r="D126"/>
          <cell r="E126"/>
          <cell r="F126"/>
          <cell r="G126"/>
          <cell r="H126"/>
          <cell r="I126"/>
          <cell r="J126"/>
          <cell r="K126"/>
          <cell r="L126"/>
          <cell r="M126"/>
          <cell r="N126"/>
          <cell r="O126"/>
          <cell r="P126"/>
          <cell r="Q126">
            <v>19</v>
          </cell>
          <cell r="R126">
            <v>46</v>
          </cell>
          <cell r="S126">
            <v>47</v>
          </cell>
          <cell r="T126">
            <v>66</v>
          </cell>
        </row>
        <row r="127">
          <cell r="A127" t="str">
            <v>Loss/profit on disposals (included in EBIT under IFRS)</v>
          </cell>
          <cell r="B127"/>
          <cell r="C127"/>
          <cell r="D127"/>
          <cell r="E127"/>
          <cell r="F127"/>
          <cell r="G127"/>
          <cell r="H127"/>
          <cell r="I127"/>
          <cell r="J127"/>
          <cell r="K127"/>
          <cell r="L127"/>
          <cell r="M127"/>
          <cell r="N127"/>
          <cell r="O127"/>
          <cell r="P127"/>
          <cell r="Q127">
            <v>9</v>
          </cell>
          <cell r="R127">
            <v>-2</v>
          </cell>
          <cell r="S127">
            <v>1</v>
          </cell>
          <cell r="T127">
            <v>-2</v>
          </cell>
        </row>
        <row r="128">
          <cell r="A128"/>
          <cell r="B128"/>
          <cell r="C128"/>
          <cell r="D128"/>
          <cell r="E128"/>
          <cell r="F128"/>
          <cell r="G128"/>
          <cell r="H128"/>
          <cell r="I128"/>
          <cell r="J128"/>
          <cell r="K128"/>
          <cell r="L128"/>
          <cell r="M128"/>
          <cell r="N128"/>
          <cell r="O128"/>
          <cell r="P128"/>
          <cell r="Q128"/>
          <cell r="R128"/>
          <cell r="S128"/>
          <cell r="T128"/>
        </row>
        <row r="129">
          <cell r="A129" t="str">
            <v>Statutory defined EBIT</v>
          </cell>
          <cell r="B129">
            <v>181</v>
          </cell>
          <cell r="C129">
            <v>61</v>
          </cell>
          <cell r="D129">
            <v>-172</v>
          </cell>
          <cell r="E129">
            <v>76</v>
          </cell>
          <cell r="F129">
            <v>91</v>
          </cell>
          <cell r="G129">
            <v>146</v>
          </cell>
          <cell r="H129">
            <v>118</v>
          </cell>
          <cell r="I129">
            <v>271</v>
          </cell>
          <cell r="J129">
            <v>316</v>
          </cell>
          <cell r="K129">
            <v>376</v>
          </cell>
          <cell r="L129">
            <v>290</v>
          </cell>
          <cell r="M129">
            <v>234</v>
          </cell>
          <cell r="N129">
            <v>168</v>
          </cell>
          <cell r="O129">
            <v>223</v>
          </cell>
          <cell r="P129">
            <v>320</v>
          </cell>
          <cell r="Q129">
            <v>417</v>
          </cell>
          <cell r="R129">
            <v>877</v>
          </cell>
          <cell r="S129">
            <v>693</v>
          </cell>
          <cell r="T129">
            <v>512</v>
          </cell>
        </row>
        <row r="130">
          <cell r="A130" t="str">
            <v>Add back goodwill amortisation</v>
          </cell>
          <cell r="B130"/>
          <cell r="C130"/>
          <cell r="D130"/>
          <cell r="E130"/>
          <cell r="F130"/>
          <cell r="G130"/>
          <cell r="H130"/>
          <cell r="I130"/>
          <cell r="J130"/>
          <cell r="K130">
            <v>5</v>
          </cell>
          <cell r="L130">
            <v>46</v>
          </cell>
          <cell r="M130">
            <v>45</v>
          </cell>
          <cell r="N130">
            <v>52</v>
          </cell>
          <cell r="O130">
            <v>48</v>
          </cell>
          <cell r="P130">
            <v>47</v>
          </cell>
          <cell r="Q130"/>
          <cell r="R130"/>
          <cell r="S130"/>
          <cell r="T130"/>
        </row>
        <row r="131">
          <cell r="A131" t="str">
            <v>Add back PPA on Tognum</v>
          </cell>
          <cell r="B131"/>
          <cell r="C131"/>
          <cell r="D131"/>
          <cell r="E131"/>
          <cell r="F131"/>
          <cell r="G131"/>
          <cell r="H131"/>
          <cell r="I131"/>
          <cell r="J131"/>
          <cell r="K131"/>
          <cell r="L131"/>
          <cell r="M131"/>
          <cell r="N131"/>
          <cell r="O131"/>
          <cell r="P131"/>
          <cell r="Q131"/>
          <cell r="R131"/>
          <cell r="S131"/>
          <cell r="T131"/>
        </row>
        <row r="132">
          <cell r="A132" t="str">
            <v>Add back exceptional operating costs</v>
          </cell>
          <cell r="B132">
            <v>50</v>
          </cell>
          <cell r="C132">
            <v>58</v>
          </cell>
          <cell r="D132">
            <v>268</v>
          </cell>
          <cell r="E132"/>
          <cell r="F132"/>
          <cell r="G132"/>
          <cell r="H132">
            <v>101</v>
          </cell>
          <cell r="I132"/>
          <cell r="J132"/>
          <cell r="K132">
            <v>6</v>
          </cell>
          <cell r="L132">
            <v>145</v>
          </cell>
          <cell r="M132">
            <v>230</v>
          </cell>
          <cell r="N132">
            <v>76</v>
          </cell>
          <cell r="O132">
            <v>54</v>
          </cell>
          <cell r="P132"/>
          <cell r="Q132"/>
          <cell r="R132"/>
          <cell r="S132"/>
          <cell r="T132"/>
        </row>
        <row r="133">
          <cell r="A133" t="str">
            <v>Add back associates</v>
          </cell>
          <cell r="B133">
            <v>2</v>
          </cell>
          <cell r="C133">
            <v>6</v>
          </cell>
          <cell r="D133">
            <v>6</v>
          </cell>
          <cell r="E133">
            <v>12</v>
          </cell>
          <cell r="F133">
            <v>9</v>
          </cell>
          <cell r="G133">
            <v>9</v>
          </cell>
          <cell r="H133">
            <v>8</v>
          </cell>
          <cell r="I133">
            <v>17</v>
          </cell>
          <cell r="J133">
            <v>17</v>
          </cell>
          <cell r="K133">
            <v>31</v>
          </cell>
          <cell r="L133">
            <v>76</v>
          </cell>
          <cell r="M133">
            <v>82</v>
          </cell>
          <cell r="N133">
            <v>66</v>
          </cell>
          <cell r="O133">
            <v>52</v>
          </cell>
          <cell r="P133">
            <v>48.9</v>
          </cell>
          <cell r="Q133"/>
          <cell r="R133"/>
          <cell r="S133"/>
          <cell r="T133"/>
        </row>
        <row r="134">
          <cell r="A134" t="str">
            <v>Add profit / (loss) on fixed assets</v>
          </cell>
          <cell r="B134"/>
          <cell r="C134"/>
          <cell r="D134"/>
          <cell r="E134"/>
          <cell r="F134"/>
          <cell r="G134"/>
          <cell r="H134"/>
          <cell r="I134"/>
          <cell r="J134"/>
          <cell r="K134">
            <v>3</v>
          </cell>
          <cell r="L134">
            <v>2</v>
          </cell>
          <cell r="M134">
            <v>3</v>
          </cell>
          <cell r="N134">
            <v>0</v>
          </cell>
          <cell r="O134">
            <v>-2</v>
          </cell>
          <cell r="P134">
            <v>-1</v>
          </cell>
          <cell r="Q134"/>
          <cell r="R134"/>
          <cell r="S134"/>
          <cell r="T134"/>
        </row>
        <row r="135">
          <cell r="A135" t="str">
            <v>Release of hedge reserve</v>
          </cell>
          <cell r="B135"/>
          <cell r="C135"/>
          <cell r="D135"/>
          <cell r="E135"/>
          <cell r="F135"/>
          <cell r="G135"/>
          <cell r="H135"/>
          <cell r="I135"/>
          <cell r="J135"/>
          <cell r="K135"/>
          <cell r="L135"/>
          <cell r="M135"/>
          <cell r="N135"/>
          <cell r="O135"/>
          <cell r="P135"/>
          <cell r="Q135"/>
          <cell r="R135">
            <v>-452</v>
          </cell>
          <cell r="S135">
            <v>-289</v>
          </cell>
          <cell r="T135">
            <v>-149</v>
          </cell>
        </row>
        <row r="136">
          <cell r="A136" t="str">
            <v>Realised gains on settled derivative contracts</v>
          </cell>
          <cell r="B136"/>
          <cell r="C136"/>
          <cell r="D136"/>
          <cell r="E136"/>
          <cell r="F136"/>
          <cell r="G136"/>
          <cell r="H136"/>
          <cell r="I136"/>
          <cell r="J136"/>
          <cell r="K136"/>
          <cell r="L136"/>
          <cell r="M136"/>
          <cell r="N136"/>
          <cell r="O136"/>
          <cell r="P136"/>
          <cell r="Q136"/>
          <cell r="R136">
            <v>328</v>
          </cell>
          <cell r="S136">
            <v>343</v>
          </cell>
          <cell r="T136">
            <v>415</v>
          </cell>
        </row>
        <row r="137">
          <cell r="A137" t="str">
            <v>Post-retirement schemes - past service costs</v>
          </cell>
          <cell r="B137"/>
          <cell r="C137"/>
          <cell r="D137"/>
          <cell r="E137"/>
          <cell r="F137"/>
          <cell r="G137"/>
          <cell r="H137"/>
          <cell r="I137"/>
          <cell r="J137"/>
          <cell r="K137"/>
          <cell r="L137"/>
          <cell r="M137"/>
          <cell r="N137"/>
          <cell r="O137"/>
          <cell r="P137"/>
          <cell r="Q137"/>
          <cell r="R137"/>
          <cell r="S137"/>
          <cell r="T137">
            <v>130</v>
          </cell>
        </row>
        <row r="138">
          <cell r="A138" t="str">
            <v>FX derivative gains carried forward in contract accounting</v>
          </cell>
          <cell r="B138"/>
          <cell r="C138"/>
          <cell r="D138"/>
          <cell r="E138"/>
          <cell r="F138"/>
          <cell r="G138"/>
          <cell r="H138"/>
          <cell r="I138"/>
          <cell r="J138"/>
          <cell r="K138"/>
          <cell r="L138"/>
          <cell r="M138"/>
          <cell r="N138"/>
          <cell r="O138"/>
          <cell r="P138"/>
          <cell r="Q138"/>
          <cell r="R138">
            <v>-74</v>
          </cell>
          <cell r="S138">
            <v>1</v>
          </cell>
          <cell r="T138">
            <v>-76</v>
          </cell>
        </row>
        <row r="139">
          <cell r="A139" t="str">
            <v>RR defined underlying EBITA</v>
          </cell>
          <cell r="B139">
            <v>233</v>
          </cell>
          <cell r="C139">
            <v>125</v>
          </cell>
          <cell r="D139">
            <v>102</v>
          </cell>
          <cell r="E139">
            <v>88</v>
          </cell>
          <cell r="F139">
            <v>100</v>
          </cell>
          <cell r="G139">
            <v>155</v>
          </cell>
          <cell r="H139">
            <v>227</v>
          </cell>
          <cell r="I139">
            <v>288</v>
          </cell>
          <cell r="J139">
            <v>333</v>
          </cell>
          <cell r="K139">
            <v>421</v>
          </cell>
          <cell r="L139">
            <v>559</v>
          </cell>
          <cell r="M139">
            <v>594</v>
          </cell>
          <cell r="N139">
            <v>362</v>
          </cell>
          <cell r="O139">
            <v>375</v>
          </cell>
          <cell r="P139">
            <v>414.9</v>
          </cell>
          <cell r="Q139">
            <v>417</v>
          </cell>
          <cell r="R139">
            <v>679</v>
          </cell>
          <cell r="S139">
            <v>748</v>
          </cell>
          <cell r="T139">
            <v>832</v>
          </cell>
        </row>
        <row r="140">
          <cell r="A140" t="str">
            <v>as a % of underlying sales</v>
          </cell>
          <cell r="B140">
            <v>6.3487738419618522E-2</v>
          </cell>
          <cell r="C140">
            <v>3.5561877667140827E-2</v>
          </cell>
          <cell r="D140">
            <v>2.8635597978663673E-2</v>
          </cell>
          <cell r="E140">
            <v>2.5014212620807278E-2</v>
          </cell>
          <cell r="F140">
            <v>3.1615554852987671E-2</v>
          </cell>
          <cell r="G140">
            <v>4.3091465109813737E-2</v>
          </cell>
          <cell r="H140">
            <v>5.2901421580051268E-2</v>
          </cell>
          <cell r="I140">
            <v>6.6237350505979758E-2</v>
          </cell>
          <cell r="J140">
            <v>7.4065836298932389E-2</v>
          </cell>
          <cell r="K140">
            <v>9.0850237375917131E-2</v>
          </cell>
          <cell r="L140">
            <v>9.5327421555252381E-2</v>
          </cell>
          <cell r="M140">
            <v>9.3868520859671303E-2</v>
          </cell>
          <cell r="N140">
            <v>6.2543192812715961E-2</v>
          </cell>
          <cell r="O140">
            <v>6.6430469441984052E-2</v>
          </cell>
          <cell r="P140">
            <v>6.9860245832631757E-2</v>
          </cell>
          <cell r="Q140">
            <v>7.0131180625630674E-2</v>
          </cell>
          <cell r="R140">
            <v>0.10514091049860638</v>
          </cell>
          <cell r="S140">
            <v>0.10172718618251055</v>
          </cell>
          <cell r="T140">
            <v>0.10643469361647691</v>
          </cell>
        </row>
        <row r="141">
          <cell r="A141"/>
          <cell r="B141"/>
          <cell r="C141"/>
          <cell r="D141"/>
          <cell r="E141"/>
          <cell r="F141"/>
          <cell r="G141"/>
          <cell r="H141"/>
          <cell r="I141"/>
          <cell r="J141"/>
          <cell r="K141"/>
          <cell r="L141"/>
          <cell r="M141"/>
          <cell r="N141"/>
          <cell r="O141"/>
          <cell r="P141"/>
          <cell r="Q141"/>
          <cell r="R141"/>
          <cell r="S141"/>
          <cell r="T141"/>
        </row>
        <row r="142">
          <cell r="A142" t="str">
            <v>RR defined underlying EBITDA</v>
          </cell>
          <cell r="B142">
            <v>302</v>
          </cell>
          <cell r="C142">
            <v>230</v>
          </cell>
          <cell r="D142">
            <v>206</v>
          </cell>
          <cell r="E142">
            <v>193</v>
          </cell>
          <cell r="F142">
            <v>209</v>
          </cell>
          <cell r="G142">
            <v>271</v>
          </cell>
          <cell r="H142">
            <v>330</v>
          </cell>
          <cell r="I142">
            <v>388</v>
          </cell>
          <cell r="J142">
            <v>446</v>
          </cell>
          <cell r="K142">
            <v>526</v>
          </cell>
          <cell r="L142">
            <v>749</v>
          </cell>
          <cell r="M142">
            <v>804</v>
          </cell>
          <cell r="N142">
            <v>620</v>
          </cell>
          <cell r="O142">
            <v>613</v>
          </cell>
          <cell r="P142">
            <v>652.9</v>
          </cell>
          <cell r="Q142">
            <v>717</v>
          </cell>
          <cell r="R142">
            <v>933</v>
          </cell>
          <cell r="S142">
            <v>979</v>
          </cell>
          <cell r="T142">
            <v>1065</v>
          </cell>
        </row>
        <row r="143">
          <cell r="A143" t="str">
            <v>as a % of underlying sales</v>
          </cell>
          <cell r="B143">
            <v>-0.10023232658479921</v>
          </cell>
          <cell r="C143">
            <v>6.5433854907539113E-2</v>
          </cell>
          <cell r="D143">
            <v>5.7832678270634472E-2</v>
          </cell>
          <cell r="E143">
            <v>5.4860716316088687E-2</v>
          </cell>
          <cell r="F143">
            <v>6.6076509642744224E-2</v>
          </cell>
          <cell r="G143">
            <v>7.534056157909369E-2</v>
          </cell>
          <cell r="H143">
            <v>7.6905150314611981E-2</v>
          </cell>
          <cell r="I143">
            <v>8.9236430542778286E-2</v>
          </cell>
          <cell r="J143">
            <v>9.9199288256227758E-2</v>
          </cell>
          <cell r="K143">
            <v>0.11350884764782046</v>
          </cell>
          <cell r="L143">
            <v>0.12772851296043655</v>
          </cell>
          <cell r="M143">
            <v>0.12705436156763592</v>
          </cell>
          <cell r="N143">
            <v>0.10711817553559087</v>
          </cell>
          <cell r="O143">
            <v>0.10859167404782993</v>
          </cell>
          <cell r="P143">
            <v>0.10993433237918841</v>
          </cell>
          <cell r="Q143">
            <v>0.12058526740665994</v>
          </cell>
          <cell r="R143">
            <v>0.14447197274698048</v>
          </cell>
          <cell r="S143">
            <v>0.13314293485652115</v>
          </cell>
          <cell r="T143">
            <v>0.13624152488166816</v>
          </cell>
        </row>
        <row r="144">
          <cell r="A144"/>
          <cell r="B144"/>
          <cell r="C144"/>
          <cell r="D144"/>
          <cell r="E144"/>
          <cell r="F144"/>
          <cell r="G144"/>
          <cell r="H144"/>
          <cell r="I144"/>
          <cell r="J144"/>
          <cell r="K144"/>
          <cell r="L144"/>
          <cell r="M144"/>
          <cell r="N144"/>
          <cell r="O144"/>
          <cell r="P144"/>
          <cell r="Q144"/>
          <cell r="R144"/>
          <cell r="S144"/>
          <cell r="T144"/>
        </row>
        <row r="145">
          <cell r="A145" t="str">
            <v xml:space="preserve">Other revenue / expense </v>
          </cell>
          <cell r="B145"/>
          <cell r="C145"/>
          <cell r="D145"/>
          <cell r="E145"/>
          <cell r="F145"/>
          <cell r="G145">
            <v>32</v>
          </cell>
          <cell r="H145">
            <v>-147</v>
          </cell>
          <cell r="I145">
            <v>1</v>
          </cell>
          <cell r="J145">
            <v>9</v>
          </cell>
          <cell r="K145">
            <v>3</v>
          </cell>
          <cell r="L145">
            <v>-79</v>
          </cell>
          <cell r="M145">
            <v>-8</v>
          </cell>
          <cell r="N145">
            <v>-22</v>
          </cell>
          <cell r="O145">
            <v>-3</v>
          </cell>
          <cell r="P145">
            <v>7</v>
          </cell>
          <cell r="Q145"/>
          <cell r="R145"/>
          <cell r="S145"/>
          <cell r="T145"/>
        </row>
        <row r="146">
          <cell r="A146"/>
          <cell r="B146"/>
          <cell r="C146"/>
          <cell r="D146"/>
          <cell r="E146"/>
          <cell r="F146"/>
          <cell r="G146"/>
          <cell r="H146"/>
          <cell r="I146"/>
          <cell r="J146"/>
          <cell r="K146"/>
          <cell r="L146"/>
          <cell r="M146"/>
          <cell r="N146"/>
          <cell r="O146"/>
          <cell r="P146"/>
          <cell r="Q146"/>
          <cell r="R146"/>
          <cell r="S146"/>
          <cell r="T146"/>
        </row>
        <row r="147">
          <cell r="A147" t="str">
            <v>Statutory defined net financial income / (expense)</v>
          </cell>
          <cell r="B147"/>
          <cell r="C147"/>
          <cell r="D147"/>
          <cell r="E147"/>
          <cell r="F147"/>
          <cell r="G147"/>
          <cell r="H147"/>
          <cell r="I147"/>
          <cell r="J147"/>
          <cell r="K147"/>
          <cell r="L147"/>
          <cell r="M147"/>
          <cell r="N147"/>
          <cell r="O147"/>
          <cell r="P147"/>
          <cell r="Q147"/>
          <cell r="R147"/>
          <cell r="S147"/>
          <cell r="T147"/>
        </row>
        <row r="148">
          <cell r="A148" t="str">
            <v>Subsidiary financial income / (expense)</v>
          </cell>
          <cell r="B148">
            <v>-7</v>
          </cell>
          <cell r="C148">
            <v>-16</v>
          </cell>
          <cell r="D148">
            <v>-18</v>
          </cell>
          <cell r="E148">
            <v>-12</v>
          </cell>
          <cell r="F148">
            <v>1</v>
          </cell>
          <cell r="G148">
            <v>-12</v>
          </cell>
          <cell r="H148">
            <v>-7</v>
          </cell>
          <cell r="I148">
            <v>-9</v>
          </cell>
          <cell r="J148">
            <v>-12</v>
          </cell>
          <cell r="K148">
            <v>-35</v>
          </cell>
          <cell r="L148">
            <v>-85</v>
          </cell>
          <cell r="M148">
            <v>-77</v>
          </cell>
          <cell r="N148">
            <v>-72</v>
          </cell>
          <cell r="O148">
            <v>-66</v>
          </cell>
          <cell r="P148">
            <v>-48</v>
          </cell>
          <cell r="Q148">
            <v>-53</v>
          </cell>
          <cell r="R148">
            <v>-400</v>
          </cell>
          <cell r="S148">
            <v>698</v>
          </cell>
          <cell r="T148">
            <v>221</v>
          </cell>
        </row>
        <row r="149">
          <cell r="A149" t="str">
            <v xml:space="preserve">Financial income </v>
          </cell>
          <cell r="B149"/>
          <cell r="C149"/>
          <cell r="D149"/>
          <cell r="E149"/>
          <cell r="F149"/>
          <cell r="G149"/>
          <cell r="H149"/>
          <cell r="I149"/>
          <cell r="J149"/>
          <cell r="K149"/>
          <cell r="L149"/>
          <cell r="M149"/>
          <cell r="N149"/>
          <cell r="O149"/>
          <cell r="P149"/>
          <cell r="Q149">
            <v>372</v>
          </cell>
          <cell r="R149">
            <v>442</v>
          </cell>
          <cell r="S149">
            <v>1196</v>
          </cell>
          <cell r="T149">
            <v>718</v>
          </cell>
        </row>
        <row r="150">
          <cell r="A150" t="str">
            <v>Financial expenses</v>
          </cell>
          <cell r="B150"/>
          <cell r="C150"/>
          <cell r="D150"/>
          <cell r="E150"/>
          <cell r="F150"/>
          <cell r="G150"/>
          <cell r="H150"/>
          <cell r="I150"/>
          <cell r="J150"/>
          <cell r="K150"/>
          <cell r="L150"/>
          <cell r="M150"/>
          <cell r="N150"/>
          <cell r="O150"/>
          <cell r="P150"/>
          <cell r="Q150">
            <v>-425</v>
          </cell>
          <cell r="R150">
            <v>-842</v>
          </cell>
          <cell r="S150">
            <v>-498</v>
          </cell>
          <cell r="T150">
            <v>-497</v>
          </cell>
        </row>
        <row r="151">
          <cell r="A151" t="str">
            <v>JV interest (included in EBIT under IFRS)</v>
          </cell>
          <cell r="B151"/>
          <cell r="C151"/>
          <cell r="D151"/>
          <cell r="E151"/>
          <cell r="F151"/>
          <cell r="G151"/>
          <cell r="H151"/>
          <cell r="I151">
            <v>-4</v>
          </cell>
          <cell r="J151">
            <v>-5</v>
          </cell>
          <cell r="K151">
            <v>-18</v>
          </cell>
          <cell r="L151">
            <v>-38</v>
          </cell>
          <cell r="M151">
            <v>-42</v>
          </cell>
          <cell r="N151">
            <v>-35</v>
          </cell>
          <cell r="O151">
            <v>-24</v>
          </cell>
          <cell r="P151">
            <v>-22</v>
          </cell>
          <cell r="Q151"/>
          <cell r="R151"/>
          <cell r="S151"/>
          <cell r="T151"/>
        </row>
        <row r="152">
          <cell r="A152" t="str">
            <v>Statutory defined net financial income / (expense)</v>
          </cell>
          <cell r="B152">
            <v>-7</v>
          </cell>
          <cell r="C152">
            <v>-16</v>
          </cell>
          <cell r="D152">
            <v>-18</v>
          </cell>
          <cell r="E152">
            <v>-12</v>
          </cell>
          <cell r="F152">
            <v>1</v>
          </cell>
          <cell r="G152">
            <v>-12</v>
          </cell>
          <cell r="H152">
            <v>-7</v>
          </cell>
          <cell r="I152">
            <v>-13</v>
          </cell>
          <cell r="J152">
            <v>-17</v>
          </cell>
          <cell r="K152">
            <v>-53</v>
          </cell>
          <cell r="L152">
            <v>-123</v>
          </cell>
          <cell r="M152">
            <v>-119</v>
          </cell>
          <cell r="N152">
            <v>-107</v>
          </cell>
          <cell r="O152">
            <v>-90</v>
          </cell>
          <cell r="P152">
            <v>-70</v>
          </cell>
          <cell r="Q152">
            <v>-53</v>
          </cell>
          <cell r="R152">
            <v>-400</v>
          </cell>
          <cell r="S152">
            <v>698</v>
          </cell>
          <cell r="T152">
            <v>221</v>
          </cell>
        </row>
        <row r="153">
          <cell r="A153" t="str">
            <v>Add back gains on commodity derivatives</v>
          </cell>
          <cell r="B153"/>
          <cell r="C153"/>
          <cell r="D153"/>
          <cell r="E153"/>
          <cell r="F153"/>
          <cell r="G153"/>
          <cell r="H153"/>
          <cell r="I153"/>
          <cell r="J153"/>
          <cell r="K153"/>
          <cell r="L153"/>
          <cell r="M153"/>
          <cell r="N153"/>
          <cell r="O153"/>
          <cell r="P153"/>
          <cell r="Q153"/>
          <cell r="R153">
            <v>-54</v>
          </cell>
          <cell r="S153">
            <v>-34</v>
          </cell>
          <cell r="T153">
            <v>-36</v>
          </cell>
        </row>
        <row r="154">
          <cell r="A154" t="str">
            <v>Add back FX gains (losses)</v>
          </cell>
          <cell r="B154"/>
          <cell r="C154"/>
          <cell r="D154"/>
          <cell r="E154"/>
          <cell r="F154"/>
          <cell r="G154"/>
          <cell r="H154"/>
          <cell r="I154"/>
          <cell r="J154"/>
          <cell r="K154"/>
          <cell r="L154"/>
          <cell r="M154"/>
          <cell r="N154"/>
          <cell r="O154"/>
          <cell r="P154"/>
          <cell r="Q154"/>
          <cell r="R154">
            <v>-11</v>
          </cell>
          <cell r="S154">
            <v>31</v>
          </cell>
          <cell r="T154">
            <v>15</v>
          </cell>
        </row>
        <row r="155">
          <cell r="A155" t="str">
            <v>Add back fair value losses (gains) on FX contracts</v>
          </cell>
          <cell r="B155"/>
          <cell r="C155"/>
          <cell r="D155"/>
          <cell r="E155"/>
          <cell r="F155"/>
          <cell r="G155"/>
          <cell r="H155"/>
          <cell r="I155"/>
          <cell r="J155"/>
          <cell r="K155"/>
          <cell r="L155"/>
          <cell r="M155"/>
          <cell r="N155"/>
          <cell r="O155"/>
          <cell r="P155"/>
          <cell r="Q155"/>
          <cell r="R155">
            <v>399</v>
          </cell>
          <cell r="S155">
            <v>-696</v>
          </cell>
          <cell r="T155">
            <v>-215</v>
          </cell>
        </row>
        <row r="156">
          <cell r="A156" t="str">
            <v>Add back FX adjustment and restructuring of Financial RRSPs</v>
          </cell>
          <cell r="B156"/>
          <cell r="C156"/>
          <cell r="D156"/>
          <cell r="E156"/>
          <cell r="F156"/>
          <cell r="G156"/>
          <cell r="H156"/>
          <cell r="I156"/>
          <cell r="J156"/>
          <cell r="K156"/>
          <cell r="L156"/>
          <cell r="M156"/>
          <cell r="N156"/>
          <cell r="O156"/>
          <cell r="P156"/>
          <cell r="Q156"/>
          <cell r="R156">
            <v>-30</v>
          </cell>
          <cell r="S156">
            <v>-39</v>
          </cell>
          <cell r="T156">
            <v>13</v>
          </cell>
        </row>
        <row r="157">
          <cell r="A157" t="str">
            <v>Adjust for Pension finance charge</v>
          </cell>
          <cell r="B157"/>
          <cell r="C157"/>
          <cell r="D157"/>
          <cell r="E157"/>
          <cell r="F157"/>
          <cell r="G157"/>
          <cell r="H157"/>
          <cell r="I157"/>
          <cell r="J157"/>
          <cell r="K157"/>
          <cell r="L157"/>
          <cell r="M157"/>
          <cell r="N157"/>
          <cell r="O157"/>
          <cell r="P157"/>
          <cell r="Q157">
            <v>1</v>
          </cell>
          <cell r="R157">
            <v>9</v>
          </cell>
          <cell r="S157">
            <v>-3</v>
          </cell>
          <cell r="T157">
            <v>-30</v>
          </cell>
        </row>
        <row r="158">
          <cell r="A158" t="str">
            <v>Other adjustment from statutory to underlying financial charge</v>
          </cell>
          <cell r="B158"/>
          <cell r="C158"/>
          <cell r="D158"/>
          <cell r="E158"/>
          <cell r="F158"/>
          <cell r="G158"/>
          <cell r="H158"/>
          <cell r="I158"/>
          <cell r="J158"/>
          <cell r="K158"/>
          <cell r="L158"/>
          <cell r="M158"/>
          <cell r="N158"/>
          <cell r="O158"/>
          <cell r="P158"/>
          <cell r="Q158"/>
          <cell r="R158"/>
          <cell r="S158"/>
          <cell r="T158"/>
        </row>
        <row r="159">
          <cell r="A159" t="str">
            <v>RR defined underlying financial income / (expense)</v>
          </cell>
          <cell r="B159">
            <v>-7</v>
          </cell>
          <cell r="C159">
            <v>-16</v>
          </cell>
          <cell r="D159">
            <v>-18</v>
          </cell>
          <cell r="E159">
            <v>-12</v>
          </cell>
          <cell r="F159">
            <v>1</v>
          </cell>
          <cell r="G159">
            <v>-12</v>
          </cell>
          <cell r="H159">
            <v>-7</v>
          </cell>
          <cell r="I159">
            <v>-13</v>
          </cell>
          <cell r="J159">
            <v>-17</v>
          </cell>
          <cell r="K159">
            <v>-53</v>
          </cell>
          <cell r="L159">
            <v>-123</v>
          </cell>
          <cell r="M159">
            <v>-119</v>
          </cell>
          <cell r="N159">
            <v>-107</v>
          </cell>
          <cell r="O159">
            <v>-90</v>
          </cell>
          <cell r="P159">
            <v>-70</v>
          </cell>
          <cell r="Q159">
            <v>-52</v>
          </cell>
          <cell r="R159">
            <v>-86</v>
          </cell>
          <cell r="S159">
            <v>-43</v>
          </cell>
          <cell r="T159">
            <v>-32</v>
          </cell>
        </row>
        <row r="160">
          <cell r="A160" t="str">
            <v>of which, True net interest income / (expense)</v>
          </cell>
          <cell r="B160"/>
          <cell r="C160"/>
          <cell r="D160"/>
          <cell r="E160"/>
          <cell r="F160"/>
          <cell r="G160"/>
          <cell r="H160"/>
          <cell r="I160"/>
          <cell r="J160"/>
          <cell r="K160"/>
          <cell r="L160"/>
          <cell r="M160"/>
          <cell r="N160"/>
          <cell r="O160"/>
          <cell r="P160"/>
          <cell r="Q160">
            <v>-52</v>
          </cell>
          <cell r="R160">
            <v>-39</v>
          </cell>
          <cell r="S160">
            <v>-18</v>
          </cell>
          <cell r="T160">
            <v>-6</v>
          </cell>
        </row>
        <row r="161">
          <cell r="A161" t="str">
            <v>of which, Interest on Financial RRSPs</v>
          </cell>
          <cell r="B161"/>
          <cell r="C161"/>
          <cell r="D161"/>
          <cell r="E161"/>
          <cell r="F161"/>
          <cell r="G161"/>
          <cell r="H161"/>
          <cell r="I161"/>
          <cell r="J161"/>
          <cell r="K161"/>
          <cell r="L161"/>
          <cell r="M161"/>
          <cell r="N161"/>
          <cell r="O161"/>
          <cell r="P161"/>
          <cell r="Q161"/>
          <cell r="R161">
            <v>-43</v>
          </cell>
          <cell r="S161">
            <v>-27</v>
          </cell>
          <cell r="T161">
            <v>-26</v>
          </cell>
        </row>
        <row r="162">
          <cell r="A162" t="str">
            <v xml:space="preserve">of which, Other </v>
          </cell>
          <cell r="B162"/>
          <cell r="C162"/>
          <cell r="D162"/>
          <cell r="E162"/>
          <cell r="F162"/>
          <cell r="G162"/>
          <cell r="H162"/>
          <cell r="I162"/>
          <cell r="J162"/>
          <cell r="K162"/>
          <cell r="L162"/>
          <cell r="M162"/>
          <cell r="N162"/>
          <cell r="O162"/>
          <cell r="P162"/>
          <cell r="Q162"/>
          <cell r="R162">
            <v>-4</v>
          </cell>
          <cell r="S162">
            <v>2</v>
          </cell>
          <cell r="T162"/>
        </row>
        <row r="163">
          <cell r="A163"/>
          <cell r="B163"/>
          <cell r="C163"/>
          <cell r="D163"/>
          <cell r="E163"/>
          <cell r="F163"/>
          <cell r="G163"/>
          <cell r="H163"/>
          <cell r="I163"/>
          <cell r="J163"/>
          <cell r="K163"/>
          <cell r="L163"/>
          <cell r="M163"/>
          <cell r="N163"/>
          <cell r="O163"/>
          <cell r="P163"/>
          <cell r="Q163"/>
          <cell r="R163"/>
          <cell r="S163"/>
          <cell r="T163"/>
        </row>
        <row r="164">
          <cell r="A164" t="str">
            <v>Statutory defined PTP</v>
          </cell>
          <cell r="B164">
            <v>176</v>
          </cell>
          <cell r="C164">
            <v>51</v>
          </cell>
          <cell r="D164">
            <v>-184</v>
          </cell>
          <cell r="E164">
            <v>76</v>
          </cell>
          <cell r="F164">
            <v>101</v>
          </cell>
          <cell r="G164">
            <v>175</v>
          </cell>
          <cell r="H164">
            <v>-28</v>
          </cell>
          <cell r="I164">
            <v>276</v>
          </cell>
          <cell r="J164">
            <v>325</v>
          </cell>
          <cell r="K164">
            <v>360</v>
          </cell>
          <cell r="L164">
            <v>166</v>
          </cell>
          <cell r="M164">
            <v>192</v>
          </cell>
          <cell r="N164">
            <v>105</v>
          </cell>
          <cell r="O164">
            <v>180</v>
          </cell>
          <cell r="P164">
            <v>305.89999999999998</v>
          </cell>
          <cell r="Q164">
            <v>364</v>
          </cell>
          <cell r="R164">
            <v>477</v>
          </cell>
          <cell r="S164">
            <v>1391</v>
          </cell>
          <cell r="T164">
            <v>733</v>
          </cell>
        </row>
        <row r="165">
          <cell r="A165" t="str">
            <v>RR defined underlying PTP</v>
          </cell>
          <cell r="B165">
            <v>226</v>
          </cell>
          <cell r="C165">
            <v>109</v>
          </cell>
          <cell r="D165">
            <v>84</v>
          </cell>
          <cell r="E165">
            <v>76</v>
          </cell>
          <cell r="F165">
            <v>101</v>
          </cell>
          <cell r="G165">
            <v>143</v>
          </cell>
          <cell r="H165">
            <v>220</v>
          </cell>
          <cell r="I165">
            <v>275</v>
          </cell>
          <cell r="J165">
            <v>316</v>
          </cell>
          <cell r="K165">
            <v>368</v>
          </cell>
          <cell r="L165">
            <v>436</v>
          </cell>
          <cell r="M165">
            <v>475</v>
          </cell>
          <cell r="N165">
            <v>255</v>
          </cell>
          <cell r="O165">
            <v>285</v>
          </cell>
          <cell r="P165">
            <v>344.9</v>
          </cell>
          <cell r="Q165">
            <v>365</v>
          </cell>
          <cell r="R165">
            <v>593</v>
          </cell>
          <cell r="S165">
            <v>705</v>
          </cell>
          <cell r="T165">
            <v>800</v>
          </cell>
        </row>
        <row r="166">
          <cell r="A166"/>
          <cell r="B166"/>
          <cell r="C166"/>
          <cell r="D166"/>
          <cell r="E166"/>
          <cell r="F166"/>
          <cell r="G166"/>
          <cell r="H166"/>
          <cell r="I166"/>
          <cell r="J166"/>
          <cell r="K166"/>
          <cell r="L166"/>
          <cell r="M166"/>
          <cell r="N166"/>
          <cell r="O166"/>
          <cell r="P166"/>
          <cell r="Q166"/>
          <cell r="R166"/>
          <cell r="S166"/>
          <cell r="T166"/>
        </row>
        <row r="167">
          <cell r="A167" t="str">
            <v>Statutory defined taxation</v>
          </cell>
          <cell r="B167">
            <v>-36</v>
          </cell>
          <cell r="C167">
            <v>-32</v>
          </cell>
          <cell r="D167">
            <v>-25</v>
          </cell>
          <cell r="E167">
            <v>-18</v>
          </cell>
          <cell r="F167">
            <v>-20</v>
          </cell>
          <cell r="G167">
            <v>-31</v>
          </cell>
          <cell r="H167">
            <v>-16</v>
          </cell>
          <cell r="I167">
            <v>-51</v>
          </cell>
          <cell r="J167">
            <v>-65</v>
          </cell>
          <cell r="K167">
            <v>-74</v>
          </cell>
          <cell r="L167">
            <v>-83</v>
          </cell>
          <cell r="M167">
            <v>-86</v>
          </cell>
          <cell r="N167">
            <v>-52</v>
          </cell>
          <cell r="O167">
            <v>-64</v>
          </cell>
          <cell r="P167">
            <v>-101</v>
          </cell>
          <cell r="Q167">
            <v>-100</v>
          </cell>
          <cell r="R167">
            <v>-130</v>
          </cell>
          <cell r="S167">
            <v>-397</v>
          </cell>
          <cell r="T167">
            <v>-133</v>
          </cell>
        </row>
        <row r="168">
          <cell r="A168" t="str">
            <v>of which, subsidiary tax</v>
          </cell>
          <cell r="B168">
            <v>-35</v>
          </cell>
          <cell r="C168">
            <v>-32</v>
          </cell>
          <cell r="D168">
            <v>-26</v>
          </cell>
          <cell r="E168">
            <v>-15</v>
          </cell>
          <cell r="F168">
            <v>-18</v>
          </cell>
          <cell r="G168">
            <v>-29</v>
          </cell>
          <cell r="H168">
            <v>-26</v>
          </cell>
          <cell r="I168">
            <v>-48</v>
          </cell>
          <cell r="J168">
            <v>-59</v>
          </cell>
          <cell r="K168">
            <v>-69</v>
          </cell>
          <cell r="L168">
            <v>-91</v>
          </cell>
          <cell r="M168">
            <v>-145</v>
          </cell>
          <cell r="N168">
            <v>-67</v>
          </cell>
          <cell r="O168">
            <v>-74</v>
          </cell>
          <cell r="P168">
            <v>-90</v>
          </cell>
          <cell r="Q168"/>
          <cell r="R168"/>
          <cell r="S168"/>
          <cell r="T168"/>
        </row>
        <row r="169">
          <cell r="A169" t="str">
            <v>of which, JV tax</v>
          </cell>
          <cell r="B169">
            <v>-1</v>
          </cell>
          <cell r="C169">
            <v>-2</v>
          </cell>
          <cell r="D169">
            <v>-1</v>
          </cell>
          <cell r="E169">
            <v>-3</v>
          </cell>
          <cell r="F169">
            <v>-2</v>
          </cell>
          <cell r="G169">
            <v>-2</v>
          </cell>
          <cell r="H169">
            <v>-4</v>
          </cell>
          <cell r="I169">
            <v>-3</v>
          </cell>
          <cell r="J169">
            <v>-2</v>
          </cell>
          <cell r="K169">
            <v>-3</v>
          </cell>
          <cell r="L169">
            <v>-8</v>
          </cell>
          <cell r="M169">
            <v>-9</v>
          </cell>
          <cell r="N169">
            <v>-9</v>
          </cell>
          <cell r="O169">
            <v>-10</v>
          </cell>
          <cell r="P169">
            <v>-9</v>
          </cell>
          <cell r="Q169"/>
          <cell r="R169"/>
          <cell r="S169"/>
          <cell r="T169"/>
        </row>
        <row r="170">
          <cell r="A170" t="str">
            <v>of which, exceptional tax (excluded for RR defined u/l Net Income)</v>
          </cell>
          <cell r="B170">
            <v>0</v>
          </cell>
          <cell r="C170">
            <v>2</v>
          </cell>
          <cell r="D170">
            <v>2</v>
          </cell>
          <cell r="E170"/>
          <cell r="F170"/>
          <cell r="G170"/>
          <cell r="H170">
            <v>14</v>
          </cell>
          <cell r="I170"/>
          <cell r="J170">
            <v>-4</v>
          </cell>
          <cell r="K170">
            <v>-2</v>
          </cell>
          <cell r="L170">
            <v>16</v>
          </cell>
          <cell r="M170">
            <v>68</v>
          </cell>
          <cell r="N170">
            <v>24</v>
          </cell>
          <cell r="O170">
            <v>20</v>
          </cell>
          <cell r="P170">
            <v>-2</v>
          </cell>
          <cell r="Q170"/>
          <cell r="R170"/>
          <cell r="S170"/>
          <cell r="T170"/>
        </row>
        <row r="171">
          <cell r="A171"/>
          <cell r="B171"/>
          <cell r="C171"/>
          <cell r="D171"/>
          <cell r="E171"/>
          <cell r="F171"/>
          <cell r="G171"/>
          <cell r="H171"/>
          <cell r="I171"/>
          <cell r="J171"/>
          <cell r="K171"/>
          <cell r="L171"/>
          <cell r="M171"/>
          <cell r="N171"/>
          <cell r="O171"/>
          <cell r="P171"/>
          <cell r="Q171"/>
          <cell r="R171"/>
          <cell r="S171"/>
          <cell r="T171"/>
        </row>
        <row r="172">
          <cell r="A172" t="str">
            <v>RR defined underlying taxation</v>
          </cell>
          <cell r="B172">
            <v>-36</v>
          </cell>
          <cell r="C172">
            <v>-34</v>
          </cell>
          <cell r="D172">
            <v>-27</v>
          </cell>
          <cell r="E172">
            <v>-18</v>
          </cell>
          <cell r="F172">
            <v>-20</v>
          </cell>
          <cell r="G172">
            <v>-31</v>
          </cell>
          <cell r="H172">
            <v>-30</v>
          </cell>
          <cell r="I172">
            <v>-51</v>
          </cell>
          <cell r="J172">
            <v>-61</v>
          </cell>
          <cell r="K172">
            <v>-72</v>
          </cell>
          <cell r="L172">
            <v>-99</v>
          </cell>
          <cell r="M172">
            <v>-154</v>
          </cell>
          <cell r="N172">
            <v>-76</v>
          </cell>
          <cell r="O172">
            <v>-84</v>
          </cell>
          <cell r="P172">
            <v>-99</v>
          </cell>
          <cell r="Q172">
            <v>-100</v>
          </cell>
          <cell r="R172">
            <v>-170</v>
          </cell>
          <cell r="S172">
            <v>-190</v>
          </cell>
          <cell r="T172">
            <v>-193</v>
          </cell>
        </row>
        <row r="173">
          <cell r="A173" t="str">
            <v>RR defined underlying tax rate</v>
          </cell>
          <cell r="B173">
            <v>-0.15929203539823009</v>
          </cell>
          <cell r="C173">
            <v>-0.31192660550458717</v>
          </cell>
          <cell r="D173">
            <v>-0.32142857142857145</v>
          </cell>
          <cell r="E173">
            <v>-0.23684210526315788</v>
          </cell>
          <cell r="F173">
            <v>-0.19801980198019803</v>
          </cell>
          <cell r="G173">
            <v>-0.21678321678321677</v>
          </cell>
          <cell r="H173">
            <v>-0.13636363636363635</v>
          </cell>
          <cell r="I173">
            <v>-0.18545454545454546</v>
          </cell>
          <cell r="J173">
            <v>-0.19303797468354431</v>
          </cell>
          <cell r="K173">
            <v>-0.19565217391304349</v>
          </cell>
          <cell r="L173">
            <v>-0.22706422018348624</v>
          </cell>
          <cell r="M173">
            <v>-0.32421052631578945</v>
          </cell>
          <cell r="N173">
            <v>-0.29803921568627451</v>
          </cell>
          <cell r="O173">
            <v>-0.29473684210526313</v>
          </cell>
          <cell r="P173">
            <v>-0.28703972165845176</v>
          </cell>
          <cell r="Q173">
            <v>-0.27397260273972601</v>
          </cell>
          <cell r="R173">
            <v>-0.28667790893760542</v>
          </cell>
          <cell r="S173">
            <v>-0.26950354609929078</v>
          </cell>
          <cell r="T173">
            <v>-0.24124999999999999</v>
          </cell>
        </row>
        <row r="174">
          <cell r="A174"/>
          <cell r="B174"/>
          <cell r="C174"/>
          <cell r="D174"/>
          <cell r="E174"/>
          <cell r="F174"/>
          <cell r="G174"/>
          <cell r="H174"/>
          <cell r="I174"/>
          <cell r="J174"/>
          <cell r="K174"/>
          <cell r="L174"/>
          <cell r="M174"/>
          <cell r="N174"/>
          <cell r="O174"/>
          <cell r="P174"/>
          <cell r="Q174"/>
          <cell r="R174"/>
          <cell r="S174"/>
          <cell r="T174"/>
        </row>
        <row r="175">
          <cell r="A175" t="str">
            <v>Minorities</v>
          </cell>
          <cell r="B175">
            <v>-6</v>
          </cell>
          <cell r="C175">
            <v>5</v>
          </cell>
          <cell r="D175">
            <v>7</v>
          </cell>
          <cell r="E175">
            <v>5</v>
          </cell>
          <cell r="F175">
            <v>0</v>
          </cell>
          <cell r="G175">
            <v>-2</v>
          </cell>
          <cell r="H175">
            <v>-3</v>
          </cell>
          <cell r="I175">
            <v>-1</v>
          </cell>
          <cell r="J175">
            <v>-2</v>
          </cell>
          <cell r="K175">
            <v>-2</v>
          </cell>
          <cell r="L175">
            <v>0</v>
          </cell>
          <cell r="M175">
            <v>0</v>
          </cell>
          <cell r="N175">
            <v>0</v>
          </cell>
          <cell r="O175">
            <v>0</v>
          </cell>
          <cell r="P175">
            <v>-1</v>
          </cell>
          <cell r="Q175">
            <v>-1</v>
          </cell>
          <cell r="R175">
            <v>3</v>
          </cell>
          <cell r="S175">
            <v>4</v>
          </cell>
          <cell r="T175">
            <v>6</v>
          </cell>
        </row>
        <row r="176">
          <cell r="A176"/>
          <cell r="B176"/>
          <cell r="C176"/>
          <cell r="D176"/>
          <cell r="E176"/>
          <cell r="F176"/>
          <cell r="G176"/>
          <cell r="H176"/>
          <cell r="I176"/>
          <cell r="J176"/>
          <cell r="K176"/>
          <cell r="L176"/>
          <cell r="M176"/>
          <cell r="N176"/>
          <cell r="O176"/>
          <cell r="P176"/>
          <cell r="Q176"/>
          <cell r="R176"/>
          <cell r="S176"/>
          <cell r="T176"/>
        </row>
        <row r="177">
          <cell r="A177" t="str">
            <v>Statutory defined Net Income</v>
          </cell>
          <cell r="B177">
            <v>134</v>
          </cell>
          <cell r="C177">
            <v>24</v>
          </cell>
          <cell r="D177">
            <v>-202</v>
          </cell>
          <cell r="E177">
            <v>63</v>
          </cell>
          <cell r="F177">
            <v>81</v>
          </cell>
          <cell r="G177">
            <v>142</v>
          </cell>
          <cell r="H177">
            <v>-47</v>
          </cell>
          <cell r="I177">
            <v>224</v>
          </cell>
          <cell r="J177">
            <v>258</v>
          </cell>
          <cell r="K177">
            <v>284</v>
          </cell>
          <cell r="L177">
            <v>83</v>
          </cell>
          <cell r="M177">
            <v>106</v>
          </cell>
          <cell r="N177">
            <v>53</v>
          </cell>
          <cell r="O177">
            <v>116</v>
          </cell>
          <cell r="P177">
            <v>203.89999999999998</v>
          </cell>
          <cell r="Q177">
            <v>263</v>
          </cell>
          <cell r="R177">
            <v>350</v>
          </cell>
          <cell r="S177">
            <v>998</v>
          </cell>
          <cell r="T177">
            <v>606</v>
          </cell>
        </row>
        <row r="178">
          <cell r="A178" t="str">
            <v>RR defined underlying Net Income</v>
          </cell>
          <cell r="B178">
            <v>184</v>
          </cell>
          <cell r="C178">
            <v>80</v>
          </cell>
          <cell r="D178">
            <v>64</v>
          </cell>
          <cell r="E178">
            <v>63</v>
          </cell>
          <cell r="F178">
            <v>81</v>
          </cell>
          <cell r="G178">
            <v>110</v>
          </cell>
          <cell r="H178">
            <v>187</v>
          </cell>
          <cell r="I178">
            <v>223</v>
          </cell>
          <cell r="J178">
            <v>253</v>
          </cell>
          <cell r="K178">
            <v>294</v>
          </cell>
          <cell r="L178">
            <v>337</v>
          </cell>
          <cell r="M178">
            <v>321</v>
          </cell>
          <cell r="N178">
            <v>179</v>
          </cell>
          <cell r="O178">
            <v>201</v>
          </cell>
          <cell r="P178">
            <v>244.89999999999998</v>
          </cell>
          <cell r="Q178">
            <v>264</v>
          </cell>
          <cell r="R178">
            <v>426</v>
          </cell>
          <cell r="S178">
            <v>519</v>
          </cell>
          <cell r="T178">
            <v>613</v>
          </cell>
        </row>
        <row r="179">
          <cell r="A179"/>
          <cell r="B179"/>
          <cell r="C179"/>
          <cell r="D179"/>
          <cell r="E179"/>
          <cell r="F179"/>
          <cell r="G179"/>
          <cell r="H179"/>
          <cell r="I179"/>
          <cell r="J179"/>
          <cell r="K179"/>
          <cell r="L179"/>
          <cell r="M179"/>
          <cell r="N179"/>
          <cell r="O179"/>
          <cell r="P179"/>
          <cell r="Q179"/>
          <cell r="R179"/>
          <cell r="S179"/>
          <cell r="T179"/>
        </row>
        <row r="180">
          <cell r="A180" t="str">
            <v xml:space="preserve">Dividends </v>
          </cell>
          <cell r="B180">
            <v>-69</v>
          </cell>
          <cell r="C180">
            <v>-70</v>
          </cell>
          <cell r="D180">
            <v>-48</v>
          </cell>
          <cell r="E180">
            <v>-56</v>
          </cell>
          <cell r="F180">
            <v>-61</v>
          </cell>
          <cell r="G180">
            <v>-73</v>
          </cell>
          <cell r="H180">
            <v>-78</v>
          </cell>
          <cell r="I180">
            <v>-88</v>
          </cell>
          <cell r="J180">
            <v>-99</v>
          </cell>
          <cell r="K180">
            <v>-112</v>
          </cell>
          <cell r="L180">
            <v>-126</v>
          </cell>
          <cell r="M180">
            <v>-132</v>
          </cell>
          <cell r="N180">
            <v>-133</v>
          </cell>
          <cell r="O180">
            <v>-137</v>
          </cell>
          <cell r="P180">
            <v>-140</v>
          </cell>
          <cell r="Q180">
            <v>-140</v>
          </cell>
          <cell r="R180">
            <v>-154</v>
          </cell>
          <cell r="S180">
            <v>-172</v>
          </cell>
          <cell r="T180">
            <v>-237</v>
          </cell>
        </row>
        <row r="181">
          <cell r="A181" t="str">
            <v>Statutory defined Retained earnings (forecast years use u/l earnings)</v>
          </cell>
          <cell r="B181">
            <v>65</v>
          </cell>
          <cell r="C181">
            <v>-46</v>
          </cell>
          <cell r="D181">
            <v>-250</v>
          </cell>
          <cell r="E181">
            <v>7</v>
          </cell>
          <cell r="F181">
            <v>20</v>
          </cell>
          <cell r="G181">
            <v>69</v>
          </cell>
          <cell r="H181">
            <v>-125</v>
          </cell>
          <cell r="I181">
            <v>136</v>
          </cell>
          <cell r="J181">
            <v>159</v>
          </cell>
          <cell r="K181">
            <v>172</v>
          </cell>
          <cell r="L181">
            <v>-43</v>
          </cell>
          <cell r="M181">
            <v>-26</v>
          </cell>
          <cell r="N181">
            <v>-80</v>
          </cell>
          <cell r="O181">
            <v>63</v>
          </cell>
          <cell r="P181">
            <v>204</v>
          </cell>
          <cell r="Q181">
            <v>204</v>
          </cell>
          <cell r="R181">
            <v>196</v>
          </cell>
          <cell r="S181">
            <v>347</v>
          </cell>
          <cell r="T181">
            <v>376</v>
          </cell>
        </row>
        <row r="182">
          <cell r="A182"/>
          <cell r="B182"/>
          <cell r="C182"/>
          <cell r="D182"/>
          <cell r="E182"/>
          <cell r="F182"/>
          <cell r="G182"/>
          <cell r="H182"/>
          <cell r="I182"/>
          <cell r="J182"/>
          <cell r="K182"/>
          <cell r="L182"/>
          <cell r="M182"/>
          <cell r="N182"/>
          <cell r="O182"/>
          <cell r="P182"/>
          <cell r="Q182"/>
          <cell r="R182"/>
          <cell r="S182"/>
          <cell r="T182"/>
        </row>
        <row r="183">
          <cell r="A183" t="str">
            <v>Average no. of shares</v>
          </cell>
          <cell r="B183">
            <v>961</v>
          </cell>
          <cell r="C183">
            <v>962</v>
          </cell>
          <cell r="D183">
            <v>966</v>
          </cell>
          <cell r="E183">
            <v>1058</v>
          </cell>
          <cell r="F183">
            <v>1224</v>
          </cell>
          <cell r="G183">
            <v>1386</v>
          </cell>
          <cell r="H183">
            <v>1472</v>
          </cell>
          <cell r="I183">
            <v>1478</v>
          </cell>
          <cell r="J183">
            <v>1496</v>
          </cell>
          <cell r="K183">
            <v>1506</v>
          </cell>
          <cell r="L183">
            <v>1558</v>
          </cell>
          <cell r="M183">
            <v>1589</v>
          </cell>
          <cell r="N183">
            <v>1612</v>
          </cell>
          <cell r="O183">
            <v>1647</v>
          </cell>
          <cell r="P183">
            <v>1690</v>
          </cell>
          <cell r="Q183">
            <v>1690</v>
          </cell>
          <cell r="R183">
            <v>1740</v>
          </cell>
          <cell r="S183">
            <v>1741</v>
          </cell>
          <cell r="T183">
            <v>1800</v>
          </cell>
        </row>
        <row r="184">
          <cell r="A184" t="str">
            <v>Diluted no. of shares</v>
          </cell>
          <cell r="B184" t="str">
            <v>n/a</v>
          </cell>
          <cell r="C184" t="str">
            <v>n/a</v>
          </cell>
          <cell r="D184" t="str">
            <v>n/a</v>
          </cell>
          <cell r="E184" t="str">
            <v>n/a</v>
          </cell>
          <cell r="F184" t="str">
            <v>n/a</v>
          </cell>
          <cell r="G184" t="str">
            <v>n/a</v>
          </cell>
          <cell r="H184" t="str">
            <v>n/a</v>
          </cell>
          <cell r="I184">
            <v>1498</v>
          </cell>
          <cell r="J184">
            <v>1509</v>
          </cell>
          <cell r="K184">
            <v>1525</v>
          </cell>
          <cell r="L184">
            <v>1566</v>
          </cell>
          <cell r="M184">
            <v>1616</v>
          </cell>
          <cell r="N184">
            <v>1624</v>
          </cell>
          <cell r="O184">
            <v>1671</v>
          </cell>
          <cell r="P184">
            <v>1752</v>
          </cell>
          <cell r="Q184">
            <v>1747</v>
          </cell>
          <cell r="R184">
            <v>1813</v>
          </cell>
          <cell r="S184">
            <v>1810</v>
          </cell>
          <cell r="T184">
            <v>1838</v>
          </cell>
        </row>
        <row r="185">
          <cell r="A185" t="str">
            <v>Year end no. of shares</v>
          </cell>
          <cell r="B185">
            <v>951.7</v>
          </cell>
          <cell r="C185">
            <v>965.5</v>
          </cell>
          <cell r="D185">
            <v>960</v>
          </cell>
          <cell r="E185">
            <v>1120</v>
          </cell>
          <cell r="F185">
            <v>1220</v>
          </cell>
          <cell r="G185">
            <v>1460</v>
          </cell>
          <cell r="H185">
            <v>1471.69</v>
          </cell>
          <cell r="I185">
            <v>1491.5</v>
          </cell>
          <cell r="J185">
            <v>1511.4</v>
          </cell>
          <cell r="K185">
            <v>1544.8</v>
          </cell>
          <cell r="L185">
            <v>1575</v>
          </cell>
          <cell r="M185">
            <v>1601</v>
          </cell>
          <cell r="N185">
            <v>1617</v>
          </cell>
          <cell r="O185">
            <v>1666.6198429999999</v>
          </cell>
          <cell r="P185">
            <v>1666.6198429999999</v>
          </cell>
          <cell r="Q185">
            <v>1704.7722879999999</v>
          </cell>
          <cell r="R185">
            <v>1758.7013010000001</v>
          </cell>
          <cell r="S185">
            <v>1781.304985</v>
          </cell>
          <cell r="T185">
            <v>1819</v>
          </cell>
        </row>
        <row r="186">
          <cell r="A186"/>
          <cell r="B186"/>
          <cell r="C186"/>
          <cell r="D186"/>
          <cell r="E186"/>
          <cell r="F186"/>
          <cell r="G186"/>
          <cell r="H186"/>
          <cell r="I186"/>
          <cell r="J186"/>
          <cell r="K186"/>
          <cell r="L186"/>
          <cell r="M186"/>
          <cell r="N186"/>
          <cell r="O186"/>
          <cell r="P186"/>
          <cell r="Q186"/>
          <cell r="R186"/>
          <cell r="S186"/>
          <cell r="T186"/>
        </row>
        <row r="187">
          <cell r="A187" t="str">
            <v>Statutory defined EPS (pence)</v>
          </cell>
          <cell r="B187">
            <v>13.943808532778357</v>
          </cell>
          <cell r="C187">
            <v>2.4948024948024949</v>
          </cell>
          <cell r="D187">
            <v>-20.910973084886127</v>
          </cell>
          <cell r="E187">
            <v>5.9546313799621924</v>
          </cell>
          <cell r="F187">
            <v>6.6176470588235299</v>
          </cell>
          <cell r="G187">
            <v>10.245310245310245</v>
          </cell>
          <cell r="H187">
            <v>-3.1929347826086958</v>
          </cell>
          <cell r="I187">
            <v>15.155615696887686</v>
          </cell>
          <cell r="J187">
            <v>17.245989304812834</v>
          </cell>
          <cell r="K187">
            <v>18.857901726427624</v>
          </cell>
          <cell r="L187">
            <v>5.3273427471116817</v>
          </cell>
          <cell r="M187">
            <v>6.6708621774701076</v>
          </cell>
          <cell r="N187">
            <v>3.2878411910669971</v>
          </cell>
          <cell r="O187">
            <v>7.043108682452945</v>
          </cell>
          <cell r="P187">
            <v>12.065088757396449</v>
          </cell>
          <cell r="Q187">
            <v>15.562130177514794</v>
          </cell>
          <cell r="R187">
            <v>20.114942528735632</v>
          </cell>
          <cell r="S187">
            <v>57.323377369327979</v>
          </cell>
          <cell r="T187">
            <v>33.666666666666664</v>
          </cell>
        </row>
        <row r="188">
          <cell r="A188" t="str">
            <v>Diluted EPS (pence)</v>
          </cell>
          <cell r="B188" t="str">
            <v>n/a</v>
          </cell>
          <cell r="C188" t="str">
            <v>n/a</v>
          </cell>
          <cell r="D188" t="str">
            <v>n/a</v>
          </cell>
          <cell r="E188" t="str">
            <v>n/a</v>
          </cell>
          <cell r="F188" t="str">
            <v>n/a</v>
          </cell>
          <cell r="G188" t="str">
            <v>n/a</v>
          </cell>
          <cell r="H188" t="str">
            <v>n/a</v>
          </cell>
          <cell r="I188">
            <v>14.953271028037381</v>
          </cell>
          <cell r="J188">
            <v>17.097415506958249</v>
          </cell>
          <cell r="K188">
            <v>18.622950819672131</v>
          </cell>
          <cell r="L188">
            <v>5.3001277139208174</v>
          </cell>
          <cell r="M188">
            <v>6.5594059405940595</v>
          </cell>
          <cell r="N188">
            <v>3.2635467980295569</v>
          </cell>
          <cell r="O188">
            <v>6.9419509275882714</v>
          </cell>
          <cell r="P188">
            <v>11.638127853881278</v>
          </cell>
          <cell r="Q188">
            <v>15.054378935317688</v>
          </cell>
          <cell r="R188">
            <v>19.305019305019304</v>
          </cell>
          <cell r="S188">
            <v>55.138121546961329</v>
          </cell>
          <cell r="T188">
            <v>32.970620239390641</v>
          </cell>
        </row>
        <row r="189">
          <cell r="A189" t="str">
            <v>RR defined underlying EPS (pence)</v>
          </cell>
          <cell r="B189">
            <v>19.146722164412068</v>
          </cell>
          <cell r="C189">
            <v>8.3160083160083165</v>
          </cell>
          <cell r="D189">
            <v>6.625258799171843</v>
          </cell>
          <cell r="E189">
            <v>5.9546313799621924</v>
          </cell>
          <cell r="F189">
            <v>6.6176470588235299</v>
          </cell>
          <cell r="G189">
            <v>7.9365079365079358</v>
          </cell>
          <cell r="H189">
            <v>12.703804347826086</v>
          </cell>
          <cell r="I189">
            <v>15.087956698240864</v>
          </cell>
          <cell r="J189">
            <v>16.911764705882355</v>
          </cell>
          <cell r="K189">
            <v>19.52191235059761</v>
          </cell>
          <cell r="L189">
            <v>21.630295250320923</v>
          </cell>
          <cell r="M189">
            <v>20.201384518565135</v>
          </cell>
          <cell r="N189">
            <v>11.104218362282877</v>
          </cell>
          <cell r="O189">
            <v>12.2040072859745</v>
          </cell>
          <cell r="P189">
            <v>14.491124260355029</v>
          </cell>
          <cell r="Q189">
            <v>15.621301775147927</v>
          </cell>
          <cell r="R189">
            <v>24.482758620689655</v>
          </cell>
          <cell r="S189">
            <v>29.810453762205629</v>
          </cell>
          <cell r="T189">
            <v>34.055555555555557</v>
          </cell>
        </row>
        <row r="190">
          <cell r="A190" t="str">
            <v>y/y change in underlying EPS</v>
          </cell>
          <cell r="B190">
            <v>-0.11954022988505753</v>
          </cell>
          <cell r="C190">
            <v>-0.56566934827804383</v>
          </cell>
          <cell r="D190">
            <v>-0.20331262939958594</v>
          </cell>
          <cell r="E190">
            <v>-0.10122282608695665</v>
          </cell>
          <cell r="F190">
            <v>0.11134453781512632</v>
          </cell>
          <cell r="G190">
            <v>0.19929453262786567</v>
          </cell>
          <cell r="H190">
            <v>0.60067934782608701</v>
          </cell>
          <cell r="I190">
            <v>0.18767231335885315</v>
          </cell>
          <cell r="J190">
            <v>0.12087839620153029</v>
          </cell>
          <cell r="K190">
            <v>0.15433916507881507</v>
          </cell>
          <cell r="L190">
            <v>0.10800083833276575</v>
          </cell>
          <cell r="M190">
            <v>-6.6060620773754297E-2</v>
          </cell>
          <cell r="N190">
            <v>-0.45032389477671364</v>
          </cell>
          <cell r="O190">
            <v>9.9042443854240103E-2</v>
          </cell>
          <cell r="P190">
            <v>0.18740704760222537</v>
          </cell>
          <cell r="Q190" t="str">
            <v>n/a</v>
          </cell>
          <cell r="R190">
            <v>0.56726750261233039</v>
          </cell>
          <cell r="S190">
            <v>0.21761008324501874</v>
          </cell>
          <cell r="T190">
            <v>0.14240312566902169</v>
          </cell>
        </row>
        <row r="191">
          <cell r="A191"/>
          <cell r="B191"/>
          <cell r="C191"/>
          <cell r="D191"/>
          <cell r="E191"/>
          <cell r="F191"/>
          <cell r="G191"/>
          <cell r="H191"/>
          <cell r="I191"/>
          <cell r="J191"/>
          <cell r="K191"/>
          <cell r="L191"/>
          <cell r="M191"/>
          <cell r="N191"/>
          <cell r="O191"/>
          <cell r="P191"/>
          <cell r="Q191"/>
          <cell r="R191"/>
          <cell r="S191"/>
          <cell r="T191"/>
        </row>
        <row r="192">
          <cell r="A192" t="str">
            <v>Dividend per share (pence)</v>
          </cell>
          <cell r="B192">
            <v>7.2501838814752544</v>
          </cell>
          <cell r="C192">
            <v>7.2501294665976186</v>
          </cell>
          <cell r="D192">
            <v>5</v>
          </cell>
          <cell r="E192">
            <v>5</v>
          </cell>
          <cell r="F192">
            <v>5</v>
          </cell>
          <cell r="G192">
            <v>5</v>
          </cell>
          <cell r="H192">
            <v>5.3000292181097919</v>
          </cell>
          <cell r="I192">
            <v>5.900100569896078</v>
          </cell>
          <cell r="J192">
            <v>6.5502183406113534</v>
          </cell>
          <cell r="K192">
            <v>7.2501294665976186</v>
          </cell>
          <cell r="L192">
            <v>8</v>
          </cell>
          <cell r="M192">
            <v>8.18</v>
          </cell>
          <cell r="N192">
            <v>8.18</v>
          </cell>
          <cell r="O192">
            <v>8.18</v>
          </cell>
          <cell r="P192">
            <v>8.18</v>
          </cell>
          <cell r="Q192">
            <v>8.18</v>
          </cell>
          <cell r="R192">
            <v>8.7200000000000006</v>
          </cell>
          <cell r="S192">
            <v>9.59</v>
          </cell>
          <cell r="T192">
            <v>13</v>
          </cell>
        </row>
        <row r="193">
          <cell r="A193" t="str">
            <v>y/y change in dividend</v>
          </cell>
          <cell r="B193">
            <v>3.5714285714285809E-2</v>
          </cell>
          <cell r="C193">
            <v>-7.5053100067057343E-6</v>
          </cell>
          <cell r="D193">
            <v>-0.31035714285714289</v>
          </cell>
          <cell r="E193">
            <v>0</v>
          </cell>
          <cell r="F193">
            <v>0</v>
          </cell>
          <cell r="G193">
            <v>0</v>
          </cell>
          <cell r="H193">
            <v>6.0005843621958377E-2</v>
          </cell>
          <cell r="I193">
            <v>0.11322038560389225</v>
          </cell>
          <cell r="J193">
            <v>0.11018757443429927</v>
          </cell>
          <cell r="K193">
            <v>0.10685309856723646</v>
          </cell>
          <cell r="L193">
            <v>0.1034285714285712</v>
          </cell>
          <cell r="M193">
            <v>2.2499999999999964E-2</v>
          </cell>
          <cell r="N193">
            <v>0</v>
          </cell>
          <cell r="O193">
            <v>0</v>
          </cell>
          <cell r="P193">
            <v>0</v>
          </cell>
          <cell r="Q193" t="str">
            <v>n/a</v>
          </cell>
          <cell r="R193">
            <v>6.6014669926650393E-2</v>
          </cell>
          <cell r="S193">
            <v>9.9770642201834736E-2</v>
          </cell>
          <cell r="T193">
            <v>0.35557872784150168</v>
          </cell>
        </row>
        <row r="194">
          <cell r="A194"/>
          <cell r="B194"/>
          <cell r="C194"/>
          <cell r="D194"/>
          <cell r="E194"/>
          <cell r="F194"/>
          <cell r="G194"/>
          <cell r="H194"/>
          <cell r="I194"/>
          <cell r="J194"/>
          <cell r="K194"/>
          <cell r="L194"/>
          <cell r="M194"/>
          <cell r="N194"/>
          <cell r="O194"/>
          <cell r="P194"/>
          <cell r="Q194"/>
          <cell r="R194"/>
          <cell r="S194"/>
          <cell r="T194"/>
        </row>
        <row r="195">
          <cell r="A195" t="str">
            <v>Checking lines</v>
          </cell>
          <cell r="B195">
            <v>-4.0714578665681067E-2</v>
          </cell>
          <cell r="C195">
            <v>-9.402774084295018E-4</v>
          </cell>
          <cell r="D195">
            <v>-4.2857142857162245E-3</v>
          </cell>
          <cell r="E195">
            <v>4.0737240075615411E-2</v>
          </cell>
          <cell r="F195">
            <v>-1.5294117647060013E-2</v>
          </cell>
          <cell r="G195">
            <v>8.1818181818196223E-3</v>
          </cell>
          <cell r="H195">
            <v>-8.987833271829615E-4</v>
          </cell>
          <cell r="I195">
            <v>7.305600693798997E-2</v>
          </cell>
          <cell r="J195">
            <v>4.6121417352091854E-3</v>
          </cell>
          <cell r="K195">
            <v>-2.8943632949829379E-3</v>
          </cell>
          <cell r="L195">
            <v>2.2342886465764877E-3</v>
          </cell>
          <cell r="M195">
            <v>-1.6526366293030392E-3</v>
          </cell>
          <cell r="N195">
            <v>-5.6063513794315512E-3</v>
          </cell>
          <cell r="O195">
            <v>-9.0668960157165301E-3</v>
          </cell>
          <cell r="P195">
            <v>0.41565912836733609</v>
          </cell>
          <cell r="Q195">
            <v>-6.7810887980407131E-2</v>
          </cell>
          <cell r="R195">
            <v>-2.7204544445922352E-3</v>
          </cell>
          <cell r="S195">
            <v>-1.9526784949377429E-3</v>
          </cell>
          <cell r="T195">
            <v>7.1575383871405052E-3</v>
          </cell>
        </row>
        <row r="196">
          <cell r="A196" t="str">
            <v>Statutory defined PTP</v>
          </cell>
          <cell r="B196">
            <v>0</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0.10000000000002274</v>
          </cell>
          <cell r="Q196">
            <v>0</v>
          </cell>
          <cell r="R196">
            <v>0</v>
          </cell>
          <cell r="S196">
            <v>0</v>
          </cell>
          <cell r="T196">
            <v>0</v>
          </cell>
        </row>
        <row r="197">
          <cell r="A197" t="str">
            <v>RR defined underlying PTP</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0.10000000000002274</v>
          </cell>
          <cell r="Q197">
            <v>0</v>
          </cell>
          <cell r="R197">
            <v>0</v>
          </cell>
          <cell r="S197">
            <v>0</v>
          </cell>
          <cell r="T197">
            <v>0</v>
          </cell>
        </row>
        <row r="198">
          <cell r="A198" t="str">
            <v>Statutory defined Net Income</v>
          </cell>
          <cell r="B198">
            <v>0</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0.10000000000002274</v>
          </cell>
          <cell r="Q198">
            <v>0</v>
          </cell>
          <cell r="R198">
            <v>0</v>
          </cell>
          <cell r="S198">
            <v>0</v>
          </cell>
          <cell r="T198">
            <v>0</v>
          </cell>
        </row>
        <row r="199">
          <cell r="A199" t="str">
            <v>RR defined underlying Net Income</v>
          </cell>
          <cell r="B199">
            <v>0</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0.10000000000002274</v>
          </cell>
          <cell r="Q199">
            <v>0</v>
          </cell>
          <cell r="R199">
            <v>0</v>
          </cell>
          <cell r="S199">
            <v>0</v>
          </cell>
          <cell r="T199">
            <v>0</v>
          </cell>
        </row>
        <row r="200">
          <cell r="A200" t="str">
            <v>Statutory EPS</v>
          </cell>
          <cell r="B200">
            <v>-4.3808532778356835E-2</v>
          </cell>
          <cell r="C200">
            <v>-4.8024948024947278E-3</v>
          </cell>
          <cell r="D200">
            <v>9.7308488612668498E-4</v>
          </cell>
          <cell r="E200">
            <v>-4.6313799621922058E-3</v>
          </cell>
          <cell r="F200">
            <v>2.3529411764702246E-3</v>
          </cell>
          <cell r="G200">
            <v>4.6897546897550768E-3</v>
          </cell>
          <cell r="H200">
            <v>2.9347826086958406E-3</v>
          </cell>
          <cell r="I200">
            <v>4.3843031123138587E-3</v>
          </cell>
          <cell r="J200">
            <v>4.0106951871656804E-3</v>
          </cell>
          <cell r="K200">
            <v>2.0982735723755752E-3</v>
          </cell>
          <cell r="L200">
            <v>2.6572528883184177E-3</v>
          </cell>
          <cell r="M200">
            <v>-8.6217747010763901E-4</v>
          </cell>
          <cell r="N200">
            <v>2.1588089330029092E-3</v>
          </cell>
          <cell r="O200">
            <v>-3.1086824529449331E-3</v>
          </cell>
          <cell r="P200">
            <v>4.9112426035513579E-3</v>
          </cell>
          <cell r="Q200">
            <v>-2.1301775147932744E-3</v>
          </cell>
          <cell r="R200">
            <v>-4.942528735632834E-3</v>
          </cell>
          <cell r="S200">
            <v>-3.3773693279783856E-3</v>
          </cell>
          <cell r="T200">
            <v>3.3333333333374071E-3</v>
          </cell>
        </row>
        <row r="201">
          <cell r="A201" t="str">
            <v>Diluted EPS</v>
          </cell>
          <cell r="B201" t="str">
            <v>n/a</v>
          </cell>
          <cell r="C201" t="str">
            <v>n/a</v>
          </cell>
          <cell r="D201" t="str">
            <v>n/a</v>
          </cell>
          <cell r="E201" t="str">
            <v>n/a</v>
          </cell>
          <cell r="F201" t="str">
            <v>n/a</v>
          </cell>
          <cell r="G201" t="str">
            <v>n/a</v>
          </cell>
          <cell r="H201" t="str">
            <v>n/a</v>
          </cell>
          <cell r="I201">
            <v>-3.2710280373819955E-3</v>
          </cell>
          <cell r="J201">
            <v>2.5844930417520118E-3</v>
          </cell>
          <cell r="K201">
            <v>-2.9508196721295121E-3</v>
          </cell>
          <cell r="L201">
            <v>-1.2771392081756261E-4</v>
          </cell>
          <cell r="M201">
            <v>5.940594059401505E-4</v>
          </cell>
          <cell r="N201">
            <v>-3.5467980295571522E-3</v>
          </cell>
          <cell r="O201">
            <v>-1.9509275882709787E-3</v>
          </cell>
          <cell r="P201">
            <v>1.8721461187229949E-3</v>
          </cell>
          <cell r="Q201">
            <v>-4.3789353176872936E-3</v>
          </cell>
          <cell r="R201">
            <v>4.9806949806949774E-3</v>
          </cell>
          <cell r="S201">
            <v>1.8784530386710685E-3</v>
          </cell>
          <cell r="T201">
            <v>-6.2023939064204114E-4</v>
          </cell>
        </row>
        <row r="202">
          <cell r="A202" t="str">
            <v>RR defined underlying EPS</v>
          </cell>
          <cell r="B202">
            <v>3.2778355879301557E-3</v>
          </cell>
          <cell r="C202">
            <v>3.9916839916838143E-3</v>
          </cell>
          <cell r="D202">
            <v>-5.2587991718429095E-3</v>
          </cell>
          <cell r="E202">
            <v>4.5368620037807617E-2</v>
          </cell>
          <cell r="F202">
            <v>-1.7647058823530237E-2</v>
          </cell>
          <cell r="G202">
            <v>3.4920634920645455E-3</v>
          </cell>
          <cell r="H202">
            <v>-3.8043478260867403E-3</v>
          </cell>
          <cell r="I202">
            <v>7.2043301759135758E-2</v>
          </cell>
          <cell r="J202">
            <v>-1.7647058823548889E-3</v>
          </cell>
          <cell r="K202">
            <v>-1.9123505976104127E-3</v>
          </cell>
          <cell r="L202">
            <v>-2.9525032092436732E-4</v>
          </cell>
          <cell r="M202">
            <v>-1.3845185651355507E-3</v>
          </cell>
          <cell r="N202">
            <v>-4.2183622828773082E-3</v>
          </cell>
          <cell r="O202">
            <v>-4.0072859745006184E-3</v>
          </cell>
          <cell r="P202">
            <v>8.8757396449707926E-3</v>
          </cell>
          <cell r="Q202">
            <v>-6.1301775147926563E-2</v>
          </cell>
          <cell r="R202">
            <v>-2.7586206896543786E-3</v>
          </cell>
          <cell r="S202">
            <v>-4.537622056304258E-4</v>
          </cell>
          <cell r="T202">
            <v>4.4444444444451392E-3</v>
          </cell>
        </row>
        <row r="203">
          <cell r="A203" t="str">
            <v>DPS</v>
          </cell>
          <cell r="B203">
            <v>-1.8388147525438825E-4</v>
          </cell>
          <cell r="C203">
            <v>-1.2946659761858825E-4</v>
          </cell>
          <cell r="D203">
            <v>0</v>
          </cell>
          <cell r="E203">
            <v>0</v>
          </cell>
          <cell r="F203">
            <v>0</v>
          </cell>
          <cell r="G203">
            <v>0</v>
          </cell>
          <cell r="H203">
            <v>-2.9218109792061853E-5</v>
          </cell>
          <cell r="I203">
            <v>-1.0056989607765132E-4</v>
          </cell>
          <cell r="J203">
            <v>-2.1834061135361793E-4</v>
          </cell>
          <cell r="K203">
            <v>-1.2946659761858825E-4</v>
          </cell>
          <cell r="L203">
            <v>0</v>
          </cell>
          <cell r="M203">
            <v>0</v>
          </cell>
          <cell r="N203">
            <v>0</v>
          </cell>
          <cell r="O203">
            <v>0</v>
          </cell>
          <cell r="P203">
            <v>0</v>
          </cell>
          <cell r="Q203">
            <v>0</v>
          </cell>
          <cell r="R203">
            <v>0</v>
          </cell>
          <cell r="S203">
            <v>0</v>
          </cell>
          <cell r="T203">
            <v>0</v>
          </cell>
        </row>
        <row r="204">
          <cell r="A204"/>
          <cell r="B204"/>
          <cell r="C204"/>
          <cell r="D204"/>
          <cell r="E204"/>
          <cell r="F204"/>
          <cell r="G204"/>
          <cell r="H204"/>
          <cell r="I204"/>
          <cell r="J204"/>
          <cell r="K204"/>
          <cell r="L204"/>
          <cell r="M204"/>
          <cell r="N204"/>
          <cell r="O204"/>
          <cell r="P204"/>
          <cell r="Q204"/>
          <cell r="R204"/>
          <cell r="S204"/>
          <cell r="T204"/>
        </row>
        <row r="205">
          <cell r="A205"/>
          <cell r="B205"/>
          <cell r="C205"/>
          <cell r="D205"/>
          <cell r="E205"/>
          <cell r="F205"/>
          <cell r="G205"/>
          <cell r="H205"/>
          <cell r="I205"/>
          <cell r="J205"/>
          <cell r="K205"/>
          <cell r="L205"/>
          <cell r="M205"/>
          <cell r="N205"/>
          <cell r="O205"/>
          <cell r="P205"/>
          <cell r="Q205"/>
          <cell r="R205"/>
          <cell r="S205"/>
          <cell r="T205"/>
        </row>
        <row r="206">
          <cell r="A206" t="str">
            <v>Rolls-Royce (year to Dec)</v>
          </cell>
          <cell r="B206"/>
          <cell r="C206"/>
          <cell r="D206"/>
          <cell r="E206"/>
          <cell r="F206"/>
          <cell r="G206"/>
          <cell r="H206"/>
          <cell r="I206"/>
          <cell r="J206"/>
          <cell r="K206"/>
          <cell r="L206"/>
          <cell r="M206"/>
          <cell r="N206"/>
          <cell r="O206"/>
          <cell r="P206"/>
          <cell r="Q206"/>
          <cell r="R206"/>
          <cell r="S206">
            <v>3.1084936144114317</v>
          </cell>
          <cell r="T206">
            <v>2.6196581196581197</v>
          </cell>
        </row>
        <row r="207">
          <cell r="A207"/>
          <cell r="B207"/>
          <cell r="C207"/>
          <cell r="D207"/>
          <cell r="E207"/>
          <cell r="F207"/>
          <cell r="G207"/>
          <cell r="H207"/>
          <cell r="I207"/>
          <cell r="J207"/>
          <cell r="K207"/>
          <cell r="L207"/>
          <cell r="M207"/>
          <cell r="N207"/>
          <cell r="O207"/>
          <cell r="P207"/>
          <cell r="Q207"/>
          <cell r="R207"/>
          <cell r="S207"/>
          <cell r="T207"/>
        </row>
        <row r="208">
          <cell r="A208"/>
          <cell r="B208"/>
          <cell r="C208"/>
          <cell r="D208"/>
          <cell r="E208"/>
          <cell r="F208"/>
          <cell r="G208"/>
          <cell r="H208"/>
          <cell r="I208"/>
          <cell r="J208"/>
          <cell r="K208"/>
          <cell r="L208"/>
          <cell r="M208"/>
          <cell r="N208"/>
          <cell r="O208"/>
          <cell r="P208"/>
          <cell r="Q208"/>
          <cell r="R208"/>
          <cell r="S208"/>
          <cell r="T208"/>
        </row>
        <row r="209">
          <cell r="A209"/>
          <cell r="B209"/>
          <cell r="C209"/>
          <cell r="D209"/>
          <cell r="E209"/>
          <cell r="F209"/>
          <cell r="G209"/>
          <cell r="H209"/>
          <cell r="I209"/>
          <cell r="J209"/>
          <cell r="K209"/>
          <cell r="L209"/>
          <cell r="M209"/>
          <cell r="N209"/>
          <cell r="O209"/>
          <cell r="P209"/>
          <cell r="Q209"/>
          <cell r="R209"/>
          <cell r="S209"/>
          <cell r="T209"/>
        </row>
        <row r="210">
          <cell r="A210"/>
          <cell r="B210" t="str">
            <v>UK GAAP</v>
          </cell>
          <cell r="C210" t="str">
            <v>UK GAAP</v>
          </cell>
          <cell r="D210" t="str">
            <v>UK GAAP</v>
          </cell>
          <cell r="E210" t="str">
            <v>UK GAAP</v>
          </cell>
          <cell r="F210" t="str">
            <v>UK GAAP</v>
          </cell>
          <cell r="G210" t="str">
            <v>UK GAAP</v>
          </cell>
          <cell r="H210" t="str">
            <v>UK GAAP</v>
          </cell>
          <cell r="I210" t="str">
            <v>UK GAAP</v>
          </cell>
          <cell r="J210" t="str">
            <v>UK GAAP</v>
          </cell>
          <cell r="K210" t="str">
            <v>UK GAAP</v>
          </cell>
          <cell r="L210" t="str">
            <v>UK GAAP</v>
          </cell>
          <cell r="M210" t="str">
            <v>UK GAAP</v>
          </cell>
          <cell r="N210" t="str">
            <v>UK GAAP</v>
          </cell>
          <cell r="O210" t="str">
            <v>UK GAAP</v>
          </cell>
          <cell r="P210" t="str">
            <v>UK GAAP</v>
          </cell>
          <cell r="Q210" t="str">
            <v>IFRS</v>
          </cell>
          <cell r="R210" t="str">
            <v>IFRS</v>
          </cell>
          <cell r="S210" t="str">
            <v>IFRS</v>
          </cell>
          <cell r="T210" t="str">
            <v>IFRS</v>
          </cell>
        </row>
        <row r="211">
          <cell r="A211" t="str">
            <v>Goldman earnings analysis</v>
          </cell>
          <cell r="B211">
            <v>1990</v>
          </cell>
          <cell r="C211">
            <v>1991</v>
          </cell>
          <cell r="D211">
            <v>1992</v>
          </cell>
          <cell r="E211">
            <v>1993</v>
          </cell>
          <cell r="F211">
            <v>1994</v>
          </cell>
          <cell r="G211">
            <v>1995</v>
          </cell>
          <cell r="H211">
            <v>1996</v>
          </cell>
          <cell r="I211">
            <v>1997</v>
          </cell>
          <cell r="J211">
            <v>1998</v>
          </cell>
          <cell r="K211">
            <v>1999</v>
          </cell>
          <cell r="L211">
            <v>2000</v>
          </cell>
          <cell r="M211">
            <v>2001</v>
          </cell>
          <cell r="N211">
            <v>2002</v>
          </cell>
          <cell r="O211">
            <v>2003</v>
          </cell>
          <cell r="P211">
            <v>2004</v>
          </cell>
          <cell r="Q211" t="str">
            <v>2004pf</v>
          </cell>
          <cell r="R211">
            <v>2005</v>
          </cell>
          <cell r="S211">
            <v>2006</v>
          </cell>
          <cell r="T211">
            <v>2007</v>
          </cell>
        </row>
        <row r="212">
          <cell r="A212"/>
          <cell r="B212"/>
          <cell r="C212"/>
          <cell r="D212"/>
          <cell r="E212"/>
          <cell r="F212"/>
          <cell r="G212"/>
          <cell r="H212"/>
          <cell r="I212"/>
          <cell r="J212"/>
          <cell r="K212"/>
          <cell r="L212"/>
          <cell r="M212"/>
          <cell r="N212"/>
          <cell r="O212"/>
          <cell r="P212"/>
          <cell r="Q212"/>
          <cell r="R212"/>
          <cell r="S212"/>
          <cell r="T212"/>
        </row>
        <row r="213">
          <cell r="A213" t="str">
            <v>Goldman calculation of Adjusted EPS</v>
          </cell>
          <cell r="B213">
            <v>1990</v>
          </cell>
          <cell r="C213">
            <v>1991</v>
          </cell>
          <cell r="D213">
            <v>1992</v>
          </cell>
          <cell r="E213">
            <v>1993</v>
          </cell>
          <cell r="F213">
            <v>1994</v>
          </cell>
          <cell r="G213">
            <v>1995</v>
          </cell>
          <cell r="H213">
            <v>1996</v>
          </cell>
          <cell r="I213">
            <v>1997</v>
          </cell>
          <cell r="J213">
            <v>1998</v>
          </cell>
          <cell r="K213">
            <v>1999</v>
          </cell>
          <cell r="L213">
            <v>2000</v>
          </cell>
          <cell r="M213">
            <v>2001</v>
          </cell>
          <cell r="N213">
            <v>2002</v>
          </cell>
          <cell r="O213">
            <v>2003</v>
          </cell>
          <cell r="P213">
            <v>2004</v>
          </cell>
          <cell r="Q213" t="str">
            <v>2004pf</v>
          </cell>
          <cell r="R213">
            <v>2005</v>
          </cell>
          <cell r="S213">
            <v>2006</v>
          </cell>
          <cell r="T213">
            <v>2007</v>
          </cell>
        </row>
        <row r="214">
          <cell r="A214"/>
          <cell r="B214"/>
          <cell r="C214"/>
          <cell r="D214"/>
          <cell r="E214"/>
          <cell r="F214"/>
          <cell r="G214"/>
          <cell r="H214"/>
          <cell r="I214"/>
          <cell r="J214"/>
          <cell r="K214"/>
          <cell r="L214"/>
          <cell r="M214"/>
          <cell r="N214"/>
          <cell r="O214"/>
          <cell r="P214"/>
          <cell r="Q214"/>
          <cell r="R214"/>
          <cell r="S214"/>
          <cell r="T214"/>
        </row>
        <row r="215">
          <cell r="A215" t="str">
            <v>RR defined underlying PTP</v>
          </cell>
          <cell r="B215">
            <v>226</v>
          </cell>
          <cell r="C215">
            <v>109</v>
          </cell>
          <cell r="D215">
            <v>84</v>
          </cell>
          <cell r="E215">
            <v>76</v>
          </cell>
          <cell r="F215">
            <v>101</v>
          </cell>
          <cell r="G215">
            <v>143</v>
          </cell>
          <cell r="H215">
            <v>220</v>
          </cell>
          <cell r="I215">
            <v>275</v>
          </cell>
          <cell r="J215">
            <v>316</v>
          </cell>
          <cell r="K215">
            <v>368</v>
          </cell>
          <cell r="L215">
            <v>436</v>
          </cell>
          <cell r="M215">
            <v>475</v>
          </cell>
          <cell r="N215">
            <v>255</v>
          </cell>
          <cell r="O215">
            <v>285</v>
          </cell>
          <cell r="P215">
            <v>344.9</v>
          </cell>
          <cell r="Q215">
            <v>365</v>
          </cell>
          <cell r="R215">
            <v>593</v>
          </cell>
          <cell r="S215">
            <v>705</v>
          </cell>
          <cell r="T215">
            <v>800</v>
          </cell>
        </row>
        <row r="216">
          <cell r="A216" t="str">
            <v>Deduct operating exceptionals</v>
          </cell>
          <cell r="B216">
            <v>-50</v>
          </cell>
          <cell r="C216">
            <v>-58</v>
          </cell>
          <cell r="D216">
            <v>-268</v>
          </cell>
          <cell r="E216">
            <v>0</v>
          </cell>
          <cell r="F216">
            <v>0</v>
          </cell>
          <cell r="G216">
            <v>0</v>
          </cell>
          <cell r="H216">
            <v>-101</v>
          </cell>
          <cell r="I216">
            <v>0</v>
          </cell>
          <cell r="J216">
            <v>0</v>
          </cell>
          <cell r="K216">
            <v>-6</v>
          </cell>
          <cell r="L216">
            <v>-145</v>
          </cell>
          <cell r="M216">
            <v>-230</v>
          </cell>
          <cell r="N216">
            <v>-76</v>
          </cell>
          <cell r="O216">
            <v>-54</v>
          </cell>
          <cell r="P216">
            <v>0</v>
          </cell>
          <cell r="Q216">
            <v>0</v>
          </cell>
          <cell r="R216">
            <v>0</v>
          </cell>
          <cell r="S216">
            <v>0</v>
          </cell>
          <cell r="T216">
            <v>0</v>
          </cell>
        </row>
        <row r="217">
          <cell r="A217" t="str">
            <v xml:space="preserve">Add back Pension finance gain / (charge) </v>
          </cell>
          <cell r="B217"/>
          <cell r="C217"/>
          <cell r="D217"/>
          <cell r="E217"/>
          <cell r="F217"/>
          <cell r="G217"/>
          <cell r="H217"/>
          <cell r="I217"/>
          <cell r="J217"/>
          <cell r="K217"/>
          <cell r="L217"/>
          <cell r="M217"/>
          <cell r="N217"/>
          <cell r="O217"/>
          <cell r="P217"/>
          <cell r="Q217">
            <v>-1</v>
          </cell>
          <cell r="R217">
            <v>-9</v>
          </cell>
          <cell r="S217">
            <v>3</v>
          </cell>
          <cell r="T217">
            <v>30</v>
          </cell>
        </row>
        <row r="218">
          <cell r="A218" t="str">
            <v>Adjust for net capitalised R&amp;D</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-5</v>
          </cell>
          <cell r="R218">
            <v>-57</v>
          </cell>
          <cell r="S218">
            <v>-25</v>
          </cell>
          <cell r="T218">
            <v>-73</v>
          </cell>
        </row>
        <row r="219">
          <cell r="A219" t="str">
            <v>Adjust for net capitalised losses on new engines</v>
          </cell>
          <cell r="B219"/>
          <cell r="C219"/>
          <cell r="D219"/>
          <cell r="E219"/>
          <cell r="F219"/>
          <cell r="G219"/>
          <cell r="H219"/>
          <cell r="I219"/>
          <cell r="J219"/>
          <cell r="K219"/>
          <cell r="L219"/>
          <cell r="M219"/>
          <cell r="N219"/>
          <cell r="O219"/>
          <cell r="P219"/>
          <cell r="Q219">
            <v>5</v>
          </cell>
          <cell r="R219">
            <v>-4</v>
          </cell>
          <cell r="S219">
            <v>-34</v>
          </cell>
          <cell r="T219">
            <v>-9</v>
          </cell>
        </row>
        <row r="220">
          <cell r="A220" t="str">
            <v>Goldman defined Clean PTP</v>
          </cell>
          <cell r="B220">
            <v>176</v>
          </cell>
          <cell r="C220">
            <v>51</v>
          </cell>
          <cell r="D220">
            <v>-184</v>
          </cell>
          <cell r="E220">
            <v>76</v>
          </cell>
          <cell r="F220">
            <v>101</v>
          </cell>
          <cell r="G220">
            <v>143</v>
          </cell>
          <cell r="H220">
            <v>119</v>
          </cell>
          <cell r="I220">
            <v>275</v>
          </cell>
          <cell r="J220">
            <v>316</v>
          </cell>
          <cell r="K220">
            <v>362</v>
          </cell>
          <cell r="L220">
            <v>291</v>
          </cell>
          <cell r="M220">
            <v>245</v>
          </cell>
          <cell r="N220">
            <v>179</v>
          </cell>
          <cell r="O220">
            <v>231</v>
          </cell>
          <cell r="P220">
            <v>344.9</v>
          </cell>
          <cell r="Q220">
            <v>364</v>
          </cell>
          <cell r="R220">
            <v>523</v>
          </cell>
          <cell r="S220">
            <v>649</v>
          </cell>
          <cell r="T220">
            <v>748</v>
          </cell>
        </row>
        <row r="221">
          <cell r="A221" t="str">
            <v>Underlying tax rate (as per RR)</v>
          </cell>
          <cell r="B221">
            <v>-0.15929203539823009</v>
          </cell>
          <cell r="C221">
            <v>-0.31192660550458717</v>
          </cell>
          <cell r="D221">
            <v>-0.32142857142857145</v>
          </cell>
          <cell r="E221">
            <v>-0.23684210526315788</v>
          </cell>
          <cell r="F221">
            <v>-0.19801980198019803</v>
          </cell>
          <cell r="G221">
            <v>-0.21678321678321677</v>
          </cell>
          <cell r="H221">
            <v>-0.13636363636363635</v>
          </cell>
          <cell r="I221">
            <v>-0.18545454545454546</v>
          </cell>
          <cell r="J221">
            <v>-0.19303797468354431</v>
          </cell>
          <cell r="K221">
            <v>-0.19565217391304349</v>
          </cell>
          <cell r="L221">
            <v>-0.22706422018348624</v>
          </cell>
          <cell r="M221">
            <v>-0.32421052631578945</v>
          </cell>
          <cell r="N221">
            <v>-0.29803921568627451</v>
          </cell>
          <cell r="O221">
            <v>-0.29473684210526313</v>
          </cell>
          <cell r="P221">
            <v>-0.28703972165845176</v>
          </cell>
          <cell r="Q221">
            <v>-0.27397260273972601</v>
          </cell>
          <cell r="R221">
            <v>-0.28667790893760542</v>
          </cell>
          <cell r="S221">
            <v>-0.26950354609929078</v>
          </cell>
          <cell r="T221">
            <v>-0.24124999999999999</v>
          </cell>
        </row>
        <row r="222">
          <cell r="A222" t="str">
            <v>Less Goldman defined tax</v>
          </cell>
          <cell r="B222">
            <v>-28.035398230088497</v>
          </cell>
          <cell r="C222">
            <v>-15.908256880733946</v>
          </cell>
          <cell r="D222">
            <v>59.142857142857146</v>
          </cell>
          <cell r="E222">
            <v>-18</v>
          </cell>
          <cell r="F222">
            <v>-20</v>
          </cell>
          <cell r="G222">
            <v>-30.999999999999996</v>
          </cell>
          <cell r="H222">
            <v>-16.227272727272727</v>
          </cell>
          <cell r="I222">
            <v>-51</v>
          </cell>
          <cell r="J222">
            <v>-61</v>
          </cell>
          <cell r="K222">
            <v>-70.826086956521749</v>
          </cell>
          <cell r="L222">
            <v>-66.075688073394488</v>
          </cell>
          <cell r="M222">
            <v>-79.431578947368422</v>
          </cell>
          <cell r="N222">
            <v>-53.34901960784314</v>
          </cell>
          <cell r="O222">
            <v>-68.084210526315786</v>
          </cell>
          <cell r="P222">
            <v>-99</v>
          </cell>
          <cell r="Q222">
            <v>-99.726027397260268</v>
          </cell>
          <cell r="R222">
            <v>-149.93254637436763</v>
          </cell>
          <cell r="S222">
            <v>-174.9078014184397</v>
          </cell>
          <cell r="T222">
            <v>-180.45499999999998</v>
          </cell>
        </row>
        <row r="223">
          <cell r="A223" t="str">
            <v>Minorities</v>
          </cell>
          <cell r="B223">
            <v>-6</v>
          </cell>
          <cell r="C223">
            <v>5</v>
          </cell>
          <cell r="D223">
            <v>7</v>
          </cell>
          <cell r="E223">
            <v>5</v>
          </cell>
          <cell r="F223">
            <v>0</v>
          </cell>
          <cell r="G223">
            <v>-2</v>
          </cell>
          <cell r="H223">
            <v>-3</v>
          </cell>
          <cell r="I223">
            <v>-1</v>
          </cell>
          <cell r="J223">
            <v>-2</v>
          </cell>
          <cell r="K223">
            <v>-2</v>
          </cell>
          <cell r="L223">
            <v>0</v>
          </cell>
          <cell r="M223">
            <v>0</v>
          </cell>
          <cell r="N223">
            <v>0</v>
          </cell>
          <cell r="O223">
            <v>0</v>
          </cell>
          <cell r="P223">
            <v>-1</v>
          </cell>
          <cell r="Q223">
            <v>-1</v>
          </cell>
          <cell r="R223">
            <v>3</v>
          </cell>
          <cell r="S223">
            <v>4</v>
          </cell>
          <cell r="T223">
            <v>6</v>
          </cell>
        </row>
        <row r="224">
          <cell r="A224" t="str">
            <v>Goldman defined Clean Net Income</v>
          </cell>
          <cell r="B224">
            <v>141.9646017699115</v>
          </cell>
          <cell r="C224">
            <v>40.091743119266056</v>
          </cell>
          <cell r="D224">
            <v>-117.85714285714286</v>
          </cell>
          <cell r="E224">
            <v>63</v>
          </cell>
          <cell r="F224">
            <v>81</v>
          </cell>
          <cell r="G224">
            <v>110</v>
          </cell>
          <cell r="H224">
            <v>99.77272727272728</v>
          </cell>
          <cell r="I224">
            <v>223</v>
          </cell>
          <cell r="J224">
            <v>253</v>
          </cell>
          <cell r="K224">
            <v>289.17391304347825</v>
          </cell>
          <cell r="L224">
            <v>224.92431192660553</v>
          </cell>
          <cell r="M224">
            <v>165.56842105263158</v>
          </cell>
          <cell r="N224">
            <v>125.65098039215687</v>
          </cell>
          <cell r="O224">
            <v>162.91578947368421</v>
          </cell>
          <cell r="P224">
            <v>244.89999999999998</v>
          </cell>
          <cell r="Q224">
            <v>263.27397260273972</v>
          </cell>
          <cell r="R224">
            <v>376.06745362563237</v>
          </cell>
          <cell r="S224">
            <v>478.0921985815603</v>
          </cell>
          <cell r="T224">
            <v>573.54500000000007</v>
          </cell>
        </row>
        <row r="225">
          <cell r="A225" t="str">
            <v>Goldman defined Clean EPS</v>
          </cell>
          <cell r="B225">
            <v>14.772591235162485</v>
          </cell>
          <cell r="C225">
            <v>4.1675408647885712</v>
          </cell>
          <cell r="D225">
            <v>-12.20053238686779</v>
          </cell>
          <cell r="E225">
            <v>5.9546313799621924</v>
          </cell>
          <cell r="F225">
            <v>6.6176470588235299</v>
          </cell>
          <cell r="G225">
            <v>7.9365079365079358</v>
          </cell>
          <cell r="H225">
            <v>6.7780385375494081</v>
          </cell>
          <cell r="I225">
            <v>15.087956698240864</v>
          </cell>
          <cell r="J225">
            <v>16.911764705882355</v>
          </cell>
          <cell r="K225">
            <v>19.201455049367748</v>
          </cell>
          <cell r="L225">
            <v>14.436733756521535</v>
          </cell>
          <cell r="M225">
            <v>10.419661488523071</v>
          </cell>
          <cell r="N225">
            <v>7.7947258307789618</v>
          </cell>
          <cell r="O225">
            <v>9.8916690633688056</v>
          </cell>
          <cell r="P225">
            <v>14.491124260355029</v>
          </cell>
          <cell r="Q225">
            <v>15.578341574126611</v>
          </cell>
          <cell r="R225">
            <v>21.613072047450135</v>
          </cell>
          <cell r="S225">
            <v>27.460781078780027</v>
          </cell>
          <cell r="T225">
            <v>31.863611111111119</v>
          </cell>
        </row>
        <row r="226">
          <cell r="A226" t="str">
            <v>Goldman defined Clean EPS  as a % of RR defined underlying EPS</v>
          </cell>
          <cell r="B226">
            <v>0.77154674874951901</v>
          </cell>
          <cell r="C226">
            <v>0.50114678899082565</v>
          </cell>
          <cell r="D226">
            <v>-1.841517857142857</v>
          </cell>
          <cell r="E226">
            <v>1</v>
          </cell>
          <cell r="F226">
            <v>1</v>
          </cell>
          <cell r="G226">
            <v>1</v>
          </cell>
          <cell r="H226">
            <v>0.53354399611084113</v>
          </cell>
          <cell r="I226">
            <v>1</v>
          </cell>
          <cell r="J226">
            <v>1</v>
          </cell>
          <cell r="K226">
            <v>0.98358473824312342</v>
          </cell>
          <cell r="L226">
            <v>0.66743119266055051</v>
          </cell>
          <cell r="M226">
            <v>0.51578947368421058</v>
          </cell>
          <cell r="N226">
            <v>0.70196078431372555</v>
          </cell>
          <cell r="O226">
            <v>0.81052631578947376</v>
          </cell>
          <cell r="P226">
            <v>1</v>
          </cell>
          <cell r="Q226">
            <v>0.99724989622249904</v>
          </cell>
          <cell r="R226">
            <v>0.88278744982542812</v>
          </cell>
          <cell r="S226">
            <v>0.92117957337487522</v>
          </cell>
          <cell r="T226">
            <v>0.9356362153344211</v>
          </cell>
        </row>
        <row r="227">
          <cell r="A227"/>
          <cell r="B227"/>
          <cell r="C227"/>
          <cell r="D227"/>
          <cell r="E227"/>
          <cell r="F227"/>
          <cell r="G227"/>
          <cell r="H227"/>
          <cell r="I227"/>
          <cell r="J227"/>
          <cell r="K227"/>
          <cell r="L227"/>
          <cell r="M227"/>
          <cell r="N227"/>
          <cell r="O227"/>
          <cell r="P227"/>
          <cell r="Q227"/>
          <cell r="R227"/>
          <cell r="S227"/>
          <cell r="T227"/>
        </row>
        <row r="228">
          <cell r="A228" t="str">
            <v>Goldman calculation of Economic EBITA and NOPLAT</v>
          </cell>
          <cell r="B228">
            <v>1990</v>
          </cell>
          <cell r="C228">
            <v>1991</v>
          </cell>
          <cell r="D228">
            <v>1992</v>
          </cell>
          <cell r="E228">
            <v>1993</v>
          </cell>
          <cell r="F228">
            <v>1994</v>
          </cell>
          <cell r="G228">
            <v>1995</v>
          </cell>
          <cell r="H228">
            <v>1996</v>
          </cell>
          <cell r="I228">
            <v>1997</v>
          </cell>
          <cell r="J228">
            <v>1998</v>
          </cell>
          <cell r="K228">
            <v>1999</v>
          </cell>
          <cell r="L228">
            <v>2000</v>
          </cell>
          <cell r="M228">
            <v>2001</v>
          </cell>
          <cell r="N228">
            <v>2002</v>
          </cell>
          <cell r="O228">
            <v>2003</v>
          </cell>
          <cell r="P228">
            <v>2004</v>
          </cell>
          <cell r="Q228" t="str">
            <v>2004pf</v>
          </cell>
          <cell r="R228">
            <v>2005</v>
          </cell>
          <cell r="S228">
            <v>2006</v>
          </cell>
          <cell r="T228">
            <v>2007</v>
          </cell>
        </row>
        <row r="229">
          <cell r="A229"/>
          <cell r="B229"/>
          <cell r="C229"/>
          <cell r="D229"/>
          <cell r="E229"/>
          <cell r="F229"/>
          <cell r="G229"/>
          <cell r="H229"/>
          <cell r="I229"/>
          <cell r="J229"/>
          <cell r="K229"/>
          <cell r="L229"/>
          <cell r="M229"/>
          <cell r="N229"/>
          <cell r="O229"/>
          <cell r="P229"/>
          <cell r="Q229"/>
          <cell r="R229"/>
          <cell r="S229"/>
          <cell r="T229"/>
        </row>
        <row r="230">
          <cell r="A230" t="str">
            <v>RR defined underlying EBITA (group level)</v>
          </cell>
          <cell r="B230">
            <v>233</v>
          </cell>
          <cell r="C230">
            <v>125</v>
          </cell>
          <cell r="D230">
            <v>102</v>
          </cell>
          <cell r="E230">
            <v>88</v>
          </cell>
          <cell r="F230">
            <v>100</v>
          </cell>
          <cell r="G230">
            <v>155</v>
          </cell>
          <cell r="H230">
            <v>227</v>
          </cell>
          <cell r="I230">
            <v>288</v>
          </cell>
          <cell r="J230">
            <v>333</v>
          </cell>
          <cell r="K230">
            <v>421</v>
          </cell>
          <cell r="L230">
            <v>559</v>
          </cell>
          <cell r="M230">
            <v>594</v>
          </cell>
          <cell r="N230">
            <v>362</v>
          </cell>
          <cell r="O230">
            <v>375</v>
          </cell>
          <cell r="P230">
            <v>414.9</v>
          </cell>
          <cell r="Q230">
            <v>417</v>
          </cell>
          <cell r="R230">
            <v>679</v>
          </cell>
          <cell r="S230">
            <v>748</v>
          </cell>
          <cell r="T230">
            <v>832</v>
          </cell>
        </row>
        <row r="231">
          <cell r="A231" t="str">
            <v>Deduct associates (as included in EBITA)</v>
          </cell>
          <cell r="B231">
            <v>-2</v>
          </cell>
          <cell r="C231">
            <v>-6</v>
          </cell>
          <cell r="D231">
            <v>-6</v>
          </cell>
          <cell r="E231">
            <v>-12</v>
          </cell>
          <cell r="F231">
            <v>-9</v>
          </cell>
          <cell r="G231">
            <v>-9</v>
          </cell>
          <cell r="H231">
            <v>-8</v>
          </cell>
          <cell r="I231">
            <v>-17</v>
          </cell>
          <cell r="J231">
            <v>-17</v>
          </cell>
          <cell r="K231">
            <v>-31</v>
          </cell>
          <cell r="L231">
            <v>-76</v>
          </cell>
          <cell r="M231">
            <v>-82</v>
          </cell>
          <cell r="N231">
            <v>-66</v>
          </cell>
          <cell r="O231">
            <v>-52</v>
          </cell>
          <cell r="P231">
            <v>-48.9</v>
          </cell>
          <cell r="Q231">
            <v>-19</v>
          </cell>
          <cell r="R231">
            <v>-46</v>
          </cell>
          <cell r="S231">
            <v>-47</v>
          </cell>
          <cell r="T231">
            <v>-66</v>
          </cell>
        </row>
        <row r="232">
          <cell r="A232" t="str">
            <v>Deduct operating exceptionals</v>
          </cell>
          <cell r="B232">
            <v>-50</v>
          </cell>
          <cell r="C232">
            <v>-58</v>
          </cell>
          <cell r="D232">
            <v>-268</v>
          </cell>
          <cell r="E232">
            <v>0</v>
          </cell>
          <cell r="F232">
            <v>0</v>
          </cell>
          <cell r="G232">
            <v>0</v>
          </cell>
          <cell r="H232">
            <v>-101</v>
          </cell>
          <cell r="I232">
            <v>0</v>
          </cell>
          <cell r="J232">
            <v>0</v>
          </cell>
          <cell r="K232">
            <v>-6</v>
          </cell>
          <cell r="L232">
            <v>-145</v>
          </cell>
          <cell r="M232">
            <v>-230</v>
          </cell>
          <cell r="N232">
            <v>-76</v>
          </cell>
          <cell r="O232">
            <v>-54</v>
          </cell>
          <cell r="P232">
            <v>0</v>
          </cell>
          <cell r="Q232">
            <v>0</v>
          </cell>
          <cell r="R232">
            <v>0</v>
          </cell>
          <cell r="S232">
            <v>0</v>
          </cell>
          <cell r="T232">
            <v>0</v>
          </cell>
        </row>
        <row r="233">
          <cell r="A233" t="str">
            <v>Adjust for net capitalised R&amp;D</v>
          </cell>
          <cell r="B233"/>
          <cell r="C233"/>
          <cell r="D233"/>
          <cell r="E233"/>
          <cell r="F233"/>
          <cell r="G233"/>
          <cell r="H233"/>
          <cell r="I233"/>
          <cell r="J233"/>
          <cell r="K233"/>
          <cell r="L233"/>
          <cell r="M233"/>
          <cell r="N233"/>
          <cell r="O233"/>
          <cell r="P233"/>
          <cell r="Q233">
            <v>-5</v>
          </cell>
          <cell r="R233">
            <v>-57</v>
          </cell>
          <cell r="S233">
            <v>-25</v>
          </cell>
          <cell r="T233">
            <v>-73</v>
          </cell>
        </row>
        <row r="234">
          <cell r="A234" t="str">
            <v>Adjust for net capitalised losses on new engines</v>
          </cell>
          <cell r="B234"/>
          <cell r="C234"/>
          <cell r="D234"/>
          <cell r="E234"/>
          <cell r="F234"/>
          <cell r="G234"/>
          <cell r="H234"/>
          <cell r="I234"/>
          <cell r="J234"/>
          <cell r="K234"/>
          <cell r="L234"/>
          <cell r="M234"/>
          <cell r="N234"/>
          <cell r="O234"/>
          <cell r="P234"/>
          <cell r="Q234">
            <v>5</v>
          </cell>
          <cell r="R234">
            <v>-4</v>
          </cell>
          <cell r="S234">
            <v>-34</v>
          </cell>
          <cell r="T234">
            <v>-9</v>
          </cell>
        </row>
        <row r="235">
          <cell r="A235" t="str">
            <v>Goldman defined Clean EBITA (subsidiary level)</v>
          </cell>
          <cell r="B235">
            <v>181</v>
          </cell>
          <cell r="C235">
            <v>61</v>
          </cell>
          <cell r="D235">
            <v>-172</v>
          </cell>
          <cell r="E235">
            <v>76</v>
          </cell>
          <cell r="F235">
            <v>91</v>
          </cell>
          <cell r="G235">
            <v>146</v>
          </cell>
          <cell r="H235">
            <v>118</v>
          </cell>
          <cell r="I235">
            <v>271</v>
          </cell>
          <cell r="J235">
            <v>316</v>
          </cell>
          <cell r="K235">
            <v>384</v>
          </cell>
          <cell r="L235">
            <v>338</v>
          </cell>
          <cell r="M235">
            <v>282</v>
          </cell>
          <cell r="N235">
            <v>220</v>
          </cell>
          <cell r="O235">
            <v>269</v>
          </cell>
          <cell r="P235">
            <v>366</v>
          </cell>
          <cell r="Q235">
            <v>398</v>
          </cell>
          <cell r="R235">
            <v>572</v>
          </cell>
          <cell r="S235">
            <v>642</v>
          </cell>
          <cell r="T235">
            <v>684</v>
          </cell>
        </row>
        <row r="236">
          <cell r="A236" t="str">
            <v>Add estimated interest income on excess customer prepayments</v>
          </cell>
          <cell r="B236">
            <v>24.900000000000002</v>
          </cell>
          <cell r="C236">
            <v>27.8</v>
          </cell>
          <cell r="D236">
            <v>21.202999999999999</v>
          </cell>
          <cell r="E236">
            <v>19.89</v>
          </cell>
          <cell r="F236">
            <v>16.559999999999999</v>
          </cell>
          <cell r="G236">
            <v>17.466000000000001</v>
          </cell>
          <cell r="H236">
            <v>15.522</v>
          </cell>
          <cell r="I236">
            <v>19.600000000000001</v>
          </cell>
          <cell r="J236">
            <v>12.488</v>
          </cell>
          <cell r="K236">
            <v>19.400000000000002</v>
          </cell>
          <cell r="L236">
            <v>19.38</v>
          </cell>
          <cell r="M236">
            <v>17.150000000000002</v>
          </cell>
          <cell r="N236">
            <v>17.52</v>
          </cell>
          <cell r="O236">
            <v>18.080000000000002</v>
          </cell>
          <cell r="P236">
            <v>18.329658999999999</v>
          </cell>
          <cell r="Q236">
            <v>18.329658999999999</v>
          </cell>
          <cell r="R236">
            <v>27.413683200000001</v>
          </cell>
          <cell r="S236">
            <v>40.156426799999998</v>
          </cell>
          <cell r="T236">
            <v>93.4926198</v>
          </cell>
        </row>
        <row r="237">
          <cell r="A237" t="str">
            <v>Adjust pension income from SSAP 24 to FRS 17</v>
          </cell>
          <cell r="B237"/>
          <cell r="C237"/>
          <cell r="D237"/>
          <cell r="E237"/>
          <cell r="F237"/>
          <cell r="G237"/>
          <cell r="H237"/>
          <cell r="I237"/>
          <cell r="J237"/>
          <cell r="K237"/>
          <cell r="L237"/>
          <cell r="M237"/>
          <cell r="N237">
            <v>-9</v>
          </cell>
          <cell r="O237">
            <v>12</v>
          </cell>
          <cell r="P237">
            <v>44</v>
          </cell>
          <cell r="Q237"/>
          <cell r="R237"/>
          <cell r="S237"/>
          <cell r="T237"/>
        </row>
        <row r="238">
          <cell r="A238" t="str">
            <v>Goldman defined Economic EBITA (subsidiary level)</v>
          </cell>
          <cell r="B238">
            <v>205.9</v>
          </cell>
          <cell r="C238">
            <v>88.8</v>
          </cell>
          <cell r="D238">
            <v>-150.797</v>
          </cell>
          <cell r="E238">
            <v>95.89</v>
          </cell>
          <cell r="F238">
            <v>107.56</v>
          </cell>
          <cell r="G238">
            <v>163.46600000000001</v>
          </cell>
          <cell r="H238">
            <v>133.52199999999999</v>
          </cell>
          <cell r="I238">
            <v>290.60000000000002</v>
          </cell>
          <cell r="J238">
            <v>328.488</v>
          </cell>
          <cell r="K238">
            <v>403.4</v>
          </cell>
          <cell r="L238">
            <v>357.38</v>
          </cell>
          <cell r="M238">
            <v>299.14999999999998</v>
          </cell>
          <cell r="N238">
            <v>228.52</v>
          </cell>
          <cell r="O238">
            <v>299.08</v>
          </cell>
          <cell r="P238">
            <v>428.32965899999999</v>
          </cell>
          <cell r="Q238">
            <v>416.32965899999999</v>
          </cell>
          <cell r="R238">
            <v>599.41368320000004</v>
          </cell>
          <cell r="S238">
            <v>682.15642679999996</v>
          </cell>
          <cell r="T238">
            <v>777.49261980000006</v>
          </cell>
        </row>
        <row r="239">
          <cell r="A239" t="str">
            <v>Tax rate</v>
          </cell>
          <cell r="B239">
            <v>-0.15929203539823009</v>
          </cell>
          <cell r="C239">
            <v>-0.31192660550458717</v>
          </cell>
          <cell r="D239">
            <v>-0.32142857142857145</v>
          </cell>
          <cell r="E239">
            <v>-0.23684210526315788</v>
          </cell>
          <cell r="F239">
            <v>-0.19801980198019803</v>
          </cell>
          <cell r="G239">
            <v>-0.21678321678321677</v>
          </cell>
          <cell r="H239">
            <v>-0.13636363636363635</v>
          </cell>
          <cell r="I239">
            <v>-0.18545454545454546</v>
          </cell>
          <cell r="J239">
            <v>-0.19303797468354431</v>
          </cell>
          <cell r="K239">
            <v>-0.19565217391304349</v>
          </cell>
          <cell r="L239">
            <v>-0.22706422018348624</v>
          </cell>
          <cell r="M239">
            <v>-0.32421052631578945</v>
          </cell>
          <cell r="N239">
            <v>-0.29803921568627451</v>
          </cell>
          <cell r="O239">
            <v>-0.29473684210526313</v>
          </cell>
          <cell r="P239">
            <v>-0.28703972165845176</v>
          </cell>
          <cell r="Q239">
            <v>-0.27397260273972601</v>
          </cell>
          <cell r="R239">
            <v>-0.28667790893760542</v>
          </cell>
          <cell r="S239">
            <v>-0.26950354609929078</v>
          </cell>
          <cell r="T239">
            <v>-0.24124999999999999</v>
          </cell>
        </row>
        <row r="240">
          <cell r="A240" t="str">
            <v>Goldman defined NOPLAT</v>
          </cell>
          <cell r="B240">
            <v>173.10176991150442</v>
          </cell>
          <cell r="C240">
            <v>61.100917431192656</v>
          </cell>
          <cell r="D240">
            <v>-102.32653571428571</v>
          </cell>
          <cell r="E240">
            <v>73.179210526315799</v>
          </cell>
          <cell r="F240">
            <v>86.260990099009902</v>
          </cell>
          <cell r="G240">
            <v>128.02931468531469</v>
          </cell>
          <cell r="H240">
            <v>115.31445454545454</v>
          </cell>
          <cell r="I240">
            <v>236.70690909090911</v>
          </cell>
          <cell r="J240">
            <v>265.0773417721519</v>
          </cell>
          <cell r="K240">
            <v>324.47391304347826</v>
          </cell>
          <cell r="L240">
            <v>276.23178899082569</v>
          </cell>
          <cell r="M240">
            <v>202.16242105263154</v>
          </cell>
          <cell r="N240">
            <v>160.41207843137255</v>
          </cell>
          <cell r="O240">
            <v>210.93010526315788</v>
          </cell>
          <cell r="P240">
            <v>305.38203290258048</v>
          </cell>
          <cell r="Q240">
            <v>302.26673872602737</v>
          </cell>
          <cell r="R240">
            <v>427.5750219116357</v>
          </cell>
          <cell r="S240">
            <v>498.31285078297873</v>
          </cell>
          <cell r="T240">
            <v>589.92252527325002</v>
          </cell>
        </row>
        <row r="241">
          <cell r="A241" t="str">
            <v xml:space="preserve">Checking </v>
          </cell>
          <cell r="B241">
            <v>9.9999999999994316E-2</v>
          </cell>
          <cell r="C241">
            <v>0.20000000000000284</v>
          </cell>
          <cell r="D241">
            <v>-0.20300000000000296</v>
          </cell>
          <cell r="E241">
            <v>0.10999999999999943</v>
          </cell>
          <cell r="F241">
            <v>0.43999999999999773</v>
          </cell>
          <cell r="G241">
            <v>-0.46600000000000819</v>
          </cell>
          <cell r="H241">
            <v>0.47800000000000864</v>
          </cell>
          <cell r="I241">
            <v>0.39999999999997726</v>
          </cell>
          <cell r="J241">
            <v>-0.48799999999999955</v>
          </cell>
          <cell r="K241">
            <v>-0.39999999999997726</v>
          </cell>
          <cell r="L241">
            <v>-0.37999999999999545</v>
          </cell>
          <cell r="M241">
            <v>-0.14999999999997726</v>
          </cell>
          <cell r="N241">
            <v>0.47999999999998977</v>
          </cell>
          <cell r="O241">
            <v>-7.9999999999984084E-2</v>
          </cell>
          <cell r="P241">
            <v>-2.3296589999999924</v>
          </cell>
          <cell r="Q241"/>
          <cell r="R241"/>
          <cell r="S241"/>
          <cell r="T241"/>
        </row>
        <row r="242">
          <cell r="A242"/>
          <cell r="B242"/>
          <cell r="C242"/>
          <cell r="D242"/>
          <cell r="E242"/>
          <cell r="F242"/>
          <cell r="G242"/>
          <cell r="H242"/>
          <cell r="I242"/>
          <cell r="J242"/>
          <cell r="K242"/>
          <cell r="L242"/>
          <cell r="M242"/>
          <cell r="N242"/>
          <cell r="O242"/>
          <cell r="P242"/>
          <cell r="Q242"/>
          <cell r="R242"/>
          <cell r="S242"/>
          <cell r="T242"/>
        </row>
        <row r="243">
          <cell r="A243" t="str">
            <v>Goldman defined Invested Capital</v>
          </cell>
          <cell r="B243">
            <v>1990</v>
          </cell>
          <cell r="C243">
            <v>1991</v>
          </cell>
          <cell r="D243">
            <v>1992</v>
          </cell>
          <cell r="E243">
            <v>1993</v>
          </cell>
          <cell r="F243">
            <v>1994</v>
          </cell>
          <cell r="G243">
            <v>1995</v>
          </cell>
          <cell r="H243">
            <v>1996</v>
          </cell>
          <cell r="I243">
            <v>1997</v>
          </cell>
          <cell r="J243">
            <v>1998</v>
          </cell>
          <cell r="K243">
            <v>1999</v>
          </cell>
          <cell r="L243">
            <v>2000</v>
          </cell>
          <cell r="M243">
            <v>2001</v>
          </cell>
          <cell r="N243">
            <v>2002</v>
          </cell>
          <cell r="O243">
            <v>2003</v>
          </cell>
          <cell r="P243">
            <v>2004</v>
          </cell>
          <cell r="Q243" t="str">
            <v>2004pf</v>
          </cell>
          <cell r="R243">
            <v>2005</v>
          </cell>
          <cell r="S243">
            <v>2006</v>
          </cell>
          <cell r="T243">
            <v>2007</v>
          </cell>
        </row>
        <row r="244">
          <cell r="A244"/>
          <cell r="B244"/>
          <cell r="C244"/>
          <cell r="D244"/>
          <cell r="E244"/>
          <cell r="F244"/>
          <cell r="G244"/>
          <cell r="H244"/>
          <cell r="I244"/>
          <cell r="J244"/>
          <cell r="K244"/>
          <cell r="L244"/>
          <cell r="M244"/>
          <cell r="N244"/>
          <cell r="O244"/>
          <cell r="P244"/>
          <cell r="Q244"/>
          <cell r="R244"/>
          <cell r="S244"/>
          <cell r="T244"/>
        </row>
        <row r="245">
          <cell r="A245" t="str">
            <v>Shareholders Funds</v>
          </cell>
          <cell r="B245">
            <v>1164</v>
          </cell>
          <cell r="C245">
            <v>1122</v>
          </cell>
          <cell r="D245">
            <v>899</v>
          </cell>
          <cell r="E245">
            <v>1225</v>
          </cell>
          <cell r="F245">
            <v>1242</v>
          </cell>
          <cell r="G245">
            <v>1345</v>
          </cell>
          <cell r="H245">
            <v>1303</v>
          </cell>
          <cell r="I245">
            <v>1443</v>
          </cell>
          <cell r="J245">
            <v>1705</v>
          </cell>
          <cell r="K245">
            <v>1988</v>
          </cell>
          <cell r="L245">
            <v>2063</v>
          </cell>
          <cell r="M245">
            <v>2068</v>
          </cell>
          <cell r="N245">
            <v>2035</v>
          </cell>
          <cell r="O245">
            <v>2140</v>
          </cell>
          <cell r="P245">
            <v>2303</v>
          </cell>
          <cell r="Q245">
            <v>1442</v>
          </cell>
          <cell r="R245">
            <v>1499</v>
          </cell>
          <cell r="S245">
            <v>2718</v>
          </cell>
          <cell r="T245">
            <v>3537</v>
          </cell>
        </row>
        <row r="246">
          <cell r="A246" t="str">
            <v>Cumulative goodwill written-off</v>
          </cell>
          <cell r="B246">
            <v>243</v>
          </cell>
          <cell r="C246">
            <v>243</v>
          </cell>
          <cell r="D246">
            <v>247</v>
          </cell>
          <cell r="E246">
            <v>243</v>
          </cell>
          <cell r="F246">
            <v>243</v>
          </cell>
          <cell r="G246">
            <v>568</v>
          </cell>
          <cell r="H246">
            <v>592</v>
          </cell>
          <cell r="I246">
            <v>514</v>
          </cell>
          <cell r="J246">
            <v>436</v>
          </cell>
          <cell r="K246">
            <v>428</v>
          </cell>
          <cell r="L246">
            <v>387</v>
          </cell>
          <cell r="M246">
            <v>380</v>
          </cell>
          <cell r="N246">
            <v>372</v>
          </cell>
          <cell r="O246">
            <v>372</v>
          </cell>
          <cell r="P246">
            <v>370</v>
          </cell>
          <cell r="Q246">
            <v>370</v>
          </cell>
          <cell r="R246">
            <v>370</v>
          </cell>
          <cell r="S246">
            <v>370</v>
          </cell>
          <cell r="T246">
            <v>370</v>
          </cell>
        </row>
        <row r="247">
          <cell r="A247" t="str">
            <v>Cumulative PPA written-off</v>
          </cell>
          <cell r="B247"/>
          <cell r="C247"/>
          <cell r="D247"/>
          <cell r="E247"/>
          <cell r="F247"/>
          <cell r="G247"/>
          <cell r="H247"/>
          <cell r="I247"/>
          <cell r="J247"/>
          <cell r="K247"/>
          <cell r="L247"/>
          <cell r="M247"/>
          <cell r="N247"/>
          <cell r="O247"/>
          <cell r="P247"/>
          <cell r="Q247"/>
          <cell r="R247"/>
          <cell r="S247"/>
          <cell r="T247"/>
        </row>
        <row r="248">
          <cell r="A248" t="str">
            <v>Minority equity</v>
          </cell>
          <cell r="B248">
            <v>38</v>
          </cell>
          <cell r="C248">
            <v>27</v>
          </cell>
          <cell r="D248">
            <v>15</v>
          </cell>
          <cell r="E248">
            <v>10</v>
          </cell>
          <cell r="F248">
            <v>13</v>
          </cell>
          <cell r="G248">
            <v>15</v>
          </cell>
          <cell r="H248">
            <v>22</v>
          </cell>
          <cell r="I248">
            <v>19</v>
          </cell>
          <cell r="J248">
            <v>12</v>
          </cell>
          <cell r="K248">
            <v>13</v>
          </cell>
          <cell r="L248">
            <v>1</v>
          </cell>
          <cell r="M248">
            <v>2</v>
          </cell>
          <cell r="N248">
            <v>2</v>
          </cell>
          <cell r="O248">
            <v>3</v>
          </cell>
          <cell r="P248">
            <v>4</v>
          </cell>
          <cell r="Q248">
            <v>4</v>
          </cell>
          <cell r="R248">
            <v>6</v>
          </cell>
          <cell r="S248">
            <v>7</v>
          </cell>
          <cell r="T248">
            <v>12</v>
          </cell>
        </row>
        <row r="249">
          <cell r="A249" t="str">
            <v>Net Debt (Cash) - (NB. we used average up until 2010)</v>
          </cell>
          <cell r="B249">
            <v>-95</v>
          </cell>
          <cell r="C249">
            <v>19</v>
          </cell>
          <cell r="D249">
            <v>-49</v>
          </cell>
          <cell r="E249">
            <v>159</v>
          </cell>
          <cell r="F249">
            <v>-118</v>
          </cell>
          <cell r="G249">
            <v>96</v>
          </cell>
          <cell r="H249">
            <v>-50</v>
          </cell>
          <cell r="I249">
            <v>-65</v>
          </cell>
          <cell r="J249">
            <v>180</v>
          </cell>
          <cell r="K249">
            <v>573</v>
          </cell>
          <cell r="L249">
            <v>1323</v>
          </cell>
          <cell r="M249">
            <v>990</v>
          </cell>
          <cell r="N249">
            <v>1090</v>
          </cell>
          <cell r="O249">
            <v>950</v>
          </cell>
          <cell r="P249">
            <v>560</v>
          </cell>
          <cell r="Q249">
            <v>632</v>
          </cell>
          <cell r="R249">
            <v>260</v>
          </cell>
          <cell r="S249">
            <v>-150</v>
          </cell>
          <cell r="T249">
            <v>-350</v>
          </cell>
        </row>
        <row r="250">
          <cell r="A250" t="str">
            <v>Pension provisions, net of deferred tax asset</v>
          </cell>
          <cell r="B250">
            <v>0</v>
          </cell>
          <cell r="C250">
            <v>0</v>
          </cell>
          <cell r="D250">
            <v>0</v>
          </cell>
          <cell r="E250">
            <v>0</v>
          </cell>
          <cell r="F250">
            <v>0</v>
          </cell>
          <cell r="G250">
            <v>1</v>
          </cell>
          <cell r="H250">
            <v>0</v>
          </cell>
          <cell r="I250">
            <v>5</v>
          </cell>
          <cell r="J250">
            <v>5</v>
          </cell>
          <cell r="K250">
            <v>3</v>
          </cell>
          <cell r="L250">
            <v>0</v>
          </cell>
          <cell r="M250">
            <v>198.5</v>
          </cell>
          <cell r="N250">
            <v>637.5</v>
          </cell>
          <cell r="O250">
            <v>505.5</v>
          </cell>
          <cell r="P250">
            <v>488</v>
          </cell>
          <cell r="Q250">
            <v>492</v>
          </cell>
          <cell r="R250">
            <v>577</v>
          </cell>
          <cell r="S250">
            <v>340.5</v>
          </cell>
          <cell r="T250">
            <v>149</v>
          </cell>
        </row>
        <row r="251">
          <cell r="A251" t="str">
            <v>Excess customer prepayments</v>
          </cell>
          <cell r="B251">
            <v>249</v>
          </cell>
          <cell r="C251">
            <v>278</v>
          </cell>
          <cell r="D251">
            <v>233</v>
          </cell>
          <cell r="E251">
            <v>255</v>
          </cell>
          <cell r="F251">
            <v>207</v>
          </cell>
          <cell r="G251">
            <v>213</v>
          </cell>
          <cell r="H251">
            <v>199</v>
          </cell>
          <cell r="I251">
            <v>280</v>
          </cell>
          <cell r="J251">
            <v>223</v>
          </cell>
          <cell r="K251">
            <v>388</v>
          </cell>
          <cell r="L251">
            <v>323</v>
          </cell>
          <cell r="M251">
            <v>343</v>
          </cell>
          <cell r="N251">
            <v>438</v>
          </cell>
          <cell r="O251">
            <v>452</v>
          </cell>
          <cell r="P251">
            <v>395</v>
          </cell>
          <cell r="Q251">
            <v>395</v>
          </cell>
          <cell r="R251">
            <v>576</v>
          </cell>
          <cell r="S251">
            <v>828</v>
          </cell>
          <cell r="T251">
            <v>1558</v>
          </cell>
        </row>
        <row r="252">
          <cell r="A252" t="str">
            <v>Financial RRSP liability (from 2004pf only)</v>
          </cell>
          <cell r="B252"/>
          <cell r="C252"/>
          <cell r="D252"/>
          <cell r="E252"/>
          <cell r="F252"/>
          <cell r="G252"/>
          <cell r="H252"/>
          <cell r="I252"/>
          <cell r="J252"/>
          <cell r="K252"/>
          <cell r="L252"/>
          <cell r="M252"/>
          <cell r="N252"/>
          <cell r="O252"/>
          <cell r="P252"/>
          <cell r="Q252"/>
          <cell r="R252">
            <v>423</v>
          </cell>
          <cell r="S252">
            <v>324</v>
          </cell>
          <cell r="T252">
            <v>315</v>
          </cell>
        </row>
        <row r="253">
          <cell r="A253" t="str">
            <v>Minus investments @ book value</v>
          </cell>
          <cell r="B253">
            <v>-36</v>
          </cell>
          <cell r="C253">
            <v>-49</v>
          </cell>
          <cell r="D253">
            <v>-62</v>
          </cell>
          <cell r="E253">
            <v>-68</v>
          </cell>
          <cell r="F253">
            <v>-71</v>
          </cell>
          <cell r="G253">
            <v>-77</v>
          </cell>
          <cell r="H253">
            <v>-85</v>
          </cell>
          <cell r="I253">
            <v>-102</v>
          </cell>
          <cell r="J253">
            <v>-149</v>
          </cell>
          <cell r="K253">
            <v>-182</v>
          </cell>
          <cell r="L253">
            <v>-207</v>
          </cell>
          <cell r="M253">
            <v>-234</v>
          </cell>
          <cell r="N253">
            <v>-266</v>
          </cell>
          <cell r="O253">
            <v>-265</v>
          </cell>
          <cell r="P253">
            <v>-256</v>
          </cell>
          <cell r="Q253">
            <v>-268</v>
          </cell>
          <cell r="R253">
            <v>-299</v>
          </cell>
          <cell r="S253">
            <v>-291</v>
          </cell>
          <cell r="T253">
            <v>-341</v>
          </cell>
        </row>
        <row r="254">
          <cell r="A254" t="str">
            <v>Goldman defined Invested Capital</v>
          </cell>
          <cell r="B254">
            <v>1563</v>
          </cell>
          <cell r="C254">
            <v>1640</v>
          </cell>
          <cell r="D254">
            <v>1283</v>
          </cell>
          <cell r="E254">
            <v>1824</v>
          </cell>
          <cell r="F254">
            <v>1516</v>
          </cell>
          <cell r="G254">
            <v>2161</v>
          </cell>
          <cell r="H254">
            <v>1981</v>
          </cell>
          <cell r="I254">
            <v>2094</v>
          </cell>
          <cell r="J254">
            <v>2412</v>
          </cell>
          <cell r="K254">
            <v>3211</v>
          </cell>
          <cell r="L254">
            <v>3890</v>
          </cell>
          <cell r="M254">
            <v>3747.5</v>
          </cell>
          <cell r="N254">
            <v>4308.5</v>
          </cell>
          <cell r="O254">
            <v>4157.5</v>
          </cell>
          <cell r="P254">
            <v>3864</v>
          </cell>
          <cell r="Q254">
            <v>3067</v>
          </cell>
          <cell r="R254">
            <v>3412</v>
          </cell>
          <cell r="S254">
            <v>4146.5</v>
          </cell>
          <cell r="T254">
            <v>5250</v>
          </cell>
        </row>
        <row r="256">
          <cell r="A256" t="str">
            <v>Goldman defined CROCI and ROIC (pre and post-tax)</v>
          </cell>
          <cell r="B256">
            <v>1990</v>
          </cell>
          <cell r="C256">
            <v>1991</v>
          </cell>
          <cell r="D256">
            <v>1992</v>
          </cell>
          <cell r="E256">
            <v>1993</v>
          </cell>
          <cell r="F256">
            <v>1994</v>
          </cell>
          <cell r="G256">
            <v>1995</v>
          </cell>
          <cell r="H256">
            <v>1996</v>
          </cell>
          <cell r="I256">
            <v>1997</v>
          </cell>
          <cell r="J256">
            <v>1998</v>
          </cell>
          <cell r="K256">
            <v>1999</v>
          </cell>
          <cell r="L256">
            <v>2000</v>
          </cell>
          <cell r="M256">
            <v>2001</v>
          </cell>
          <cell r="N256">
            <v>2002</v>
          </cell>
          <cell r="O256">
            <v>2003</v>
          </cell>
          <cell r="P256">
            <v>2004</v>
          </cell>
          <cell r="Q256" t="str">
            <v>2004pf</v>
          </cell>
          <cell r="R256">
            <v>2005</v>
          </cell>
          <cell r="S256">
            <v>2006</v>
          </cell>
          <cell r="T256">
            <v>2007</v>
          </cell>
        </row>
        <row r="257">
          <cell r="A257"/>
          <cell r="B257"/>
          <cell r="C257"/>
          <cell r="D257"/>
          <cell r="E257"/>
          <cell r="F257"/>
          <cell r="G257"/>
          <cell r="H257"/>
          <cell r="I257"/>
          <cell r="J257"/>
          <cell r="K257"/>
          <cell r="L257"/>
          <cell r="M257"/>
          <cell r="N257"/>
          <cell r="O257"/>
          <cell r="P257"/>
          <cell r="Q257"/>
          <cell r="R257"/>
          <cell r="S257"/>
          <cell r="T257"/>
        </row>
        <row r="258">
          <cell r="A258" t="str">
            <v>DACF margin</v>
          </cell>
          <cell r="B258"/>
          <cell r="C258"/>
          <cell r="D258"/>
          <cell r="E258"/>
          <cell r="F258"/>
          <cell r="G258"/>
          <cell r="H258"/>
          <cell r="I258"/>
          <cell r="J258"/>
          <cell r="K258"/>
          <cell r="L258"/>
          <cell r="M258"/>
          <cell r="N258"/>
          <cell r="O258"/>
          <cell r="P258"/>
          <cell r="Q258"/>
          <cell r="R258">
            <v>0.12780205943502104</v>
          </cell>
          <cell r="S258">
            <v>0.11334303651811921</v>
          </cell>
          <cell r="T258">
            <v>5.6323397722911603E-2</v>
          </cell>
        </row>
        <row r="259">
          <cell r="A259" t="str">
            <v xml:space="preserve">Sales / GCI </v>
          </cell>
          <cell r="B259"/>
          <cell r="C259"/>
          <cell r="D259"/>
          <cell r="E259"/>
          <cell r="F259"/>
          <cell r="G259"/>
          <cell r="H259"/>
          <cell r="I259"/>
          <cell r="J259"/>
          <cell r="K259"/>
          <cell r="L259"/>
          <cell r="M259"/>
          <cell r="N259"/>
          <cell r="O259"/>
          <cell r="P259"/>
          <cell r="Q259"/>
          <cell r="R259">
            <v>1.1577626389386877</v>
          </cell>
          <cell r="S259">
            <v>1.2656855151045701</v>
          </cell>
          <cell r="T259">
            <v>1.2523229734059595</v>
          </cell>
        </row>
        <row r="260">
          <cell r="A260" t="str">
            <v>Goldman defined CROCI</v>
          </cell>
          <cell r="B260"/>
          <cell r="C260"/>
          <cell r="D260"/>
          <cell r="E260"/>
          <cell r="F260"/>
          <cell r="G260"/>
          <cell r="H260"/>
          <cell r="I260"/>
          <cell r="J260"/>
          <cell r="K260"/>
          <cell r="L260"/>
          <cell r="M260"/>
          <cell r="N260"/>
          <cell r="O260"/>
          <cell r="P260"/>
          <cell r="Q260"/>
          <cell r="R260">
            <v>0.14796444959328897</v>
          </cell>
          <cell r="S260">
            <v>0.1434566395589518</v>
          </cell>
          <cell r="T260">
            <v>7.0535084908683113E-2</v>
          </cell>
        </row>
        <row r="261">
          <cell r="A261" t="str">
            <v>checking</v>
          </cell>
          <cell r="B261"/>
          <cell r="C261"/>
          <cell r="D261"/>
          <cell r="E261"/>
          <cell r="F261"/>
          <cell r="G261"/>
          <cell r="H261"/>
          <cell r="I261"/>
          <cell r="J261"/>
          <cell r="K261"/>
          <cell r="L261"/>
          <cell r="M261"/>
          <cell r="N261"/>
          <cell r="O261"/>
          <cell r="P261"/>
          <cell r="Q261"/>
          <cell r="R261">
            <v>0</v>
          </cell>
          <cell r="S261">
            <v>0</v>
          </cell>
          <cell r="T261">
            <v>0</v>
          </cell>
        </row>
        <row r="262">
          <cell r="A262"/>
          <cell r="B262"/>
          <cell r="C262"/>
          <cell r="D262"/>
          <cell r="E262"/>
          <cell r="F262"/>
          <cell r="G262"/>
          <cell r="H262"/>
          <cell r="I262"/>
          <cell r="J262"/>
          <cell r="K262"/>
          <cell r="L262"/>
          <cell r="M262"/>
          <cell r="N262"/>
          <cell r="O262"/>
          <cell r="P262"/>
          <cell r="Q262"/>
          <cell r="R262"/>
          <cell r="S262"/>
          <cell r="T262"/>
        </row>
        <row r="263">
          <cell r="A263" t="str">
            <v>Economic EBITA margin</v>
          </cell>
          <cell r="B263">
            <v>5.6103542234332428E-2</v>
          </cell>
          <cell r="C263">
            <v>2.5263157894736842E-2</v>
          </cell>
          <cell r="D263">
            <v>-4.23349241998877E-2</v>
          </cell>
          <cell r="E263">
            <v>2.7256964184195567E-2</v>
          </cell>
          <cell r="F263">
            <v>3.4005690799873541E-2</v>
          </cell>
          <cell r="G263">
            <v>4.5445093133166532E-2</v>
          </cell>
          <cell r="H263">
            <v>3.111675600093218E-2</v>
          </cell>
          <cell r="I263">
            <v>6.6835326586936528E-2</v>
          </cell>
          <cell r="J263">
            <v>7.306227758007118E-2</v>
          </cell>
          <cell r="K263">
            <v>8.705222270176953E-2</v>
          </cell>
          <cell r="L263">
            <v>6.0944747612551156E-2</v>
          </cell>
          <cell r="M263">
            <v>4.7274020227560047E-2</v>
          </cell>
          <cell r="N263">
            <v>3.9481686247408436E-2</v>
          </cell>
          <cell r="O263">
            <v>5.2981399468556241E-2</v>
          </cell>
          <cell r="P263">
            <v>7.2121511870685301E-2</v>
          </cell>
          <cell r="Q263">
            <v>7.001844248234107E-2</v>
          </cell>
          <cell r="R263">
            <v>9.2817231836481884E-2</v>
          </cell>
          <cell r="S263">
            <v>9.277253186454508E-2</v>
          </cell>
          <cell r="T263">
            <v>9.9461765357554049E-2</v>
          </cell>
        </row>
        <row r="264">
          <cell r="A264" t="str">
            <v>Asset turn</v>
          </cell>
          <cell r="B264">
            <v>2.348048624440179</v>
          </cell>
          <cell r="C264">
            <v>2.1432926829268291</v>
          </cell>
          <cell r="D264">
            <v>2.7763055339049103</v>
          </cell>
          <cell r="E264">
            <v>1.9287280701754386</v>
          </cell>
          <cell r="F264">
            <v>2.0864116094986809</v>
          </cell>
          <cell r="G264">
            <v>1.6645071726052754</v>
          </cell>
          <cell r="H264">
            <v>2.1660777385159009</v>
          </cell>
          <cell r="I264">
            <v>2.0764087870105064</v>
          </cell>
          <cell r="J264">
            <v>1.8640132669983416</v>
          </cell>
          <cell r="K264">
            <v>1.4431641233260666</v>
          </cell>
          <cell r="L264">
            <v>1.5074550128534705</v>
          </cell>
          <cell r="M264">
            <v>1.6885923949299533</v>
          </cell>
          <cell r="N264">
            <v>1.3433909713357317</v>
          </cell>
          <cell r="O264">
            <v>1.3577871316897174</v>
          </cell>
          <cell r="P264">
            <v>1.5370082815734989</v>
          </cell>
          <cell r="Q264">
            <v>1.9387023149657645</v>
          </cell>
          <cell r="R264">
            <v>1.8927315357561547</v>
          </cell>
          <cell r="S264">
            <v>1.7733027854817316</v>
          </cell>
          <cell r="T264">
            <v>1.488952380952381</v>
          </cell>
        </row>
        <row r="265">
          <cell r="A265" t="str">
            <v>Goldman defined ROIC (pre-tax)</v>
          </cell>
          <cell r="B265">
            <v>0.13173384516954575</v>
          </cell>
          <cell r="C265">
            <v>5.4146341463414634E-2</v>
          </cell>
          <cell r="D265">
            <v>-0.11753468433359314</v>
          </cell>
          <cell r="E265">
            <v>5.257127192982456E-2</v>
          </cell>
          <cell r="F265">
            <v>7.0949868073878625E-2</v>
          </cell>
          <cell r="G265">
            <v>7.5643683479870438E-2</v>
          </cell>
          <cell r="H265">
            <v>6.740131246845027E-2</v>
          </cell>
          <cell r="I265">
            <v>0.1387774594078319</v>
          </cell>
          <cell r="J265">
            <v>0.13618905472636816</v>
          </cell>
          <cell r="K265">
            <v>0.12563064465898474</v>
          </cell>
          <cell r="L265">
            <v>9.1871465295629826E-2</v>
          </cell>
          <cell r="M265">
            <v>7.9826551034022669E-2</v>
          </cell>
          <cell r="N265">
            <v>5.3039340837878611E-2</v>
          </cell>
          <cell r="O265">
            <v>7.193746241731809E-2</v>
          </cell>
          <cell r="P265">
            <v>0.11085136102484472</v>
          </cell>
          <cell r="Q265">
            <v>0.13574491653081186</v>
          </cell>
          <cell r="R265">
            <v>0.17567810175849943</v>
          </cell>
          <cell r="S265">
            <v>0.16451378917159049</v>
          </cell>
          <cell r="T265">
            <v>0.14809383234285714</v>
          </cell>
        </row>
        <row r="266">
          <cell r="A266" t="str">
            <v>Pre-tax cost of capital declared by company</v>
          </cell>
          <cell r="B266"/>
          <cell r="C266"/>
          <cell r="D266"/>
          <cell r="E266"/>
          <cell r="F266"/>
          <cell r="G266"/>
          <cell r="H266"/>
          <cell r="I266"/>
          <cell r="J266"/>
          <cell r="K266"/>
          <cell r="L266"/>
          <cell r="M266"/>
          <cell r="N266"/>
          <cell r="O266"/>
          <cell r="P266"/>
          <cell r="Q266"/>
          <cell r="R266"/>
          <cell r="S266"/>
          <cell r="T266">
            <v>0.1275</v>
          </cell>
        </row>
        <row r="267">
          <cell r="A267"/>
          <cell r="B267"/>
          <cell r="C267"/>
          <cell r="D267"/>
          <cell r="E267"/>
          <cell r="F267"/>
          <cell r="G267"/>
          <cell r="H267"/>
          <cell r="I267"/>
          <cell r="J267"/>
          <cell r="K267"/>
          <cell r="L267"/>
          <cell r="M267"/>
          <cell r="N267"/>
          <cell r="O267"/>
          <cell r="P267"/>
          <cell r="Q267"/>
          <cell r="R267"/>
          <cell r="S267"/>
          <cell r="T267"/>
        </row>
        <row r="268">
          <cell r="A268" t="str">
            <v>NOPLAT margin</v>
          </cell>
          <cell r="B268">
            <v>4.7166694798775048E-2</v>
          </cell>
          <cell r="C268">
            <v>1.7382906808305166E-2</v>
          </cell>
          <cell r="D268">
            <v>-2.8727269992780941E-2</v>
          </cell>
          <cell r="E268">
            <v>2.0801367403728198E-2</v>
          </cell>
          <cell r="F268">
            <v>2.7271890641482738E-2</v>
          </cell>
          <cell r="G268">
            <v>3.5593359656745815E-2</v>
          </cell>
          <cell r="H268">
            <v>2.6873562000805064E-2</v>
          </cell>
          <cell r="I268">
            <v>5.4440411474450119E-2</v>
          </cell>
          <cell r="J268">
            <v>5.8958483490247307E-2</v>
          </cell>
          <cell r="K268">
            <v>7.0020266086205929E-2</v>
          </cell>
          <cell r="L268">
            <v>4.7106376021627844E-2</v>
          </cell>
          <cell r="M268">
            <v>3.1947285248519523E-2</v>
          </cell>
          <cell r="N268">
            <v>2.7714595444259253E-2</v>
          </cell>
          <cell r="O268">
            <v>3.7365829098876507E-2</v>
          </cell>
          <cell r="P268">
            <v>5.141977317773707E-2</v>
          </cell>
          <cell r="Q268">
            <v>5.0835307555672282E-2</v>
          </cell>
          <cell r="R268">
            <v>6.6208581900222316E-2</v>
          </cell>
          <cell r="S268">
            <v>6.7770005546440734E-2</v>
          </cell>
          <cell r="T268">
            <v>7.5466614465044143E-2</v>
          </cell>
        </row>
        <row r="269">
          <cell r="A269" t="str">
            <v>Asset turn</v>
          </cell>
          <cell r="B269">
            <v>2.348048624440179</v>
          </cell>
          <cell r="C269">
            <v>2.1432926829268291</v>
          </cell>
          <cell r="D269">
            <v>2.7763055339049103</v>
          </cell>
          <cell r="E269">
            <v>1.9287280701754386</v>
          </cell>
          <cell r="F269">
            <v>2.0864116094986809</v>
          </cell>
          <cell r="G269">
            <v>1.6645071726052754</v>
          </cell>
          <cell r="H269">
            <v>2.1660777385159009</v>
          </cell>
          <cell r="I269">
            <v>2.0764087870105064</v>
          </cell>
          <cell r="J269">
            <v>1.8640132669983416</v>
          </cell>
          <cell r="K269">
            <v>1.4431641233260666</v>
          </cell>
          <cell r="L269">
            <v>1.5074550128534705</v>
          </cell>
          <cell r="M269">
            <v>1.6885923949299533</v>
          </cell>
          <cell r="N269">
            <v>1.3433909713357317</v>
          </cell>
          <cell r="O269">
            <v>1.3577871316897174</v>
          </cell>
          <cell r="P269">
            <v>1.5370082815734989</v>
          </cell>
          <cell r="Q269">
            <v>1.9387023149657645</v>
          </cell>
          <cell r="R269">
            <v>1.8927315357561547</v>
          </cell>
          <cell r="S269">
            <v>1.7733027854817316</v>
          </cell>
          <cell r="T269">
            <v>1.488952380952381</v>
          </cell>
        </row>
        <row r="270">
          <cell r="A270" t="str">
            <v>Goldman defined ROIC (post-tax)</v>
          </cell>
          <cell r="B270">
            <v>0.11074969284165349</v>
          </cell>
          <cell r="C270">
            <v>3.7256656970239423E-2</v>
          </cell>
          <cell r="D270">
            <v>-7.9755678654938197E-2</v>
          </cell>
          <cell r="E270">
            <v>4.0120181209602958E-2</v>
          </cell>
          <cell r="F270">
            <v>5.6900389247368011E-2</v>
          </cell>
          <cell r="G270">
            <v>5.9245402445772644E-2</v>
          </cell>
          <cell r="H270">
            <v>5.8210224404570687E-2</v>
          </cell>
          <cell r="I270">
            <v>0.11304054875401581</v>
          </cell>
          <cell r="J270">
            <v>0.10989939542792367</v>
          </cell>
          <cell r="K270">
            <v>0.10105073592135728</v>
          </cell>
          <cell r="L270">
            <v>7.1010742671163418E-2</v>
          </cell>
          <cell r="M270">
            <v>5.3945942909307952E-2</v>
          </cell>
          <cell r="N270">
            <v>3.723153729404028E-2</v>
          </cell>
          <cell r="O270">
            <v>5.0734841915371712E-2</v>
          </cell>
          <cell r="P270">
            <v>7.9032617210812756E-2</v>
          </cell>
          <cell r="Q270">
            <v>9.8554528440178465E-2</v>
          </cell>
          <cell r="R270">
            <v>0.12531507090024493</v>
          </cell>
          <cell r="S270">
            <v>0.12017673960761575</v>
          </cell>
          <cell r="T270">
            <v>0.11236619529014286</v>
          </cell>
        </row>
        <row r="271">
          <cell r="A271" t="str">
            <v>WACC - as declared by company</v>
          </cell>
          <cell r="B271">
            <v>9.6740625000000011E-2</v>
          </cell>
          <cell r="C271">
            <v>9.6740625000000011E-2</v>
          </cell>
          <cell r="D271">
            <v>9.6740625000000011E-2</v>
          </cell>
          <cell r="E271">
            <v>9.6740625000000011E-2</v>
          </cell>
          <cell r="F271">
            <v>9.6740625000000011E-2</v>
          </cell>
          <cell r="G271">
            <v>9.6740625000000011E-2</v>
          </cell>
          <cell r="H271">
            <v>9.6740625000000011E-2</v>
          </cell>
          <cell r="I271">
            <v>9.6740625000000011E-2</v>
          </cell>
          <cell r="J271">
            <v>9.6740625000000011E-2</v>
          </cell>
          <cell r="K271">
            <v>9.6740625000000011E-2</v>
          </cell>
          <cell r="L271">
            <v>9.6740625000000011E-2</v>
          </cell>
          <cell r="M271">
            <v>9.6740625000000011E-2</v>
          </cell>
          <cell r="N271">
            <v>9.6740625000000011E-2</v>
          </cell>
          <cell r="O271">
            <v>9.6740625000000011E-2</v>
          </cell>
          <cell r="P271">
            <v>9.6740625000000011E-2</v>
          </cell>
          <cell r="Q271">
            <v>9.6740625000000011E-2</v>
          </cell>
          <cell r="R271">
            <v>9.6740625000000011E-2</v>
          </cell>
          <cell r="S271">
            <v>9.6740625000000011E-2</v>
          </cell>
          <cell r="T271">
            <v>9.6740625000000011E-2</v>
          </cell>
        </row>
        <row r="272">
          <cell r="A272" t="str">
            <v>ROIC / WACC - using company declared WACC</v>
          </cell>
          <cell r="B272">
            <v>1.1448105988735702</v>
          </cell>
          <cell r="C272">
            <v>0.3851190435273642</v>
          </cell>
          <cell r="D272">
            <v>-0.82442798622541658</v>
          </cell>
          <cell r="E272">
            <v>0.41471906150702409</v>
          </cell>
          <cell r="F272">
            <v>0.58817471199269189</v>
          </cell>
          <cell r="G272">
            <v>0.61241492336619319</v>
          </cell>
          <cell r="H272">
            <v>0.60171437185330034</v>
          </cell>
          <cell r="I272">
            <v>1.1684909907705867</v>
          </cell>
          <cell r="J272">
            <v>1.1360211434226692</v>
          </cell>
          <cell r="K272">
            <v>1.0445532672686089</v>
          </cell>
          <cell r="L272">
            <v>0.73403229171987894</v>
          </cell>
          <cell r="M272">
            <v>0.55763483964785165</v>
          </cell>
          <cell r="N272">
            <v>0.38485938347039084</v>
          </cell>
          <cell r="O272">
            <v>0.5244419489265415</v>
          </cell>
          <cell r="P272">
            <v>0.81695375868010722</v>
          </cell>
          <cell r="Q272">
            <v>1.0187501728480508</v>
          </cell>
          <cell r="R272">
            <v>1.2953717313718505</v>
          </cell>
          <cell r="S272">
            <v>1.2422572172509299</v>
          </cell>
          <cell r="T272">
            <v>1.1615202536694675</v>
          </cell>
        </row>
        <row r="273">
          <cell r="A273"/>
          <cell r="B273"/>
          <cell r="C273"/>
          <cell r="D273"/>
          <cell r="E273"/>
          <cell r="F273"/>
          <cell r="G273"/>
          <cell r="H273"/>
          <cell r="I273"/>
          <cell r="J273"/>
          <cell r="K273"/>
          <cell r="L273"/>
          <cell r="M273"/>
          <cell r="N273"/>
          <cell r="O273"/>
          <cell r="P273"/>
          <cell r="Q273"/>
          <cell r="R273"/>
          <cell r="S273"/>
          <cell r="T273"/>
        </row>
        <row r="274">
          <cell r="A274" t="str">
            <v>WACC - standardised at 9.5%</v>
          </cell>
          <cell r="B274">
            <v>9.5000000000000001E-2</v>
          </cell>
          <cell r="C274">
            <v>9.5000000000000001E-2</v>
          </cell>
          <cell r="D274">
            <v>9.5000000000000001E-2</v>
          </cell>
          <cell r="E274">
            <v>9.5000000000000001E-2</v>
          </cell>
          <cell r="F274">
            <v>9.5000000000000001E-2</v>
          </cell>
          <cell r="G274">
            <v>9.5000000000000001E-2</v>
          </cell>
          <cell r="H274">
            <v>9.5000000000000001E-2</v>
          </cell>
          <cell r="I274">
            <v>9.5000000000000001E-2</v>
          </cell>
          <cell r="J274">
            <v>9.5000000000000001E-2</v>
          </cell>
          <cell r="K274">
            <v>9.5000000000000001E-2</v>
          </cell>
          <cell r="L274">
            <v>9.5000000000000001E-2</v>
          </cell>
          <cell r="M274">
            <v>9.5000000000000001E-2</v>
          </cell>
          <cell r="N274">
            <v>9.5000000000000001E-2</v>
          </cell>
          <cell r="O274">
            <v>9.5000000000000001E-2</v>
          </cell>
          <cell r="P274">
            <v>9.5000000000000001E-2</v>
          </cell>
          <cell r="Q274">
            <v>9.5000000000000001E-2</v>
          </cell>
          <cell r="R274">
            <v>9.5000000000000001E-2</v>
          </cell>
          <cell r="S274">
            <v>9.5000000000000001E-2</v>
          </cell>
          <cell r="T274">
            <v>9.5000000000000001E-2</v>
          </cell>
        </row>
        <row r="275">
          <cell r="A275" t="str">
            <v>ROIC / WACC - using standardised WACC of 9.5%</v>
          </cell>
          <cell r="B275">
            <v>1.1657862404384578</v>
          </cell>
          <cell r="C275">
            <v>0.39217533652883602</v>
          </cell>
          <cell r="D275">
            <v>-0.83953345952566527</v>
          </cell>
          <cell r="E275">
            <v>0.42231769694318905</v>
          </cell>
          <cell r="F275">
            <v>0.5989514657617685</v>
          </cell>
          <cell r="G275">
            <v>0.62363581521865941</v>
          </cell>
          <cell r="H275">
            <v>0.61273920425863881</v>
          </cell>
          <cell r="I275">
            <v>1.1899005132001665</v>
          </cell>
          <cell r="J275">
            <v>1.1568357413465649</v>
          </cell>
          <cell r="K275">
            <v>1.0636919570669188</v>
          </cell>
          <cell r="L275">
            <v>0.74748150180172024</v>
          </cell>
          <cell r="M275">
            <v>0.56785203062429424</v>
          </cell>
          <cell r="N275">
            <v>0.39191091888463453</v>
          </cell>
          <cell r="O275">
            <v>0.53405096753022852</v>
          </cell>
          <cell r="P275">
            <v>0.83192228642960797</v>
          </cell>
          <cell r="Q275">
            <v>1.0374160888439838</v>
          </cell>
          <cell r="R275">
            <v>1.3191060094762626</v>
          </cell>
          <cell r="S275">
            <v>1.2650183116591132</v>
          </cell>
          <cell r="T275">
            <v>1.1828020556857142</v>
          </cell>
        </row>
        <row r="276">
          <cell r="A276"/>
          <cell r="B276"/>
          <cell r="C276"/>
          <cell r="D276"/>
          <cell r="E276"/>
          <cell r="F276"/>
          <cell r="G276"/>
          <cell r="H276"/>
          <cell r="I276"/>
          <cell r="J276"/>
          <cell r="K276"/>
          <cell r="L276"/>
          <cell r="M276"/>
          <cell r="N276"/>
          <cell r="O276"/>
          <cell r="P276"/>
          <cell r="Q276"/>
          <cell r="R276"/>
          <cell r="S276"/>
          <cell r="T276"/>
        </row>
        <row r="277">
          <cell r="A277" t="str">
            <v>Enterprise Value, where EV/IC = ROIC/WACC (using co. def. WACC)</v>
          </cell>
          <cell r="B277">
            <v>1789.3389660393902</v>
          </cell>
          <cell r="C277">
            <v>631.59523138487725</v>
          </cell>
          <cell r="D277">
            <v>-1057.7411063272095</v>
          </cell>
          <cell r="E277">
            <v>756.44756818881194</v>
          </cell>
          <cell r="F277">
            <v>891.67286338092094</v>
          </cell>
          <cell r="G277">
            <v>1323.4286493943434</v>
          </cell>
          <cell r="H277">
            <v>1191.9961706413881</v>
          </cell>
          <cell r="I277">
            <v>2446.8201346736087</v>
          </cell>
          <cell r="J277">
            <v>2740.082997935478</v>
          </cell>
          <cell r="K277">
            <v>3354.0605411995029</v>
          </cell>
          <cell r="L277">
            <v>2855.3856147903289</v>
          </cell>
          <cell r="M277">
            <v>2089.7365615803242</v>
          </cell>
          <cell r="N277">
            <v>1658.166653682179</v>
          </cell>
          <cell r="O277">
            <v>2180.3674026620961</v>
          </cell>
          <cell r="P277">
            <v>3156.7093235399343</v>
          </cell>
          <cell r="Q277">
            <v>3124.506780124972</v>
          </cell>
          <cell r="R277">
            <v>4419.808347440754</v>
          </cell>
          <cell r="S277">
            <v>5151.0195513309809</v>
          </cell>
          <cell r="T277">
            <v>6097.9813317647049</v>
          </cell>
        </row>
        <row r="278">
          <cell r="A278" t="str">
            <v>Enterprise Value, where EV/IC = ROIC/WACC (using 9.5% WACC)</v>
          </cell>
          <cell r="B278">
            <v>1822.1238938053095</v>
          </cell>
          <cell r="C278">
            <v>643.16755190729111</v>
          </cell>
          <cell r="D278">
            <v>-1077.1214285714286</v>
          </cell>
          <cell r="E278">
            <v>770.30747922437683</v>
          </cell>
          <cell r="F278">
            <v>908.01042209484103</v>
          </cell>
          <cell r="G278">
            <v>1347.6769966875229</v>
          </cell>
          <cell r="H278">
            <v>1213.8363636363636</v>
          </cell>
          <cell r="I278">
            <v>2491.6516746411489</v>
          </cell>
          <cell r="J278">
            <v>2790.2878081279146</v>
          </cell>
          <cell r="K278">
            <v>3415.5148741418761</v>
          </cell>
          <cell r="L278">
            <v>2907.7030420086917</v>
          </cell>
          <cell r="M278">
            <v>2128.0254847645429</v>
          </cell>
          <cell r="N278">
            <v>1688.548194014448</v>
          </cell>
          <cell r="O278">
            <v>2220.3168975069252</v>
          </cell>
          <cell r="P278">
            <v>3214.5477147640054</v>
          </cell>
          <cell r="Q278">
            <v>3181.7551444844985</v>
          </cell>
          <cell r="R278">
            <v>4500.7897043330076</v>
          </cell>
          <cell r="S278">
            <v>5245.3984292945124</v>
          </cell>
          <cell r="T278">
            <v>6209.7107923499998</v>
          </cell>
        </row>
        <row r="279">
          <cell r="A279"/>
          <cell r="B279"/>
          <cell r="C279"/>
          <cell r="D279"/>
          <cell r="E279"/>
          <cell r="F279"/>
          <cell r="G279"/>
          <cell r="H279"/>
          <cell r="I279"/>
          <cell r="J279"/>
          <cell r="K279"/>
          <cell r="L279"/>
          <cell r="M279"/>
          <cell r="N279"/>
          <cell r="O279"/>
          <cell r="P279"/>
          <cell r="Q279"/>
          <cell r="R279"/>
          <cell r="S279"/>
          <cell r="T279"/>
        </row>
        <row r="280">
          <cell r="A280" t="str">
            <v>Less: Market value of minorities - average</v>
          </cell>
          <cell r="B280">
            <v>-59.268546678121417</v>
          </cell>
          <cell r="C280">
            <v>-35.052553475935824</v>
          </cell>
          <cell r="D280">
            <v>-22.565072302558399</v>
          </cell>
          <cell r="E280">
            <v>-12.091428571428571</v>
          </cell>
          <cell r="F280">
            <v>-22.986135265700483</v>
          </cell>
          <cell r="G280">
            <v>-25.195315985130112</v>
          </cell>
          <cell r="H280">
            <v>-56.66578664620107</v>
          </cell>
          <cell r="I280">
            <v>-46.272052252252259</v>
          </cell>
          <cell r="J280">
            <v>-25.353909677419356</v>
          </cell>
          <cell r="K280">
            <v>-18.415925553319919</v>
          </cell>
          <cell r="L280">
            <v>-1.5859428017450317</v>
          </cell>
          <cell r="M280">
            <v>-3.0447637330754351</v>
          </cell>
          <cell r="N280">
            <v>-2.3691251105651103</v>
          </cell>
          <cell r="O280">
            <v>-2.983532803738318</v>
          </cell>
          <cell r="P280">
            <v>-6.5871107251411214</v>
          </cell>
          <cell r="Q280"/>
          <cell r="R280">
            <v>-21.120280186791195</v>
          </cell>
          <cell r="S280">
            <v>-19.139598307579103</v>
          </cell>
          <cell r="T280">
            <v>-30.869007633587785</v>
          </cell>
        </row>
        <row r="281">
          <cell r="A281" t="str">
            <v>Less: Average Net Debt/(Cash)</v>
          </cell>
          <cell r="B281">
            <v>170</v>
          </cell>
          <cell r="C281">
            <v>-19</v>
          </cell>
          <cell r="D281">
            <v>49</v>
          </cell>
          <cell r="E281">
            <v>-159</v>
          </cell>
          <cell r="F281">
            <v>118</v>
          </cell>
          <cell r="G281">
            <v>-96</v>
          </cell>
          <cell r="H281">
            <v>50</v>
          </cell>
          <cell r="I281">
            <v>65</v>
          </cell>
          <cell r="J281">
            <v>-180</v>
          </cell>
          <cell r="K281">
            <v>-573</v>
          </cell>
          <cell r="L281">
            <v>-1323</v>
          </cell>
          <cell r="M281">
            <v>-990</v>
          </cell>
          <cell r="N281">
            <v>-1090</v>
          </cell>
          <cell r="O281">
            <v>-950</v>
          </cell>
          <cell r="P281">
            <v>-560</v>
          </cell>
          <cell r="Q281"/>
          <cell r="R281">
            <v>-260</v>
          </cell>
          <cell r="S281">
            <v>150</v>
          </cell>
          <cell r="T281">
            <v>350</v>
          </cell>
        </row>
        <row r="282">
          <cell r="A282" t="str">
            <v>Less: Customer advances</v>
          </cell>
          <cell r="B282">
            <v>-249</v>
          </cell>
          <cell r="C282">
            <v>-278</v>
          </cell>
          <cell r="D282">
            <v>-233</v>
          </cell>
          <cell r="E282">
            <v>-255</v>
          </cell>
          <cell r="F282">
            <v>-207</v>
          </cell>
          <cell r="G282">
            <v>-213</v>
          </cell>
          <cell r="H282">
            <v>-199</v>
          </cell>
          <cell r="I282">
            <v>-280</v>
          </cell>
          <cell r="J282">
            <v>-223</v>
          </cell>
          <cell r="K282">
            <v>-388</v>
          </cell>
          <cell r="L282">
            <v>-323</v>
          </cell>
          <cell r="M282">
            <v>-343</v>
          </cell>
          <cell r="N282">
            <v>-438</v>
          </cell>
          <cell r="O282">
            <v>-452</v>
          </cell>
          <cell r="P282">
            <v>-395</v>
          </cell>
          <cell r="Q282"/>
          <cell r="R282">
            <v>-576</v>
          </cell>
          <cell r="S282">
            <v>-828</v>
          </cell>
          <cell r="T282">
            <v>-1558</v>
          </cell>
        </row>
        <row r="283">
          <cell r="A283" t="str">
            <v>Less: Net pension deficit (inc post-retirement benefits) - 50% of IFRS value</v>
          </cell>
          <cell r="B283">
            <v>0</v>
          </cell>
          <cell r="C283">
            <v>0</v>
          </cell>
          <cell r="D283">
            <v>0</v>
          </cell>
          <cell r="E283">
            <v>0</v>
          </cell>
          <cell r="F283">
            <v>0</v>
          </cell>
          <cell r="G283">
            <v>-1</v>
          </cell>
          <cell r="H283">
            <v>0</v>
          </cell>
          <cell r="I283">
            <v>-5</v>
          </cell>
          <cell r="J283">
            <v>-5</v>
          </cell>
          <cell r="K283">
            <v>-3</v>
          </cell>
          <cell r="L283">
            <v>0</v>
          </cell>
          <cell r="M283">
            <v>-198.5</v>
          </cell>
          <cell r="N283">
            <v>-637.5</v>
          </cell>
          <cell r="O283">
            <v>-505.5</v>
          </cell>
          <cell r="P283">
            <v>-488</v>
          </cell>
          <cell r="Q283"/>
          <cell r="R283">
            <v>-577</v>
          </cell>
          <cell r="S283">
            <v>-340.5</v>
          </cell>
          <cell r="T283">
            <v>-149</v>
          </cell>
        </row>
        <row r="284">
          <cell r="A284" t="str">
            <v>Less: Financial RRSP liability (only disclosed under IFRS)</v>
          </cell>
          <cell r="B284">
            <v>0</v>
          </cell>
          <cell r="C284">
            <v>0</v>
          </cell>
          <cell r="D284">
            <v>0</v>
          </cell>
          <cell r="E284">
            <v>0</v>
          </cell>
          <cell r="F284">
            <v>0</v>
          </cell>
          <cell r="G284">
            <v>0</v>
          </cell>
          <cell r="H284">
            <v>0</v>
          </cell>
          <cell r="I284">
            <v>0</v>
          </cell>
          <cell r="J284">
            <v>0</v>
          </cell>
          <cell r="K284">
            <v>0</v>
          </cell>
          <cell r="L284">
            <v>0</v>
          </cell>
          <cell r="M284">
            <v>0</v>
          </cell>
          <cell r="N284">
            <v>0</v>
          </cell>
          <cell r="O284">
            <v>0</v>
          </cell>
          <cell r="P284">
            <v>0</v>
          </cell>
          <cell r="Q284"/>
          <cell r="R284">
            <v>-423</v>
          </cell>
          <cell r="S284">
            <v>-324</v>
          </cell>
          <cell r="T284">
            <v>-315</v>
          </cell>
        </row>
        <row r="285">
          <cell r="A285" t="str">
            <v>add back: Investments @ estimated market value (average for year)</v>
          </cell>
          <cell r="B285">
            <v>56.149149484536082</v>
          </cell>
          <cell r="C285">
            <v>63.613893345216866</v>
          </cell>
          <cell r="D285">
            <v>93.268965517241384</v>
          </cell>
          <cell r="E285">
            <v>82.221714285714285</v>
          </cell>
          <cell r="F285">
            <v>125.53966183574879</v>
          </cell>
          <cell r="G285">
            <v>129.33595539033456</v>
          </cell>
          <cell r="H285">
            <v>218.93599386032233</v>
          </cell>
          <cell r="I285">
            <v>248.40785945945947</v>
          </cell>
          <cell r="J285">
            <v>314.81104516129034</v>
          </cell>
          <cell r="K285">
            <v>257.82295774647889</v>
          </cell>
          <cell r="L285">
            <v>328.29015996122155</v>
          </cell>
          <cell r="M285">
            <v>356.23735676982591</v>
          </cell>
          <cell r="N285">
            <v>315.09363970515966</v>
          </cell>
          <cell r="O285">
            <v>263.5453976635514</v>
          </cell>
          <cell r="P285">
            <v>421.57508640903177</v>
          </cell>
          <cell r="Q285"/>
          <cell r="R285">
            <v>1052.4939626417613</v>
          </cell>
          <cell r="S285">
            <v>795.66044392935987</v>
          </cell>
          <cell r="T285">
            <v>877.19430025445286</v>
          </cell>
        </row>
        <row r="286">
          <cell r="A286" t="str">
            <v>Implied equity value (using company declared WACC)</v>
          </cell>
          <cell r="B286">
            <v>1707.219568845805</v>
          </cell>
          <cell r="C286">
            <v>363.15657125415828</v>
          </cell>
          <cell r="D286">
            <v>-1171.0372131125264</v>
          </cell>
          <cell r="E286">
            <v>412.57785390309766</v>
          </cell>
          <cell r="F286">
            <v>905.22638995096929</v>
          </cell>
          <cell r="G286">
            <v>1117.5692887995478</v>
          </cell>
          <cell r="H286">
            <v>1205.2663778555093</v>
          </cell>
          <cell r="I286">
            <v>2428.9559418808158</v>
          </cell>
          <cell r="J286">
            <v>2621.5401334193489</v>
          </cell>
          <cell r="K286">
            <v>2629.467573392662</v>
          </cell>
          <cell r="L286">
            <v>1536.0898319498051</v>
          </cell>
          <cell r="M286">
            <v>911.4291546170748</v>
          </cell>
          <cell r="N286">
            <v>-194.6088317232265</v>
          </cell>
          <cell r="O286">
            <v>533.42926752190908</v>
          </cell>
          <cell r="P286">
            <v>2128.6972992238252</v>
          </cell>
          <cell r="Q286"/>
          <cell r="R286">
            <v>3615.1820298957241</v>
          </cell>
          <cell r="S286">
            <v>4585.0403969527615</v>
          </cell>
          <cell r="T286">
            <v>5272.3066243855701</v>
          </cell>
        </row>
        <row r="287">
          <cell r="A287" t="str">
            <v>Implied equity value (using 9.5% WACC)</v>
          </cell>
          <cell r="B287">
            <v>1740.0044966117243</v>
          </cell>
          <cell r="C287">
            <v>374.72889177657214</v>
          </cell>
          <cell r="D287">
            <v>-1190.4175353567455</v>
          </cell>
          <cell r="E287">
            <v>426.43776493866255</v>
          </cell>
          <cell r="F287">
            <v>921.56394866488938</v>
          </cell>
          <cell r="G287">
            <v>1141.8176360927273</v>
          </cell>
          <cell r="H287">
            <v>1227.1065708504848</v>
          </cell>
          <cell r="I287">
            <v>2473.787481848356</v>
          </cell>
          <cell r="J287">
            <v>2671.7449436117854</v>
          </cell>
          <cell r="K287">
            <v>2690.9219063350351</v>
          </cell>
          <cell r="L287">
            <v>1588.4072591681679</v>
          </cell>
          <cell r="M287">
            <v>949.71807780129348</v>
          </cell>
          <cell r="N287">
            <v>-164.22729139095753</v>
          </cell>
          <cell r="O287">
            <v>573.37876236673821</v>
          </cell>
          <cell r="P287">
            <v>2186.5356904478963</v>
          </cell>
          <cell r="Q287">
            <v>3181.7551444844985</v>
          </cell>
          <cell r="R287">
            <v>3696.1633867879777</v>
          </cell>
          <cell r="S287">
            <v>4679.419274916293</v>
          </cell>
          <cell r="T287">
            <v>5384.036084970865</v>
          </cell>
        </row>
        <row r="288">
          <cell r="A288"/>
          <cell r="B288"/>
          <cell r="C288"/>
          <cell r="D288"/>
          <cell r="E288"/>
          <cell r="F288"/>
          <cell r="G288"/>
          <cell r="H288"/>
          <cell r="I288"/>
          <cell r="J288"/>
          <cell r="K288"/>
          <cell r="L288"/>
          <cell r="M288"/>
          <cell r="N288"/>
          <cell r="O288"/>
          <cell r="P288"/>
          <cell r="Q288"/>
          <cell r="R288"/>
          <cell r="S288"/>
          <cell r="T288"/>
        </row>
        <row r="289">
          <cell r="A289" t="str">
            <v>Average no. of shares</v>
          </cell>
          <cell r="B289">
            <v>961</v>
          </cell>
          <cell r="C289">
            <v>962</v>
          </cell>
          <cell r="D289">
            <v>966</v>
          </cell>
          <cell r="E289">
            <v>1058</v>
          </cell>
          <cell r="F289">
            <v>1224</v>
          </cell>
          <cell r="G289">
            <v>1386</v>
          </cell>
          <cell r="H289">
            <v>1472</v>
          </cell>
          <cell r="I289">
            <v>1478</v>
          </cell>
          <cell r="J289">
            <v>1496</v>
          </cell>
          <cell r="K289">
            <v>1506</v>
          </cell>
          <cell r="L289">
            <v>1558</v>
          </cell>
          <cell r="M289">
            <v>1589</v>
          </cell>
          <cell r="N289">
            <v>1612</v>
          </cell>
          <cell r="O289">
            <v>1647</v>
          </cell>
          <cell r="P289">
            <v>1690</v>
          </cell>
          <cell r="Q289"/>
          <cell r="R289">
            <v>1740</v>
          </cell>
          <cell r="S289">
            <v>1741</v>
          </cell>
          <cell r="T289">
            <v>1800</v>
          </cell>
        </row>
        <row r="290">
          <cell r="A290" t="str">
            <v>Implied value per share (p) (using co. def WACC)</v>
          </cell>
          <cell r="B290">
            <v>177.65031933879345</v>
          </cell>
          <cell r="C290">
            <v>37.75016333203309</v>
          </cell>
          <cell r="D290">
            <v>-121.22538438017871</v>
          </cell>
          <cell r="E290">
            <v>38.996016436965753</v>
          </cell>
          <cell r="F290">
            <v>73.956404407758924</v>
          </cell>
          <cell r="G290">
            <v>80.632704819592192</v>
          </cell>
          <cell r="H290">
            <v>81.879509365184049</v>
          </cell>
          <cell r="I290">
            <v>164.34072678489957</v>
          </cell>
          <cell r="J290">
            <v>175.23663993444845</v>
          </cell>
          <cell r="K290">
            <v>174.5994404643202</v>
          </cell>
          <cell r="L290">
            <v>98.593699098190314</v>
          </cell>
          <cell r="M290">
            <v>57.358662971496209</v>
          </cell>
          <cell r="N290">
            <v>-12.072508171416036</v>
          </cell>
          <cell r="O290">
            <v>32.387933668604077</v>
          </cell>
          <cell r="P290">
            <v>125.95842007241569</v>
          </cell>
          <cell r="Q290"/>
          <cell r="R290">
            <v>207.76908217791518</v>
          </cell>
          <cell r="S290">
            <v>263.35671435685015</v>
          </cell>
          <cell r="T290">
            <v>292.90592357697614</v>
          </cell>
        </row>
        <row r="291">
          <cell r="A291" t="str">
            <v>Implied value per share (p) (using 9.5% WACC)</v>
          </cell>
          <cell r="B291">
            <v>181.06186229050201</v>
          </cell>
          <cell r="C291">
            <v>38.953107253281928</v>
          </cell>
          <cell r="D291">
            <v>-123.23162891891775</v>
          </cell>
          <cell r="E291">
            <v>40.306026931820661</v>
          </cell>
          <cell r="F291">
            <v>75.29117227654325</v>
          </cell>
          <cell r="G291">
            <v>82.382224826315095</v>
          </cell>
          <cell r="H291">
            <v>83.363218128429679</v>
          </cell>
          <cell r="I291">
            <v>167.37398388689823</v>
          </cell>
          <cell r="J291">
            <v>178.59257644463807</v>
          </cell>
          <cell r="K291">
            <v>178.68007346182173</v>
          </cell>
          <cell r="L291">
            <v>101.95168544083235</v>
          </cell>
          <cell r="M291">
            <v>59.768286834568499</v>
          </cell>
          <cell r="N291">
            <v>-10.187797232689674</v>
          </cell>
          <cell r="O291">
            <v>34.813525341028431</v>
          </cell>
          <cell r="P291">
            <v>129.38081008567434</v>
          </cell>
          <cell r="Q291"/>
          <cell r="R291">
            <v>212.42318314873435</v>
          </cell>
          <cell r="S291">
            <v>268.77767230995369</v>
          </cell>
          <cell r="T291">
            <v>299.11311583171471</v>
          </cell>
        </row>
        <row r="292">
          <cell r="A292"/>
          <cell r="B292"/>
          <cell r="C292"/>
          <cell r="D292"/>
          <cell r="E292"/>
          <cell r="F292"/>
          <cell r="G292"/>
          <cell r="H292"/>
          <cell r="I292"/>
          <cell r="J292"/>
          <cell r="K292"/>
          <cell r="L292"/>
          <cell r="M292"/>
          <cell r="N292"/>
          <cell r="O292"/>
          <cell r="P292"/>
          <cell r="Q292"/>
          <cell r="R292"/>
          <cell r="S292"/>
          <cell r="T292"/>
        </row>
        <row r="293">
          <cell r="A293" t="str">
            <v>checking</v>
          </cell>
          <cell r="B293">
            <v>2.2737367544323206E-13</v>
          </cell>
          <cell r="C293">
            <v>-6.9388939039072284E-18</v>
          </cell>
          <cell r="D293">
            <v>2.2738755323103987E-13</v>
          </cell>
          <cell r="E293">
            <v>0</v>
          </cell>
          <cell r="F293">
            <v>1.3877787807814457E-17</v>
          </cell>
          <cell r="G293">
            <v>6.9388939039072284E-18</v>
          </cell>
          <cell r="H293">
            <v>-6.9388939039072284E-18</v>
          </cell>
          <cell r="I293">
            <v>4.163336342344337E-17</v>
          </cell>
          <cell r="J293">
            <v>0</v>
          </cell>
          <cell r="K293">
            <v>0</v>
          </cell>
          <cell r="L293">
            <v>-9.0950857956073605E-13</v>
          </cell>
          <cell r="M293">
            <v>9.0949470177292824E-13</v>
          </cell>
          <cell r="N293">
            <v>6.9388939039072284E-18</v>
          </cell>
          <cell r="O293">
            <v>1.3877787807814457E-17</v>
          </cell>
          <cell r="P293">
            <v>-1.3877787807814457E-17</v>
          </cell>
          <cell r="Q293">
            <v>1.3877787807814457E-17</v>
          </cell>
          <cell r="R293">
            <v>-2.7755575615628914E-17</v>
          </cell>
          <cell r="S293">
            <v>0</v>
          </cell>
          <cell r="T293">
            <v>1.3877787807814457E-17</v>
          </cell>
        </row>
        <row r="294">
          <cell r="A294"/>
          <cell r="B294"/>
          <cell r="C294"/>
          <cell r="D294"/>
          <cell r="E294"/>
          <cell r="F294"/>
          <cell r="G294"/>
          <cell r="H294"/>
          <cell r="I294"/>
          <cell r="J294"/>
          <cell r="K294"/>
          <cell r="L294"/>
          <cell r="M294"/>
          <cell r="N294"/>
          <cell r="O294"/>
          <cell r="P294"/>
          <cell r="Q294"/>
          <cell r="R294"/>
          <cell r="S294"/>
          <cell r="T294"/>
        </row>
        <row r="295">
          <cell r="A295" t="str">
            <v>Rolls-Royce (year to Dec)</v>
          </cell>
          <cell r="B295"/>
          <cell r="C295"/>
          <cell r="D295"/>
          <cell r="E295"/>
          <cell r="F295"/>
          <cell r="G295"/>
          <cell r="H295"/>
          <cell r="I295"/>
          <cell r="J295"/>
          <cell r="K295"/>
          <cell r="L295"/>
          <cell r="M295"/>
          <cell r="N295"/>
          <cell r="O295"/>
          <cell r="P295"/>
          <cell r="Q295"/>
          <cell r="R295"/>
          <cell r="S295"/>
          <cell r="T295"/>
        </row>
        <row r="296">
          <cell r="A296"/>
          <cell r="B296"/>
          <cell r="C296"/>
          <cell r="D296"/>
          <cell r="E296"/>
          <cell r="F296"/>
          <cell r="G296"/>
          <cell r="H296"/>
          <cell r="I296"/>
          <cell r="J296"/>
          <cell r="K296"/>
          <cell r="L296"/>
          <cell r="M296"/>
          <cell r="N296"/>
          <cell r="O296"/>
          <cell r="P296"/>
          <cell r="Q296"/>
          <cell r="R296"/>
          <cell r="S296"/>
          <cell r="T296"/>
        </row>
        <row r="297">
          <cell r="A297"/>
          <cell r="B297"/>
          <cell r="C297"/>
          <cell r="D297"/>
          <cell r="E297"/>
          <cell r="F297"/>
          <cell r="G297"/>
          <cell r="H297"/>
          <cell r="I297"/>
          <cell r="J297"/>
          <cell r="K297"/>
          <cell r="L297"/>
          <cell r="M297"/>
          <cell r="N297"/>
          <cell r="O297"/>
          <cell r="P297"/>
          <cell r="Q297"/>
          <cell r="R297"/>
          <cell r="S297"/>
          <cell r="T297"/>
        </row>
        <row r="298">
          <cell r="A298"/>
          <cell r="B298"/>
          <cell r="C298"/>
          <cell r="D298"/>
          <cell r="E298"/>
          <cell r="F298"/>
          <cell r="G298"/>
          <cell r="H298"/>
          <cell r="I298"/>
          <cell r="J298"/>
          <cell r="K298"/>
          <cell r="L298"/>
          <cell r="M298"/>
          <cell r="N298"/>
          <cell r="O298"/>
          <cell r="P298"/>
          <cell r="Q298"/>
          <cell r="R298"/>
          <cell r="S298"/>
          <cell r="T298"/>
        </row>
        <row r="299">
          <cell r="A299"/>
          <cell r="B299" t="str">
            <v>UK GAAP</v>
          </cell>
          <cell r="C299" t="str">
            <v>UK GAAP</v>
          </cell>
          <cell r="D299" t="str">
            <v>UK GAAP</v>
          </cell>
          <cell r="E299" t="str">
            <v>UK GAAP</v>
          </cell>
          <cell r="F299" t="str">
            <v>UK GAAP</v>
          </cell>
          <cell r="G299" t="str">
            <v>UK GAAP</v>
          </cell>
          <cell r="H299" t="str">
            <v>UK GAAP</v>
          </cell>
          <cell r="I299" t="str">
            <v>UK GAAP</v>
          </cell>
          <cell r="J299" t="str">
            <v>UK GAAP</v>
          </cell>
          <cell r="K299" t="str">
            <v>UK GAAP</v>
          </cell>
          <cell r="L299" t="str">
            <v>UK GAAP</v>
          </cell>
          <cell r="M299" t="str">
            <v>UK GAAP</v>
          </cell>
          <cell r="N299" t="str">
            <v>UK GAAP</v>
          </cell>
          <cell r="O299" t="str">
            <v>UK GAAP</v>
          </cell>
          <cell r="P299" t="str">
            <v>UK GAAP</v>
          </cell>
          <cell r="Q299" t="str">
            <v>IFRS</v>
          </cell>
          <cell r="R299" t="str">
            <v>IFRS</v>
          </cell>
          <cell r="S299" t="str">
            <v>IFRS</v>
          </cell>
          <cell r="T299" t="str">
            <v>IFRS</v>
          </cell>
        </row>
        <row r="300">
          <cell r="A300" t="str">
            <v>Cash flow statement</v>
          </cell>
          <cell r="B300">
            <v>1990</v>
          </cell>
          <cell r="C300">
            <v>1991</v>
          </cell>
          <cell r="D300">
            <v>1992</v>
          </cell>
          <cell r="E300">
            <v>1993</v>
          </cell>
          <cell r="F300">
            <v>1994</v>
          </cell>
          <cell r="G300">
            <v>1995</v>
          </cell>
          <cell r="H300">
            <v>1996</v>
          </cell>
          <cell r="I300">
            <v>1997</v>
          </cell>
          <cell r="J300">
            <v>1998</v>
          </cell>
          <cell r="K300">
            <v>1999</v>
          </cell>
          <cell r="L300">
            <v>2000</v>
          </cell>
          <cell r="M300">
            <v>2001</v>
          </cell>
          <cell r="N300">
            <v>2002</v>
          </cell>
          <cell r="O300">
            <v>2003</v>
          </cell>
          <cell r="P300">
            <v>2004</v>
          </cell>
          <cell r="Q300" t="str">
            <v>2004pf</v>
          </cell>
          <cell r="R300">
            <v>2005</v>
          </cell>
          <cell r="S300">
            <v>2006</v>
          </cell>
          <cell r="T300">
            <v>2007</v>
          </cell>
        </row>
        <row r="301">
          <cell r="A301"/>
          <cell r="B301"/>
          <cell r="C301"/>
          <cell r="D301"/>
          <cell r="E301"/>
          <cell r="F301"/>
          <cell r="G301"/>
          <cell r="H301"/>
          <cell r="I301"/>
          <cell r="J301"/>
          <cell r="K301"/>
          <cell r="L301"/>
          <cell r="M301"/>
          <cell r="N301"/>
          <cell r="O301"/>
          <cell r="P301"/>
          <cell r="Q301"/>
          <cell r="R301"/>
          <cell r="S301"/>
          <cell r="T301"/>
        </row>
        <row r="302">
          <cell r="A302" t="str">
            <v>RR defined underlying EBITA</v>
          </cell>
          <cell r="B302"/>
          <cell r="C302"/>
          <cell r="D302"/>
          <cell r="E302"/>
          <cell r="F302"/>
          <cell r="G302"/>
          <cell r="H302"/>
          <cell r="I302"/>
          <cell r="J302"/>
          <cell r="K302"/>
          <cell r="L302"/>
          <cell r="M302"/>
          <cell r="N302"/>
          <cell r="O302"/>
          <cell r="P302"/>
          <cell r="Q302">
            <v>417</v>
          </cell>
          <cell r="R302">
            <v>679</v>
          </cell>
          <cell r="S302">
            <v>748</v>
          </cell>
          <cell r="T302">
            <v>832</v>
          </cell>
        </row>
        <row r="303">
          <cell r="A303" t="str">
            <v>Reverse out acquistion accounting</v>
          </cell>
          <cell r="B303"/>
          <cell r="C303"/>
          <cell r="D303"/>
          <cell r="E303"/>
          <cell r="F303"/>
          <cell r="G303"/>
          <cell r="H303"/>
          <cell r="I303"/>
          <cell r="J303"/>
          <cell r="K303"/>
          <cell r="L303"/>
          <cell r="M303"/>
          <cell r="N303"/>
          <cell r="O303"/>
          <cell r="P303"/>
          <cell r="Q303"/>
          <cell r="R303"/>
          <cell r="S303"/>
          <cell r="T303"/>
        </row>
        <row r="304">
          <cell r="A304" t="str">
            <v>Reverse out Release of hedge reserve</v>
          </cell>
          <cell r="B304"/>
          <cell r="C304"/>
          <cell r="D304"/>
          <cell r="E304"/>
          <cell r="F304"/>
          <cell r="G304"/>
          <cell r="H304"/>
          <cell r="I304"/>
          <cell r="J304"/>
          <cell r="K304"/>
          <cell r="L304"/>
          <cell r="M304"/>
          <cell r="N304"/>
          <cell r="O304"/>
          <cell r="P304"/>
          <cell r="Q304"/>
          <cell r="R304">
            <v>452</v>
          </cell>
          <cell r="S304">
            <v>289</v>
          </cell>
          <cell r="T304">
            <v>149</v>
          </cell>
        </row>
        <row r="305">
          <cell r="A305" t="str">
            <v>Reverse out Realised gains on settled derivative contracts</v>
          </cell>
          <cell r="B305"/>
          <cell r="C305"/>
          <cell r="D305"/>
          <cell r="E305"/>
          <cell r="F305"/>
          <cell r="G305"/>
          <cell r="H305"/>
          <cell r="I305"/>
          <cell r="J305"/>
          <cell r="K305"/>
          <cell r="L305"/>
          <cell r="M305"/>
          <cell r="N305"/>
          <cell r="O305"/>
          <cell r="P305"/>
          <cell r="Q305"/>
          <cell r="R305">
            <v>-328</v>
          </cell>
          <cell r="S305">
            <v>-343</v>
          </cell>
          <cell r="T305">
            <v>-415</v>
          </cell>
        </row>
        <row r="306">
          <cell r="A306" t="str">
            <v>Post retirement schemes - past service costs</v>
          </cell>
          <cell r="B306"/>
          <cell r="C306"/>
          <cell r="D306"/>
          <cell r="E306"/>
          <cell r="F306"/>
          <cell r="G306"/>
          <cell r="H306"/>
          <cell r="I306"/>
          <cell r="J306"/>
          <cell r="K306"/>
          <cell r="L306"/>
          <cell r="M306"/>
          <cell r="N306"/>
          <cell r="O306"/>
          <cell r="P306"/>
          <cell r="Q306"/>
          <cell r="R306"/>
          <cell r="S306"/>
          <cell r="T306">
            <v>-130</v>
          </cell>
        </row>
        <row r="307">
          <cell r="A307" t="str">
            <v>Reverse out FX derivative gains carried forward in contract accounting</v>
          </cell>
          <cell r="B307"/>
          <cell r="C307"/>
          <cell r="D307"/>
          <cell r="E307"/>
          <cell r="F307"/>
          <cell r="G307"/>
          <cell r="H307"/>
          <cell r="I307"/>
          <cell r="J307"/>
          <cell r="K307"/>
          <cell r="L307"/>
          <cell r="M307"/>
          <cell r="N307"/>
          <cell r="O307"/>
          <cell r="P307"/>
          <cell r="Q307"/>
          <cell r="R307">
            <v>74</v>
          </cell>
          <cell r="S307">
            <v>-1</v>
          </cell>
          <cell r="T307">
            <v>76</v>
          </cell>
        </row>
        <row r="308">
          <cell r="A308" t="str">
            <v>Statutory defined EBIT</v>
          </cell>
          <cell r="B308">
            <v>181</v>
          </cell>
          <cell r="C308">
            <v>61</v>
          </cell>
          <cell r="D308">
            <v>-172</v>
          </cell>
          <cell r="E308">
            <v>76</v>
          </cell>
          <cell r="F308">
            <v>91</v>
          </cell>
          <cell r="G308">
            <v>146</v>
          </cell>
          <cell r="H308">
            <v>118</v>
          </cell>
          <cell r="I308">
            <v>271</v>
          </cell>
          <cell r="J308">
            <v>316</v>
          </cell>
          <cell r="K308">
            <v>376</v>
          </cell>
          <cell r="L308">
            <v>290</v>
          </cell>
          <cell r="M308">
            <v>234</v>
          </cell>
          <cell r="N308">
            <v>168</v>
          </cell>
          <cell r="O308">
            <v>223</v>
          </cell>
          <cell r="P308">
            <v>320</v>
          </cell>
          <cell r="Q308">
            <v>417</v>
          </cell>
          <cell r="R308">
            <v>877</v>
          </cell>
          <cell r="S308">
            <v>693</v>
          </cell>
          <cell r="T308">
            <v>512</v>
          </cell>
        </row>
        <row r="309">
          <cell r="A309" t="str">
            <v>Statutory defined finance charge (IFRS only)</v>
          </cell>
          <cell r="B309"/>
          <cell r="C309"/>
          <cell r="D309"/>
          <cell r="E309"/>
          <cell r="F309"/>
          <cell r="G309"/>
          <cell r="H309"/>
          <cell r="I309"/>
          <cell r="J309"/>
          <cell r="K309"/>
          <cell r="L309"/>
          <cell r="M309"/>
          <cell r="N309"/>
          <cell r="O309"/>
          <cell r="P309"/>
          <cell r="Q309">
            <v>-53</v>
          </cell>
          <cell r="R309">
            <v>-400</v>
          </cell>
          <cell r="S309">
            <v>698</v>
          </cell>
          <cell r="T309">
            <v>221</v>
          </cell>
        </row>
        <row r="310">
          <cell r="A310" t="str">
            <v>Statutory defined PTP</v>
          </cell>
          <cell r="B310"/>
          <cell r="C310"/>
          <cell r="D310"/>
          <cell r="E310"/>
          <cell r="F310"/>
          <cell r="G310"/>
          <cell r="H310"/>
          <cell r="I310"/>
          <cell r="J310"/>
          <cell r="K310"/>
          <cell r="L310"/>
          <cell r="M310"/>
          <cell r="N310"/>
          <cell r="O310"/>
          <cell r="P310"/>
          <cell r="Q310">
            <v>364</v>
          </cell>
          <cell r="R310">
            <v>477</v>
          </cell>
          <cell r="S310">
            <v>1391</v>
          </cell>
          <cell r="T310">
            <v>733</v>
          </cell>
        </row>
        <row r="311">
          <cell r="A311" t="str">
            <v>Depreciation</v>
          </cell>
          <cell r="B311">
            <v>69</v>
          </cell>
          <cell r="C311">
            <v>105</v>
          </cell>
          <cell r="D311">
            <v>104</v>
          </cell>
          <cell r="E311">
            <v>105</v>
          </cell>
          <cell r="F311">
            <v>109</v>
          </cell>
          <cell r="G311">
            <v>116</v>
          </cell>
          <cell r="H311">
            <v>103</v>
          </cell>
          <cell r="I311">
            <v>100</v>
          </cell>
          <cell r="J311">
            <v>113</v>
          </cell>
          <cell r="K311">
            <v>105</v>
          </cell>
          <cell r="L311">
            <v>178</v>
          </cell>
          <cell r="M311">
            <v>198</v>
          </cell>
          <cell r="N311">
            <v>236</v>
          </cell>
          <cell r="O311">
            <v>223</v>
          </cell>
          <cell r="P311">
            <v>223</v>
          </cell>
          <cell r="Q311">
            <v>241</v>
          </cell>
          <cell r="R311">
            <v>200</v>
          </cell>
          <cell r="S311">
            <v>161</v>
          </cell>
          <cell r="T311">
            <v>170</v>
          </cell>
        </row>
        <row r="312">
          <cell r="A312" t="str">
            <v>Amortisation (2004pf onwards is intangible amortisation only)</v>
          </cell>
          <cell r="B312"/>
          <cell r="C312"/>
          <cell r="D312"/>
          <cell r="E312"/>
          <cell r="F312"/>
          <cell r="G312"/>
          <cell r="H312"/>
          <cell r="I312"/>
          <cell r="J312"/>
          <cell r="K312">
            <v>19</v>
          </cell>
          <cell r="L312">
            <v>60</v>
          </cell>
          <cell r="M312">
            <v>57</v>
          </cell>
          <cell r="N312">
            <v>74</v>
          </cell>
          <cell r="O312">
            <v>63</v>
          </cell>
          <cell r="P312">
            <v>62</v>
          </cell>
          <cell r="Q312">
            <v>58</v>
          </cell>
          <cell r="R312">
            <v>54</v>
          </cell>
          <cell r="S312">
            <v>60</v>
          </cell>
          <cell r="T312">
            <v>63</v>
          </cell>
        </row>
        <row r="313">
          <cell r="A313" t="str">
            <v>Change in provisions</v>
          </cell>
          <cell r="B313">
            <v>10</v>
          </cell>
          <cell r="C313">
            <v>-11</v>
          </cell>
          <cell r="D313">
            <v>241</v>
          </cell>
          <cell r="E313">
            <v>-107</v>
          </cell>
          <cell r="F313">
            <v>-138</v>
          </cell>
          <cell r="G313">
            <v>-41</v>
          </cell>
          <cell r="H313">
            <v>19</v>
          </cell>
          <cell r="I313">
            <v>-50</v>
          </cell>
          <cell r="J313">
            <v>-89</v>
          </cell>
          <cell r="K313">
            <v>-34</v>
          </cell>
          <cell r="L313">
            <v>49</v>
          </cell>
          <cell r="M313">
            <v>180</v>
          </cell>
          <cell r="N313">
            <v>-125</v>
          </cell>
          <cell r="O313">
            <v>3</v>
          </cell>
          <cell r="P313">
            <v>7</v>
          </cell>
          <cell r="Q313">
            <v>-9</v>
          </cell>
          <cell r="R313">
            <v>-31</v>
          </cell>
          <cell r="S313">
            <v>-36</v>
          </cell>
          <cell r="T313">
            <v>-42</v>
          </cell>
        </row>
        <row r="314">
          <cell r="A314" t="str">
            <v>Change in working capital</v>
          </cell>
          <cell r="B314">
            <v>-9</v>
          </cell>
          <cell r="C314">
            <v>0</v>
          </cell>
          <cell r="D314">
            <v>136</v>
          </cell>
          <cell r="E314">
            <v>203</v>
          </cell>
          <cell r="F314">
            <v>-45</v>
          </cell>
          <cell r="G314">
            <v>-109</v>
          </cell>
          <cell r="H314">
            <v>-75</v>
          </cell>
          <cell r="I314">
            <v>2</v>
          </cell>
          <cell r="J314">
            <v>-54</v>
          </cell>
          <cell r="K314">
            <v>-111</v>
          </cell>
          <cell r="L314">
            <v>-95</v>
          </cell>
          <cell r="M314">
            <v>-251</v>
          </cell>
          <cell r="N314">
            <v>258</v>
          </cell>
          <cell r="O314">
            <v>161</v>
          </cell>
          <cell r="P314">
            <v>28</v>
          </cell>
          <cell r="Q314">
            <v>33</v>
          </cell>
          <cell r="R314">
            <v>247</v>
          </cell>
          <cell r="S314">
            <v>256</v>
          </cell>
          <cell r="T314">
            <v>291</v>
          </cell>
        </row>
        <row r="315">
          <cell r="A315" t="str">
            <v>of which, change in stocks</v>
          </cell>
          <cell r="B315">
            <v>-134</v>
          </cell>
          <cell r="C315">
            <v>4</v>
          </cell>
          <cell r="D315">
            <v>127</v>
          </cell>
          <cell r="E315">
            <v>74</v>
          </cell>
          <cell r="F315">
            <v>6</v>
          </cell>
          <cell r="G315">
            <v>-48</v>
          </cell>
          <cell r="H315">
            <v>-39</v>
          </cell>
          <cell r="I315">
            <v>-171</v>
          </cell>
          <cell r="J315">
            <v>-102</v>
          </cell>
          <cell r="K315">
            <v>39</v>
          </cell>
          <cell r="L315">
            <v>62</v>
          </cell>
          <cell r="M315">
            <v>-52</v>
          </cell>
          <cell r="N315">
            <v>19</v>
          </cell>
          <cell r="O315">
            <v>191</v>
          </cell>
          <cell r="P315">
            <v>-121</v>
          </cell>
          <cell r="Q315">
            <v>-115.5</v>
          </cell>
          <cell r="R315">
            <v>-221</v>
          </cell>
          <cell r="S315">
            <v>-136</v>
          </cell>
          <cell r="T315">
            <v>-359</v>
          </cell>
        </row>
        <row r="316">
          <cell r="A316" t="str">
            <v>of which, change in debtors</v>
          </cell>
          <cell r="B316">
            <v>-67</v>
          </cell>
          <cell r="C316">
            <v>-111</v>
          </cell>
          <cell r="D316">
            <v>-2</v>
          </cell>
          <cell r="E316">
            <v>107</v>
          </cell>
          <cell r="F316">
            <v>-36</v>
          </cell>
          <cell r="G316">
            <v>-108</v>
          </cell>
          <cell r="H316">
            <v>-190</v>
          </cell>
          <cell r="I316">
            <v>-131</v>
          </cell>
          <cell r="J316">
            <v>-82</v>
          </cell>
          <cell r="K316">
            <v>-127</v>
          </cell>
          <cell r="L316">
            <v>-374</v>
          </cell>
          <cell r="M316">
            <v>-386</v>
          </cell>
          <cell r="N316">
            <v>27</v>
          </cell>
          <cell r="O316">
            <v>-188</v>
          </cell>
          <cell r="P316">
            <v>180</v>
          </cell>
          <cell r="Q316">
            <v>179</v>
          </cell>
          <cell r="R316">
            <v>-252</v>
          </cell>
          <cell r="S316">
            <v>-397</v>
          </cell>
          <cell r="T316">
            <v>-128</v>
          </cell>
        </row>
        <row r="317">
          <cell r="A317" t="str">
            <v>of which, change in creditors</v>
          </cell>
          <cell r="B317">
            <v>192</v>
          </cell>
          <cell r="C317">
            <v>107</v>
          </cell>
          <cell r="D317">
            <v>11</v>
          </cell>
          <cell r="E317">
            <v>22</v>
          </cell>
          <cell r="F317">
            <v>-15</v>
          </cell>
          <cell r="G317">
            <v>47</v>
          </cell>
          <cell r="H317">
            <v>154</v>
          </cell>
          <cell r="I317">
            <v>304</v>
          </cell>
          <cell r="J317">
            <v>130</v>
          </cell>
          <cell r="K317">
            <v>-23</v>
          </cell>
          <cell r="L317">
            <v>217</v>
          </cell>
          <cell r="M317">
            <v>187</v>
          </cell>
          <cell r="N317">
            <v>212</v>
          </cell>
          <cell r="O317">
            <v>158</v>
          </cell>
          <cell r="P317">
            <v>-31</v>
          </cell>
          <cell r="Q317">
            <v>-30.5</v>
          </cell>
          <cell r="R317">
            <v>720</v>
          </cell>
          <cell r="S317">
            <v>789</v>
          </cell>
          <cell r="T317">
            <v>778</v>
          </cell>
        </row>
        <row r="318">
          <cell r="A318" t="str">
            <v>Change in FV of financial A&amp;Ls (inc. payments to FRRSPs)</v>
          </cell>
          <cell r="B318"/>
          <cell r="C318"/>
          <cell r="D318"/>
          <cell r="E318"/>
          <cell r="F318"/>
          <cell r="G318"/>
          <cell r="H318"/>
          <cell r="I318"/>
          <cell r="J318"/>
          <cell r="K318"/>
          <cell r="L318"/>
          <cell r="M318"/>
          <cell r="N318"/>
          <cell r="O318"/>
          <cell r="P318"/>
          <cell r="Q318"/>
          <cell r="R318">
            <v>283</v>
          </cell>
          <cell r="S318">
            <v>250</v>
          </cell>
          <cell r="T318">
            <v>357</v>
          </cell>
        </row>
        <row r="319">
          <cell r="A319" t="str">
            <v>Other non-cash movements (including pension funding)</v>
          </cell>
          <cell r="B319"/>
          <cell r="C319"/>
          <cell r="D319"/>
          <cell r="E319">
            <v>-2</v>
          </cell>
          <cell r="F319">
            <v>-6</v>
          </cell>
          <cell r="G319">
            <v>-4</v>
          </cell>
          <cell r="H319">
            <v>-3</v>
          </cell>
          <cell r="I319">
            <v>-3</v>
          </cell>
          <cell r="J319">
            <v>-1</v>
          </cell>
          <cell r="K319">
            <v>4</v>
          </cell>
          <cell r="L319">
            <v>-3</v>
          </cell>
          <cell r="M319"/>
          <cell r="N319"/>
          <cell r="O319"/>
          <cell r="P319"/>
          <cell r="Q319">
            <v>-8</v>
          </cell>
          <cell r="R319">
            <v>-145</v>
          </cell>
          <cell r="S319">
            <v>-1029</v>
          </cell>
          <cell r="T319">
            <v>-838</v>
          </cell>
        </row>
        <row r="320">
          <cell r="A320" t="str">
            <v>of which, JV profits</v>
          </cell>
          <cell r="B320"/>
          <cell r="C320"/>
          <cell r="D320"/>
          <cell r="E320"/>
          <cell r="F320"/>
          <cell r="G320"/>
          <cell r="H320"/>
          <cell r="I320"/>
          <cell r="J320"/>
          <cell r="K320"/>
          <cell r="L320"/>
          <cell r="M320"/>
          <cell r="N320"/>
          <cell r="O320"/>
          <cell r="P320"/>
          <cell r="Q320">
            <v>-19</v>
          </cell>
          <cell r="R320">
            <v>-46</v>
          </cell>
          <cell r="S320">
            <v>-47</v>
          </cell>
          <cell r="T320">
            <v>-66</v>
          </cell>
        </row>
        <row r="321">
          <cell r="A321" t="str">
            <v>of which, loss/(gain) on disposals / impairments</v>
          </cell>
          <cell r="B321"/>
          <cell r="C321"/>
          <cell r="D321"/>
          <cell r="E321">
            <v>-2</v>
          </cell>
          <cell r="F321">
            <v>-6</v>
          </cell>
          <cell r="G321">
            <v>-4</v>
          </cell>
          <cell r="H321">
            <v>-3</v>
          </cell>
          <cell r="I321">
            <v>-3</v>
          </cell>
          <cell r="J321">
            <v>-1</v>
          </cell>
          <cell r="K321">
            <v>4</v>
          </cell>
          <cell r="L321">
            <v>-3</v>
          </cell>
          <cell r="M321"/>
          <cell r="N321"/>
          <cell r="O321"/>
          <cell r="P321"/>
          <cell r="Q321">
            <v>-7</v>
          </cell>
          <cell r="R321">
            <v>3</v>
          </cell>
          <cell r="S321">
            <v>-10</v>
          </cell>
          <cell r="T321">
            <v>3</v>
          </cell>
        </row>
        <row r="322">
          <cell r="A322" t="str">
            <v>of which, net interest payable</v>
          </cell>
          <cell r="B322"/>
          <cell r="C322"/>
          <cell r="D322"/>
          <cell r="E322"/>
          <cell r="F322"/>
          <cell r="G322"/>
          <cell r="H322"/>
          <cell r="I322"/>
          <cell r="J322"/>
          <cell r="K322"/>
          <cell r="L322"/>
          <cell r="M322"/>
          <cell r="N322"/>
          <cell r="O322"/>
          <cell r="P322"/>
          <cell r="Q322">
            <v>52</v>
          </cell>
          <cell r="R322">
            <v>39</v>
          </cell>
          <cell r="S322">
            <v>18</v>
          </cell>
          <cell r="T322">
            <v>6</v>
          </cell>
        </row>
        <row r="323">
          <cell r="A323" t="str">
            <v>of which, other financing expenses</v>
          </cell>
          <cell r="B323"/>
          <cell r="C323"/>
          <cell r="D323"/>
          <cell r="E323"/>
          <cell r="F323"/>
          <cell r="G323"/>
          <cell r="H323"/>
          <cell r="I323"/>
          <cell r="J323"/>
          <cell r="K323"/>
          <cell r="L323"/>
          <cell r="M323"/>
          <cell r="N323"/>
          <cell r="O323"/>
          <cell r="P323"/>
          <cell r="Q323">
            <v>1</v>
          </cell>
          <cell r="R323">
            <v>361</v>
          </cell>
          <cell r="S323">
            <v>-716</v>
          </cell>
          <cell r="T323">
            <v>-227</v>
          </cell>
        </row>
        <row r="324">
          <cell r="A324" t="str">
            <v>of which, post-retirement benefits adjustment</v>
          </cell>
          <cell r="B324"/>
          <cell r="C324"/>
          <cell r="D324"/>
          <cell r="E324"/>
          <cell r="F324"/>
          <cell r="G324"/>
          <cell r="H324"/>
          <cell r="I324"/>
          <cell r="J324"/>
          <cell r="K324"/>
          <cell r="L324"/>
          <cell r="M324"/>
          <cell r="N324"/>
          <cell r="O324"/>
          <cell r="P324"/>
          <cell r="Q324">
            <v>-42</v>
          </cell>
          <cell r="R324">
            <v>-69</v>
          </cell>
          <cell r="S324">
            <v>-21</v>
          </cell>
          <cell r="T324">
            <v>-441</v>
          </cell>
        </row>
        <row r="325">
          <cell r="A325" t="str">
            <v>of which, share based payments</v>
          </cell>
          <cell r="B325"/>
          <cell r="C325"/>
          <cell r="D325"/>
          <cell r="E325"/>
          <cell r="F325"/>
          <cell r="G325"/>
          <cell r="H325"/>
          <cell r="I325"/>
          <cell r="J325"/>
          <cell r="K325"/>
          <cell r="L325"/>
          <cell r="M325"/>
          <cell r="N325"/>
          <cell r="O325"/>
          <cell r="P325"/>
          <cell r="Q325">
            <v>6</v>
          </cell>
          <cell r="R325">
            <v>26</v>
          </cell>
          <cell r="S325">
            <v>36</v>
          </cell>
          <cell r="T325">
            <v>36</v>
          </cell>
        </row>
        <row r="326">
          <cell r="A326" t="str">
            <v>of which, hedge reserve movements</v>
          </cell>
          <cell r="B326"/>
          <cell r="C326"/>
          <cell r="D326"/>
          <cell r="E326"/>
          <cell r="F326"/>
          <cell r="G326"/>
          <cell r="H326"/>
          <cell r="I326"/>
          <cell r="J326"/>
          <cell r="K326"/>
          <cell r="L326"/>
          <cell r="M326"/>
          <cell r="N326"/>
          <cell r="O326"/>
          <cell r="P326"/>
          <cell r="Q326"/>
          <cell r="R326">
            <v>-459</v>
          </cell>
          <cell r="S326">
            <v>-289</v>
          </cell>
          <cell r="T326">
            <v>-149</v>
          </cell>
        </row>
        <row r="327">
          <cell r="A327"/>
          <cell r="B327"/>
          <cell r="C327"/>
          <cell r="D327"/>
          <cell r="E327"/>
          <cell r="F327"/>
          <cell r="G327"/>
          <cell r="H327"/>
          <cell r="I327"/>
          <cell r="J327"/>
          <cell r="K327"/>
          <cell r="L327"/>
          <cell r="M327"/>
          <cell r="N327"/>
          <cell r="O327"/>
          <cell r="P327"/>
          <cell r="Q327"/>
          <cell r="R327"/>
          <cell r="S327"/>
          <cell r="T327"/>
        </row>
        <row r="328">
          <cell r="A328" t="str">
            <v>Goldman defined cash flow from operating activities</v>
          </cell>
          <cell r="B328">
            <v>251</v>
          </cell>
          <cell r="C328">
            <v>155</v>
          </cell>
          <cell r="D328">
            <v>309</v>
          </cell>
          <cell r="E328">
            <v>275</v>
          </cell>
          <cell r="F328">
            <v>11</v>
          </cell>
          <cell r="G328">
            <v>108</v>
          </cell>
          <cell r="H328">
            <v>162</v>
          </cell>
          <cell r="I328">
            <v>320</v>
          </cell>
          <cell r="J328">
            <v>285</v>
          </cell>
          <cell r="K328">
            <v>359</v>
          </cell>
          <cell r="L328">
            <v>479</v>
          </cell>
          <cell r="M328">
            <v>418</v>
          </cell>
          <cell r="N328">
            <v>611</v>
          </cell>
          <cell r="O328">
            <v>673</v>
          </cell>
          <cell r="P328">
            <v>640</v>
          </cell>
          <cell r="Q328">
            <v>679</v>
          </cell>
          <cell r="R328">
            <v>1085</v>
          </cell>
          <cell r="S328">
            <v>1053</v>
          </cell>
          <cell r="T328">
            <v>734</v>
          </cell>
        </row>
        <row r="329">
          <cell r="A329" t="str">
            <v>Tax paid</v>
          </cell>
          <cell r="B329">
            <v>-34</v>
          </cell>
          <cell r="C329">
            <v>-36</v>
          </cell>
          <cell r="D329">
            <v>-34</v>
          </cell>
          <cell r="E329">
            <v>-20</v>
          </cell>
          <cell r="F329">
            <v>-17</v>
          </cell>
          <cell r="G329">
            <v>-18</v>
          </cell>
          <cell r="H329">
            <v>-26</v>
          </cell>
          <cell r="I329">
            <v>-30</v>
          </cell>
          <cell r="J329">
            <v>-34</v>
          </cell>
          <cell r="K329">
            <v>-38</v>
          </cell>
          <cell r="L329">
            <v>-25</v>
          </cell>
          <cell r="M329">
            <v>-24</v>
          </cell>
          <cell r="N329">
            <v>-41</v>
          </cell>
          <cell r="O329">
            <v>-43</v>
          </cell>
          <cell r="P329">
            <v>-84</v>
          </cell>
          <cell r="Q329">
            <v>-84</v>
          </cell>
          <cell r="R329">
            <v>-60</v>
          </cell>
          <cell r="S329">
            <v>-25</v>
          </cell>
          <cell r="T329">
            <v>-71</v>
          </cell>
        </row>
        <row r="330">
          <cell r="A330" t="str">
            <v>Dividend received from JVs</v>
          </cell>
          <cell r="B330">
            <v>-1</v>
          </cell>
          <cell r="C330"/>
          <cell r="D330"/>
          <cell r="E330"/>
          <cell r="F330"/>
          <cell r="G330">
            <v>6</v>
          </cell>
          <cell r="H330">
            <v>4</v>
          </cell>
          <cell r="I330">
            <v>3</v>
          </cell>
          <cell r="J330">
            <v>11</v>
          </cell>
          <cell r="K330">
            <v>6</v>
          </cell>
          <cell r="L330">
            <v>13</v>
          </cell>
          <cell r="M330">
            <v>15</v>
          </cell>
          <cell r="N330">
            <v>12</v>
          </cell>
          <cell r="O330">
            <v>11</v>
          </cell>
          <cell r="P330">
            <v>15</v>
          </cell>
          <cell r="Q330">
            <v>15</v>
          </cell>
          <cell r="R330">
            <v>35</v>
          </cell>
          <cell r="S330">
            <v>44</v>
          </cell>
          <cell r="T330">
            <v>42</v>
          </cell>
        </row>
        <row r="331">
          <cell r="A331" t="str">
            <v>IFRS defined Net cash flow from operating activities</v>
          </cell>
          <cell r="B331">
            <v>216</v>
          </cell>
          <cell r="C331">
            <v>119</v>
          </cell>
          <cell r="D331">
            <v>275</v>
          </cell>
          <cell r="E331">
            <v>255</v>
          </cell>
          <cell r="F331">
            <v>-6</v>
          </cell>
          <cell r="G331">
            <v>96</v>
          </cell>
          <cell r="H331">
            <v>140</v>
          </cell>
          <cell r="I331">
            <v>293</v>
          </cell>
          <cell r="J331">
            <v>262</v>
          </cell>
          <cell r="K331">
            <v>327</v>
          </cell>
          <cell r="L331">
            <v>467</v>
          </cell>
          <cell r="M331">
            <v>409</v>
          </cell>
          <cell r="N331">
            <v>582</v>
          </cell>
          <cell r="O331">
            <v>641</v>
          </cell>
          <cell r="P331">
            <v>571</v>
          </cell>
          <cell r="Q331">
            <v>610</v>
          </cell>
          <cell r="R331">
            <v>1060</v>
          </cell>
          <cell r="S331">
            <v>1072</v>
          </cell>
          <cell r="T331">
            <v>705</v>
          </cell>
        </row>
        <row r="332">
          <cell r="A332"/>
          <cell r="B332"/>
          <cell r="C332"/>
          <cell r="D332"/>
          <cell r="E332"/>
          <cell r="F332"/>
          <cell r="G332"/>
          <cell r="H332"/>
          <cell r="I332"/>
          <cell r="J332"/>
          <cell r="K332"/>
          <cell r="L332"/>
          <cell r="M332"/>
          <cell r="N332"/>
          <cell r="O332"/>
          <cell r="P332"/>
          <cell r="Q332"/>
          <cell r="R332"/>
          <cell r="S332"/>
          <cell r="T332"/>
        </row>
        <row r="333">
          <cell r="A333" t="str">
            <v>True cash interest (paid) / received</v>
          </cell>
          <cell r="B333">
            <v>-7</v>
          </cell>
          <cell r="C333">
            <v>-13</v>
          </cell>
          <cell r="D333">
            <v>-15</v>
          </cell>
          <cell r="E333">
            <v>-15</v>
          </cell>
          <cell r="F333">
            <v>2</v>
          </cell>
          <cell r="G333">
            <v>-12</v>
          </cell>
          <cell r="H333">
            <v>-5</v>
          </cell>
          <cell r="I333">
            <v>-8</v>
          </cell>
          <cell r="J333">
            <v>-10</v>
          </cell>
          <cell r="K333">
            <v>-32</v>
          </cell>
          <cell r="L333">
            <v>-76</v>
          </cell>
          <cell r="M333">
            <v>-54</v>
          </cell>
          <cell r="N333">
            <v>-84</v>
          </cell>
          <cell r="O333">
            <v>-56</v>
          </cell>
          <cell r="P333">
            <v>-48</v>
          </cell>
          <cell r="Q333">
            <v>-52</v>
          </cell>
          <cell r="R333">
            <v>-49</v>
          </cell>
          <cell r="S333">
            <v>-14</v>
          </cell>
          <cell r="T333">
            <v>2</v>
          </cell>
        </row>
        <row r="334">
          <cell r="A334" t="str">
            <v>Dividend paid (inc. B and C shares)</v>
          </cell>
          <cell r="B334">
            <v>-69</v>
          </cell>
          <cell r="C334">
            <v>-43</v>
          </cell>
          <cell r="D334">
            <v>-64</v>
          </cell>
          <cell r="E334">
            <v>-44</v>
          </cell>
          <cell r="F334">
            <v>-51</v>
          </cell>
          <cell r="G334">
            <v>-57</v>
          </cell>
          <cell r="H334">
            <v>-69</v>
          </cell>
          <cell r="I334">
            <v>-78</v>
          </cell>
          <cell r="J334">
            <v>-65</v>
          </cell>
          <cell r="K334">
            <v>-88</v>
          </cell>
          <cell r="L334">
            <v>-74</v>
          </cell>
          <cell r="M334">
            <v>-84</v>
          </cell>
          <cell r="N334">
            <v>-109</v>
          </cell>
          <cell r="O334">
            <v>-88</v>
          </cell>
          <cell r="P334">
            <v>-60</v>
          </cell>
          <cell r="Q334">
            <v>-60</v>
          </cell>
          <cell r="R334">
            <v>-52</v>
          </cell>
          <cell r="S334">
            <v>-93</v>
          </cell>
          <cell r="T334">
            <v>-97</v>
          </cell>
        </row>
        <row r="335">
          <cell r="A335" t="str">
            <v>Purchase of own shares (ESOP)</v>
          </cell>
          <cell r="B335"/>
          <cell r="C335"/>
          <cell r="D335"/>
          <cell r="E335"/>
          <cell r="F335"/>
          <cell r="G335"/>
          <cell r="H335"/>
          <cell r="I335"/>
          <cell r="J335"/>
          <cell r="K335"/>
          <cell r="L335"/>
          <cell r="M335"/>
          <cell r="N335"/>
          <cell r="O335"/>
          <cell r="P335"/>
          <cell r="Q335">
            <v>-2</v>
          </cell>
          <cell r="R335">
            <v>-149</v>
          </cell>
          <cell r="S335">
            <v>34</v>
          </cell>
          <cell r="T335">
            <v>-43</v>
          </cell>
        </row>
        <row r="336">
          <cell r="A336" t="str">
            <v>Goldman defined cash flow after financing</v>
          </cell>
          <cell r="B336">
            <v>140</v>
          </cell>
          <cell r="C336">
            <v>63</v>
          </cell>
          <cell r="D336">
            <v>196</v>
          </cell>
          <cell r="E336">
            <v>196</v>
          </cell>
          <cell r="F336">
            <v>-55</v>
          </cell>
          <cell r="G336">
            <v>27</v>
          </cell>
          <cell r="H336">
            <v>66</v>
          </cell>
          <cell r="I336">
            <v>207</v>
          </cell>
          <cell r="J336">
            <v>187</v>
          </cell>
          <cell r="K336">
            <v>207</v>
          </cell>
          <cell r="L336">
            <v>317</v>
          </cell>
          <cell r="M336">
            <v>271</v>
          </cell>
          <cell r="N336">
            <v>389</v>
          </cell>
          <cell r="O336">
            <v>497</v>
          </cell>
          <cell r="P336">
            <v>463</v>
          </cell>
          <cell r="Q336">
            <v>496</v>
          </cell>
          <cell r="R336">
            <v>810</v>
          </cell>
          <cell r="S336">
            <v>999</v>
          </cell>
          <cell r="T336">
            <v>567</v>
          </cell>
        </row>
        <row r="337">
          <cell r="A337"/>
          <cell r="B337"/>
          <cell r="C337"/>
          <cell r="D337"/>
          <cell r="E337"/>
          <cell r="F337"/>
          <cell r="G337"/>
          <cell r="H337"/>
          <cell r="I337"/>
          <cell r="J337"/>
          <cell r="K337"/>
          <cell r="L337"/>
          <cell r="M337"/>
          <cell r="N337"/>
          <cell r="O337"/>
          <cell r="P337"/>
          <cell r="Q337"/>
          <cell r="R337"/>
          <cell r="S337"/>
          <cell r="T337"/>
        </row>
        <row r="338">
          <cell r="A338" t="str">
            <v>Fixed asset disposals</v>
          </cell>
          <cell r="B338">
            <v>19</v>
          </cell>
          <cell r="C338">
            <v>11</v>
          </cell>
          <cell r="D338">
            <v>12</v>
          </cell>
          <cell r="E338">
            <v>16</v>
          </cell>
          <cell r="F338">
            <v>24</v>
          </cell>
          <cell r="G338">
            <v>118</v>
          </cell>
          <cell r="H338">
            <v>52</v>
          </cell>
          <cell r="I338">
            <v>21</v>
          </cell>
          <cell r="J338">
            <v>41</v>
          </cell>
          <cell r="K338">
            <v>187</v>
          </cell>
          <cell r="L338">
            <v>51</v>
          </cell>
          <cell r="M338">
            <v>56</v>
          </cell>
          <cell r="N338">
            <v>27</v>
          </cell>
          <cell r="O338">
            <v>16</v>
          </cell>
          <cell r="P338">
            <v>66</v>
          </cell>
          <cell r="Q338">
            <v>66</v>
          </cell>
          <cell r="R338">
            <v>69</v>
          </cell>
          <cell r="S338">
            <v>55</v>
          </cell>
          <cell r="T338">
            <v>47</v>
          </cell>
        </row>
        <row r="339">
          <cell r="A339" t="str">
            <v>Government grants</v>
          </cell>
          <cell r="B339"/>
          <cell r="C339"/>
          <cell r="D339"/>
          <cell r="E339"/>
          <cell r="F339"/>
          <cell r="G339"/>
          <cell r="H339"/>
          <cell r="I339"/>
          <cell r="J339"/>
          <cell r="K339"/>
          <cell r="L339"/>
          <cell r="M339"/>
          <cell r="N339"/>
          <cell r="O339"/>
          <cell r="P339"/>
          <cell r="Q339"/>
          <cell r="R339"/>
          <cell r="S339"/>
          <cell r="T339"/>
        </row>
        <row r="340">
          <cell r="A340" t="str">
            <v>Capex</v>
          </cell>
          <cell r="B340">
            <v>-112</v>
          </cell>
          <cell r="C340">
            <v>-177</v>
          </cell>
          <cell r="D340">
            <v>-126</v>
          </cell>
          <cell r="E340">
            <v>-130</v>
          </cell>
          <cell r="F340">
            <v>-105</v>
          </cell>
          <cell r="G340">
            <v>-94</v>
          </cell>
          <cell r="H340">
            <v>-142</v>
          </cell>
          <cell r="I340">
            <v>-222</v>
          </cell>
          <cell r="J340">
            <v>-387</v>
          </cell>
          <cell r="K340">
            <v>-381</v>
          </cell>
          <cell r="L340">
            <v>-292</v>
          </cell>
          <cell r="M340">
            <v>-211</v>
          </cell>
          <cell r="N340">
            <v>-314</v>
          </cell>
          <cell r="O340">
            <v>-182</v>
          </cell>
          <cell r="P340">
            <v>-175</v>
          </cell>
          <cell r="Q340">
            <v>-175</v>
          </cell>
          <cell r="R340">
            <v>-235</v>
          </cell>
          <cell r="S340">
            <v>-298</v>
          </cell>
          <cell r="T340">
            <v>-304</v>
          </cell>
        </row>
        <row r="341">
          <cell r="A341" t="str">
            <v>as a % of sales</v>
          </cell>
          <cell r="B341">
            <v>-3.0517711171662125E-2</v>
          </cell>
          <cell r="C341">
            <v>-5.0355618776671406E-2</v>
          </cell>
          <cell r="D341">
            <v>-3.5373385738349243E-2</v>
          </cell>
          <cell r="E341">
            <v>-3.6952814098919838E-2</v>
          </cell>
          <cell r="F341">
            <v>-3.3196332595637056E-2</v>
          </cell>
          <cell r="G341">
            <v>-2.6132888518209618E-2</v>
          </cell>
          <cell r="H341">
            <v>-3.309251922628758E-2</v>
          </cell>
          <cell r="I341">
            <v>-5.1057957681692731E-2</v>
          </cell>
          <cell r="J341">
            <v>-8.6076512455516008E-2</v>
          </cell>
          <cell r="K341">
            <v>-8.2218385843763481E-2</v>
          </cell>
          <cell r="L341">
            <v>-4.9795361527967257E-2</v>
          </cell>
          <cell r="M341">
            <v>-3.3343868520859674E-2</v>
          </cell>
          <cell r="N341">
            <v>-5.4250172771250861E-2</v>
          </cell>
          <cell r="O341">
            <v>-3.2240921169176262E-2</v>
          </cell>
          <cell r="P341">
            <v>-2.9466240107762248E-2</v>
          </cell>
          <cell r="Q341">
            <v>-2.9431550622267072E-2</v>
          </cell>
          <cell r="R341">
            <v>-3.6388974914834317E-2</v>
          </cell>
          <cell r="S341">
            <v>-4.0527675778593772E-2</v>
          </cell>
          <cell r="T341">
            <v>-3.8889599590635794E-2</v>
          </cell>
        </row>
        <row r="342">
          <cell r="A342"/>
          <cell r="B342"/>
          <cell r="C342"/>
          <cell r="D342"/>
          <cell r="E342"/>
          <cell r="F342"/>
          <cell r="G342"/>
          <cell r="H342"/>
          <cell r="I342"/>
          <cell r="J342"/>
          <cell r="K342"/>
          <cell r="L342"/>
          <cell r="M342"/>
          <cell r="N342"/>
          <cell r="O342"/>
          <cell r="P342"/>
          <cell r="Q342"/>
          <cell r="R342"/>
          <cell r="S342"/>
          <cell r="T342"/>
        </row>
        <row r="343">
          <cell r="A343" t="str">
            <v>Investment in intangibles</v>
          </cell>
          <cell r="B343"/>
          <cell r="C343"/>
          <cell r="D343"/>
          <cell r="E343"/>
          <cell r="F343"/>
          <cell r="G343"/>
          <cell r="H343"/>
          <cell r="I343"/>
          <cell r="J343"/>
          <cell r="K343"/>
          <cell r="L343">
            <v>-10</v>
          </cell>
          <cell r="M343">
            <v>-25</v>
          </cell>
          <cell r="N343">
            <v>-50</v>
          </cell>
          <cell r="O343">
            <v>-37</v>
          </cell>
          <cell r="P343">
            <v>-110</v>
          </cell>
          <cell r="Q343">
            <v>-142</v>
          </cell>
          <cell r="R343">
            <v>-116</v>
          </cell>
          <cell r="S343">
            <v>-225</v>
          </cell>
          <cell r="T343">
            <v>-294</v>
          </cell>
        </row>
        <row r="344">
          <cell r="A344" t="str">
            <v>of which, gross capitalised R&amp;D</v>
          </cell>
          <cell r="B344"/>
          <cell r="C344"/>
          <cell r="D344"/>
          <cell r="E344"/>
          <cell r="F344"/>
          <cell r="G344"/>
          <cell r="H344"/>
          <cell r="I344"/>
          <cell r="J344"/>
          <cell r="K344"/>
          <cell r="L344"/>
          <cell r="M344"/>
          <cell r="N344"/>
          <cell r="O344"/>
          <cell r="P344"/>
          <cell r="Q344">
            <v>-22</v>
          </cell>
          <cell r="R344">
            <v>-70</v>
          </cell>
          <cell r="S344">
            <v>-41</v>
          </cell>
          <cell r="T344">
            <v>-91</v>
          </cell>
        </row>
        <row r="345">
          <cell r="A345" t="str">
            <v>of which, gross capitalised recoverable engine costs</v>
          </cell>
          <cell r="B345"/>
          <cell r="C345"/>
          <cell r="D345"/>
          <cell r="E345"/>
          <cell r="F345"/>
          <cell r="G345"/>
          <cell r="H345"/>
          <cell r="I345"/>
          <cell r="J345"/>
          <cell r="K345"/>
          <cell r="L345"/>
          <cell r="M345"/>
          <cell r="N345"/>
          <cell r="O345"/>
          <cell r="P345"/>
          <cell r="Q345">
            <v>-21</v>
          </cell>
          <cell r="R345">
            <v>-36</v>
          </cell>
          <cell r="S345">
            <v>-64</v>
          </cell>
          <cell r="T345">
            <v>-37</v>
          </cell>
        </row>
        <row r="346">
          <cell r="A346" t="str">
            <v>of which, gross capitalised certification costs and participation fees</v>
          </cell>
          <cell r="B346"/>
          <cell r="C346"/>
          <cell r="D346"/>
          <cell r="E346"/>
          <cell r="F346"/>
          <cell r="G346"/>
          <cell r="H346"/>
          <cell r="I346"/>
          <cell r="J346"/>
          <cell r="K346"/>
          <cell r="L346"/>
          <cell r="M346"/>
          <cell r="N346"/>
          <cell r="O346"/>
          <cell r="P346"/>
          <cell r="Q346">
            <v>-99</v>
          </cell>
          <cell r="R346">
            <v>-10</v>
          </cell>
          <cell r="S346">
            <v>-91</v>
          </cell>
          <cell r="T346">
            <v>-129</v>
          </cell>
        </row>
        <row r="347">
          <cell r="A347" t="str">
            <v>of which, software and other</v>
          </cell>
          <cell r="B347"/>
          <cell r="C347"/>
          <cell r="D347"/>
          <cell r="E347"/>
          <cell r="F347"/>
          <cell r="G347"/>
          <cell r="H347"/>
          <cell r="I347"/>
          <cell r="J347"/>
          <cell r="K347"/>
          <cell r="L347"/>
          <cell r="M347"/>
          <cell r="N347"/>
          <cell r="O347"/>
          <cell r="P347"/>
          <cell r="Q347"/>
          <cell r="R347"/>
          <cell r="S347">
            <v>-29</v>
          </cell>
          <cell r="T347">
            <v>-37</v>
          </cell>
        </row>
        <row r="348">
          <cell r="A348" t="str">
            <v>Disposal of intangibles</v>
          </cell>
          <cell r="B348"/>
          <cell r="C348"/>
          <cell r="D348"/>
          <cell r="E348"/>
          <cell r="F348"/>
          <cell r="G348"/>
          <cell r="H348"/>
          <cell r="I348"/>
          <cell r="J348"/>
          <cell r="K348"/>
          <cell r="L348"/>
          <cell r="M348"/>
          <cell r="N348"/>
          <cell r="O348"/>
          <cell r="P348"/>
          <cell r="Q348"/>
          <cell r="R348"/>
          <cell r="S348">
            <v>7</v>
          </cell>
          <cell r="T348">
            <v>0</v>
          </cell>
        </row>
        <row r="349">
          <cell r="A349"/>
          <cell r="B349"/>
          <cell r="C349"/>
          <cell r="D349"/>
          <cell r="E349"/>
          <cell r="F349"/>
          <cell r="G349"/>
          <cell r="H349"/>
          <cell r="I349"/>
          <cell r="J349"/>
          <cell r="K349"/>
          <cell r="L349"/>
          <cell r="M349"/>
          <cell r="N349"/>
          <cell r="O349"/>
          <cell r="P349"/>
          <cell r="Q349"/>
          <cell r="R349"/>
          <cell r="S349"/>
          <cell r="T349"/>
        </row>
        <row r="350">
          <cell r="A350" t="str">
            <v>Goldman defined Free Cash Flow (post dividend)</v>
          </cell>
          <cell r="B350">
            <v>47</v>
          </cell>
          <cell r="C350">
            <v>-103</v>
          </cell>
          <cell r="D350">
            <v>82</v>
          </cell>
          <cell r="E350">
            <v>82</v>
          </cell>
          <cell r="F350">
            <v>-136</v>
          </cell>
          <cell r="G350">
            <v>51</v>
          </cell>
          <cell r="H350">
            <v>-24</v>
          </cell>
          <cell r="I350">
            <v>6</v>
          </cell>
          <cell r="J350">
            <v>-159</v>
          </cell>
          <cell r="K350">
            <v>13</v>
          </cell>
          <cell r="L350">
            <v>66</v>
          </cell>
          <cell r="M350">
            <v>91</v>
          </cell>
          <cell r="N350">
            <v>52</v>
          </cell>
          <cell r="O350">
            <v>294</v>
          </cell>
          <cell r="P350">
            <v>244</v>
          </cell>
          <cell r="Q350">
            <v>245</v>
          </cell>
          <cell r="R350">
            <v>528</v>
          </cell>
          <cell r="S350">
            <v>531</v>
          </cell>
          <cell r="T350">
            <v>16</v>
          </cell>
        </row>
        <row r="351">
          <cell r="A351" t="str">
            <v>as a % of sales</v>
          </cell>
          <cell r="B351">
            <v>1.2806539509536785E-2</v>
          </cell>
          <cell r="C351">
            <v>-2.9302987197724041E-2</v>
          </cell>
          <cell r="D351">
            <v>2.3020774845592364E-2</v>
          </cell>
          <cell r="E351">
            <v>2.3308698123934053E-2</v>
          </cell>
          <cell r="F351">
            <v>-4.2997154600063231E-2</v>
          </cell>
          <cell r="G351">
            <v>1.4178482068390326E-2</v>
          </cell>
          <cell r="H351">
            <v>-5.5931018410626896E-3</v>
          </cell>
          <cell r="I351">
            <v>1.3799448022079118E-3</v>
          </cell>
          <cell r="J351">
            <v>-3.5364768683274019E-2</v>
          </cell>
          <cell r="K351">
            <v>2.8053517479499353E-3</v>
          </cell>
          <cell r="L351">
            <v>1.1255115961800819E-2</v>
          </cell>
          <cell r="M351">
            <v>1.4380530973451327E-2</v>
          </cell>
          <cell r="N351">
            <v>8.9841050449205248E-3</v>
          </cell>
          <cell r="O351">
            <v>5.20814880425155E-2</v>
          </cell>
          <cell r="P351">
            <v>4.108435763596565E-2</v>
          </cell>
          <cell r="Q351">
            <v>4.1204170871173895E-2</v>
          </cell>
          <cell r="R351">
            <v>8.1759058532053272E-2</v>
          </cell>
          <cell r="S351">
            <v>7.2215422276621782E-2</v>
          </cell>
          <cell r="T351">
            <v>2.0468210310860945E-3</v>
          </cell>
        </row>
        <row r="352">
          <cell r="A352"/>
          <cell r="B352"/>
          <cell r="C352"/>
          <cell r="D352"/>
          <cell r="E352"/>
          <cell r="F352"/>
          <cell r="G352"/>
          <cell r="H352"/>
          <cell r="I352"/>
          <cell r="J352"/>
          <cell r="K352"/>
          <cell r="L352"/>
          <cell r="M352"/>
          <cell r="N352"/>
          <cell r="O352"/>
          <cell r="P352"/>
          <cell r="Q352"/>
          <cell r="R352"/>
          <cell r="S352"/>
          <cell r="T352"/>
        </row>
        <row r="353">
          <cell r="A353" t="str">
            <v>Acquisitions</v>
          </cell>
          <cell r="B353">
            <v>-34</v>
          </cell>
          <cell r="C353"/>
          <cell r="D353">
            <v>-6</v>
          </cell>
          <cell r="E353">
            <v>-3</v>
          </cell>
          <cell r="F353"/>
          <cell r="G353">
            <v>-382</v>
          </cell>
          <cell r="H353">
            <v>-2</v>
          </cell>
          <cell r="I353">
            <v>-11</v>
          </cell>
          <cell r="J353">
            <v>-9</v>
          </cell>
          <cell r="K353">
            <v>-985</v>
          </cell>
          <cell r="L353">
            <v>-45</v>
          </cell>
          <cell r="M353">
            <v>-1</v>
          </cell>
          <cell r="N353">
            <v>-80</v>
          </cell>
          <cell r="O353">
            <v>-9</v>
          </cell>
          <cell r="P353"/>
          <cell r="Q353"/>
          <cell r="R353"/>
          <cell r="S353">
            <v>-5</v>
          </cell>
          <cell r="T353">
            <v>-11</v>
          </cell>
        </row>
        <row r="354">
          <cell r="A354" t="str">
            <v>of which, fixed assets</v>
          </cell>
          <cell r="B354"/>
          <cell r="C354"/>
          <cell r="D354"/>
          <cell r="E354"/>
          <cell r="F354"/>
          <cell r="G354"/>
          <cell r="H354"/>
          <cell r="I354"/>
          <cell r="J354"/>
          <cell r="K354"/>
          <cell r="L354"/>
          <cell r="M354"/>
          <cell r="N354"/>
          <cell r="O354"/>
          <cell r="P354"/>
          <cell r="Q354"/>
          <cell r="R354"/>
          <cell r="S354"/>
          <cell r="T354"/>
        </row>
        <row r="355">
          <cell r="A355" t="str">
            <v>of which, working capital</v>
          </cell>
          <cell r="B355"/>
          <cell r="C355"/>
          <cell r="D355"/>
          <cell r="E355"/>
          <cell r="F355"/>
          <cell r="G355"/>
          <cell r="H355"/>
          <cell r="I355"/>
          <cell r="J355"/>
          <cell r="K355"/>
          <cell r="L355"/>
          <cell r="M355"/>
          <cell r="N355"/>
          <cell r="O355"/>
          <cell r="P355"/>
          <cell r="Q355"/>
          <cell r="R355"/>
          <cell r="S355"/>
          <cell r="T355"/>
        </row>
        <row r="356">
          <cell r="A356" t="str">
            <v>of which, goodwill</v>
          </cell>
          <cell r="B356"/>
          <cell r="C356"/>
          <cell r="D356"/>
          <cell r="E356"/>
          <cell r="F356"/>
          <cell r="G356"/>
          <cell r="H356"/>
          <cell r="I356"/>
          <cell r="J356"/>
          <cell r="K356"/>
          <cell r="L356"/>
          <cell r="M356"/>
          <cell r="N356"/>
          <cell r="O356"/>
          <cell r="P356"/>
          <cell r="Q356"/>
          <cell r="R356"/>
          <cell r="S356"/>
          <cell r="T356"/>
        </row>
        <row r="357">
          <cell r="A357" t="str">
            <v>Investments in associates</v>
          </cell>
          <cell r="B357">
            <v>-19</v>
          </cell>
          <cell r="C357">
            <v>-17</v>
          </cell>
          <cell r="D357">
            <v>-10</v>
          </cell>
          <cell r="E357">
            <v>-1</v>
          </cell>
          <cell r="F357">
            <v>2</v>
          </cell>
          <cell r="G357">
            <v>2</v>
          </cell>
          <cell r="H357">
            <v>-25</v>
          </cell>
          <cell r="I357">
            <v>-13</v>
          </cell>
          <cell r="J357">
            <v>-39</v>
          </cell>
          <cell r="K357">
            <v>-27</v>
          </cell>
          <cell r="L357">
            <v>-13</v>
          </cell>
          <cell r="M357">
            <v>-24</v>
          </cell>
          <cell r="N357">
            <v>-48</v>
          </cell>
          <cell r="O357">
            <v>-1</v>
          </cell>
          <cell r="P357">
            <v>-2</v>
          </cell>
          <cell r="Q357">
            <v>-2</v>
          </cell>
          <cell r="R357">
            <v>-13</v>
          </cell>
          <cell r="S357">
            <v>-11</v>
          </cell>
          <cell r="T357">
            <v>-13</v>
          </cell>
        </row>
        <row r="358">
          <cell r="A358" t="str">
            <v>Disposals of businesses</v>
          </cell>
          <cell r="B358"/>
          <cell r="C358">
            <v>4</v>
          </cell>
          <cell r="D358">
            <v>6</v>
          </cell>
          <cell r="E358">
            <v>22</v>
          </cell>
          <cell r="F358">
            <v>16</v>
          </cell>
          <cell r="G358">
            <v>35</v>
          </cell>
          <cell r="H358">
            <v>0</v>
          </cell>
          <cell r="I358">
            <v>68</v>
          </cell>
          <cell r="J358">
            <v>172</v>
          </cell>
          <cell r="K358">
            <v>14</v>
          </cell>
          <cell r="L358">
            <v>-5</v>
          </cell>
          <cell r="M358">
            <v>102</v>
          </cell>
          <cell r="N358">
            <v>14</v>
          </cell>
          <cell r="O358">
            <v>34</v>
          </cell>
          <cell r="P358">
            <v>16</v>
          </cell>
          <cell r="Q358">
            <v>16</v>
          </cell>
          <cell r="R358">
            <v>6</v>
          </cell>
          <cell r="S358">
            <v>2</v>
          </cell>
          <cell r="T358">
            <v>3</v>
          </cell>
        </row>
        <row r="359">
          <cell r="A359" t="str">
            <v>of which, fixed assets</v>
          </cell>
          <cell r="B359"/>
          <cell r="C359"/>
          <cell r="D359"/>
          <cell r="E359"/>
          <cell r="F359"/>
          <cell r="G359"/>
          <cell r="H359"/>
          <cell r="I359"/>
          <cell r="J359"/>
          <cell r="K359"/>
          <cell r="L359"/>
          <cell r="M359"/>
          <cell r="N359"/>
          <cell r="O359"/>
          <cell r="P359"/>
          <cell r="Q359"/>
          <cell r="R359"/>
          <cell r="S359"/>
          <cell r="T359"/>
        </row>
        <row r="360">
          <cell r="A360" t="str">
            <v>of which, goodwill</v>
          </cell>
          <cell r="B360"/>
          <cell r="C360"/>
          <cell r="D360"/>
          <cell r="E360"/>
          <cell r="F360"/>
          <cell r="G360"/>
          <cell r="H360"/>
          <cell r="I360"/>
          <cell r="J360"/>
          <cell r="K360"/>
          <cell r="L360"/>
          <cell r="M360"/>
          <cell r="N360"/>
          <cell r="O360"/>
          <cell r="P360"/>
          <cell r="Q360"/>
          <cell r="R360"/>
          <cell r="S360"/>
          <cell r="T360"/>
        </row>
        <row r="361">
          <cell r="A361"/>
          <cell r="B361"/>
          <cell r="C361"/>
          <cell r="D361"/>
          <cell r="E361"/>
          <cell r="F361"/>
          <cell r="G361"/>
          <cell r="H361"/>
          <cell r="I361"/>
          <cell r="J361"/>
          <cell r="K361"/>
          <cell r="L361"/>
          <cell r="M361"/>
          <cell r="N361"/>
          <cell r="O361"/>
          <cell r="P361"/>
          <cell r="Q361"/>
          <cell r="R361"/>
          <cell r="S361"/>
          <cell r="T361"/>
        </row>
        <row r="362">
          <cell r="A362" t="str">
            <v>Cash flows pre-financing / exchange adjustments</v>
          </cell>
          <cell r="B362">
            <v>-6</v>
          </cell>
          <cell r="C362">
            <v>-116</v>
          </cell>
          <cell r="D362">
            <v>72</v>
          </cell>
          <cell r="E362">
            <v>100</v>
          </cell>
          <cell r="F362">
            <v>-118</v>
          </cell>
          <cell r="G362">
            <v>-294</v>
          </cell>
          <cell r="H362">
            <v>-51</v>
          </cell>
          <cell r="I362">
            <v>50</v>
          </cell>
          <cell r="J362">
            <v>-35</v>
          </cell>
          <cell r="K362">
            <v>-985</v>
          </cell>
          <cell r="L362">
            <v>3</v>
          </cell>
          <cell r="M362">
            <v>168</v>
          </cell>
          <cell r="N362">
            <v>-62</v>
          </cell>
          <cell r="O362">
            <v>318</v>
          </cell>
          <cell r="P362">
            <v>258</v>
          </cell>
          <cell r="Q362">
            <v>259</v>
          </cell>
          <cell r="R362">
            <v>521</v>
          </cell>
          <cell r="S362">
            <v>517</v>
          </cell>
          <cell r="T362">
            <v>-5</v>
          </cell>
        </row>
        <row r="363">
          <cell r="A363" t="str">
            <v>Proceeds from issue of ordinary shares</v>
          </cell>
          <cell r="B363">
            <v>1</v>
          </cell>
          <cell r="C363">
            <v>-2</v>
          </cell>
          <cell r="D363"/>
          <cell r="E363">
            <v>315</v>
          </cell>
          <cell r="F363">
            <v>4</v>
          </cell>
          <cell r="G363">
            <v>347</v>
          </cell>
          <cell r="H363">
            <v>18</v>
          </cell>
          <cell r="I363">
            <v>4</v>
          </cell>
          <cell r="J363">
            <v>14</v>
          </cell>
          <cell r="K363">
            <v>4</v>
          </cell>
          <cell r="L363">
            <v>10</v>
          </cell>
          <cell r="M363">
            <v>16</v>
          </cell>
          <cell r="N363">
            <v>1</v>
          </cell>
          <cell r="O363">
            <v>1</v>
          </cell>
          <cell r="P363">
            <v>4</v>
          </cell>
          <cell r="Q363">
            <v>4</v>
          </cell>
          <cell r="R363">
            <v>26</v>
          </cell>
          <cell r="S363">
            <v>9</v>
          </cell>
          <cell r="T363">
            <v>29</v>
          </cell>
        </row>
        <row r="364">
          <cell r="A364" t="str">
            <v xml:space="preserve">Revaluations </v>
          </cell>
          <cell r="B364">
            <v>-20</v>
          </cell>
          <cell r="C364"/>
          <cell r="D364"/>
          <cell r="E364"/>
          <cell r="F364">
            <v>2</v>
          </cell>
          <cell r="G364"/>
          <cell r="H364">
            <v>6</v>
          </cell>
          <cell r="I364">
            <v>1</v>
          </cell>
          <cell r="J364">
            <v>-2</v>
          </cell>
          <cell r="K364">
            <v>-10</v>
          </cell>
          <cell r="L364">
            <v>-17</v>
          </cell>
          <cell r="M364">
            <v>5</v>
          </cell>
          <cell r="N364">
            <v>1</v>
          </cell>
          <cell r="O364">
            <v>-37</v>
          </cell>
          <cell r="P364">
            <v>-19</v>
          </cell>
          <cell r="Q364">
            <v>-12</v>
          </cell>
          <cell r="R364">
            <v>5</v>
          </cell>
          <cell r="S364">
            <v>-48</v>
          </cell>
          <cell r="T364">
            <v>41</v>
          </cell>
        </row>
        <row r="365">
          <cell r="A365" t="str">
            <v>Other</v>
          </cell>
          <cell r="B365">
            <v>2</v>
          </cell>
          <cell r="C365">
            <v>-34</v>
          </cell>
          <cell r="D365">
            <v>-6</v>
          </cell>
          <cell r="E365"/>
          <cell r="F365"/>
          <cell r="G365">
            <v>-24</v>
          </cell>
          <cell r="H365">
            <v>-3</v>
          </cell>
          <cell r="I365">
            <v>-4</v>
          </cell>
          <cell r="J365">
            <v>-66</v>
          </cell>
          <cell r="K365">
            <v>-5</v>
          </cell>
          <cell r="L365">
            <v>8</v>
          </cell>
          <cell r="M365"/>
          <cell r="N365">
            <v>-34</v>
          </cell>
          <cell r="O365">
            <v>-10</v>
          </cell>
          <cell r="P365"/>
          <cell r="Q365"/>
          <cell r="R365">
            <v>47</v>
          </cell>
          <cell r="S365">
            <v>13</v>
          </cell>
          <cell r="T365">
            <v>-3</v>
          </cell>
        </row>
        <row r="366">
          <cell r="A366" t="str">
            <v>Statutory movement in net funds</v>
          </cell>
          <cell r="B366">
            <v>-23</v>
          </cell>
          <cell r="C366">
            <v>-152</v>
          </cell>
          <cell r="D366">
            <v>66</v>
          </cell>
          <cell r="E366">
            <v>415</v>
          </cell>
          <cell r="F366">
            <v>-112</v>
          </cell>
          <cell r="G366">
            <v>29</v>
          </cell>
          <cell r="H366">
            <v>-30</v>
          </cell>
          <cell r="I366">
            <v>51</v>
          </cell>
          <cell r="J366">
            <v>-89</v>
          </cell>
          <cell r="K366">
            <v>-996</v>
          </cell>
          <cell r="L366">
            <v>4</v>
          </cell>
          <cell r="M366">
            <v>189</v>
          </cell>
          <cell r="N366">
            <v>-94</v>
          </cell>
          <cell r="O366">
            <v>272</v>
          </cell>
          <cell r="P366">
            <v>243</v>
          </cell>
          <cell r="Q366">
            <v>251</v>
          </cell>
          <cell r="R366">
            <v>599</v>
          </cell>
          <cell r="S366">
            <v>491</v>
          </cell>
          <cell r="T366">
            <v>62</v>
          </cell>
        </row>
        <row r="367">
          <cell r="A367"/>
          <cell r="B367"/>
          <cell r="C367"/>
          <cell r="D367"/>
          <cell r="E367"/>
          <cell r="F367"/>
          <cell r="G367"/>
          <cell r="H367"/>
          <cell r="I367"/>
          <cell r="J367"/>
          <cell r="K367"/>
          <cell r="L367"/>
          <cell r="M367"/>
          <cell r="N367"/>
          <cell r="O367"/>
          <cell r="P367"/>
          <cell r="Q367"/>
          <cell r="R367"/>
          <cell r="S367"/>
          <cell r="T367"/>
        </row>
        <row r="368">
          <cell r="A368" t="str">
            <v>Cash flow analysis</v>
          </cell>
          <cell r="B368"/>
          <cell r="C368"/>
          <cell r="D368"/>
          <cell r="E368"/>
          <cell r="F368"/>
          <cell r="G368"/>
          <cell r="H368"/>
          <cell r="I368"/>
          <cell r="J368"/>
          <cell r="K368"/>
          <cell r="L368"/>
          <cell r="M368"/>
          <cell r="N368"/>
          <cell r="O368"/>
          <cell r="P368"/>
          <cell r="Q368"/>
          <cell r="R368"/>
          <cell r="S368"/>
          <cell r="T368"/>
        </row>
        <row r="369">
          <cell r="A369"/>
          <cell r="B369"/>
          <cell r="C369"/>
          <cell r="D369"/>
          <cell r="E369"/>
          <cell r="F369"/>
          <cell r="G369"/>
          <cell r="H369"/>
          <cell r="I369"/>
          <cell r="J369"/>
          <cell r="K369"/>
          <cell r="L369"/>
          <cell r="M369"/>
          <cell r="N369"/>
          <cell r="O369"/>
          <cell r="P369"/>
          <cell r="Q369"/>
          <cell r="R369"/>
          <cell r="S369"/>
          <cell r="T369"/>
        </row>
        <row r="370">
          <cell r="A370" t="str">
            <v>Goldman def. operating CF, post net capex and investment in intangibles</v>
          </cell>
          <cell r="B370">
            <v>158</v>
          </cell>
          <cell r="C370">
            <v>-11</v>
          </cell>
          <cell r="D370">
            <v>195</v>
          </cell>
          <cell r="E370">
            <v>161</v>
          </cell>
          <cell r="F370">
            <v>-70</v>
          </cell>
          <cell r="G370">
            <v>132</v>
          </cell>
          <cell r="H370">
            <v>72</v>
          </cell>
          <cell r="I370">
            <v>119</v>
          </cell>
          <cell r="J370">
            <v>-61</v>
          </cell>
          <cell r="K370">
            <v>165</v>
          </cell>
          <cell r="L370">
            <v>228</v>
          </cell>
          <cell r="M370">
            <v>238</v>
          </cell>
          <cell r="N370">
            <v>274</v>
          </cell>
          <cell r="O370">
            <v>470</v>
          </cell>
          <cell r="P370">
            <v>421</v>
          </cell>
          <cell r="Q370">
            <v>428</v>
          </cell>
          <cell r="R370">
            <v>803</v>
          </cell>
          <cell r="S370">
            <v>585</v>
          </cell>
          <cell r="T370">
            <v>183</v>
          </cell>
        </row>
        <row r="371">
          <cell r="A371" t="str">
            <v>Cash conversion (op cash flow / RR defined underlying EBITA)</v>
          </cell>
          <cell r="B371">
            <v>0.67811158798283266</v>
          </cell>
          <cell r="C371">
            <v>-8.7999999999999995E-2</v>
          </cell>
          <cell r="D371">
            <v>1.911764705882353</v>
          </cell>
          <cell r="E371">
            <v>1.8295454545454546</v>
          </cell>
          <cell r="F371">
            <v>-0.7</v>
          </cell>
          <cell r="G371">
            <v>0.85161290322580641</v>
          </cell>
          <cell r="H371">
            <v>0.31718061674008813</v>
          </cell>
          <cell r="I371">
            <v>0.41319444444444442</v>
          </cell>
          <cell r="J371">
            <v>-0.18318318318318319</v>
          </cell>
          <cell r="K371">
            <v>0.39192399049881232</v>
          </cell>
          <cell r="L371">
            <v>0.40787119856887299</v>
          </cell>
          <cell r="M371">
            <v>0.40067340067340068</v>
          </cell>
          <cell r="N371">
            <v>0.75690607734806625</v>
          </cell>
          <cell r="O371">
            <v>1.2533333333333334</v>
          </cell>
          <cell r="P371">
            <v>1.0147023379127502</v>
          </cell>
          <cell r="Q371">
            <v>1.0263788968824941</v>
          </cell>
          <cell r="R371">
            <v>1.1826215022091311</v>
          </cell>
          <cell r="S371">
            <v>0.78208556149732622</v>
          </cell>
          <cell r="T371">
            <v>0.21995192307692307</v>
          </cell>
        </row>
        <row r="372">
          <cell r="A372"/>
          <cell r="B372"/>
          <cell r="C372"/>
          <cell r="D372"/>
          <cell r="E372"/>
          <cell r="F372"/>
          <cell r="G372"/>
          <cell r="H372"/>
          <cell r="I372"/>
          <cell r="J372"/>
          <cell r="K372"/>
          <cell r="L372"/>
          <cell r="M372"/>
          <cell r="N372"/>
          <cell r="O372"/>
          <cell r="P372"/>
          <cell r="Q372"/>
          <cell r="R372"/>
          <cell r="S372"/>
          <cell r="T372"/>
        </row>
        <row r="373">
          <cell r="A373" t="str">
            <v>Goldman defined FCF (pre dividend)</v>
          </cell>
          <cell r="B373">
            <v>116</v>
          </cell>
          <cell r="C373">
            <v>-60</v>
          </cell>
          <cell r="D373">
            <v>146</v>
          </cell>
          <cell r="E373">
            <v>126</v>
          </cell>
          <cell r="F373">
            <v>-85</v>
          </cell>
          <cell r="G373">
            <v>108</v>
          </cell>
          <cell r="H373">
            <v>45</v>
          </cell>
          <cell r="I373">
            <v>84</v>
          </cell>
          <cell r="J373">
            <v>-94</v>
          </cell>
          <cell r="K373">
            <v>101</v>
          </cell>
          <cell r="L373">
            <v>140</v>
          </cell>
          <cell r="M373">
            <v>175</v>
          </cell>
          <cell r="N373">
            <v>161</v>
          </cell>
          <cell r="O373">
            <v>382</v>
          </cell>
          <cell r="P373">
            <v>304</v>
          </cell>
          <cell r="Q373">
            <v>305</v>
          </cell>
          <cell r="R373">
            <v>580</v>
          </cell>
          <cell r="S373">
            <v>624</v>
          </cell>
          <cell r="T373">
            <v>113</v>
          </cell>
        </row>
        <row r="374">
          <cell r="A374" t="str">
            <v>as a % of sales</v>
          </cell>
          <cell r="B374">
            <v>3.1607629427792917E-2</v>
          </cell>
          <cell r="C374">
            <v>-1.7069701280227598E-2</v>
          </cell>
          <cell r="D374">
            <v>4.0988208871420552E-2</v>
          </cell>
          <cell r="E374">
            <v>3.5815804434337691E-2</v>
          </cell>
          <cell r="F374">
            <v>-2.6873221625039519E-2</v>
          </cell>
          <cell r="G374">
            <v>3.0025020850708923E-2</v>
          </cell>
          <cell r="H374">
            <v>1.0487065951992542E-2</v>
          </cell>
          <cell r="I374">
            <v>1.9319227230910764E-2</v>
          </cell>
          <cell r="J374">
            <v>-2.090747330960854E-2</v>
          </cell>
          <cell r="K374">
            <v>2.1795425118687959E-2</v>
          </cell>
          <cell r="L374">
            <v>2.3874488403819918E-2</v>
          </cell>
          <cell r="M374">
            <v>2.7654867256637169E-2</v>
          </cell>
          <cell r="N374">
            <v>2.7816171389080858E-2</v>
          </cell>
          <cell r="O374">
            <v>6.7670504871567755E-2</v>
          </cell>
          <cell r="P374">
            <v>5.1187068530055564E-2</v>
          </cell>
          <cell r="Q374">
            <v>5.1294988227379754E-2</v>
          </cell>
          <cell r="R374">
            <v>8.9811087023846395E-2</v>
          </cell>
          <cell r="S374">
            <v>8.4863321093431254E-2</v>
          </cell>
          <cell r="T374">
            <v>1.4455673532045542E-2</v>
          </cell>
        </row>
        <row r="375">
          <cell r="A375"/>
          <cell r="B375"/>
          <cell r="C375"/>
          <cell r="D375"/>
          <cell r="E375"/>
          <cell r="F375"/>
          <cell r="G375"/>
          <cell r="H375"/>
          <cell r="I375"/>
          <cell r="J375"/>
          <cell r="K375"/>
          <cell r="L375"/>
          <cell r="M375"/>
          <cell r="N375"/>
          <cell r="O375"/>
          <cell r="P375"/>
          <cell r="Q375"/>
          <cell r="R375"/>
          <cell r="S375"/>
          <cell r="T375"/>
        </row>
        <row r="376">
          <cell r="A376" t="str">
            <v>Goldman defined FCF (pre-div) per share (pence)</v>
          </cell>
          <cell r="B376">
            <v>12.070759625390219</v>
          </cell>
          <cell r="C376">
            <v>-6.2370062370062378</v>
          </cell>
          <cell r="D376">
            <v>15.113871635610765</v>
          </cell>
          <cell r="E376">
            <v>11.909262759924385</v>
          </cell>
          <cell r="F376">
            <v>-6.9444444444444446</v>
          </cell>
          <cell r="G376">
            <v>7.7922077922077921</v>
          </cell>
          <cell r="H376">
            <v>3.0570652173913042</v>
          </cell>
          <cell r="I376">
            <v>5.6833558863328824</v>
          </cell>
          <cell r="J376">
            <v>-6.2834224598930479</v>
          </cell>
          <cell r="K376">
            <v>6.7065073041168652</v>
          </cell>
          <cell r="L376">
            <v>8.9858793324775359</v>
          </cell>
          <cell r="M376">
            <v>11.013215859030836</v>
          </cell>
          <cell r="N376">
            <v>9.9875930521091814</v>
          </cell>
          <cell r="O376">
            <v>23.193685488767457</v>
          </cell>
          <cell r="P376">
            <v>17.988165680473372</v>
          </cell>
          <cell r="Q376">
            <v>18.047337278106511</v>
          </cell>
          <cell r="R376">
            <v>33.333333333333329</v>
          </cell>
          <cell r="S376">
            <v>35.841470419299256</v>
          </cell>
          <cell r="T376">
            <v>6.2777777777777777</v>
          </cell>
        </row>
        <row r="377">
          <cell r="A377"/>
          <cell r="B377"/>
          <cell r="C377"/>
          <cell r="D377"/>
          <cell r="E377"/>
          <cell r="F377"/>
          <cell r="G377"/>
          <cell r="H377"/>
          <cell r="I377"/>
          <cell r="J377"/>
          <cell r="K377"/>
          <cell r="L377"/>
          <cell r="M377"/>
          <cell r="N377"/>
          <cell r="O377"/>
          <cell r="P377"/>
          <cell r="Q377"/>
          <cell r="R377"/>
          <cell r="S377"/>
          <cell r="T377"/>
        </row>
        <row r="378">
          <cell r="A378" t="str">
            <v>Capitalised costs</v>
          </cell>
          <cell r="B378"/>
          <cell r="C378"/>
          <cell r="D378"/>
          <cell r="E378"/>
          <cell r="F378"/>
          <cell r="G378"/>
          <cell r="H378"/>
          <cell r="I378"/>
          <cell r="J378"/>
          <cell r="K378"/>
          <cell r="L378"/>
          <cell r="M378"/>
          <cell r="N378"/>
          <cell r="O378"/>
          <cell r="P378"/>
          <cell r="Q378"/>
          <cell r="R378"/>
          <cell r="S378"/>
          <cell r="T378"/>
        </row>
        <row r="379">
          <cell r="A379"/>
          <cell r="B379"/>
          <cell r="C379"/>
          <cell r="D379"/>
          <cell r="E379"/>
          <cell r="F379"/>
          <cell r="G379"/>
          <cell r="H379"/>
          <cell r="I379"/>
          <cell r="J379"/>
          <cell r="K379"/>
          <cell r="L379"/>
          <cell r="M379"/>
          <cell r="N379"/>
          <cell r="O379"/>
          <cell r="P379"/>
          <cell r="Q379"/>
          <cell r="R379"/>
          <cell r="S379"/>
          <cell r="T379"/>
        </row>
        <row r="380">
          <cell r="A380" t="str">
            <v>Net capitalised R&amp;D (for info only)</v>
          </cell>
          <cell r="B380"/>
          <cell r="C380"/>
          <cell r="D380"/>
          <cell r="E380"/>
          <cell r="F380"/>
          <cell r="G380"/>
          <cell r="H380"/>
          <cell r="I380"/>
          <cell r="J380"/>
          <cell r="K380"/>
          <cell r="L380"/>
          <cell r="M380"/>
          <cell r="N380"/>
          <cell r="O380"/>
          <cell r="P380"/>
          <cell r="Q380">
            <v>5</v>
          </cell>
          <cell r="R380">
            <v>57</v>
          </cell>
          <cell r="S380">
            <v>25</v>
          </cell>
          <cell r="T380">
            <v>73</v>
          </cell>
        </row>
        <row r="381">
          <cell r="A381" t="str">
            <v>Net capitalised recoverable engine costs (for info only)</v>
          </cell>
          <cell r="B381"/>
          <cell r="C381"/>
          <cell r="D381"/>
          <cell r="E381"/>
          <cell r="F381"/>
          <cell r="G381"/>
          <cell r="H381"/>
          <cell r="I381"/>
          <cell r="J381"/>
          <cell r="K381"/>
          <cell r="L381"/>
          <cell r="M381"/>
          <cell r="N381"/>
          <cell r="O381"/>
          <cell r="P381"/>
          <cell r="Q381">
            <v>-5</v>
          </cell>
          <cell r="R381">
            <v>4</v>
          </cell>
          <cell r="S381">
            <v>34</v>
          </cell>
          <cell r="T381">
            <v>9</v>
          </cell>
        </row>
        <row r="382">
          <cell r="A382" t="str">
            <v>Net certification and participation fees (for info only)</v>
          </cell>
          <cell r="B382"/>
          <cell r="C382"/>
          <cell r="D382"/>
          <cell r="E382"/>
          <cell r="F382"/>
          <cell r="G382"/>
          <cell r="H382"/>
          <cell r="I382"/>
          <cell r="J382"/>
          <cell r="K382"/>
          <cell r="L382"/>
          <cell r="M382"/>
          <cell r="N382"/>
          <cell r="O382"/>
          <cell r="P382"/>
          <cell r="Q382">
            <v>84</v>
          </cell>
          <cell r="R382">
            <v>1</v>
          </cell>
          <cell r="S382">
            <v>86</v>
          </cell>
          <cell r="T382">
            <v>122</v>
          </cell>
        </row>
        <row r="383">
          <cell r="A383"/>
          <cell r="B383"/>
          <cell r="C383"/>
          <cell r="D383"/>
          <cell r="E383"/>
          <cell r="F383"/>
          <cell r="G383"/>
          <cell r="H383"/>
          <cell r="I383"/>
          <cell r="J383"/>
          <cell r="K383"/>
          <cell r="L383"/>
          <cell r="M383"/>
          <cell r="N383"/>
          <cell r="O383"/>
          <cell r="P383"/>
          <cell r="Q383"/>
          <cell r="R383"/>
          <cell r="S383"/>
          <cell r="T383"/>
        </row>
        <row r="384">
          <cell r="A384"/>
          <cell r="B384"/>
          <cell r="C384"/>
          <cell r="D384"/>
          <cell r="E384"/>
          <cell r="F384"/>
          <cell r="G384"/>
          <cell r="H384"/>
          <cell r="I384"/>
          <cell r="J384"/>
          <cell r="K384"/>
          <cell r="L384"/>
          <cell r="M384"/>
          <cell r="N384"/>
          <cell r="O384"/>
          <cell r="P384"/>
          <cell r="Q384"/>
          <cell r="R384"/>
          <cell r="S384"/>
          <cell r="T384"/>
        </row>
        <row r="385">
          <cell r="A385" t="str">
            <v>Checking Net cash from operating activities</v>
          </cell>
          <cell r="B385">
            <v>0</v>
          </cell>
          <cell r="C385">
            <v>0</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row>
        <row r="386">
          <cell r="A386" t="str">
            <v>Checking Statutory movement in net funds</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row>
        <row r="387">
          <cell r="A387"/>
          <cell r="B387"/>
          <cell r="C387"/>
          <cell r="D387"/>
          <cell r="E387"/>
          <cell r="F387"/>
          <cell r="G387"/>
          <cell r="H387"/>
          <cell r="I387"/>
          <cell r="J387"/>
          <cell r="K387"/>
          <cell r="L387"/>
          <cell r="M387"/>
          <cell r="N387"/>
          <cell r="O387"/>
          <cell r="P387"/>
          <cell r="Q387"/>
          <cell r="R387"/>
          <cell r="S387"/>
          <cell r="T387"/>
        </row>
        <row r="388">
          <cell r="A388" t="str">
            <v>Rolls-Royce (£)</v>
          </cell>
          <cell r="B388"/>
          <cell r="C388"/>
          <cell r="D388"/>
          <cell r="E388"/>
          <cell r="F388"/>
          <cell r="G388"/>
          <cell r="H388"/>
          <cell r="I388"/>
          <cell r="J388"/>
        </row>
        <row r="389">
          <cell r="A389" t="str">
            <v>Year to December</v>
          </cell>
          <cell r="B389"/>
          <cell r="C389"/>
          <cell r="D389"/>
          <cell r="E389"/>
          <cell r="F389"/>
          <cell r="G389"/>
          <cell r="H389"/>
          <cell r="I389"/>
          <cell r="J389"/>
        </row>
        <row r="390">
          <cell r="A390"/>
          <cell r="B390"/>
          <cell r="C390"/>
          <cell r="D390"/>
          <cell r="E390"/>
          <cell r="F390"/>
          <cell r="G390"/>
          <cell r="H390"/>
          <cell r="I390"/>
          <cell r="J390"/>
          <cell r="K390"/>
          <cell r="L390"/>
          <cell r="M390"/>
          <cell r="N390"/>
          <cell r="O390"/>
          <cell r="P390"/>
          <cell r="Q390"/>
          <cell r="R390"/>
          <cell r="S390"/>
          <cell r="T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t="str">
            <v>UK GAAP</v>
          </cell>
          <cell r="C393" t="str">
            <v>UK GAAP</v>
          </cell>
          <cell r="D393" t="str">
            <v>UK GAAP</v>
          </cell>
          <cell r="E393" t="str">
            <v>UK GAAP</v>
          </cell>
          <cell r="F393" t="str">
            <v>UK GAAP</v>
          </cell>
          <cell r="G393" t="str">
            <v>UK GAAP</v>
          </cell>
          <cell r="H393" t="str">
            <v>UK GAAP</v>
          </cell>
          <cell r="I393" t="str">
            <v>UK GAAP</v>
          </cell>
          <cell r="J393" t="str">
            <v>UK GAAP</v>
          </cell>
          <cell r="K393" t="str">
            <v>UK GAAP</v>
          </cell>
          <cell r="L393" t="str">
            <v>UK GAAP</v>
          </cell>
          <cell r="M393" t="str">
            <v>UK GAAP</v>
          </cell>
          <cell r="N393" t="str">
            <v>UK GAAP</v>
          </cell>
          <cell r="O393" t="str">
            <v>UK GAAP</v>
          </cell>
          <cell r="P393" t="str">
            <v>UK GAAP</v>
          </cell>
          <cell r="Q393" t="str">
            <v>IFRS</v>
          </cell>
          <cell r="R393" t="str">
            <v>IFRS</v>
          </cell>
          <cell r="S393" t="str">
            <v>IFRS</v>
          </cell>
          <cell r="T393" t="str">
            <v>IFRS</v>
          </cell>
        </row>
        <row r="394">
          <cell r="A394" t="str">
            <v>Balance sheet (1)</v>
          </cell>
          <cell r="B394">
            <v>1990</v>
          </cell>
          <cell r="C394">
            <v>1991</v>
          </cell>
          <cell r="D394">
            <v>1992</v>
          </cell>
          <cell r="E394">
            <v>1993</v>
          </cell>
          <cell r="F394">
            <v>1994</v>
          </cell>
          <cell r="G394">
            <v>1995</v>
          </cell>
          <cell r="H394">
            <v>1996</v>
          </cell>
          <cell r="I394">
            <v>1997</v>
          </cell>
          <cell r="J394">
            <v>1998</v>
          </cell>
          <cell r="K394">
            <v>1999</v>
          </cell>
          <cell r="L394">
            <v>2000</v>
          </cell>
          <cell r="M394">
            <v>2001</v>
          </cell>
          <cell r="N394">
            <v>2002</v>
          </cell>
          <cell r="O394">
            <v>2003</v>
          </cell>
          <cell r="P394">
            <v>2004</v>
          </cell>
          <cell r="Q394" t="str">
            <v>2004pf</v>
          </cell>
          <cell r="R394">
            <v>2005</v>
          </cell>
          <cell r="S394">
            <v>2006</v>
          </cell>
          <cell r="T394">
            <v>2007</v>
          </cell>
        </row>
        <row r="395">
          <cell r="A395"/>
          <cell r="B395"/>
          <cell r="C395"/>
          <cell r="D395"/>
          <cell r="E395"/>
          <cell r="F395"/>
          <cell r="G395"/>
          <cell r="H395"/>
          <cell r="I395"/>
          <cell r="J395"/>
          <cell r="K395"/>
          <cell r="L395"/>
          <cell r="M395"/>
          <cell r="N395"/>
          <cell r="O395"/>
          <cell r="P395"/>
          <cell r="Q395"/>
          <cell r="R395"/>
          <cell r="S395"/>
          <cell r="T395"/>
        </row>
        <row r="396">
          <cell r="A396" t="str">
            <v>Marketable securities</v>
          </cell>
          <cell r="G396">
            <v>153</v>
          </cell>
          <cell r="H396">
            <v>544</v>
          </cell>
          <cell r="I396">
            <v>386</v>
          </cell>
          <cell r="J396">
            <v>722</v>
          </cell>
          <cell r="K396">
            <v>464</v>
          </cell>
          <cell r="L396">
            <v>142</v>
          </cell>
          <cell r="M396">
            <v>301</v>
          </cell>
          <cell r="N396">
            <v>84</v>
          </cell>
          <cell r="O396">
            <v>174</v>
          </cell>
          <cell r="P396">
            <v>730</v>
          </cell>
          <cell r="Q396">
            <v>36</v>
          </cell>
          <cell r="R396">
            <v>37</v>
          </cell>
          <cell r="S396">
            <v>34</v>
          </cell>
          <cell r="T396">
            <v>40</v>
          </cell>
        </row>
        <row r="397">
          <cell r="A397" t="str">
            <v>Cash</v>
          </cell>
          <cell r="G397">
            <v>599</v>
          </cell>
          <cell r="H397">
            <v>231</v>
          </cell>
          <cell r="I397">
            <v>511</v>
          </cell>
          <cell r="J397">
            <v>297</v>
          </cell>
          <cell r="K397">
            <v>521</v>
          </cell>
          <cell r="L397">
            <v>498</v>
          </cell>
          <cell r="M397">
            <v>578</v>
          </cell>
          <cell r="N397">
            <v>634</v>
          </cell>
          <cell r="O397">
            <v>794</v>
          </cell>
          <cell r="P397">
            <v>758</v>
          </cell>
          <cell r="Q397">
            <v>1452</v>
          </cell>
          <cell r="R397">
            <v>1757</v>
          </cell>
          <cell r="S397">
            <v>2185</v>
          </cell>
          <cell r="T397">
            <v>1897</v>
          </cell>
        </row>
        <row r="398">
          <cell r="A398" t="str">
            <v>Total cash</v>
          </cell>
          <cell r="B398">
            <v>431</v>
          </cell>
          <cell r="C398">
            <v>410</v>
          </cell>
          <cell r="D398">
            <v>479</v>
          </cell>
          <cell r="E398">
            <v>891</v>
          </cell>
          <cell r="F398">
            <v>681</v>
          </cell>
          <cell r="G398">
            <v>752</v>
          </cell>
          <cell r="H398">
            <v>775</v>
          </cell>
          <cell r="I398">
            <v>897</v>
          </cell>
          <cell r="J398">
            <v>1019</v>
          </cell>
          <cell r="K398">
            <v>985</v>
          </cell>
          <cell r="L398">
            <v>640</v>
          </cell>
          <cell r="M398">
            <v>879</v>
          </cell>
          <cell r="N398">
            <v>718</v>
          </cell>
          <cell r="O398">
            <v>968</v>
          </cell>
          <cell r="P398">
            <v>1488</v>
          </cell>
          <cell r="Q398">
            <v>1488</v>
          </cell>
          <cell r="R398">
            <v>1794</v>
          </cell>
          <cell r="S398">
            <v>2219</v>
          </cell>
          <cell r="T398">
            <v>1937</v>
          </cell>
        </row>
        <row r="399">
          <cell r="A399"/>
          <cell r="B399"/>
          <cell r="C399"/>
          <cell r="D399"/>
          <cell r="E399"/>
          <cell r="F399"/>
          <cell r="G399"/>
          <cell r="H399"/>
          <cell r="I399"/>
          <cell r="J399"/>
          <cell r="K399"/>
          <cell r="L399"/>
          <cell r="M399"/>
          <cell r="N399"/>
          <cell r="O399"/>
          <cell r="P399"/>
          <cell r="Q399"/>
          <cell r="R399"/>
          <cell r="S399"/>
          <cell r="T399"/>
        </row>
        <row r="400">
          <cell r="A400" t="str">
            <v>Short term debt</v>
          </cell>
          <cell r="B400">
            <v>-100</v>
          </cell>
          <cell r="C400">
            <v>-57</v>
          </cell>
          <cell r="D400">
            <v>-214</v>
          </cell>
          <cell r="E400">
            <v>-84</v>
          </cell>
          <cell r="F400">
            <v>-11</v>
          </cell>
          <cell r="G400">
            <v>-30</v>
          </cell>
          <cell r="H400">
            <v>-88</v>
          </cell>
          <cell r="I400">
            <v>-309</v>
          </cell>
          <cell r="J400">
            <v>-177</v>
          </cell>
          <cell r="K400">
            <v>-408</v>
          </cell>
          <cell r="L400">
            <v>-272</v>
          </cell>
          <cell r="M400">
            <v>-276</v>
          </cell>
          <cell r="N400">
            <v>-275</v>
          </cell>
          <cell r="O400">
            <v>-94</v>
          </cell>
          <cell r="P400">
            <v>-204</v>
          </cell>
          <cell r="Q400">
            <v>-207</v>
          </cell>
          <cell r="R400">
            <v>-75</v>
          </cell>
          <cell r="S400">
            <v>-400</v>
          </cell>
          <cell r="T400">
            <v>-34</v>
          </cell>
        </row>
        <row r="401">
          <cell r="A401" t="str">
            <v>Long term debt</v>
          </cell>
          <cell r="B401">
            <v>-161</v>
          </cell>
          <cell r="C401">
            <v>-335</v>
          </cell>
          <cell r="D401">
            <v>-181</v>
          </cell>
          <cell r="E401">
            <v>-410</v>
          </cell>
          <cell r="F401">
            <v>-385</v>
          </cell>
          <cell r="G401">
            <v>-408</v>
          </cell>
          <cell r="H401">
            <v>-403</v>
          </cell>
          <cell r="I401">
            <v>-375</v>
          </cell>
          <cell r="J401">
            <v>-540</v>
          </cell>
          <cell r="K401">
            <v>-1271</v>
          </cell>
          <cell r="L401">
            <v>-1058</v>
          </cell>
          <cell r="M401">
            <v>-1104</v>
          </cell>
          <cell r="N401">
            <v>-1038</v>
          </cell>
          <cell r="O401">
            <v>-1197</v>
          </cell>
          <cell r="P401">
            <v>-1364</v>
          </cell>
          <cell r="Q401">
            <v>-1430</v>
          </cell>
          <cell r="R401">
            <v>-1458</v>
          </cell>
          <cell r="S401">
            <v>-990</v>
          </cell>
          <cell r="T401">
            <v>-1030</v>
          </cell>
        </row>
        <row r="402">
          <cell r="A402" t="str">
            <v xml:space="preserve">Total debt </v>
          </cell>
          <cell r="B402">
            <v>-261</v>
          </cell>
          <cell r="C402">
            <v>-392</v>
          </cell>
          <cell r="D402">
            <v>-395</v>
          </cell>
          <cell r="E402">
            <v>-494</v>
          </cell>
          <cell r="F402">
            <v>-396</v>
          </cell>
          <cell r="G402">
            <v>-438</v>
          </cell>
          <cell r="H402">
            <v>-491</v>
          </cell>
          <cell r="I402">
            <v>-684</v>
          </cell>
          <cell r="J402">
            <v>-717</v>
          </cell>
          <cell r="K402">
            <v>-1679</v>
          </cell>
          <cell r="L402">
            <v>-1330</v>
          </cell>
          <cell r="M402">
            <v>-1380</v>
          </cell>
          <cell r="N402">
            <v>-1313</v>
          </cell>
          <cell r="O402">
            <v>-1291</v>
          </cell>
          <cell r="P402">
            <v>-1568</v>
          </cell>
          <cell r="Q402">
            <v>-1637</v>
          </cell>
          <cell r="R402">
            <v>-1533</v>
          </cell>
          <cell r="S402">
            <v>-1390</v>
          </cell>
          <cell r="T402">
            <v>-1064</v>
          </cell>
        </row>
        <row r="403">
          <cell r="A403"/>
          <cell r="B403"/>
          <cell r="C403"/>
          <cell r="D403"/>
          <cell r="E403"/>
          <cell r="F403"/>
          <cell r="G403"/>
          <cell r="H403"/>
          <cell r="I403"/>
          <cell r="J403"/>
          <cell r="K403"/>
          <cell r="L403"/>
          <cell r="M403"/>
          <cell r="N403"/>
          <cell r="O403"/>
          <cell r="P403"/>
          <cell r="Q403"/>
          <cell r="R403"/>
          <cell r="S403"/>
          <cell r="T403"/>
        </row>
        <row r="404">
          <cell r="A404" t="str">
            <v>Fair value of swaps hedging fixed rate borrowings</v>
          </cell>
          <cell r="B404"/>
          <cell r="C404"/>
          <cell r="D404"/>
          <cell r="E404"/>
          <cell r="F404"/>
          <cell r="G404"/>
          <cell r="H404"/>
          <cell r="I404"/>
          <cell r="J404"/>
          <cell r="K404"/>
          <cell r="L404"/>
          <cell r="M404"/>
          <cell r="N404"/>
          <cell r="O404"/>
          <cell r="P404"/>
          <cell r="Q404">
            <v>0</v>
          </cell>
          <cell r="R404">
            <v>74</v>
          </cell>
          <cell r="S404">
            <v>-3</v>
          </cell>
          <cell r="T404">
            <v>15</v>
          </cell>
        </row>
        <row r="405">
          <cell r="A405" t="str">
            <v>Net (debt) / cash</v>
          </cell>
          <cell r="B405">
            <v>170</v>
          </cell>
          <cell r="C405">
            <v>18</v>
          </cell>
          <cell r="D405">
            <v>84</v>
          </cell>
          <cell r="E405">
            <v>397</v>
          </cell>
          <cell r="F405">
            <v>285</v>
          </cell>
          <cell r="G405">
            <v>314</v>
          </cell>
          <cell r="H405">
            <v>284</v>
          </cell>
          <cell r="I405">
            <v>213</v>
          </cell>
          <cell r="J405">
            <v>302</v>
          </cell>
          <cell r="K405">
            <v>-694</v>
          </cell>
          <cell r="L405">
            <v>-690</v>
          </cell>
          <cell r="M405">
            <v>-501</v>
          </cell>
          <cell r="N405">
            <v>-595</v>
          </cell>
          <cell r="O405">
            <v>-323</v>
          </cell>
          <cell r="P405">
            <v>-80</v>
          </cell>
          <cell r="Q405">
            <v>-149</v>
          </cell>
          <cell r="R405">
            <v>335</v>
          </cell>
          <cell r="S405">
            <v>826</v>
          </cell>
          <cell r="T405">
            <v>888</v>
          </cell>
        </row>
        <row r="406">
          <cell r="A406" t="str">
            <v>Change in net debt y/y</v>
          </cell>
          <cell r="B406">
            <v>-23</v>
          </cell>
          <cell r="C406">
            <v>-152</v>
          </cell>
          <cell r="D406">
            <v>66</v>
          </cell>
          <cell r="E406">
            <v>313</v>
          </cell>
          <cell r="F406">
            <v>-112</v>
          </cell>
          <cell r="G406">
            <v>29</v>
          </cell>
          <cell r="H406">
            <v>-30</v>
          </cell>
          <cell r="I406">
            <v>-71</v>
          </cell>
          <cell r="J406">
            <v>89</v>
          </cell>
          <cell r="K406">
            <v>-996</v>
          </cell>
          <cell r="L406">
            <v>4</v>
          </cell>
          <cell r="M406">
            <v>189</v>
          </cell>
          <cell r="N406">
            <v>-94</v>
          </cell>
          <cell r="O406">
            <v>272</v>
          </cell>
          <cell r="P406">
            <v>243</v>
          </cell>
          <cell r="Q406" t="str">
            <v>n/a</v>
          </cell>
          <cell r="R406">
            <v>484</v>
          </cell>
          <cell r="S406">
            <v>491</v>
          </cell>
          <cell r="T406">
            <v>62</v>
          </cell>
        </row>
        <row r="407">
          <cell r="A407" t="str">
            <v>Checking net (debt) / cash</v>
          </cell>
          <cell r="B407"/>
          <cell r="C407"/>
          <cell r="D407"/>
          <cell r="E407"/>
          <cell r="F407"/>
          <cell r="G407"/>
          <cell r="H407"/>
          <cell r="I407"/>
          <cell r="J407"/>
          <cell r="K407"/>
          <cell r="L407"/>
          <cell r="M407"/>
          <cell r="N407"/>
          <cell r="O407"/>
          <cell r="P407"/>
          <cell r="Q407"/>
          <cell r="R407"/>
          <cell r="S407"/>
          <cell r="T407">
            <v>0</v>
          </cell>
        </row>
        <row r="408">
          <cell r="A408"/>
          <cell r="B408"/>
          <cell r="C408"/>
          <cell r="D408"/>
          <cell r="E408"/>
          <cell r="F408"/>
          <cell r="G408"/>
          <cell r="H408"/>
          <cell r="I408"/>
          <cell r="J408"/>
          <cell r="K408"/>
          <cell r="L408"/>
          <cell r="M408"/>
          <cell r="N408"/>
          <cell r="O408"/>
          <cell r="P408"/>
          <cell r="Q408"/>
          <cell r="R408"/>
          <cell r="S408"/>
          <cell r="T408"/>
        </row>
        <row r="409">
          <cell r="A409" t="str">
            <v>Average net (debt) / cash (for info only)</v>
          </cell>
          <cell r="B409">
            <v>95</v>
          </cell>
          <cell r="C409">
            <v>-19</v>
          </cell>
          <cell r="D409">
            <v>49</v>
          </cell>
          <cell r="E409">
            <v>-159</v>
          </cell>
          <cell r="F409">
            <v>118</v>
          </cell>
          <cell r="G409">
            <v>-96</v>
          </cell>
          <cell r="H409">
            <v>50</v>
          </cell>
          <cell r="I409">
            <v>65</v>
          </cell>
          <cell r="J409">
            <v>-180</v>
          </cell>
          <cell r="K409">
            <v>-573</v>
          </cell>
          <cell r="L409">
            <v>-1323</v>
          </cell>
          <cell r="M409">
            <v>-990</v>
          </cell>
          <cell r="N409">
            <v>-1090</v>
          </cell>
          <cell r="O409">
            <v>-950</v>
          </cell>
          <cell r="P409">
            <v>-560</v>
          </cell>
          <cell r="Q409">
            <v>-632</v>
          </cell>
          <cell r="R409">
            <v>-260</v>
          </cell>
          <cell r="S409">
            <v>150</v>
          </cell>
          <cell r="T409">
            <v>350</v>
          </cell>
        </row>
        <row r="410">
          <cell r="A410"/>
          <cell r="B410"/>
          <cell r="C410"/>
          <cell r="D410"/>
          <cell r="E410"/>
          <cell r="F410"/>
          <cell r="G410"/>
          <cell r="H410"/>
          <cell r="I410"/>
          <cell r="J410"/>
          <cell r="K410"/>
          <cell r="L410"/>
          <cell r="M410"/>
          <cell r="N410"/>
          <cell r="O410"/>
          <cell r="P410"/>
          <cell r="Q410"/>
          <cell r="R410"/>
          <cell r="S410"/>
          <cell r="T410"/>
        </row>
        <row r="411">
          <cell r="A411" t="str">
            <v>Rate on average cash</v>
          </cell>
          <cell r="B411" t="str">
            <v>n/a</v>
          </cell>
          <cell r="C411">
            <v>8.3234244946492272E-2</v>
          </cell>
          <cell r="D411">
            <v>6.9741282339707542E-2</v>
          </cell>
          <cell r="E411">
            <v>3.5036496350364967E-2</v>
          </cell>
          <cell r="F411">
            <v>4.7073791348600506E-2</v>
          </cell>
          <cell r="G411">
            <v>4.6057222609909285E-2</v>
          </cell>
          <cell r="H411">
            <v>4.5841519318926001E-2</v>
          </cell>
          <cell r="I411">
            <v>5.5023923444976079E-2</v>
          </cell>
          <cell r="J411">
            <v>4.1753653444676408E-2</v>
          </cell>
          <cell r="K411">
            <v>2.7944111776447105E-2</v>
          </cell>
          <cell r="L411">
            <v>3.323076923076923E-2</v>
          </cell>
          <cell r="M411">
            <v>3.1599736668861095E-2</v>
          </cell>
          <cell r="N411">
            <v>2.7551659361302442E-2</v>
          </cell>
          <cell r="O411">
            <v>3.084223013048636E-2</v>
          </cell>
          <cell r="P411">
            <v>4.7231270358306189E-2</v>
          </cell>
          <cell r="Q411">
            <v>3.8978494623655914E-2</v>
          </cell>
          <cell r="R411">
            <v>3.9609993906154786E-2</v>
          </cell>
          <cell r="S411">
            <v>4.0867181659606282E-2</v>
          </cell>
          <cell r="T411">
            <v>3.9942252165543791E-2</v>
          </cell>
        </row>
        <row r="412">
          <cell r="A412" t="str">
            <v>Cost of average debt</v>
          </cell>
          <cell r="B412" t="str">
            <v>n/a</v>
          </cell>
          <cell r="C412">
            <v>-0.15620214395099541</v>
          </cell>
          <cell r="D412">
            <v>-0.12452350698856417</v>
          </cell>
          <cell r="E412">
            <v>-8.0989876265466818E-2</v>
          </cell>
          <cell r="F412">
            <v>-8.0898876404494377E-2</v>
          </cell>
          <cell r="G412">
            <v>-0.1079136690647482</v>
          </cell>
          <cell r="H412">
            <v>-9.0419806243272338E-2</v>
          </cell>
          <cell r="I412">
            <v>-9.3617021276595741E-2</v>
          </cell>
          <cell r="J412">
            <v>-7.4232690935046391E-2</v>
          </cell>
          <cell r="K412">
            <v>-5.2587646076794656E-2</v>
          </cell>
          <cell r="L412">
            <v>-7.4443336656696571E-2</v>
          </cell>
          <cell r="M412">
            <v>-7.4538745387453878E-2</v>
          </cell>
          <cell r="N412">
            <v>-6.9810620126253248E-2</v>
          </cell>
          <cell r="O412">
            <v>-7.0660522273425494E-2</v>
          </cell>
          <cell r="P412">
            <v>-7.4151801329136055E-2</v>
          </cell>
          <cell r="Q412">
            <v>-6.8642745709828396E-2</v>
          </cell>
          <cell r="R412">
            <v>-6.5615141955835968E-2</v>
          </cell>
          <cell r="S412">
            <v>-6.8422853232979822E-2</v>
          </cell>
          <cell r="T412">
            <v>-7.2534637326813367E-2</v>
          </cell>
        </row>
        <row r="413">
          <cell r="A413" t="str">
            <v>Interest income (underlying)</v>
          </cell>
          <cell r="B413">
            <v>40</v>
          </cell>
          <cell r="C413">
            <v>35</v>
          </cell>
          <cell r="D413">
            <v>31</v>
          </cell>
          <cell r="E413">
            <v>24</v>
          </cell>
          <cell r="F413">
            <v>37</v>
          </cell>
          <cell r="G413">
            <v>33</v>
          </cell>
          <cell r="H413">
            <v>35</v>
          </cell>
          <cell r="I413">
            <v>46</v>
          </cell>
          <cell r="J413">
            <v>40</v>
          </cell>
          <cell r="K413">
            <v>28</v>
          </cell>
          <cell r="L413">
            <v>27</v>
          </cell>
          <cell r="M413">
            <v>24</v>
          </cell>
          <cell r="N413">
            <v>22</v>
          </cell>
          <cell r="O413">
            <v>26</v>
          </cell>
          <cell r="P413">
            <v>58</v>
          </cell>
          <cell r="Q413">
            <v>58</v>
          </cell>
          <cell r="R413">
            <v>65</v>
          </cell>
          <cell r="S413">
            <v>82</v>
          </cell>
          <cell r="T413">
            <v>83</v>
          </cell>
        </row>
        <row r="414">
          <cell r="A414" t="str">
            <v>Interest expense (underlying)</v>
          </cell>
          <cell r="B414">
            <v>-47</v>
          </cell>
          <cell r="C414">
            <v>-51</v>
          </cell>
          <cell r="D414">
            <v>-49</v>
          </cell>
          <cell r="E414">
            <v>-36</v>
          </cell>
          <cell r="F414">
            <v>-36</v>
          </cell>
          <cell r="G414">
            <v>-45</v>
          </cell>
          <cell r="H414">
            <v>-42</v>
          </cell>
          <cell r="I414">
            <v>-55</v>
          </cell>
          <cell r="J414">
            <v>-52</v>
          </cell>
          <cell r="K414">
            <v>-63</v>
          </cell>
          <cell r="L414">
            <v>-112</v>
          </cell>
          <cell r="M414">
            <v>-101</v>
          </cell>
          <cell r="N414">
            <v>-94</v>
          </cell>
          <cell r="O414">
            <v>-92</v>
          </cell>
          <cell r="P414">
            <v>-106</v>
          </cell>
          <cell r="Q414">
            <v>-110</v>
          </cell>
          <cell r="R414">
            <v>-104</v>
          </cell>
          <cell r="S414">
            <v>-100</v>
          </cell>
          <cell r="T414">
            <v>-89</v>
          </cell>
        </row>
        <row r="415">
          <cell r="A415"/>
          <cell r="B415"/>
          <cell r="C415"/>
          <cell r="D415"/>
          <cell r="E415"/>
          <cell r="F415"/>
          <cell r="G415"/>
          <cell r="H415"/>
          <cell r="I415"/>
          <cell r="J415"/>
          <cell r="K415"/>
          <cell r="L415"/>
          <cell r="M415"/>
          <cell r="N415"/>
          <cell r="O415"/>
          <cell r="P415"/>
          <cell r="Q415"/>
          <cell r="R415"/>
          <cell r="S415"/>
          <cell r="T415"/>
        </row>
        <row r="416">
          <cell r="A416" t="str">
            <v>Fixed assets</v>
          </cell>
          <cell r="B416"/>
          <cell r="C416"/>
          <cell r="D416"/>
          <cell r="E416"/>
          <cell r="F416"/>
          <cell r="G416"/>
          <cell r="H416"/>
          <cell r="I416"/>
          <cell r="J416"/>
        </row>
        <row r="417">
          <cell r="A417" t="str">
            <v>Intangible assets</v>
          </cell>
          <cell r="J417">
            <v>8</v>
          </cell>
          <cell r="K417">
            <v>918</v>
          </cell>
          <cell r="L417">
            <v>889</v>
          </cell>
          <cell r="M417">
            <v>823</v>
          </cell>
          <cell r="N417">
            <v>868</v>
          </cell>
          <cell r="O417">
            <v>863</v>
          </cell>
          <cell r="P417">
            <v>911</v>
          </cell>
          <cell r="Q417">
            <v>1227</v>
          </cell>
          <cell r="R417">
            <v>1281</v>
          </cell>
          <cell r="S417">
            <v>1460</v>
          </cell>
          <cell r="T417">
            <v>1761</v>
          </cell>
        </row>
        <row r="418">
          <cell r="A418" t="str">
            <v>of which, goodwill</v>
          </cell>
          <cell r="B418"/>
          <cell r="C418"/>
          <cell r="D418"/>
          <cell r="E418"/>
          <cell r="F418"/>
          <cell r="G418"/>
          <cell r="H418"/>
          <cell r="I418"/>
          <cell r="J418">
            <v>8</v>
          </cell>
          <cell r="K418">
            <v>873</v>
          </cell>
          <cell r="L418">
            <v>848</v>
          </cell>
          <cell r="M418">
            <v>769</v>
          </cell>
          <cell r="N418">
            <v>786</v>
          </cell>
          <cell r="O418">
            <v>759</v>
          </cell>
          <cell r="P418">
            <v>712</v>
          </cell>
          <cell r="Q418">
            <v>759</v>
          </cell>
          <cell r="R418">
            <v>751</v>
          </cell>
          <cell r="S418">
            <v>735</v>
          </cell>
          <cell r="T418">
            <v>801</v>
          </cell>
        </row>
        <row r="419">
          <cell r="A419" t="str">
            <v>of which, intangibles on acquisitions</v>
          </cell>
          <cell r="B419"/>
          <cell r="C419"/>
          <cell r="D419"/>
          <cell r="E419"/>
          <cell r="F419"/>
          <cell r="G419"/>
          <cell r="H419"/>
          <cell r="I419"/>
          <cell r="J419"/>
          <cell r="K419"/>
          <cell r="L419"/>
          <cell r="M419"/>
          <cell r="N419"/>
          <cell r="O419"/>
          <cell r="P419"/>
          <cell r="Q419"/>
          <cell r="R419"/>
          <cell r="S419"/>
          <cell r="T419"/>
        </row>
        <row r="420">
          <cell r="A420" t="str">
            <v>of which, capitalised development costs (IFRS only)</v>
          </cell>
          <cell r="B420"/>
          <cell r="C420"/>
          <cell r="D420"/>
          <cell r="E420"/>
          <cell r="F420"/>
          <cell r="G420"/>
          <cell r="H420"/>
          <cell r="I420"/>
          <cell r="J420"/>
          <cell r="K420"/>
          <cell r="L420"/>
          <cell r="M420"/>
          <cell r="N420"/>
          <cell r="O420"/>
          <cell r="P420"/>
          <cell r="Q420">
            <v>208</v>
          </cell>
          <cell r="R420">
            <v>265</v>
          </cell>
          <cell r="S420">
            <v>290</v>
          </cell>
          <cell r="T420">
            <v>364</v>
          </cell>
        </row>
        <row r="421">
          <cell r="A421" t="str">
            <v>of which, capitalised certification and participation fees</v>
          </cell>
          <cell r="B421"/>
          <cell r="C421"/>
          <cell r="D421"/>
          <cell r="E421"/>
          <cell r="F421"/>
          <cell r="G421"/>
          <cell r="H421"/>
          <cell r="I421"/>
          <cell r="J421"/>
          <cell r="K421">
            <v>45</v>
          </cell>
          <cell r="L421">
            <v>41</v>
          </cell>
          <cell r="M421">
            <v>54</v>
          </cell>
          <cell r="N421">
            <v>82</v>
          </cell>
          <cell r="O421">
            <v>104</v>
          </cell>
          <cell r="P421">
            <v>199</v>
          </cell>
          <cell r="Q421">
            <v>145</v>
          </cell>
          <cell r="R421">
            <v>146</v>
          </cell>
          <cell r="S421">
            <v>231</v>
          </cell>
          <cell r="T421">
            <v>354</v>
          </cell>
        </row>
        <row r="422">
          <cell r="A422" t="str">
            <v>of which, recoverable engine costs (IFRS only)</v>
          </cell>
          <cell r="B422"/>
          <cell r="C422"/>
          <cell r="D422"/>
          <cell r="E422"/>
          <cell r="F422"/>
          <cell r="G422"/>
          <cell r="H422"/>
          <cell r="I422"/>
          <cell r="J422"/>
          <cell r="K422"/>
          <cell r="L422"/>
          <cell r="M422"/>
          <cell r="N422"/>
          <cell r="O422"/>
          <cell r="P422"/>
          <cell r="Q422">
            <v>115</v>
          </cell>
          <cell r="R422">
            <v>119</v>
          </cell>
          <cell r="S422">
            <v>153</v>
          </cell>
          <cell r="T422">
            <v>162</v>
          </cell>
        </row>
        <row r="423">
          <cell r="A423" t="str">
            <v>of which, other (IFRS only)</v>
          </cell>
          <cell r="B423"/>
          <cell r="C423"/>
          <cell r="D423"/>
          <cell r="E423"/>
          <cell r="F423"/>
          <cell r="G423"/>
          <cell r="H423"/>
          <cell r="I423"/>
          <cell r="J423"/>
          <cell r="K423"/>
          <cell r="L423"/>
          <cell r="M423"/>
          <cell r="N423"/>
          <cell r="O423"/>
          <cell r="P423"/>
          <cell r="Q423"/>
          <cell r="R423"/>
          <cell r="S423">
            <v>51</v>
          </cell>
          <cell r="T423">
            <v>80</v>
          </cell>
        </row>
        <row r="424">
          <cell r="T424"/>
        </row>
        <row r="425">
          <cell r="A425" t="str">
            <v>Tangible fixed assets</v>
          </cell>
          <cell r="B425">
            <v>676</v>
          </cell>
          <cell r="C425">
            <v>836</v>
          </cell>
          <cell r="D425">
            <v>874</v>
          </cell>
          <cell r="E425">
            <v>882</v>
          </cell>
          <cell r="F425">
            <v>836</v>
          </cell>
          <cell r="G425">
            <v>960</v>
          </cell>
          <cell r="H425">
            <v>962</v>
          </cell>
          <cell r="I425">
            <v>1174</v>
          </cell>
          <cell r="J425">
            <v>1217</v>
          </cell>
          <cell r="K425">
            <v>1753</v>
          </cell>
          <cell r="L425">
            <v>1772</v>
          </cell>
          <cell r="M425">
            <v>1732</v>
          </cell>
          <cell r="N425">
            <v>1876</v>
          </cell>
          <cell r="O425">
            <v>1750</v>
          </cell>
          <cell r="P425">
            <v>1626</v>
          </cell>
          <cell r="Q425">
            <v>1672</v>
          </cell>
          <cell r="R425">
            <v>1683</v>
          </cell>
          <cell r="S425">
            <v>1706</v>
          </cell>
          <cell r="T425">
            <v>1813</v>
          </cell>
        </row>
        <row r="426">
          <cell r="A426" t="str">
            <v>Investments</v>
          </cell>
          <cell r="B426">
            <v>36</v>
          </cell>
          <cell r="C426">
            <v>49</v>
          </cell>
          <cell r="D426">
            <v>62</v>
          </cell>
          <cell r="E426">
            <v>68</v>
          </cell>
          <cell r="F426">
            <v>71</v>
          </cell>
          <cell r="G426">
            <v>77</v>
          </cell>
          <cell r="H426">
            <v>85</v>
          </cell>
          <cell r="I426">
            <v>102</v>
          </cell>
          <cell r="J426">
            <v>149</v>
          </cell>
          <cell r="K426">
            <v>182</v>
          </cell>
          <cell r="L426">
            <v>207</v>
          </cell>
          <cell r="M426">
            <v>234</v>
          </cell>
          <cell r="N426">
            <v>266</v>
          </cell>
          <cell r="O426">
            <v>265</v>
          </cell>
          <cell r="P426">
            <v>256</v>
          </cell>
          <cell r="Q426">
            <v>268</v>
          </cell>
          <cell r="R426">
            <v>299</v>
          </cell>
          <cell r="S426">
            <v>291</v>
          </cell>
          <cell r="T426">
            <v>341</v>
          </cell>
        </row>
        <row r="427">
          <cell r="A427" t="str">
            <v>Deferred tax assets (IFRS only)</v>
          </cell>
          <cell r="Q427">
            <v>318</v>
          </cell>
          <cell r="R427">
            <v>439</v>
          </cell>
          <cell r="S427">
            <v>141</v>
          </cell>
          <cell r="T427">
            <v>81</v>
          </cell>
        </row>
        <row r="428">
          <cell r="A428" t="str">
            <v>of which, deferred tax related to pension liabilities</v>
          </cell>
          <cell r="Q428">
            <v>425</v>
          </cell>
          <cell r="R428">
            <v>505</v>
          </cell>
          <cell r="S428">
            <v>314</v>
          </cell>
          <cell r="T428">
            <v>35</v>
          </cell>
        </row>
        <row r="429">
          <cell r="A429" t="str">
            <v xml:space="preserve">Pension scheme surpluses </v>
          </cell>
          <cell r="T429">
            <v>210</v>
          </cell>
        </row>
        <row r="430">
          <cell r="A430" t="str">
            <v>Assets held for sale</v>
          </cell>
          <cell r="T430">
            <v>7</v>
          </cell>
        </row>
        <row r="431">
          <cell r="A431" t="str">
            <v>Fixed assets</v>
          </cell>
          <cell r="B431">
            <v>712</v>
          </cell>
          <cell r="C431">
            <v>885</v>
          </cell>
          <cell r="D431">
            <v>936</v>
          </cell>
          <cell r="E431">
            <v>950</v>
          </cell>
          <cell r="F431">
            <v>907</v>
          </cell>
          <cell r="G431">
            <v>1037</v>
          </cell>
          <cell r="H431">
            <v>1047</v>
          </cell>
          <cell r="I431">
            <v>1276</v>
          </cell>
          <cell r="J431">
            <v>1374</v>
          </cell>
          <cell r="K431">
            <v>2853</v>
          </cell>
          <cell r="L431">
            <v>2868</v>
          </cell>
          <cell r="M431">
            <v>2789</v>
          </cell>
          <cell r="N431">
            <v>3010</v>
          </cell>
          <cell r="O431">
            <v>2878</v>
          </cell>
          <cell r="P431">
            <v>2793</v>
          </cell>
          <cell r="Q431">
            <v>3485</v>
          </cell>
          <cell r="R431">
            <v>3702</v>
          </cell>
          <cell r="S431">
            <v>3598</v>
          </cell>
          <cell r="T431">
            <v>4213</v>
          </cell>
        </row>
        <row r="432">
          <cell r="A432" t="str">
            <v>Liabilities related to Assets held for sale</v>
          </cell>
        </row>
        <row r="433">
          <cell r="A433"/>
          <cell r="B433"/>
          <cell r="C433"/>
          <cell r="D433"/>
          <cell r="E433"/>
          <cell r="F433"/>
          <cell r="G433"/>
          <cell r="H433"/>
          <cell r="I433"/>
          <cell r="J433"/>
          <cell r="K433"/>
          <cell r="L433"/>
          <cell r="M433"/>
          <cell r="N433"/>
          <cell r="O433"/>
          <cell r="P433"/>
          <cell r="Q433"/>
          <cell r="R433"/>
          <cell r="S433"/>
          <cell r="T433"/>
        </row>
        <row r="434">
          <cell r="A434" t="str">
            <v>Working capital</v>
          </cell>
          <cell r="B434"/>
          <cell r="C434"/>
          <cell r="D434"/>
          <cell r="E434"/>
          <cell r="F434"/>
          <cell r="G434"/>
          <cell r="H434"/>
          <cell r="I434"/>
          <cell r="J434"/>
        </row>
        <row r="435">
          <cell r="A435" t="str">
            <v>Gross inventories</v>
          </cell>
          <cell r="B435">
            <v>1242</v>
          </cell>
          <cell r="C435">
            <v>1123</v>
          </cell>
          <cell r="D435">
            <v>1008</v>
          </cell>
          <cell r="E435">
            <v>789</v>
          </cell>
          <cell r="F435">
            <v>760</v>
          </cell>
          <cell r="G435">
            <v>931</v>
          </cell>
          <cell r="H435">
            <v>988</v>
          </cell>
          <cell r="I435">
            <v>1190</v>
          </cell>
          <cell r="J435">
            <v>1229</v>
          </cell>
          <cell r="K435">
            <v>1572</v>
          </cell>
          <cell r="L435">
            <v>1438</v>
          </cell>
          <cell r="M435">
            <v>1498</v>
          </cell>
          <cell r="N435">
            <v>1459</v>
          </cell>
          <cell r="O435">
            <v>1267</v>
          </cell>
          <cell r="P435">
            <v>1396</v>
          </cell>
          <cell r="Q435">
            <v>1405</v>
          </cell>
          <cell r="R435">
            <v>1630</v>
          </cell>
          <cell r="S435">
            <v>1863</v>
          </cell>
          <cell r="T435"/>
        </row>
        <row r="436">
          <cell r="A436" t="str">
            <v>Customer prepayments</v>
          </cell>
          <cell r="B436">
            <v>-354</v>
          </cell>
          <cell r="C436">
            <v>-314</v>
          </cell>
          <cell r="D436">
            <v>-312</v>
          </cell>
          <cell r="E436">
            <v>-178</v>
          </cell>
          <cell r="F436">
            <v>-165</v>
          </cell>
          <cell r="G436">
            <v>-166</v>
          </cell>
          <cell r="H436">
            <v>-190</v>
          </cell>
          <cell r="I436">
            <v>-231</v>
          </cell>
          <cell r="J436">
            <v>-188</v>
          </cell>
          <cell r="K436">
            <v>-298</v>
          </cell>
          <cell r="L436">
            <v>-259</v>
          </cell>
          <cell r="M436">
            <v>-276</v>
          </cell>
          <cell r="N436">
            <v>-301</v>
          </cell>
          <cell r="O436">
            <v>-305</v>
          </cell>
          <cell r="P436">
            <v>-315</v>
          </cell>
          <cell r="Q436">
            <v>-315</v>
          </cell>
          <cell r="R436">
            <v>-321</v>
          </cell>
          <cell r="S436">
            <v>-416</v>
          </cell>
        </row>
        <row r="437">
          <cell r="A437" t="str">
            <v>Net inventory</v>
          </cell>
          <cell r="B437">
            <v>888</v>
          </cell>
          <cell r="C437">
            <v>809</v>
          </cell>
          <cell r="D437">
            <v>696</v>
          </cell>
          <cell r="E437">
            <v>611</v>
          </cell>
          <cell r="F437">
            <v>595</v>
          </cell>
          <cell r="G437">
            <v>765</v>
          </cell>
          <cell r="H437">
            <v>798</v>
          </cell>
          <cell r="I437">
            <v>959</v>
          </cell>
          <cell r="J437">
            <v>1041</v>
          </cell>
          <cell r="K437">
            <v>1274</v>
          </cell>
          <cell r="L437">
            <v>1179</v>
          </cell>
          <cell r="M437">
            <v>1222</v>
          </cell>
          <cell r="N437">
            <v>1158</v>
          </cell>
          <cell r="O437">
            <v>962</v>
          </cell>
          <cell r="P437">
            <v>1081</v>
          </cell>
          <cell r="Q437">
            <v>1090</v>
          </cell>
          <cell r="R437">
            <v>1309</v>
          </cell>
          <cell r="S437">
            <v>1447</v>
          </cell>
          <cell r="T437">
            <v>2203</v>
          </cell>
        </row>
        <row r="438">
          <cell r="A438" t="str">
            <v>Trade and other receivables</v>
          </cell>
          <cell r="B438">
            <v>816</v>
          </cell>
          <cell r="C438">
            <v>931</v>
          </cell>
          <cell r="D438">
            <v>942</v>
          </cell>
          <cell r="E438">
            <v>890</v>
          </cell>
          <cell r="F438">
            <v>919</v>
          </cell>
          <cell r="G438">
            <v>1101</v>
          </cell>
          <cell r="H438">
            <v>1309</v>
          </cell>
          <cell r="I438">
            <v>1409</v>
          </cell>
          <cell r="J438">
            <v>1347</v>
          </cell>
          <cell r="K438">
            <v>1647</v>
          </cell>
          <cell r="L438">
            <v>2073</v>
          </cell>
          <cell r="M438">
            <v>2450</v>
          </cell>
          <cell r="N438">
            <v>2413</v>
          </cell>
          <cell r="O438">
            <v>2606</v>
          </cell>
          <cell r="P438">
            <v>2410</v>
          </cell>
          <cell r="Q438">
            <v>2049</v>
          </cell>
          <cell r="R438">
            <v>2047</v>
          </cell>
          <cell r="S438">
            <v>2465</v>
          </cell>
          <cell r="T438">
            <v>2585</v>
          </cell>
        </row>
        <row r="439">
          <cell r="A439" t="str">
            <v>of which, Trade receivables</v>
          </cell>
          <cell r="B439"/>
          <cell r="C439"/>
          <cell r="D439"/>
          <cell r="E439"/>
          <cell r="F439"/>
          <cell r="G439"/>
          <cell r="H439"/>
          <cell r="I439"/>
          <cell r="J439"/>
          <cell r="K439"/>
          <cell r="L439"/>
          <cell r="M439"/>
          <cell r="N439"/>
          <cell r="O439"/>
          <cell r="P439"/>
          <cell r="Q439">
            <v>756</v>
          </cell>
          <cell r="R439">
            <v>738</v>
          </cell>
          <cell r="S439">
            <v>864</v>
          </cell>
          <cell r="T439">
            <v>889</v>
          </cell>
        </row>
        <row r="440">
          <cell r="A440" t="str">
            <v>of which, Amounts recoverable on contracts</v>
          </cell>
          <cell r="B440"/>
          <cell r="C440"/>
          <cell r="D440"/>
          <cell r="E440"/>
          <cell r="F440"/>
          <cell r="G440"/>
          <cell r="H440"/>
          <cell r="I440"/>
          <cell r="J440"/>
          <cell r="K440"/>
          <cell r="L440"/>
          <cell r="M440"/>
          <cell r="N440"/>
          <cell r="O440"/>
          <cell r="P440"/>
          <cell r="Q440">
            <v>625</v>
          </cell>
          <cell r="R440">
            <v>698</v>
          </cell>
          <cell r="S440">
            <v>820</v>
          </cell>
          <cell r="T440">
            <v>904</v>
          </cell>
        </row>
        <row r="441">
          <cell r="A441" t="str">
            <v>of which, Pension credit</v>
          </cell>
          <cell r="B441">
            <v>19</v>
          </cell>
          <cell r="C441">
            <v>19</v>
          </cell>
          <cell r="D441">
            <v>19</v>
          </cell>
          <cell r="E441">
            <v>29</v>
          </cell>
          <cell r="F441">
            <v>38</v>
          </cell>
          <cell r="G441">
            <v>57</v>
          </cell>
          <cell r="H441">
            <v>64</v>
          </cell>
          <cell r="I441">
            <v>73</v>
          </cell>
          <cell r="J441">
            <v>79</v>
          </cell>
          <cell r="K441">
            <v>105</v>
          </cell>
          <cell r="L441">
            <v>157</v>
          </cell>
          <cell r="M441">
            <v>181</v>
          </cell>
          <cell r="N441">
            <v>204</v>
          </cell>
          <cell r="O441">
            <v>239</v>
          </cell>
          <cell r="P441">
            <v>263</v>
          </cell>
          <cell r="Q441"/>
          <cell r="R441"/>
          <cell r="S441"/>
          <cell r="T441"/>
        </row>
        <row r="442">
          <cell r="A442" t="str">
            <v>Taxation recoverable</v>
          </cell>
          <cell r="Q442">
            <v>2</v>
          </cell>
          <cell r="R442">
            <v>3</v>
          </cell>
          <cell r="S442">
            <v>5</v>
          </cell>
          <cell r="T442">
            <v>7</v>
          </cell>
        </row>
        <row r="443">
          <cell r="A443" t="str">
            <v>Other financial assets (ex-FV of swaps hedging fixed rate borrowings)</v>
          </cell>
          <cell r="Q443">
            <v>0</v>
          </cell>
          <cell r="R443">
            <v>390</v>
          </cell>
          <cell r="S443">
            <v>647</v>
          </cell>
          <cell r="T443">
            <v>499</v>
          </cell>
        </row>
        <row r="444">
          <cell r="A444" t="str">
            <v>Current assets</v>
          </cell>
          <cell r="B444">
            <v>1704</v>
          </cell>
          <cell r="C444">
            <v>1740</v>
          </cell>
          <cell r="D444">
            <v>1638</v>
          </cell>
          <cell r="E444">
            <v>1501</v>
          </cell>
          <cell r="F444">
            <v>1514</v>
          </cell>
          <cell r="G444">
            <v>1866</v>
          </cell>
          <cell r="H444">
            <v>2107</v>
          </cell>
          <cell r="I444">
            <v>2368</v>
          </cell>
          <cell r="J444">
            <v>2388</v>
          </cell>
          <cell r="K444">
            <v>2921</v>
          </cell>
          <cell r="L444">
            <v>3252</v>
          </cell>
          <cell r="M444">
            <v>3672</v>
          </cell>
          <cell r="N444">
            <v>3571</v>
          </cell>
          <cell r="O444">
            <v>3568</v>
          </cell>
          <cell r="P444">
            <v>3491</v>
          </cell>
          <cell r="Q444">
            <v>3141</v>
          </cell>
          <cell r="R444">
            <v>3749</v>
          </cell>
          <cell r="S444">
            <v>4564</v>
          </cell>
          <cell r="T444">
            <v>5294</v>
          </cell>
        </row>
        <row r="446">
          <cell r="A446" t="str">
            <v>Other financial liabilities</v>
          </cell>
          <cell r="R446">
            <v>-234</v>
          </cell>
          <cell r="S446">
            <v>-37</v>
          </cell>
          <cell r="T446">
            <v>-85</v>
          </cell>
        </row>
        <row r="447">
          <cell r="A447" t="str">
            <v>Trade and other payables</v>
          </cell>
          <cell r="B447">
            <v>-1074</v>
          </cell>
          <cell r="C447">
            <v>-1167</v>
          </cell>
          <cell r="D447">
            <v>-1163</v>
          </cell>
          <cell r="E447">
            <v>-1179</v>
          </cell>
          <cell r="F447">
            <v>-1162</v>
          </cell>
          <cell r="G447">
            <v>-1354</v>
          </cell>
          <cell r="H447">
            <v>-1571</v>
          </cell>
          <cell r="I447">
            <v>-1904</v>
          </cell>
          <cell r="J447">
            <v>-1961</v>
          </cell>
          <cell r="K447">
            <v>-2467</v>
          </cell>
          <cell r="L447">
            <v>-2559</v>
          </cell>
          <cell r="M447">
            <v>-2720</v>
          </cell>
          <cell r="N447">
            <v>-2727</v>
          </cell>
          <cell r="O447">
            <v>-2759</v>
          </cell>
          <cell r="P447">
            <v>-2570</v>
          </cell>
          <cell r="Q447">
            <v>-2395</v>
          </cell>
          <cell r="R447">
            <v>-2689</v>
          </cell>
          <cell r="S447">
            <v>-3290</v>
          </cell>
          <cell r="T447">
            <v>-4326</v>
          </cell>
        </row>
        <row r="448">
          <cell r="A448" t="str">
            <v>of which, Customer advances due within one year</v>
          </cell>
          <cell r="B448">
            <v>-184</v>
          </cell>
          <cell r="C448">
            <v>-228</v>
          </cell>
          <cell r="D448">
            <v>-191</v>
          </cell>
          <cell r="E448">
            <v>-214</v>
          </cell>
          <cell r="F448">
            <v>-144</v>
          </cell>
          <cell r="G448">
            <v>-171</v>
          </cell>
          <cell r="H448">
            <v>-186</v>
          </cell>
          <cell r="I448">
            <v>-246</v>
          </cell>
          <cell r="J448">
            <v>-191</v>
          </cell>
          <cell r="K448">
            <v>-348</v>
          </cell>
          <cell r="L448">
            <v>-257</v>
          </cell>
          <cell r="M448">
            <v>-234</v>
          </cell>
          <cell r="N448">
            <v>-263</v>
          </cell>
          <cell r="O448">
            <v>-332</v>
          </cell>
          <cell r="P448">
            <v>-277</v>
          </cell>
          <cell r="Q448">
            <v>-277</v>
          </cell>
          <cell r="R448">
            <v>-362</v>
          </cell>
          <cell r="S448">
            <v>-657</v>
          </cell>
          <cell r="T448">
            <v>-1226</v>
          </cell>
        </row>
        <row r="449">
          <cell r="A449" t="str">
            <v>of which, other</v>
          </cell>
          <cell r="B449">
            <v>-890</v>
          </cell>
          <cell r="C449">
            <v>-939</v>
          </cell>
          <cell r="D449">
            <v>-972</v>
          </cell>
          <cell r="E449">
            <v>-965</v>
          </cell>
          <cell r="F449">
            <v>-1018</v>
          </cell>
          <cell r="G449">
            <v>-1183</v>
          </cell>
          <cell r="H449">
            <v>-1385</v>
          </cell>
          <cell r="I449">
            <v>-1658</v>
          </cell>
          <cell r="J449">
            <v>-1770</v>
          </cell>
          <cell r="K449">
            <v>-2119</v>
          </cell>
          <cell r="L449">
            <v>-2302</v>
          </cell>
          <cell r="M449">
            <v>-2486</v>
          </cell>
          <cell r="N449">
            <v>-2464</v>
          </cell>
          <cell r="O449">
            <v>-2427</v>
          </cell>
          <cell r="P449">
            <v>-2293</v>
          </cell>
          <cell r="Q449">
            <v>-2118</v>
          </cell>
          <cell r="R449">
            <v>-2327</v>
          </cell>
          <cell r="S449">
            <v>-2633</v>
          </cell>
          <cell r="T449">
            <v>-3100</v>
          </cell>
        </row>
        <row r="450">
          <cell r="A450" t="str">
            <v>Current tax liabilities</v>
          </cell>
          <cell r="Q450">
            <v>-176</v>
          </cell>
          <cell r="R450">
            <v>-171</v>
          </cell>
          <cell r="S450">
            <v>-191</v>
          </cell>
          <cell r="T450">
            <v>-188</v>
          </cell>
        </row>
        <row r="451">
          <cell r="A451" t="str">
            <v>Current provisions</v>
          </cell>
          <cell r="Q451">
            <v>-173</v>
          </cell>
          <cell r="R451">
            <v>-138</v>
          </cell>
          <cell r="S451">
            <v>-146</v>
          </cell>
          <cell r="T451">
            <v>-121</v>
          </cell>
        </row>
        <row r="452">
          <cell r="A452" t="str">
            <v>Current liabilities</v>
          </cell>
          <cell r="B452">
            <v>-1074</v>
          </cell>
          <cell r="C452">
            <v>-1167</v>
          </cell>
          <cell r="D452">
            <v>-1163</v>
          </cell>
          <cell r="E452">
            <v>-1179</v>
          </cell>
          <cell r="F452">
            <v>-1162</v>
          </cell>
          <cell r="G452">
            <v>-1354</v>
          </cell>
          <cell r="H452">
            <v>-1571</v>
          </cell>
          <cell r="I452">
            <v>-1904</v>
          </cell>
          <cell r="J452">
            <v>-1961</v>
          </cell>
          <cell r="K452">
            <v>-2467</v>
          </cell>
          <cell r="L452">
            <v>-2559</v>
          </cell>
          <cell r="M452">
            <v>-2720</v>
          </cell>
          <cell r="N452">
            <v>-2727</v>
          </cell>
          <cell r="O452">
            <v>-2759</v>
          </cell>
          <cell r="P452">
            <v>-2570</v>
          </cell>
          <cell r="Q452">
            <v>-2744</v>
          </cell>
          <cell r="R452">
            <v>-3232</v>
          </cell>
          <cell r="S452">
            <v>-3664</v>
          </cell>
          <cell r="T452">
            <v>-4720</v>
          </cell>
        </row>
        <row r="454">
          <cell r="A454" t="str">
            <v>Working Capital</v>
          </cell>
          <cell r="B454">
            <v>630</v>
          </cell>
          <cell r="C454">
            <v>573</v>
          </cell>
          <cell r="D454">
            <v>475</v>
          </cell>
          <cell r="E454">
            <v>322</v>
          </cell>
          <cell r="F454">
            <v>352</v>
          </cell>
          <cell r="G454">
            <v>512</v>
          </cell>
          <cell r="H454">
            <v>536</v>
          </cell>
          <cell r="I454">
            <v>464</v>
          </cell>
          <cell r="J454">
            <v>427</v>
          </cell>
          <cell r="K454">
            <v>454</v>
          </cell>
          <cell r="L454">
            <v>693</v>
          </cell>
          <cell r="M454">
            <v>952</v>
          </cell>
          <cell r="N454">
            <v>844</v>
          </cell>
          <cell r="O454">
            <v>809</v>
          </cell>
          <cell r="P454">
            <v>921</v>
          </cell>
          <cell r="Q454">
            <v>397</v>
          </cell>
          <cell r="R454">
            <v>517</v>
          </cell>
          <cell r="S454">
            <v>900</v>
          </cell>
          <cell r="T454">
            <v>574</v>
          </cell>
        </row>
        <row r="455">
          <cell r="A455" t="str">
            <v>Change in working capital y/y</v>
          </cell>
          <cell r="B455" t="str">
            <v>n/a</v>
          </cell>
          <cell r="C455">
            <v>-57</v>
          </cell>
          <cell r="D455">
            <v>-98</v>
          </cell>
          <cell r="E455">
            <v>-153</v>
          </cell>
          <cell r="F455">
            <v>30</v>
          </cell>
          <cell r="G455">
            <v>160</v>
          </cell>
          <cell r="H455">
            <v>24</v>
          </cell>
          <cell r="I455">
            <v>-72</v>
          </cell>
          <cell r="J455">
            <v>-37</v>
          </cell>
          <cell r="K455">
            <v>27</v>
          </cell>
          <cell r="L455">
            <v>239</v>
          </cell>
          <cell r="M455">
            <v>259</v>
          </cell>
          <cell r="N455">
            <v>-108</v>
          </cell>
          <cell r="O455">
            <v>-35</v>
          </cell>
          <cell r="P455">
            <v>112</v>
          </cell>
          <cell r="Q455" t="str">
            <v>n/a</v>
          </cell>
          <cell r="R455">
            <v>120</v>
          </cell>
          <cell r="S455">
            <v>383</v>
          </cell>
          <cell r="T455">
            <v>-326</v>
          </cell>
        </row>
        <row r="456">
          <cell r="A456"/>
        </row>
        <row r="457">
          <cell r="A457" t="str">
            <v>Working capital as % of sales</v>
          </cell>
          <cell r="B457"/>
          <cell r="C457"/>
          <cell r="D457"/>
          <cell r="E457"/>
          <cell r="F457"/>
          <cell r="G457"/>
          <cell r="H457"/>
          <cell r="I457"/>
          <cell r="J457"/>
          <cell r="K457"/>
          <cell r="L457"/>
          <cell r="M457"/>
          <cell r="N457"/>
          <cell r="O457"/>
          <cell r="P457"/>
          <cell r="Q457"/>
          <cell r="R457"/>
          <cell r="S457"/>
          <cell r="T457"/>
        </row>
        <row r="458">
          <cell r="A458" t="str">
            <v>Gross inventories</v>
          </cell>
          <cell r="B458">
            <v>0.33841961852861036</v>
          </cell>
          <cell r="C458">
            <v>0.31948790896159318</v>
          </cell>
          <cell r="D458">
            <v>0.28298708590679394</v>
          </cell>
          <cell r="E458">
            <v>0.22427515633882888</v>
          </cell>
          <cell r="F458">
            <v>0.24027821688270629</v>
          </cell>
          <cell r="G458">
            <v>0.25882680011120379</v>
          </cell>
          <cell r="H458">
            <v>0.23024935912374739</v>
          </cell>
          <cell r="I458">
            <v>0.27368905243790248</v>
          </cell>
          <cell r="J458">
            <v>0.27335409252669041</v>
          </cell>
          <cell r="K458">
            <v>0.33923176521363835</v>
          </cell>
          <cell r="L458">
            <v>0.24522510231923603</v>
          </cell>
          <cell r="M458">
            <v>0.23672566371681417</v>
          </cell>
          <cell r="N458">
            <v>0.25207325501036626</v>
          </cell>
          <cell r="O458">
            <v>0.22444641275465013</v>
          </cell>
          <cell r="P458">
            <v>0.23505640680249201</v>
          </cell>
          <cell r="Q458">
            <v>0.23629330642448704</v>
          </cell>
          <cell r="R458">
            <v>0.25240012387736144</v>
          </cell>
          <cell r="S458">
            <v>0.25336597307221542</v>
          </cell>
          <cell r="T458"/>
        </row>
        <row r="459">
          <cell r="A459" t="str">
            <v>Customer prepayments</v>
          </cell>
          <cell r="B459">
            <v>-9.6457765667574927E-2</v>
          </cell>
          <cell r="C459">
            <v>-8.9331436699857755E-2</v>
          </cell>
          <cell r="D459">
            <v>-8.7591240875912413E-2</v>
          </cell>
          <cell r="E459">
            <v>-5.059693007390563E-2</v>
          </cell>
          <cell r="F459">
            <v>-5.2165665507429654E-2</v>
          </cell>
          <cell r="G459">
            <v>-4.6149569085348903E-2</v>
          </cell>
          <cell r="H459">
            <v>-4.4278722908412955E-2</v>
          </cell>
          <cell r="I459">
            <v>-5.3127874885004603E-2</v>
          </cell>
          <cell r="J459">
            <v>-4.1814946619217079E-2</v>
          </cell>
          <cell r="K459">
            <v>-6.4307293914544664E-2</v>
          </cell>
          <cell r="L459">
            <v>-4.4167803547066849E-2</v>
          </cell>
          <cell r="M459">
            <v>-4.3615676359039193E-2</v>
          </cell>
          <cell r="N459">
            <v>-5.2004146510020735E-2</v>
          </cell>
          <cell r="O459">
            <v>-5.4030115146147036E-2</v>
          </cell>
          <cell r="P459">
            <v>-5.3039232193972052E-2</v>
          </cell>
          <cell r="Q459">
            <v>-5.2976791120080725E-2</v>
          </cell>
          <cell r="R459">
            <v>-4.9705791266646024E-2</v>
          </cell>
          <cell r="S459">
            <v>-5.6575547395620832E-2</v>
          </cell>
          <cell r="T459"/>
        </row>
        <row r="460">
          <cell r="A460" t="str">
            <v>Net inventory</v>
          </cell>
          <cell r="B460">
            <v>0.24196185286103541</v>
          </cell>
          <cell r="C460">
            <v>0.23015647226173541</v>
          </cell>
          <cell r="D460">
            <v>0.19539584503088153</v>
          </cell>
          <cell r="E460">
            <v>0.17367822626492324</v>
          </cell>
          <cell r="F460">
            <v>0.18811255137527663</v>
          </cell>
          <cell r="G460">
            <v>0.21267723102585487</v>
          </cell>
          <cell r="H460">
            <v>0.18597063621533441</v>
          </cell>
          <cell r="I460">
            <v>0.22056117755289789</v>
          </cell>
          <cell r="J460">
            <v>0.23153914590747332</v>
          </cell>
          <cell r="K460">
            <v>0.27492447129909364</v>
          </cell>
          <cell r="L460">
            <v>0.20105729877216916</v>
          </cell>
          <cell r="M460">
            <v>0.19310998735777496</v>
          </cell>
          <cell r="N460">
            <v>0.20006910850034554</v>
          </cell>
          <cell r="O460">
            <v>0.1704162976085031</v>
          </cell>
          <cell r="P460">
            <v>0.18201717460851996</v>
          </cell>
          <cell r="Q460">
            <v>0.18331651530440632</v>
          </cell>
          <cell r="R460">
            <v>0.2026943326107154</v>
          </cell>
          <cell r="S460">
            <v>0.19679042567659458</v>
          </cell>
          <cell r="T460">
            <v>0.28182167071766662</v>
          </cell>
        </row>
        <row r="461">
          <cell r="A461" t="str">
            <v>Trade and other receivables</v>
          </cell>
          <cell r="B461">
            <v>0.22234332425068121</v>
          </cell>
          <cell r="C461">
            <v>0.26486486486486488</v>
          </cell>
          <cell r="D461">
            <v>0.26445816956765861</v>
          </cell>
          <cell r="E461">
            <v>0.25298465036952816</v>
          </cell>
          <cell r="F461">
            <v>0.29054694909895667</v>
          </cell>
          <cell r="G461">
            <v>0.30608840700583823</v>
          </cell>
          <cell r="H461">
            <v>0.30505709624796085</v>
          </cell>
          <cell r="I461">
            <v>0.32405703771849126</v>
          </cell>
          <cell r="J461">
            <v>0.29959964412811391</v>
          </cell>
          <cell r="K461">
            <v>0.3554164868364264</v>
          </cell>
          <cell r="L461">
            <v>0.35351296043656205</v>
          </cell>
          <cell r="M461">
            <v>0.38716814159292035</v>
          </cell>
          <cell r="N461">
            <v>0.41689702833448516</v>
          </cell>
          <cell r="O461">
            <v>0.46164747564216119</v>
          </cell>
          <cell r="P461">
            <v>0.40579222091261152</v>
          </cell>
          <cell r="Q461">
            <v>0.34460141271442984</v>
          </cell>
          <cell r="R461">
            <v>0.31697119851347166</v>
          </cell>
          <cell r="S461">
            <v>0.33523731810145518</v>
          </cell>
          <cell r="T461">
            <v>0.33068952283484715</v>
          </cell>
        </row>
        <row r="462">
          <cell r="A462" t="str">
            <v>Taxation recoverable</v>
          </cell>
          <cell r="B462"/>
          <cell r="C462"/>
          <cell r="D462"/>
          <cell r="E462"/>
          <cell r="F462"/>
          <cell r="G462"/>
          <cell r="H462"/>
          <cell r="I462"/>
          <cell r="J462"/>
          <cell r="K462"/>
          <cell r="L462"/>
          <cell r="M462"/>
          <cell r="N462"/>
          <cell r="O462"/>
          <cell r="P462"/>
          <cell r="Q462"/>
          <cell r="R462">
            <v>4.6454010529575719E-4</v>
          </cell>
          <cell r="S462">
            <v>6.7999456004351965E-4</v>
          </cell>
          <cell r="T462">
            <v>8.9548420110016635E-4</v>
          </cell>
        </row>
        <row r="463">
          <cell r="A463" t="str">
            <v>Other financial assets (ex-FV of swaps hedging fixed rate borrowings)</v>
          </cell>
          <cell r="B463"/>
          <cell r="C463"/>
          <cell r="D463"/>
          <cell r="E463"/>
          <cell r="F463"/>
          <cell r="G463"/>
          <cell r="H463"/>
          <cell r="I463"/>
          <cell r="J463"/>
          <cell r="K463"/>
          <cell r="L463"/>
          <cell r="M463"/>
          <cell r="N463"/>
          <cell r="O463"/>
          <cell r="P463"/>
          <cell r="Q463"/>
          <cell r="R463">
            <v>6.0390213688448435E-2</v>
          </cell>
          <cell r="S463">
            <v>8.7991296069631436E-2</v>
          </cell>
          <cell r="T463">
            <v>6.3835230906997567E-2</v>
          </cell>
        </row>
        <row r="464">
          <cell r="A464"/>
          <cell r="B464"/>
          <cell r="C464"/>
          <cell r="D464"/>
          <cell r="E464"/>
          <cell r="F464"/>
          <cell r="G464"/>
          <cell r="H464"/>
          <cell r="I464"/>
          <cell r="J464"/>
          <cell r="K464"/>
          <cell r="L464"/>
          <cell r="M464"/>
          <cell r="N464"/>
          <cell r="O464"/>
          <cell r="P464"/>
          <cell r="Q464"/>
          <cell r="R464"/>
          <cell r="S464"/>
          <cell r="T464"/>
        </row>
        <row r="465">
          <cell r="A465" t="str">
            <v>Other financial liabilities</v>
          </cell>
          <cell r="B465"/>
          <cell r="C465"/>
          <cell r="D465"/>
          <cell r="E465"/>
          <cell r="F465"/>
          <cell r="G465"/>
          <cell r="H465"/>
          <cell r="I465"/>
          <cell r="J465"/>
          <cell r="K465"/>
          <cell r="L465"/>
          <cell r="M465"/>
          <cell r="N465"/>
          <cell r="O465"/>
          <cell r="P465"/>
          <cell r="Q465"/>
          <cell r="R465">
            <v>-3.623412821306906E-2</v>
          </cell>
          <cell r="S465">
            <v>-5.0319597443220457E-3</v>
          </cell>
          <cell r="T465">
            <v>-1.0873736727644877E-2</v>
          </cell>
        </row>
        <row r="466">
          <cell r="A466" t="str">
            <v>Trade and other payables (ex customer advances)</v>
          </cell>
          <cell r="B466">
            <v>-0.24250681198910082</v>
          </cell>
          <cell r="C466">
            <v>-0.26714082503556186</v>
          </cell>
          <cell r="D466">
            <v>-0.27288040426726556</v>
          </cell>
          <cell r="E466">
            <v>-0.27430358158044343</v>
          </cell>
          <cell r="F466">
            <v>-0.32184634840341447</v>
          </cell>
          <cell r="G466">
            <v>-0.32888518209619128</v>
          </cell>
          <cell r="H466">
            <v>-0.32276858541132603</v>
          </cell>
          <cell r="I466">
            <v>-0.38132474701011959</v>
          </cell>
          <cell r="J466">
            <v>-0.39368327402135234</v>
          </cell>
          <cell r="K466">
            <v>-0.45727233491583946</v>
          </cell>
          <cell r="L466">
            <v>-0.39256480218281037</v>
          </cell>
          <cell r="M466">
            <v>-0.39285714285714285</v>
          </cell>
          <cell r="N466">
            <v>-0.4257083621285418</v>
          </cell>
          <cell r="O466">
            <v>-0.4299379982285208</v>
          </cell>
          <cell r="P466">
            <v>-0.38609193466913622</v>
          </cell>
          <cell r="Q466">
            <v>-0.35620585267406663</v>
          </cell>
          <cell r="R466">
            <v>-0.36032827500774234</v>
          </cell>
          <cell r="S466">
            <v>-0.35808513531891745</v>
          </cell>
          <cell r="T466">
            <v>-0.39657157477293081</v>
          </cell>
        </row>
        <row r="467">
          <cell r="A467" t="str">
            <v>Current tax liabilities</v>
          </cell>
          <cell r="B467"/>
          <cell r="C467"/>
          <cell r="D467"/>
          <cell r="E467"/>
          <cell r="F467"/>
          <cell r="G467"/>
          <cell r="H467"/>
          <cell r="I467"/>
          <cell r="J467"/>
          <cell r="K467"/>
          <cell r="L467"/>
          <cell r="M467"/>
          <cell r="N467"/>
          <cell r="O467"/>
          <cell r="P467"/>
          <cell r="Q467"/>
          <cell r="R467">
            <v>-2.647878600185816E-2</v>
          </cell>
          <cell r="S467">
            <v>-2.5975792193662452E-2</v>
          </cell>
          <cell r="T467">
            <v>-2.405014711526161E-2</v>
          </cell>
        </row>
        <row r="468">
          <cell r="A468" t="str">
            <v>Current provisions</v>
          </cell>
          <cell r="B468"/>
          <cell r="C468"/>
          <cell r="D468"/>
          <cell r="E468"/>
          <cell r="F468"/>
          <cell r="G468"/>
          <cell r="H468"/>
          <cell r="I468"/>
          <cell r="J468"/>
          <cell r="K468"/>
          <cell r="L468"/>
          <cell r="M468"/>
          <cell r="N468"/>
          <cell r="O468"/>
          <cell r="P468"/>
          <cell r="Q468"/>
          <cell r="R468">
            <v>-2.136884484360483E-2</v>
          </cell>
          <cell r="S468">
            <v>-1.9855841153270774E-2</v>
          </cell>
          <cell r="T468">
            <v>-1.5479084047588588E-2</v>
          </cell>
        </row>
        <row r="469">
          <cell r="A469" t="str">
            <v>Working Capital</v>
          </cell>
          <cell r="B469">
            <v>0.17166212534059946</v>
          </cell>
          <cell r="C469">
            <v>0.16301564722617354</v>
          </cell>
          <cell r="D469">
            <v>0.13335204941044357</v>
          </cell>
          <cell r="E469">
            <v>9.1529277998862985E-2</v>
          </cell>
          <cell r="F469">
            <v>0.11128675308251659</v>
          </cell>
          <cell r="G469">
            <v>0.14234083958854601</v>
          </cell>
          <cell r="H469">
            <v>0.12491260778373339</v>
          </cell>
          <cell r="I469">
            <v>0.10671573137074516</v>
          </cell>
          <cell r="J469">
            <v>9.4973309608540932E-2</v>
          </cell>
          <cell r="K469">
            <v>9.7971514889943892E-2</v>
          </cell>
          <cell r="L469">
            <v>0.11817871759890859</v>
          </cell>
          <cell r="M469">
            <v>0.15044247787610621</v>
          </cell>
          <cell r="N469">
            <v>0.14581893572909468</v>
          </cell>
          <cell r="O469">
            <v>0.1433126660761736</v>
          </cell>
          <cell r="P469">
            <v>0.15507661222428018</v>
          </cell>
          <cell r="Q469">
            <v>6.676757484022873E-2</v>
          </cell>
          <cell r="R469">
            <v>8.0055744812635485E-2</v>
          </cell>
          <cell r="S469">
            <v>0.12239902080783353</v>
          </cell>
          <cell r="T469">
            <v>7.3429704490213632E-2</v>
          </cell>
        </row>
        <row r="470">
          <cell r="A470"/>
          <cell r="T470" t="str">
            <v>FCF post div, pre M&amp;A</v>
          </cell>
        </row>
        <row r="471">
          <cell r="A471" t="str">
            <v>Rolls-Royce (year to Dec)</v>
          </cell>
          <cell r="B471"/>
          <cell r="C471"/>
          <cell r="D471"/>
          <cell r="E471"/>
          <cell r="F471"/>
          <cell r="G471"/>
          <cell r="H471"/>
          <cell r="I471"/>
          <cell r="J471"/>
          <cell r="T471" t="str">
            <v>Cash conversion: for info:</v>
          </cell>
        </row>
        <row r="472">
          <cell r="A472"/>
          <cell r="B472"/>
          <cell r="C472"/>
          <cell r="D472"/>
          <cell r="E472"/>
          <cell r="F472"/>
          <cell r="G472"/>
          <cell r="H472"/>
          <cell r="I472"/>
          <cell r="J472"/>
          <cell r="K472"/>
          <cell r="L472"/>
          <cell r="M472"/>
          <cell r="N472"/>
          <cell r="O472"/>
          <cell r="P472"/>
          <cell r="Q472"/>
          <cell r="R472"/>
          <cell r="S472"/>
          <cell r="T472"/>
        </row>
        <row r="473">
          <cell r="A473"/>
          <cell r="B473"/>
          <cell r="C473"/>
          <cell r="D473"/>
          <cell r="E473"/>
          <cell r="F473"/>
          <cell r="G473"/>
          <cell r="H473"/>
          <cell r="I473"/>
          <cell r="J473"/>
          <cell r="K473"/>
          <cell r="L473"/>
          <cell r="M473"/>
          <cell r="N473"/>
          <cell r="O473"/>
          <cell r="P473"/>
          <cell r="Q473"/>
          <cell r="R473"/>
          <cell r="S473"/>
          <cell r="T473"/>
        </row>
        <row r="474">
          <cell r="A474"/>
          <cell r="B474"/>
          <cell r="C474"/>
          <cell r="D474"/>
          <cell r="E474"/>
          <cell r="F474"/>
          <cell r="G474"/>
          <cell r="H474"/>
          <cell r="I474"/>
          <cell r="J474"/>
          <cell r="K474"/>
          <cell r="L474"/>
          <cell r="M474"/>
          <cell r="N474"/>
          <cell r="O474"/>
          <cell r="P474"/>
          <cell r="Q474"/>
          <cell r="R474"/>
          <cell r="S474"/>
          <cell r="T474"/>
        </row>
        <row r="475">
          <cell r="A475"/>
          <cell r="B475" t="str">
            <v>UK GAAP</v>
          </cell>
          <cell r="C475" t="str">
            <v>UK GAAP</v>
          </cell>
          <cell r="D475" t="str">
            <v>UK GAAP</v>
          </cell>
          <cell r="E475" t="str">
            <v>UK GAAP</v>
          </cell>
          <cell r="F475" t="str">
            <v>UK GAAP</v>
          </cell>
          <cell r="G475" t="str">
            <v>UK GAAP</v>
          </cell>
          <cell r="H475" t="str">
            <v>UK GAAP</v>
          </cell>
          <cell r="I475" t="str">
            <v>UK GAAP</v>
          </cell>
          <cell r="J475" t="str">
            <v>UK GAAP</v>
          </cell>
          <cell r="K475" t="str">
            <v>UK GAAP</v>
          </cell>
          <cell r="L475" t="str">
            <v>UK GAAP</v>
          </cell>
          <cell r="M475" t="str">
            <v>UK GAAP</v>
          </cell>
          <cell r="N475" t="str">
            <v>UK GAAP</v>
          </cell>
          <cell r="O475" t="str">
            <v>UK GAAP</v>
          </cell>
          <cell r="P475" t="str">
            <v>UK GAAP</v>
          </cell>
          <cell r="Q475" t="str">
            <v>IFRS</v>
          </cell>
          <cell r="R475" t="str">
            <v>IFRS</v>
          </cell>
          <cell r="S475" t="str">
            <v>IFRS</v>
          </cell>
          <cell r="T475" t="str">
            <v>IFRS</v>
          </cell>
        </row>
        <row r="476">
          <cell r="A476" t="str">
            <v>Balance sheet (2)</v>
          </cell>
          <cell r="B476">
            <v>1990</v>
          </cell>
          <cell r="C476">
            <v>1991</v>
          </cell>
          <cell r="D476">
            <v>1992</v>
          </cell>
          <cell r="E476">
            <v>1993</v>
          </cell>
          <cell r="F476">
            <v>1994</v>
          </cell>
          <cell r="G476">
            <v>1995</v>
          </cell>
          <cell r="H476">
            <v>1996</v>
          </cell>
          <cell r="I476">
            <v>1997</v>
          </cell>
          <cell r="J476">
            <v>1998</v>
          </cell>
          <cell r="K476">
            <v>1999</v>
          </cell>
          <cell r="L476">
            <v>2000</v>
          </cell>
          <cell r="M476">
            <v>2001</v>
          </cell>
          <cell r="N476">
            <v>2002</v>
          </cell>
          <cell r="O476">
            <v>2003</v>
          </cell>
          <cell r="P476">
            <v>2004</v>
          </cell>
          <cell r="Q476" t="str">
            <v>2004pf</v>
          </cell>
          <cell r="R476">
            <v>2005</v>
          </cell>
          <cell r="S476">
            <v>2006</v>
          </cell>
          <cell r="T476">
            <v>2007</v>
          </cell>
        </row>
        <row r="478">
          <cell r="A478" t="str">
            <v>Non-current liabilities</v>
          </cell>
          <cell r="B478"/>
          <cell r="C478"/>
          <cell r="D478"/>
          <cell r="E478"/>
          <cell r="F478"/>
          <cell r="G478"/>
          <cell r="H478"/>
          <cell r="I478"/>
          <cell r="J478"/>
          <cell r="K478"/>
          <cell r="L478"/>
          <cell r="M478"/>
          <cell r="N478"/>
          <cell r="O478"/>
          <cell r="P478"/>
          <cell r="Q478"/>
          <cell r="R478"/>
          <cell r="S478"/>
          <cell r="T478"/>
        </row>
        <row r="479">
          <cell r="A479" t="str">
            <v>Other financial liabilities</v>
          </cell>
          <cell r="R479">
            <v>-339</v>
          </cell>
          <cell r="S479">
            <v>-336</v>
          </cell>
          <cell r="T479">
            <v>-303</v>
          </cell>
        </row>
        <row r="480">
          <cell r="A480" t="str">
            <v>Other payables</v>
          </cell>
          <cell r="B480">
            <v>-127</v>
          </cell>
          <cell r="C480">
            <v>-160</v>
          </cell>
          <cell r="D480">
            <v>-173</v>
          </cell>
          <cell r="E480">
            <v>-133</v>
          </cell>
          <cell r="F480">
            <v>-129</v>
          </cell>
          <cell r="G480">
            <v>-112</v>
          </cell>
          <cell r="H480">
            <v>-84</v>
          </cell>
          <cell r="I480">
            <v>-84</v>
          </cell>
          <cell r="J480">
            <v>-63</v>
          </cell>
          <cell r="K480">
            <v>-109</v>
          </cell>
          <cell r="L480">
            <v>-206</v>
          </cell>
          <cell r="M480">
            <v>-288</v>
          </cell>
          <cell r="N480">
            <v>-450</v>
          </cell>
          <cell r="O480">
            <v>-426</v>
          </cell>
          <cell r="P480">
            <v>-540</v>
          </cell>
          <cell r="Q480">
            <v>-543</v>
          </cell>
          <cell r="R480">
            <v>-650</v>
          </cell>
          <cell r="S480">
            <v>-827</v>
          </cell>
          <cell r="T480">
            <v>-965</v>
          </cell>
        </row>
        <row r="481">
          <cell r="A481" t="str">
            <v>of which, Customer advances due after one year</v>
          </cell>
          <cell r="B481">
            <v>-65</v>
          </cell>
          <cell r="C481">
            <v>-50</v>
          </cell>
          <cell r="D481">
            <v>-42</v>
          </cell>
          <cell r="E481">
            <v>-41</v>
          </cell>
          <cell r="F481">
            <v>-63</v>
          </cell>
          <cell r="G481">
            <v>-42</v>
          </cell>
          <cell r="H481">
            <v>-13</v>
          </cell>
          <cell r="I481">
            <v>-34</v>
          </cell>
          <cell r="J481">
            <v>-32</v>
          </cell>
          <cell r="K481">
            <v>-40</v>
          </cell>
          <cell r="L481">
            <v>-66</v>
          </cell>
          <cell r="M481">
            <v>-109</v>
          </cell>
          <cell r="N481">
            <v>-175</v>
          </cell>
          <cell r="O481">
            <v>-120</v>
          </cell>
          <cell r="P481">
            <v>-118</v>
          </cell>
          <cell r="Q481">
            <v>-118</v>
          </cell>
          <cell r="R481">
            <v>-214</v>
          </cell>
          <cell r="S481">
            <v>-171</v>
          </cell>
          <cell r="T481">
            <v>-332</v>
          </cell>
        </row>
        <row r="482">
          <cell r="A482" t="str">
            <v>Deferred tax liabilities (IFRS)</v>
          </cell>
          <cell r="Q482">
            <v>-115</v>
          </cell>
          <cell r="R482">
            <v>-178</v>
          </cell>
          <cell r="S482">
            <v>-252</v>
          </cell>
          <cell r="T482">
            <v>-345</v>
          </cell>
        </row>
        <row r="483">
          <cell r="K483"/>
          <cell r="L483"/>
          <cell r="M483"/>
          <cell r="N483"/>
          <cell r="O483"/>
          <cell r="P483"/>
          <cell r="Q483"/>
          <cell r="R483"/>
          <cell r="S483"/>
          <cell r="T483"/>
        </row>
        <row r="484">
          <cell r="A484" t="str">
            <v>Provisions</v>
          </cell>
          <cell r="B484">
            <v>-183</v>
          </cell>
          <cell r="C484">
            <v>-167</v>
          </cell>
          <cell r="D484">
            <v>-408</v>
          </cell>
          <cell r="E484">
            <v>-301</v>
          </cell>
          <cell r="F484">
            <v>-160</v>
          </cell>
          <cell r="G484">
            <v>-391</v>
          </cell>
          <cell r="H484">
            <v>-458</v>
          </cell>
          <cell r="I484">
            <v>-407</v>
          </cell>
          <cell r="J484">
            <v>-323</v>
          </cell>
          <cell r="K484">
            <v>-503</v>
          </cell>
          <cell r="L484">
            <v>-601</v>
          </cell>
          <cell r="M484">
            <v>-882</v>
          </cell>
          <cell r="N484">
            <v>-772</v>
          </cell>
          <cell r="O484">
            <v>-795</v>
          </cell>
          <cell r="P484">
            <v>-787</v>
          </cell>
          <cell r="Q484">
            <v>-1629</v>
          </cell>
          <cell r="R484">
            <v>-1882</v>
          </cell>
          <cell r="S484">
            <v>-1184</v>
          </cell>
          <cell r="T484">
            <v>-513</v>
          </cell>
        </row>
        <row r="485">
          <cell r="A485" t="str">
            <v xml:space="preserve">Pension provisions </v>
          </cell>
          <cell r="G485">
            <v>-58</v>
          </cell>
          <cell r="H485">
            <v>-60</v>
          </cell>
          <cell r="I485">
            <v>-78</v>
          </cell>
          <cell r="J485">
            <v>-84</v>
          </cell>
          <cell r="K485">
            <v>-108</v>
          </cell>
          <cell r="L485">
            <v>-130</v>
          </cell>
          <cell r="M485">
            <v>-157</v>
          </cell>
          <cell r="N485">
            <v>-158</v>
          </cell>
          <cell r="O485">
            <v>-160</v>
          </cell>
          <cell r="P485">
            <v>-159</v>
          </cell>
          <cell r="Q485">
            <v>-1409</v>
          </cell>
          <cell r="R485">
            <v>-1659</v>
          </cell>
          <cell r="S485">
            <v>-995</v>
          </cell>
          <cell r="T485">
            <v>-333</v>
          </cell>
        </row>
        <row r="486">
          <cell r="A486" t="str">
            <v>Other provisions</v>
          </cell>
          <cell r="G486">
            <v>-333</v>
          </cell>
          <cell r="H486">
            <v>-398</v>
          </cell>
          <cell r="I486">
            <v>-329</v>
          </cell>
          <cell r="J486">
            <v>-239</v>
          </cell>
          <cell r="K486">
            <v>-395</v>
          </cell>
          <cell r="L486">
            <v>-471</v>
          </cell>
          <cell r="M486">
            <v>-725</v>
          </cell>
          <cell r="N486">
            <v>-614</v>
          </cell>
          <cell r="O486">
            <v>-635</v>
          </cell>
          <cell r="P486">
            <v>-628</v>
          </cell>
          <cell r="Q486">
            <v>-220</v>
          </cell>
          <cell r="R486">
            <v>-223</v>
          </cell>
          <cell r="S486">
            <v>-189</v>
          </cell>
          <cell r="T486">
            <v>-180</v>
          </cell>
        </row>
        <row r="487">
          <cell r="A487" t="str">
            <v>of which, Deferred Tax</v>
          </cell>
          <cell r="B487"/>
          <cell r="C487"/>
          <cell r="D487"/>
          <cell r="E487"/>
          <cell r="F487"/>
          <cell r="G487">
            <v>-15</v>
          </cell>
          <cell r="H487">
            <v>-10</v>
          </cell>
          <cell r="I487">
            <v>-14</v>
          </cell>
          <cell r="J487">
            <v>-28</v>
          </cell>
          <cell r="K487">
            <v>-60</v>
          </cell>
          <cell r="L487">
            <v>-49</v>
          </cell>
          <cell r="M487">
            <v>-149</v>
          </cell>
          <cell r="N487">
            <v>-179</v>
          </cell>
          <cell r="O487">
            <v>-214</v>
          </cell>
          <cell r="P487">
            <v>-211</v>
          </cell>
          <cell r="Q487"/>
          <cell r="R487"/>
          <cell r="S487"/>
          <cell r="T487"/>
        </row>
        <row r="488">
          <cell r="A488" t="str">
            <v>of which, Warranty/Guarantees</v>
          </cell>
          <cell r="B488"/>
          <cell r="C488"/>
          <cell r="D488"/>
          <cell r="E488"/>
          <cell r="F488"/>
          <cell r="G488"/>
          <cell r="H488"/>
          <cell r="I488"/>
          <cell r="J488"/>
          <cell r="K488">
            <v>-161</v>
          </cell>
          <cell r="L488">
            <v>-187</v>
          </cell>
          <cell r="M488">
            <v>-197</v>
          </cell>
          <cell r="N488">
            <v>-182</v>
          </cell>
          <cell r="O488">
            <v>-187</v>
          </cell>
          <cell r="P488">
            <v>-171</v>
          </cell>
          <cell r="Q488"/>
          <cell r="R488"/>
          <cell r="S488"/>
          <cell r="T488"/>
        </row>
        <row r="489">
          <cell r="A489" t="str">
            <v>of which, Contract Loss</v>
          </cell>
          <cell r="B489"/>
          <cell r="C489"/>
          <cell r="D489"/>
          <cell r="E489"/>
          <cell r="F489"/>
          <cell r="G489"/>
          <cell r="H489"/>
          <cell r="I489"/>
          <cell r="J489"/>
          <cell r="K489">
            <v>-46</v>
          </cell>
          <cell r="L489">
            <v>-115</v>
          </cell>
          <cell r="M489">
            <v>-88</v>
          </cell>
          <cell r="N489">
            <v>-84</v>
          </cell>
          <cell r="O489">
            <v>-68</v>
          </cell>
          <cell r="P489">
            <v>-48</v>
          </cell>
          <cell r="Q489"/>
          <cell r="R489"/>
          <cell r="S489"/>
          <cell r="T489"/>
        </row>
        <row r="490">
          <cell r="A490" t="str">
            <v>of which, Customer Finance</v>
          </cell>
          <cell r="B490"/>
          <cell r="C490"/>
          <cell r="D490"/>
          <cell r="E490"/>
          <cell r="F490"/>
          <cell r="G490"/>
          <cell r="H490"/>
          <cell r="I490"/>
          <cell r="J490"/>
          <cell r="K490">
            <v>-30</v>
          </cell>
          <cell r="L490">
            <v>-35</v>
          </cell>
          <cell r="M490">
            <v>-82</v>
          </cell>
          <cell r="N490">
            <v>-64</v>
          </cell>
          <cell r="O490">
            <v>-92</v>
          </cell>
          <cell r="P490">
            <v>-116</v>
          </cell>
          <cell r="Q490"/>
          <cell r="R490"/>
          <cell r="S490"/>
          <cell r="T490"/>
        </row>
        <row r="491">
          <cell r="A491" t="str">
            <v>of which, Restructuring Provision</v>
          </cell>
          <cell r="B491"/>
          <cell r="C491"/>
          <cell r="D491"/>
          <cell r="E491"/>
          <cell r="F491"/>
          <cell r="G491"/>
          <cell r="H491"/>
          <cell r="I491"/>
          <cell r="J491"/>
          <cell r="K491">
            <v>-35</v>
          </cell>
          <cell r="L491">
            <v>-30</v>
          </cell>
          <cell r="M491">
            <v>-150</v>
          </cell>
          <cell r="N491">
            <v>-54</v>
          </cell>
          <cell r="O491">
            <v>-22</v>
          </cell>
          <cell r="P491">
            <v>-16</v>
          </cell>
          <cell r="Q491"/>
          <cell r="R491"/>
          <cell r="S491"/>
          <cell r="T491"/>
        </row>
        <row r="492">
          <cell r="A492" t="str">
            <v>of which, Other Provision</v>
          </cell>
          <cell r="B492"/>
          <cell r="C492"/>
          <cell r="D492"/>
          <cell r="E492"/>
          <cell r="F492"/>
          <cell r="G492">
            <v>-318</v>
          </cell>
          <cell r="H492">
            <v>-388</v>
          </cell>
          <cell r="I492">
            <v>-315</v>
          </cell>
          <cell r="J492">
            <v>-211</v>
          </cell>
          <cell r="K492">
            <v>-63</v>
          </cell>
          <cell r="L492">
            <v>-55</v>
          </cell>
          <cell r="M492">
            <v>-59</v>
          </cell>
          <cell r="N492">
            <v>-51</v>
          </cell>
          <cell r="O492">
            <v>-52</v>
          </cell>
          <cell r="P492">
            <v>-66</v>
          </cell>
          <cell r="Q492"/>
          <cell r="R492"/>
          <cell r="S492"/>
          <cell r="T492"/>
        </row>
        <row r="494">
          <cell r="Q494"/>
          <cell r="R494"/>
          <cell r="S494"/>
          <cell r="T494"/>
        </row>
        <row r="495">
          <cell r="A495" t="str">
            <v>Shareholders funds</v>
          </cell>
          <cell r="B495"/>
          <cell r="C495"/>
          <cell r="D495"/>
          <cell r="E495"/>
          <cell r="F495"/>
          <cell r="G495"/>
          <cell r="H495"/>
          <cell r="I495"/>
          <cell r="J495"/>
          <cell r="K495"/>
          <cell r="L495"/>
          <cell r="M495"/>
          <cell r="N495"/>
          <cell r="O495"/>
          <cell r="P495"/>
          <cell r="Q495"/>
          <cell r="R495"/>
          <cell r="S495"/>
          <cell r="T495"/>
        </row>
        <row r="496">
          <cell r="A496" t="str">
            <v>Called up share capital</v>
          </cell>
          <cell r="B496">
            <v>192</v>
          </cell>
          <cell r="C496">
            <v>193</v>
          </cell>
          <cell r="D496">
            <v>194</v>
          </cell>
          <cell r="E496">
            <v>244</v>
          </cell>
          <cell r="F496">
            <v>245</v>
          </cell>
          <cell r="G496">
            <v>292</v>
          </cell>
          <cell r="H496">
            <v>295</v>
          </cell>
          <cell r="I496">
            <v>296</v>
          </cell>
          <cell r="J496">
            <v>301</v>
          </cell>
          <cell r="K496">
            <v>309</v>
          </cell>
          <cell r="L496">
            <v>314</v>
          </cell>
          <cell r="M496">
            <v>320</v>
          </cell>
          <cell r="N496">
            <v>323</v>
          </cell>
          <cell r="O496">
            <v>333</v>
          </cell>
          <cell r="P496">
            <v>346</v>
          </cell>
          <cell r="Q496">
            <v>346</v>
          </cell>
          <cell r="R496">
            <v>352</v>
          </cell>
          <cell r="S496">
            <v>356</v>
          </cell>
          <cell r="T496">
            <v>364</v>
          </cell>
        </row>
        <row r="497">
          <cell r="A497" t="str">
            <v>Share premium account</v>
          </cell>
          <cell r="B497">
            <v>239</v>
          </cell>
          <cell r="C497">
            <v>242</v>
          </cell>
          <cell r="D497">
            <v>241</v>
          </cell>
          <cell r="E497">
            <v>506</v>
          </cell>
          <cell r="F497">
            <v>509</v>
          </cell>
          <cell r="G497">
            <v>504</v>
          </cell>
          <cell r="H497">
            <v>519</v>
          </cell>
          <cell r="I497">
            <v>522</v>
          </cell>
          <cell r="J497">
            <v>548</v>
          </cell>
          <cell r="K497">
            <v>615</v>
          </cell>
          <cell r="L497">
            <v>623</v>
          </cell>
          <cell r="M497">
            <v>636</v>
          </cell>
          <cell r="N497">
            <v>634</v>
          </cell>
          <cell r="O497">
            <v>1</v>
          </cell>
          <cell r="P497">
            <v>4</v>
          </cell>
          <cell r="Q497">
            <v>4</v>
          </cell>
          <cell r="R497">
            <v>30</v>
          </cell>
          <cell r="S497">
            <v>43</v>
          </cell>
          <cell r="T497">
            <v>67</v>
          </cell>
        </row>
        <row r="498">
          <cell r="A498" t="str">
            <v>Other reserves</v>
          </cell>
          <cell r="B498">
            <v>154</v>
          </cell>
          <cell r="C498">
            <v>148</v>
          </cell>
          <cell r="D498">
            <v>141</v>
          </cell>
          <cell r="E498">
            <v>140</v>
          </cell>
          <cell r="F498">
            <v>129</v>
          </cell>
          <cell r="G498">
            <v>100</v>
          </cell>
          <cell r="H498">
            <v>179</v>
          </cell>
          <cell r="I498">
            <v>192</v>
          </cell>
          <cell r="J498">
            <v>246</v>
          </cell>
          <cell r="K498">
            <v>252</v>
          </cell>
          <cell r="L498">
            <v>290</v>
          </cell>
          <cell r="M498">
            <v>292</v>
          </cell>
          <cell r="N498">
            <v>295</v>
          </cell>
          <cell r="O498">
            <v>99</v>
          </cell>
          <cell r="P498">
            <v>166</v>
          </cell>
          <cell r="Q498">
            <v>39</v>
          </cell>
          <cell r="R498">
            <v>605</v>
          </cell>
          <cell r="S498">
            <v>319</v>
          </cell>
          <cell r="T498">
            <v>330</v>
          </cell>
        </row>
        <row r="499">
          <cell r="A499" t="str">
            <v>Retained earnings</v>
          </cell>
          <cell r="B499">
            <v>579</v>
          </cell>
          <cell r="C499">
            <v>539</v>
          </cell>
          <cell r="D499">
            <v>323</v>
          </cell>
          <cell r="E499">
            <v>335</v>
          </cell>
          <cell r="F499">
            <v>359</v>
          </cell>
          <cell r="G499">
            <v>449</v>
          </cell>
          <cell r="H499">
            <v>310</v>
          </cell>
          <cell r="I499">
            <v>433</v>
          </cell>
          <cell r="J499">
            <v>610</v>
          </cell>
          <cell r="K499">
            <v>812</v>
          </cell>
          <cell r="L499">
            <v>836</v>
          </cell>
          <cell r="M499">
            <v>820</v>
          </cell>
          <cell r="N499">
            <v>783</v>
          </cell>
          <cell r="O499">
            <v>1707</v>
          </cell>
          <cell r="P499">
            <v>1787</v>
          </cell>
          <cell r="Q499">
            <v>1053</v>
          </cell>
          <cell r="R499">
            <v>512</v>
          </cell>
          <cell r="S499">
            <v>2000</v>
          </cell>
          <cell r="T499">
            <v>2776</v>
          </cell>
        </row>
        <row r="500">
          <cell r="A500" t="str">
            <v>Reported shareholders funds (IFRS)</v>
          </cell>
          <cell r="B500">
            <v>1164</v>
          </cell>
          <cell r="C500">
            <v>1122</v>
          </cell>
          <cell r="D500">
            <v>899</v>
          </cell>
          <cell r="E500">
            <v>1225</v>
          </cell>
          <cell r="F500">
            <v>1242</v>
          </cell>
          <cell r="G500">
            <v>1345</v>
          </cell>
          <cell r="H500">
            <v>1303</v>
          </cell>
          <cell r="I500">
            <v>1443</v>
          </cell>
          <cell r="J500">
            <v>1705</v>
          </cell>
          <cell r="K500">
            <v>1988</v>
          </cell>
          <cell r="L500">
            <v>2063</v>
          </cell>
          <cell r="M500">
            <v>2068</v>
          </cell>
          <cell r="N500">
            <v>2035</v>
          </cell>
          <cell r="O500">
            <v>2140</v>
          </cell>
          <cell r="P500">
            <v>2303</v>
          </cell>
          <cell r="Q500">
            <v>1442</v>
          </cell>
          <cell r="R500">
            <v>1499</v>
          </cell>
          <cell r="S500">
            <v>2718</v>
          </cell>
          <cell r="T500">
            <v>3537</v>
          </cell>
        </row>
        <row r="501">
          <cell r="A501" t="str">
            <v>Cumulative goodwill written-off</v>
          </cell>
          <cell r="B501">
            <v>243</v>
          </cell>
          <cell r="C501">
            <v>243</v>
          </cell>
          <cell r="D501">
            <v>247</v>
          </cell>
          <cell r="E501">
            <v>243</v>
          </cell>
          <cell r="F501">
            <v>243</v>
          </cell>
          <cell r="G501">
            <v>568</v>
          </cell>
          <cell r="H501">
            <v>592</v>
          </cell>
          <cell r="I501">
            <v>514</v>
          </cell>
          <cell r="J501">
            <v>436</v>
          </cell>
          <cell r="K501">
            <v>428</v>
          </cell>
          <cell r="L501">
            <v>387</v>
          </cell>
          <cell r="M501">
            <v>380</v>
          </cell>
          <cell r="N501">
            <v>372</v>
          </cell>
          <cell r="O501">
            <v>372</v>
          </cell>
          <cell r="P501">
            <v>370</v>
          </cell>
          <cell r="Q501">
            <v>370</v>
          </cell>
          <cell r="R501">
            <v>370</v>
          </cell>
          <cell r="S501">
            <v>370</v>
          </cell>
          <cell r="T501">
            <v>370</v>
          </cell>
        </row>
        <row r="502">
          <cell r="A502" t="str">
            <v>Goldman adjusted shareholders funds</v>
          </cell>
          <cell r="B502">
            <v>1407</v>
          </cell>
          <cell r="C502">
            <v>1365</v>
          </cell>
          <cell r="D502">
            <v>1146</v>
          </cell>
          <cell r="E502">
            <v>1468</v>
          </cell>
          <cell r="F502">
            <v>1485</v>
          </cell>
          <cell r="G502">
            <v>1913</v>
          </cell>
          <cell r="H502">
            <v>1895</v>
          </cell>
          <cell r="I502">
            <v>1957</v>
          </cell>
          <cell r="J502">
            <v>2141</v>
          </cell>
          <cell r="K502">
            <v>2416</v>
          </cell>
          <cell r="L502">
            <v>2450</v>
          </cell>
          <cell r="M502">
            <v>2448</v>
          </cell>
          <cell r="N502">
            <v>2407</v>
          </cell>
          <cell r="O502">
            <v>2512</v>
          </cell>
          <cell r="P502">
            <v>2673</v>
          </cell>
          <cell r="Q502">
            <v>1812</v>
          </cell>
          <cell r="R502">
            <v>1869</v>
          </cell>
          <cell r="S502">
            <v>3088</v>
          </cell>
          <cell r="T502">
            <v>3907</v>
          </cell>
        </row>
        <row r="503">
          <cell r="A503"/>
          <cell r="B503"/>
          <cell r="C503"/>
          <cell r="D503"/>
          <cell r="E503"/>
          <cell r="F503"/>
          <cell r="G503"/>
          <cell r="H503"/>
          <cell r="I503"/>
          <cell r="J503"/>
          <cell r="K503"/>
          <cell r="L503"/>
          <cell r="M503"/>
          <cell r="N503"/>
          <cell r="O503"/>
          <cell r="P503"/>
          <cell r="Q503"/>
          <cell r="R503"/>
          <cell r="S503"/>
          <cell r="T503"/>
        </row>
        <row r="504">
          <cell r="A504" t="str">
            <v>Minorities</v>
          </cell>
          <cell r="B504">
            <v>38</v>
          </cell>
          <cell r="C504">
            <v>27</v>
          </cell>
          <cell r="D504">
            <v>15</v>
          </cell>
          <cell r="E504">
            <v>10</v>
          </cell>
          <cell r="F504">
            <v>13</v>
          </cell>
          <cell r="G504">
            <v>15</v>
          </cell>
          <cell r="H504">
            <v>22</v>
          </cell>
          <cell r="I504">
            <v>19</v>
          </cell>
          <cell r="J504">
            <v>12</v>
          </cell>
          <cell r="K504">
            <v>13</v>
          </cell>
          <cell r="L504">
            <v>1</v>
          </cell>
          <cell r="M504">
            <v>2</v>
          </cell>
          <cell r="N504">
            <v>2</v>
          </cell>
          <cell r="O504">
            <v>3</v>
          </cell>
          <cell r="P504">
            <v>4</v>
          </cell>
          <cell r="Q504">
            <v>4</v>
          </cell>
          <cell r="R504">
            <v>6</v>
          </cell>
          <cell r="S504">
            <v>7</v>
          </cell>
          <cell r="T504">
            <v>12</v>
          </cell>
        </row>
        <row r="505">
          <cell r="J505"/>
        </row>
        <row r="506">
          <cell r="A506" t="str">
            <v>Total assets</v>
          </cell>
          <cell r="B506">
            <v>2847</v>
          </cell>
          <cell r="C506">
            <v>3035</v>
          </cell>
          <cell r="D506">
            <v>3053</v>
          </cell>
          <cell r="E506">
            <v>3342</v>
          </cell>
          <cell r="F506">
            <v>3102</v>
          </cell>
          <cell r="G506">
            <v>3655</v>
          </cell>
          <cell r="H506">
            <v>3929</v>
          </cell>
          <cell r="I506">
            <v>4541</v>
          </cell>
          <cell r="J506">
            <v>4781</v>
          </cell>
          <cell r="K506">
            <v>6759</v>
          </cell>
          <cell r="L506">
            <v>6760</v>
          </cell>
          <cell r="M506">
            <v>7340</v>
          </cell>
          <cell r="N506">
            <v>7299</v>
          </cell>
          <cell r="O506">
            <v>7414</v>
          </cell>
          <cell r="P506">
            <v>7772</v>
          </cell>
          <cell r="Q506">
            <v>8114</v>
          </cell>
          <cell r="R506">
            <v>9319</v>
          </cell>
          <cell r="S506">
            <v>10378</v>
          </cell>
          <cell r="T506">
            <v>11459</v>
          </cell>
        </row>
        <row r="507">
          <cell r="A507" t="str">
            <v>Total liabilities</v>
          </cell>
          <cell r="B507">
            <v>-2847</v>
          </cell>
          <cell r="C507">
            <v>-3035</v>
          </cell>
          <cell r="D507">
            <v>-3053</v>
          </cell>
          <cell r="E507">
            <v>-3342</v>
          </cell>
          <cell r="F507">
            <v>-3102</v>
          </cell>
          <cell r="G507">
            <v>-3655</v>
          </cell>
          <cell r="H507">
            <v>-3929</v>
          </cell>
          <cell r="I507">
            <v>-4541</v>
          </cell>
          <cell r="J507">
            <v>-4781</v>
          </cell>
          <cell r="K507">
            <v>-6759</v>
          </cell>
          <cell r="L507">
            <v>-6760</v>
          </cell>
          <cell r="M507">
            <v>-7340</v>
          </cell>
          <cell r="N507">
            <v>-7299</v>
          </cell>
          <cell r="O507">
            <v>-7414</v>
          </cell>
          <cell r="P507">
            <v>-7772</v>
          </cell>
          <cell r="Q507">
            <v>-8114</v>
          </cell>
          <cell r="R507">
            <v>-9319</v>
          </cell>
          <cell r="S507">
            <v>-10378</v>
          </cell>
          <cell r="T507">
            <v>-11459</v>
          </cell>
        </row>
        <row r="508">
          <cell r="A508" t="str">
            <v>Total assets and liabilities (including goodwill written-off)</v>
          </cell>
          <cell r="B508">
            <v>3090</v>
          </cell>
          <cell r="C508">
            <v>3278</v>
          </cell>
          <cell r="D508">
            <v>3300</v>
          </cell>
          <cell r="E508">
            <v>3585</v>
          </cell>
          <cell r="F508">
            <v>3345</v>
          </cell>
          <cell r="G508">
            <v>4223</v>
          </cell>
          <cell r="H508">
            <v>4521</v>
          </cell>
          <cell r="I508">
            <v>5055</v>
          </cell>
          <cell r="J508">
            <v>5217</v>
          </cell>
          <cell r="K508">
            <v>7187</v>
          </cell>
          <cell r="L508">
            <v>7147</v>
          </cell>
          <cell r="M508">
            <v>7720</v>
          </cell>
          <cell r="N508">
            <v>7671</v>
          </cell>
          <cell r="O508">
            <v>7786</v>
          </cell>
          <cell r="P508">
            <v>8142</v>
          </cell>
          <cell r="Q508">
            <v>8484</v>
          </cell>
          <cell r="R508">
            <v>9689</v>
          </cell>
          <cell r="S508">
            <v>10748</v>
          </cell>
          <cell r="T508">
            <v>11829</v>
          </cell>
        </row>
        <row r="509">
          <cell r="A509" t="str">
            <v>Balance sheet checking line</v>
          </cell>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row>
        <row r="510">
          <cell r="A510"/>
          <cell r="B510"/>
          <cell r="C510"/>
          <cell r="D510"/>
          <cell r="E510"/>
          <cell r="F510"/>
          <cell r="G510"/>
          <cell r="H510"/>
          <cell r="I510"/>
          <cell r="J510"/>
          <cell r="K510"/>
          <cell r="L510"/>
          <cell r="M510"/>
          <cell r="N510"/>
          <cell r="O510"/>
          <cell r="P510"/>
          <cell r="Q510"/>
          <cell r="R510"/>
          <cell r="S510"/>
          <cell r="T510"/>
        </row>
        <row r="511">
          <cell r="A511"/>
          <cell r="B511" t="str">
            <v>UK GAAP</v>
          </cell>
          <cell r="C511" t="str">
            <v>UK GAAP</v>
          </cell>
          <cell r="D511" t="str">
            <v>UK GAAP</v>
          </cell>
          <cell r="E511" t="str">
            <v>UK GAAP</v>
          </cell>
          <cell r="F511" t="str">
            <v>UK GAAP</v>
          </cell>
          <cell r="G511" t="str">
            <v>UK GAAP</v>
          </cell>
          <cell r="H511" t="str">
            <v>UK GAAP</v>
          </cell>
          <cell r="I511" t="str">
            <v>UK GAAP</v>
          </cell>
          <cell r="J511" t="str">
            <v>UK GAAP</v>
          </cell>
          <cell r="K511" t="str">
            <v>UK GAAP</v>
          </cell>
          <cell r="L511" t="str">
            <v>UK GAAP</v>
          </cell>
          <cell r="M511" t="str">
            <v>UK GAAP</v>
          </cell>
          <cell r="N511" t="str">
            <v>UK GAAP</v>
          </cell>
          <cell r="O511" t="str">
            <v>UK GAAP</v>
          </cell>
          <cell r="P511" t="str">
            <v>UK GAAP</v>
          </cell>
          <cell r="Q511" t="str">
            <v>IFRS</v>
          </cell>
          <cell r="R511" t="str">
            <v>IFRS</v>
          </cell>
          <cell r="S511" t="str">
            <v>IFRS</v>
          </cell>
          <cell r="T511" t="str">
            <v>IFRS</v>
          </cell>
        </row>
        <row r="512">
          <cell r="A512" t="str">
            <v>Summary Balance Sheet</v>
          </cell>
          <cell r="B512">
            <v>1990</v>
          </cell>
          <cell r="C512">
            <v>1991</v>
          </cell>
          <cell r="D512">
            <v>1992</v>
          </cell>
          <cell r="E512">
            <v>1993</v>
          </cell>
          <cell r="F512">
            <v>1994</v>
          </cell>
          <cell r="G512">
            <v>1995</v>
          </cell>
          <cell r="H512">
            <v>1996</v>
          </cell>
          <cell r="I512">
            <v>1997</v>
          </cell>
          <cell r="J512">
            <v>1998</v>
          </cell>
          <cell r="K512">
            <v>1999</v>
          </cell>
          <cell r="L512">
            <v>2000</v>
          </cell>
          <cell r="M512">
            <v>2001</v>
          </cell>
          <cell r="N512">
            <v>2002</v>
          </cell>
          <cell r="O512">
            <v>2003</v>
          </cell>
          <cell r="P512">
            <v>2004</v>
          </cell>
          <cell r="Q512" t="str">
            <v>2004pf</v>
          </cell>
          <cell r="R512">
            <v>2005</v>
          </cell>
          <cell r="S512">
            <v>2006</v>
          </cell>
          <cell r="T512">
            <v>2007</v>
          </cell>
        </row>
        <row r="513">
          <cell r="A513"/>
          <cell r="B513"/>
          <cell r="C513"/>
          <cell r="D513"/>
          <cell r="E513"/>
          <cell r="F513"/>
          <cell r="G513"/>
          <cell r="H513"/>
          <cell r="I513"/>
          <cell r="J513"/>
          <cell r="K513"/>
          <cell r="L513"/>
          <cell r="M513"/>
          <cell r="N513"/>
          <cell r="O513"/>
          <cell r="P513"/>
          <cell r="Q513"/>
          <cell r="R513"/>
          <cell r="S513"/>
          <cell r="T513"/>
        </row>
        <row r="514">
          <cell r="A514" t="str">
            <v>Intangible assets</v>
          </cell>
          <cell r="B514"/>
          <cell r="C514"/>
          <cell r="D514"/>
          <cell r="E514"/>
          <cell r="F514"/>
          <cell r="G514"/>
          <cell r="H514"/>
          <cell r="I514"/>
          <cell r="J514"/>
        </row>
        <row r="515">
          <cell r="A515" t="str">
            <v>Fixed assets</v>
          </cell>
          <cell r="B515"/>
          <cell r="C515"/>
          <cell r="D515"/>
          <cell r="E515"/>
          <cell r="F515"/>
          <cell r="G515"/>
          <cell r="H515"/>
          <cell r="I515"/>
          <cell r="J515"/>
          <cell r="T515"/>
        </row>
        <row r="516">
          <cell r="A516" t="str">
            <v>Net working capital</v>
          </cell>
          <cell r="B516"/>
          <cell r="C516"/>
          <cell r="D516"/>
          <cell r="E516"/>
          <cell r="F516"/>
          <cell r="G516"/>
          <cell r="H516"/>
          <cell r="I516"/>
          <cell r="J516"/>
        </row>
        <row r="517">
          <cell r="A517" t="str">
            <v>Investments / financial assets</v>
          </cell>
          <cell r="B517"/>
          <cell r="C517"/>
          <cell r="D517"/>
          <cell r="E517"/>
          <cell r="F517"/>
          <cell r="G517"/>
          <cell r="H517"/>
          <cell r="I517"/>
          <cell r="J517"/>
        </row>
        <row r="518">
          <cell r="A518" t="str">
            <v>Assets</v>
          </cell>
          <cell r="B518"/>
          <cell r="C518"/>
          <cell r="D518"/>
          <cell r="E518"/>
          <cell r="F518"/>
          <cell r="G518"/>
          <cell r="H518"/>
          <cell r="I518"/>
          <cell r="J518"/>
          <cell r="K518"/>
          <cell r="L518"/>
          <cell r="M518"/>
          <cell r="N518"/>
          <cell r="O518"/>
          <cell r="P518"/>
          <cell r="Q518"/>
          <cell r="R518"/>
          <cell r="S518"/>
          <cell r="T518"/>
        </row>
        <row r="519">
          <cell r="A519"/>
          <cell r="B519"/>
          <cell r="C519"/>
          <cell r="D519"/>
          <cell r="E519"/>
          <cell r="F519"/>
          <cell r="G519"/>
          <cell r="H519"/>
          <cell r="I519"/>
          <cell r="J519"/>
          <cell r="P519"/>
          <cell r="Q519"/>
          <cell r="R519"/>
          <cell r="S519"/>
          <cell r="T519"/>
        </row>
        <row r="520">
          <cell r="A520" t="str">
            <v>Provisions</v>
          </cell>
          <cell r="B520"/>
          <cell r="C520"/>
          <cell r="D520"/>
          <cell r="E520"/>
          <cell r="F520"/>
          <cell r="G520"/>
          <cell r="H520"/>
          <cell r="I520"/>
          <cell r="J520"/>
        </row>
        <row r="521">
          <cell r="A521" t="str">
            <v>Net debt / (cash)</v>
          </cell>
          <cell r="B521"/>
          <cell r="C521"/>
          <cell r="D521"/>
          <cell r="E521"/>
          <cell r="F521"/>
          <cell r="G521"/>
          <cell r="H521"/>
          <cell r="I521"/>
          <cell r="J521"/>
        </row>
        <row r="522">
          <cell r="A522" t="str">
            <v>Minorities</v>
          </cell>
          <cell r="B522"/>
          <cell r="C522"/>
          <cell r="D522"/>
          <cell r="E522"/>
          <cell r="F522"/>
          <cell r="G522"/>
          <cell r="H522"/>
          <cell r="I522"/>
          <cell r="J522"/>
        </row>
        <row r="523">
          <cell r="A523" t="str">
            <v>Reported shareholders funds (IFRS)</v>
          </cell>
        </row>
        <row r="524">
          <cell r="A524" t="str">
            <v>Liabilities</v>
          </cell>
          <cell r="B524"/>
          <cell r="C524"/>
          <cell r="D524"/>
          <cell r="E524"/>
          <cell r="F524"/>
          <cell r="G524"/>
          <cell r="H524"/>
          <cell r="I524"/>
          <cell r="J524"/>
          <cell r="K524"/>
          <cell r="L524"/>
          <cell r="M524"/>
          <cell r="N524"/>
          <cell r="O524"/>
          <cell r="P524"/>
          <cell r="Q524"/>
          <cell r="R524"/>
          <cell r="S524"/>
          <cell r="T524"/>
        </row>
        <row r="525">
          <cell r="A525" t="str">
            <v>Cumulative goodwill written-off</v>
          </cell>
          <cell r="B525"/>
          <cell r="C525"/>
          <cell r="D525"/>
          <cell r="E525"/>
          <cell r="F525"/>
          <cell r="G525"/>
          <cell r="H525"/>
          <cell r="I525"/>
          <cell r="J525"/>
          <cell r="K525"/>
          <cell r="L525"/>
          <cell r="M525"/>
          <cell r="N525"/>
          <cell r="O525"/>
          <cell r="P525"/>
          <cell r="Q525"/>
          <cell r="R525"/>
          <cell r="S525"/>
          <cell r="T525"/>
        </row>
      </sheetData>
      <sheetData sheetId="5"/>
      <sheetData sheetId="6"/>
      <sheetData sheetId="7">
        <row r="3">
          <cell r="I3" t="str">
            <v>2002A</v>
          </cell>
        </row>
      </sheetData>
      <sheetData sheetId="8">
        <row r="3">
          <cell r="I3">
            <v>2005</v>
          </cell>
        </row>
      </sheetData>
      <sheetData sheetId="9"/>
      <sheetData sheetId="10">
        <row r="29">
          <cell r="D29">
            <v>1915</v>
          </cell>
        </row>
      </sheetData>
      <sheetData sheetId="11"/>
      <sheetData sheetId="12"/>
      <sheetData sheetId="13"/>
      <sheetData sheetId="14"/>
      <sheetData sheetId="15">
        <row r="4">
          <cell r="A4" t="str">
            <v>GE Aviation</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ow r="5">
          <cell r="A5" t="str">
            <v xml:space="preserve">Other </v>
          </cell>
        </row>
      </sheetData>
      <sheetData sheetId="29"/>
      <sheetData sheetId="30">
        <row r="13">
          <cell r="B13" t="str">
            <v>Civil OE</v>
          </cell>
        </row>
      </sheetData>
      <sheetData sheetId="31"/>
      <sheetData sheetId="32">
        <row r="2">
          <cell r="B2">
            <v>1986</v>
          </cell>
        </row>
      </sheetData>
      <sheetData sheetId="33"/>
      <sheetData sheetId="34"/>
      <sheetData sheetId="35">
        <row r="8">
          <cell r="B8"/>
          <cell r="C8">
            <v>2001</v>
          </cell>
          <cell r="D8">
            <v>2002</v>
          </cell>
          <cell r="E8">
            <v>2003</v>
          </cell>
          <cell r="F8">
            <v>2004</v>
          </cell>
          <cell r="G8" t="str">
            <v>2004pf</v>
          </cell>
          <cell r="H8">
            <v>2005</v>
          </cell>
          <cell r="I8">
            <v>2006</v>
          </cell>
          <cell r="J8">
            <v>2007</v>
          </cell>
          <cell r="K8">
            <v>2008</v>
          </cell>
          <cell r="L8">
            <v>2009</v>
          </cell>
          <cell r="M8">
            <v>2010</v>
          </cell>
          <cell r="N8">
            <v>2011</v>
          </cell>
          <cell r="O8" t="str">
            <v>2012E</v>
          </cell>
          <cell r="P8" t="str">
            <v>2013E</v>
          </cell>
          <cell r="Q8" t="str">
            <v>2014E</v>
          </cell>
          <cell r="R8" t="str">
            <v>2015E</v>
          </cell>
        </row>
        <row r="9">
          <cell r="B9"/>
          <cell r="C9"/>
          <cell r="D9"/>
          <cell r="E9"/>
          <cell r="F9"/>
          <cell r="G9"/>
          <cell r="H9"/>
          <cell r="I9"/>
          <cell r="J9"/>
          <cell r="K9"/>
          <cell r="L9"/>
          <cell r="M9"/>
          <cell r="N9"/>
          <cell r="O9"/>
          <cell r="P9"/>
          <cell r="Q9"/>
          <cell r="R9"/>
        </row>
        <row r="10">
          <cell r="B10" t="str">
            <v>Divisional sales</v>
          </cell>
          <cell r="C10"/>
          <cell r="D10"/>
          <cell r="E10"/>
          <cell r="F10"/>
          <cell r="G10"/>
          <cell r="H10"/>
          <cell r="I10"/>
          <cell r="J10"/>
          <cell r="K10"/>
          <cell r="L10"/>
          <cell r="M10"/>
          <cell r="N10"/>
          <cell r="O10"/>
          <cell r="P10"/>
          <cell r="Q10"/>
          <cell r="R10"/>
        </row>
        <row r="11">
          <cell r="B11" t="str">
            <v>Civil Aerospace</v>
          </cell>
          <cell r="C11">
            <v>3443</v>
          </cell>
          <cell r="D11">
            <v>2739</v>
          </cell>
          <cell r="E11">
            <v>2694</v>
          </cell>
          <cell r="F11">
            <v>3040</v>
          </cell>
          <cell r="G11">
            <v>3040</v>
          </cell>
          <cell r="H11">
            <v>3406</v>
          </cell>
          <cell r="I11">
            <v>3907</v>
          </cell>
          <cell r="J11">
            <v>4038</v>
          </cell>
          <cell r="K11">
            <v>4502</v>
          </cell>
          <cell r="L11">
            <v>4481</v>
          </cell>
          <cell r="M11">
            <v>4919</v>
          </cell>
          <cell r="N11">
            <v>5572</v>
          </cell>
          <cell r="O11">
            <v>6232.6071833729184</v>
          </cell>
          <cell r="P11">
            <v>6843.7048218527207</v>
          </cell>
          <cell r="Q11">
            <v>7363.7816373407422</v>
          </cell>
          <cell r="R11">
            <v>8176.9364037395253</v>
          </cell>
        </row>
        <row r="12">
          <cell r="B12" t="str">
            <v>Defence</v>
          </cell>
          <cell r="C12">
            <v>1400</v>
          </cell>
          <cell r="D12">
            <v>1376</v>
          </cell>
          <cell r="E12">
            <v>1398</v>
          </cell>
          <cell r="F12">
            <v>1374</v>
          </cell>
          <cell r="G12">
            <v>1374</v>
          </cell>
          <cell r="H12">
            <v>1420</v>
          </cell>
          <cell r="I12">
            <v>1601</v>
          </cell>
          <cell r="J12">
            <v>1673</v>
          </cell>
          <cell r="K12">
            <v>1686</v>
          </cell>
          <cell r="L12">
            <v>2010</v>
          </cell>
          <cell r="M12">
            <v>2123</v>
          </cell>
          <cell r="N12">
            <v>2235</v>
          </cell>
          <cell r="O12">
            <v>2290.1000000000004</v>
          </cell>
          <cell r="P12">
            <v>2335.42</v>
          </cell>
          <cell r="Q12">
            <v>2370.7696000000001</v>
          </cell>
          <cell r="R12">
            <v>2407.1796880000002</v>
          </cell>
        </row>
        <row r="13">
          <cell r="B13" t="str">
            <v>Marine</v>
          </cell>
          <cell r="C13">
            <v>827</v>
          </cell>
          <cell r="D13">
            <v>984</v>
          </cell>
          <cell r="E13">
            <v>1003</v>
          </cell>
          <cell r="F13">
            <v>963</v>
          </cell>
          <cell r="G13">
            <v>963</v>
          </cell>
          <cell r="H13">
            <v>1097</v>
          </cell>
          <cell r="I13">
            <v>1299</v>
          </cell>
          <cell r="J13">
            <v>1548</v>
          </cell>
          <cell r="K13">
            <v>2204</v>
          </cell>
          <cell r="L13">
            <v>2589</v>
          </cell>
          <cell r="M13">
            <v>2591</v>
          </cell>
          <cell r="N13">
            <v>2271</v>
          </cell>
          <cell r="O13">
            <v>2265.9899999999998</v>
          </cell>
          <cell r="P13">
            <v>2447.2692000000002</v>
          </cell>
          <cell r="Q13">
            <v>2672.4703680000002</v>
          </cell>
          <cell r="R13">
            <v>2939.7174048000006</v>
          </cell>
        </row>
        <row r="14">
          <cell r="B14" t="str">
            <v>Energy</v>
          </cell>
          <cell r="C14">
            <v>608</v>
          </cell>
          <cell r="D14">
            <v>639</v>
          </cell>
          <cell r="E14">
            <v>508</v>
          </cell>
          <cell r="F14">
            <v>489</v>
          </cell>
          <cell r="G14">
            <v>489</v>
          </cell>
          <cell r="H14">
            <v>535</v>
          </cell>
          <cell r="I14">
            <v>546</v>
          </cell>
          <cell r="J14">
            <v>558</v>
          </cell>
          <cell r="K14">
            <v>755</v>
          </cell>
          <cell r="L14">
            <v>1028</v>
          </cell>
          <cell r="M14">
            <v>1233</v>
          </cell>
          <cell r="N14">
            <v>1199</v>
          </cell>
          <cell r="O14">
            <v>1082.7535644</v>
          </cell>
          <cell r="P14">
            <v>1173.1816674360002</v>
          </cell>
          <cell r="Q14">
            <v>1267.7559486372004</v>
          </cell>
          <cell r="R14">
            <v>1361.0644386847205</v>
          </cell>
        </row>
        <row r="15">
          <cell r="B15" t="str">
            <v>Bergen</v>
          </cell>
          <cell r="C15">
            <v>0</v>
          </cell>
          <cell r="D15">
            <v>0</v>
          </cell>
          <cell r="E15">
            <v>0</v>
          </cell>
          <cell r="F15">
            <v>0</v>
          </cell>
          <cell r="G15">
            <v>0</v>
          </cell>
          <cell r="H15">
            <v>0</v>
          </cell>
          <cell r="I15"/>
          <cell r="J15"/>
          <cell r="K15"/>
          <cell r="L15"/>
          <cell r="M15"/>
          <cell r="N15"/>
          <cell r="O15">
            <v>300.79999999999995</v>
          </cell>
          <cell r="P15">
            <v>321.85599999999999</v>
          </cell>
          <cell r="Q15">
            <v>344.38592</v>
          </cell>
          <cell r="R15">
            <v>368.49293440000002</v>
          </cell>
        </row>
        <row r="16">
          <cell r="B16" t="str">
            <v>Tognum</v>
          </cell>
          <cell r="C16">
            <v>0</v>
          </cell>
          <cell r="D16">
            <v>0</v>
          </cell>
          <cell r="E16">
            <v>0</v>
          </cell>
          <cell r="F16">
            <v>0</v>
          </cell>
          <cell r="G16">
            <v>0</v>
          </cell>
          <cell r="H16">
            <v>0</v>
          </cell>
          <cell r="I16"/>
          <cell r="J16"/>
          <cell r="K16"/>
          <cell r="L16"/>
          <cell r="M16"/>
          <cell r="N16"/>
          <cell r="O16">
            <v>0</v>
          </cell>
          <cell r="P16">
            <v>2700.9767359999996</v>
          </cell>
          <cell r="Q16">
            <v>2921.9532028799999</v>
          </cell>
          <cell r="R16">
            <v>3119.7103982528001</v>
          </cell>
        </row>
        <row r="17">
          <cell r="B17" t="str">
            <v>Financial Services</v>
          </cell>
          <cell r="C17">
            <v>50</v>
          </cell>
          <cell r="D17">
            <v>50</v>
          </cell>
          <cell r="E17">
            <v>42</v>
          </cell>
          <cell r="F17">
            <v>73</v>
          </cell>
          <cell r="G17">
            <v>81</v>
          </cell>
          <cell r="H17">
            <v>0</v>
          </cell>
          <cell r="I17">
            <v>0</v>
          </cell>
          <cell r="J17">
            <v>0</v>
          </cell>
          <cell r="K17">
            <v>0</v>
          </cell>
          <cell r="L17">
            <v>0</v>
          </cell>
          <cell r="M17">
            <v>0</v>
          </cell>
          <cell r="N17">
            <v>0</v>
          </cell>
          <cell r="O17">
            <v>0</v>
          </cell>
          <cell r="P17">
            <v>0</v>
          </cell>
          <cell r="Q17">
            <v>0</v>
          </cell>
          <cell r="R17">
            <v>0</v>
          </cell>
        </row>
        <row r="18">
          <cell r="B18" t="str">
            <v>Total sales</v>
          </cell>
          <cell r="C18">
            <v>6328</v>
          </cell>
          <cell r="D18">
            <v>5788</v>
          </cell>
          <cell r="E18">
            <v>5645</v>
          </cell>
          <cell r="F18">
            <v>5939</v>
          </cell>
          <cell r="G18">
            <v>5947</v>
          </cell>
          <cell r="H18">
            <v>6458</v>
          </cell>
          <cell r="I18">
            <v>7353</v>
          </cell>
          <cell r="J18">
            <v>7817</v>
          </cell>
          <cell r="K18">
            <v>9147</v>
          </cell>
          <cell r="L18">
            <v>10108</v>
          </cell>
          <cell r="M18">
            <v>10866</v>
          </cell>
          <cell r="N18">
            <v>11277</v>
          </cell>
          <cell r="O18">
            <v>12042.250747772918</v>
          </cell>
          <cell r="P18">
            <v>15692.408425288722</v>
          </cell>
          <cell r="Q18">
            <v>16811.116676857942</v>
          </cell>
          <cell r="R18">
            <v>18243.101267877046</v>
          </cell>
        </row>
        <row r="19">
          <cell r="B19"/>
          <cell r="C19"/>
          <cell r="D19"/>
          <cell r="E19"/>
          <cell r="F19"/>
          <cell r="G19"/>
          <cell r="H19"/>
          <cell r="I19"/>
          <cell r="J19"/>
          <cell r="K19"/>
          <cell r="L19"/>
          <cell r="M19"/>
          <cell r="N19"/>
          <cell r="O19"/>
          <cell r="P19"/>
          <cell r="Q19"/>
          <cell r="R19"/>
        </row>
        <row r="20">
          <cell r="B20" t="str">
            <v>Divisional sales growth</v>
          </cell>
          <cell r="C20"/>
          <cell r="D20"/>
          <cell r="E20"/>
          <cell r="F20"/>
          <cell r="G20"/>
          <cell r="H20"/>
          <cell r="I20"/>
          <cell r="J20"/>
          <cell r="K20"/>
          <cell r="L20"/>
          <cell r="M20"/>
          <cell r="N20"/>
          <cell r="O20"/>
          <cell r="P20"/>
          <cell r="Q20"/>
          <cell r="R20"/>
        </row>
        <row r="21">
          <cell r="B21" t="str">
            <v>Civil Aerospace</v>
          </cell>
          <cell r="C21">
            <v>9.3015873015872996E-2</v>
          </cell>
          <cell r="D21">
            <v>-0.20447284345047922</v>
          </cell>
          <cell r="E21">
            <v>-1.6429353778751321E-2</v>
          </cell>
          <cell r="F21">
            <v>0.12843355605048257</v>
          </cell>
          <cell r="G21"/>
          <cell r="H21">
            <v>0.12039473684210522</v>
          </cell>
          <cell r="I21">
            <v>0.14709336465061651</v>
          </cell>
          <cell r="J21">
            <v>3.3529562324033702E-2</v>
          </cell>
          <cell r="K21">
            <v>0.1149083704804359</v>
          </cell>
          <cell r="L21">
            <v>-4.6645935139937311E-3</v>
          </cell>
          <cell r="M21">
            <v>9.7746038830618165E-2</v>
          </cell>
          <cell r="N21">
            <v>0.13275055905671884</v>
          </cell>
          <cell r="O21">
            <v>0.11855836026075339</v>
          </cell>
          <cell r="P21">
            <v>9.8048476424129838E-2</v>
          </cell>
          <cell r="Q21">
            <v>7.5993461001906182E-2</v>
          </cell>
          <cell r="R21">
            <v>0.11042624651923205</v>
          </cell>
        </row>
        <row r="22">
          <cell r="B22" t="str">
            <v>Defence</v>
          </cell>
          <cell r="C22">
            <v>-2.1382751247327469E-3</v>
          </cell>
          <cell r="D22">
            <v>-1.7142857142857126E-2</v>
          </cell>
          <cell r="E22">
            <v>1.5988372093023173E-2</v>
          </cell>
          <cell r="F22">
            <v>-1.7167381974248941E-2</v>
          </cell>
          <cell r="G22"/>
          <cell r="H22">
            <v>3.3478893740902516E-2</v>
          </cell>
          <cell r="I22">
            <v>0.12746478873239431</v>
          </cell>
          <cell r="J22">
            <v>4.4971892567145622E-2</v>
          </cell>
          <cell r="K22">
            <v>7.7704722056186615E-3</v>
          </cell>
          <cell r="L22">
            <v>0.19217081850533813</v>
          </cell>
          <cell r="M22">
            <v>5.6218905472636749E-2</v>
          </cell>
          <cell r="N22">
            <v>5.27555346208195E-2</v>
          </cell>
          <cell r="O22">
            <v>2.4653243847874817E-2</v>
          </cell>
          <cell r="P22">
            <v>1.9789528841535065E-2</v>
          </cell>
          <cell r="Q22">
            <v>1.5136292401366713E-2</v>
          </cell>
          <cell r="R22">
            <v>1.5357919217455773E-2</v>
          </cell>
        </row>
        <row r="23">
          <cell r="B23" t="str">
            <v>Marine</v>
          </cell>
          <cell r="C23">
            <v>0.10119840213049258</v>
          </cell>
          <cell r="D23">
            <v>0.18984280532043529</v>
          </cell>
          <cell r="E23">
            <v>1.9308943089430874E-2</v>
          </cell>
          <cell r="F23">
            <v>-3.9880358923230275E-2</v>
          </cell>
          <cell r="G23"/>
          <cell r="H23">
            <v>0.13914849428868115</v>
          </cell>
          <cell r="I23">
            <v>0.1841385597082954</v>
          </cell>
          <cell r="J23">
            <v>0.19168591224018483</v>
          </cell>
          <cell r="K23">
            <v>0.42377260981912146</v>
          </cell>
          <cell r="L23">
            <v>0.17468239564428312</v>
          </cell>
          <cell r="M23">
            <v>7.7249903437626166E-4</v>
          </cell>
          <cell r="N23">
            <v>-0.12350443844075643</v>
          </cell>
          <cell r="O23">
            <v>-2.206076618229913E-3</v>
          </cell>
          <cell r="P23">
            <v>8.0000000000000293E-2</v>
          </cell>
          <cell r="Q23">
            <v>9.2021412274546632E-2</v>
          </cell>
          <cell r="R23">
            <v>0.10000000000000009</v>
          </cell>
        </row>
        <row r="24">
          <cell r="B24" t="str">
            <v>Energy</v>
          </cell>
          <cell r="C24">
            <v>0.2773109243697478</v>
          </cell>
          <cell r="D24">
            <v>5.0986842105263053E-2</v>
          </cell>
          <cell r="E24">
            <v>-0.20500782472613455</v>
          </cell>
          <cell r="F24">
            <v>-3.7401574803149651E-2</v>
          </cell>
          <cell r="G24"/>
          <cell r="H24">
            <v>9.4069529652351713E-2</v>
          </cell>
          <cell r="I24">
            <v>2.0560747663551426E-2</v>
          </cell>
          <cell r="J24">
            <v>2.19780219780219E-2</v>
          </cell>
          <cell r="K24">
            <v>0.35304659498207891</v>
          </cell>
          <cell r="L24">
            <v>0.36158940397350992</v>
          </cell>
          <cell r="M24">
            <v>0.19941634241245132</v>
          </cell>
          <cell r="N24">
            <v>-2.7575020275750206E-2</v>
          </cell>
          <cell r="O24">
            <v>-2.2754903047095265E-4</v>
          </cell>
          <cell r="P24">
            <v>8.3516790901640103E-2</v>
          </cell>
          <cell r="Q24">
            <v>8.0613500727379384E-2</v>
          </cell>
          <cell r="R24">
            <v>7.3601303269626772E-2</v>
          </cell>
        </row>
        <row r="25">
          <cell r="B25" t="str">
            <v>Bergen</v>
          </cell>
          <cell r="C25">
            <v>0</v>
          </cell>
          <cell r="D25">
            <v>0</v>
          </cell>
          <cell r="E25">
            <v>0</v>
          </cell>
          <cell r="F25">
            <v>0</v>
          </cell>
          <cell r="G25"/>
          <cell r="H25">
            <v>0</v>
          </cell>
          <cell r="I25"/>
          <cell r="J25"/>
          <cell r="K25"/>
          <cell r="L25"/>
          <cell r="M25"/>
          <cell r="N25"/>
          <cell r="O25"/>
          <cell r="P25">
            <v>7.0000000000000007E-2</v>
          </cell>
          <cell r="Q25">
            <v>7.0000000000000007E-2</v>
          </cell>
          <cell r="R25">
            <v>7.0000000000000007E-2</v>
          </cell>
        </row>
        <row r="26">
          <cell r="B26" t="str">
            <v>Tognum</v>
          </cell>
          <cell r="C26">
            <v>0</v>
          </cell>
          <cell r="D26">
            <v>0</v>
          </cell>
          <cell r="E26">
            <v>0</v>
          </cell>
          <cell r="F26">
            <v>0</v>
          </cell>
          <cell r="G26"/>
          <cell r="H26">
            <v>0</v>
          </cell>
          <cell r="I26"/>
          <cell r="J26"/>
          <cell r="K26"/>
          <cell r="L26"/>
          <cell r="M26"/>
          <cell r="N26"/>
          <cell r="O26"/>
          <cell r="P26" t="str">
            <v>n/a</v>
          </cell>
          <cell r="Q26">
            <v>8.1813539500253052E-2</v>
          </cell>
          <cell r="R26">
            <v>6.7679795548362121E-2</v>
          </cell>
        </row>
        <row r="27">
          <cell r="B27"/>
          <cell r="C27"/>
          <cell r="D27"/>
          <cell r="E27"/>
          <cell r="F27"/>
          <cell r="G27"/>
          <cell r="H27"/>
          <cell r="I27"/>
          <cell r="J27"/>
          <cell r="K27"/>
          <cell r="L27"/>
          <cell r="M27"/>
          <cell r="N27"/>
          <cell r="O27"/>
          <cell r="P27"/>
          <cell r="Q27"/>
          <cell r="R27"/>
        </row>
        <row r="28">
          <cell r="B28" t="str">
            <v>Total sales growth</v>
          </cell>
          <cell r="C28">
            <v>7.9126875852660206E-2</v>
          </cell>
          <cell r="D28">
            <v>-8.5335018963337506E-2</v>
          </cell>
          <cell r="E28">
            <v>-2.4706288873531435E-2</v>
          </cell>
          <cell r="F28">
            <v>5.2081488042515556E-2</v>
          </cell>
          <cell r="G28" t="str">
            <v>n/a</v>
          </cell>
          <cell r="H28">
            <v>8.5925676811837937E-2</v>
          </cell>
          <cell r="I28">
            <v>0.13858779807990085</v>
          </cell>
          <cell r="J28">
            <v>6.3103495172038615E-2</v>
          </cell>
          <cell r="K28">
            <v>0.17014199820903153</v>
          </cell>
          <cell r="L28">
            <v>0.10506176888597363</v>
          </cell>
          <cell r="M28">
            <v>7.4990106846062554E-2</v>
          </cell>
          <cell r="N28">
            <v>3.7824406405301048E-2</v>
          </cell>
          <cell r="O28">
            <v>6.7859426068362039E-2</v>
          </cell>
          <cell r="P28">
            <v>0.30311257870052755</v>
          </cell>
          <cell r="Q28">
            <v>7.1289774090151248E-2</v>
          </cell>
          <cell r="R28">
            <v>8.5180813300187452E-2</v>
          </cell>
        </row>
        <row r="29">
          <cell r="B29"/>
          <cell r="C29"/>
          <cell r="D29"/>
          <cell r="E29"/>
          <cell r="F29"/>
          <cell r="G29"/>
          <cell r="H29"/>
          <cell r="I29"/>
          <cell r="J29"/>
          <cell r="K29"/>
          <cell r="L29"/>
          <cell r="M29"/>
          <cell r="N29"/>
          <cell r="O29"/>
          <cell r="P29"/>
          <cell r="Q29"/>
          <cell r="R29"/>
        </row>
        <row r="30">
          <cell r="B30" t="str">
            <v>Divisional EBITA</v>
          </cell>
          <cell r="C30"/>
          <cell r="D30"/>
          <cell r="E30"/>
          <cell r="F30"/>
          <cell r="G30"/>
          <cell r="H30"/>
          <cell r="I30"/>
          <cell r="J30"/>
          <cell r="K30"/>
          <cell r="L30"/>
          <cell r="M30"/>
          <cell r="N30"/>
          <cell r="O30"/>
          <cell r="P30"/>
          <cell r="Q30"/>
          <cell r="R30"/>
        </row>
        <row r="31">
          <cell r="B31" t="str">
            <v>Civil Aerospace</v>
          </cell>
          <cell r="C31">
            <v>347</v>
          </cell>
          <cell r="D31">
            <v>150</v>
          </cell>
          <cell r="E31">
            <v>131</v>
          </cell>
          <cell r="F31">
            <v>170</v>
          </cell>
          <cell r="G31">
            <v>194</v>
          </cell>
          <cell r="H31">
            <v>454</v>
          </cell>
          <cell r="I31">
            <v>519</v>
          </cell>
          <cell r="J31">
            <v>564</v>
          </cell>
          <cell r="K31">
            <v>566</v>
          </cell>
          <cell r="L31">
            <v>493</v>
          </cell>
          <cell r="M31">
            <v>392</v>
          </cell>
          <cell r="N31">
            <v>499</v>
          </cell>
          <cell r="O31">
            <v>708.9456083507032</v>
          </cell>
          <cell r="P31">
            <v>883.86544950333518</v>
          </cell>
          <cell r="Q31">
            <v>1042.2412551473226</v>
          </cell>
          <cell r="R31">
            <v>1224.229090308067</v>
          </cell>
        </row>
        <row r="32">
          <cell r="B32" t="str">
            <v>Defence</v>
          </cell>
          <cell r="C32">
            <v>175</v>
          </cell>
          <cell r="D32">
            <v>183</v>
          </cell>
          <cell r="E32">
            <v>147</v>
          </cell>
          <cell r="F32">
            <v>155</v>
          </cell>
          <cell r="G32">
            <v>179</v>
          </cell>
          <cell r="H32">
            <v>180</v>
          </cell>
          <cell r="I32">
            <v>193</v>
          </cell>
          <cell r="J32">
            <v>199</v>
          </cell>
          <cell r="K32">
            <v>223</v>
          </cell>
          <cell r="L32">
            <v>253</v>
          </cell>
          <cell r="M32">
            <v>309</v>
          </cell>
          <cell r="N32">
            <v>376</v>
          </cell>
          <cell r="O32">
            <v>384.73680000000007</v>
          </cell>
          <cell r="P32">
            <v>397.02140000000003</v>
          </cell>
          <cell r="Q32">
            <v>403.03083200000003</v>
          </cell>
          <cell r="R32">
            <v>409.22054696000004</v>
          </cell>
        </row>
        <row r="33">
          <cell r="B33" t="str">
            <v>Marine</v>
          </cell>
          <cell r="C33">
            <v>73</v>
          </cell>
          <cell r="D33">
            <v>82</v>
          </cell>
          <cell r="E33">
            <v>78</v>
          </cell>
          <cell r="F33">
            <v>67</v>
          </cell>
          <cell r="G33">
            <v>78</v>
          </cell>
          <cell r="H33">
            <v>89</v>
          </cell>
          <cell r="I33">
            <v>101</v>
          </cell>
          <cell r="J33">
            <v>113</v>
          </cell>
          <cell r="K33">
            <v>183</v>
          </cell>
          <cell r="L33">
            <v>263</v>
          </cell>
          <cell r="M33">
            <v>332</v>
          </cell>
          <cell r="N33">
            <v>323</v>
          </cell>
          <cell r="O33">
            <v>301.62851000000001</v>
          </cell>
          <cell r="P33">
            <v>331.20687080000005</v>
          </cell>
          <cell r="Q33">
            <v>370.7276170880001</v>
          </cell>
          <cell r="R33">
            <v>418.08996780320012</v>
          </cell>
        </row>
        <row r="34">
          <cell r="B34" t="str">
            <v>Energy</v>
          </cell>
          <cell r="C34">
            <v>-64</v>
          </cell>
          <cell r="D34">
            <v>-41</v>
          </cell>
          <cell r="E34">
            <v>23</v>
          </cell>
          <cell r="F34">
            <v>14</v>
          </cell>
          <cell r="G34">
            <v>14</v>
          </cell>
          <cell r="H34">
            <v>1</v>
          </cell>
          <cell r="I34">
            <v>-18</v>
          </cell>
          <cell r="J34">
            <v>5</v>
          </cell>
          <cell r="K34">
            <v>-2</v>
          </cell>
          <cell r="L34">
            <v>24</v>
          </cell>
          <cell r="M34">
            <v>27</v>
          </cell>
          <cell r="N34">
            <v>24</v>
          </cell>
          <cell r="O34">
            <v>26.456047184000006</v>
          </cell>
          <cell r="P34">
            <v>55.812951808000022</v>
          </cell>
          <cell r="Q34">
            <v>73.007872591104018</v>
          </cell>
          <cell r="R34">
            <v>89.854565400254188</v>
          </cell>
        </row>
        <row r="35">
          <cell r="B35" t="str">
            <v>Bergen</v>
          </cell>
          <cell r="C35">
            <v>0</v>
          </cell>
          <cell r="D35">
            <v>0</v>
          </cell>
          <cell r="E35">
            <v>0</v>
          </cell>
          <cell r="F35">
            <v>0</v>
          </cell>
          <cell r="G35">
            <v>0</v>
          </cell>
          <cell r="H35">
            <v>0</v>
          </cell>
          <cell r="I35"/>
          <cell r="J35"/>
          <cell r="K35"/>
          <cell r="L35"/>
          <cell r="M35"/>
          <cell r="N35"/>
          <cell r="O35">
            <v>36.095999999999997</v>
          </cell>
          <cell r="P35">
            <v>38.944575999999998</v>
          </cell>
          <cell r="Q35">
            <v>42.015082239999998</v>
          </cell>
          <cell r="R35">
            <v>45.324630931200005</v>
          </cell>
        </row>
        <row r="36">
          <cell r="B36" t="str">
            <v>Tognum</v>
          </cell>
          <cell r="C36">
            <v>0</v>
          </cell>
          <cell r="D36">
            <v>0</v>
          </cell>
          <cell r="E36">
            <v>0</v>
          </cell>
          <cell r="F36">
            <v>0</v>
          </cell>
          <cell r="G36">
            <v>0</v>
          </cell>
          <cell r="H36">
            <v>0</v>
          </cell>
          <cell r="I36"/>
          <cell r="J36"/>
          <cell r="K36"/>
          <cell r="L36"/>
          <cell r="M36"/>
          <cell r="N36">
            <v>36</v>
          </cell>
          <cell r="O36">
            <v>113.60964326399998</v>
          </cell>
          <cell r="P36">
            <v>347.09507561599992</v>
          </cell>
          <cell r="Q36">
            <v>386.72106502880007</v>
          </cell>
          <cell r="R36">
            <v>423.6781630625793</v>
          </cell>
        </row>
        <row r="37">
          <cell r="B37" t="str">
            <v>Financial Services</v>
          </cell>
          <cell r="C37">
            <v>63</v>
          </cell>
          <cell r="D37">
            <v>-12</v>
          </cell>
          <cell r="E37">
            <v>-4</v>
          </cell>
          <cell r="F37">
            <v>9</v>
          </cell>
          <cell r="G37">
            <v>-7</v>
          </cell>
          <cell r="H37">
            <v>0</v>
          </cell>
          <cell r="I37">
            <v>0</v>
          </cell>
          <cell r="J37">
            <v>0</v>
          </cell>
          <cell r="K37">
            <v>0</v>
          </cell>
          <cell r="L37">
            <v>0</v>
          </cell>
          <cell r="M37">
            <v>0</v>
          </cell>
          <cell r="N37">
            <v>0</v>
          </cell>
          <cell r="O37">
            <v>0</v>
          </cell>
          <cell r="P37">
            <v>0</v>
          </cell>
          <cell r="Q37">
            <v>0</v>
          </cell>
          <cell r="R37">
            <v>0</v>
          </cell>
        </row>
        <row r="38">
          <cell r="B38" t="str">
            <v>Central costs</v>
          </cell>
          <cell r="C38">
            <v>0</v>
          </cell>
          <cell r="D38">
            <v>0</v>
          </cell>
          <cell r="E38">
            <v>0</v>
          </cell>
          <cell r="F38">
            <v>0</v>
          </cell>
          <cell r="G38">
            <v>-41</v>
          </cell>
          <cell r="H38">
            <v>-45</v>
          </cell>
          <cell r="I38">
            <v>-47</v>
          </cell>
          <cell r="J38">
            <v>-49</v>
          </cell>
          <cell r="K38">
            <v>-51</v>
          </cell>
          <cell r="L38">
            <v>-50</v>
          </cell>
          <cell r="M38">
            <v>-50</v>
          </cell>
          <cell r="N38">
            <v>-52</v>
          </cell>
          <cell r="O38">
            <v>-52</v>
          </cell>
          <cell r="P38">
            <v>-56</v>
          </cell>
          <cell r="Q38">
            <v>-57</v>
          </cell>
          <cell r="R38">
            <v>-57</v>
          </cell>
        </row>
        <row r="39">
          <cell r="B39" t="str">
            <v>Total EBITA</v>
          </cell>
          <cell r="C39">
            <v>594</v>
          </cell>
          <cell r="D39">
            <v>362</v>
          </cell>
          <cell r="E39">
            <v>375</v>
          </cell>
          <cell r="F39">
            <v>415</v>
          </cell>
          <cell r="G39">
            <v>417</v>
          </cell>
          <cell r="H39">
            <v>679</v>
          </cell>
          <cell r="I39">
            <v>748</v>
          </cell>
          <cell r="J39">
            <v>832</v>
          </cell>
          <cell r="K39">
            <v>919</v>
          </cell>
          <cell r="L39">
            <v>983</v>
          </cell>
          <cell r="M39">
            <v>1010</v>
          </cell>
          <cell r="N39">
            <v>1206</v>
          </cell>
          <cell r="O39">
            <v>1509.4726087987033</v>
          </cell>
          <cell r="P39">
            <v>1987.9463237273353</v>
          </cell>
          <cell r="Q39">
            <v>2250.7437240952268</v>
          </cell>
          <cell r="R39">
            <v>2543.3969644653002</v>
          </cell>
        </row>
        <row r="40">
          <cell r="B40"/>
          <cell r="C40"/>
          <cell r="D40"/>
          <cell r="E40"/>
          <cell r="F40"/>
          <cell r="G40"/>
          <cell r="H40"/>
          <cell r="I40"/>
          <cell r="J40"/>
          <cell r="K40"/>
          <cell r="L40"/>
          <cell r="M40"/>
          <cell r="N40"/>
          <cell r="O40"/>
          <cell r="P40"/>
          <cell r="Q40"/>
          <cell r="R40"/>
        </row>
        <row r="41">
          <cell r="B41" t="str">
            <v>Divisional EBITA margin</v>
          </cell>
          <cell r="C41"/>
          <cell r="D41"/>
          <cell r="E41"/>
          <cell r="F41"/>
          <cell r="G41"/>
          <cell r="H41"/>
          <cell r="I41"/>
          <cell r="J41"/>
          <cell r="K41"/>
          <cell r="L41"/>
          <cell r="M41"/>
          <cell r="N41"/>
          <cell r="O41"/>
          <cell r="P41"/>
          <cell r="Q41"/>
          <cell r="R41"/>
        </row>
        <row r="42">
          <cell r="B42" t="str">
            <v>Civil Aerospace</v>
          </cell>
          <cell r="C42">
            <v>0.10078419982573338</v>
          </cell>
          <cell r="D42">
            <v>5.4764512595837894E-2</v>
          </cell>
          <cell r="E42">
            <v>4.8626577579806977E-2</v>
          </cell>
          <cell r="F42">
            <v>5.5921052631578948E-2</v>
          </cell>
          <cell r="G42">
            <v>6.3815789473684215E-2</v>
          </cell>
          <cell r="H42">
            <v>0.13329418672930124</v>
          </cell>
          <cell r="I42">
            <v>0.13283849500895828</v>
          </cell>
          <cell r="J42">
            <v>0.13967310549777118</v>
          </cell>
          <cell r="K42">
            <v>0.12572190137716571</v>
          </cell>
          <cell r="L42">
            <v>0.11002008480249945</v>
          </cell>
          <cell r="M42">
            <v>7.9690994104492777E-2</v>
          </cell>
          <cell r="N42">
            <v>8.9554917444364682E-2</v>
          </cell>
          <cell r="O42">
            <v>0.11374784058940821</v>
          </cell>
          <cell r="P42">
            <v>0.12915014199342045</v>
          </cell>
          <cell r="Q42">
            <v>0.14153614358446726</v>
          </cell>
          <cell r="R42">
            <v>0.1497173305332539</v>
          </cell>
        </row>
        <row r="43">
          <cell r="B43" t="str">
            <v>Defence</v>
          </cell>
          <cell r="C43">
            <v>0.125</v>
          </cell>
          <cell r="D43">
            <v>0.13299418604651161</v>
          </cell>
          <cell r="E43">
            <v>0.10515021459227468</v>
          </cell>
          <cell r="F43">
            <v>0.11280931586608442</v>
          </cell>
          <cell r="G43">
            <v>0.13027656477438138</v>
          </cell>
          <cell r="H43">
            <v>0.12676056338028169</v>
          </cell>
          <cell r="I43">
            <v>0.12054965646470955</v>
          </cell>
          <cell r="J43">
            <v>0.11894799760908548</v>
          </cell>
          <cell r="K43">
            <v>0.13226571767497033</v>
          </cell>
          <cell r="L43">
            <v>0.12587064676616916</v>
          </cell>
          <cell r="M43">
            <v>0.14554875176636833</v>
          </cell>
          <cell r="N43">
            <v>0.16823266219239374</v>
          </cell>
          <cell r="O43">
            <v>0.16800000000000001</v>
          </cell>
          <cell r="P43">
            <v>0.17</v>
          </cell>
          <cell r="Q43">
            <v>0.17</v>
          </cell>
          <cell r="R43">
            <v>0.17</v>
          </cell>
        </row>
        <row r="44">
          <cell r="B44" t="str">
            <v>Marine</v>
          </cell>
          <cell r="C44">
            <v>8.8270858524788387E-2</v>
          </cell>
          <cell r="D44">
            <v>8.3333333333333329E-2</v>
          </cell>
          <cell r="E44">
            <v>7.7766699900299108E-2</v>
          </cell>
          <cell r="F44">
            <v>6.9574247144340601E-2</v>
          </cell>
          <cell r="G44">
            <v>8.0996884735202487E-2</v>
          </cell>
          <cell r="H44">
            <v>8.1130355515041025E-2</v>
          </cell>
          <cell r="I44">
            <v>7.7752117013086985E-2</v>
          </cell>
          <cell r="J44">
            <v>7.2997416020671835E-2</v>
          </cell>
          <cell r="K44">
            <v>8.3030852994555357E-2</v>
          </cell>
          <cell r="L44">
            <v>0.10158362302047122</v>
          </cell>
          <cell r="M44">
            <v>0.12813585488228482</v>
          </cell>
          <cell r="N44">
            <v>0.14222809335094672</v>
          </cell>
          <cell r="O44">
            <v>0.13311113906063135</v>
          </cell>
          <cell r="P44">
            <v>0.13533732651888072</v>
          </cell>
          <cell r="Q44">
            <v>0.13872094580619876</v>
          </cell>
          <cell r="R44">
            <v>0.14222114245421635</v>
          </cell>
        </row>
        <row r="45">
          <cell r="B45" t="str">
            <v>Energy</v>
          </cell>
          <cell r="C45">
            <v>-0.10526315789473684</v>
          </cell>
          <cell r="D45">
            <v>-6.416275430359937E-2</v>
          </cell>
          <cell r="E45">
            <v>4.5275590551181105E-2</v>
          </cell>
          <cell r="F45">
            <v>2.8629856850715747E-2</v>
          </cell>
          <cell r="G45">
            <v>2.8629856850715747E-2</v>
          </cell>
          <cell r="H45">
            <v>1.869158878504673E-3</v>
          </cell>
          <cell r="I45">
            <v>-3.2967032967032968E-2</v>
          </cell>
          <cell r="J45">
            <v>8.9605734767025085E-3</v>
          </cell>
          <cell r="K45">
            <v>-2.6490066225165563E-3</v>
          </cell>
          <cell r="L45">
            <v>2.3346303501945526E-2</v>
          </cell>
          <cell r="M45">
            <v>2.1897810218978103E-2</v>
          </cell>
          <cell r="N45">
            <v>2.0016680567139282E-2</v>
          </cell>
          <cell r="O45">
            <v>2.4434043030521383E-2</v>
          </cell>
          <cell r="P45">
            <v>4.7574006104254732E-2</v>
          </cell>
          <cell r="Q45">
            <v>5.7588270573358614E-2</v>
          </cell>
          <cell r="R45">
            <v>6.601786281852029E-2</v>
          </cell>
        </row>
        <row r="46">
          <cell r="B46" t="str">
            <v>Bergen</v>
          </cell>
          <cell r="C46">
            <v>0</v>
          </cell>
          <cell r="D46">
            <v>0</v>
          </cell>
          <cell r="E46">
            <v>0</v>
          </cell>
          <cell r="F46">
            <v>0</v>
          </cell>
          <cell r="G46">
            <v>0</v>
          </cell>
          <cell r="H46">
            <v>0</v>
          </cell>
          <cell r="I46"/>
          <cell r="J46"/>
          <cell r="K46"/>
          <cell r="L46"/>
          <cell r="M46"/>
          <cell r="N46"/>
          <cell r="O46">
            <v>0.12</v>
          </cell>
          <cell r="P46">
            <v>0.121</v>
          </cell>
          <cell r="Q46">
            <v>0.122</v>
          </cell>
          <cell r="R46">
            <v>0.123</v>
          </cell>
        </row>
        <row r="47">
          <cell r="B47" t="str">
            <v>Tognum</v>
          </cell>
          <cell r="C47">
            <v>0</v>
          </cell>
          <cell r="D47">
            <v>0</v>
          </cell>
          <cell r="E47">
            <v>0</v>
          </cell>
          <cell r="F47">
            <v>0</v>
          </cell>
          <cell r="G47">
            <v>0</v>
          </cell>
          <cell r="H47">
            <v>0</v>
          </cell>
          <cell r="I47"/>
          <cell r="J47"/>
          <cell r="K47"/>
          <cell r="L47"/>
          <cell r="M47"/>
          <cell r="N47"/>
          <cell r="O47" t="str">
            <v>n/a</v>
          </cell>
          <cell r="P47">
            <v>0.12850724369067648</v>
          </cell>
          <cell r="Q47">
            <v>0.13235019118294966</v>
          </cell>
          <cell r="R47">
            <v>0.13580688877399039</v>
          </cell>
        </row>
        <row r="48">
          <cell r="B48" t="str">
            <v>Total EBITA margin</v>
          </cell>
          <cell r="C48">
            <v>9.3868520859671303E-2</v>
          </cell>
          <cell r="D48">
            <v>6.2543192812715961E-2</v>
          </cell>
          <cell r="E48">
            <v>6.6430469441984052E-2</v>
          </cell>
          <cell r="F48">
            <v>6.9877083684121905E-2</v>
          </cell>
          <cell r="G48">
            <v>7.011938792668572E-2</v>
          </cell>
          <cell r="H48">
            <v>0.10514091049860638</v>
          </cell>
          <cell r="I48">
            <v>0.10172718618251055</v>
          </cell>
          <cell r="J48">
            <v>0.10643469361647691</v>
          </cell>
          <cell r="K48">
            <v>0.10047009948617033</v>
          </cell>
          <cell r="L48">
            <v>9.7249703205381871E-2</v>
          </cell>
          <cell r="M48">
            <v>9.2950487759985281E-2</v>
          </cell>
          <cell r="N48">
            <v>0.10694333599361533</v>
          </cell>
          <cell r="O48">
            <v>0.125348046674569</v>
          </cell>
          <cell r="P48">
            <v>0.1266820407582375</v>
          </cell>
          <cell r="Q48">
            <v>0.13388424858139161</v>
          </cell>
          <cell r="R48">
            <v>0.13941691859945893</v>
          </cell>
        </row>
        <row r="49">
          <cell r="B49"/>
          <cell r="C49"/>
          <cell r="D49"/>
          <cell r="E49"/>
          <cell r="F49"/>
          <cell r="G49"/>
          <cell r="H49"/>
          <cell r="I49"/>
          <cell r="J49"/>
          <cell r="K49"/>
          <cell r="L49"/>
          <cell r="M49"/>
          <cell r="N49"/>
          <cell r="O49"/>
          <cell r="P49"/>
          <cell r="Q49"/>
          <cell r="R49"/>
        </row>
        <row r="50">
          <cell r="B50" t="str">
            <v>Summary of underlying P&amp;L</v>
          </cell>
          <cell r="C50"/>
          <cell r="D50"/>
          <cell r="E50"/>
          <cell r="F50"/>
          <cell r="G50"/>
          <cell r="H50"/>
          <cell r="I50"/>
          <cell r="J50"/>
          <cell r="K50"/>
          <cell r="L50"/>
          <cell r="M50"/>
          <cell r="N50"/>
          <cell r="O50"/>
          <cell r="P50"/>
          <cell r="Q50"/>
          <cell r="R50"/>
        </row>
        <row r="51">
          <cell r="B51"/>
          <cell r="C51"/>
          <cell r="D51"/>
          <cell r="E51"/>
          <cell r="F51"/>
          <cell r="G51"/>
          <cell r="H51"/>
          <cell r="I51"/>
          <cell r="J51"/>
          <cell r="K51"/>
          <cell r="L51"/>
          <cell r="M51"/>
          <cell r="N51"/>
          <cell r="O51"/>
          <cell r="P51"/>
          <cell r="Q51"/>
          <cell r="R51"/>
        </row>
        <row r="52">
          <cell r="B52" t="str">
            <v>RR defined underlying EBITA</v>
          </cell>
          <cell r="C52">
            <v>594</v>
          </cell>
          <cell r="D52">
            <v>362</v>
          </cell>
          <cell r="E52">
            <v>375</v>
          </cell>
          <cell r="F52">
            <v>415</v>
          </cell>
          <cell r="G52">
            <v>417</v>
          </cell>
          <cell r="H52">
            <v>679</v>
          </cell>
          <cell r="I52">
            <v>748</v>
          </cell>
          <cell r="J52">
            <v>832</v>
          </cell>
          <cell r="K52">
            <v>919</v>
          </cell>
          <cell r="L52">
            <v>983</v>
          </cell>
          <cell r="M52">
            <v>1010</v>
          </cell>
          <cell r="N52">
            <v>1206</v>
          </cell>
          <cell r="O52">
            <v>1509.4726087987033</v>
          </cell>
          <cell r="P52">
            <v>1987.9463237273353</v>
          </cell>
          <cell r="Q52">
            <v>2250.7437240952268</v>
          </cell>
          <cell r="R52">
            <v>2543.3969644653002</v>
          </cell>
        </row>
        <row r="53">
          <cell r="B53" t="str">
            <v>RR defined underlying finance charge</v>
          </cell>
          <cell r="C53">
            <v>-119</v>
          </cell>
          <cell r="D53">
            <v>-107</v>
          </cell>
          <cell r="E53">
            <v>-90</v>
          </cell>
          <cell r="F53">
            <v>-70</v>
          </cell>
          <cell r="G53">
            <v>-52</v>
          </cell>
          <cell r="H53">
            <v>-86</v>
          </cell>
          <cell r="I53">
            <v>-43</v>
          </cell>
          <cell r="J53">
            <v>-32</v>
          </cell>
          <cell r="K53">
            <v>-39</v>
          </cell>
          <cell r="L53">
            <v>-68</v>
          </cell>
          <cell r="M53">
            <v>-55</v>
          </cell>
          <cell r="N53">
            <v>-49</v>
          </cell>
          <cell r="O53">
            <v>-54.573217471885343</v>
          </cell>
          <cell r="P53">
            <v>-49.361286705773786</v>
          </cell>
          <cell r="Q53">
            <v>-45.12162327964235</v>
          </cell>
          <cell r="R53">
            <v>-38.217679932307263</v>
          </cell>
        </row>
        <row r="54">
          <cell r="B54" t="str">
            <v>RR defined underlying PTP</v>
          </cell>
          <cell r="C54">
            <v>475</v>
          </cell>
          <cell r="D54">
            <v>255</v>
          </cell>
          <cell r="E54">
            <v>285</v>
          </cell>
          <cell r="F54">
            <v>345</v>
          </cell>
          <cell r="G54">
            <v>365</v>
          </cell>
          <cell r="H54">
            <v>593</v>
          </cell>
          <cell r="I54">
            <v>705</v>
          </cell>
          <cell r="J54">
            <v>800</v>
          </cell>
          <cell r="K54">
            <v>880</v>
          </cell>
          <cell r="L54">
            <v>915</v>
          </cell>
          <cell r="M54">
            <v>955</v>
          </cell>
          <cell r="N54">
            <v>1157</v>
          </cell>
          <cell r="O54">
            <v>1454.899391326818</v>
          </cell>
          <cell r="P54">
            <v>1938.5850370215614</v>
          </cell>
          <cell r="Q54">
            <v>2205.6221008155844</v>
          </cell>
          <cell r="R54">
            <v>2505.1792845329928</v>
          </cell>
        </row>
        <row r="55">
          <cell r="B55" t="str">
            <v>RR defined underlying tax charge</v>
          </cell>
          <cell r="C55">
            <v>-154</v>
          </cell>
          <cell r="D55">
            <v>-76</v>
          </cell>
          <cell r="E55">
            <v>-84</v>
          </cell>
          <cell r="F55">
            <v>-99</v>
          </cell>
          <cell r="G55">
            <v>-100</v>
          </cell>
          <cell r="H55">
            <v>-170</v>
          </cell>
          <cell r="I55">
            <v>-190</v>
          </cell>
          <cell r="J55">
            <v>-193</v>
          </cell>
          <cell r="K55">
            <v>-217</v>
          </cell>
          <cell r="L55">
            <v>-187</v>
          </cell>
          <cell r="M55">
            <v>-236</v>
          </cell>
          <cell r="N55">
            <v>-261</v>
          </cell>
          <cell r="O55">
            <v>-320.07786609189998</v>
          </cell>
          <cell r="P55">
            <v>-474.95333407028255</v>
          </cell>
          <cell r="Q55">
            <v>-540.37741469981813</v>
          </cell>
          <cell r="R55">
            <v>-613.76892471058318</v>
          </cell>
        </row>
        <row r="56">
          <cell r="B56" t="str">
            <v>Underlying tax rate</v>
          </cell>
          <cell r="C56">
            <v>-0.32421052631578945</v>
          </cell>
          <cell r="D56">
            <v>-0.29803921568627451</v>
          </cell>
          <cell r="E56">
            <v>-0.29473684210526313</v>
          </cell>
          <cell r="F56">
            <v>-0.28695652173913044</v>
          </cell>
          <cell r="G56">
            <v>-0.27397260273972601</v>
          </cell>
          <cell r="H56">
            <v>-0.28667790893760542</v>
          </cell>
          <cell r="I56">
            <v>-0.26950354609929078</v>
          </cell>
          <cell r="J56">
            <v>-0.24124999999999999</v>
          </cell>
          <cell r="K56">
            <v>-0.24659090909090908</v>
          </cell>
          <cell r="L56">
            <v>-0.20437158469945355</v>
          </cell>
          <cell r="M56">
            <v>-0.24712041884816754</v>
          </cell>
          <cell r="N56">
            <v>-0.22558340535868626</v>
          </cell>
          <cell r="O56">
            <v>-0.22000000000000003</v>
          </cell>
          <cell r="P56">
            <v>-0.245</v>
          </cell>
          <cell r="Q56">
            <v>-0.24499999999999997</v>
          </cell>
          <cell r="R56">
            <v>-0.24499999999999997</v>
          </cell>
        </row>
        <row r="57">
          <cell r="B57" t="str">
            <v>Minorities</v>
          </cell>
          <cell r="C57">
            <v>0</v>
          </cell>
          <cell r="D57">
            <v>0</v>
          </cell>
          <cell r="E57">
            <v>0</v>
          </cell>
          <cell r="F57">
            <v>-1</v>
          </cell>
          <cell r="G57">
            <v>-1</v>
          </cell>
          <cell r="H57">
            <v>3</v>
          </cell>
          <cell r="I57">
            <v>4</v>
          </cell>
          <cell r="J57">
            <v>6</v>
          </cell>
          <cell r="K57">
            <v>5</v>
          </cell>
          <cell r="L57">
            <v>4</v>
          </cell>
          <cell r="M57">
            <v>-4</v>
          </cell>
          <cell r="N57">
            <v>2</v>
          </cell>
          <cell r="O57">
            <v>-12.272639999999999</v>
          </cell>
          <cell r="P57">
            <v>-131.25348154943998</v>
          </cell>
          <cell r="Q57">
            <v>-145.77029007139205</v>
          </cell>
          <cell r="R57">
            <v>-159.46094995788496</v>
          </cell>
        </row>
        <row r="58">
          <cell r="B58" t="str">
            <v>RR defined underlying Net Income</v>
          </cell>
          <cell r="C58">
            <v>321</v>
          </cell>
          <cell r="D58">
            <v>179</v>
          </cell>
          <cell r="E58">
            <v>201</v>
          </cell>
          <cell r="F58">
            <v>245</v>
          </cell>
          <cell r="G58">
            <v>264</v>
          </cell>
          <cell r="H58">
            <v>426</v>
          </cell>
          <cell r="I58">
            <v>519</v>
          </cell>
          <cell r="J58">
            <v>613</v>
          </cell>
          <cell r="K58">
            <v>668</v>
          </cell>
          <cell r="L58">
            <v>732</v>
          </cell>
          <cell r="M58">
            <v>715</v>
          </cell>
          <cell r="N58">
            <v>898</v>
          </cell>
          <cell r="O58">
            <v>1122.5488852349181</v>
          </cell>
          <cell r="P58">
            <v>1332.3782214018388</v>
          </cell>
          <cell r="Q58">
            <v>1519.4743960443743</v>
          </cell>
          <cell r="R58">
            <v>1731.9494098645246</v>
          </cell>
        </row>
        <row r="59">
          <cell r="B59" t="str">
            <v>Avg. no. of shares</v>
          </cell>
          <cell r="C59">
            <v>1589</v>
          </cell>
          <cell r="D59">
            <v>1612</v>
          </cell>
          <cell r="E59">
            <v>1647</v>
          </cell>
          <cell r="F59">
            <v>1690</v>
          </cell>
          <cell r="G59">
            <v>1690</v>
          </cell>
          <cell r="H59">
            <v>1740</v>
          </cell>
          <cell r="I59">
            <v>1741</v>
          </cell>
          <cell r="J59">
            <v>1800</v>
          </cell>
          <cell r="K59">
            <v>1820</v>
          </cell>
          <cell r="L59">
            <v>1845</v>
          </cell>
          <cell r="M59">
            <v>1846</v>
          </cell>
          <cell r="N59">
            <v>1850</v>
          </cell>
          <cell r="O59">
            <v>1850</v>
          </cell>
          <cell r="P59">
            <v>1850</v>
          </cell>
          <cell r="Q59">
            <v>1850</v>
          </cell>
          <cell r="R59">
            <v>1850</v>
          </cell>
        </row>
        <row r="60">
          <cell r="B60" t="str">
            <v>RR defined underlying EPS (p)</v>
          </cell>
          <cell r="C60">
            <v>20.201384518565135</v>
          </cell>
          <cell r="D60">
            <v>11.104218362282877</v>
          </cell>
          <cell r="E60">
            <v>12.2040072859745</v>
          </cell>
          <cell r="F60">
            <v>14.497041420118343</v>
          </cell>
          <cell r="G60">
            <v>15.621301775147927</v>
          </cell>
          <cell r="H60">
            <v>24.482758620689655</v>
          </cell>
          <cell r="I60">
            <v>29.810453762205629</v>
          </cell>
          <cell r="J60">
            <v>34.055555555555557</v>
          </cell>
          <cell r="K60">
            <v>36.703296703296701</v>
          </cell>
          <cell r="L60">
            <v>39.674796747967477</v>
          </cell>
          <cell r="M60">
            <v>38.732394366197184</v>
          </cell>
          <cell r="N60">
            <v>48.54054054054054</v>
          </cell>
          <cell r="O60">
            <v>60.678318120806388</v>
          </cell>
          <cell r="P60">
            <v>72.020444400099393</v>
          </cell>
          <cell r="Q60">
            <v>82.13375113753375</v>
          </cell>
          <cell r="R60">
            <v>93.618887019704033</v>
          </cell>
        </row>
        <row r="61">
          <cell r="B61" t="str">
            <v>EPS growth y/y</v>
          </cell>
          <cell r="C61">
            <v>-6.6060620773754297E-2</v>
          </cell>
          <cell r="D61">
            <v>-0.45032389477671364</v>
          </cell>
          <cell r="E61">
            <v>9.9042443854240103E-2</v>
          </cell>
          <cell r="F61">
            <v>0.1878919014395477</v>
          </cell>
          <cell r="G61" t="str">
            <v>n/a</v>
          </cell>
          <cell r="H61">
            <v>0.56726750261233039</v>
          </cell>
          <cell r="I61">
            <v>0.21761008324501874</v>
          </cell>
          <cell r="J61">
            <v>0.14240312566902169</v>
          </cell>
          <cell r="K61">
            <v>7.7747700912464301E-2</v>
          </cell>
          <cell r="L61">
            <v>8.0960031157197854E-2</v>
          </cell>
          <cell r="M61">
            <v>-2.3753174786423359E-2</v>
          </cell>
          <cell r="N61">
            <v>0.25322850122850116</v>
          </cell>
          <cell r="O61">
            <v>0.25005443790079984</v>
          </cell>
          <cell r="P61">
            <v>0.18692222577283046</v>
          </cell>
          <cell r="Q61">
            <v>0.14042272054378491</v>
          </cell>
          <cell r="R61">
            <v>0.13983454698103714</v>
          </cell>
        </row>
        <row r="62">
          <cell r="B62"/>
          <cell r="C62"/>
          <cell r="D62"/>
          <cell r="E62"/>
          <cell r="F62"/>
          <cell r="G62"/>
          <cell r="H62"/>
          <cell r="I62"/>
          <cell r="J62"/>
          <cell r="K62"/>
          <cell r="L62"/>
          <cell r="M62"/>
          <cell r="N62"/>
          <cell r="O62"/>
          <cell r="P62"/>
          <cell r="Q62"/>
          <cell r="R62"/>
        </row>
        <row r="63">
          <cell r="B63" t="str">
            <v>Net (debt) / Cash</v>
          </cell>
          <cell r="C63">
            <v>-501</v>
          </cell>
          <cell r="D63">
            <v>-595</v>
          </cell>
          <cell r="E63">
            <v>-323</v>
          </cell>
          <cell r="F63">
            <v>-80</v>
          </cell>
          <cell r="G63">
            <v>-149</v>
          </cell>
          <cell r="H63">
            <v>335</v>
          </cell>
          <cell r="I63">
            <v>826</v>
          </cell>
          <cell r="J63">
            <v>888</v>
          </cell>
          <cell r="K63">
            <v>1458</v>
          </cell>
          <cell r="L63">
            <v>1275</v>
          </cell>
          <cell r="M63">
            <v>1533</v>
          </cell>
          <cell r="N63">
            <v>223</v>
          </cell>
          <cell r="O63">
            <v>1098.7687818370432</v>
          </cell>
          <cell r="P63">
            <v>1397.7691946815457</v>
          </cell>
          <cell r="Q63">
            <v>2054.3889180870697</v>
          </cell>
          <cell r="R63">
            <v>2953.918025170874</v>
          </cell>
        </row>
        <row r="64">
          <cell r="B64"/>
          <cell r="C64"/>
          <cell r="D64"/>
          <cell r="E64"/>
          <cell r="F64"/>
          <cell r="G64"/>
          <cell r="H64"/>
          <cell r="I64"/>
          <cell r="J64"/>
          <cell r="K64"/>
        </row>
      </sheetData>
      <sheetData sheetId="36">
        <row r="6">
          <cell r="B6" t="str">
            <v>Goldman earnings analysis</v>
          </cell>
          <cell r="C6">
            <v>2001</v>
          </cell>
          <cell r="D6">
            <v>2002</v>
          </cell>
          <cell r="E6">
            <v>2003</v>
          </cell>
          <cell r="F6">
            <v>2004</v>
          </cell>
          <cell r="G6" t="str">
            <v>2004pf</v>
          </cell>
          <cell r="H6">
            <v>2005</v>
          </cell>
          <cell r="I6">
            <v>2006</v>
          </cell>
          <cell r="J6">
            <v>2007</v>
          </cell>
          <cell r="K6">
            <v>2008</v>
          </cell>
          <cell r="L6">
            <v>2009</v>
          </cell>
          <cell r="M6">
            <v>2010</v>
          </cell>
          <cell r="N6">
            <v>2011</v>
          </cell>
          <cell r="O6" t="str">
            <v>2012E</v>
          </cell>
          <cell r="P6" t="str">
            <v>2013E</v>
          </cell>
          <cell r="Q6" t="str">
            <v>2014E</v>
          </cell>
          <cell r="R6" t="str">
            <v>2015E</v>
          </cell>
        </row>
        <row r="7">
          <cell r="B7"/>
          <cell r="C7"/>
          <cell r="D7"/>
          <cell r="E7"/>
          <cell r="F7"/>
          <cell r="G7"/>
          <cell r="H7"/>
          <cell r="I7"/>
          <cell r="J7"/>
          <cell r="K7"/>
          <cell r="L7"/>
          <cell r="M7"/>
          <cell r="N7"/>
          <cell r="O7"/>
          <cell r="P7"/>
          <cell r="Q7"/>
          <cell r="R7"/>
        </row>
        <row r="8">
          <cell r="B8" t="str">
            <v>Goldman calculation of Adjusted EPS</v>
          </cell>
          <cell r="C8">
            <v>2001</v>
          </cell>
          <cell r="D8">
            <v>2002</v>
          </cell>
          <cell r="E8">
            <v>2003</v>
          </cell>
          <cell r="F8">
            <v>2004</v>
          </cell>
          <cell r="G8" t="str">
            <v>2004pf</v>
          </cell>
          <cell r="H8">
            <v>2005</v>
          </cell>
          <cell r="I8">
            <v>2006</v>
          </cell>
          <cell r="J8">
            <v>2007</v>
          </cell>
          <cell r="K8">
            <v>2008</v>
          </cell>
          <cell r="L8">
            <v>2009</v>
          </cell>
          <cell r="M8">
            <v>2010</v>
          </cell>
          <cell r="N8">
            <v>2011</v>
          </cell>
          <cell r="O8" t="str">
            <v>2012E</v>
          </cell>
          <cell r="P8" t="str">
            <v>2013E</v>
          </cell>
          <cell r="Q8" t="str">
            <v>2014E</v>
          </cell>
          <cell r="R8" t="str">
            <v>2015E</v>
          </cell>
        </row>
        <row r="9">
          <cell r="B9"/>
          <cell r="C9"/>
          <cell r="D9"/>
          <cell r="E9"/>
          <cell r="F9"/>
          <cell r="G9"/>
          <cell r="H9"/>
          <cell r="I9"/>
          <cell r="J9"/>
          <cell r="K9"/>
          <cell r="L9"/>
          <cell r="M9"/>
          <cell r="N9"/>
          <cell r="O9"/>
          <cell r="P9"/>
          <cell r="Q9"/>
          <cell r="R9"/>
        </row>
        <row r="10">
          <cell r="B10" t="str">
            <v>RR defined underlying PTP</v>
          </cell>
          <cell r="C10">
            <v>475</v>
          </cell>
          <cell r="D10">
            <v>255</v>
          </cell>
          <cell r="E10">
            <v>285</v>
          </cell>
          <cell r="F10">
            <v>344.9</v>
          </cell>
          <cell r="G10">
            <v>365</v>
          </cell>
          <cell r="H10">
            <v>593</v>
          </cell>
          <cell r="I10">
            <v>705</v>
          </cell>
          <cell r="J10">
            <v>800</v>
          </cell>
          <cell r="K10">
            <v>880</v>
          </cell>
          <cell r="L10">
            <v>915</v>
          </cell>
          <cell r="M10">
            <v>955</v>
          </cell>
          <cell r="N10">
            <v>1157</v>
          </cell>
          <cell r="O10">
            <v>1454.899391326818</v>
          </cell>
          <cell r="P10">
            <v>1938.5850370215614</v>
          </cell>
          <cell r="Q10">
            <v>2205.6221008155844</v>
          </cell>
          <cell r="R10">
            <v>2505.1792845329928</v>
          </cell>
        </row>
        <row r="11">
          <cell r="B11" t="str">
            <v>Deduct operating exceptionals</v>
          </cell>
          <cell r="C11">
            <v>-230</v>
          </cell>
          <cell r="D11">
            <v>-76</v>
          </cell>
          <cell r="E11">
            <v>-54</v>
          </cell>
          <cell r="F11">
            <v>0</v>
          </cell>
          <cell r="G11">
            <v>0</v>
          </cell>
          <cell r="H11">
            <v>0</v>
          </cell>
          <cell r="I11">
            <v>0</v>
          </cell>
          <cell r="J11">
            <v>0</v>
          </cell>
          <cell r="K11">
            <v>0</v>
          </cell>
          <cell r="L11">
            <v>0</v>
          </cell>
          <cell r="M11">
            <v>0</v>
          </cell>
          <cell r="N11">
            <v>0</v>
          </cell>
          <cell r="O11">
            <v>0</v>
          </cell>
          <cell r="P11">
            <v>0</v>
          </cell>
          <cell r="Q11">
            <v>0</v>
          </cell>
          <cell r="R11">
            <v>0</v>
          </cell>
        </row>
        <row r="12">
          <cell r="B12" t="str">
            <v xml:space="preserve">Add back Pension finance gain / (charge) </v>
          </cell>
          <cell r="C12">
            <v>0</v>
          </cell>
          <cell r="D12">
            <v>0</v>
          </cell>
          <cell r="E12">
            <v>0</v>
          </cell>
          <cell r="F12">
            <v>0</v>
          </cell>
          <cell r="G12">
            <v>-1</v>
          </cell>
          <cell r="H12">
            <v>-9</v>
          </cell>
          <cell r="I12">
            <v>3</v>
          </cell>
          <cell r="J12">
            <v>30</v>
          </cell>
          <cell r="K12">
            <v>-22</v>
          </cell>
          <cell r="L12">
            <v>-97</v>
          </cell>
          <cell r="M12">
            <v>-31</v>
          </cell>
          <cell r="N12">
            <v>-12</v>
          </cell>
          <cell r="O12">
            <v>-62</v>
          </cell>
          <cell r="P12">
            <v>-62</v>
          </cell>
          <cell r="Q12">
            <v>-62</v>
          </cell>
          <cell r="R12">
            <v>-62</v>
          </cell>
        </row>
        <row r="13">
          <cell r="B13" t="str">
            <v>Adjust for net capitalised R&amp;D</v>
          </cell>
          <cell r="C13">
            <v>0</v>
          </cell>
          <cell r="D13">
            <v>0</v>
          </cell>
          <cell r="E13">
            <v>0</v>
          </cell>
          <cell r="F13">
            <v>0</v>
          </cell>
          <cell r="G13">
            <v>-5</v>
          </cell>
          <cell r="H13">
            <v>-57</v>
          </cell>
          <cell r="I13">
            <v>-25</v>
          </cell>
          <cell r="J13">
            <v>-73</v>
          </cell>
          <cell r="K13">
            <v>-87</v>
          </cell>
          <cell r="L13">
            <v>-92</v>
          </cell>
          <cell r="M13">
            <v>-84</v>
          </cell>
          <cell r="N13">
            <v>-57</v>
          </cell>
          <cell r="O13">
            <v>7</v>
          </cell>
          <cell r="P13">
            <v>-38</v>
          </cell>
          <cell r="Q13">
            <v>-55</v>
          </cell>
          <cell r="R13">
            <v>-72</v>
          </cell>
        </row>
        <row r="14">
          <cell r="B14" t="str">
            <v>Adjust for net capitalised losses on new engines</v>
          </cell>
          <cell r="C14">
            <v>0</v>
          </cell>
          <cell r="D14">
            <v>0</v>
          </cell>
          <cell r="E14">
            <v>0</v>
          </cell>
          <cell r="F14">
            <v>0</v>
          </cell>
          <cell r="G14">
            <v>5</v>
          </cell>
          <cell r="H14">
            <v>-4</v>
          </cell>
          <cell r="I14">
            <v>-34</v>
          </cell>
          <cell r="J14">
            <v>-9</v>
          </cell>
          <cell r="K14">
            <v>-51</v>
          </cell>
          <cell r="L14">
            <v>-77</v>
          </cell>
          <cell r="M14">
            <v>-56</v>
          </cell>
          <cell r="N14">
            <v>-73</v>
          </cell>
          <cell r="O14">
            <v>-30</v>
          </cell>
          <cell r="P14">
            <v>-65</v>
          </cell>
          <cell r="Q14">
            <v>-70</v>
          </cell>
          <cell r="R14">
            <v>-75</v>
          </cell>
        </row>
        <row r="15">
          <cell r="B15" t="str">
            <v>Goldman defined Clean PTP</v>
          </cell>
          <cell r="C15">
            <v>245</v>
          </cell>
          <cell r="D15">
            <v>179</v>
          </cell>
          <cell r="E15">
            <v>231</v>
          </cell>
          <cell r="F15">
            <v>344.9</v>
          </cell>
          <cell r="G15">
            <v>364</v>
          </cell>
          <cell r="H15">
            <v>523</v>
          </cell>
          <cell r="I15">
            <v>649</v>
          </cell>
          <cell r="J15">
            <v>748</v>
          </cell>
          <cell r="K15">
            <v>720</v>
          </cell>
          <cell r="L15">
            <v>649</v>
          </cell>
          <cell r="M15">
            <v>784</v>
          </cell>
          <cell r="N15">
            <v>1015</v>
          </cell>
          <cell r="O15">
            <v>1369.899391326818</v>
          </cell>
          <cell r="P15">
            <v>1773.5850370215614</v>
          </cell>
          <cell r="Q15">
            <v>2018.6221008155844</v>
          </cell>
          <cell r="R15">
            <v>2296.1792845329928</v>
          </cell>
        </row>
        <row r="16">
          <cell r="B16" t="str">
            <v>Underlying tax rate (as per RR)</v>
          </cell>
          <cell r="C16">
            <v>-0.32421052631578945</v>
          </cell>
          <cell r="D16">
            <v>-0.29803921568627451</v>
          </cell>
          <cell r="E16">
            <v>-0.29473684210526313</v>
          </cell>
          <cell r="F16">
            <v>-0.28703972165845176</v>
          </cell>
          <cell r="G16">
            <v>-0.27397260273972601</v>
          </cell>
          <cell r="H16">
            <v>-0.28667790893760542</v>
          </cell>
          <cell r="I16">
            <v>-0.26950354609929078</v>
          </cell>
          <cell r="J16">
            <v>-0.24124999999999999</v>
          </cell>
          <cell r="K16">
            <v>-0.24659090909090908</v>
          </cell>
          <cell r="L16">
            <v>-0.20437158469945355</v>
          </cell>
          <cell r="M16">
            <v>-0.24712041884816754</v>
          </cell>
          <cell r="N16">
            <v>-0.22558340535868626</v>
          </cell>
          <cell r="O16">
            <v>-0.2477</v>
          </cell>
          <cell r="P16">
            <v>-0.245</v>
          </cell>
          <cell r="Q16">
            <v>-0.245</v>
          </cell>
          <cell r="R16">
            <v>-0.245</v>
          </cell>
        </row>
        <row r="17">
          <cell r="B17" t="str">
            <v>Less Goldman defined tax</v>
          </cell>
          <cell r="C17">
            <v>-79.431578947368422</v>
          </cell>
          <cell r="D17">
            <v>-53.34901960784314</v>
          </cell>
          <cell r="E17">
            <v>-68.084210526315786</v>
          </cell>
          <cell r="F17">
            <v>-99</v>
          </cell>
          <cell r="G17">
            <v>-99.726027397260268</v>
          </cell>
          <cell r="H17">
            <v>-149.93254637436763</v>
          </cell>
          <cell r="I17">
            <v>-174.9078014184397</v>
          </cell>
          <cell r="J17">
            <v>-180.45499999999998</v>
          </cell>
          <cell r="K17">
            <v>-177.54545454545453</v>
          </cell>
          <cell r="L17">
            <v>-132.63715846994535</v>
          </cell>
          <cell r="M17">
            <v>-193.74240837696337</v>
          </cell>
          <cell r="N17">
            <v>-228.96715643906654</v>
          </cell>
          <cell r="O17">
            <v>-339.32407923165283</v>
          </cell>
          <cell r="P17">
            <v>-434.52833407028254</v>
          </cell>
          <cell r="Q17">
            <v>-494.56241469981819</v>
          </cell>
          <cell r="R17">
            <v>-562.56392471058325</v>
          </cell>
        </row>
        <row r="18">
          <cell r="B18" t="str">
            <v>Minorities</v>
          </cell>
          <cell r="C18">
            <v>0</v>
          </cell>
          <cell r="D18">
            <v>0</v>
          </cell>
          <cell r="E18">
            <v>0</v>
          </cell>
          <cell r="F18">
            <v>-1</v>
          </cell>
          <cell r="G18">
            <v>-1</v>
          </cell>
          <cell r="H18">
            <v>3</v>
          </cell>
          <cell r="I18">
            <v>4</v>
          </cell>
          <cell r="J18">
            <v>6</v>
          </cell>
          <cell r="K18">
            <v>5</v>
          </cell>
          <cell r="L18">
            <v>4</v>
          </cell>
          <cell r="M18">
            <v>-4</v>
          </cell>
          <cell r="N18">
            <v>2</v>
          </cell>
          <cell r="O18">
            <v>-12.272639999999999</v>
          </cell>
          <cell r="P18">
            <v>-131.25348154943998</v>
          </cell>
          <cell r="Q18">
            <v>-145.77029007139205</v>
          </cell>
          <cell r="R18">
            <v>-159.46094995788496</v>
          </cell>
        </row>
        <row r="19">
          <cell r="B19" t="str">
            <v>Goldman defined Clean Net Income</v>
          </cell>
          <cell r="C19">
            <v>165.56842105263158</v>
          </cell>
          <cell r="D19">
            <v>125.65098039215687</v>
          </cell>
          <cell r="E19">
            <v>162.91578947368421</v>
          </cell>
          <cell r="F19">
            <v>244.89999999999998</v>
          </cell>
          <cell r="G19">
            <v>263.27397260273972</v>
          </cell>
          <cell r="H19">
            <v>376.06745362563237</v>
          </cell>
          <cell r="I19">
            <v>478.0921985815603</v>
          </cell>
          <cell r="J19">
            <v>573.54500000000007</v>
          </cell>
          <cell r="K19">
            <v>547.4545454545455</v>
          </cell>
          <cell r="L19">
            <v>520.36284153005465</v>
          </cell>
          <cell r="M19">
            <v>586.25759162303666</v>
          </cell>
          <cell r="N19">
            <v>788.03284356093343</v>
          </cell>
          <cell r="O19">
            <v>1018.3026720951651</v>
          </cell>
          <cell r="P19">
            <v>1207.803221401839</v>
          </cell>
          <cell r="Q19">
            <v>1378.2893960443741</v>
          </cell>
          <cell r="R19">
            <v>1574.1544098645245</v>
          </cell>
        </row>
        <row r="20">
          <cell r="B20" t="str">
            <v>Goldman defined Clean EPS</v>
          </cell>
          <cell r="C20">
            <v>10.419661488523071</v>
          </cell>
          <cell r="D20">
            <v>7.7947258307789618</v>
          </cell>
          <cell r="E20">
            <v>9.8916690633688056</v>
          </cell>
          <cell r="F20">
            <v>14.491124260355029</v>
          </cell>
          <cell r="G20">
            <v>15.578341574126611</v>
          </cell>
          <cell r="H20">
            <v>21.613072047450135</v>
          </cell>
          <cell r="I20">
            <v>27.460781078780027</v>
          </cell>
          <cell r="J20">
            <v>31.863611111111119</v>
          </cell>
          <cell r="K20">
            <v>30.079920079920079</v>
          </cell>
          <cell r="L20">
            <v>28.203948050409466</v>
          </cell>
          <cell r="M20">
            <v>31.758266068420188</v>
          </cell>
          <cell r="N20">
            <v>42.596369922212617</v>
          </cell>
          <cell r="O20">
            <v>55.043387680819734</v>
          </cell>
          <cell r="P20">
            <v>65.286660616315615</v>
          </cell>
          <cell r="Q20">
            <v>74.502129515912117</v>
          </cell>
          <cell r="R20">
            <v>85.089427560244573</v>
          </cell>
        </row>
        <row r="21">
          <cell r="B21" t="str">
            <v>Goldman defined Clean EPS  as a % of RR defined underlying EPS</v>
          </cell>
          <cell r="C21">
            <v>0.51578947368421058</v>
          </cell>
          <cell r="D21">
            <v>0.70196078431372555</v>
          </cell>
          <cell r="E21">
            <v>0.81052631578947376</v>
          </cell>
          <cell r="F21">
            <v>1</v>
          </cell>
          <cell r="G21">
            <v>0.99724989622249904</v>
          </cell>
          <cell r="H21">
            <v>0.88278744982542812</v>
          </cell>
          <cell r="I21">
            <v>0.92117957337487522</v>
          </cell>
          <cell r="J21">
            <v>0.9356362153344211</v>
          </cell>
          <cell r="K21">
            <v>0.81954273271638545</v>
          </cell>
          <cell r="L21">
            <v>0.71087819881155012</v>
          </cell>
          <cell r="M21">
            <v>0.81994068758466665</v>
          </cell>
          <cell r="N21">
            <v>0.87754214205003722</v>
          </cell>
          <cell r="O21">
            <v>0.90713436669803715</v>
          </cell>
          <cell r="P21">
            <v>0.90650177404661381</v>
          </cell>
          <cell r="Q21">
            <v>0.90708300161717426</v>
          </cell>
          <cell r="R21">
            <v>0.908891680610727</v>
          </cell>
        </row>
        <row r="22">
          <cell r="B22"/>
          <cell r="C22"/>
          <cell r="D22"/>
          <cell r="E22"/>
          <cell r="F22"/>
          <cell r="G22"/>
          <cell r="H22"/>
          <cell r="I22"/>
          <cell r="J22"/>
          <cell r="K22"/>
          <cell r="L22"/>
          <cell r="M22"/>
          <cell r="N22"/>
          <cell r="O22"/>
          <cell r="P22"/>
          <cell r="Q22"/>
          <cell r="R22"/>
        </row>
        <row r="23">
          <cell r="B23" t="str">
            <v>Goldman calculation of Economic EBITA and NOPLAT</v>
          </cell>
          <cell r="C23">
            <v>2001</v>
          </cell>
          <cell r="D23">
            <v>2002</v>
          </cell>
          <cell r="E23">
            <v>2003</v>
          </cell>
          <cell r="F23">
            <v>2004</v>
          </cell>
          <cell r="G23" t="str">
            <v>2004pf</v>
          </cell>
          <cell r="H23">
            <v>2005</v>
          </cell>
          <cell r="I23">
            <v>2006</v>
          </cell>
          <cell r="J23">
            <v>2007</v>
          </cell>
          <cell r="K23">
            <v>2008</v>
          </cell>
          <cell r="L23">
            <v>2009</v>
          </cell>
          <cell r="M23">
            <v>2010</v>
          </cell>
          <cell r="N23">
            <v>2011</v>
          </cell>
          <cell r="O23" t="str">
            <v>2012E</v>
          </cell>
          <cell r="P23" t="str">
            <v>2013E</v>
          </cell>
          <cell r="Q23" t="str">
            <v>2014E</v>
          </cell>
          <cell r="R23" t="str">
            <v>2015E</v>
          </cell>
        </row>
        <row r="24">
          <cell r="B24"/>
          <cell r="C24"/>
          <cell r="D24"/>
          <cell r="E24"/>
          <cell r="F24"/>
          <cell r="G24"/>
          <cell r="H24"/>
          <cell r="I24"/>
          <cell r="J24"/>
          <cell r="K24"/>
          <cell r="L24"/>
          <cell r="M24"/>
          <cell r="N24"/>
          <cell r="O24"/>
          <cell r="P24"/>
          <cell r="Q24"/>
          <cell r="R24"/>
        </row>
        <row r="25">
          <cell r="B25" t="str">
            <v>RR defined underlying EBITA (group level)</v>
          </cell>
          <cell r="C25">
            <v>594</v>
          </cell>
          <cell r="D25">
            <v>362</v>
          </cell>
          <cell r="E25">
            <v>375</v>
          </cell>
          <cell r="F25">
            <v>414.9</v>
          </cell>
          <cell r="G25">
            <v>417</v>
          </cell>
          <cell r="H25">
            <v>679</v>
          </cell>
          <cell r="I25">
            <v>748</v>
          </cell>
          <cell r="J25">
            <v>832</v>
          </cell>
          <cell r="K25">
            <v>919</v>
          </cell>
          <cell r="L25">
            <v>983</v>
          </cell>
          <cell r="M25">
            <v>1010</v>
          </cell>
          <cell r="N25">
            <v>1206</v>
          </cell>
          <cell r="O25">
            <v>1509.4726087987033</v>
          </cell>
          <cell r="P25">
            <v>1987.9463237273353</v>
          </cell>
          <cell r="Q25">
            <v>2250.7437240952268</v>
          </cell>
          <cell r="R25">
            <v>2543.3969644653002</v>
          </cell>
        </row>
        <row r="26">
          <cell r="B26" t="str">
            <v>Deduct associates (as included in EBITA)</v>
          </cell>
          <cell r="C26">
            <v>-82</v>
          </cell>
          <cell r="D26">
            <v>-66</v>
          </cell>
          <cell r="E26">
            <v>-52</v>
          </cell>
          <cell r="F26">
            <v>-48.9</v>
          </cell>
          <cell r="G26">
            <v>-19</v>
          </cell>
          <cell r="H26">
            <v>-46</v>
          </cell>
          <cell r="I26">
            <v>-47</v>
          </cell>
          <cell r="J26">
            <v>-66</v>
          </cell>
          <cell r="K26">
            <v>-74</v>
          </cell>
          <cell r="L26">
            <v>-93</v>
          </cell>
          <cell r="M26">
            <v>-93</v>
          </cell>
          <cell r="N26">
            <v>-116</v>
          </cell>
          <cell r="O26">
            <v>-120</v>
          </cell>
          <cell r="P26">
            <v>-110</v>
          </cell>
          <cell r="Q26">
            <v>-116.60000000000001</v>
          </cell>
          <cell r="R26">
            <v>-123.59600000000002</v>
          </cell>
        </row>
        <row r="27">
          <cell r="B27" t="str">
            <v>Deduct operating exceptionals</v>
          </cell>
          <cell r="C27">
            <v>-230</v>
          </cell>
          <cell r="D27">
            <v>-76</v>
          </cell>
          <cell r="E27">
            <v>-54</v>
          </cell>
          <cell r="F27">
            <v>0</v>
          </cell>
          <cell r="G27">
            <v>0</v>
          </cell>
          <cell r="H27">
            <v>0</v>
          </cell>
          <cell r="I27">
            <v>0</v>
          </cell>
          <cell r="J27">
            <v>0</v>
          </cell>
          <cell r="K27">
            <v>0</v>
          </cell>
          <cell r="L27">
            <v>0</v>
          </cell>
          <cell r="M27">
            <v>0</v>
          </cell>
          <cell r="N27">
            <v>0</v>
          </cell>
          <cell r="O27">
            <v>0</v>
          </cell>
          <cell r="P27">
            <v>0</v>
          </cell>
          <cell r="Q27">
            <v>0</v>
          </cell>
          <cell r="R27">
            <v>0</v>
          </cell>
        </row>
        <row r="28">
          <cell r="B28" t="str">
            <v>Adjust for net capitalised R&amp;D</v>
          </cell>
          <cell r="C28">
            <v>0</v>
          </cell>
          <cell r="D28">
            <v>0</v>
          </cell>
          <cell r="E28">
            <v>0</v>
          </cell>
          <cell r="F28">
            <v>0</v>
          </cell>
          <cell r="G28">
            <v>-5</v>
          </cell>
          <cell r="H28">
            <v>-57</v>
          </cell>
          <cell r="I28">
            <v>-25</v>
          </cell>
          <cell r="J28">
            <v>-73</v>
          </cell>
          <cell r="K28">
            <v>-87</v>
          </cell>
          <cell r="L28">
            <v>-92</v>
          </cell>
          <cell r="M28">
            <v>-84</v>
          </cell>
          <cell r="N28">
            <v>-57</v>
          </cell>
          <cell r="O28">
            <v>7</v>
          </cell>
          <cell r="P28">
            <v>-38</v>
          </cell>
          <cell r="Q28">
            <v>-55</v>
          </cell>
          <cell r="R28">
            <v>-72</v>
          </cell>
        </row>
        <row r="29">
          <cell r="B29" t="str">
            <v>Adjust for net capitalised losses on new engines</v>
          </cell>
          <cell r="C29">
            <v>0</v>
          </cell>
          <cell r="D29">
            <v>0</v>
          </cell>
          <cell r="E29">
            <v>0</v>
          </cell>
          <cell r="F29">
            <v>0</v>
          </cell>
          <cell r="G29">
            <v>5</v>
          </cell>
          <cell r="H29">
            <v>-4</v>
          </cell>
          <cell r="I29">
            <v>-34</v>
          </cell>
          <cell r="J29">
            <v>-9</v>
          </cell>
          <cell r="K29">
            <v>-51</v>
          </cell>
          <cell r="L29">
            <v>-77</v>
          </cell>
          <cell r="M29">
            <v>-56</v>
          </cell>
          <cell r="N29">
            <v>-73</v>
          </cell>
          <cell r="O29">
            <v>-30</v>
          </cell>
          <cell r="P29">
            <v>-65</v>
          </cell>
          <cell r="Q29">
            <v>-70</v>
          </cell>
          <cell r="R29">
            <v>-75</v>
          </cell>
        </row>
        <row r="30">
          <cell r="B30" t="str">
            <v>Goldman defined Clean EBITA (subsidiary level)</v>
          </cell>
          <cell r="C30">
            <v>282</v>
          </cell>
          <cell r="D30">
            <v>220</v>
          </cell>
          <cell r="E30">
            <v>269</v>
          </cell>
          <cell r="F30">
            <v>366</v>
          </cell>
          <cell r="G30">
            <v>398</v>
          </cell>
          <cell r="H30">
            <v>572</v>
          </cell>
          <cell r="I30">
            <v>642</v>
          </cell>
          <cell r="J30">
            <v>684</v>
          </cell>
          <cell r="K30">
            <v>707</v>
          </cell>
          <cell r="L30">
            <v>721</v>
          </cell>
          <cell r="M30">
            <v>777</v>
          </cell>
          <cell r="N30">
            <v>960</v>
          </cell>
          <cell r="O30">
            <v>1366.4726087987033</v>
          </cell>
          <cell r="P30">
            <v>1774.9463237273353</v>
          </cell>
          <cell r="Q30">
            <v>2009.1437240952268</v>
          </cell>
          <cell r="R30">
            <v>2272.8009644653002</v>
          </cell>
        </row>
        <row r="31">
          <cell r="B31" t="str">
            <v>Add estimated interest income on excess customer prepayments</v>
          </cell>
          <cell r="C31">
            <v>17.150000000000002</v>
          </cell>
          <cell r="D31">
            <v>17.52</v>
          </cell>
          <cell r="E31">
            <v>18.080000000000002</v>
          </cell>
          <cell r="F31">
            <v>18.329658999999999</v>
          </cell>
          <cell r="G31">
            <v>18.329658999999999</v>
          </cell>
          <cell r="H31">
            <v>27.413683200000001</v>
          </cell>
          <cell r="I31">
            <v>40.156426799999998</v>
          </cell>
          <cell r="J31">
            <v>93.4926198</v>
          </cell>
          <cell r="K31">
            <v>65.52</v>
          </cell>
          <cell r="L31">
            <v>41.88</v>
          </cell>
          <cell r="M31">
            <v>43.08</v>
          </cell>
          <cell r="N31">
            <v>40.800000000000004</v>
          </cell>
          <cell r="O31">
            <v>41.800000000000004</v>
          </cell>
          <cell r="P31">
            <v>43.800000000000004</v>
          </cell>
          <cell r="Q31">
            <v>45.800000000000004</v>
          </cell>
          <cell r="R31">
            <v>46.800000000000004</v>
          </cell>
        </row>
        <row r="32">
          <cell r="B32" t="str">
            <v>Adjust pension income from SSAP 24 to FRS 17</v>
          </cell>
          <cell r="C32">
            <v>0</v>
          </cell>
          <cell r="D32">
            <v>-9</v>
          </cell>
          <cell r="E32">
            <v>12</v>
          </cell>
          <cell r="F32">
            <v>44</v>
          </cell>
          <cell r="G32">
            <v>0</v>
          </cell>
          <cell r="H32">
            <v>0</v>
          </cell>
          <cell r="I32">
            <v>0</v>
          </cell>
          <cell r="J32">
            <v>0</v>
          </cell>
          <cell r="K32">
            <v>0</v>
          </cell>
          <cell r="L32">
            <v>0</v>
          </cell>
          <cell r="M32">
            <v>0</v>
          </cell>
          <cell r="N32">
            <v>0</v>
          </cell>
          <cell r="O32">
            <v>0</v>
          </cell>
          <cell r="P32">
            <v>0</v>
          </cell>
          <cell r="Q32">
            <v>0</v>
          </cell>
          <cell r="R32">
            <v>0</v>
          </cell>
        </row>
        <row r="33">
          <cell r="B33" t="str">
            <v>Goldman defined Economic EBITA (subsidiary level)</v>
          </cell>
          <cell r="C33">
            <v>299.14999999999998</v>
          </cell>
          <cell r="D33">
            <v>228.52</v>
          </cell>
          <cell r="E33">
            <v>299.08</v>
          </cell>
          <cell r="F33">
            <v>428.32965899999999</v>
          </cell>
          <cell r="G33">
            <v>416.32965899999999</v>
          </cell>
          <cell r="H33">
            <v>599.41368320000004</v>
          </cell>
          <cell r="I33">
            <v>682.15642679999996</v>
          </cell>
          <cell r="J33">
            <v>777.49261980000006</v>
          </cell>
          <cell r="K33">
            <v>772.52</v>
          </cell>
          <cell r="L33">
            <v>762.88</v>
          </cell>
          <cell r="M33">
            <v>820.08</v>
          </cell>
          <cell r="N33">
            <v>1000.8</v>
          </cell>
          <cell r="O33">
            <v>1408.2726087987032</v>
          </cell>
          <cell r="P33">
            <v>1818.7463237273353</v>
          </cell>
          <cell r="Q33">
            <v>2054.943724095227</v>
          </cell>
          <cell r="R33">
            <v>2319.6009644653004</v>
          </cell>
        </row>
        <row r="34">
          <cell r="B34" t="str">
            <v>Tax rate</v>
          </cell>
          <cell r="C34">
            <v>-0.32421052631578945</v>
          </cell>
          <cell r="D34">
            <v>-0.29803921568627451</v>
          </cell>
          <cell r="E34">
            <v>-0.29473684210526313</v>
          </cell>
          <cell r="F34">
            <v>-0.28703972165845176</v>
          </cell>
          <cell r="G34">
            <v>-0.27397260273972601</v>
          </cell>
          <cell r="H34">
            <v>-0.28667790893760542</v>
          </cell>
          <cell r="I34">
            <v>-0.26950354609929078</v>
          </cell>
          <cell r="J34">
            <v>-0.24124999999999999</v>
          </cell>
          <cell r="K34">
            <v>-0.24659090909090908</v>
          </cell>
          <cell r="L34">
            <v>-0.20437158469945355</v>
          </cell>
          <cell r="M34">
            <v>-0.24712041884816754</v>
          </cell>
          <cell r="N34">
            <v>-0.22558340535868626</v>
          </cell>
          <cell r="O34">
            <v>-0.22</v>
          </cell>
          <cell r="P34">
            <v>-0.245</v>
          </cell>
          <cell r="Q34">
            <v>-0.245</v>
          </cell>
          <cell r="R34">
            <v>-0.245</v>
          </cell>
        </row>
        <row r="35">
          <cell r="B35" t="str">
            <v>Goldman defined NOPLAT</v>
          </cell>
          <cell r="C35">
            <v>202.16242105263154</v>
          </cell>
          <cell r="D35">
            <v>160.41207843137255</v>
          </cell>
          <cell r="E35">
            <v>210.93010526315788</v>
          </cell>
          <cell r="F35">
            <v>305.38203290258048</v>
          </cell>
          <cell r="G35">
            <v>302.26673872602737</v>
          </cell>
          <cell r="H35">
            <v>427.5750219116357</v>
          </cell>
          <cell r="I35">
            <v>498.31285078297873</v>
          </cell>
          <cell r="J35">
            <v>589.92252527325002</v>
          </cell>
          <cell r="K35">
            <v>582.0235909090909</v>
          </cell>
          <cell r="L35">
            <v>606.9690054644808</v>
          </cell>
          <cell r="M35">
            <v>617.42148691099487</v>
          </cell>
          <cell r="N35">
            <v>775.03612791702676</v>
          </cell>
          <cell r="O35">
            <v>1098.4526348629886</v>
          </cell>
          <cell r="P35">
            <v>1373.1534744141381</v>
          </cell>
          <cell r="Q35">
            <v>1551.4825116918964</v>
          </cell>
          <cell r="R35">
            <v>1751.2987281713017</v>
          </cell>
        </row>
        <row r="36">
          <cell r="B36"/>
          <cell r="C36"/>
          <cell r="D36"/>
          <cell r="E36"/>
          <cell r="F36"/>
          <cell r="G36"/>
          <cell r="H36"/>
          <cell r="I36"/>
          <cell r="J36"/>
          <cell r="K36"/>
          <cell r="L36"/>
          <cell r="M36"/>
          <cell r="N36"/>
          <cell r="O36"/>
          <cell r="P36"/>
          <cell r="Q36"/>
          <cell r="R36"/>
        </row>
        <row r="37">
          <cell r="B37" t="str">
            <v>Goldman defined Invested Capital</v>
          </cell>
          <cell r="C37">
            <v>2001</v>
          </cell>
          <cell r="D37">
            <v>2002</v>
          </cell>
          <cell r="E37">
            <v>2003</v>
          </cell>
          <cell r="F37">
            <v>2004</v>
          </cell>
          <cell r="G37" t="str">
            <v>2004pf</v>
          </cell>
          <cell r="H37">
            <v>2005</v>
          </cell>
          <cell r="I37">
            <v>2006</v>
          </cell>
          <cell r="J37">
            <v>2007</v>
          </cell>
          <cell r="K37">
            <v>2008</v>
          </cell>
          <cell r="L37">
            <v>2009</v>
          </cell>
          <cell r="M37">
            <v>2010</v>
          </cell>
          <cell r="N37">
            <v>2011</v>
          </cell>
          <cell r="O37" t="str">
            <v>2012E</v>
          </cell>
          <cell r="P37" t="str">
            <v>2013E</v>
          </cell>
          <cell r="Q37" t="str">
            <v>2014E</v>
          </cell>
          <cell r="R37" t="str">
            <v>2015E</v>
          </cell>
        </row>
        <row r="38">
          <cell r="B38"/>
          <cell r="C38"/>
          <cell r="D38"/>
          <cell r="E38"/>
          <cell r="F38"/>
          <cell r="G38"/>
          <cell r="H38"/>
          <cell r="I38"/>
          <cell r="J38"/>
          <cell r="K38"/>
          <cell r="L38"/>
          <cell r="M38"/>
          <cell r="N38"/>
          <cell r="O38"/>
          <cell r="P38"/>
          <cell r="Q38"/>
          <cell r="R38"/>
        </row>
        <row r="39">
          <cell r="B39" t="str">
            <v>Shareholders Funds</v>
          </cell>
          <cell r="C39">
            <v>2068</v>
          </cell>
          <cell r="D39">
            <v>2035</v>
          </cell>
          <cell r="E39">
            <v>2140</v>
          </cell>
          <cell r="F39">
            <v>2303</v>
          </cell>
          <cell r="G39">
            <v>1442</v>
          </cell>
          <cell r="H39">
            <v>1499</v>
          </cell>
          <cell r="I39">
            <v>2718</v>
          </cell>
          <cell r="J39">
            <v>3537</v>
          </cell>
          <cell r="K39">
            <v>2522</v>
          </cell>
          <cell r="L39">
            <v>3782</v>
          </cell>
          <cell r="M39">
            <v>3975</v>
          </cell>
          <cell r="N39">
            <v>4518</v>
          </cell>
          <cell r="O39">
            <v>5928.2363852349181</v>
          </cell>
          <cell r="P39">
            <v>6832.4552316367572</v>
          </cell>
          <cell r="Q39">
            <v>7880.9543151811313</v>
          </cell>
          <cell r="R39">
            <v>9094.8308812956566</v>
          </cell>
        </row>
        <row r="40">
          <cell r="B40" t="str">
            <v>Cumulative goodwill written-off</v>
          </cell>
          <cell r="C40">
            <v>380</v>
          </cell>
          <cell r="D40">
            <v>372</v>
          </cell>
          <cell r="E40">
            <v>372</v>
          </cell>
          <cell r="F40">
            <v>370</v>
          </cell>
          <cell r="G40">
            <v>370</v>
          </cell>
          <cell r="H40">
            <v>370</v>
          </cell>
          <cell r="I40">
            <v>370</v>
          </cell>
          <cell r="J40">
            <v>370</v>
          </cell>
          <cell r="K40">
            <v>370</v>
          </cell>
          <cell r="L40">
            <v>371</v>
          </cell>
          <cell r="M40">
            <v>371</v>
          </cell>
          <cell r="N40">
            <v>371</v>
          </cell>
          <cell r="O40">
            <v>371</v>
          </cell>
          <cell r="P40">
            <v>371</v>
          </cell>
          <cell r="Q40">
            <v>371</v>
          </cell>
          <cell r="R40">
            <v>371</v>
          </cell>
        </row>
        <row r="41">
          <cell r="B41" t="str">
            <v>Cumulative PPA written-off</v>
          </cell>
          <cell r="C41">
            <v>0</v>
          </cell>
          <cell r="D41">
            <v>0</v>
          </cell>
          <cell r="E41">
            <v>0</v>
          </cell>
          <cell r="F41">
            <v>0</v>
          </cell>
          <cell r="G41">
            <v>0</v>
          </cell>
          <cell r="H41">
            <v>0</v>
          </cell>
          <cell r="I41">
            <v>0</v>
          </cell>
          <cell r="J41">
            <v>0</v>
          </cell>
          <cell r="K41">
            <v>0</v>
          </cell>
          <cell r="L41">
            <v>0</v>
          </cell>
          <cell r="M41">
            <v>0</v>
          </cell>
          <cell r="N41">
            <v>64</v>
          </cell>
          <cell r="O41">
            <v>256</v>
          </cell>
          <cell r="P41">
            <v>448</v>
          </cell>
          <cell r="Q41">
            <v>640</v>
          </cell>
          <cell r="R41">
            <v>832</v>
          </cell>
        </row>
        <row r="42">
          <cell r="B42" t="str">
            <v>Minority equity</v>
          </cell>
          <cell r="C42">
            <v>2</v>
          </cell>
          <cell r="D42">
            <v>2</v>
          </cell>
          <cell r="E42">
            <v>3</v>
          </cell>
          <cell r="F42">
            <v>4</v>
          </cell>
          <cell r="G42">
            <v>4</v>
          </cell>
          <cell r="H42">
            <v>6</v>
          </cell>
          <cell r="I42">
            <v>7</v>
          </cell>
          <cell r="J42">
            <v>12</v>
          </cell>
          <cell r="K42">
            <v>9</v>
          </cell>
          <cell r="L42">
            <v>0</v>
          </cell>
          <cell r="M42">
            <v>4</v>
          </cell>
          <cell r="N42">
            <v>1</v>
          </cell>
          <cell r="O42">
            <v>1107</v>
          </cell>
          <cell r="P42">
            <v>1046.25348154944</v>
          </cell>
          <cell r="Q42">
            <v>1000.0237716208321</v>
          </cell>
          <cell r="R42">
            <v>967.4847215787172</v>
          </cell>
        </row>
        <row r="43">
          <cell r="B43" t="str">
            <v>Net Debt (Cash) - (NB. we used average up until 2010)</v>
          </cell>
          <cell r="C43">
            <v>990</v>
          </cell>
          <cell r="D43">
            <v>1090</v>
          </cell>
          <cell r="E43">
            <v>950</v>
          </cell>
          <cell r="F43">
            <v>560</v>
          </cell>
          <cell r="G43">
            <v>632</v>
          </cell>
          <cell r="H43">
            <v>260</v>
          </cell>
          <cell r="I43">
            <v>-150</v>
          </cell>
          <cell r="J43">
            <v>-350</v>
          </cell>
          <cell r="K43">
            <v>-375</v>
          </cell>
          <cell r="L43">
            <v>-635</v>
          </cell>
          <cell r="M43">
            <v>-960</v>
          </cell>
          <cell r="N43">
            <v>-223</v>
          </cell>
          <cell r="O43">
            <v>-1098.7687818370432</v>
          </cell>
          <cell r="P43">
            <v>-1397.7691946815457</v>
          </cell>
          <cell r="Q43">
            <v>-2054.3889180870697</v>
          </cell>
          <cell r="R43">
            <v>-2953.918025170874</v>
          </cell>
        </row>
        <row r="44">
          <cell r="B44" t="str">
            <v>Pension provisions, net of deferred tax asset</v>
          </cell>
          <cell r="C44">
            <v>198.5</v>
          </cell>
          <cell r="D44">
            <v>637.5</v>
          </cell>
          <cell r="E44">
            <v>505.5</v>
          </cell>
          <cell r="F44">
            <v>488</v>
          </cell>
          <cell r="G44">
            <v>492</v>
          </cell>
          <cell r="H44">
            <v>577</v>
          </cell>
          <cell r="I44">
            <v>340.5</v>
          </cell>
          <cell r="J44">
            <v>149</v>
          </cell>
          <cell r="K44">
            <v>213.5</v>
          </cell>
          <cell r="L44">
            <v>332.5</v>
          </cell>
          <cell r="M44">
            <v>378.5</v>
          </cell>
          <cell r="N44">
            <v>400.5</v>
          </cell>
          <cell r="O44">
            <v>347.86209606986898</v>
          </cell>
          <cell r="P44">
            <v>238.42209606986899</v>
          </cell>
          <cell r="Q44">
            <v>128.98209606986899</v>
          </cell>
          <cell r="R44">
            <v>70.302096069868981</v>
          </cell>
        </row>
        <row r="45">
          <cell r="B45" t="str">
            <v>Excess customer prepayments</v>
          </cell>
          <cell r="C45">
            <v>343</v>
          </cell>
          <cell r="D45">
            <v>438</v>
          </cell>
          <cell r="E45">
            <v>452</v>
          </cell>
          <cell r="F45">
            <v>395</v>
          </cell>
          <cell r="G45">
            <v>395</v>
          </cell>
          <cell r="H45">
            <v>576</v>
          </cell>
          <cell r="I45">
            <v>828</v>
          </cell>
          <cell r="J45">
            <v>1558</v>
          </cell>
          <cell r="K45">
            <v>2184</v>
          </cell>
          <cell r="L45">
            <v>2094</v>
          </cell>
          <cell r="M45">
            <v>2154</v>
          </cell>
          <cell r="N45">
            <v>2040</v>
          </cell>
          <cell r="O45">
            <v>2090</v>
          </cell>
          <cell r="P45">
            <v>2190</v>
          </cell>
          <cell r="Q45">
            <v>2290</v>
          </cell>
          <cell r="R45">
            <v>2340</v>
          </cell>
        </row>
        <row r="46">
          <cell r="B46" t="str">
            <v>Financial RRSP liability (from 2004pf only)</v>
          </cell>
          <cell r="C46">
            <v>0</v>
          </cell>
          <cell r="D46">
            <v>0</v>
          </cell>
          <cell r="E46">
            <v>0</v>
          </cell>
          <cell r="F46">
            <v>0</v>
          </cell>
          <cell r="G46">
            <v>0</v>
          </cell>
          <cell r="H46">
            <v>423</v>
          </cell>
          <cell r="I46">
            <v>324</v>
          </cell>
          <cell r="J46">
            <v>315</v>
          </cell>
          <cell r="K46">
            <v>430</v>
          </cell>
          <cell r="L46">
            <v>363</v>
          </cell>
          <cell r="M46">
            <v>266</v>
          </cell>
          <cell r="N46">
            <v>230</v>
          </cell>
          <cell r="O46">
            <v>210</v>
          </cell>
          <cell r="P46">
            <v>190</v>
          </cell>
          <cell r="Q46">
            <v>170</v>
          </cell>
          <cell r="R46">
            <v>150</v>
          </cell>
        </row>
        <row r="47">
          <cell r="B47" t="str">
            <v>Minus investments @ book value</v>
          </cell>
          <cell r="C47">
            <v>-234</v>
          </cell>
          <cell r="D47">
            <v>-266</v>
          </cell>
          <cell r="E47">
            <v>-265</v>
          </cell>
          <cell r="F47">
            <v>-256</v>
          </cell>
          <cell r="G47">
            <v>-268</v>
          </cell>
          <cell r="H47">
            <v>-299</v>
          </cell>
          <cell r="I47">
            <v>-291</v>
          </cell>
          <cell r="J47">
            <v>-341</v>
          </cell>
          <cell r="K47">
            <v>-398</v>
          </cell>
          <cell r="L47">
            <v>-495</v>
          </cell>
          <cell r="M47">
            <v>-404</v>
          </cell>
          <cell r="N47">
            <v>-1690</v>
          </cell>
          <cell r="O47">
            <v>-586.07999999999993</v>
          </cell>
          <cell r="P47">
            <v>-674.7263999999999</v>
          </cell>
          <cell r="Q47">
            <v>-770.4645119999999</v>
          </cell>
          <cell r="R47">
            <v>-873.86167295999996</v>
          </cell>
        </row>
        <row r="48">
          <cell r="B48" t="str">
            <v>Goldman defined Invested Capital</v>
          </cell>
          <cell r="C48">
            <v>3747.5</v>
          </cell>
          <cell r="D48">
            <v>4308.5</v>
          </cell>
          <cell r="E48">
            <v>4157.5</v>
          </cell>
          <cell r="F48">
            <v>3864</v>
          </cell>
          <cell r="G48">
            <v>3067</v>
          </cell>
          <cell r="H48">
            <v>3412</v>
          </cell>
          <cell r="I48">
            <v>4146.5</v>
          </cell>
          <cell r="J48">
            <v>5250</v>
          </cell>
          <cell r="K48">
            <v>4955.5</v>
          </cell>
          <cell r="L48">
            <v>5812.5</v>
          </cell>
          <cell r="M48">
            <v>5784.5</v>
          </cell>
          <cell r="N48">
            <v>5711.5</v>
          </cell>
          <cell r="O48">
            <v>8625.249699467744</v>
          </cell>
          <cell r="P48">
            <v>9243.6352145745204</v>
          </cell>
          <cell r="Q48">
            <v>9656.1067527847608</v>
          </cell>
          <cell r="R48">
            <v>9997.8380008133699</v>
          </cell>
        </row>
        <row r="49">
          <cell r="B49"/>
          <cell r="C49"/>
          <cell r="D49"/>
          <cell r="E49"/>
          <cell r="F49"/>
          <cell r="G49"/>
          <cell r="H49"/>
          <cell r="I49"/>
          <cell r="J49"/>
          <cell r="K49"/>
          <cell r="L49"/>
          <cell r="M49"/>
          <cell r="N49"/>
          <cell r="O49"/>
          <cell r="P49"/>
          <cell r="Q49"/>
          <cell r="R49"/>
        </row>
        <row r="50">
          <cell r="B50" t="str">
            <v>Goldman defined CROCI and ROIC (pre and post-tax)</v>
          </cell>
          <cell r="C50">
            <v>2001</v>
          </cell>
          <cell r="D50">
            <v>2002</v>
          </cell>
          <cell r="E50">
            <v>2003</v>
          </cell>
          <cell r="F50">
            <v>2004</v>
          </cell>
          <cell r="G50" t="str">
            <v>2004pf</v>
          </cell>
          <cell r="H50">
            <v>2005</v>
          </cell>
          <cell r="I50">
            <v>2006</v>
          </cell>
          <cell r="J50">
            <v>2007</v>
          </cell>
          <cell r="K50">
            <v>2008</v>
          </cell>
          <cell r="L50">
            <v>2009</v>
          </cell>
          <cell r="M50">
            <v>2010</v>
          </cell>
          <cell r="N50">
            <v>2011</v>
          </cell>
          <cell r="O50" t="str">
            <v>2012E</v>
          </cell>
          <cell r="P50" t="str">
            <v>2013E</v>
          </cell>
          <cell r="Q50" t="str">
            <v>2014E</v>
          </cell>
          <cell r="R50" t="str">
            <v>2015E</v>
          </cell>
        </row>
        <row r="51">
          <cell r="B51"/>
          <cell r="C51"/>
          <cell r="D51"/>
          <cell r="E51"/>
          <cell r="F51"/>
          <cell r="G51"/>
          <cell r="H51"/>
          <cell r="I51"/>
          <cell r="J51"/>
          <cell r="K51"/>
          <cell r="L51"/>
          <cell r="M51"/>
          <cell r="N51"/>
          <cell r="O51"/>
          <cell r="P51"/>
          <cell r="Q51"/>
          <cell r="R51"/>
        </row>
        <row r="52">
          <cell r="B52" t="str">
            <v>DACF margin</v>
          </cell>
          <cell r="C52">
            <v>0</v>
          </cell>
          <cell r="D52">
            <v>0</v>
          </cell>
          <cell r="E52">
            <v>0</v>
          </cell>
          <cell r="F52">
            <v>0</v>
          </cell>
          <cell r="G52"/>
          <cell r="H52">
            <v>0.12780205943502104</v>
          </cell>
          <cell r="I52">
            <v>0.11334303651811921</v>
          </cell>
          <cell r="J52">
            <v>5.6323397722911603E-2</v>
          </cell>
          <cell r="K52">
            <v>0.11822269099655128</v>
          </cell>
          <cell r="L52">
            <v>9.3896194325330154E-2</v>
          </cell>
          <cell r="M52">
            <v>9.1975738722929384E-2</v>
          </cell>
          <cell r="N52">
            <v>0.10277080900393937</v>
          </cell>
          <cell r="O52">
            <v>9.500915112116555E-2</v>
          </cell>
          <cell r="P52">
            <v>9.8698387790592257E-2</v>
          </cell>
          <cell r="Q52">
            <v>0.105413549467911</v>
          </cell>
          <cell r="R52">
            <v>0.11872811149737195</v>
          </cell>
        </row>
        <row r="53">
          <cell r="B53" t="str">
            <v xml:space="preserve">Sales / GCI </v>
          </cell>
          <cell r="C53">
            <v>0</v>
          </cell>
          <cell r="D53">
            <v>0</v>
          </cell>
          <cell r="E53">
            <v>0</v>
          </cell>
          <cell r="F53">
            <v>0</v>
          </cell>
          <cell r="G53"/>
          <cell r="H53">
            <v>1.1577626389386877</v>
          </cell>
          <cell r="I53">
            <v>1.2656855151045701</v>
          </cell>
          <cell r="J53">
            <v>1.2523229734059595</v>
          </cell>
          <cell r="K53">
            <v>1.61994155671655</v>
          </cell>
          <cell r="L53">
            <v>1.5656753407682775</v>
          </cell>
          <cell r="M53">
            <v>1.3210942249240121</v>
          </cell>
          <cell r="N53">
            <v>1.2307776261937244</v>
          </cell>
          <cell r="O53">
            <v>1.2555316290327039</v>
          </cell>
          <cell r="P53">
            <v>1.6018888225109065</v>
          </cell>
          <cell r="Q53">
            <v>1.5765883650754136</v>
          </cell>
          <cell r="R53">
            <v>1.585322372762807</v>
          </cell>
        </row>
        <row r="54">
          <cell r="B54" t="str">
            <v>Goldman defined CROCI</v>
          </cell>
          <cell r="C54">
            <v>0</v>
          </cell>
          <cell r="D54">
            <v>0</v>
          </cell>
          <cell r="E54">
            <v>0</v>
          </cell>
          <cell r="F54">
            <v>0</v>
          </cell>
          <cell r="G54"/>
          <cell r="H54">
            <v>0.14796444959328897</v>
          </cell>
          <cell r="I54">
            <v>0.1434566395589518</v>
          </cell>
          <cell r="J54">
            <v>7.0535084908683113E-2</v>
          </cell>
          <cell r="K54">
            <v>0.19151385009217295</v>
          </cell>
          <cell r="L54">
            <v>0.14701095604715569</v>
          </cell>
          <cell r="M54">
            <v>0.12150861725998185</v>
          </cell>
          <cell r="N54">
            <v>0.12648801234787715</v>
          </cell>
          <cell r="O54">
            <v>0.11928699428017132</v>
          </cell>
          <cell r="P54">
            <v>0.15810384420159665</v>
          </cell>
          <cell r="Q54">
            <v>0.16619377561241006</v>
          </cell>
          <cell r="R54">
            <v>0.18822233143266082</v>
          </cell>
        </row>
        <row r="55">
          <cell r="B55"/>
          <cell r="C55"/>
          <cell r="D55"/>
          <cell r="E55"/>
          <cell r="F55"/>
          <cell r="G55"/>
          <cell r="H55"/>
          <cell r="I55"/>
          <cell r="J55"/>
          <cell r="K55"/>
          <cell r="L55"/>
          <cell r="M55"/>
          <cell r="N55"/>
          <cell r="O55"/>
          <cell r="P55"/>
          <cell r="Q55"/>
          <cell r="R55"/>
        </row>
        <row r="56">
          <cell r="B56" t="str">
            <v>Economic EBITA margin</v>
          </cell>
          <cell r="C56">
            <v>4.7274020227560047E-2</v>
          </cell>
          <cell r="D56">
            <v>3.9481686247408436E-2</v>
          </cell>
          <cell r="E56">
            <v>5.2981399468556241E-2</v>
          </cell>
          <cell r="F56">
            <v>7.2121511870685301E-2</v>
          </cell>
          <cell r="G56"/>
          <cell r="H56">
            <v>9.2817231836481884E-2</v>
          </cell>
          <cell r="I56">
            <v>9.277253186454508E-2</v>
          </cell>
          <cell r="J56">
            <v>9.9461765357554049E-2</v>
          </cell>
          <cell r="K56">
            <v>8.4456105827047115E-2</v>
          </cell>
          <cell r="L56">
            <v>7.5472892758211313E-2</v>
          </cell>
          <cell r="M56">
            <v>7.5472114853672015E-2</v>
          </cell>
          <cell r="N56">
            <v>8.8747007182761364E-2</v>
          </cell>
          <cell r="O56">
            <v>0.11694430204911219</v>
          </cell>
          <cell r="P56">
            <v>0.1158997570313285</v>
          </cell>
          <cell r="Q56">
            <v>0.12223719361391663</v>
          </cell>
          <cell r="R56">
            <v>0.12714948683367328</v>
          </cell>
        </row>
        <row r="57">
          <cell r="B57" t="str">
            <v>Asset turn</v>
          </cell>
          <cell r="C57">
            <v>1.6885923949299533</v>
          </cell>
          <cell r="D57">
            <v>1.3433909713357317</v>
          </cell>
          <cell r="E57">
            <v>1.3577871316897174</v>
          </cell>
          <cell r="F57">
            <v>1.5370082815734989</v>
          </cell>
          <cell r="G57"/>
          <cell r="H57">
            <v>1.8927315357561547</v>
          </cell>
          <cell r="I57">
            <v>1.7733027854817316</v>
          </cell>
          <cell r="J57">
            <v>1.488952380952381</v>
          </cell>
          <cell r="K57">
            <v>1.8458278680254263</v>
          </cell>
          <cell r="L57">
            <v>1.739010752688172</v>
          </cell>
          <cell r="M57">
            <v>1.8784683205117123</v>
          </cell>
          <cell r="N57">
            <v>1.9744375382999213</v>
          </cell>
          <cell r="O57">
            <v>1.3961625654172114</v>
          </cell>
          <cell r="P57">
            <v>1.6976447102268126</v>
          </cell>
          <cell r="Q57">
            <v>1.7409828937537088</v>
          </cell>
          <cell r="R57">
            <v>1.8247046277798147</v>
          </cell>
        </row>
        <row r="58">
          <cell r="B58" t="str">
            <v>Goldman defined ROIC (pre-tax)</v>
          </cell>
          <cell r="C58">
            <v>7.9826551034022669E-2</v>
          </cell>
          <cell r="D58">
            <v>5.3039340837878611E-2</v>
          </cell>
          <cell r="E58">
            <v>7.193746241731809E-2</v>
          </cell>
          <cell r="F58">
            <v>0.11085136102484472</v>
          </cell>
          <cell r="G58"/>
          <cell r="H58">
            <v>0.17567810175849943</v>
          </cell>
          <cell r="I58">
            <v>0.16451378917159049</v>
          </cell>
          <cell r="J58">
            <v>0.14809383234285714</v>
          </cell>
          <cell r="K58">
            <v>0.15589143376046816</v>
          </cell>
          <cell r="L58">
            <v>0.13124817204301076</v>
          </cell>
          <cell r="M58">
            <v>0.14177197683464432</v>
          </cell>
          <cell r="N58">
            <v>0.17522542239341679</v>
          </cell>
          <cell r="O58">
            <v>0.16327325675981375</v>
          </cell>
          <cell r="P58">
            <v>0.19675660944080767</v>
          </cell>
          <cell r="Q58">
            <v>0.21281286306228897</v>
          </cell>
          <cell r="R58">
            <v>0.2320102570452322</v>
          </cell>
        </row>
        <row r="59">
          <cell r="B59" t="str">
            <v>Pre-tax cost of capital declared by company</v>
          </cell>
          <cell r="C59"/>
          <cell r="D59"/>
          <cell r="E59"/>
          <cell r="F59"/>
          <cell r="G59"/>
          <cell r="H59"/>
          <cell r="I59"/>
          <cell r="J59">
            <v>0.1275</v>
          </cell>
          <cell r="K59">
            <v>0.1275</v>
          </cell>
          <cell r="L59">
            <v>0.1275</v>
          </cell>
          <cell r="M59">
            <v>0.1275</v>
          </cell>
          <cell r="N59">
            <v>0.1275</v>
          </cell>
          <cell r="O59">
            <v>0.1275</v>
          </cell>
          <cell r="P59">
            <v>0.1275</v>
          </cell>
          <cell r="Q59">
            <v>0.1275</v>
          </cell>
          <cell r="R59">
            <v>0.1275</v>
          </cell>
        </row>
        <row r="60">
          <cell r="B60"/>
          <cell r="C60"/>
          <cell r="D60"/>
          <cell r="E60"/>
          <cell r="F60"/>
          <cell r="G60"/>
          <cell r="H60"/>
          <cell r="I60"/>
          <cell r="J60"/>
          <cell r="K60"/>
          <cell r="L60"/>
          <cell r="M60"/>
          <cell r="N60"/>
          <cell r="O60"/>
          <cell r="P60"/>
          <cell r="Q60"/>
          <cell r="R60"/>
        </row>
        <row r="61">
          <cell r="B61" t="str">
            <v>NOPLAT margin</v>
          </cell>
          <cell r="C61">
            <v>3.1947285248519523E-2</v>
          </cell>
          <cell r="D61">
            <v>2.7714595444259253E-2</v>
          </cell>
          <cell r="E61">
            <v>3.7365829098876507E-2</v>
          </cell>
          <cell r="F61">
            <v>5.141977317773707E-2</v>
          </cell>
          <cell r="G61"/>
          <cell r="H61">
            <v>6.6208581900222316E-2</v>
          </cell>
          <cell r="I61">
            <v>6.7770005546440734E-2</v>
          </cell>
          <cell r="J61">
            <v>7.5466614465044143E-2</v>
          </cell>
          <cell r="K61">
            <v>6.3629997912877545E-2</v>
          </cell>
          <cell r="L61">
            <v>6.0048378063363751E-2</v>
          </cell>
          <cell r="M61">
            <v>5.6821414219675584E-2</v>
          </cell>
          <cell r="N61">
            <v>6.872715508708227E-2</v>
          </cell>
          <cell r="O61">
            <v>9.1216555598307519E-2</v>
          </cell>
          <cell r="P61">
            <v>8.7504316558653025E-2</v>
          </cell>
          <cell r="Q61">
            <v>9.2289081178507051E-2</v>
          </cell>
          <cell r="R61">
            <v>9.5997862559423303E-2</v>
          </cell>
        </row>
        <row r="62">
          <cell r="B62" t="str">
            <v>Asset turn</v>
          </cell>
          <cell r="C62">
            <v>1.6885923949299533</v>
          </cell>
          <cell r="D62">
            <v>1.3433909713357317</v>
          </cell>
          <cell r="E62">
            <v>1.3577871316897174</v>
          </cell>
          <cell r="F62">
            <v>1.5370082815734989</v>
          </cell>
          <cell r="G62"/>
          <cell r="H62">
            <v>1.8927315357561547</v>
          </cell>
          <cell r="I62">
            <v>1.7733027854817316</v>
          </cell>
          <cell r="J62">
            <v>1.488952380952381</v>
          </cell>
          <cell r="K62">
            <v>1.8458278680254263</v>
          </cell>
          <cell r="L62">
            <v>1.739010752688172</v>
          </cell>
          <cell r="M62">
            <v>1.8784683205117123</v>
          </cell>
          <cell r="N62">
            <v>1.9744375382999213</v>
          </cell>
          <cell r="O62">
            <v>1.3961625654172114</v>
          </cell>
          <cell r="P62">
            <v>1.6976447102268126</v>
          </cell>
          <cell r="Q62">
            <v>1.7409828937537088</v>
          </cell>
          <cell r="R62">
            <v>1.8247046277798147</v>
          </cell>
        </row>
        <row r="63">
          <cell r="B63" t="str">
            <v>Goldman defined ROIC (post-tax)</v>
          </cell>
          <cell r="C63">
            <v>5.3945942909307952E-2</v>
          </cell>
          <cell r="D63">
            <v>3.723153729404028E-2</v>
          </cell>
          <cell r="E63">
            <v>5.0734841915371712E-2</v>
          </cell>
          <cell r="F63">
            <v>7.9032617210812756E-2</v>
          </cell>
          <cell r="G63"/>
          <cell r="H63">
            <v>0.12531507090024493</v>
          </cell>
          <cell r="I63">
            <v>0.12017673960761575</v>
          </cell>
          <cell r="J63">
            <v>0.11236619529014286</v>
          </cell>
          <cell r="K63">
            <v>0.11745002338998908</v>
          </cell>
          <cell r="L63">
            <v>0.10442477513367411</v>
          </cell>
          <cell r="M63">
            <v>0.10673722653833433</v>
          </cell>
          <cell r="N63">
            <v>0.13569747490449563</v>
          </cell>
          <cell r="O63">
            <v>0.12735314027265474</v>
          </cell>
          <cell r="P63">
            <v>0.14855124012780979</v>
          </cell>
          <cell r="Q63">
            <v>0.16067371161202817</v>
          </cell>
          <cell r="R63">
            <v>0.17516774406915031</v>
          </cell>
        </row>
        <row r="64">
          <cell r="B64" t="str">
            <v>WACC - as declared by company</v>
          </cell>
          <cell r="C64">
            <v>9.6740625000000011E-2</v>
          </cell>
          <cell r="D64">
            <v>9.6740625000000011E-2</v>
          </cell>
          <cell r="E64">
            <v>9.6740625000000011E-2</v>
          </cell>
          <cell r="F64">
            <v>9.6740625000000011E-2</v>
          </cell>
          <cell r="G64"/>
          <cell r="H64">
            <v>9.6740625000000011E-2</v>
          </cell>
          <cell r="I64">
            <v>9.6740625000000011E-2</v>
          </cell>
          <cell r="J64">
            <v>9.6740625000000011E-2</v>
          </cell>
          <cell r="K64">
            <v>9.6059659090909091E-2</v>
          </cell>
          <cell r="L64">
            <v>0.10144262295081967</v>
          </cell>
          <cell r="M64">
            <v>9.5992146596858646E-2</v>
          </cell>
          <cell r="N64">
            <v>9.8738115816767502E-2</v>
          </cell>
          <cell r="O64">
            <v>9.9450000000000011E-2</v>
          </cell>
          <cell r="P64">
            <v>9.6262500000000001E-2</v>
          </cell>
          <cell r="Q64">
            <v>9.6262500000000001E-2</v>
          </cell>
          <cell r="R64">
            <v>9.6262500000000001E-2</v>
          </cell>
        </row>
        <row r="65">
          <cell r="B65" t="str">
            <v>ROIC / WACC - using company declared WACC</v>
          </cell>
          <cell r="C65">
            <v>0.55763483964785165</v>
          </cell>
          <cell r="D65">
            <v>0.38485938347039084</v>
          </cell>
          <cell r="E65">
            <v>0.5244419489265415</v>
          </cell>
          <cell r="F65">
            <v>0.81695375868010722</v>
          </cell>
          <cell r="G65"/>
          <cell r="H65">
            <v>1.2953717313718505</v>
          </cell>
          <cell r="I65">
            <v>1.2422572172509299</v>
          </cell>
          <cell r="J65">
            <v>1.1615202536694675</v>
          </cell>
          <cell r="K65">
            <v>1.2226779118468092</v>
          </cell>
          <cell r="L65">
            <v>1.0293974277883196</v>
          </cell>
          <cell r="M65">
            <v>1.1119370732128968</v>
          </cell>
          <cell r="N65">
            <v>1.3743170383797396</v>
          </cell>
          <cell r="O65">
            <v>1.2805745628220686</v>
          </cell>
          <cell r="P65">
            <v>1.5431890936533934</v>
          </cell>
          <cell r="Q65">
            <v>1.6691204946061879</v>
          </cell>
          <cell r="R65">
            <v>1.8196882905508407</v>
          </cell>
        </row>
        <row r="66">
          <cell r="B66"/>
          <cell r="C66"/>
          <cell r="D66"/>
          <cell r="E66"/>
          <cell r="F66"/>
          <cell r="G66"/>
          <cell r="H66"/>
          <cell r="I66"/>
          <cell r="J66"/>
          <cell r="K66"/>
          <cell r="L66"/>
          <cell r="M66"/>
          <cell r="N66"/>
          <cell r="O66"/>
          <cell r="P66"/>
          <cell r="Q66"/>
          <cell r="R66"/>
        </row>
        <row r="67">
          <cell r="B67" t="str">
            <v>WACC - standardised at 9.5%</v>
          </cell>
          <cell r="C67">
            <v>9.5000000000000001E-2</v>
          </cell>
          <cell r="D67">
            <v>9.5000000000000001E-2</v>
          </cell>
          <cell r="E67">
            <v>9.5000000000000001E-2</v>
          </cell>
          <cell r="F67">
            <v>9.5000000000000001E-2</v>
          </cell>
          <cell r="G67"/>
          <cell r="H67">
            <v>9.5000000000000001E-2</v>
          </cell>
          <cell r="I67">
            <v>9.5000000000000001E-2</v>
          </cell>
          <cell r="J67">
            <v>9.5000000000000001E-2</v>
          </cell>
          <cell r="K67">
            <v>9.5000000000000001E-2</v>
          </cell>
          <cell r="L67">
            <v>9.5000000000000001E-2</v>
          </cell>
          <cell r="M67">
            <v>9.5000000000000001E-2</v>
          </cell>
          <cell r="N67">
            <v>9.5000000000000001E-2</v>
          </cell>
          <cell r="O67">
            <v>9.5000000000000001E-2</v>
          </cell>
          <cell r="P67">
            <v>9.5000000000000001E-2</v>
          </cell>
          <cell r="Q67">
            <v>9.5000000000000001E-2</v>
          </cell>
          <cell r="R67">
            <v>9.5000000000000001E-2</v>
          </cell>
        </row>
        <row r="68">
          <cell r="B68" t="str">
            <v>ROIC / WACC - using standardised WACC of 9.5%</v>
          </cell>
          <cell r="C68">
            <v>0.56785203062429424</v>
          </cell>
          <cell r="D68">
            <v>0.39191091888463453</v>
          </cell>
          <cell r="E68">
            <v>0.53405096753022852</v>
          </cell>
          <cell r="F68">
            <v>0.83192228642960797</v>
          </cell>
          <cell r="G68"/>
          <cell r="H68">
            <v>1.3191060094762626</v>
          </cell>
          <cell r="I68">
            <v>1.2650183116591132</v>
          </cell>
          <cell r="J68">
            <v>1.1828020556857142</v>
          </cell>
          <cell r="K68">
            <v>1.2363160356840956</v>
          </cell>
          <cell r="L68">
            <v>1.0992081593018328</v>
          </cell>
          <cell r="M68">
            <v>1.1235497530350982</v>
          </cell>
          <cell r="N68">
            <v>1.4283944726789013</v>
          </cell>
          <cell r="O68">
            <v>1.3405593712911024</v>
          </cell>
          <cell r="P68">
            <v>1.563697264503261</v>
          </cell>
          <cell r="Q68">
            <v>1.6913022274950333</v>
          </cell>
          <cell r="R68">
            <v>1.8438709902015822</v>
          </cell>
        </row>
        <row r="69">
          <cell r="B69"/>
          <cell r="C69"/>
          <cell r="D69"/>
          <cell r="E69"/>
          <cell r="F69"/>
          <cell r="G69"/>
          <cell r="H69"/>
          <cell r="I69"/>
          <cell r="J69"/>
          <cell r="K69"/>
          <cell r="L69"/>
          <cell r="M69"/>
          <cell r="N69"/>
          <cell r="O69"/>
          <cell r="P69"/>
          <cell r="Q69"/>
          <cell r="R69"/>
        </row>
        <row r="70">
          <cell r="B70" t="str">
            <v>Enterprise Value, where EV/IC = ROIC/WACC (using co. def. WACC)</v>
          </cell>
          <cell r="C70">
            <v>2089.7365615803242</v>
          </cell>
          <cell r="D70">
            <v>1658.166653682179</v>
          </cell>
          <cell r="E70">
            <v>2180.3674026620961</v>
          </cell>
          <cell r="F70">
            <v>3156.7093235399343</v>
          </cell>
          <cell r="G70"/>
          <cell r="H70">
            <v>4419.808347440754</v>
          </cell>
          <cell r="I70">
            <v>5151.0195513309809</v>
          </cell>
          <cell r="J70">
            <v>6097.9813317647049</v>
          </cell>
          <cell r="K70">
            <v>6058.9803921568628</v>
          </cell>
          <cell r="L70">
            <v>5983.3725490196075</v>
          </cell>
          <cell r="M70">
            <v>6432.0000000000018</v>
          </cell>
          <cell r="N70">
            <v>7849.4117647058829</v>
          </cell>
          <cell r="O70">
            <v>11045.275363127084</v>
          </cell>
          <cell r="P70">
            <v>14264.677048841844</v>
          </cell>
          <cell r="Q70">
            <v>16117.205679178251</v>
          </cell>
          <cell r="R70">
            <v>18192.948740904314</v>
          </cell>
        </row>
        <row r="71">
          <cell r="B71" t="str">
            <v>Enterprise Value, where EV/IC = ROIC/WACC (using 9.5% WACC)</v>
          </cell>
          <cell r="C71">
            <v>2128.0254847645429</v>
          </cell>
          <cell r="D71">
            <v>1688.548194014448</v>
          </cell>
          <cell r="E71">
            <v>2220.3168975069252</v>
          </cell>
          <cell r="F71">
            <v>3214.5477147640054</v>
          </cell>
          <cell r="G71"/>
          <cell r="H71">
            <v>4500.7897043330076</v>
          </cell>
          <cell r="I71">
            <v>5245.3984292945124</v>
          </cell>
          <cell r="J71">
            <v>6209.7107923499998</v>
          </cell>
          <cell r="K71">
            <v>6126.5641148325358</v>
          </cell>
          <cell r="L71">
            <v>6389.1474259419028</v>
          </cell>
          <cell r="M71">
            <v>6499.1735464315252</v>
          </cell>
          <cell r="N71">
            <v>8158.2750307055449</v>
          </cell>
          <cell r="O71">
            <v>11562.659314347249</v>
          </cell>
          <cell r="P71">
            <v>14454.247099096192</v>
          </cell>
          <cell r="Q71">
            <v>16331.394859914699</v>
          </cell>
          <cell r="R71">
            <v>18434.723454434756</v>
          </cell>
        </row>
        <row r="72">
          <cell r="B72"/>
          <cell r="C72"/>
          <cell r="D72"/>
          <cell r="E72"/>
          <cell r="F72"/>
          <cell r="G72"/>
          <cell r="H72"/>
          <cell r="I72"/>
          <cell r="J72"/>
          <cell r="K72"/>
          <cell r="L72"/>
          <cell r="M72"/>
          <cell r="N72"/>
          <cell r="O72"/>
          <cell r="P72"/>
          <cell r="Q72"/>
          <cell r="R72"/>
        </row>
        <row r="73">
          <cell r="B73" t="str">
            <v>Less: Market value of minorities - average</v>
          </cell>
          <cell r="C73">
            <v>-3.0447637330754351</v>
          </cell>
          <cell r="D73">
            <v>-2.3691251105651103</v>
          </cell>
          <cell r="E73">
            <v>-2.983532803738318</v>
          </cell>
          <cell r="F73">
            <v>-6.5871107251411214</v>
          </cell>
          <cell r="G73"/>
          <cell r="H73">
            <v>-21.120280186791195</v>
          </cell>
          <cell r="I73">
            <v>-19.139598307579103</v>
          </cell>
          <cell r="J73">
            <v>-30.869007633587785</v>
          </cell>
          <cell r="K73">
            <v>-24.22577319587629</v>
          </cell>
          <cell r="L73">
            <v>0</v>
          </cell>
          <cell r="M73">
            <v>-10.635932176100628</v>
          </cell>
          <cell r="N73">
            <v>-10.635932176100628</v>
          </cell>
          <cell r="O73">
            <v>-1000</v>
          </cell>
          <cell r="P73">
            <v>-1000</v>
          </cell>
          <cell r="Q73">
            <v>-1000</v>
          </cell>
          <cell r="R73">
            <v>-1000</v>
          </cell>
        </row>
        <row r="74">
          <cell r="B74" t="str">
            <v>Less: Average Net Debt/(Cash)</v>
          </cell>
          <cell r="C74">
            <v>-990</v>
          </cell>
          <cell r="D74">
            <v>-1090</v>
          </cell>
          <cell r="E74">
            <v>-950</v>
          </cell>
          <cell r="F74">
            <v>-560</v>
          </cell>
          <cell r="G74"/>
          <cell r="H74">
            <v>-260</v>
          </cell>
          <cell r="I74">
            <v>150</v>
          </cell>
          <cell r="J74">
            <v>350</v>
          </cell>
          <cell r="K74">
            <v>375</v>
          </cell>
          <cell r="L74">
            <v>635</v>
          </cell>
          <cell r="M74">
            <v>1533</v>
          </cell>
          <cell r="N74">
            <v>223</v>
          </cell>
          <cell r="O74">
            <v>1098.7687818370432</v>
          </cell>
          <cell r="P74">
            <v>1397.7691946815457</v>
          </cell>
          <cell r="Q74">
            <v>2054.3889180870697</v>
          </cell>
          <cell r="R74">
            <v>2953.918025170874</v>
          </cell>
        </row>
        <row r="75">
          <cell r="B75" t="str">
            <v>Less: Customer advances</v>
          </cell>
          <cell r="C75">
            <v>-343</v>
          </cell>
          <cell r="D75">
            <v>-438</v>
          </cell>
          <cell r="E75">
            <v>-452</v>
          </cell>
          <cell r="F75">
            <v>-395</v>
          </cell>
          <cell r="G75"/>
          <cell r="H75">
            <v>-576</v>
          </cell>
          <cell r="I75">
            <v>-828</v>
          </cell>
          <cell r="J75">
            <v>-1558</v>
          </cell>
          <cell r="K75">
            <v>-2184</v>
          </cell>
          <cell r="L75">
            <v>-2094</v>
          </cell>
          <cell r="M75">
            <v>-2154</v>
          </cell>
          <cell r="N75">
            <v>-2040</v>
          </cell>
          <cell r="O75">
            <v>-2090</v>
          </cell>
          <cell r="P75">
            <v>-2190</v>
          </cell>
          <cell r="Q75">
            <v>-2290</v>
          </cell>
          <cell r="R75">
            <v>-2340</v>
          </cell>
        </row>
        <row r="76">
          <cell r="B76" t="str">
            <v>Less: Net pension deficit (inc post-retirement benefits) - 50% of IFRS value</v>
          </cell>
          <cell r="C76">
            <v>-198.5</v>
          </cell>
          <cell r="D76">
            <v>-637.5</v>
          </cell>
          <cell r="E76">
            <v>-505.5</v>
          </cell>
          <cell r="F76">
            <v>-488</v>
          </cell>
          <cell r="G76"/>
          <cell r="H76">
            <v>-577</v>
          </cell>
          <cell r="I76">
            <v>-340.5</v>
          </cell>
          <cell r="J76">
            <v>-149</v>
          </cell>
          <cell r="K76">
            <v>-213.5</v>
          </cell>
          <cell r="L76">
            <v>-332.5</v>
          </cell>
          <cell r="M76">
            <v>-378.5</v>
          </cell>
          <cell r="N76">
            <v>-324</v>
          </cell>
          <cell r="O76">
            <v>-277.44209606986897</v>
          </cell>
          <cell r="P76">
            <v>-168.00209606986897</v>
          </cell>
          <cell r="Q76">
            <v>-58.562096069868971</v>
          </cell>
          <cell r="R76">
            <v>0.11790393013102402</v>
          </cell>
        </row>
        <row r="77">
          <cell r="B77" t="str">
            <v>Less: Financial RRSP liability (only disclosed under IFRS)</v>
          </cell>
          <cell r="C77">
            <v>0</v>
          </cell>
          <cell r="D77">
            <v>0</v>
          </cell>
          <cell r="E77">
            <v>0</v>
          </cell>
          <cell r="F77">
            <v>0</v>
          </cell>
          <cell r="G77"/>
          <cell r="H77">
            <v>-423</v>
          </cell>
          <cell r="I77">
            <v>-324</v>
          </cell>
          <cell r="J77">
            <v>-315</v>
          </cell>
          <cell r="K77">
            <v>-430</v>
          </cell>
          <cell r="L77">
            <v>-363</v>
          </cell>
          <cell r="M77">
            <v>-266</v>
          </cell>
          <cell r="N77">
            <v>-230</v>
          </cell>
          <cell r="O77">
            <v>-210</v>
          </cell>
          <cell r="P77">
            <v>-190</v>
          </cell>
          <cell r="Q77">
            <v>-170</v>
          </cell>
          <cell r="R77">
            <v>-150</v>
          </cell>
        </row>
        <row r="78">
          <cell r="B78" t="str">
            <v>add back: Investments @ estimated market value (average for year)</v>
          </cell>
          <cell r="C78">
            <v>356.23735676982591</v>
          </cell>
          <cell r="D78">
            <v>315.09363970515966</v>
          </cell>
          <cell r="E78">
            <v>263.5453976635514</v>
          </cell>
          <cell r="F78">
            <v>421.57508640903177</v>
          </cell>
          <cell r="G78"/>
          <cell r="H78">
            <v>1052.4939626417613</v>
          </cell>
          <cell r="I78">
            <v>795.66044392935987</v>
          </cell>
          <cell r="J78">
            <v>877.19430025445286</v>
          </cell>
          <cell r="K78">
            <v>1071.3175257731959</v>
          </cell>
          <cell r="L78">
            <v>905.98232284505548</v>
          </cell>
          <cell r="M78">
            <v>1074.2291497861634</v>
          </cell>
          <cell r="N78">
            <v>1074.2291497861634</v>
          </cell>
          <cell r="O78">
            <v>1074.2291497861634</v>
          </cell>
          <cell r="P78">
            <v>1074.2291497861634</v>
          </cell>
          <cell r="Q78">
            <v>1074.2291497861634</v>
          </cell>
          <cell r="R78">
            <v>1074.2291497861634</v>
          </cell>
        </row>
        <row r="79">
          <cell r="B79" t="str">
            <v>Implied equity value (using company declared WACC)</v>
          </cell>
          <cell r="C79">
            <v>911.4291546170748</v>
          </cell>
          <cell r="D79">
            <v>-194.6088317232265</v>
          </cell>
          <cell r="E79">
            <v>533.42926752190908</v>
          </cell>
          <cell r="F79">
            <v>2128.6972992238252</v>
          </cell>
          <cell r="G79"/>
          <cell r="H79">
            <v>3615.1820298957241</v>
          </cell>
          <cell r="I79">
            <v>4585.0403969527615</v>
          </cell>
          <cell r="J79">
            <v>5272.3066243855701</v>
          </cell>
          <cell r="K79">
            <v>4653.5721447341821</v>
          </cell>
          <cell r="L79">
            <v>4734.8548718646634</v>
          </cell>
          <cell r="M79">
            <v>6230.0932176100641</v>
          </cell>
          <cell r="N79">
            <v>6542.0049823159452</v>
          </cell>
          <cell r="O79">
            <v>9640.8311986804219</v>
          </cell>
          <cell r="P79">
            <v>13188.673297239686</v>
          </cell>
          <cell r="Q79">
            <v>15727.261650981614</v>
          </cell>
          <cell r="R79">
            <v>18731.213819791483</v>
          </cell>
        </row>
        <row r="80">
          <cell r="B80" t="str">
            <v>Implied equity value (using 9.5% WACC)</v>
          </cell>
          <cell r="C80">
            <v>949.71807780129348</v>
          </cell>
          <cell r="D80">
            <v>-164.22729139095753</v>
          </cell>
          <cell r="E80">
            <v>573.37876236673821</v>
          </cell>
          <cell r="F80">
            <v>2186.5356904478963</v>
          </cell>
          <cell r="G80"/>
          <cell r="H80">
            <v>3696.1633867879777</v>
          </cell>
          <cell r="I80">
            <v>4679.419274916293</v>
          </cell>
          <cell r="J80">
            <v>5384.036084970865</v>
          </cell>
          <cell r="K80">
            <v>4721.155867409856</v>
          </cell>
          <cell r="L80">
            <v>5140.6297487869579</v>
          </cell>
          <cell r="M80">
            <v>6297.2667640415875</v>
          </cell>
          <cell r="N80">
            <v>6850.8682483156072</v>
          </cell>
          <cell r="O80">
            <v>10158.215149900585</v>
          </cell>
          <cell r="P80">
            <v>13378.243347494034</v>
          </cell>
          <cell r="Q80">
            <v>15941.450831718063</v>
          </cell>
          <cell r="R80">
            <v>18972.988533321924</v>
          </cell>
        </row>
        <row r="81">
          <cell r="B81"/>
          <cell r="C81"/>
          <cell r="D81"/>
          <cell r="E81"/>
          <cell r="F81"/>
          <cell r="G81"/>
          <cell r="H81"/>
          <cell r="I81"/>
          <cell r="J81"/>
          <cell r="K81"/>
          <cell r="L81"/>
          <cell r="M81"/>
          <cell r="N81"/>
          <cell r="O81"/>
          <cell r="P81"/>
          <cell r="Q81"/>
          <cell r="R81"/>
        </row>
        <row r="82">
          <cell r="B82" t="str">
            <v>Average no. of shares</v>
          </cell>
          <cell r="C82">
            <v>1589</v>
          </cell>
          <cell r="D82">
            <v>1612</v>
          </cell>
          <cell r="E82">
            <v>1647</v>
          </cell>
          <cell r="F82">
            <v>1690</v>
          </cell>
          <cell r="G82"/>
          <cell r="H82">
            <v>1740</v>
          </cell>
          <cell r="I82">
            <v>1741</v>
          </cell>
          <cell r="J82">
            <v>1800</v>
          </cell>
          <cell r="K82">
            <v>1820</v>
          </cell>
          <cell r="L82">
            <v>1845</v>
          </cell>
          <cell r="M82">
            <v>1846</v>
          </cell>
          <cell r="N82">
            <v>1850</v>
          </cell>
          <cell r="O82">
            <v>1850</v>
          </cell>
          <cell r="P82">
            <v>1850</v>
          </cell>
          <cell r="Q82">
            <v>1850</v>
          </cell>
          <cell r="R82">
            <v>1850</v>
          </cell>
        </row>
        <row r="83">
          <cell r="B83" t="str">
            <v>Implied value per share (p) (using co. def WACC)</v>
          </cell>
          <cell r="C83">
            <v>57.358662971496209</v>
          </cell>
          <cell r="D83">
            <v>-12.072508171416036</v>
          </cell>
          <cell r="E83">
            <v>32.387933668604077</v>
          </cell>
          <cell r="F83">
            <v>125.95842007241569</v>
          </cell>
          <cell r="G83"/>
          <cell r="H83">
            <v>207.76908217791518</v>
          </cell>
          <cell r="I83">
            <v>263.35671435685015</v>
          </cell>
          <cell r="J83">
            <v>292.90592357697614</v>
          </cell>
          <cell r="K83">
            <v>255.69077718319684</v>
          </cell>
          <cell r="L83">
            <v>256.63170037206851</v>
          </cell>
          <cell r="M83">
            <v>337.49150691278788</v>
          </cell>
          <cell r="N83">
            <v>353.62189093599704</v>
          </cell>
          <cell r="O83">
            <v>521.12601073948235</v>
          </cell>
          <cell r="P83">
            <v>712.90125931025329</v>
          </cell>
          <cell r="Q83">
            <v>850.1222514044116</v>
          </cell>
          <cell r="R83">
            <v>1012.4980443130532</v>
          </cell>
        </row>
        <row r="84">
          <cell r="B84" t="str">
            <v>Implied value per share (p) (using 9.5% WACC)</v>
          </cell>
          <cell r="C84">
            <v>59.768286834568499</v>
          </cell>
          <cell r="D84">
            <v>-10.187797232689674</v>
          </cell>
          <cell r="E84">
            <v>34.813525341028431</v>
          </cell>
          <cell r="F84">
            <v>129.38081008567434</v>
          </cell>
          <cell r="G84"/>
          <cell r="H84">
            <v>212.42318314873435</v>
          </cell>
          <cell r="I84">
            <v>268.77767230995369</v>
          </cell>
          <cell r="J84">
            <v>299.11311583171471</v>
          </cell>
          <cell r="K84">
            <v>259.40416853900308</v>
          </cell>
          <cell r="L84">
            <v>278.62491863343945</v>
          </cell>
          <cell r="M84">
            <v>341.13037725035684</v>
          </cell>
          <cell r="N84">
            <v>370.31720261165447</v>
          </cell>
          <cell r="O84">
            <v>549.09271080543704</v>
          </cell>
          <cell r="P84">
            <v>723.14828905373156</v>
          </cell>
          <cell r="Q84">
            <v>861.7000449577331</v>
          </cell>
          <cell r="R84">
            <v>1025.5669477471311</v>
          </cell>
        </row>
        <row r="85">
          <cell r="B85"/>
          <cell r="C85"/>
          <cell r="D85"/>
          <cell r="E85"/>
          <cell r="F85"/>
          <cell r="G85"/>
          <cell r="H85"/>
          <cell r="I85"/>
          <cell r="J85"/>
          <cell r="K85"/>
          <cell r="L85"/>
          <cell r="M85"/>
          <cell r="N85"/>
          <cell r="O85"/>
          <cell r="P85"/>
          <cell r="Q85"/>
          <cell r="R85"/>
        </row>
      </sheetData>
      <sheetData sheetId="37"/>
      <sheetData sheetId="38"/>
      <sheetData sheetId="39"/>
      <sheetData sheetId="40">
        <row r="5">
          <cell r="D5">
            <v>2000</v>
          </cell>
        </row>
      </sheetData>
      <sheetData sheetId="41">
        <row r="3">
          <cell r="M3">
            <v>1997</v>
          </cell>
        </row>
      </sheetData>
      <sheetData sheetId="42"/>
      <sheetData sheetId="43"/>
      <sheetData sheetId="44"/>
      <sheetData sheetId="45">
        <row r="4">
          <cell r="B4">
            <v>1999</v>
          </cell>
        </row>
      </sheetData>
      <sheetData sheetId="46"/>
      <sheetData sheetId="47"/>
      <sheetData sheetId="4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Model ---&gt;"/>
      <sheetName val="Data"/>
      <sheetName val="Val"/>
      <sheetName val="CROCI"/>
      <sheetName val="FinancialsDP"/>
      <sheetName val="InterimsDP"/>
      <sheetName val="Airbus"/>
      <sheetName val="Airbus MilitaryDP"/>
      <sheetName val="EC"/>
      <sheetName val="CassidianDP"/>
      <sheetName val="Space"/>
      <sheetName val="HQ &amp; Other"/>
      <sheetName val="FX cover"/>
      <sheetName val="R4"/>
      <sheetName val="Val table"/>
      <sheetName val="Pres table"/>
      <sheetName val="IRC Apr 12"/>
      <sheetName val="Airbus margins graph"/>
      <sheetName val="Z2 (GS)"/>
      <sheetName val="Z3 (GS)"/>
      <sheetName val="R1"/>
      <sheetName val="R2-bridge"/>
      <sheetName val="Structure"/>
      <sheetName val="Overruns"/>
      <sheetName val="Asset val"/>
      <sheetName val="DCF old"/>
      <sheetName val="Rev. SOTP - old"/>
      <sheetName val="Basic rev SOTP -old"/>
      <sheetName val="Ch1"/>
      <sheetName val="Ch2"/>
      <sheetName val="Org Growth"/>
      <sheetName val="CF &amp; BS table"/>
      <sheetName val="VF chart"/>
      <sheetName val="Tanker"/>
      <sheetName val="P1 -FX vs vol"/>
      <sheetName val="P2-shareholders"/>
      <sheetName val="P3 - FX hedge book"/>
      <sheetName val="P4-effic."/>
      <sheetName val="P5-A380"/>
      <sheetName val="P7-delivs"/>
      <sheetName val="P10 -Power 8 cash"/>
      <sheetName val="Sheet1 (2)"/>
      <sheetName val="Sheet1"/>
      <sheetName val="Sheet2"/>
      <sheetName val="Sheet3"/>
    </sheetNames>
    <sheetDataSet>
      <sheetData sheetId="0" refreshError="1"/>
      <sheetData sheetId="1">
        <row r="6">
          <cell r="B6">
            <v>1997</v>
          </cell>
        </row>
      </sheetData>
      <sheetData sheetId="2">
        <row r="6">
          <cell r="C6" t="str">
            <v>2000pf</v>
          </cell>
        </row>
      </sheetData>
      <sheetData sheetId="3">
        <row r="10">
          <cell r="C10">
            <v>12540</v>
          </cell>
        </row>
      </sheetData>
      <sheetData sheetId="4">
        <row r="2">
          <cell r="A2" t="str">
            <v>EADS (€)</v>
          </cell>
          <cell r="B2"/>
          <cell r="C2"/>
          <cell r="D2"/>
          <cell r="E2"/>
          <cell r="F2"/>
          <cell r="G2"/>
          <cell r="H2"/>
          <cell r="I2"/>
          <cell r="J2"/>
          <cell r="K2"/>
          <cell r="L2"/>
          <cell r="M2"/>
        </row>
        <row r="3">
          <cell r="A3"/>
          <cell r="B3"/>
          <cell r="C3"/>
          <cell r="D3"/>
          <cell r="E3"/>
          <cell r="F3"/>
          <cell r="G3"/>
          <cell r="H3"/>
          <cell r="I3"/>
          <cell r="J3"/>
          <cell r="K3"/>
          <cell r="L3"/>
          <cell r="M3"/>
        </row>
        <row r="4">
          <cell r="A4"/>
          <cell r="B4"/>
          <cell r="C4"/>
          <cell r="D4"/>
          <cell r="E4"/>
          <cell r="F4"/>
          <cell r="G4"/>
          <cell r="H4"/>
          <cell r="I4"/>
          <cell r="J4"/>
          <cell r="K4"/>
          <cell r="L4"/>
          <cell r="M4"/>
        </row>
        <row r="5">
          <cell r="A5"/>
          <cell r="B5"/>
          <cell r="C5"/>
          <cell r="D5"/>
          <cell r="E5"/>
          <cell r="F5"/>
          <cell r="G5"/>
          <cell r="H5"/>
          <cell r="I5"/>
          <cell r="J5"/>
          <cell r="K5"/>
          <cell r="L5"/>
          <cell r="M5"/>
        </row>
        <row r="6">
          <cell r="A6"/>
          <cell r="B6" t="str">
            <v>IAS</v>
          </cell>
          <cell r="C6" t="str">
            <v>IAS</v>
          </cell>
          <cell r="D6" t="str">
            <v>IAS</v>
          </cell>
          <cell r="E6" t="str">
            <v>IAS</v>
          </cell>
          <cell r="F6" t="str">
            <v>IAS</v>
          </cell>
          <cell r="G6" t="str">
            <v>IFRS</v>
          </cell>
          <cell r="H6" t="str">
            <v>IFRS</v>
          </cell>
          <cell r="I6" t="str">
            <v>IFRS</v>
          </cell>
          <cell r="J6" t="str">
            <v>IFRS</v>
          </cell>
          <cell r="K6" t="str">
            <v>IFRS</v>
          </cell>
          <cell r="L6" t="str">
            <v>IFRS</v>
          </cell>
          <cell r="M6" t="str">
            <v>IFRS</v>
          </cell>
        </row>
        <row r="7">
          <cell r="A7" t="str">
            <v>Year to December</v>
          </cell>
          <cell r="B7" t="str">
            <v>1997pf</v>
          </cell>
          <cell r="C7" t="str">
            <v>1998pf</v>
          </cell>
          <cell r="D7" t="str">
            <v>1999pf</v>
          </cell>
          <cell r="E7" t="str">
            <v>2000pf</v>
          </cell>
          <cell r="F7">
            <v>2001</v>
          </cell>
          <cell r="G7">
            <v>2002</v>
          </cell>
          <cell r="H7">
            <v>2003</v>
          </cell>
          <cell r="I7">
            <v>2004</v>
          </cell>
          <cell r="J7" t="str">
            <v>2004pf</v>
          </cell>
          <cell r="K7">
            <v>2005</v>
          </cell>
          <cell r="L7">
            <v>2006</v>
          </cell>
          <cell r="M7">
            <v>2007</v>
          </cell>
        </row>
        <row r="8">
          <cell r="A8"/>
          <cell r="B8"/>
          <cell r="C8"/>
          <cell r="D8"/>
          <cell r="E8"/>
          <cell r="F8"/>
          <cell r="G8"/>
          <cell r="H8"/>
          <cell r="I8"/>
          <cell r="J8"/>
          <cell r="K8"/>
          <cell r="L8"/>
          <cell r="M8"/>
        </row>
        <row r="9">
          <cell r="A9"/>
          <cell r="B9"/>
          <cell r="C9"/>
          <cell r="D9"/>
          <cell r="E9"/>
          <cell r="F9"/>
          <cell r="G9"/>
          <cell r="H9"/>
          <cell r="I9"/>
          <cell r="J9"/>
          <cell r="K9"/>
          <cell r="L9"/>
          <cell r="M9" t="str">
            <v xml:space="preserve"> </v>
          </cell>
        </row>
        <row r="10">
          <cell r="A10" t="str">
            <v>Divisional sales</v>
          </cell>
          <cell r="B10"/>
          <cell r="C10"/>
          <cell r="D10"/>
          <cell r="E10" t="str">
            <v>Airbus consolidated at 80% from 97pf to 2000pf</v>
          </cell>
          <cell r="F10"/>
          <cell r="G10"/>
          <cell r="H10"/>
          <cell r="I10"/>
          <cell r="J10"/>
          <cell r="K10"/>
        </row>
        <row r="11">
          <cell r="A11" t="str">
            <v>Airbus Commercial</v>
          </cell>
          <cell r="B11">
            <v>8595</v>
          </cell>
          <cell r="C11">
            <v>10466</v>
          </cell>
          <cell r="D11">
            <v>12639</v>
          </cell>
          <cell r="E11">
            <v>14856</v>
          </cell>
          <cell r="F11">
            <v>20549</v>
          </cell>
          <cell r="G11">
            <v>19512</v>
          </cell>
          <cell r="H11">
            <v>19048</v>
          </cell>
          <cell r="I11">
            <v>20224</v>
          </cell>
          <cell r="J11">
            <v>20224</v>
          </cell>
          <cell r="K11">
            <v>22179</v>
          </cell>
          <cell r="L11">
            <v>25190</v>
          </cell>
          <cell r="M11">
            <v>25216</v>
          </cell>
        </row>
        <row r="12">
          <cell r="A12" t="str">
            <v>Airbus Military</v>
          </cell>
          <cell r="B12">
            <v>367</v>
          </cell>
          <cell r="C12">
            <v>322</v>
          </cell>
          <cell r="D12">
            <v>241</v>
          </cell>
          <cell r="E12">
            <v>316</v>
          </cell>
          <cell r="F12">
            <v>547</v>
          </cell>
          <cell r="G12">
            <v>524</v>
          </cell>
          <cell r="H12">
            <v>934</v>
          </cell>
          <cell r="I12">
            <v>1304</v>
          </cell>
          <cell r="J12">
            <v>1304</v>
          </cell>
          <cell r="K12">
            <v>763</v>
          </cell>
          <cell r="L12">
            <v>2200</v>
          </cell>
          <cell r="M12">
            <v>1140</v>
          </cell>
        </row>
        <row r="13">
          <cell r="A13" t="str">
            <v>Aeronautics</v>
          </cell>
          <cell r="B13">
            <v>3602</v>
          </cell>
          <cell r="C13">
            <v>3833</v>
          </cell>
          <cell r="D13">
            <v>4280</v>
          </cell>
          <cell r="E13">
            <v>4704</v>
          </cell>
          <cell r="F13">
            <v>5065</v>
          </cell>
          <cell r="G13">
            <v>3834</v>
          </cell>
          <cell r="H13">
            <v>3803</v>
          </cell>
          <cell r="I13">
            <v>3876</v>
          </cell>
          <cell r="J13"/>
          <cell r="K13"/>
          <cell r="L13"/>
          <cell r="M13"/>
        </row>
        <row r="14">
          <cell r="A14" t="str">
            <v>Eurocopter</v>
          </cell>
          <cell r="B14"/>
          <cell r="C14"/>
          <cell r="D14"/>
          <cell r="E14"/>
          <cell r="F14"/>
          <cell r="G14"/>
          <cell r="H14"/>
          <cell r="I14"/>
          <cell r="J14">
            <v>2786</v>
          </cell>
          <cell r="K14">
            <v>3211</v>
          </cell>
          <cell r="L14">
            <v>3803</v>
          </cell>
          <cell r="M14">
            <v>4172</v>
          </cell>
        </row>
        <row r="15">
          <cell r="A15" t="str">
            <v>Cassidian (Defence &amp; Security)</v>
          </cell>
          <cell r="B15">
            <v>3872</v>
          </cell>
          <cell r="C15">
            <v>4191</v>
          </cell>
          <cell r="D15">
            <v>3830</v>
          </cell>
          <cell r="E15">
            <v>2909</v>
          </cell>
          <cell r="F15">
            <v>3345</v>
          </cell>
          <cell r="G15">
            <v>4770</v>
          </cell>
          <cell r="H15">
            <v>5165</v>
          </cell>
          <cell r="I15">
            <v>5385</v>
          </cell>
          <cell r="J15">
            <v>5385</v>
          </cell>
          <cell r="K15">
            <v>5636</v>
          </cell>
          <cell r="L15">
            <v>5864</v>
          </cell>
          <cell r="M15">
            <v>5465</v>
          </cell>
        </row>
        <row r="16">
          <cell r="A16" t="str">
            <v>Astrium (Space)</v>
          </cell>
          <cell r="B16">
            <v>3238</v>
          </cell>
          <cell r="C16">
            <v>2652</v>
          </cell>
          <cell r="D16">
            <v>2518</v>
          </cell>
          <cell r="E16">
            <v>2535</v>
          </cell>
          <cell r="F16">
            <v>2439</v>
          </cell>
          <cell r="G16">
            <v>2216</v>
          </cell>
          <cell r="H16">
            <v>2424</v>
          </cell>
          <cell r="I16">
            <v>2592</v>
          </cell>
          <cell r="J16">
            <v>2592</v>
          </cell>
          <cell r="K16">
            <v>2698</v>
          </cell>
          <cell r="L16">
            <v>3212</v>
          </cell>
          <cell r="M16">
            <v>3550</v>
          </cell>
        </row>
        <row r="17">
          <cell r="A17" t="str">
            <v>Other businesses</v>
          </cell>
          <cell r="B17"/>
          <cell r="C17"/>
          <cell r="D17"/>
          <cell r="E17"/>
          <cell r="F17"/>
          <cell r="G17"/>
          <cell r="H17"/>
          <cell r="I17"/>
          <cell r="J17">
            <v>1123</v>
          </cell>
          <cell r="K17">
            <v>1155</v>
          </cell>
          <cell r="L17">
            <v>1257</v>
          </cell>
          <cell r="M17">
            <v>1269</v>
          </cell>
        </row>
        <row r="18">
          <cell r="A18" t="str">
            <v>Airbus eliminations</v>
          </cell>
          <cell r="B18"/>
          <cell r="C18"/>
          <cell r="D18"/>
          <cell r="E18"/>
          <cell r="F18"/>
          <cell r="G18"/>
          <cell r="H18"/>
          <cell r="I18"/>
          <cell r="J18"/>
          <cell r="K18"/>
          <cell r="L18"/>
          <cell r="M18"/>
        </row>
        <row r="19">
          <cell r="A19" t="str">
            <v>HQ / consolidation</v>
          </cell>
          <cell r="B19">
            <v>-809</v>
          </cell>
          <cell r="C19">
            <v>-880</v>
          </cell>
          <cell r="D19">
            <v>-955</v>
          </cell>
          <cell r="E19">
            <v>-1112</v>
          </cell>
          <cell r="F19">
            <v>-1147</v>
          </cell>
          <cell r="G19">
            <v>-955</v>
          </cell>
          <cell r="H19">
            <v>-1241</v>
          </cell>
          <cell r="I19">
            <v>-1620</v>
          </cell>
          <cell r="J19">
            <v>-1653</v>
          </cell>
          <cell r="K19">
            <v>-1436</v>
          </cell>
          <cell r="L19">
            <v>-2092</v>
          </cell>
          <cell r="M19">
            <v>-1689</v>
          </cell>
        </row>
        <row r="20">
          <cell r="A20" t="str">
            <v>Total sales</v>
          </cell>
          <cell r="B20">
            <v>18865</v>
          </cell>
          <cell r="C20">
            <v>20584</v>
          </cell>
          <cell r="D20">
            <v>22553</v>
          </cell>
          <cell r="E20">
            <v>24208</v>
          </cell>
          <cell r="F20">
            <v>30798</v>
          </cell>
          <cell r="G20">
            <v>29901</v>
          </cell>
          <cell r="H20">
            <v>30133</v>
          </cell>
          <cell r="I20">
            <v>31761</v>
          </cell>
          <cell r="J20">
            <v>31761</v>
          </cell>
          <cell r="K20">
            <v>34206</v>
          </cell>
          <cell r="L20">
            <v>39434</v>
          </cell>
          <cell r="M20">
            <v>39123</v>
          </cell>
        </row>
        <row r="21">
          <cell r="A21"/>
          <cell r="B21"/>
          <cell r="C21"/>
          <cell r="D21"/>
          <cell r="E21"/>
          <cell r="F21"/>
          <cell r="G21"/>
          <cell r="H21"/>
          <cell r="I21"/>
          <cell r="J21"/>
          <cell r="K21" t="str">
            <v>Mar 2012: Official guidance for 2012 sales</v>
          </cell>
          <cell r="L21" t="str">
            <v>&gt;6% growth at $1.35 FX rate</v>
          </cell>
          <cell r="M21"/>
        </row>
        <row r="22">
          <cell r="A22" t="str">
            <v>Divisional sales growth</v>
          </cell>
          <cell r="B22"/>
          <cell r="C22"/>
          <cell r="D22"/>
          <cell r="E22"/>
          <cell r="F22"/>
          <cell r="G22"/>
          <cell r="H22"/>
          <cell r="I22"/>
          <cell r="J22"/>
          <cell r="K22"/>
          <cell r="L22"/>
          <cell r="M22"/>
        </row>
        <row r="23">
          <cell r="A23" t="str">
            <v>Airbus Commercial</v>
          </cell>
          <cell r="B23"/>
          <cell r="C23">
            <v>0.21768470040721355</v>
          </cell>
          <cell r="D23">
            <v>0.20762468947066681</v>
          </cell>
          <cell r="E23">
            <v>0.175409446949917</v>
          </cell>
          <cell r="F23">
            <v>0.38321217016693598</v>
          </cell>
          <cell r="G23">
            <v>-5.0464742809869123E-2</v>
          </cell>
          <cell r="H23">
            <v>-2.3780237802378035E-2</v>
          </cell>
          <cell r="I23">
            <v>6.1738765224695458E-2</v>
          </cell>
          <cell r="J23"/>
          <cell r="K23">
            <v>9.6667325949367111E-2</v>
          </cell>
          <cell r="L23">
            <v>0.1357590513548852</v>
          </cell>
          <cell r="M23">
            <v>1.0321556173085167E-3</v>
          </cell>
        </row>
        <row r="24">
          <cell r="A24" t="str">
            <v>Airbus Military</v>
          </cell>
          <cell r="B24"/>
          <cell r="C24">
            <v>-0.12261580381471393</v>
          </cell>
          <cell r="D24">
            <v>-0.25155279503105588</v>
          </cell>
          <cell r="E24">
            <v>0.31120331950207469</v>
          </cell>
          <cell r="F24">
            <v>0.731012658227848</v>
          </cell>
          <cell r="G24">
            <v>-4.2047531992687404E-2</v>
          </cell>
          <cell r="H24">
            <v>0.78244274809160297</v>
          </cell>
          <cell r="I24">
            <v>0.3961456102783727</v>
          </cell>
          <cell r="J24"/>
          <cell r="K24">
            <v>-0.41487730061349692</v>
          </cell>
          <cell r="L24">
            <v>1.8833551769331587</v>
          </cell>
          <cell r="M24">
            <v>-0.48181818181818181</v>
          </cell>
        </row>
        <row r="25">
          <cell r="A25" t="str">
            <v>Aeronautics</v>
          </cell>
          <cell r="B25"/>
          <cell r="C25">
            <v>6.4131038312048805E-2</v>
          </cell>
          <cell r="D25">
            <v>0.11661883642055826</v>
          </cell>
          <cell r="E25">
            <v>9.9065420560747741E-2</v>
          </cell>
          <cell r="F25">
            <v>7.6743197278911657E-2</v>
          </cell>
          <cell r="G25">
            <v>-0.24304047384007899</v>
          </cell>
          <cell r="H25">
            <v>-8.0855503390714345E-3</v>
          </cell>
          <cell r="I25">
            <v>1.9195372074677808E-2</v>
          </cell>
          <cell r="J25"/>
          <cell r="K25"/>
          <cell r="L25"/>
          <cell r="M25"/>
        </row>
        <row r="26">
          <cell r="A26" t="str">
            <v>Eurocopter</v>
          </cell>
          <cell r="B26"/>
          <cell r="C26"/>
          <cell r="D26"/>
          <cell r="E26"/>
          <cell r="F26"/>
          <cell r="G26"/>
          <cell r="H26"/>
          <cell r="I26"/>
          <cell r="J26"/>
          <cell r="K26">
            <v>0.15254845656855709</v>
          </cell>
          <cell r="L26">
            <v>0.18436624104640309</v>
          </cell>
          <cell r="M26">
            <v>9.7028661582960751E-2</v>
          </cell>
        </row>
        <row r="27">
          <cell r="A27" t="str">
            <v>Cassidian (Defence &amp; Security)</v>
          </cell>
          <cell r="B27"/>
          <cell r="C27">
            <v>8.2386363636363535E-2</v>
          </cell>
          <cell r="D27">
            <v>-8.613696015270822E-2</v>
          </cell>
          <cell r="E27">
            <v>-0.24046997389033942</v>
          </cell>
          <cell r="F27">
            <v>0.14987968374011684</v>
          </cell>
          <cell r="G27">
            <v>0.42600896860986537</v>
          </cell>
          <cell r="H27">
            <v>8.2809224318658226E-2</v>
          </cell>
          <cell r="I27">
            <v>4.2594385285575909E-2</v>
          </cell>
          <cell r="J27"/>
          <cell r="K27">
            <v>4.6610956360259914E-2</v>
          </cell>
          <cell r="L27">
            <v>4.0454222853087307E-2</v>
          </cell>
          <cell r="M27">
            <v>-6.8042291950886735E-2</v>
          </cell>
        </row>
        <row r="28">
          <cell r="A28" t="str">
            <v>Astrium (Space)</v>
          </cell>
          <cell r="B28"/>
          <cell r="C28">
            <v>-0.18097591105620758</v>
          </cell>
          <cell r="D28">
            <v>-5.0527903469079982E-2</v>
          </cell>
          <cell r="E28">
            <v>6.7513899920572662E-3</v>
          </cell>
          <cell r="F28">
            <v>-3.7869822485207094E-2</v>
          </cell>
          <cell r="G28">
            <v>-9.1430914309143074E-2</v>
          </cell>
          <cell r="H28">
            <v>9.3862815884476536E-2</v>
          </cell>
          <cell r="I28">
            <v>6.9306930693069368E-2</v>
          </cell>
          <cell r="J28"/>
          <cell r="K28">
            <v>4.0895061728394966E-2</v>
          </cell>
          <cell r="L28">
            <v>0.19051148999258705</v>
          </cell>
          <cell r="M28">
            <v>0.10523038605230384</v>
          </cell>
        </row>
        <row r="29">
          <cell r="A29" t="str">
            <v>Other businesses</v>
          </cell>
          <cell r="B29"/>
          <cell r="C29"/>
          <cell r="D29"/>
          <cell r="E29"/>
          <cell r="F29"/>
          <cell r="G29"/>
          <cell r="H29"/>
          <cell r="I29"/>
          <cell r="J29"/>
          <cell r="K29">
            <v>2.8495102404274331E-2</v>
          </cell>
          <cell r="L29">
            <v>8.8311688311688341E-2</v>
          </cell>
          <cell r="M29">
            <v>9.5465393794749165E-3</v>
          </cell>
        </row>
        <row r="30">
          <cell r="A30" t="str">
            <v>HQ / consolidation</v>
          </cell>
          <cell r="B30"/>
          <cell r="C30">
            <v>8.7762669962917261E-2</v>
          </cell>
          <cell r="D30">
            <v>8.5227272727272707E-2</v>
          </cell>
          <cell r="E30">
            <v>0.16439790575916224</v>
          </cell>
          <cell r="F30">
            <v>3.1474820143884807E-2</v>
          </cell>
          <cell r="G30">
            <v>-0.1673931996512642</v>
          </cell>
          <cell r="H30">
            <v>0.29947643979057581</v>
          </cell>
          <cell r="I30">
            <v>0.30539887187751824</v>
          </cell>
          <cell r="J30"/>
          <cell r="K30">
            <v>-0.13127646702964302</v>
          </cell>
          <cell r="L30">
            <v>0.45682451253481893</v>
          </cell>
          <cell r="M30">
            <v>-0.1926386233269598</v>
          </cell>
        </row>
        <row r="31">
          <cell r="A31" t="str">
            <v>Total sales growth</v>
          </cell>
          <cell r="B31"/>
          <cell r="C31">
            <v>9.1121123774184909E-2</v>
          </cell>
          <cell r="D31">
            <v>9.5656820831713896E-2</v>
          </cell>
          <cell r="E31">
            <v>7.3382698532346025E-2</v>
          </cell>
          <cell r="F31">
            <v>0.27222405816259099</v>
          </cell>
          <cell r="G31">
            <v>-2.9125267874537286E-2</v>
          </cell>
          <cell r="H31">
            <v>7.7589378281663901E-3</v>
          </cell>
          <cell r="I31">
            <v>5.4027146317990216E-2</v>
          </cell>
          <cell r="J31"/>
          <cell r="K31">
            <v>7.6981203362614492E-2</v>
          </cell>
          <cell r="L31">
            <v>0.15283868327194061</v>
          </cell>
          <cell r="M31">
            <v>-7.8865953238321795E-3</v>
          </cell>
        </row>
        <row r="32">
          <cell r="A32"/>
          <cell r="B32"/>
          <cell r="C32"/>
          <cell r="D32"/>
          <cell r="E32"/>
          <cell r="F32"/>
          <cell r="G32"/>
          <cell r="H32"/>
          <cell r="I32"/>
          <cell r="J32"/>
          <cell r="K32"/>
          <cell r="L32"/>
          <cell r="M32"/>
        </row>
        <row r="33">
          <cell r="A33" t="str">
            <v>Divisional EBITA</v>
          </cell>
          <cell r="B33"/>
          <cell r="C33"/>
          <cell r="D33"/>
          <cell r="E33" t="str">
            <v>Airbus consolidated at 80% from 97pf to 2000pf</v>
          </cell>
          <cell r="F33"/>
          <cell r="G33"/>
          <cell r="H33"/>
          <cell r="I33"/>
          <cell r="J33"/>
          <cell r="K33"/>
          <cell r="L33"/>
          <cell r="M33"/>
        </row>
        <row r="34">
          <cell r="A34" t="str">
            <v>Memo: Airbus Commercial EBITA margin - pre one-offs</v>
          </cell>
          <cell r="B34"/>
          <cell r="C34"/>
          <cell r="D34"/>
          <cell r="E34"/>
          <cell r="F34"/>
          <cell r="G34"/>
          <cell r="H34"/>
          <cell r="I34"/>
          <cell r="J34"/>
          <cell r="K34"/>
          <cell r="L34"/>
          <cell r="M34">
            <v>2681</v>
          </cell>
        </row>
        <row r="35">
          <cell r="A35" t="str">
            <v>Airbus Commercial</v>
          </cell>
          <cell r="B35">
            <v>335</v>
          </cell>
          <cell r="C35">
            <v>579</v>
          </cell>
          <cell r="D35">
            <v>896</v>
          </cell>
          <cell r="E35">
            <v>1412</v>
          </cell>
          <cell r="F35">
            <v>1655</v>
          </cell>
          <cell r="G35">
            <v>1361</v>
          </cell>
          <cell r="H35">
            <v>1353</v>
          </cell>
          <cell r="I35">
            <v>1922</v>
          </cell>
          <cell r="J35">
            <v>1919</v>
          </cell>
          <cell r="K35">
            <v>2307</v>
          </cell>
          <cell r="L35">
            <v>-572</v>
          </cell>
          <cell r="M35">
            <v>-881</v>
          </cell>
        </row>
        <row r="36">
          <cell r="A36" t="str">
            <v>Airbus Military</v>
          </cell>
          <cell r="B36">
            <v>12</v>
          </cell>
          <cell r="C36">
            <v>9</v>
          </cell>
          <cell r="D36">
            <v>-21</v>
          </cell>
          <cell r="E36">
            <v>-63</v>
          </cell>
          <cell r="F36">
            <v>1</v>
          </cell>
          <cell r="G36">
            <v>-80</v>
          </cell>
          <cell r="H36">
            <v>30</v>
          </cell>
          <cell r="I36">
            <v>26</v>
          </cell>
          <cell r="J36">
            <v>26</v>
          </cell>
          <cell r="K36">
            <v>48</v>
          </cell>
          <cell r="L36">
            <v>75</v>
          </cell>
          <cell r="M36">
            <v>-155</v>
          </cell>
        </row>
        <row r="37">
          <cell r="A37" t="str">
            <v>Aeronautics</v>
          </cell>
          <cell r="B37">
            <v>15</v>
          </cell>
          <cell r="C37">
            <v>181</v>
          </cell>
          <cell r="D37">
            <v>202</v>
          </cell>
          <cell r="E37">
            <v>296</v>
          </cell>
          <cell r="F37">
            <v>308</v>
          </cell>
          <cell r="G37">
            <v>180</v>
          </cell>
          <cell r="H37">
            <v>217</v>
          </cell>
          <cell r="I37">
            <v>206</v>
          </cell>
          <cell r="J37"/>
          <cell r="K37"/>
          <cell r="L37"/>
          <cell r="M37"/>
        </row>
        <row r="38">
          <cell r="A38" t="str">
            <v>Eurocopter</v>
          </cell>
          <cell r="D38"/>
          <cell r="E38"/>
          <cell r="F38"/>
          <cell r="G38"/>
          <cell r="H38"/>
          <cell r="I38"/>
          <cell r="J38">
            <v>201</v>
          </cell>
          <cell r="K38">
            <v>212</v>
          </cell>
          <cell r="L38">
            <v>257</v>
          </cell>
          <cell r="M38">
            <v>211</v>
          </cell>
        </row>
        <row r="39">
          <cell r="A39" t="str">
            <v>Cassidian (Defence &amp; Security)</v>
          </cell>
          <cell r="B39">
            <v>164</v>
          </cell>
          <cell r="C39">
            <v>266</v>
          </cell>
          <cell r="D39">
            <v>86</v>
          </cell>
          <cell r="E39">
            <v>-110</v>
          </cell>
          <cell r="F39">
            <v>-79</v>
          </cell>
          <cell r="G39">
            <v>122</v>
          </cell>
          <cell r="H39">
            <v>171</v>
          </cell>
          <cell r="I39">
            <v>228</v>
          </cell>
          <cell r="J39">
            <v>226</v>
          </cell>
          <cell r="K39">
            <v>201</v>
          </cell>
          <cell r="L39">
            <v>348</v>
          </cell>
          <cell r="M39">
            <v>340</v>
          </cell>
        </row>
        <row r="40">
          <cell r="A40" t="str">
            <v>Astrium (Space)</v>
          </cell>
          <cell r="B40">
            <v>173</v>
          </cell>
          <cell r="C40">
            <v>153</v>
          </cell>
          <cell r="D40">
            <v>99</v>
          </cell>
          <cell r="E40">
            <v>67</v>
          </cell>
          <cell r="F40">
            <v>-222</v>
          </cell>
          <cell r="G40">
            <v>-268</v>
          </cell>
          <cell r="H40">
            <v>-400</v>
          </cell>
          <cell r="I40">
            <v>10</v>
          </cell>
          <cell r="J40">
            <v>9</v>
          </cell>
          <cell r="K40">
            <v>58</v>
          </cell>
          <cell r="L40">
            <v>130</v>
          </cell>
          <cell r="M40">
            <v>174</v>
          </cell>
        </row>
        <row r="41">
          <cell r="A41" t="str">
            <v>Other businesses</v>
          </cell>
          <cell r="D41"/>
          <cell r="E41"/>
          <cell r="F41"/>
          <cell r="G41"/>
          <cell r="H41"/>
          <cell r="I41"/>
          <cell r="J41">
            <v>2</v>
          </cell>
          <cell r="K41">
            <v>-171</v>
          </cell>
          <cell r="L41">
            <v>-288</v>
          </cell>
          <cell r="M41">
            <v>94</v>
          </cell>
        </row>
        <row r="42">
          <cell r="A42" t="str">
            <v>Airbus Eliminations</v>
          </cell>
          <cell r="D42"/>
          <cell r="E42"/>
          <cell r="F42"/>
          <cell r="G42"/>
          <cell r="H42"/>
          <cell r="I42"/>
          <cell r="J42"/>
          <cell r="K42"/>
          <cell r="L42"/>
          <cell r="M42"/>
        </row>
        <row r="43">
          <cell r="A43" t="str">
            <v>HQ / consolidation</v>
          </cell>
          <cell r="B43">
            <v>-113</v>
          </cell>
          <cell r="C43">
            <v>7</v>
          </cell>
          <cell r="D43">
            <v>-49</v>
          </cell>
          <cell r="E43">
            <v>-203</v>
          </cell>
          <cell r="F43">
            <v>31</v>
          </cell>
          <cell r="G43">
            <v>111</v>
          </cell>
          <cell r="H43">
            <v>172</v>
          </cell>
          <cell r="I43">
            <v>52</v>
          </cell>
          <cell r="J43">
            <v>49</v>
          </cell>
          <cell r="K43">
            <v>197</v>
          </cell>
          <cell r="L43">
            <v>449</v>
          </cell>
          <cell r="M43">
            <v>269</v>
          </cell>
        </row>
        <row r="44">
          <cell r="A44" t="str">
            <v>Total EBITA as reported</v>
          </cell>
          <cell r="B44">
            <v>586</v>
          </cell>
          <cell r="C44">
            <v>1195</v>
          </cell>
          <cell r="D44">
            <v>1213</v>
          </cell>
          <cell r="E44">
            <v>1399</v>
          </cell>
          <cell r="F44">
            <v>1694</v>
          </cell>
          <cell r="G44">
            <v>1426</v>
          </cell>
          <cell r="H44">
            <v>1543</v>
          </cell>
          <cell r="I44">
            <v>2444</v>
          </cell>
          <cell r="J44">
            <v>2432</v>
          </cell>
          <cell r="K44">
            <v>2852</v>
          </cell>
          <cell r="L44">
            <v>399</v>
          </cell>
          <cell r="M44">
            <v>52</v>
          </cell>
        </row>
        <row r="45">
          <cell r="A45" t="str">
            <v>Add back A400M charges</v>
          </cell>
          <cell r="B45"/>
          <cell r="C45"/>
          <cell r="D45"/>
          <cell r="E45"/>
          <cell r="F45"/>
          <cell r="G45"/>
          <cell r="H45"/>
          <cell r="I45"/>
          <cell r="J45"/>
          <cell r="K45"/>
          <cell r="L45">
            <v>352</v>
          </cell>
          <cell r="M45">
            <v>1088</v>
          </cell>
        </row>
        <row r="46">
          <cell r="A46" t="str">
            <v>Add back A380 provisions</v>
          </cell>
          <cell r="B46"/>
          <cell r="C46"/>
          <cell r="D46"/>
          <cell r="E46"/>
          <cell r="F46"/>
          <cell r="G46"/>
          <cell r="H46"/>
          <cell r="I46"/>
          <cell r="J46"/>
          <cell r="K46"/>
          <cell r="L46">
            <v>2300</v>
          </cell>
          <cell r="M46">
            <v>1000</v>
          </cell>
        </row>
        <row r="47">
          <cell r="A47" t="str">
            <v>Add back A350 provisions</v>
          </cell>
          <cell r="B47"/>
          <cell r="C47"/>
          <cell r="D47"/>
          <cell r="E47"/>
          <cell r="F47"/>
          <cell r="G47"/>
          <cell r="H47"/>
          <cell r="I47"/>
          <cell r="J47"/>
          <cell r="K47"/>
          <cell r="L47">
            <v>505</v>
          </cell>
          <cell r="M47">
            <v>850</v>
          </cell>
        </row>
        <row r="48">
          <cell r="A48" t="str">
            <v>Add back / (deduct) mark-to-mkt on provisions for LMCs</v>
          </cell>
          <cell r="B48"/>
          <cell r="C48"/>
          <cell r="D48"/>
          <cell r="E48"/>
          <cell r="F48"/>
          <cell r="G48"/>
          <cell r="H48"/>
          <cell r="I48"/>
          <cell r="J48"/>
          <cell r="K48"/>
          <cell r="L48"/>
          <cell r="M48"/>
        </row>
        <row r="49">
          <cell r="A49" t="str">
            <v>Add back / (deduct) other EADS defined one-offs</v>
          </cell>
          <cell r="B49"/>
          <cell r="C49"/>
          <cell r="D49"/>
          <cell r="E49"/>
          <cell r="F49"/>
          <cell r="G49"/>
          <cell r="H49"/>
          <cell r="I49"/>
          <cell r="J49"/>
          <cell r="K49"/>
          <cell r="L49"/>
          <cell r="M49">
            <v>624</v>
          </cell>
        </row>
        <row r="50">
          <cell r="A50" t="str">
            <v>o/w total one-offs</v>
          </cell>
          <cell r="B50"/>
          <cell r="C50"/>
          <cell r="D50"/>
          <cell r="E50"/>
          <cell r="F50"/>
          <cell r="G50"/>
          <cell r="H50"/>
          <cell r="I50"/>
          <cell r="J50"/>
          <cell r="K50"/>
          <cell r="L50">
            <v>-3157</v>
          </cell>
          <cell r="M50">
            <v>-3562</v>
          </cell>
        </row>
        <row r="51">
          <cell r="A51" t="str">
            <v>EADS defined EBITA pre one-offs</v>
          </cell>
          <cell r="B51">
            <v>586</v>
          </cell>
          <cell r="C51">
            <v>1195</v>
          </cell>
          <cell r="D51">
            <v>1213</v>
          </cell>
          <cell r="E51">
            <v>1399</v>
          </cell>
          <cell r="F51">
            <v>1694</v>
          </cell>
          <cell r="G51">
            <v>1426</v>
          </cell>
          <cell r="H51">
            <v>1543</v>
          </cell>
          <cell r="I51">
            <v>2444</v>
          </cell>
          <cell r="J51">
            <v>2432</v>
          </cell>
          <cell r="K51">
            <v>2852</v>
          </cell>
          <cell r="L51">
            <v>3556</v>
          </cell>
          <cell r="M51">
            <v>3614</v>
          </cell>
        </row>
        <row r="52">
          <cell r="A52"/>
          <cell r="B52"/>
          <cell r="C52"/>
          <cell r="D52"/>
          <cell r="E52"/>
          <cell r="F52"/>
          <cell r="G52"/>
          <cell r="H52"/>
          <cell r="I52"/>
          <cell r="J52"/>
          <cell r="K52"/>
          <cell r="L52"/>
          <cell r="M52"/>
        </row>
        <row r="53">
          <cell r="A53"/>
          <cell r="B53"/>
          <cell r="C53"/>
          <cell r="D53"/>
          <cell r="E53"/>
          <cell r="F53"/>
          <cell r="G53"/>
          <cell r="H53"/>
          <cell r="I53"/>
          <cell r="J53"/>
          <cell r="K53"/>
          <cell r="L53"/>
        </row>
        <row r="54">
          <cell r="A54" t="str">
            <v>Divisional EBITA margin</v>
          </cell>
          <cell r="B54"/>
          <cell r="C54"/>
          <cell r="D54"/>
          <cell r="E54"/>
          <cell r="F54"/>
          <cell r="G54"/>
          <cell r="H54"/>
          <cell r="I54"/>
          <cell r="J54"/>
          <cell r="K54"/>
          <cell r="M54"/>
        </row>
        <row r="55">
          <cell r="A55" t="str">
            <v>Memo: Airbus Commercial EBITA margin - pre one-offs</v>
          </cell>
          <cell r="B55"/>
          <cell r="C55"/>
          <cell r="D55">
            <v>7.0891684468707972E-2</v>
          </cell>
          <cell r="E55">
            <v>9.5045772751750135E-2</v>
          </cell>
          <cell r="F55">
            <v>8.053919898778529E-2</v>
          </cell>
          <cell r="G55">
            <v>6.6523165231652318E-2</v>
          </cell>
          <cell r="H55">
            <v>7.1031079378412437E-2</v>
          </cell>
          <cell r="J55">
            <v>9.5035601265822792E-2</v>
          </cell>
          <cell r="K55">
            <v>0.10401731367509806</v>
          </cell>
          <cell r="L55">
            <v>0.10262008733624454</v>
          </cell>
          <cell r="M55">
            <v>0.10632138324873096</v>
          </cell>
        </row>
        <row r="56">
          <cell r="A56" t="str">
            <v>Airbus Commercial</v>
          </cell>
          <cell r="B56">
            <v>3.8976148923792905E-2</v>
          </cell>
          <cell r="C56">
            <v>5.5321995031530673E-2</v>
          </cell>
          <cell r="D56">
            <v>7.0891684468707972E-2</v>
          </cell>
          <cell r="E56">
            <v>9.5045772751750135E-2</v>
          </cell>
          <cell r="F56">
            <v>8.053919898778529E-2</v>
          </cell>
          <cell r="G56">
            <v>6.9751947519475194E-2</v>
          </cell>
          <cell r="H56">
            <v>7.1031079378412437E-2</v>
          </cell>
          <cell r="I56">
            <v>9.5035601265822792E-2</v>
          </cell>
          <cell r="J56">
            <v>9.4887262658227847E-2</v>
          </cell>
          <cell r="K56">
            <v>0.10401731367509806</v>
          </cell>
          <cell r="L56">
            <v>-2.2707423580786028E-2</v>
          </cell>
          <cell r="M56">
            <v>-3.4938134517766499E-2</v>
          </cell>
        </row>
        <row r="57">
          <cell r="A57" t="str">
            <v>Airbus Military</v>
          </cell>
          <cell r="B57">
            <v>3.2697547683923703E-2</v>
          </cell>
          <cell r="C57">
            <v>2.7950310559006212E-2</v>
          </cell>
          <cell r="D57">
            <v>-8.7136929460580909E-2</v>
          </cell>
          <cell r="E57">
            <v>-0.19936708860759494</v>
          </cell>
          <cell r="F57">
            <v>1.8281535648994515E-3</v>
          </cell>
          <cell r="G57">
            <v>-0.15267175572519084</v>
          </cell>
          <cell r="H57">
            <v>3.2119914346895075E-2</v>
          </cell>
          <cell r="I57">
            <v>1.9938650306748466E-2</v>
          </cell>
          <cell r="J57">
            <v>1.9938650306748466E-2</v>
          </cell>
          <cell r="K57">
            <v>6.2909567496723454E-2</v>
          </cell>
          <cell r="L57">
            <v>3.4090909090909088E-2</v>
          </cell>
          <cell r="M57">
            <v>-0.13596491228070176</v>
          </cell>
        </row>
        <row r="58">
          <cell r="A58" t="str">
            <v>Aeronautics</v>
          </cell>
          <cell r="B58">
            <v>4.1643531371460298E-3</v>
          </cell>
          <cell r="C58">
            <v>4.722149752152361E-2</v>
          </cell>
          <cell r="D58">
            <v>4.7196261682242988E-2</v>
          </cell>
          <cell r="E58">
            <v>6.2925170068027211E-2</v>
          </cell>
          <cell r="F58">
            <v>6.0809476801579464E-2</v>
          </cell>
          <cell r="G58">
            <v>4.6948356807511735E-2</v>
          </cell>
          <cell r="H58">
            <v>5.7060215619247963E-2</v>
          </cell>
          <cell r="I58">
            <v>5.3147574819401446E-2</v>
          </cell>
          <cell r="J58"/>
          <cell r="K58"/>
          <cell r="L58"/>
          <cell r="M58"/>
        </row>
        <row r="59">
          <cell r="A59" t="str">
            <v>Eurocopter</v>
          </cell>
          <cell r="B59"/>
          <cell r="C59"/>
          <cell r="D59"/>
          <cell r="E59"/>
          <cell r="F59"/>
          <cell r="G59"/>
          <cell r="H59"/>
          <cell r="I59"/>
          <cell r="J59">
            <v>7.2146446518305818E-2</v>
          </cell>
          <cell r="K59">
            <v>6.6023045780130796E-2</v>
          </cell>
          <cell r="L59">
            <v>6.7578227714961872E-2</v>
          </cell>
          <cell r="M59">
            <v>5.0575263662511985E-2</v>
          </cell>
        </row>
        <row r="60">
          <cell r="A60" t="str">
            <v>Cassidian (Defence &amp; Security)</v>
          </cell>
          <cell r="B60">
            <v>4.2355371900826444E-2</v>
          </cell>
          <cell r="C60">
            <v>6.3469339059890245E-2</v>
          </cell>
          <cell r="D60">
            <v>2.2454308093994776E-2</v>
          </cell>
          <cell r="E60">
            <v>-3.7813681677552426E-2</v>
          </cell>
          <cell r="F60">
            <v>-2.3617339312406577E-2</v>
          </cell>
          <cell r="G60">
            <v>2.5576519916142557E-2</v>
          </cell>
          <cell r="H60">
            <v>3.3107454017424973E-2</v>
          </cell>
          <cell r="I60">
            <v>4.233983286908078E-2</v>
          </cell>
          <cell r="J60">
            <v>4.1968430826369543E-2</v>
          </cell>
          <cell r="K60">
            <v>3.5663591199432222E-2</v>
          </cell>
          <cell r="L60">
            <v>5.9345156889495224E-2</v>
          </cell>
          <cell r="M60">
            <v>6.2214089661482161E-2</v>
          </cell>
        </row>
        <row r="61">
          <cell r="A61" t="str">
            <v>Astrium (Space)</v>
          </cell>
          <cell r="B61">
            <v>5.3428042001235333E-2</v>
          </cell>
          <cell r="C61">
            <v>5.7692307692307696E-2</v>
          </cell>
          <cell r="D61">
            <v>3.9316918189038923E-2</v>
          </cell>
          <cell r="E61">
            <v>2.6429980276134121E-2</v>
          </cell>
          <cell r="F61">
            <v>-9.1020910209102093E-2</v>
          </cell>
          <cell r="G61">
            <v>-0.12093862815884476</v>
          </cell>
          <cell r="H61">
            <v>-0.16501650165016502</v>
          </cell>
          <cell r="I61">
            <v>3.8580246913580245E-3</v>
          </cell>
          <cell r="J61">
            <v>3.472222222222222E-3</v>
          </cell>
          <cell r="K61">
            <v>2.1497405485544848E-2</v>
          </cell>
          <cell r="L61">
            <v>4.0473225404732256E-2</v>
          </cell>
          <cell r="M61">
            <v>4.9014084507042255E-2</v>
          </cell>
        </row>
        <row r="62">
          <cell r="A62" t="str">
            <v>Other businesses</v>
          </cell>
          <cell r="B62"/>
          <cell r="C62"/>
          <cell r="D62"/>
          <cell r="E62"/>
          <cell r="F62"/>
          <cell r="G62"/>
          <cell r="H62"/>
          <cell r="I62"/>
          <cell r="J62">
            <v>1.7809439002671415E-3</v>
          </cell>
          <cell r="K62">
            <v>-0.14805194805194805</v>
          </cell>
          <cell r="L62">
            <v>-0.22911694510739858</v>
          </cell>
          <cell r="M62">
            <v>7.407407407407407E-2</v>
          </cell>
        </row>
        <row r="63">
          <cell r="A63" t="str">
            <v>HQ / consolidation</v>
          </cell>
          <cell r="B63"/>
          <cell r="C63"/>
          <cell r="D63"/>
          <cell r="E63"/>
          <cell r="F63"/>
          <cell r="G63"/>
          <cell r="H63"/>
          <cell r="I63"/>
          <cell r="J63"/>
          <cell r="K63"/>
          <cell r="L63"/>
          <cell r="M63"/>
        </row>
        <row r="64">
          <cell r="A64" t="str">
            <v>Total EBITA margin as reported</v>
          </cell>
          <cell r="B64">
            <v>3.1062814736284125E-2</v>
          </cell>
          <cell r="C64">
            <v>5.8054799844539449E-2</v>
          </cell>
          <cell r="D64">
            <v>5.3784418924311621E-2</v>
          </cell>
          <cell r="E64">
            <v>5.779081295439524E-2</v>
          </cell>
          <cell r="F64">
            <v>5.5003571660497436E-2</v>
          </cell>
          <cell r="G64">
            <v>4.7690712685194474E-2</v>
          </cell>
          <cell r="H64">
            <v>5.1206318653967409E-2</v>
          </cell>
          <cell r="I64">
            <v>7.6949718207864989E-2</v>
          </cell>
          <cell r="J64">
            <v>7.6571896350870569E-2</v>
          </cell>
          <cell r="K64">
            <v>8.3377185289130559E-2</v>
          </cell>
          <cell r="L64">
            <v>1.0118172135720443E-2</v>
          </cell>
          <cell r="M64">
            <v>1.3291414257597832E-3</v>
          </cell>
        </row>
        <row r="65">
          <cell r="A65" t="str">
            <v>EADS defined EBITA margin - pre one-offs</v>
          </cell>
          <cell r="B65">
            <v>3.1062814736284125E-2</v>
          </cell>
          <cell r="C65">
            <v>5.8054799844539449E-2</v>
          </cell>
          <cell r="D65">
            <v>5.3784418924311621E-2</v>
          </cell>
          <cell r="E65">
            <v>5.779081295439524E-2</v>
          </cell>
          <cell r="F65">
            <v>5.5003571660497436E-2</v>
          </cell>
          <cell r="G65">
            <v>4.7690712685194474E-2</v>
          </cell>
          <cell r="H65">
            <v>5.1206318653967409E-2</v>
          </cell>
          <cell r="I65">
            <v>7.6949718207864989E-2</v>
          </cell>
          <cell r="J65">
            <v>7.6571896350870569E-2</v>
          </cell>
          <cell r="K65">
            <v>8.3377185289130559E-2</v>
          </cell>
          <cell r="L65">
            <v>9.0175990262210279E-2</v>
          </cell>
          <cell r="M65">
            <v>9.2375329090304936E-2</v>
          </cell>
        </row>
        <row r="66">
          <cell r="A66"/>
          <cell r="B66"/>
          <cell r="C66"/>
          <cell r="D66"/>
          <cell r="E66"/>
          <cell r="F66"/>
          <cell r="G66"/>
          <cell r="H66"/>
          <cell r="I66"/>
          <cell r="J66"/>
          <cell r="K66"/>
          <cell r="L66"/>
          <cell r="M66"/>
        </row>
        <row r="67">
          <cell r="A67" t="str">
            <v>Summary of P&amp;L</v>
          </cell>
          <cell r="B67"/>
          <cell r="C67"/>
          <cell r="D67"/>
          <cell r="E67"/>
          <cell r="F67"/>
          <cell r="G67"/>
          <cell r="H67"/>
          <cell r="I67"/>
          <cell r="J67"/>
          <cell r="K67"/>
          <cell r="L67" t="str">
            <v xml:space="preserve"> ---- EADS def. statutory P&amp;L (2006-09) ----</v>
          </cell>
          <cell r="M67"/>
        </row>
        <row r="68">
          <cell r="A68" t="str">
            <v>EADS defined EBITA (pre-one-offs from 2010)</v>
          </cell>
          <cell r="B68"/>
          <cell r="C68"/>
          <cell r="D68"/>
          <cell r="E68"/>
          <cell r="F68"/>
          <cell r="G68"/>
          <cell r="H68"/>
          <cell r="I68"/>
          <cell r="J68"/>
          <cell r="K68"/>
          <cell r="L68">
            <v>399</v>
          </cell>
          <cell r="M68">
            <v>52</v>
          </cell>
        </row>
        <row r="69">
          <cell r="A69" t="str">
            <v>Deduct exceptional depreciation and goodwill</v>
          </cell>
          <cell r="B69"/>
          <cell r="C69"/>
          <cell r="D69"/>
          <cell r="E69"/>
          <cell r="F69"/>
          <cell r="G69"/>
          <cell r="H69"/>
          <cell r="I69"/>
          <cell r="J69"/>
          <cell r="K69"/>
          <cell r="L69">
            <v>-121</v>
          </cell>
          <cell r="M69">
            <v>-85</v>
          </cell>
        </row>
        <row r="70">
          <cell r="A70" t="str">
            <v>EADS defined finance charge (pre-one-offs from 2010)</v>
          </cell>
          <cell r="B70"/>
          <cell r="C70"/>
          <cell r="D70"/>
          <cell r="E70"/>
          <cell r="F70"/>
          <cell r="G70"/>
          <cell r="H70"/>
          <cell r="I70"/>
          <cell r="J70"/>
          <cell r="K70"/>
          <cell r="L70">
            <v>-244</v>
          </cell>
          <cell r="M70">
            <v>-737</v>
          </cell>
        </row>
        <row r="71">
          <cell r="A71" t="str">
            <v>EADS defined PTP (pre-one-offs from 2010)</v>
          </cell>
          <cell r="B71"/>
          <cell r="C71"/>
          <cell r="D71"/>
          <cell r="E71"/>
          <cell r="F71"/>
          <cell r="G71"/>
          <cell r="H71"/>
          <cell r="I71"/>
          <cell r="J71"/>
          <cell r="K71"/>
          <cell r="L71">
            <v>34</v>
          </cell>
          <cell r="M71">
            <v>-770</v>
          </cell>
        </row>
        <row r="72">
          <cell r="A72" t="str">
            <v>EADS defined tax charge (pre-one-offs from 2010)</v>
          </cell>
          <cell r="B72"/>
          <cell r="C72"/>
          <cell r="D72"/>
          <cell r="E72"/>
          <cell r="F72"/>
          <cell r="G72"/>
          <cell r="H72"/>
          <cell r="I72"/>
          <cell r="J72"/>
          <cell r="K72"/>
          <cell r="L72">
            <v>81</v>
          </cell>
          <cell r="M72">
            <v>333</v>
          </cell>
        </row>
        <row r="73">
          <cell r="A73" t="str">
            <v>Underlying tax rate</v>
          </cell>
          <cell r="B73"/>
          <cell r="C73"/>
          <cell r="D73"/>
          <cell r="E73"/>
          <cell r="F73"/>
          <cell r="G73"/>
          <cell r="H73"/>
          <cell r="I73"/>
          <cell r="J73"/>
          <cell r="K73"/>
          <cell r="L73">
            <v>2.3823529411764706</v>
          </cell>
          <cell r="M73">
            <v>-0.43246753246753245</v>
          </cell>
        </row>
        <row r="74">
          <cell r="A74" t="str">
            <v>Minorities</v>
          </cell>
          <cell r="B74"/>
          <cell r="C74"/>
          <cell r="D74"/>
          <cell r="E74"/>
          <cell r="F74"/>
          <cell r="G74"/>
          <cell r="H74"/>
          <cell r="I74"/>
          <cell r="J74"/>
          <cell r="K74"/>
          <cell r="L74">
            <v>-16</v>
          </cell>
          <cell r="M74">
            <v>-9</v>
          </cell>
        </row>
        <row r="75">
          <cell r="A75" t="str">
            <v>EADS defined Net Income (pre-one-offs from 2010)</v>
          </cell>
          <cell r="B75"/>
          <cell r="C75"/>
          <cell r="D75"/>
          <cell r="E75"/>
          <cell r="F75"/>
          <cell r="G75"/>
          <cell r="H75"/>
          <cell r="I75"/>
          <cell r="J75"/>
          <cell r="K75"/>
          <cell r="L75">
            <v>99</v>
          </cell>
          <cell r="M75">
            <v>-446</v>
          </cell>
        </row>
        <row r="76">
          <cell r="A76" t="str">
            <v>Avg. no. of shares</v>
          </cell>
          <cell r="B76"/>
          <cell r="C76"/>
          <cell r="D76"/>
          <cell r="E76"/>
          <cell r="F76"/>
          <cell r="G76"/>
          <cell r="H76"/>
          <cell r="I76"/>
          <cell r="J76"/>
          <cell r="K76"/>
          <cell r="L76">
            <v>800.18516399999999</v>
          </cell>
          <cell r="M76">
            <v>803.12822100000005</v>
          </cell>
        </row>
        <row r="77">
          <cell r="A77" t="str">
            <v>EADS defined EPS (pre-one-offs from 2010)</v>
          </cell>
          <cell r="B77"/>
          <cell r="C77"/>
          <cell r="D77"/>
          <cell r="E77"/>
          <cell r="F77"/>
          <cell r="G77"/>
          <cell r="H77"/>
          <cell r="I77"/>
          <cell r="J77"/>
          <cell r="K77"/>
          <cell r="L77">
            <v>0.12372136407167879</v>
          </cell>
          <cell r="M77">
            <v>-0.55532851210815559</v>
          </cell>
        </row>
        <row r="78">
          <cell r="A78" t="str">
            <v>EPS growth y/y</v>
          </cell>
          <cell r="B78"/>
          <cell r="C78"/>
          <cell r="D78"/>
          <cell r="E78"/>
          <cell r="F78"/>
          <cell r="G78"/>
          <cell r="H78"/>
          <cell r="I78"/>
          <cell r="J78"/>
          <cell r="K78"/>
          <cell r="L78" t="str">
            <v>n/a</v>
          </cell>
          <cell r="M78" t="str">
            <v>n/a</v>
          </cell>
        </row>
        <row r="79">
          <cell r="A79"/>
          <cell r="B79"/>
          <cell r="C79"/>
          <cell r="D79"/>
          <cell r="E79"/>
          <cell r="F79"/>
          <cell r="G79"/>
          <cell r="H79"/>
          <cell r="I79"/>
          <cell r="J79"/>
          <cell r="K79"/>
          <cell r="L79"/>
          <cell r="M79"/>
        </row>
        <row r="80">
          <cell r="A80"/>
          <cell r="B80"/>
          <cell r="C80"/>
          <cell r="D80"/>
          <cell r="E80"/>
          <cell r="F80"/>
          <cell r="G80"/>
          <cell r="H80"/>
          <cell r="I80"/>
          <cell r="J80"/>
          <cell r="K80"/>
          <cell r="L80"/>
          <cell r="M80"/>
        </row>
        <row r="81">
          <cell r="A81" t="str">
            <v>EADS defined underlying EBITA margin</v>
          </cell>
          <cell r="B81"/>
          <cell r="C81"/>
          <cell r="D81"/>
          <cell r="E81"/>
          <cell r="F81"/>
          <cell r="G81"/>
          <cell r="H81"/>
          <cell r="I81"/>
          <cell r="J81"/>
          <cell r="K81"/>
          <cell r="L81">
            <v>1.0118172135720443E-2</v>
          </cell>
          <cell r="M81">
            <v>1.3291414257597832E-3</v>
          </cell>
        </row>
        <row r="82">
          <cell r="A82" t="str">
            <v>EADS defined underlying PTP margin</v>
          </cell>
          <cell r="B82"/>
          <cell r="C82"/>
          <cell r="D82"/>
          <cell r="E82"/>
          <cell r="F82"/>
          <cell r="G82"/>
          <cell r="H82"/>
          <cell r="I82"/>
          <cell r="J82"/>
          <cell r="K82"/>
          <cell r="L82">
            <v>8.6220013186590256E-4</v>
          </cell>
          <cell r="M82">
            <v>-1.9681517266058327E-2</v>
          </cell>
        </row>
        <row r="83">
          <cell r="A83" t="str">
            <v>EADS defined underlying Net Income margin</v>
          </cell>
          <cell r="B83"/>
          <cell r="C83"/>
          <cell r="D83"/>
          <cell r="E83"/>
          <cell r="F83"/>
          <cell r="G83"/>
          <cell r="H83"/>
          <cell r="I83"/>
          <cell r="J83"/>
          <cell r="K83"/>
          <cell r="L83">
            <v>2.5105239133742458E-3</v>
          </cell>
          <cell r="M83">
            <v>-1.1399943767093525E-2</v>
          </cell>
        </row>
        <row r="84">
          <cell r="A84"/>
          <cell r="B84"/>
          <cell r="C84"/>
          <cell r="D84"/>
          <cell r="E84"/>
          <cell r="F84"/>
          <cell r="G84"/>
          <cell r="H84"/>
          <cell r="I84"/>
          <cell r="J84"/>
          <cell r="K84"/>
          <cell r="L84"/>
          <cell r="M84"/>
        </row>
        <row r="85">
          <cell r="A85" t="str">
            <v>Net (debt) / Cash</v>
          </cell>
          <cell r="B85"/>
          <cell r="C85"/>
          <cell r="D85"/>
          <cell r="E85">
            <v>2143</v>
          </cell>
          <cell r="F85">
            <v>2577</v>
          </cell>
          <cell r="G85">
            <v>2370</v>
          </cell>
          <cell r="H85">
            <v>3105</v>
          </cell>
          <cell r="I85">
            <v>4058</v>
          </cell>
          <cell r="J85">
            <v>3961</v>
          </cell>
          <cell r="K85">
            <v>5489</v>
          </cell>
          <cell r="L85">
            <v>4229</v>
          </cell>
          <cell r="M85">
            <v>7024</v>
          </cell>
        </row>
        <row r="86">
          <cell r="A86"/>
          <cell r="B86"/>
          <cell r="C86"/>
          <cell r="D86"/>
          <cell r="E86"/>
          <cell r="F86"/>
          <cell r="G86"/>
          <cell r="H86"/>
          <cell r="I86"/>
          <cell r="J86"/>
          <cell r="K86"/>
          <cell r="L86"/>
          <cell r="M86"/>
        </row>
        <row r="87">
          <cell r="A87" t="str">
            <v>Checking underlying P&amp;L</v>
          </cell>
          <cell r="B87"/>
          <cell r="C87"/>
          <cell r="D87"/>
          <cell r="E87" t="str">
            <v>n/a</v>
          </cell>
          <cell r="F87" t="str">
            <v>n/a</v>
          </cell>
          <cell r="G87" t="str">
            <v>n/a</v>
          </cell>
          <cell r="H87" t="str">
            <v>n/a</v>
          </cell>
          <cell r="I87" t="str">
            <v>n/a</v>
          </cell>
          <cell r="J87" t="str">
            <v>n/a</v>
          </cell>
          <cell r="K87" t="str">
            <v>n/a</v>
          </cell>
          <cell r="L87">
            <v>0</v>
          </cell>
          <cell r="M87">
            <v>0</v>
          </cell>
        </row>
        <row r="88">
          <cell r="A88" t="str">
            <v>PTP</v>
          </cell>
          <cell r="B88"/>
          <cell r="C88"/>
          <cell r="D88"/>
          <cell r="E88"/>
          <cell r="F88"/>
          <cell r="G88"/>
          <cell r="H88"/>
          <cell r="I88"/>
          <cell r="J88"/>
          <cell r="K88"/>
          <cell r="L88">
            <v>0</v>
          </cell>
          <cell r="M88">
            <v>0</v>
          </cell>
        </row>
        <row r="89">
          <cell r="A89" t="str">
            <v>Net Income</v>
          </cell>
          <cell r="B89"/>
          <cell r="C89"/>
          <cell r="D89"/>
          <cell r="E89"/>
          <cell r="F89"/>
          <cell r="G89"/>
          <cell r="H89"/>
          <cell r="I89"/>
          <cell r="J89"/>
          <cell r="K89"/>
          <cell r="L89">
            <v>0</v>
          </cell>
          <cell r="M89">
            <v>0</v>
          </cell>
        </row>
        <row r="90">
          <cell r="A90" t="str">
            <v>EPS</v>
          </cell>
          <cell r="B90"/>
          <cell r="C90"/>
          <cell r="D90"/>
          <cell r="E90"/>
          <cell r="F90"/>
          <cell r="G90"/>
          <cell r="H90"/>
          <cell r="I90"/>
          <cell r="J90"/>
          <cell r="K90"/>
          <cell r="L90">
            <v>0</v>
          </cell>
          <cell r="M90">
            <v>0</v>
          </cell>
        </row>
        <row r="91">
          <cell r="A91"/>
          <cell r="B91"/>
          <cell r="C91"/>
          <cell r="D91"/>
          <cell r="E91"/>
          <cell r="F91"/>
          <cell r="G91"/>
          <cell r="H91"/>
          <cell r="I91"/>
          <cell r="J91"/>
          <cell r="K91"/>
          <cell r="L91"/>
          <cell r="M91"/>
        </row>
        <row r="92">
          <cell r="A92" t="str">
            <v>EADS (year to Dec)</v>
          </cell>
          <cell r="B92"/>
          <cell r="C92"/>
          <cell r="D92"/>
          <cell r="E92"/>
          <cell r="F92"/>
          <cell r="G92"/>
          <cell r="H92"/>
          <cell r="I92"/>
          <cell r="J92"/>
          <cell r="K92"/>
          <cell r="L92"/>
          <cell r="M92"/>
        </row>
        <row r="93">
          <cell r="A93"/>
          <cell r="B93"/>
          <cell r="C93"/>
          <cell r="D93"/>
          <cell r="E93"/>
          <cell r="F93"/>
          <cell r="G93"/>
          <cell r="H93"/>
          <cell r="I93"/>
          <cell r="J93"/>
          <cell r="K93"/>
          <cell r="L93"/>
          <cell r="M93"/>
        </row>
        <row r="94">
          <cell r="A94"/>
          <cell r="B94"/>
          <cell r="C94"/>
          <cell r="D94"/>
          <cell r="E94"/>
          <cell r="F94"/>
          <cell r="G94"/>
          <cell r="H94"/>
          <cell r="I94"/>
          <cell r="J94"/>
          <cell r="K94"/>
          <cell r="L94"/>
          <cell r="M94"/>
        </row>
        <row r="95">
          <cell r="A95"/>
          <cell r="B95" t="str">
            <v>IAS</v>
          </cell>
          <cell r="C95" t="str">
            <v>IAS</v>
          </cell>
          <cell r="D95" t="str">
            <v>IAS</v>
          </cell>
          <cell r="E95" t="str">
            <v>IAS</v>
          </cell>
          <cell r="F95" t="str">
            <v>IAS</v>
          </cell>
          <cell r="G95" t="str">
            <v>IFRS</v>
          </cell>
          <cell r="H95" t="str">
            <v>IFRS</v>
          </cell>
          <cell r="I95" t="str">
            <v>IFRS</v>
          </cell>
          <cell r="J95" t="str">
            <v>IFRS</v>
          </cell>
          <cell r="K95" t="str">
            <v>IFRS</v>
          </cell>
          <cell r="L95" t="str">
            <v>IFRS</v>
          </cell>
          <cell r="M95" t="str">
            <v>IFRS</v>
          </cell>
        </row>
        <row r="96">
          <cell r="A96" t="str">
            <v>Profit and loss</v>
          </cell>
          <cell r="B96">
            <v>1997</v>
          </cell>
          <cell r="C96">
            <v>1998</v>
          </cell>
          <cell r="D96">
            <v>1999</v>
          </cell>
          <cell r="E96" t="str">
            <v>2000pf</v>
          </cell>
          <cell r="F96">
            <v>2001</v>
          </cell>
          <cell r="G96">
            <v>2002</v>
          </cell>
          <cell r="H96">
            <v>2003</v>
          </cell>
          <cell r="I96">
            <v>2004</v>
          </cell>
          <cell r="J96" t="str">
            <v>2004pf</v>
          </cell>
          <cell r="K96">
            <v>2005</v>
          </cell>
          <cell r="L96">
            <v>2006</v>
          </cell>
          <cell r="M96">
            <v>2007</v>
          </cell>
        </row>
        <row r="97">
          <cell r="A97"/>
          <cell r="B97"/>
          <cell r="C97"/>
          <cell r="D97"/>
          <cell r="E97"/>
          <cell r="F97"/>
          <cell r="G97"/>
          <cell r="H97"/>
          <cell r="I97"/>
          <cell r="J97"/>
          <cell r="K97"/>
          <cell r="L97"/>
          <cell r="M97"/>
        </row>
        <row r="98">
          <cell r="A98" t="str">
            <v>Group sales</v>
          </cell>
          <cell r="B98">
            <v>18865</v>
          </cell>
          <cell r="C98">
            <v>20584</v>
          </cell>
          <cell r="D98">
            <v>22553</v>
          </cell>
          <cell r="E98">
            <v>24208</v>
          </cell>
          <cell r="F98">
            <v>30798</v>
          </cell>
          <cell r="G98">
            <v>29901</v>
          </cell>
          <cell r="H98">
            <v>30133</v>
          </cell>
          <cell r="I98">
            <v>31761</v>
          </cell>
          <cell r="J98">
            <v>31761</v>
          </cell>
          <cell r="K98">
            <v>34206</v>
          </cell>
          <cell r="L98">
            <v>39434</v>
          </cell>
          <cell r="M98">
            <v>39123</v>
          </cell>
        </row>
        <row r="99">
          <cell r="A99" t="str">
            <v>Change y/y</v>
          </cell>
          <cell r="B99"/>
          <cell r="C99">
            <v>9.1121123774184909E-2</v>
          </cell>
          <cell r="D99">
            <v>9.5656820831713896E-2</v>
          </cell>
          <cell r="E99">
            <v>7.3382698532346025E-2</v>
          </cell>
          <cell r="F99">
            <v>0.27222405816259099</v>
          </cell>
          <cell r="G99">
            <v>-2.9125267874537286E-2</v>
          </cell>
          <cell r="H99">
            <v>7.7589378281663901E-3</v>
          </cell>
          <cell r="I99">
            <v>5.4027146317990216E-2</v>
          </cell>
          <cell r="J99" t="str">
            <v>n/a</v>
          </cell>
          <cell r="K99">
            <v>7.6981203362614492E-2</v>
          </cell>
          <cell r="L99">
            <v>0.15283868327194061</v>
          </cell>
          <cell r="M99">
            <v>-7.8865953238321795E-3</v>
          </cell>
        </row>
        <row r="100">
          <cell r="A100"/>
          <cell r="B100"/>
          <cell r="C100"/>
          <cell r="D100"/>
          <cell r="E100"/>
          <cell r="F100"/>
          <cell r="G100"/>
          <cell r="H100"/>
          <cell r="I100"/>
          <cell r="J100"/>
          <cell r="K100"/>
          <cell r="L100"/>
          <cell r="M100"/>
        </row>
        <row r="101">
          <cell r="A101" t="str">
            <v>Statutory defined Cost of sales (inc Depreciation)</v>
          </cell>
          <cell r="B101">
            <v>-15270</v>
          </cell>
          <cell r="C101">
            <v>-16489</v>
          </cell>
          <cell r="D101">
            <v>-18278</v>
          </cell>
          <cell r="E101">
            <v>-20072</v>
          </cell>
          <cell r="F101">
            <v>-25235</v>
          </cell>
          <cell r="G101">
            <v>-24465</v>
          </cell>
          <cell r="H101">
            <v>-24594</v>
          </cell>
          <cell r="I101">
            <v>-25510</v>
          </cell>
          <cell r="J101">
            <v>-25522</v>
          </cell>
          <cell r="K101">
            <v>-27530</v>
          </cell>
          <cell r="L101">
            <v>-34722</v>
          </cell>
          <cell r="M101">
            <v>-34802</v>
          </cell>
        </row>
        <row r="102">
          <cell r="A102" t="str">
            <v>Statutory defined Gross Profit</v>
          </cell>
          <cell r="B102">
            <v>3595</v>
          </cell>
          <cell r="C102">
            <v>4095</v>
          </cell>
          <cell r="D102">
            <v>4275</v>
          </cell>
          <cell r="E102">
            <v>4136</v>
          </cell>
          <cell r="F102">
            <v>5563</v>
          </cell>
          <cell r="G102">
            <v>5436</v>
          </cell>
          <cell r="H102">
            <v>5539</v>
          </cell>
          <cell r="I102">
            <v>6251</v>
          </cell>
          <cell r="J102">
            <v>6239</v>
          </cell>
          <cell r="K102">
            <v>6676</v>
          </cell>
          <cell r="L102">
            <v>4712</v>
          </cell>
          <cell r="M102">
            <v>4321</v>
          </cell>
        </row>
        <row r="103">
          <cell r="A103" t="str">
            <v>Statutory defined Gross Margin</v>
          </cell>
          <cell r="B103">
            <v>0.19056453750331301</v>
          </cell>
          <cell r="C103">
            <v>0.19894092499028371</v>
          </cell>
          <cell r="D103">
            <v>0.18955349620893008</v>
          </cell>
          <cell r="E103">
            <v>0.17085261070720423</v>
          </cell>
          <cell r="F103">
            <v>0.18062861224754853</v>
          </cell>
          <cell r="G103">
            <v>0.18179993980134443</v>
          </cell>
          <cell r="H103">
            <v>0.18381840507085256</v>
          </cell>
          <cell r="I103">
            <v>0.196813702339347</v>
          </cell>
          <cell r="J103">
            <v>0.19643588048235258</v>
          </cell>
          <cell r="K103">
            <v>0.19517043793486522</v>
          </cell>
          <cell r="L103">
            <v>0.11949079474565096</v>
          </cell>
          <cell r="M103">
            <v>0.11044654039823122</v>
          </cell>
        </row>
        <row r="104">
          <cell r="A104"/>
          <cell r="B104"/>
          <cell r="C104"/>
          <cell r="D104"/>
          <cell r="E104"/>
          <cell r="F104"/>
          <cell r="G104"/>
          <cell r="H104"/>
          <cell r="I104"/>
          <cell r="J104"/>
          <cell r="K104"/>
          <cell r="L104"/>
          <cell r="M104"/>
        </row>
        <row r="105">
          <cell r="A105" t="str">
            <v>Statutory defined Selling, Admin and Other costs</v>
          </cell>
          <cell r="B105">
            <v>-2377</v>
          </cell>
          <cell r="C105">
            <v>-2378</v>
          </cell>
          <cell r="D105">
            <v>-2213</v>
          </cell>
          <cell r="E105">
            <v>-2510</v>
          </cell>
          <cell r="F105">
            <v>-2561</v>
          </cell>
          <cell r="G105">
            <v>-2492</v>
          </cell>
          <cell r="H105">
            <v>-2418</v>
          </cell>
          <cell r="I105">
            <v>-2296</v>
          </cell>
          <cell r="J105">
            <v>-2296</v>
          </cell>
          <cell r="K105">
            <v>-2336</v>
          </cell>
          <cell r="L105">
            <v>-2462</v>
          </cell>
          <cell r="M105">
            <v>-2275</v>
          </cell>
        </row>
        <row r="106">
          <cell r="A106" t="str">
            <v>As a % of statutory sales</v>
          </cell>
          <cell r="B106">
            <v>-0.12600053008216275</v>
          </cell>
          <cell r="C106">
            <v>-0.1155266226195103</v>
          </cell>
          <cell r="D106">
            <v>-9.8124418037511638E-2</v>
          </cell>
          <cell r="E106">
            <v>-0.10368473231989425</v>
          </cell>
          <cell r="F106">
            <v>-8.3154750308461589E-2</v>
          </cell>
          <cell r="G106">
            <v>-8.3341694257717133E-2</v>
          </cell>
          <cell r="H106">
            <v>-8.0244250489496571E-2</v>
          </cell>
          <cell r="I106">
            <v>-7.2289915304933727E-2</v>
          </cell>
          <cell r="J106">
            <v>-7.2289915304933727E-2</v>
          </cell>
          <cell r="K106">
            <v>-6.8292112494883941E-2</v>
          </cell>
          <cell r="L106">
            <v>-6.2433433078054469E-2</v>
          </cell>
          <cell r="M106">
            <v>-5.8149937376990514E-2</v>
          </cell>
        </row>
        <row r="107">
          <cell r="A107"/>
          <cell r="B107"/>
          <cell r="C107"/>
          <cell r="D107"/>
          <cell r="E107"/>
          <cell r="F107"/>
          <cell r="G107"/>
          <cell r="H107"/>
          <cell r="I107"/>
          <cell r="J107"/>
          <cell r="K107"/>
          <cell r="L107"/>
          <cell r="M107"/>
        </row>
        <row r="108">
          <cell r="A108" t="str">
            <v>Goodwill amortisation and impairment losses</v>
          </cell>
          <cell r="B108">
            <v>-403</v>
          </cell>
          <cell r="C108">
            <v>-410</v>
          </cell>
          <cell r="D108">
            <v>-398</v>
          </cell>
          <cell r="E108">
            <v>-429</v>
          </cell>
          <cell r="F108">
            <v>-1466</v>
          </cell>
          <cell r="G108">
            <v>-936</v>
          </cell>
          <cell r="H108">
            <v>-567</v>
          </cell>
          <cell r="I108"/>
          <cell r="J108"/>
          <cell r="K108"/>
          <cell r="L108"/>
          <cell r="M108"/>
        </row>
        <row r="109">
          <cell r="A109" t="str">
            <v>of which impairment</v>
          </cell>
          <cell r="B109"/>
          <cell r="C109"/>
          <cell r="D109"/>
          <cell r="E109"/>
          <cell r="F109">
            <v>-790</v>
          </cell>
          <cell r="G109"/>
          <cell r="H109"/>
          <cell r="I109"/>
          <cell r="J109"/>
          <cell r="K109"/>
          <cell r="L109"/>
          <cell r="M109"/>
        </row>
        <row r="110">
          <cell r="A110"/>
          <cell r="B110"/>
          <cell r="C110"/>
          <cell r="D110"/>
          <cell r="E110"/>
          <cell r="F110"/>
          <cell r="G110"/>
          <cell r="H110"/>
          <cell r="I110"/>
          <cell r="J110"/>
          <cell r="K110"/>
          <cell r="L110"/>
          <cell r="M110"/>
        </row>
        <row r="111">
          <cell r="A111" t="str">
            <v>Statutory depreciation (for info only)</v>
          </cell>
          <cell r="B111"/>
          <cell r="C111"/>
          <cell r="D111">
            <v>-828</v>
          </cell>
          <cell r="E111">
            <v>-1111</v>
          </cell>
          <cell r="F111">
            <v>-2094</v>
          </cell>
          <cell r="G111">
            <v>-1832</v>
          </cell>
          <cell r="H111">
            <v>-1808</v>
          </cell>
          <cell r="I111">
            <v>-1621</v>
          </cell>
          <cell r="J111">
            <v>-1621</v>
          </cell>
          <cell r="K111">
            <v>-1653</v>
          </cell>
          <cell r="L111">
            <v>-1691</v>
          </cell>
          <cell r="M111">
            <v>-1760</v>
          </cell>
        </row>
        <row r="112">
          <cell r="A112" t="str">
            <v>Add back exceptional depreciation on fixed assets / financial assets</v>
          </cell>
          <cell r="B112"/>
          <cell r="C112"/>
          <cell r="D112"/>
          <cell r="E112">
            <v>176</v>
          </cell>
          <cell r="F112">
            <v>575</v>
          </cell>
          <cell r="G112">
            <v>227</v>
          </cell>
          <cell r="H112">
            <v>214</v>
          </cell>
          <cell r="I112">
            <v>212</v>
          </cell>
          <cell r="J112">
            <v>212</v>
          </cell>
          <cell r="K112">
            <v>136</v>
          </cell>
          <cell r="L112">
            <v>57</v>
          </cell>
          <cell r="M112">
            <v>49</v>
          </cell>
        </row>
        <row r="113">
          <cell r="A113" t="str">
            <v>EADS defined underlying depreciation (for info only)</v>
          </cell>
          <cell r="B113"/>
          <cell r="C113"/>
          <cell r="D113"/>
          <cell r="E113">
            <v>-935</v>
          </cell>
          <cell r="F113">
            <v>-1519</v>
          </cell>
          <cell r="G113">
            <v>-1605</v>
          </cell>
          <cell r="H113">
            <v>-1594</v>
          </cell>
          <cell r="I113">
            <v>-1409</v>
          </cell>
          <cell r="J113">
            <v>-1409</v>
          </cell>
          <cell r="K113">
            <v>-1517</v>
          </cell>
          <cell r="L113">
            <v>-1634</v>
          </cell>
          <cell r="M113">
            <v>-1699</v>
          </cell>
        </row>
        <row r="114">
          <cell r="A114" t="str">
            <v>as a % of statutory sales</v>
          </cell>
          <cell r="B114"/>
          <cell r="C114"/>
          <cell r="D114"/>
          <cell r="E114">
            <v>-3.8623595505617975E-2</v>
          </cell>
          <cell r="F114">
            <v>-4.932138450548737E-2</v>
          </cell>
          <cell r="G114">
            <v>-5.3677134543995184E-2</v>
          </cell>
          <cell r="H114">
            <v>-5.2898815252381111E-2</v>
          </cell>
          <cell r="I114">
            <v>-4.436258304209565E-2</v>
          </cell>
          <cell r="J114">
            <v>-4.436258304209565E-2</v>
          </cell>
          <cell r="K114">
            <v>-4.4348944629597147E-2</v>
          </cell>
          <cell r="L114">
            <v>-4.1436323984378964E-2</v>
          </cell>
          <cell r="M114">
            <v>-4.3427140045497532E-2</v>
          </cell>
        </row>
        <row r="115">
          <cell r="A115" t="str">
            <v>of which, intangible amortisation</v>
          </cell>
          <cell r="B115"/>
          <cell r="C115"/>
          <cell r="D115"/>
          <cell r="E115"/>
          <cell r="F115">
            <v>-61</v>
          </cell>
          <cell r="G115">
            <v>-68</v>
          </cell>
          <cell r="H115">
            <v>-74</v>
          </cell>
          <cell r="I115">
            <v>-137</v>
          </cell>
          <cell r="J115">
            <v>-137</v>
          </cell>
          <cell r="K115">
            <v>-187</v>
          </cell>
          <cell r="L115">
            <v>-203</v>
          </cell>
          <cell r="M115">
            <v>-231</v>
          </cell>
        </row>
        <row r="116">
          <cell r="A116" t="str">
            <v>of which, Amortised R&amp;D</v>
          </cell>
          <cell r="B116"/>
          <cell r="C116"/>
          <cell r="D116"/>
          <cell r="E116"/>
          <cell r="F116"/>
          <cell r="G116"/>
          <cell r="H116"/>
          <cell r="I116"/>
          <cell r="J116"/>
          <cell r="K116">
            <v>-2</v>
          </cell>
          <cell r="L116">
            <v>-7</v>
          </cell>
          <cell r="M116">
            <v>-46</v>
          </cell>
        </row>
        <row r="117">
          <cell r="A117"/>
          <cell r="B117"/>
          <cell r="C117"/>
          <cell r="D117"/>
          <cell r="E117"/>
          <cell r="F117"/>
          <cell r="G117"/>
          <cell r="H117"/>
          <cell r="I117"/>
          <cell r="J117"/>
          <cell r="K117"/>
          <cell r="L117"/>
          <cell r="M117"/>
        </row>
        <row r="118">
          <cell r="A118" t="str">
            <v>Expensed R&amp;D</v>
          </cell>
          <cell r="B118">
            <v>-1090</v>
          </cell>
          <cell r="C118">
            <v>-1232</v>
          </cell>
          <cell r="D118">
            <v>-1324</v>
          </cell>
          <cell r="E118">
            <v>-1339</v>
          </cell>
          <cell r="F118">
            <v>-2046</v>
          </cell>
          <cell r="G118">
            <v>-2096</v>
          </cell>
          <cell r="H118">
            <v>-2189</v>
          </cell>
          <cell r="I118">
            <v>-2126</v>
          </cell>
          <cell r="J118">
            <v>-2126</v>
          </cell>
          <cell r="K118">
            <v>-2075</v>
          </cell>
          <cell r="L118">
            <v>-2458</v>
          </cell>
          <cell r="M118">
            <v>-2608</v>
          </cell>
        </row>
        <row r="119">
          <cell r="A119" t="str">
            <v>As a % of underlying sales</v>
          </cell>
          <cell r="B119">
            <v>-5.7778955738139411E-2</v>
          </cell>
          <cell r="C119">
            <v>-5.9852312475709289E-2</v>
          </cell>
          <cell r="D119">
            <v>-5.8706158825876827E-2</v>
          </cell>
          <cell r="E119">
            <v>-5.5312293456708524E-2</v>
          </cell>
          <cell r="F119">
            <v>-6.6432885252289103E-2</v>
          </cell>
          <cell r="G119">
            <v>-7.0097990033778132E-2</v>
          </cell>
          <cell r="H119">
            <v>-7.2644608900540933E-2</v>
          </cell>
          <cell r="I119">
            <v>-6.6937438997512672E-2</v>
          </cell>
          <cell r="J119">
            <v>-6.6937438997512672E-2</v>
          </cell>
          <cell r="K119">
            <v>-6.0661872186166171E-2</v>
          </cell>
          <cell r="L119">
            <v>-6.2331997768423186E-2</v>
          </cell>
          <cell r="M119">
            <v>-6.6661554584259902E-2</v>
          </cell>
        </row>
        <row r="120">
          <cell r="A120" t="str">
            <v xml:space="preserve">Net Capitalised R&amp;D </v>
          </cell>
          <cell r="B120"/>
          <cell r="C120"/>
          <cell r="D120"/>
          <cell r="E120"/>
          <cell r="F120"/>
          <cell r="G120"/>
          <cell r="H120">
            <v>4</v>
          </cell>
          <cell r="I120">
            <v>165</v>
          </cell>
          <cell r="J120">
            <v>165</v>
          </cell>
          <cell r="K120">
            <v>291</v>
          </cell>
          <cell r="L120">
            <v>404</v>
          </cell>
          <cell r="M120">
            <v>47</v>
          </cell>
        </row>
        <row r="121">
          <cell r="A121" t="str">
            <v>Gross capitalised R&amp;D (for info only)</v>
          </cell>
          <cell r="B121"/>
          <cell r="C121"/>
          <cell r="D121"/>
          <cell r="E121"/>
          <cell r="F121"/>
          <cell r="G121"/>
          <cell r="H121">
            <v>4</v>
          </cell>
          <cell r="I121">
            <v>165</v>
          </cell>
          <cell r="J121">
            <v>165</v>
          </cell>
          <cell r="K121">
            <v>293</v>
          </cell>
          <cell r="L121">
            <v>411</v>
          </cell>
          <cell r="M121">
            <v>93</v>
          </cell>
        </row>
        <row r="122">
          <cell r="A122" t="str">
            <v>Cash R&amp;D (for info only)</v>
          </cell>
          <cell r="B122">
            <v>-1090</v>
          </cell>
          <cell r="C122">
            <v>-1232</v>
          </cell>
          <cell r="D122">
            <v>-1324</v>
          </cell>
          <cell r="E122">
            <v>-1339</v>
          </cell>
          <cell r="F122">
            <v>-2046</v>
          </cell>
          <cell r="G122">
            <v>-2096</v>
          </cell>
          <cell r="H122">
            <v>-2193</v>
          </cell>
          <cell r="I122">
            <v>-2291</v>
          </cell>
          <cell r="J122">
            <v>-2291</v>
          </cell>
          <cell r="K122">
            <v>-2366</v>
          </cell>
          <cell r="L122">
            <v>-2862</v>
          </cell>
          <cell r="M122">
            <v>-2655</v>
          </cell>
        </row>
        <row r="123">
          <cell r="A123" t="str">
            <v>As a % underlying sales</v>
          </cell>
          <cell r="B123">
            <v>-5.7778955738139411E-2</v>
          </cell>
          <cell r="C123">
            <v>-5.9852312475709289E-2</v>
          </cell>
          <cell r="D123">
            <v>-5.8706158825876827E-2</v>
          </cell>
          <cell r="E123">
            <v>-5.5312293456708524E-2</v>
          </cell>
          <cell r="F123">
            <v>-6.6432885252289103E-2</v>
          </cell>
          <cell r="G123">
            <v>-7.0097990033778132E-2</v>
          </cell>
          <cell r="H123">
            <v>-7.2777353731789063E-2</v>
          </cell>
          <cell r="I123">
            <v>-7.2132489531186048E-2</v>
          </cell>
          <cell r="J123">
            <v>-7.2132489531186048E-2</v>
          </cell>
          <cell r="K123">
            <v>-6.9169151610828511E-2</v>
          </cell>
          <cell r="L123">
            <v>-7.2576964041182732E-2</v>
          </cell>
          <cell r="M123">
            <v>-6.786289394985047E-2</v>
          </cell>
        </row>
        <row r="124">
          <cell r="A124"/>
          <cell r="B124"/>
          <cell r="C124"/>
          <cell r="D124"/>
          <cell r="E124"/>
          <cell r="F124"/>
          <cell r="G124"/>
          <cell r="H124"/>
          <cell r="I124"/>
          <cell r="J124"/>
          <cell r="K124"/>
          <cell r="L124"/>
          <cell r="M124"/>
        </row>
        <row r="125">
          <cell r="A125" t="str">
            <v>Other income</v>
          </cell>
          <cell r="B125">
            <v>458</v>
          </cell>
          <cell r="C125">
            <v>710</v>
          </cell>
          <cell r="D125">
            <v>475</v>
          </cell>
          <cell r="E125">
            <v>342</v>
          </cell>
          <cell r="F125">
            <v>3024</v>
          </cell>
          <cell r="G125">
            <v>248</v>
          </cell>
          <cell r="H125">
            <v>196</v>
          </cell>
          <cell r="I125">
            <v>314</v>
          </cell>
          <cell r="J125">
            <v>314</v>
          </cell>
          <cell r="K125">
            <v>222</v>
          </cell>
          <cell r="L125">
            <v>297</v>
          </cell>
          <cell r="M125">
            <v>233</v>
          </cell>
        </row>
        <row r="126">
          <cell r="A126" t="str">
            <v>of which, capital gains</v>
          </cell>
          <cell r="B126"/>
          <cell r="C126">
            <v>200</v>
          </cell>
          <cell r="D126">
            <v>182</v>
          </cell>
          <cell r="E126"/>
          <cell r="F126"/>
          <cell r="G126">
            <v>63</v>
          </cell>
          <cell r="H126"/>
          <cell r="I126"/>
          <cell r="J126"/>
          <cell r="K126"/>
          <cell r="L126">
            <v>127</v>
          </cell>
          <cell r="M126">
            <v>111</v>
          </cell>
        </row>
        <row r="127">
          <cell r="A127" t="str">
            <v>Associates (included in EBIT from 2005 onwards)</v>
          </cell>
          <cell r="B127"/>
          <cell r="C127"/>
          <cell r="D127"/>
          <cell r="E127"/>
          <cell r="F127"/>
          <cell r="G127"/>
          <cell r="H127"/>
          <cell r="I127"/>
          <cell r="J127">
            <v>84</v>
          </cell>
          <cell r="K127">
            <v>225</v>
          </cell>
          <cell r="L127">
            <v>189</v>
          </cell>
          <cell r="M127">
            <v>296</v>
          </cell>
        </row>
        <row r="128">
          <cell r="A128"/>
          <cell r="B128"/>
          <cell r="C128"/>
          <cell r="D128"/>
          <cell r="E128"/>
          <cell r="F128"/>
          <cell r="G128"/>
          <cell r="H128"/>
          <cell r="I128"/>
          <cell r="J128"/>
          <cell r="K128"/>
          <cell r="L128"/>
          <cell r="M128"/>
        </row>
        <row r="129">
          <cell r="A129" t="str">
            <v>Statutory defined EBIT</v>
          </cell>
          <cell r="B129">
            <v>183</v>
          </cell>
          <cell r="C129">
            <v>785</v>
          </cell>
          <cell r="D129">
            <v>815</v>
          </cell>
          <cell r="E129">
            <v>200</v>
          </cell>
          <cell r="F129">
            <v>2514</v>
          </cell>
          <cell r="G129">
            <v>160</v>
          </cell>
          <cell r="H129">
            <v>561</v>
          </cell>
          <cell r="I129">
            <v>2143</v>
          </cell>
          <cell r="J129">
            <v>2215</v>
          </cell>
          <cell r="K129">
            <v>2712</v>
          </cell>
          <cell r="L129">
            <v>278</v>
          </cell>
          <cell r="M129">
            <v>-33</v>
          </cell>
        </row>
        <row r="130">
          <cell r="A130" t="str">
            <v>Add back goodwill amortisation / impairment charges</v>
          </cell>
          <cell r="B130">
            <v>403</v>
          </cell>
          <cell r="C130">
            <v>410</v>
          </cell>
          <cell r="D130">
            <v>398</v>
          </cell>
          <cell r="E130">
            <v>429</v>
          </cell>
          <cell r="F130">
            <v>1466</v>
          </cell>
          <cell r="G130">
            <v>936</v>
          </cell>
          <cell r="H130">
            <v>567</v>
          </cell>
          <cell r="I130"/>
          <cell r="J130"/>
          <cell r="K130"/>
          <cell r="L130">
            <v>64</v>
          </cell>
          <cell r="M130">
            <v>12</v>
          </cell>
        </row>
        <row r="131">
          <cell r="A131" t="str">
            <v>Add back income from investments / disposals</v>
          </cell>
          <cell r="B131"/>
          <cell r="C131"/>
          <cell r="D131"/>
          <cell r="E131">
            <v>111</v>
          </cell>
          <cell r="F131">
            <v>-342</v>
          </cell>
          <cell r="G131">
            <v>87</v>
          </cell>
          <cell r="H131">
            <v>186</v>
          </cell>
          <cell r="I131">
            <v>84</v>
          </cell>
          <cell r="J131"/>
          <cell r="K131"/>
          <cell r="L131"/>
          <cell r="M131">
            <v>24</v>
          </cell>
        </row>
        <row r="132">
          <cell r="A132" t="str">
            <v>Strip out dilution gain on formation of Airbus / MBDA</v>
          </cell>
          <cell r="B132"/>
          <cell r="C132"/>
          <cell r="D132"/>
          <cell r="E132"/>
          <cell r="F132">
            <v>-2794</v>
          </cell>
          <cell r="G132"/>
          <cell r="H132"/>
          <cell r="I132"/>
          <cell r="J132"/>
          <cell r="K132"/>
          <cell r="L132"/>
          <cell r="M132"/>
        </row>
        <row r="133">
          <cell r="A133" t="str">
            <v>Add back exceptional depreciation on fixed assets</v>
          </cell>
          <cell r="B133"/>
          <cell r="C133"/>
          <cell r="D133"/>
          <cell r="E133">
            <v>176</v>
          </cell>
          <cell r="F133">
            <v>260</v>
          </cell>
          <cell r="G133">
            <v>227</v>
          </cell>
          <cell r="H133">
            <v>214</v>
          </cell>
          <cell r="I133">
            <v>212</v>
          </cell>
          <cell r="J133">
            <v>212</v>
          </cell>
          <cell r="K133">
            <v>136</v>
          </cell>
          <cell r="L133">
            <v>57</v>
          </cell>
          <cell r="M133">
            <v>49</v>
          </cell>
        </row>
        <row r="134">
          <cell r="A134" t="str">
            <v>Add back exceptional depreciation on inventories</v>
          </cell>
          <cell r="B134"/>
          <cell r="C134"/>
          <cell r="D134"/>
          <cell r="E134">
            <v>483</v>
          </cell>
          <cell r="F134">
            <v>275</v>
          </cell>
          <cell r="G134">
            <v>16</v>
          </cell>
          <cell r="H134">
            <v>15</v>
          </cell>
          <cell r="I134">
            <v>5</v>
          </cell>
          <cell r="J134">
            <v>5</v>
          </cell>
          <cell r="K134"/>
          <cell r="L134"/>
          <cell r="M134"/>
        </row>
        <row r="135">
          <cell r="A135" t="str">
            <v>Add back impairment test on Nortel JV</v>
          </cell>
          <cell r="B135"/>
          <cell r="C135"/>
          <cell r="D135"/>
          <cell r="E135"/>
          <cell r="F135">
            <v>315</v>
          </cell>
          <cell r="G135"/>
          <cell r="H135"/>
          <cell r="I135"/>
          <cell r="J135"/>
          <cell r="K135">
            <v>4</v>
          </cell>
          <cell r="L135"/>
          <cell r="M135"/>
        </row>
        <row r="136">
          <cell r="A136" t="str">
            <v>EADS defined EBITA</v>
          </cell>
          <cell r="B136">
            <v>586</v>
          </cell>
          <cell r="C136">
            <v>1195</v>
          </cell>
          <cell r="D136">
            <v>1213</v>
          </cell>
          <cell r="E136">
            <v>1399</v>
          </cell>
          <cell r="F136">
            <v>1694</v>
          </cell>
          <cell r="G136">
            <v>1426</v>
          </cell>
          <cell r="H136">
            <v>1543</v>
          </cell>
          <cell r="I136">
            <v>2444</v>
          </cell>
          <cell r="J136">
            <v>2432</v>
          </cell>
          <cell r="K136">
            <v>2852</v>
          </cell>
          <cell r="L136">
            <v>399</v>
          </cell>
          <cell r="M136">
            <v>52</v>
          </cell>
        </row>
        <row r="137">
          <cell r="A137" t="str">
            <v>as a % of underlying sales</v>
          </cell>
          <cell r="B137">
            <v>3.1062814736284125E-2</v>
          </cell>
          <cell r="C137">
            <v>5.8054799844539449E-2</v>
          </cell>
          <cell r="D137">
            <v>5.3784418924311621E-2</v>
          </cell>
          <cell r="E137">
            <v>5.779081295439524E-2</v>
          </cell>
          <cell r="F137">
            <v>5.5003571660497436E-2</v>
          </cell>
          <cell r="G137">
            <v>4.7690712685194474E-2</v>
          </cell>
          <cell r="H137">
            <v>5.1206318653967409E-2</v>
          </cell>
          <cell r="I137">
            <v>7.6949718207864989E-2</v>
          </cell>
          <cell r="J137">
            <v>7.6571896350870569E-2</v>
          </cell>
          <cell r="K137">
            <v>8.3377185289130559E-2</v>
          </cell>
          <cell r="L137">
            <v>1.0118172135720443E-2</v>
          </cell>
          <cell r="M137">
            <v>1.3291414257597832E-3</v>
          </cell>
        </row>
        <row r="138">
          <cell r="A138" t="str">
            <v>Add back EADS defined one-offs</v>
          </cell>
          <cell r="B138"/>
          <cell r="C138"/>
          <cell r="D138"/>
          <cell r="E138"/>
          <cell r="F138"/>
          <cell r="G138"/>
          <cell r="H138"/>
          <cell r="I138"/>
          <cell r="J138"/>
          <cell r="K138"/>
          <cell r="L138">
            <v>3157</v>
          </cell>
          <cell r="M138">
            <v>3562</v>
          </cell>
        </row>
        <row r="139">
          <cell r="A139" t="str">
            <v>EADS defined EBITA pre-one-offs (new def. from 2010)</v>
          </cell>
          <cell r="B139"/>
          <cell r="C139"/>
          <cell r="D139"/>
          <cell r="E139"/>
          <cell r="F139"/>
          <cell r="G139"/>
          <cell r="H139"/>
          <cell r="I139"/>
          <cell r="J139"/>
          <cell r="K139"/>
          <cell r="L139">
            <v>3556</v>
          </cell>
          <cell r="M139">
            <v>3614</v>
          </cell>
        </row>
        <row r="140">
          <cell r="A140" t="str">
            <v>Asa % of underlying sales</v>
          </cell>
          <cell r="B140"/>
          <cell r="C140"/>
          <cell r="D140"/>
          <cell r="E140"/>
          <cell r="F140"/>
          <cell r="G140"/>
          <cell r="H140"/>
          <cell r="I140"/>
          <cell r="J140"/>
          <cell r="K140"/>
          <cell r="L140">
            <v>9.0175990262210279E-2</v>
          </cell>
          <cell r="M140">
            <v>9.2375329090304936E-2</v>
          </cell>
        </row>
        <row r="141">
          <cell r="A141"/>
          <cell r="B141"/>
          <cell r="C141"/>
          <cell r="D141"/>
          <cell r="E141"/>
          <cell r="F141"/>
          <cell r="G141"/>
          <cell r="H141"/>
          <cell r="I141"/>
          <cell r="J141"/>
          <cell r="K141"/>
          <cell r="L141"/>
          <cell r="M141"/>
        </row>
        <row r="142">
          <cell r="A142" t="str">
            <v>EBITDA (post one-off)</v>
          </cell>
          <cell r="B142"/>
          <cell r="C142"/>
          <cell r="D142"/>
          <cell r="E142">
            <v>2334</v>
          </cell>
          <cell r="F142">
            <v>3213</v>
          </cell>
          <cell r="G142">
            <v>3031</v>
          </cell>
          <cell r="H142">
            <v>3137</v>
          </cell>
          <cell r="I142">
            <v>3853</v>
          </cell>
          <cell r="J142">
            <v>3841</v>
          </cell>
          <cell r="K142">
            <v>4369</v>
          </cell>
          <cell r="L142">
            <v>2033</v>
          </cell>
          <cell r="M142">
            <v>1751</v>
          </cell>
        </row>
        <row r="143">
          <cell r="A143" t="str">
            <v>as a % of underlying sales</v>
          </cell>
          <cell r="B143"/>
          <cell r="C143"/>
          <cell r="D143"/>
          <cell r="E143">
            <v>9.6414408460013215E-2</v>
          </cell>
          <cell r="F143">
            <v>0.10432495616598481</v>
          </cell>
          <cell r="G143">
            <v>0.10136784722918966</v>
          </cell>
          <cell r="H143">
            <v>0.10410513390634853</v>
          </cell>
          <cell r="I143">
            <v>0.12131230124996065</v>
          </cell>
          <cell r="J143">
            <v>0.12093447939296621</v>
          </cell>
          <cell r="K143">
            <v>0.1277261299187277</v>
          </cell>
          <cell r="L143">
            <v>5.1554496120099408E-2</v>
          </cell>
          <cell r="M143">
            <v>4.475628147125732E-2</v>
          </cell>
        </row>
        <row r="144">
          <cell r="A144"/>
          <cell r="B144"/>
          <cell r="C144"/>
          <cell r="D144"/>
          <cell r="E144"/>
          <cell r="F144"/>
          <cell r="G144"/>
          <cell r="H144"/>
          <cell r="I144"/>
          <cell r="J144"/>
          <cell r="K144"/>
          <cell r="L144"/>
          <cell r="M144"/>
        </row>
        <row r="145">
          <cell r="A145" t="str">
            <v>Income from investments (included in EBIT from 2005 onwards)</v>
          </cell>
          <cell r="B145"/>
          <cell r="C145"/>
          <cell r="D145"/>
          <cell r="E145">
            <v>111</v>
          </cell>
          <cell r="F145">
            <v>-342</v>
          </cell>
          <cell r="G145">
            <v>87</v>
          </cell>
          <cell r="H145">
            <v>186</v>
          </cell>
          <cell r="I145">
            <v>84</v>
          </cell>
          <cell r="J145"/>
          <cell r="K145"/>
          <cell r="L145"/>
          <cell r="M145"/>
        </row>
        <row r="146">
          <cell r="A146" t="str">
            <v>of which, associates</v>
          </cell>
          <cell r="B146"/>
          <cell r="C146"/>
          <cell r="D146"/>
          <cell r="E146"/>
          <cell r="F146">
            <v>22</v>
          </cell>
          <cell r="G146">
            <v>108</v>
          </cell>
          <cell r="H146">
            <v>224</v>
          </cell>
          <cell r="I146">
            <v>88</v>
          </cell>
          <cell r="J146"/>
          <cell r="K146"/>
          <cell r="L146"/>
          <cell r="M146"/>
        </row>
        <row r="148">
          <cell r="A148" t="str">
            <v>Interest result</v>
          </cell>
          <cell r="B148"/>
          <cell r="C148"/>
          <cell r="D148"/>
          <cell r="E148">
            <v>10</v>
          </cell>
          <cell r="F148">
            <v>63</v>
          </cell>
          <cell r="G148">
            <v>-81</v>
          </cell>
          <cell r="H148">
            <v>-203</v>
          </cell>
          <cell r="I148">
            <v>-275</v>
          </cell>
          <cell r="J148">
            <v>-275</v>
          </cell>
          <cell r="K148">
            <v>-155</v>
          </cell>
          <cell r="L148">
            <v>-121</v>
          </cell>
          <cell r="M148">
            <v>-199</v>
          </cell>
        </row>
        <row r="149">
          <cell r="A149" t="str">
            <v>of which, true net interest</v>
          </cell>
          <cell r="B149"/>
          <cell r="C149"/>
          <cell r="D149"/>
          <cell r="E149" t="str">
            <v>n/a</v>
          </cell>
          <cell r="F149" t="str">
            <v>n/a</v>
          </cell>
          <cell r="G149">
            <v>-81</v>
          </cell>
          <cell r="H149">
            <v>15</v>
          </cell>
          <cell r="I149">
            <v>-30</v>
          </cell>
          <cell r="J149">
            <v>-30</v>
          </cell>
          <cell r="K149">
            <v>81</v>
          </cell>
          <cell r="L149">
            <v>145</v>
          </cell>
          <cell r="M149">
            <v>90</v>
          </cell>
        </row>
        <row r="150">
          <cell r="A150" t="str">
            <v>of which, interest on Launch aid</v>
          </cell>
          <cell r="B150"/>
          <cell r="C150"/>
          <cell r="D150"/>
          <cell r="E150" t="str">
            <v>n/a</v>
          </cell>
          <cell r="F150" t="str">
            <v>n/a</v>
          </cell>
          <cell r="G150" t="str">
            <v>n/a</v>
          </cell>
          <cell r="H150">
            <v>-218</v>
          </cell>
          <cell r="I150">
            <v>-245</v>
          </cell>
          <cell r="J150">
            <v>-245</v>
          </cell>
          <cell r="K150">
            <v>-236</v>
          </cell>
          <cell r="L150">
            <v>-266</v>
          </cell>
          <cell r="M150">
            <v>-289</v>
          </cell>
        </row>
        <row r="151">
          <cell r="A151" t="str">
            <v>Other financial result</v>
          </cell>
          <cell r="B151"/>
          <cell r="C151"/>
          <cell r="D151"/>
          <cell r="E151">
            <v>-1436</v>
          </cell>
          <cell r="F151">
            <v>-234</v>
          </cell>
          <cell r="G151">
            <v>21</v>
          </cell>
          <cell r="H151">
            <v>148</v>
          </cell>
          <cell r="I151">
            <v>-55</v>
          </cell>
          <cell r="J151">
            <v>-55</v>
          </cell>
          <cell r="K151">
            <v>-22</v>
          </cell>
          <cell r="L151">
            <v>-123</v>
          </cell>
          <cell r="M151">
            <v>-538</v>
          </cell>
        </row>
        <row r="152">
          <cell r="A152" t="str">
            <v>of which, mark-to-market</v>
          </cell>
          <cell r="B152"/>
          <cell r="C152"/>
          <cell r="D152"/>
          <cell r="E152"/>
          <cell r="F152"/>
          <cell r="G152"/>
          <cell r="H152"/>
          <cell r="I152"/>
          <cell r="J152"/>
          <cell r="K152"/>
          <cell r="L152"/>
          <cell r="M152">
            <v>-336</v>
          </cell>
        </row>
        <row r="153">
          <cell r="A153" t="str">
            <v>of which, unwinding of discounted provisions</v>
          </cell>
          <cell r="B153"/>
          <cell r="C153"/>
          <cell r="D153"/>
          <cell r="E153"/>
          <cell r="F153"/>
          <cell r="G153"/>
          <cell r="H153"/>
          <cell r="I153"/>
          <cell r="J153"/>
          <cell r="K153"/>
          <cell r="L153"/>
          <cell r="M153">
            <v>-202</v>
          </cell>
        </row>
        <row r="154">
          <cell r="A154" t="str">
            <v>Statutory net finance costs</v>
          </cell>
          <cell r="B154">
            <v>-1747</v>
          </cell>
          <cell r="C154">
            <v>1005</v>
          </cell>
          <cell r="D154">
            <v>-1846</v>
          </cell>
          <cell r="E154">
            <v>-1426</v>
          </cell>
          <cell r="F154">
            <v>-171</v>
          </cell>
          <cell r="G154">
            <v>-60</v>
          </cell>
          <cell r="H154">
            <v>-55</v>
          </cell>
          <cell r="I154">
            <v>-330</v>
          </cell>
          <cell r="J154">
            <v>-330</v>
          </cell>
          <cell r="K154">
            <v>-177</v>
          </cell>
          <cell r="L154">
            <v>-244</v>
          </cell>
          <cell r="M154">
            <v>-737</v>
          </cell>
        </row>
        <row r="155">
          <cell r="A155" t="str">
            <v>Add back EADS defined one-offs in finance line</v>
          </cell>
          <cell r="B155"/>
          <cell r="C155"/>
          <cell r="D155"/>
          <cell r="E155"/>
          <cell r="F155"/>
          <cell r="G155"/>
          <cell r="H155"/>
          <cell r="I155"/>
          <cell r="J155"/>
          <cell r="K155"/>
          <cell r="L155"/>
          <cell r="M155"/>
        </row>
        <row r="156">
          <cell r="A156" t="str">
            <v>EADS defined u/l net fin. charge (new def. from 2010)</v>
          </cell>
          <cell r="B156"/>
          <cell r="C156"/>
          <cell r="D156"/>
          <cell r="E156"/>
          <cell r="F156"/>
          <cell r="G156"/>
          <cell r="H156"/>
          <cell r="I156"/>
          <cell r="J156"/>
          <cell r="K156"/>
          <cell r="L156"/>
          <cell r="M156"/>
        </row>
        <row r="158">
          <cell r="A158" t="str">
            <v>Statutory defined PTP</v>
          </cell>
          <cell r="B158">
            <v>-1564</v>
          </cell>
          <cell r="C158">
            <v>1790</v>
          </cell>
          <cell r="D158">
            <v>-1031</v>
          </cell>
          <cell r="E158">
            <v>-1115</v>
          </cell>
          <cell r="F158">
            <v>2001</v>
          </cell>
          <cell r="G158">
            <v>187</v>
          </cell>
          <cell r="H158">
            <v>692</v>
          </cell>
          <cell r="I158">
            <v>1897</v>
          </cell>
          <cell r="J158">
            <v>1885</v>
          </cell>
          <cell r="K158">
            <v>2535</v>
          </cell>
          <cell r="L158">
            <v>34</v>
          </cell>
          <cell r="M158">
            <v>-770</v>
          </cell>
        </row>
        <row r="159">
          <cell r="A159" t="str">
            <v>EADS defined underlying PTP (new def. from 2010)</v>
          </cell>
          <cell r="B159"/>
          <cell r="C159"/>
          <cell r="D159"/>
          <cell r="E159">
            <v>-27</v>
          </cell>
          <cell r="F159">
            <v>1523</v>
          </cell>
          <cell r="G159">
            <v>1366</v>
          </cell>
          <cell r="H159">
            <v>1488</v>
          </cell>
          <cell r="I159">
            <v>2114</v>
          </cell>
          <cell r="J159">
            <v>2102</v>
          </cell>
          <cell r="K159">
            <v>2675</v>
          </cell>
          <cell r="L159">
            <v>155</v>
          </cell>
          <cell r="M159">
            <v>-685</v>
          </cell>
        </row>
        <row r="160">
          <cell r="A160"/>
          <cell r="B160"/>
          <cell r="C160"/>
          <cell r="D160"/>
          <cell r="E160"/>
          <cell r="F160"/>
          <cell r="G160"/>
          <cell r="H160"/>
          <cell r="I160"/>
          <cell r="J160"/>
          <cell r="K160"/>
          <cell r="L160"/>
          <cell r="M160"/>
        </row>
        <row r="161">
          <cell r="A161" t="str">
            <v>Statutory defined taxation</v>
          </cell>
          <cell r="B161">
            <v>596</v>
          </cell>
          <cell r="C161">
            <v>-585</v>
          </cell>
          <cell r="D161">
            <v>24</v>
          </cell>
          <cell r="E161">
            <v>220</v>
          </cell>
          <cell r="F161">
            <v>-646</v>
          </cell>
          <cell r="G161">
            <v>-453</v>
          </cell>
          <cell r="H161">
            <v>-474</v>
          </cell>
          <cell r="I161">
            <v>-664</v>
          </cell>
          <cell r="J161">
            <v>-664</v>
          </cell>
          <cell r="K161">
            <v>-825</v>
          </cell>
          <cell r="L161">
            <v>81</v>
          </cell>
          <cell r="M161">
            <v>333</v>
          </cell>
        </row>
        <row r="162">
          <cell r="A162" t="str">
            <v>EADS defined statutory tax rate</v>
          </cell>
          <cell r="B162" t="str">
            <v>n/a</v>
          </cell>
          <cell r="C162" t="str">
            <v>n/a</v>
          </cell>
          <cell r="D162" t="str">
            <v>n/a</v>
          </cell>
          <cell r="E162">
            <v>-0.19730941704035873</v>
          </cell>
          <cell r="F162">
            <v>-0.32283858070964516</v>
          </cell>
          <cell r="G162">
            <v>-2.4224598930481283</v>
          </cell>
          <cell r="H162">
            <v>-0.68497109826589597</v>
          </cell>
          <cell r="I162">
            <v>-0.35002635740643123</v>
          </cell>
          <cell r="J162">
            <v>-0.35225464190981431</v>
          </cell>
          <cell r="K162">
            <v>-0.32544378698224852</v>
          </cell>
          <cell r="L162">
            <v>2.3823529411764706</v>
          </cell>
          <cell r="M162">
            <v>-0.43246753246753245</v>
          </cell>
        </row>
        <row r="163">
          <cell r="A163"/>
          <cell r="B163"/>
          <cell r="C163"/>
          <cell r="D163"/>
          <cell r="E163"/>
          <cell r="F163"/>
          <cell r="G163"/>
          <cell r="H163"/>
          <cell r="I163"/>
          <cell r="J163"/>
          <cell r="K163"/>
          <cell r="L163"/>
          <cell r="M163"/>
        </row>
        <row r="164">
          <cell r="A164" t="str">
            <v>Adjustment for tax on EADS defined exceptional items</v>
          </cell>
          <cell r="B164"/>
          <cell r="C164"/>
          <cell r="D164"/>
          <cell r="E164" t="str">
            <v>n/a</v>
          </cell>
          <cell r="F164">
            <v>-182</v>
          </cell>
          <cell r="G164">
            <v>-88</v>
          </cell>
          <cell r="H164">
            <v>-83</v>
          </cell>
          <cell r="I164">
            <v>-78</v>
          </cell>
          <cell r="J164">
            <v>-78</v>
          </cell>
          <cell r="K164">
            <v>-47</v>
          </cell>
          <cell r="L164">
            <v>-21</v>
          </cell>
          <cell r="M164">
            <v>-72</v>
          </cell>
        </row>
        <row r="165">
          <cell r="A165" t="str">
            <v>EADS defined underlying taxation</v>
          </cell>
          <cell r="B165"/>
          <cell r="C165"/>
          <cell r="D165"/>
          <cell r="E165">
            <v>220</v>
          </cell>
          <cell r="F165">
            <v>-828</v>
          </cell>
          <cell r="G165">
            <v>-541</v>
          </cell>
          <cell r="H165">
            <v>-557</v>
          </cell>
          <cell r="I165">
            <v>-742</v>
          </cell>
          <cell r="J165">
            <v>-742</v>
          </cell>
          <cell r="K165">
            <v>-872</v>
          </cell>
          <cell r="L165">
            <v>60</v>
          </cell>
          <cell r="M165">
            <v>261</v>
          </cell>
        </row>
        <row r="166">
          <cell r="A166" t="str">
            <v>EADS defined underlying tax rate</v>
          </cell>
          <cell r="B166"/>
          <cell r="C166"/>
          <cell r="D166"/>
          <cell r="E166">
            <v>-0.36</v>
          </cell>
          <cell r="F166">
            <v>-0.54366382140512148</v>
          </cell>
          <cell r="G166">
            <v>-0.39604685212298685</v>
          </cell>
          <cell r="H166">
            <v>-0.37432795698924731</v>
          </cell>
          <cell r="I166">
            <v>-0.35099337748344372</v>
          </cell>
          <cell r="J166">
            <v>-0.35299714557564227</v>
          </cell>
          <cell r="K166">
            <v>-0.32598130841121498</v>
          </cell>
          <cell r="L166">
            <v>0.38709677419354838</v>
          </cell>
          <cell r="M166">
            <v>-0.381021897810219</v>
          </cell>
        </row>
        <row r="167">
          <cell r="A167"/>
          <cell r="B167"/>
          <cell r="C167"/>
          <cell r="D167"/>
          <cell r="E167"/>
          <cell r="F167"/>
          <cell r="G167"/>
          <cell r="H167"/>
          <cell r="I167"/>
          <cell r="J167"/>
          <cell r="K167"/>
          <cell r="L167"/>
          <cell r="M167"/>
        </row>
        <row r="168">
          <cell r="A168" t="str">
            <v>Statutory defined Minorities</v>
          </cell>
          <cell r="B168">
            <v>-15</v>
          </cell>
          <cell r="C168">
            <v>-16</v>
          </cell>
          <cell r="D168">
            <v>-2</v>
          </cell>
          <cell r="E168">
            <v>-14</v>
          </cell>
          <cell r="F168">
            <v>17</v>
          </cell>
          <cell r="G168">
            <v>-33</v>
          </cell>
          <cell r="H168">
            <v>-66</v>
          </cell>
          <cell r="I168">
            <v>-203</v>
          </cell>
          <cell r="J168">
            <v>-18</v>
          </cell>
          <cell r="K168">
            <v>-34</v>
          </cell>
          <cell r="L168">
            <v>-16</v>
          </cell>
          <cell r="M168">
            <v>-9</v>
          </cell>
        </row>
        <row r="169">
          <cell r="A169" t="str">
            <v>Adjustment for exceptional depreciation related to Minorities (2001-2004 only)</v>
          </cell>
          <cell r="B169"/>
          <cell r="C169"/>
          <cell r="D169"/>
          <cell r="E169" t="str">
            <v>n/a</v>
          </cell>
          <cell r="F169">
            <v>97</v>
          </cell>
          <cell r="G169">
            <v>-96</v>
          </cell>
          <cell r="H169">
            <v>-96</v>
          </cell>
          <cell r="I169">
            <v>-17</v>
          </cell>
          <cell r="J169"/>
          <cell r="K169"/>
          <cell r="L169"/>
          <cell r="M169"/>
        </row>
        <row r="170">
          <cell r="A170" t="str">
            <v>EADS defined underlying Minorities</v>
          </cell>
          <cell r="B170"/>
          <cell r="C170"/>
          <cell r="D170"/>
          <cell r="E170">
            <v>-14</v>
          </cell>
          <cell r="F170">
            <v>114</v>
          </cell>
          <cell r="G170">
            <v>-129</v>
          </cell>
          <cell r="H170">
            <v>-162</v>
          </cell>
          <cell r="I170">
            <v>-220</v>
          </cell>
          <cell r="J170">
            <v>-18</v>
          </cell>
          <cell r="K170">
            <v>-34</v>
          </cell>
          <cell r="L170">
            <v>-16</v>
          </cell>
          <cell r="M170">
            <v>-9</v>
          </cell>
        </row>
        <row r="171">
          <cell r="A171"/>
          <cell r="B171"/>
          <cell r="C171"/>
          <cell r="D171"/>
          <cell r="E171"/>
          <cell r="F171"/>
          <cell r="G171"/>
          <cell r="H171"/>
          <cell r="I171"/>
          <cell r="J171"/>
          <cell r="K171"/>
          <cell r="L171"/>
          <cell r="M171"/>
        </row>
        <row r="172">
          <cell r="A172" t="str">
            <v>Statutory defined Net Income</v>
          </cell>
          <cell r="B172">
            <v>-983</v>
          </cell>
          <cell r="C172">
            <v>1189</v>
          </cell>
          <cell r="D172">
            <v>-1009</v>
          </cell>
          <cell r="E172">
            <v>-909</v>
          </cell>
          <cell r="F172">
            <v>1372</v>
          </cell>
          <cell r="G172">
            <v>-299</v>
          </cell>
          <cell r="H172">
            <v>152</v>
          </cell>
          <cell r="I172">
            <v>1030</v>
          </cell>
          <cell r="J172">
            <v>1203</v>
          </cell>
          <cell r="K172">
            <v>1676</v>
          </cell>
          <cell r="L172">
            <v>99</v>
          </cell>
          <cell r="M172">
            <v>-446</v>
          </cell>
        </row>
        <row r="173">
          <cell r="A173" t="str">
            <v>EADS defined u/l Net Income (new def. from 2010)</v>
          </cell>
          <cell r="B173"/>
          <cell r="C173"/>
          <cell r="D173"/>
          <cell r="E173">
            <v>179</v>
          </cell>
          <cell r="F173">
            <v>809</v>
          </cell>
          <cell r="G173">
            <v>696</v>
          </cell>
          <cell r="H173">
            <v>769</v>
          </cell>
          <cell r="I173">
            <v>1152</v>
          </cell>
          <cell r="J173">
            <v>1342</v>
          </cell>
          <cell r="K173">
            <v>1769</v>
          </cell>
          <cell r="L173">
            <v>199</v>
          </cell>
          <cell r="M173">
            <v>-433</v>
          </cell>
        </row>
        <row r="174">
          <cell r="A174"/>
          <cell r="B174"/>
          <cell r="C174"/>
          <cell r="D174"/>
          <cell r="E174"/>
          <cell r="F174"/>
          <cell r="G174"/>
          <cell r="H174"/>
          <cell r="I174"/>
          <cell r="J174"/>
          <cell r="K174"/>
          <cell r="L174"/>
          <cell r="M174"/>
        </row>
        <row r="175">
          <cell r="A175" t="str">
            <v xml:space="preserve">Dividends </v>
          </cell>
          <cell r="B175"/>
          <cell r="C175"/>
          <cell r="D175"/>
          <cell r="E175">
            <v>-403.57883349999997</v>
          </cell>
          <cell r="F175">
            <v>-404.58778050000001</v>
          </cell>
          <cell r="G175">
            <v>-240.28709999999998</v>
          </cell>
          <cell r="H175">
            <v>-320.38289920000005</v>
          </cell>
          <cell r="I175">
            <v>-399.775147</v>
          </cell>
          <cell r="J175">
            <v>-399.775147</v>
          </cell>
          <cell r="K175">
            <v>-518.14127690000009</v>
          </cell>
          <cell r="L175">
            <v>-96.255719159999998</v>
          </cell>
          <cell r="M175">
            <v>-96.505136999999991</v>
          </cell>
        </row>
        <row r="176">
          <cell r="A176" t="str">
            <v>Statutory defined Retained earnings</v>
          </cell>
          <cell r="B176"/>
          <cell r="C176"/>
          <cell r="D176"/>
          <cell r="E176">
            <v>-1312.5788335</v>
          </cell>
          <cell r="F176">
            <v>967.41221949999999</v>
          </cell>
          <cell r="G176">
            <v>-539.28710000000001</v>
          </cell>
          <cell r="H176">
            <v>-168.38289920000005</v>
          </cell>
          <cell r="I176">
            <v>630.22485299999994</v>
          </cell>
          <cell r="J176">
            <v>803.22485299999994</v>
          </cell>
          <cell r="K176">
            <v>1157.8587230999999</v>
          </cell>
          <cell r="L176">
            <v>2.7442808400000018</v>
          </cell>
          <cell r="M176">
            <v>-542.50513699999999</v>
          </cell>
        </row>
        <row r="177">
          <cell r="A177"/>
          <cell r="B177"/>
          <cell r="C177"/>
          <cell r="D177"/>
          <cell r="E177"/>
          <cell r="F177"/>
          <cell r="G177"/>
          <cell r="H177"/>
          <cell r="I177"/>
          <cell r="J177"/>
          <cell r="K177"/>
          <cell r="L177"/>
          <cell r="M177"/>
        </row>
        <row r="178">
          <cell r="A178" t="str">
            <v>Average no. of shares</v>
          </cell>
          <cell r="B178"/>
          <cell r="C178"/>
          <cell r="D178"/>
          <cell r="E178">
            <v>385.66191900000001</v>
          </cell>
          <cell r="F178">
            <v>807.29587900000001</v>
          </cell>
          <cell r="G178">
            <v>804.11699999999996</v>
          </cell>
          <cell r="H178">
            <v>800.95699999999999</v>
          </cell>
          <cell r="I178">
            <v>801.03503499999999</v>
          </cell>
          <cell r="J178">
            <v>801.03503499999999</v>
          </cell>
          <cell r="K178">
            <v>794.73422000000005</v>
          </cell>
          <cell r="L178">
            <v>800.18516399999999</v>
          </cell>
          <cell r="M178">
            <v>803.12822100000005</v>
          </cell>
        </row>
        <row r="179">
          <cell r="A179" t="str">
            <v>Diluted no. of shares</v>
          </cell>
          <cell r="B179"/>
          <cell r="C179"/>
          <cell r="D179"/>
          <cell r="E179">
            <v>385.66191900000001</v>
          </cell>
          <cell r="F179">
            <v>807.29587900000001</v>
          </cell>
          <cell r="G179">
            <v>804.11699999999996</v>
          </cell>
          <cell r="H179">
            <v>800.95699999999999</v>
          </cell>
          <cell r="I179">
            <v>804.08287199999995</v>
          </cell>
          <cell r="J179">
            <v>804.08287199999995</v>
          </cell>
          <cell r="K179">
            <v>800.21635300000003</v>
          </cell>
          <cell r="L179">
            <v>804.31566299999997</v>
          </cell>
          <cell r="M179">
            <v>805.54840100000001</v>
          </cell>
        </row>
        <row r="180">
          <cell r="A180" t="str">
            <v>Year end no. of shares</v>
          </cell>
          <cell r="B180"/>
          <cell r="C180"/>
          <cell r="D180"/>
          <cell r="E180">
            <v>807.15766699999995</v>
          </cell>
          <cell r="F180">
            <v>809.17556100000002</v>
          </cell>
          <cell r="G180">
            <v>800.95699999999999</v>
          </cell>
          <cell r="H180">
            <v>800.95724800000005</v>
          </cell>
          <cell r="I180">
            <v>799.55029400000001</v>
          </cell>
          <cell r="J180">
            <v>799.55029400000001</v>
          </cell>
          <cell r="K180">
            <v>797.14042600000005</v>
          </cell>
          <cell r="L180">
            <v>802.13099299999999</v>
          </cell>
          <cell r="M180">
            <v>804.209475</v>
          </cell>
        </row>
        <row r="181">
          <cell r="A181"/>
          <cell r="B181"/>
          <cell r="C181"/>
          <cell r="D181"/>
          <cell r="E181"/>
          <cell r="F181"/>
          <cell r="G181"/>
          <cell r="H181"/>
          <cell r="I181"/>
          <cell r="J181"/>
          <cell r="K181"/>
          <cell r="L181"/>
          <cell r="M181"/>
        </row>
        <row r="182">
          <cell r="A182" t="str">
            <v>Statutory defined EPS (€)</v>
          </cell>
          <cell r="B182"/>
          <cell r="C182"/>
          <cell r="D182"/>
          <cell r="E182">
            <v>-2.3569866642705781</v>
          </cell>
          <cell r="F182">
            <v>1.6995008096653494</v>
          </cell>
          <cell r="G182">
            <v>-0.37183643673743999</v>
          </cell>
          <cell r="H182">
            <v>0.18977298406780888</v>
          </cell>
          <cell r="I182">
            <v>1.2858363929113288</v>
          </cell>
          <cell r="J182">
            <v>1.5018069715265325</v>
          </cell>
          <cell r="K182">
            <v>2.1088811300965498</v>
          </cell>
          <cell r="L182">
            <v>0.12372136407167879</v>
          </cell>
          <cell r="M182">
            <v>-0.55532851210815559</v>
          </cell>
        </row>
        <row r="183">
          <cell r="A183" t="str">
            <v>Diluted EPS (€)</v>
          </cell>
          <cell r="B183"/>
          <cell r="C183"/>
          <cell r="D183"/>
          <cell r="E183">
            <v>-2.3569866642705781</v>
          </cell>
          <cell r="F183">
            <v>1.6995008096653494</v>
          </cell>
          <cell r="G183">
            <v>-0.37183643673743999</v>
          </cell>
          <cell r="H183">
            <v>0.18977298406780888</v>
          </cell>
          <cell r="I183">
            <v>1.2809624926322272</v>
          </cell>
          <cell r="J183">
            <v>1.4961144452782227</v>
          </cell>
          <cell r="K183">
            <v>2.0944335787649169</v>
          </cell>
          <cell r="L183">
            <v>0.1230860028645246</v>
          </cell>
          <cell r="M183">
            <v>-0.55366008975542613</v>
          </cell>
        </row>
        <row r="184">
          <cell r="A184" t="str">
            <v>EADS defined underlying EPS (€) (new def. from 2010)</v>
          </cell>
          <cell r="B184"/>
          <cell r="C184"/>
          <cell r="D184"/>
          <cell r="E184">
            <v>0.46413708790366726</v>
          </cell>
          <cell r="F184">
            <v>1.0021109001598161</v>
          </cell>
          <cell r="G184">
            <v>0.86554568551591382</v>
          </cell>
          <cell r="H184">
            <v>0.96010147860621731</v>
          </cell>
          <cell r="I184">
            <v>1.4381393443047095</v>
          </cell>
          <cell r="J184">
            <v>1.6753324653271877</v>
          </cell>
          <cell r="K184">
            <v>2.2259013837355588</v>
          </cell>
          <cell r="L184">
            <v>0.24869243889155637</v>
          </cell>
          <cell r="M184">
            <v>-0.5391418065982766</v>
          </cell>
        </row>
        <row r="185">
          <cell r="A185" t="str">
            <v>y/y change in underlying EPS</v>
          </cell>
          <cell r="B185"/>
          <cell r="C185"/>
          <cell r="D185"/>
          <cell r="E185" t="str">
            <v>n/a</v>
          </cell>
          <cell r="F185" t="str">
            <v>n/a</v>
          </cell>
          <cell r="G185">
            <v>-0.13627754634953371</v>
          </cell>
          <cell r="H185">
            <v>0.10924413889712015</v>
          </cell>
          <cell r="I185">
            <v>0.49790347827863091</v>
          </cell>
          <cell r="J185" t="str">
            <v>n/a</v>
          </cell>
          <cell r="K185">
            <v>0.32863263250906227</v>
          </cell>
          <cell r="L185">
            <v>-0.88827337962556319</v>
          </cell>
          <cell r="M185">
            <v>-3.1679059041813979</v>
          </cell>
        </row>
        <row r="186">
          <cell r="A186"/>
          <cell r="B186"/>
          <cell r="C186"/>
          <cell r="D186"/>
          <cell r="E186"/>
          <cell r="F186"/>
          <cell r="G186"/>
          <cell r="H186"/>
          <cell r="I186"/>
          <cell r="J186"/>
          <cell r="K186"/>
          <cell r="L186"/>
          <cell r="M186"/>
        </row>
        <row r="187">
          <cell r="A187" t="str">
            <v>Dividend per share (€)</v>
          </cell>
          <cell r="B187"/>
          <cell r="C187"/>
          <cell r="D187"/>
          <cell r="E187">
            <v>0.5</v>
          </cell>
          <cell r="F187">
            <v>0.5</v>
          </cell>
          <cell r="G187">
            <v>0.3</v>
          </cell>
          <cell r="H187">
            <v>0.4</v>
          </cell>
          <cell r="I187">
            <v>0.5</v>
          </cell>
          <cell r="J187">
            <v>0.5</v>
          </cell>
          <cell r="K187">
            <v>0.65</v>
          </cell>
          <cell r="L187">
            <v>0.12</v>
          </cell>
          <cell r="M187">
            <v>0.12</v>
          </cell>
        </row>
        <row r="188">
          <cell r="A188" t="str">
            <v>y/y change in dividend</v>
          </cell>
          <cell r="B188"/>
          <cell r="C188"/>
          <cell r="D188"/>
          <cell r="E188"/>
          <cell r="F188" t="str">
            <v>n/a</v>
          </cell>
          <cell r="G188">
            <v>-0.4</v>
          </cell>
          <cell r="H188">
            <v>0.33333333333333348</v>
          </cell>
          <cell r="I188">
            <v>0.25</v>
          </cell>
          <cell r="J188" t="str">
            <v>n/a</v>
          </cell>
          <cell r="K188">
            <v>0.30000000000000004</v>
          </cell>
          <cell r="L188">
            <v>-0.81538461538461537</v>
          </cell>
          <cell r="M188">
            <v>0</v>
          </cell>
        </row>
        <row r="189">
          <cell r="A189"/>
          <cell r="B189"/>
          <cell r="C189"/>
          <cell r="D189"/>
          <cell r="E189"/>
          <cell r="F189"/>
          <cell r="G189"/>
          <cell r="H189"/>
          <cell r="I189"/>
          <cell r="J189"/>
          <cell r="K189"/>
          <cell r="L189"/>
          <cell r="M189"/>
        </row>
        <row r="190">
          <cell r="A190" t="str">
            <v>Checking lines</v>
          </cell>
          <cell r="B190">
            <v>0</v>
          </cell>
          <cell r="C190">
            <v>0</v>
          </cell>
          <cell r="D190">
            <v>0</v>
          </cell>
          <cell r="E190">
            <v>0</v>
          </cell>
          <cell r="F190">
            <v>-1.1125194905150515E-3</v>
          </cell>
          <cell r="G190">
            <v>8.1271879589661644E-3</v>
          </cell>
          <cell r="H190">
            <v>3.5255325816491156E-4</v>
          </cell>
          <cell r="I190">
            <v>5.0617701517345903E-3</v>
          </cell>
          <cell r="J190">
            <v>6.7461178680570111E-3</v>
          </cell>
          <cell r="K190">
            <v>7.8390740297429318E-4</v>
          </cell>
          <cell r="L190">
            <v>-5.4998058277597739E-3</v>
          </cell>
          <cell r="M190">
            <v>-1.8695915381418127E-3</v>
          </cell>
        </row>
        <row r="191">
          <cell r="A191" t="str">
            <v>EADS defined underlying EBITDA</v>
          </cell>
          <cell r="B191"/>
          <cell r="C191"/>
          <cell r="D191"/>
          <cell r="E191">
            <v>0</v>
          </cell>
          <cell r="F191">
            <v>0</v>
          </cell>
          <cell r="G191">
            <v>0</v>
          </cell>
          <cell r="H191">
            <v>0</v>
          </cell>
          <cell r="I191">
            <v>0</v>
          </cell>
          <cell r="J191">
            <v>0</v>
          </cell>
          <cell r="K191">
            <v>0</v>
          </cell>
          <cell r="L191">
            <v>0</v>
          </cell>
          <cell r="M191">
            <v>0</v>
          </cell>
        </row>
        <row r="192">
          <cell r="A192" t="str">
            <v>EADS defined underlying EBITA</v>
          </cell>
          <cell r="B192"/>
          <cell r="C192"/>
          <cell r="D192"/>
          <cell r="E192">
            <v>0</v>
          </cell>
          <cell r="F192">
            <v>0</v>
          </cell>
          <cell r="G192">
            <v>0</v>
          </cell>
          <cell r="H192">
            <v>0</v>
          </cell>
          <cell r="I192">
            <v>0</v>
          </cell>
          <cell r="J192">
            <v>0</v>
          </cell>
          <cell r="K192">
            <v>0</v>
          </cell>
          <cell r="L192">
            <v>0</v>
          </cell>
          <cell r="M192">
            <v>0</v>
          </cell>
        </row>
        <row r="193">
          <cell r="A193" t="str">
            <v>Statutory defined PTP</v>
          </cell>
          <cell r="B193"/>
          <cell r="C193"/>
          <cell r="D193"/>
          <cell r="E193">
            <v>0</v>
          </cell>
          <cell r="F193">
            <v>0</v>
          </cell>
          <cell r="G193">
            <v>0</v>
          </cell>
          <cell r="H193">
            <v>0</v>
          </cell>
          <cell r="I193">
            <v>0</v>
          </cell>
          <cell r="J193">
            <v>0</v>
          </cell>
          <cell r="K193">
            <v>0</v>
          </cell>
          <cell r="L193">
            <v>0</v>
          </cell>
          <cell r="M193">
            <v>0</v>
          </cell>
        </row>
        <row r="194">
          <cell r="A194" t="str">
            <v>EADS defined underlying PTP</v>
          </cell>
          <cell r="B194"/>
          <cell r="C194"/>
          <cell r="D194"/>
          <cell r="E194" t="str">
            <v>n/a</v>
          </cell>
          <cell r="F194">
            <v>0</v>
          </cell>
          <cell r="G194">
            <v>0</v>
          </cell>
          <cell r="H194">
            <v>0</v>
          </cell>
          <cell r="I194">
            <v>0</v>
          </cell>
          <cell r="J194">
            <v>0</v>
          </cell>
          <cell r="K194">
            <v>0</v>
          </cell>
          <cell r="L194">
            <v>0</v>
          </cell>
          <cell r="M194">
            <v>0</v>
          </cell>
        </row>
        <row r="195">
          <cell r="A195" t="str">
            <v>Statutory defined Net Income</v>
          </cell>
          <cell r="B195">
            <v>0</v>
          </cell>
          <cell r="C195">
            <v>0</v>
          </cell>
          <cell r="D195">
            <v>0</v>
          </cell>
          <cell r="E195">
            <v>0</v>
          </cell>
          <cell r="F195">
            <v>0</v>
          </cell>
          <cell r="G195">
            <v>0</v>
          </cell>
          <cell r="H195">
            <v>0</v>
          </cell>
          <cell r="I195">
            <v>0</v>
          </cell>
          <cell r="J195">
            <v>0</v>
          </cell>
          <cell r="K195">
            <v>0</v>
          </cell>
          <cell r="L195">
            <v>0</v>
          </cell>
          <cell r="M195">
            <v>0</v>
          </cell>
        </row>
        <row r="196">
          <cell r="A196" t="str">
            <v>EADS defined underlying Net Income</v>
          </cell>
          <cell r="B196"/>
          <cell r="C196"/>
          <cell r="D196"/>
          <cell r="E196" t="str">
            <v>n/a</v>
          </cell>
          <cell r="F196">
            <v>0</v>
          </cell>
          <cell r="G196">
            <v>0</v>
          </cell>
          <cell r="H196">
            <v>0</v>
          </cell>
          <cell r="I196">
            <v>0</v>
          </cell>
          <cell r="J196">
            <v>0</v>
          </cell>
          <cell r="K196">
            <v>0</v>
          </cell>
          <cell r="L196">
            <v>0</v>
          </cell>
          <cell r="M196">
            <v>0</v>
          </cell>
        </row>
        <row r="197">
          <cell r="A197" t="str">
            <v>Statutory EPS</v>
          </cell>
          <cell r="B197"/>
          <cell r="C197"/>
          <cell r="D197"/>
          <cell r="E197"/>
          <cell r="F197">
            <v>4.9919033465051221E-4</v>
          </cell>
          <cell r="G197">
            <v>1.8364367374399948E-3</v>
          </cell>
          <cell r="H197">
            <v>2.2701593219112692E-4</v>
          </cell>
          <cell r="I197">
            <v>4.1636070886712506E-3</v>
          </cell>
          <cell r="J197">
            <v>-1.8069715265325303E-3</v>
          </cell>
          <cell r="K197">
            <v>1.1188699034501148E-3</v>
          </cell>
          <cell r="L197">
            <v>-3.7213640716787927E-3</v>
          </cell>
          <cell r="M197">
            <v>-4.6714878918444613E-3</v>
          </cell>
        </row>
        <row r="198">
          <cell r="A198" t="str">
            <v>Diluted EPS</v>
          </cell>
          <cell r="B198"/>
          <cell r="C198"/>
          <cell r="D198"/>
          <cell r="E198"/>
          <cell r="F198">
            <v>4.9919033465051221E-4</v>
          </cell>
          <cell r="G198">
            <v>1.8364367374399948E-3</v>
          </cell>
          <cell r="H198">
            <v>2.2701593219112692E-4</v>
          </cell>
          <cell r="I198">
            <v>-9.6249263222714099E-4</v>
          </cell>
          <cell r="J198">
            <v>3.8855547217773179E-3</v>
          </cell>
          <cell r="K198">
            <v>-4.4335787649170122E-3</v>
          </cell>
          <cell r="L198">
            <v>-3.086002864524609E-3</v>
          </cell>
          <cell r="M198">
            <v>3.6600897554260881E-3</v>
          </cell>
        </row>
        <row r="199">
          <cell r="A199" t="str">
            <v>EADS defined underlying EPS</v>
          </cell>
          <cell r="B199"/>
          <cell r="C199"/>
          <cell r="D199"/>
          <cell r="E199" t="str">
            <v>n/a</v>
          </cell>
          <cell r="F199">
            <v>-2.1109001598160759E-3</v>
          </cell>
          <cell r="G199">
            <v>4.4543144840861748E-3</v>
          </cell>
          <cell r="H199">
            <v>-1.0147860621734228E-4</v>
          </cell>
          <cell r="I199">
            <v>1.8606556952904807E-3</v>
          </cell>
          <cell r="J199">
            <v>4.6675346728122236E-3</v>
          </cell>
          <cell r="K199">
            <v>4.0986162644411905E-3</v>
          </cell>
          <cell r="L199">
            <v>1.3075611084436278E-3</v>
          </cell>
          <cell r="M199">
            <v>-8.5819340172343939E-4</v>
          </cell>
        </row>
        <row r="200">
          <cell r="A200" t="str">
            <v>DPS</v>
          </cell>
          <cell r="B200"/>
          <cell r="C200"/>
          <cell r="D200"/>
          <cell r="E200">
            <v>0</v>
          </cell>
          <cell r="F200">
            <v>0</v>
          </cell>
          <cell r="G200">
            <v>0</v>
          </cell>
          <cell r="H200">
            <v>0</v>
          </cell>
          <cell r="I200">
            <v>0</v>
          </cell>
          <cell r="J200">
            <v>0</v>
          </cell>
          <cell r="K200">
            <v>0</v>
          </cell>
          <cell r="L200">
            <v>0</v>
          </cell>
          <cell r="M200">
            <v>0</v>
          </cell>
        </row>
        <row r="201">
          <cell r="A201" t="str">
            <v>Dividend cover (based on statutory EPS)</v>
          </cell>
          <cell r="B201"/>
          <cell r="C201"/>
          <cell r="D201"/>
          <cell r="E201"/>
          <cell r="F201"/>
          <cell r="G201"/>
          <cell r="H201"/>
          <cell r="I201"/>
          <cell r="J201"/>
          <cell r="K201"/>
          <cell r="L201"/>
          <cell r="M201"/>
        </row>
        <row r="202">
          <cell r="A202"/>
          <cell r="B202"/>
          <cell r="C202"/>
          <cell r="D202"/>
          <cell r="E202"/>
          <cell r="F202"/>
          <cell r="G202"/>
          <cell r="H202"/>
          <cell r="I202"/>
          <cell r="J202"/>
          <cell r="K202"/>
          <cell r="L202"/>
          <cell r="M202"/>
        </row>
        <row r="203">
          <cell r="A203" t="str">
            <v>EADS (year to Dec)</v>
          </cell>
          <cell r="B203"/>
          <cell r="C203"/>
          <cell r="D203"/>
          <cell r="E203"/>
          <cell r="F203"/>
          <cell r="G203"/>
          <cell r="H203"/>
          <cell r="I203"/>
          <cell r="J203"/>
          <cell r="K203"/>
          <cell r="L203"/>
          <cell r="M203"/>
        </row>
        <row r="204">
          <cell r="A204"/>
          <cell r="B204"/>
          <cell r="C204"/>
          <cell r="D204"/>
          <cell r="E204"/>
          <cell r="F204"/>
          <cell r="G204"/>
          <cell r="H204"/>
          <cell r="I204"/>
          <cell r="J204"/>
          <cell r="K204"/>
          <cell r="L204"/>
          <cell r="M204"/>
        </row>
        <row r="205">
          <cell r="A205"/>
          <cell r="B205"/>
          <cell r="C205"/>
          <cell r="D205"/>
          <cell r="E205"/>
          <cell r="F205"/>
          <cell r="G205"/>
          <cell r="H205"/>
          <cell r="I205"/>
          <cell r="J205"/>
          <cell r="K205"/>
          <cell r="L205"/>
          <cell r="M205"/>
        </row>
        <row r="206">
          <cell r="A206"/>
          <cell r="B206"/>
          <cell r="C206"/>
          <cell r="D206"/>
          <cell r="E206"/>
          <cell r="F206"/>
          <cell r="G206"/>
          <cell r="H206"/>
          <cell r="I206"/>
          <cell r="J206"/>
          <cell r="K206"/>
          <cell r="L206"/>
          <cell r="M206"/>
        </row>
        <row r="207">
          <cell r="A207"/>
          <cell r="B207" t="str">
            <v>IAS</v>
          </cell>
          <cell r="C207" t="str">
            <v>IAS</v>
          </cell>
          <cell r="D207" t="str">
            <v>IAS</v>
          </cell>
          <cell r="E207" t="str">
            <v>IAS</v>
          </cell>
          <cell r="F207" t="str">
            <v>IAS</v>
          </cell>
          <cell r="G207" t="str">
            <v>IFRS</v>
          </cell>
          <cell r="H207" t="str">
            <v>IFRS</v>
          </cell>
          <cell r="I207" t="str">
            <v>IFRS</v>
          </cell>
          <cell r="J207" t="str">
            <v>IFRS</v>
          </cell>
          <cell r="K207" t="str">
            <v>IFRS</v>
          </cell>
          <cell r="L207" t="str">
            <v>IFRS</v>
          </cell>
          <cell r="M207" t="str">
            <v>IFRS</v>
          </cell>
        </row>
        <row r="208">
          <cell r="A208" t="str">
            <v>Goldman earnings analysis</v>
          </cell>
          <cell r="B208" t="str">
            <v>1997pf</v>
          </cell>
          <cell r="C208" t="str">
            <v>1998pf</v>
          </cell>
          <cell r="D208" t="str">
            <v>1999pf</v>
          </cell>
          <cell r="E208" t="str">
            <v>2000pf</v>
          </cell>
          <cell r="F208">
            <v>2001</v>
          </cell>
          <cell r="G208">
            <v>2002</v>
          </cell>
          <cell r="H208">
            <v>2003</v>
          </cell>
          <cell r="I208">
            <v>2004</v>
          </cell>
          <cell r="J208" t="str">
            <v>2004pf</v>
          </cell>
          <cell r="K208">
            <v>2005</v>
          </cell>
          <cell r="L208">
            <v>2006</v>
          </cell>
          <cell r="M208">
            <v>2007</v>
          </cell>
        </row>
        <row r="209">
          <cell r="A209"/>
          <cell r="B209"/>
          <cell r="C209"/>
          <cell r="D209"/>
          <cell r="E209"/>
          <cell r="F209"/>
          <cell r="G209"/>
          <cell r="H209"/>
          <cell r="I209"/>
          <cell r="J209"/>
          <cell r="K209"/>
          <cell r="L209"/>
          <cell r="M209"/>
        </row>
        <row r="210">
          <cell r="A210" t="str">
            <v>Goldman calculation of Adjusted EPS</v>
          </cell>
          <cell r="B210" t="str">
            <v>1997pf</v>
          </cell>
          <cell r="C210" t="str">
            <v>1998pf</v>
          </cell>
          <cell r="D210" t="str">
            <v>1999pf</v>
          </cell>
          <cell r="E210" t="str">
            <v>2000pf</v>
          </cell>
          <cell r="F210">
            <v>2001</v>
          </cell>
          <cell r="G210">
            <v>2002</v>
          </cell>
          <cell r="H210">
            <v>2003</v>
          </cell>
          <cell r="I210">
            <v>2004</v>
          </cell>
          <cell r="J210" t="str">
            <v>2004pf</v>
          </cell>
          <cell r="K210">
            <v>2005</v>
          </cell>
          <cell r="L210">
            <v>2006</v>
          </cell>
          <cell r="M210">
            <v>2007</v>
          </cell>
        </row>
        <row r="211">
          <cell r="A211"/>
          <cell r="B211"/>
          <cell r="C211"/>
          <cell r="D211"/>
          <cell r="E211"/>
          <cell r="F211"/>
          <cell r="G211"/>
          <cell r="H211"/>
          <cell r="I211"/>
          <cell r="J211"/>
          <cell r="K211"/>
          <cell r="L211"/>
          <cell r="M211"/>
        </row>
        <row r="212">
          <cell r="A212" t="str">
            <v>EADS defined underlying PTP (pre-one-offs from 2010)</v>
          </cell>
          <cell r="B212"/>
          <cell r="C212"/>
          <cell r="D212"/>
          <cell r="E212">
            <v>-27</v>
          </cell>
          <cell r="F212">
            <v>1523</v>
          </cell>
          <cell r="G212">
            <v>1366</v>
          </cell>
          <cell r="H212">
            <v>1488</v>
          </cell>
          <cell r="I212">
            <v>2114</v>
          </cell>
          <cell r="J212">
            <v>2102</v>
          </cell>
          <cell r="K212">
            <v>2675</v>
          </cell>
          <cell r="L212">
            <v>155</v>
          </cell>
          <cell r="M212">
            <v>-685</v>
          </cell>
        </row>
        <row r="213">
          <cell r="A213" t="str">
            <v>Add back exceptional depreciation / goodwill</v>
          </cell>
          <cell r="B213"/>
          <cell r="C213"/>
          <cell r="D213"/>
          <cell r="E213"/>
          <cell r="F213"/>
          <cell r="G213"/>
          <cell r="H213"/>
          <cell r="I213"/>
          <cell r="J213"/>
          <cell r="K213"/>
          <cell r="L213"/>
          <cell r="M213"/>
        </row>
        <row r="214">
          <cell r="A214" t="str">
            <v>Deduct cost overruns / restr. charges excluded from EBITA</v>
          </cell>
          <cell r="B214"/>
          <cell r="C214"/>
          <cell r="D214"/>
          <cell r="E214"/>
          <cell r="F214"/>
          <cell r="G214"/>
          <cell r="H214"/>
          <cell r="I214"/>
          <cell r="J214"/>
          <cell r="K214"/>
          <cell r="L214"/>
          <cell r="M214"/>
        </row>
        <row r="215">
          <cell r="A215" t="str">
            <v>Deduct capital gains included in EBITA</v>
          </cell>
          <cell r="B215"/>
          <cell r="C215"/>
          <cell r="D215"/>
          <cell r="E215">
            <v>0</v>
          </cell>
          <cell r="F215">
            <v>0</v>
          </cell>
          <cell r="G215">
            <v>-63</v>
          </cell>
          <cell r="H215">
            <v>0</v>
          </cell>
          <cell r="I215">
            <v>0</v>
          </cell>
          <cell r="J215">
            <v>0</v>
          </cell>
          <cell r="K215">
            <v>0</v>
          </cell>
          <cell r="L215">
            <v>-127</v>
          </cell>
          <cell r="M215">
            <v>-111</v>
          </cell>
        </row>
        <row r="216">
          <cell r="A216" t="str">
            <v>Adjust for net capitalised R&amp;D</v>
          </cell>
          <cell r="B216"/>
          <cell r="C216"/>
          <cell r="D216"/>
          <cell r="E216">
            <v>0</v>
          </cell>
          <cell r="F216">
            <v>0</v>
          </cell>
          <cell r="G216">
            <v>0</v>
          </cell>
          <cell r="H216">
            <v>-4</v>
          </cell>
          <cell r="I216">
            <v>-165</v>
          </cell>
          <cell r="J216">
            <v>-165</v>
          </cell>
          <cell r="K216">
            <v>-291</v>
          </cell>
          <cell r="L216">
            <v>-404</v>
          </cell>
          <cell r="M216">
            <v>-47</v>
          </cell>
        </row>
        <row r="217">
          <cell r="A217" t="str">
            <v>Goldman defined Clean PTP</v>
          </cell>
          <cell r="B217"/>
          <cell r="C217"/>
          <cell r="D217"/>
          <cell r="E217">
            <v>-27</v>
          </cell>
          <cell r="F217">
            <v>1523</v>
          </cell>
          <cell r="G217">
            <v>1303</v>
          </cell>
          <cell r="H217">
            <v>1484</v>
          </cell>
          <cell r="I217">
            <v>1949</v>
          </cell>
          <cell r="J217">
            <v>1937</v>
          </cell>
          <cell r="K217">
            <v>2384</v>
          </cell>
          <cell r="L217">
            <v>-376</v>
          </cell>
          <cell r="M217">
            <v>-843</v>
          </cell>
        </row>
        <row r="218">
          <cell r="A218" t="str">
            <v>Underlying tax rate (as per EADS)</v>
          </cell>
          <cell r="B218"/>
          <cell r="C218"/>
          <cell r="D218"/>
          <cell r="E218">
            <v>-0.19730941704035873</v>
          </cell>
          <cell r="F218">
            <v>-0.54366382140512148</v>
          </cell>
          <cell r="G218">
            <v>-0.39604685212298685</v>
          </cell>
          <cell r="H218">
            <v>-0.37432795698924731</v>
          </cell>
          <cell r="I218">
            <v>-0.35099337748344372</v>
          </cell>
          <cell r="J218">
            <v>-0.35299714557564227</v>
          </cell>
          <cell r="K218">
            <v>-0.32598130841121498</v>
          </cell>
          <cell r="L218">
            <v>0.38709677419354838</v>
          </cell>
          <cell r="M218">
            <v>-0.381021897810219</v>
          </cell>
        </row>
        <row r="219">
          <cell r="A219" t="str">
            <v>Less Goldman defined tax</v>
          </cell>
          <cell r="B219"/>
          <cell r="C219"/>
          <cell r="D219"/>
          <cell r="E219">
            <v>5.3273542600896855</v>
          </cell>
          <cell r="F219">
            <v>-828</v>
          </cell>
          <cell r="G219">
            <v>-516.04904831625186</v>
          </cell>
          <cell r="H219">
            <v>-555.50268817204301</v>
          </cell>
          <cell r="I219">
            <v>-684.08609271523187</v>
          </cell>
          <cell r="J219">
            <v>-683.75547098001903</v>
          </cell>
          <cell r="K219">
            <v>-777.1394392523365</v>
          </cell>
          <cell r="L219">
            <v>-145.54838709677418</v>
          </cell>
          <cell r="M219">
            <v>321.20145985401462</v>
          </cell>
        </row>
        <row r="220">
          <cell r="A220" t="str">
            <v>Goldman adjusted Minority charge</v>
          </cell>
          <cell r="B220"/>
          <cell r="C220"/>
          <cell r="D220"/>
          <cell r="E220">
            <v>-166.96400000000003</v>
          </cell>
          <cell r="F220">
            <v>-137.0676296782666</v>
          </cell>
          <cell r="G220">
            <v>-119.19253294289896</v>
          </cell>
          <cell r="H220">
            <v>-125.12580645161292</v>
          </cell>
          <cell r="I220">
            <v>-204.26490066225165</v>
          </cell>
          <cell r="J220">
            <v>-203.30161750713603</v>
          </cell>
          <cell r="K220">
            <v>-305.76433644859816</v>
          </cell>
          <cell r="L220">
            <v>140.04838709677421</v>
          </cell>
          <cell r="M220">
            <v>-9</v>
          </cell>
        </row>
        <row r="221">
          <cell r="A221" t="str">
            <v>Goldman defined Clean Net Income</v>
          </cell>
          <cell r="B221"/>
          <cell r="C221"/>
          <cell r="D221"/>
          <cell r="E221">
            <v>-188.63664573991034</v>
          </cell>
          <cell r="F221">
            <v>557.9323703217334</v>
          </cell>
          <cell r="G221">
            <v>667.75841874084915</v>
          </cell>
          <cell r="H221">
            <v>803.37150537634409</v>
          </cell>
          <cell r="I221">
            <v>1060.6490066225165</v>
          </cell>
          <cell r="J221">
            <v>1049.9429115128451</v>
          </cell>
          <cell r="K221">
            <v>1301.0962242990652</v>
          </cell>
          <cell r="L221">
            <v>-381.49999999999994</v>
          </cell>
          <cell r="M221">
            <v>-530.79854014598538</v>
          </cell>
        </row>
        <row r="222">
          <cell r="A222" t="str">
            <v>Goldman defined Clean EPS (€)</v>
          </cell>
          <cell r="B222"/>
          <cell r="C222"/>
          <cell r="D222"/>
          <cell r="E222">
            <v>-0.48912437667954023</v>
          </cell>
          <cell r="F222">
            <v>0.69111262033549092</v>
          </cell>
          <cell r="G222">
            <v>0.83042445159205591</v>
          </cell>
          <cell r="H222">
            <v>1.003014525594188</v>
          </cell>
          <cell r="I222">
            <v>1.3240981483693988</v>
          </cell>
          <cell r="J222">
            <v>1.3107328214587333</v>
          </cell>
          <cell r="K222">
            <v>1.6371463459810063</v>
          </cell>
          <cell r="L222">
            <v>-0.47676465043783284</v>
          </cell>
          <cell r="M222">
            <v>-0.66091381957051831</v>
          </cell>
        </row>
        <row r="223">
          <cell r="A223" t="str">
            <v>Goldman defined Clean EPS  as a % of EADS defined underlying EPS</v>
          </cell>
          <cell r="B223"/>
          <cell r="C223"/>
          <cell r="D223"/>
          <cell r="E223" t="str">
            <v>n/a</v>
          </cell>
          <cell r="F223">
            <v>0.68965682363625891</v>
          </cell>
          <cell r="G223">
            <v>0.9594230154322545</v>
          </cell>
          <cell r="H223">
            <v>1.0446963658990169</v>
          </cell>
          <cell r="I223">
            <v>0.92070226269315669</v>
          </cell>
          <cell r="J223">
            <v>0.78237176714817069</v>
          </cell>
          <cell r="K223">
            <v>0.73549814827533366</v>
          </cell>
          <cell r="L223" t="str">
            <v>n/a</v>
          </cell>
          <cell r="M223" t="str">
            <v>n/a</v>
          </cell>
        </row>
        <row r="224">
          <cell r="A224"/>
          <cell r="B224"/>
          <cell r="C224"/>
          <cell r="D224"/>
          <cell r="E224"/>
          <cell r="F224"/>
          <cell r="G224"/>
          <cell r="H224"/>
          <cell r="I224"/>
          <cell r="J224"/>
          <cell r="K224"/>
          <cell r="L224"/>
          <cell r="M224"/>
        </row>
        <row r="225">
          <cell r="A225" t="str">
            <v>* From 2004pf to 2006 EADS treated the BAE Systems' stake in Airbus as a 'liability for puttable instruments' rather than as a minority, thus understating its minority line and overstating its EPS</v>
          </cell>
          <cell r="B225"/>
          <cell r="C225"/>
          <cell r="D225"/>
          <cell r="E225"/>
          <cell r="F225"/>
          <cell r="G225"/>
          <cell r="H225"/>
          <cell r="I225"/>
          <cell r="J225"/>
          <cell r="K225"/>
          <cell r="L225"/>
          <cell r="M225"/>
        </row>
        <row r="226">
          <cell r="A226"/>
          <cell r="B226"/>
          <cell r="C226"/>
          <cell r="D226"/>
          <cell r="E226"/>
          <cell r="F226"/>
          <cell r="G226"/>
          <cell r="H226"/>
          <cell r="I226"/>
          <cell r="J226"/>
          <cell r="K226"/>
          <cell r="L226"/>
          <cell r="M226"/>
        </row>
        <row r="227">
          <cell r="A227" t="str">
            <v>Calculation of Goldman adjusted Minority charge</v>
          </cell>
          <cell r="B227" t="str">
            <v>1997pf</v>
          </cell>
          <cell r="C227" t="str">
            <v>1998pf</v>
          </cell>
          <cell r="D227" t="str">
            <v>1999pf</v>
          </cell>
          <cell r="E227" t="str">
            <v>2000pf</v>
          </cell>
          <cell r="F227">
            <v>2001</v>
          </cell>
          <cell r="G227">
            <v>2002</v>
          </cell>
          <cell r="H227">
            <v>2003</v>
          </cell>
          <cell r="I227">
            <v>2004</v>
          </cell>
          <cell r="J227" t="str">
            <v>2004pf</v>
          </cell>
          <cell r="K227">
            <v>2005</v>
          </cell>
          <cell r="L227">
            <v>2006</v>
          </cell>
          <cell r="M227">
            <v>2007</v>
          </cell>
        </row>
        <row r="228">
          <cell r="A228"/>
          <cell r="B228"/>
          <cell r="C228"/>
          <cell r="D228"/>
          <cell r="E228"/>
          <cell r="F228"/>
          <cell r="G228"/>
          <cell r="H228"/>
          <cell r="I228"/>
          <cell r="J228"/>
          <cell r="K228"/>
          <cell r="L228"/>
          <cell r="M228"/>
        </row>
        <row r="229">
          <cell r="A229" t="str">
            <v>This analysis only required from 2004pf to 2006, as Airbus now 100% owned</v>
          </cell>
          <cell r="B229"/>
          <cell r="C229"/>
          <cell r="D229"/>
          <cell r="E229"/>
          <cell r="F229"/>
          <cell r="G229"/>
          <cell r="H229"/>
          <cell r="I229"/>
          <cell r="J229"/>
          <cell r="K229"/>
          <cell r="L229"/>
          <cell r="M229"/>
        </row>
        <row r="230">
          <cell r="A230" t="str">
            <v>20% of Airbus underlying EBITA</v>
          </cell>
          <cell r="B230"/>
          <cell r="C230"/>
          <cell r="D230"/>
          <cell r="E230">
            <v>282.40000000000003</v>
          </cell>
          <cell r="F230">
            <v>331</v>
          </cell>
          <cell r="G230">
            <v>272.2</v>
          </cell>
          <cell r="H230">
            <v>270.60000000000002</v>
          </cell>
          <cell r="I230">
            <v>384.40000000000003</v>
          </cell>
          <cell r="J230">
            <v>383.8</v>
          </cell>
          <cell r="K230">
            <v>461.40000000000003</v>
          </cell>
          <cell r="L230">
            <v>-85.800000000000011</v>
          </cell>
          <cell r="M230"/>
        </row>
        <row r="231">
          <cell r="A231" t="str">
            <v>20% of Exceptional depreciation on fixed assets</v>
          </cell>
          <cell r="B231"/>
          <cell r="C231"/>
          <cell r="D231"/>
          <cell r="E231">
            <v>-35.200000000000003</v>
          </cell>
          <cell r="F231">
            <v>-52</v>
          </cell>
          <cell r="G231">
            <v>-45.400000000000006</v>
          </cell>
          <cell r="H231">
            <v>-42.800000000000004</v>
          </cell>
          <cell r="I231">
            <v>-42.400000000000006</v>
          </cell>
          <cell r="J231">
            <v>-42.400000000000006</v>
          </cell>
          <cell r="K231">
            <v>-27.200000000000003</v>
          </cell>
          <cell r="L231">
            <v>-8.5500000000000007</v>
          </cell>
          <cell r="M231"/>
        </row>
        <row r="232">
          <cell r="A232" t="str">
            <v>20% of EADS interest charge (assume all relates to Airbus)</v>
          </cell>
          <cell r="B232"/>
          <cell r="C232"/>
          <cell r="D232"/>
          <cell r="E232">
            <v>2</v>
          </cell>
          <cell r="F232">
            <v>12.600000000000001</v>
          </cell>
          <cell r="G232">
            <v>-16.2</v>
          </cell>
          <cell r="H232">
            <v>-40.6</v>
          </cell>
          <cell r="I232">
            <v>-55</v>
          </cell>
          <cell r="J232">
            <v>-55</v>
          </cell>
          <cell r="K232">
            <v>-31</v>
          </cell>
          <cell r="L232">
            <v>-18.150000000000002</v>
          </cell>
          <cell r="M232"/>
        </row>
        <row r="233">
          <cell r="A233" t="str">
            <v>Estimated Airbus PTP (20% share)</v>
          </cell>
          <cell r="B233"/>
          <cell r="C233"/>
          <cell r="D233"/>
          <cell r="E233">
            <v>249.20000000000005</v>
          </cell>
          <cell r="F233">
            <v>291.60000000000002</v>
          </cell>
          <cell r="G233">
            <v>210.6</v>
          </cell>
          <cell r="H233">
            <v>187.20000000000002</v>
          </cell>
          <cell r="I233">
            <v>287</v>
          </cell>
          <cell r="J233">
            <v>286.39999999999998</v>
          </cell>
          <cell r="K233">
            <v>403.20000000000005</v>
          </cell>
          <cell r="L233">
            <v>-112.50000000000001</v>
          </cell>
          <cell r="M233"/>
        </row>
        <row r="234">
          <cell r="A234" t="str">
            <v>Tax (using EADS underlying tax rate)</v>
          </cell>
          <cell r="B234"/>
          <cell r="C234"/>
          <cell r="D234"/>
          <cell r="E234">
            <v>-82.236000000000018</v>
          </cell>
          <cell r="F234">
            <v>-158.53237032173342</v>
          </cell>
          <cell r="G234">
            <v>-83.40746705710103</v>
          </cell>
          <cell r="H234">
            <v>-70.0741935483871</v>
          </cell>
          <cell r="I234">
            <v>-100.73509933774835</v>
          </cell>
          <cell r="J234">
            <v>-101.09838249286393</v>
          </cell>
          <cell r="K234">
            <v>-131.43566355140189</v>
          </cell>
          <cell r="L234">
            <v>-43.548387096774199</v>
          </cell>
          <cell r="M234"/>
        </row>
        <row r="235">
          <cell r="A235" t="str">
            <v>Estimated Airbus net income (20% share)</v>
          </cell>
          <cell r="B235"/>
          <cell r="C235"/>
          <cell r="D235"/>
          <cell r="E235">
            <v>166.96400000000003</v>
          </cell>
          <cell r="F235">
            <v>133.0676296782666</v>
          </cell>
          <cell r="G235">
            <v>127.19253294289896</v>
          </cell>
          <cell r="H235">
            <v>117.12580645161292</v>
          </cell>
          <cell r="I235">
            <v>186.26490066225165</v>
          </cell>
          <cell r="J235">
            <v>185.30161750713603</v>
          </cell>
          <cell r="K235">
            <v>271.76433644859816</v>
          </cell>
          <cell r="L235">
            <v>-156.04838709677421</v>
          </cell>
          <cell r="M235"/>
        </row>
        <row r="236">
          <cell r="A236" t="str">
            <v>Estimated MBDA minority</v>
          </cell>
          <cell r="B236"/>
          <cell r="C236"/>
          <cell r="D236"/>
          <cell r="E236">
            <v>0</v>
          </cell>
          <cell r="F236">
            <v>4</v>
          </cell>
          <cell r="G236">
            <v>-8</v>
          </cell>
          <cell r="H236">
            <v>8</v>
          </cell>
          <cell r="I236">
            <v>18</v>
          </cell>
          <cell r="J236">
            <v>18</v>
          </cell>
          <cell r="K236">
            <v>34</v>
          </cell>
          <cell r="L236">
            <v>16</v>
          </cell>
          <cell r="M236"/>
        </row>
        <row r="237">
          <cell r="A237" t="str">
            <v>Goldman adjusted Minority charge</v>
          </cell>
          <cell r="B237"/>
          <cell r="C237"/>
          <cell r="D237"/>
          <cell r="E237">
            <v>166.96400000000003</v>
          </cell>
          <cell r="F237">
            <v>137.0676296782666</v>
          </cell>
          <cell r="G237">
            <v>119.19253294289896</v>
          </cell>
          <cell r="H237">
            <v>125.12580645161292</v>
          </cell>
          <cell r="I237">
            <v>204.26490066225165</v>
          </cell>
          <cell r="J237">
            <v>203.30161750713603</v>
          </cell>
          <cell r="K237">
            <v>305.76433644859816</v>
          </cell>
          <cell r="L237">
            <v>-140.04838709677421</v>
          </cell>
          <cell r="M237"/>
        </row>
        <row r="238">
          <cell r="A238"/>
          <cell r="B238"/>
          <cell r="C238"/>
          <cell r="D238"/>
          <cell r="E238"/>
          <cell r="F238"/>
          <cell r="G238"/>
          <cell r="H238"/>
          <cell r="I238"/>
          <cell r="J238"/>
          <cell r="K238"/>
          <cell r="L238"/>
          <cell r="M238"/>
        </row>
        <row r="239">
          <cell r="A239" t="str">
            <v>....which compares to EADS defined underlying Minority charge of:</v>
          </cell>
          <cell r="B239"/>
          <cell r="C239"/>
          <cell r="D239"/>
          <cell r="E239">
            <v>-14</v>
          </cell>
          <cell r="F239">
            <v>-114</v>
          </cell>
          <cell r="G239">
            <v>129</v>
          </cell>
          <cell r="H239">
            <v>162</v>
          </cell>
          <cell r="I239">
            <v>220</v>
          </cell>
          <cell r="J239">
            <v>18</v>
          </cell>
          <cell r="K239">
            <v>34</v>
          </cell>
          <cell r="L239">
            <v>16</v>
          </cell>
          <cell r="M239"/>
        </row>
        <row r="240">
          <cell r="A240"/>
          <cell r="B240"/>
          <cell r="C240"/>
          <cell r="D240"/>
          <cell r="E240"/>
          <cell r="F240"/>
          <cell r="G240"/>
          <cell r="H240"/>
          <cell r="I240"/>
          <cell r="J240"/>
          <cell r="K240"/>
          <cell r="L240"/>
          <cell r="M240"/>
        </row>
        <row r="241">
          <cell r="A241" t="str">
            <v>Goldman calculation of Economic EBITA and NOPLAT</v>
          </cell>
          <cell r="B241" t="str">
            <v>1997pf</v>
          </cell>
          <cell r="C241" t="str">
            <v>1998pf</v>
          </cell>
          <cell r="D241" t="str">
            <v>1999pf</v>
          </cell>
          <cell r="E241" t="str">
            <v>2000pf</v>
          </cell>
          <cell r="F241">
            <v>2001</v>
          </cell>
          <cell r="G241">
            <v>2002</v>
          </cell>
          <cell r="H241">
            <v>2003</v>
          </cell>
          <cell r="I241">
            <v>2004</v>
          </cell>
          <cell r="J241" t="str">
            <v>2004pf</v>
          </cell>
          <cell r="K241">
            <v>2005</v>
          </cell>
          <cell r="L241">
            <v>2006</v>
          </cell>
          <cell r="M241">
            <v>2007</v>
          </cell>
        </row>
        <row r="242">
          <cell r="A242"/>
          <cell r="B242"/>
          <cell r="C242"/>
          <cell r="D242"/>
          <cell r="E242"/>
          <cell r="F242"/>
          <cell r="G242"/>
          <cell r="H242"/>
          <cell r="I242"/>
          <cell r="J242"/>
          <cell r="K242"/>
          <cell r="L242"/>
          <cell r="M242"/>
        </row>
        <row r="243">
          <cell r="A243" t="str">
            <v>EADS defined underlying EBITA (group level)</v>
          </cell>
          <cell r="B243"/>
          <cell r="C243"/>
          <cell r="D243"/>
          <cell r="E243">
            <v>1399</v>
          </cell>
          <cell r="F243">
            <v>1694</v>
          </cell>
          <cell r="G243">
            <v>1426</v>
          </cell>
          <cell r="H243">
            <v>1543</v>
          </cell>
          <cell r="I243">
            <v>2444</v>
          </cell>
          <cell r="J243">
            <v>2432</v>
          </cell>
          <cell r="K243">
            <v>2852</v>
          </cell>
          <cell r="L243">
            <v>399</v>
          </cell>
          <cell r="M243">
            <v>52</v>
          </cell>
        </row>
        <row r="244">
          <cell r="A244" t="str">
            <v>Deduct cost overruns / restr. charges excluded from EBITA</v>
          </cell>
          <cell r="B244"/>
          <cell r="C244"/>
          <cell r="D244"/>
          <cell r="E244"/>
          <cell r="F244"/>
          <cell r="G244"/>
          <cell r="H244"/>
          <cell r="I244"/>
          <cell r="J244"/>
          <cell r="K244"/>
          <cell r="L244"/>
          <cell r="M244"/>
        </row>
        <row r="245">
          <cell r="A245" t="str">
            <v>Deduct investments and associates (as included in EBITA)</v>
          </cell>
          <cell r="B245"/>
          <cell r="C245"/>
          <cell r="D245"/>
          <cell r="E245">
            <v>-111</v>
          </cell>
          <cell r="F245">
            <v>342</v>
          </cell>
          <cell r="G245">
            <v>-87</v>
          </cell>
          <cell r="H245">
            <v>-186</v>
          </cell>
          <cell r="I245">
            <v>-84</v>
          </cell>
          <cell r="J245">
            <v>-84</v>
          </cell>
          <cell r="K245">
            <v>-225</v>
          </cell>
          <cell r="L245">
            <v>-189</v>
          </cell>
          <cell r="M245">
            <v>-296</v>
          </cell>
        </row>
        <row r="246">
          <cell r="A246" t="str">
            <v>Deduct capital gains included in EBITA</v>
          </cell>
          <cell r="B246"/>
          <cell r="C246"/>
          <cell r="D246"/>
          <cell r="E246">
            <v>0</v>
          </cell>
          <cell r="F246">
            <v>0</v>
          </cell>
          <cell r="G246">
            <v>-63</v>
          </cell>
          <cell r="H246">
            <v>0</v>
          </cell>
          <cell r="I246">
            <v>0</v>
          </cell>
          <cell r="J246">
            <v>0</v>
          </cell>
          <cell r="K246">
            <v>0</v>
          </cell>
          <cell r="L246">
            <v>-127</v>
          </cell>
          <cell r="M246">
            <v>-111</v>
          </cell>
        </row>
        <row r="247">
          <cell r="A247" t="str">
            <v>Adjust for net capitalised R&amp;D</v>
          </cell>
          <cell r="B247"/>
          <cell r="C247"/>
          <cell r="D247"/>
          <cell r="E247"/>
          <cell r="F247"/>
          <cell r="G247"/>
          <cell r="H247">
            <v>-4</v>
          </cell>
          <cell r="I247">
            <v>-165</v>
          </cell>
          <cell r="J247">
            <v>-165</v>
          </cell>
          <cell r="K247">
            <v>-291</v>
          </cell>
          <cell r="L247">
            <v>-404</v>
          </cell>
          <cell r="M247">
            <v>-47</v>
          </cell>
        </row>
        <row r="248">
          <cell r="A248" t="str">
            <v>Goldman defined Clean EBITA (subsidiary level)</v>
          </cell>
          <cell r="B248"/>
          <cell r="C248"/>
          <cell r="D248"/>
          <cell r="E248">
            <v>1288</v>
          </cell>
          <cell r="F248">
            <v>2036</v>
          </cell>
          <cell r="G248">
            <v>1276</v>
          </cell>
          <cell r="H248">
            <v>1353</v>
          </cell>
          <cell r="I248">
            <v>2195</v>
          </cell>
          <cell r="J248">
            <v>2183</v>
          </cell>
          <cell r="K248">
            <v>2336</v>
          </cell>
          <cell r="L248">
            <v>-321</v>
          </cell>
          <cell r="M248">
            <v>-402</v>
          </cell>
        </row>
        <row r="249">
          <cell r="A249" t="str">
            <v>Add estimated interest income on excess customer prepayments</v>
          </cell>
          <cell r="B249"/>
          <cell r="C249"/>
          <cell r="D249"/>
          <cell r="E249">
            <v>205.79400000000001</v>
          </cell>
          <cell r="F249">
            <v>180.36</v>
          </cell>
          <cell r="G249">
            <v>143.12</v>
          </cell>
          <cell r="H249">
            <v>152.28</v>
          </cell>
          <cell r="I249">
            <v>118.12135500000001</v>
          </cell>
          <cell r="J249">
            <v>127.6275</v>
          </cell>
          <cell r="K249">
            <v>161.941845</v>
          </cell>
          <cell r="L249">
            <v>231.1637216</v>
          </cell>
          <cell r="M249">
            <v>342.07920000000001</v>
          </cell>
        </row>
        <row r="250">
          <cell r="A250" t="str">
            <v>Add back estimated L.Aid payments included in EBITA</v>
          </cell>
          <cell r="B250"/>
          <cell r="C250"/>
          <cell r="D250"/>
          <cell r="E250">
            <v>31.32</v>
          </cell>
          <cell r="F250">
            <v>52.034999999999997</v>
          </cell>
          <cell r="G250">
            <v>63.974999999999994</v>
          </cell>
          <cell r="H250">
            <v>72.765000000000001</v>
          </cell>
          <cell r="I250">
            <v>76.784999999999997</v>
          </cell>
          <cell r="J250">
            <v>72.284999999999997</v>
          </cell>
          <cell r="K250">
            <v>79.394999999999996</v>
          </cell>
          <cell r="L250">
            <v>81.27</v>
          </cell>
          <cell r="M250">
            <v>79.724999999999994</v>
          </cell>
        </row>
        <row r="251">
          <cell r="A251" t="str">
            <v>Add back net pension fin. costs which EADS includes in EBITA</v>
          </cell>
          <cell r="B251"/>
          <cell r="C251"/>
          <cell r="D251"/>
          <cell r="E251">
            <v>89</v>
          </cell>
          <cell r="F251">
            <v>173</v>
          </cell>
          <cell r="G251">
            <v>195</v>
          </cell>
          <cell r="H251">
            <v>237</v>
          </cell>
          <cell r="I251">
            <v>202</v>
          </cell>
          <cell r="J251">
            <v>202</v>
          </cell>
          <cell r="K251">
            <v>224</v>
          </cell>
          <cell r="L251">
            <v>172</v>
          </cell>
          <cell r="M251">
            <v>169</v>
          </cell>
        </row>
        <row r="252">
          <cell r="A252" t="str">
            <v>Goldman defined Economic EBITA (subsidiary level)</v>
          </cell>
          <cell r="B252"/>
          <cell r="C252"/>
          <cell r="D252"/>
          <cell r="E252">
            <v>1614.114</v>
          </cell>
          <cell r="F252">
            <v>2441.395</v>
          </cell>
          <cell r="G252">
            <v>1678.0949999999998</v>
          </cell>
          <cell r="H252">
            <v>1815.0450000000001</v>
          </cell>
          <cell r="I252">
            <v>2591.9063550000001</v>
          </cell>
          <cell r="J252">
            <v>2584.9124999999999</v>
          </cell>
          <cell r="K252">
            <v>2801.3368449999998</v>
          </cell>
          <cell r="L252">
            <v>163.43372160000001</v>
          </cell>
          <cell r="M252">
            <v>188.80420000000001</v>
          </cell>
        </row>
        <row r="253">
          <cell r="A253" t="str">
            <v>Tax rate</v>
          </cell>
          <cell r="B253"/>
          <cell r="C253"/>
          <cell r="D253"/>
          <cell r="E253">
            <v>-0.36</v>
          </cell>
          <cell r="F253">
            <v>-0.54366382140512148</v>
          </cell>
          <cell r="G253">
            <v>-0.39604685212298685</v>
          </cell>
          <cell r="H253">
            <v>-0.37432795698924731</v>
          </cell>
          <cell r="I253">
            <v>-0.35099337748344372</v>
          </cell>
          <cell r="J253">
            <v>-0.35299714557564227</v>
          </cell>
          <cell r="K253">
            <v>-0.32598130841121498</v>
          </cell>
          <cell r="L253">
            <v>0.38709677419354838</v>
          </cell>
          <cell r="M253">
            <v>-0.381021897810219</v>
          </cell>
        </row>
        <row r="254">
          <cell r="A254" t="str">
            <v>Goldman defined NOPLAT</v>
          </cell>
          <cell r="B254"/>
          <cell r="C254"/>
          <cell r="D254"/>
          <cell r="E254">
            <v>1033.03296</v>
          </cell>
          <cell r="F254">
            <v>1114.0968647406435</v>
          </cell>
          <cell r="G254">
            <v>1013.4907576866763</v>
          </cell>
          <cell r="H254">
            <v>1135.6229133064517</v>
          </cell>
          <cell r="I254">
            <v>1682.1643893377484</v>
          </cell>
          <cell r="J254">
            <v>1672.4457659372026</v>
          </cell>
          <cell r="K254">
            <v>1888.1533949663549</v>
          </cell>
          <cell r="L254">
            <v>226.69838802580648</v>
          </cell>
          <cell r="M254">
            <v>116.86566540145985</v>
          </cell>
        </row>
        <row r="255">
          <cell r="A255"/>
          <cell r="B255"/>
          <cell r="C255"/>
          <cell r="D255"/>
          <cell r="E255"/>
          <cell r="F255"/>
          <cell r="G255"/>
          <cell r="H255"/>
          <cell r="I255"/>
          <cell r="J255"/>
          <cell r="K255"/>
          <cell r="L255"/>
          <cell r="M255"/>
        </row>
        <row r="256">
          <cell r="A256" t="str">
            <v>Goldman defined Invested Capital</v>
          </cell>
          <cell r="B256" t="str">
            <v>1997pf</v>
          </cell>
          <cell r="C256" t="str">
            <v>1998pf</v>
          </cell>
          <cell r="D256" t="str">
            <v>1999pf</v>
          </cell>
          <cell r="E256" t="str">
            <v>2000pf</v>
          </cell>
          <cell r="F256">
            <v>2001</v>
          </cell>
          <cell r="G256">
            <v>2002</v>
          </cell>
          <cell r="H256">
            <v>2003</v>
          </cell>
          <cell r="I256">
            <v>2004</v>
          </cell>
          <cell r="J256" t="str">
            <v>2004pf</v>
          </cell>
          <cell r="K256">
            <v>2005</v>
          </cell>
          <cell r="L256">
            <v>2006</v>
          </cell>
          <cell r="M256">
            <v>2007</v>
          </cell>
        </row>
        <row r="257">
          <cell r="A257"/>
          <cell r="B257"/>
          <cell r="C257"/>
          <cell r="D257"/>
          <cell r="E257"/>
          <cell r="F257"/>
          <cell r="G257"/>
          <cell r="H257"/>
          <cell r="I257"/>
          <cell r="J257"/>
          <cell r="K257"/>
          <cell r="L257"/>
          <cell r="M257"/>
        </row>
        <row r="258">
          <cell r="A258" t="str">
            <v>Shareholders Funds</v>
          </cell>
          <cell r="B258"/>
          <cell r="C258"/>
          <cell r="D258"/>
          <cell r="E258">
            <v>10250</v>
          </cell>
          <cell r="F258">
            <v>9877</v>
          </cell>
          <cell r="G258">
            <v>12765</v>
          </cell>
          <cell r="H258">
            <v>16149</v>
          </cell>
          <cell r="I258">
            <v>16973</v>
          </cell>
          <cell r="J258">
            <v>16210</v>
          </cell>
          <cell r="K258">
            <v>13726</v>
          </cell>
          <cell r="L258">
            <v>13015</v>
          </cell>
          <cell r="M258">
            <v>13090</v>
          </cell>
        </row>
        <row r="259">
          <cell r="A259" t="str">
            <v>Cumulative PPA written-off</v>
          </cell>
          <cell r="B259"/>
          <cell r="C259"/>
          <cell r="D259"/>
          <cell r="E259">
            <v>659</v>
          </cell>
          <cell r="F259">
            <v>1194</v>
          </cell>
          <cell r="G259">
            <v>1437</v>
          </cell>
          <cell r="H259">
            <v>1666</v>
          </cell>
          <cell r="I259">
            <v>1883</v>
          </cell>
          <cell r="J259">
            <v>1883</v>
          </cell>
          <cell r="K259">
            <v>2019</v>
          </cell>
          <cell r="L259">
            <v>2076</v>
          </cell>
          <cell r="M259">
            <v>2125</v>
          </cell>
        </row>
        <row r="260">
          <cell r="A260" t="str">
            <v>Cumulative goodwill written-off</v>
          </cell>
          <cell r="B260"/>
          <cell r="C260"/>
          <cell r="D260"/>
          <cell r="E260">
            <v>1640</v>
          </cell>
          <cell r="F260">
            <v>3421</v>
          </cell>
          <cell r="G260">
            <v>4357</v>
          </cell>
          <cell r="H260">
            <v>4924</v>
          </cell>
          <cell r="I260">
            <v>4924</v>
          </cell>
          <cell r="J260">
            <v>4924</v>
          </cell>
          <cell r="K260">
            <v>4928</v>
          </cell>
          <cell r="L260">
            <v>4928</v>
          </cell>
          <cell r="M260">
            <v>4928</v>
          </cell>
        </row>
        <row r="261">
          <cell r="A261" t="str">
            <v>Minority equity</v>
          </cell>
          <cell r="B261"/>
          <cell r="C261"/>
          <cell r="D261"/>
          <cell r="E261">
            <v>221</v>
          </cell>
          <cell r="F261">
            <v>559</v>
          </cell>
          <cell r="G261">
            <v>1361</v>
          </cell>
          <cell r="H261">
            <v>2179</v>
          </cell>
          <cell r="I261">
            <v>2370</v>
          </cell>
          <cell r="J261">
            <v>144</v>
          </cell>
          <cell r="K261">
            <v>176</v>
          </cell>
          <cell r="L261">
            <v>137</v>
          </cell>
          <cell r="M261">
            <v>85</v>
          </cell>
        </row>
        <row r="262">
          <cell r="A262" t="str">
            <v>Liability for puttable instruments (ie. Est. value of BAE's Airbus stake)</v>
          </cell>
          <cell r="B262"/>
          <cell r="C262"/>
          <cell r="J262">
            <v>3500</v>
          </cell>
          <cell r="K262">
            <v>3500</v>
          </cell>
        </row>
        <row r="263">
          <cell r="A263" t="str">
            <v>Net Debt / (Cash), adjusted for non-recourse debt</v>
          </cell>
          <cell r="B263"/>
          <cell r="C263"/>
          <cell r="D263"/>
          <cell r="E263">
            <v>-2143</v>
          </cell>
          <cell r="F263">
            <v>-2577</v>
          </cell>
          <cell r="G263">
            <v>-3119</v>
          </cell>
          <cell r="H263">
            <v>-3784</v>
          </cell>
          <cell r="I263">
            <v>-5046</v>
          </cell>
          <cell r="J263">
            <v>-4949</v>
          </cell>
          <cell r="K263">
            <v>-6736</v>
          </cell>
          <cell r="L263">
            <v>-5287</v>
          </cell>
          <cell r="M263">
            <v>-7883</v>
          </cell>
        </row>
        <row r="264">
          <cell r="A264" t="str">
            <v>Est. excess customer prepayments (not disclosed from 2006)</v>
          </cell>
          <cell r="B264"/>
          <cell r="C264"/>
          <cell r="D264"/>
          <cell r="E264">
            <v>3811</v>
          </cell>
          <cell r="F264">
            <v>4509</v>
          </cell>
          <cell r="G264">
            <v>3578</v>
          </cell>
          <cell r="H264">
            <v>3807</v>
          </cell>
          <cell r="I264">
            <v>5610</v>
          </cell>
          <cell r="J264">
            <v>5610</v>
          </cell>
          <cell r="K264">
            <v>7410</v>
          </cell>
          <cell r="L264">
            <v>7504</v>
          </cell>
          <cell r="M264">
            <v>8000</v>
          </cell>
        </row>
        <row r="265">
          <cell r="A265" t="str">
            <v>Pension provisions, net of deferred tax asset (Balance sheet)</v>
          </cell>
          <cell r="B265"/>
          <cell r="C265"/>
          <cell r="D265"/>
          <cell r="E265">
            <v>2513</v>
          </cell>
          <cell r="F265">
            <v>2678</v>
          </cell>
          <cell r="G265">
            <v>2772</v>
          </cell>
          <cell r="H265">
            <v>3044</v>
          </cell>
          <cell r="I265">
            <v>3247</v>
          </cell>
          <cell r="J265">
            <v>3247</v>
          </cell>
          <cell r="K265">
            <v>3442</v>
          </cell>
          <cell r="L265">
            <v>4840</v>
          </cell>
          <cell r="M265">
            <v>4026</v>
          </cell>
        </row>
        <row r="266">
          <cell r="A266" t="str">
            <v>Unrecognised actuarial pension loss (off balance sheet)</v>
          </cell>
          <cell r="B266"/>
          <cell r="C266"/>
          <cell r="D266"/>
          <cell r="E266"/>
          <cell r="F266">
            <v>158</v>
          </cell>
          <cell r="G266">
            <v>398</v>
          </cell>
          <cell r="H266">
            <v>384</v>
          </cell>
          <cell r="I266">
            <v>659</v>
          </cell>
          <cell r="J266">
            <v>659</v>
          </cell>
          <cell r="K266">
            <v>1118</v>
          </cell>
          <cell r="L266"/>
          <cell r="M266"/>
        </row>
        <row r="267">
          <cell r="A267" t="str">
            <v>Launch Aid (European govt refundable advances)</v>
          </cell>
          <cell r="B267"/>
          <cell r="C267"/>
          <cell r="D267"/>
          <cell r="E267">
            <v>2088</v>
          </cell>
          <cell r="F267">
            <v>3469</v>
          </cell>
          <cell r="G267">
            <v>4265</v>
          </cell>
          <cell r="H267">
            <v>4851</v>
          </cell>
          <cell r="I267">
            <v>5119</v>
          </cell>
          <cell r="J267">
            <v>4819</v>
          </cell>
          <cell r="K267">
            <v>5293</v>
          </cell>
          <cell r="L267">
            <v>5418</v>
          </cell>
          <cell r="M267">
            <v>5315</v>
          </cell>
        </row>
        <row r="268">
          <cell r="A268" t="str">
            <v>Off-balance sheet aircraft financing commitments</v>
          </cell>
          <cell r="B268"/>
          <cell r="C268"/>
          <cell r="D268"/>
          <cell r="E268">
            <v>1410</v>
          </cell>
          <cell r="F268">
            <v>1410</v>
          </cell>
          <cell r="G268">
            <v>1047</v>
          </cell>
          <cell r="H268">
            <v>850</v>
          </cell>
          <cell r="I268">
            <v>650</v>
          </cell>
          <cell r="J268">
            <v>650</v>
          </cell>
          <cell r="K268">
            <v>644</v>
          </cell>
          <cell r="L268">
            <v>526</v>
          </cell>
          <cell r="M268">
            <v>440</v>
          </cell>
        </row>
        <row r="269">
          <cell r="A269" t="str">
            <v>Less: customer financing collateral value</v>
          </cell>
          <cell r="B269"/>
          <cell r="C269"/>
          <cell r="D269"/>
          <cell r="E269">
            <v>-2698</v>
          </cell>
          <cell r="F269">
            <v>-2698</v>
          </cell>
          <cell r="G269">
            <v>-2599</v>
          </cell>
          <cell r="H269">
            <v>-2594</v>
          </cell>
          <cell r="I269">
            <v>-2216</v>
          </cell>
          <cell r="J269">
            <v>-2216</v>
          </cell>
          <cell r="K269">
            <v>-2133</v>
          </cell>
          <cell r="L269">
            <v>-791</v>
          </cell>
          <cell r="M269">
            <v>-622</v>
          </cell>
        </row>
        <row r="270">
          <cell r="A270" t="str">
            <v>FX hedge provision</v>
          </cell>
          <cell r="B270"/>
          <cell r="C270"/>
          <cell r="D270"/>
          <cell r="E270">
            <v>650</v>
          </cell>
          <cell r="F270">
            <v>390</v>
          </cell>
          <cell r="G270">
            <v>195</v>
          </cell>
          <cell r="H270"/>
          <cell r="I270"/>
          <cell r="J270"/>
          <cell r="K270"/>
          <cell r="L270"/>
          <cell r="M270"/>
        </row>
        <row r="271">
          <cell r="A271" t="str">
            <v>Minus investments and associates @ book value</v>
          </cell>
          <cell r="B271"/>
          <cell r="C271"/>
          <cell r="D271"/>
          <cell r="E271">
            <v>-2219</v>
          </cell>
          <cell r="F271">
            <v>-2219</v>
          </cell>
          <cell r="G271">
            <v>-2324</v>
          </cell>
          <cell r="H271">
            <v>-2419</v>
          </cell>
          <cell r="I271">
            <v>-2490</v>
          </cell>
          <cell r="J271">
            <v>-2248</v>
          </cell>
          <cell r="K271">
            <v>-2601</v>
          </cell>
          <cell r="L271">
            <v>-2974</v>
          </cell>
          <cell r="M271">
            <v>-2946</v>
          </cell>
        </row>
        <row r="272">
          <cell r="A272" t="str">
            <v>Goldman defined Invested Capital</v>
          </cell>
          <cell r="B272"/>
          <cell r="C272"/>
          <cell r="D272"/>
          <cell r="E272">
            <v>16182</v>
          </cell>
          <cell r="F272">
            <v>20171</v>
          </cell>
          <cell r="G272">
            <v>24133</v>
          </cell>
          <cell r="H272">
            <v>29057</v>
          </cell>
          <cell r="I272">
            <v>31683</v>
          </cell>
          <cell r="J272">
            <v>32233</v>
          </cell>
          <cell r="K272">
            <v>30786</v>
          </cell>
          <cell r="L272">
            <v>29392</v>
          </cell>
          <cell r="M272">
            <v>26558</v>
          </cell>
        </row>
        <row r="273">
          <cell r="A273"/>
          <cell r="B273"/>
          <cell r="C273"/>
          <cell r="D273"/>
          <cell r="E273"/>
          <cell r="F273"/>
          <cell r="G273"/>
          <cell r="H273"/>
          <cell r="I273"/>
          <cell r="J273"/>
          <cell r="K273"/>
          <cell r="L273"/>
          <cell r="M273"/>
        </row>
        <row r="274">
          <cell r="A274" t="str">
            <v>Goldman defined CROCI and ROIC (pre and post-tax)</v>
          </cell>
          <cell r="B274" t="str">
            <v>1997pf</v>
          </cell>
          <cell r="C274" t="str">
            <v>1998pf</v>
          </cell>
          <cell r="D274" t="str">
            <v>1999pf</v>
          </cell>
          <cell r="E274" t="str">
            <v>2000pf</v>
          </cell>
          <cell r="F274">
            <v>2001</v>
          </cell>
          <cell r="G274">
            <v>2002</v>
          </cell>
          <cell r="H274">
            <v>2003</v>
          </cell>
          <cell r="I274">
            <v>2004</v>
          </cell>
          <cell r="J274" t="str">
            <v>2004pf</v>
          </cell>
          <cell r="K274">
            <v>2005</v>
          </cell>
          <cell r="L274">
            <v>2006</v>
          </cell>
          <cell r="M274">
            <v>2007</v>
          </cell>
        </row>
        <row r="275">
          <cell r="A275"/>
          <cell r="B275"/>
          <cell r="C275"/>
          <cell r="D275"/>
          <cell r="E275"/>
          <cell r="F275"/>
          <cell r="G275"/>
          <cell r="H275"/>
          <cell r="I275"/>
          <cell r="J275"/>
          <cell r="K275"/>
          <cell r="L275"/>
          <cell r="M275"/>
        </row>
        <row r="276">
          <cell r="A276" t="str">
            <v>DACF margin</v>
          </cell>
          <cell r="B276"/>
          <cell r="C276"/>
          <cell r="D276"/>
          <cell r="E276"/>
          <cell r="F276"/>
          <cell r="G276"/>
          <cell r="H276"/>
          <cell r="I276"/>
          <cell r="J276"/>
          <cell r="K276"/>
          <cell r="L276">
            <v>9.9160381691159316E-2</v>
          </cell>
          <cell r="M276">
            <v>9.9807855340664942E-2</v>
          </cell>
        </row>
        <row r="277">
          <cell r="A277" t="str">
            <v>Sales / Gross Cash Invested</v>
          </cell>
          <cell r="B277"/>
          <cell r="C277"/>
          <cell r="D277"/>
          <cell r="E277"/>
          <cell r="F277"/>
          <cell r="G277"/>
          <cell r="H277"/>
          <cell r="I277"/>
          <cell r="J277"/>
          <cell r="K277"/>
          <cell r="L277">
            <v>0.923801652892562</v>
          </cell>
          <cell r="M277">
            <v>1.0318633881084691</v>
          </cell>
        </row>
        <row r="278">
          <cell r="A278" t="str">
            <v>Goldman defined CROCI</v>
          </cell>
          <cell r="B278"/>
          <cell r="C278"/>
          <cell r="D278"/>
          <cell r="E278"/>
          <cell r="F278"/>
          <cell r="G278"/>
          <cell r="H278"/>
          <cell r="I278"/>
          <cell r="J278"/>
          <cell r="K278"/>
          <cell r="L278">
            <v>9.4649627640212897E-2</v>
          </cell>
          <cell r="M278">
            <v>0.10247361409874034</v>
          </cell>
        </row>
        <row r="279">
          <cell r="A279" t="str">
            <v>checking</v>
          </cell>
          <cell r="B279"/>
          <cell r="C279"/>
          <cell r="D279"/>
          <cell r="E279"/>
          <cell r="F279"/>
          <cell r="G279"/>
          <cell r="H279"/>
          <cell r="I279"/>
          <cell r="J279"/>
          <cell r="K279"/>
          <cell r="L279">
            <v>0</v>
          </cell>
          <cell r="M279">
            <v>0</v>
          </cell>
        </row>
        <row r="280">
          <cell r="A280"/>
          <cell r="B280"/>
          <cell r="C280"/>
          <cell r="D280"/>
          <cell r="E280"/>
          <cell r="F280"/>
          <cell r="G280"/>
          <cell r="H280"/>
          <cell r="I280"/>
          <cell r="J280"/>
          <cell r="K280"/>
          <cell r="L280"/>
          <cell r="M280"/>
        </row>
        <row r="281">
          <cell r="A281" t="str">
            <v>Economic EBITA margin</v>
          </cell>
          <cell r="B281"/>
          <cell r="C281"/>
          <cell r="D281"/>
          <cell r="E281">
            <v>6.6676883674818249E-2</v>
          </cell>
          <cell r="F281">
            <v>7.9271218910318852E-2</v>
          </cell>
          <cell r="G281">
            <v>5.6121701615330581E-2</v>
          </cell>
          <cell r="H281">
            <v>6.0234460558192017E-2</v>
          </cell>
          <cell r="I281">
            <v>8.1606572683479747E-2</v>
          </cell>
          <cell r="J281">
            <v>8.1386370076508924E-2</v>
          </cell>
          <cell r="K281">
            <v>8.1896066333391804E-2</v>
          </cell>
          <cell r="L281">
            <v>4.1444875386722124E-3</v>
          </cell>
          <cell r="M281">
            <v>4.8259131457199095E-3</v>
          </cell>
        </row>
        <row r="282">
          <cell r="A282" t="str">
            <v>Asset turn</v>
          </cell>
          <cell r="B282"/>
          <cell r="C282"/>
          <cell r="D282"/>
          <cell r="E282">
            <v>1.4959831912000989</v>
          </cell>
          <cell r="F282">
            <v>1.52684547122106</v>
          </cell>
          <cell r="G282">
            <v>1.2390088260887582</v>
          </cell>
          <cell r="H282">
            <v>1.0370306638675706</v>
          </cell>
          <cell r="I282">
            <v>1.0024618880787803</v>
          </cell>
          <cell r="J282">
            <v>0.98535662209536812</v>
          </cell>
          <cell r="K282">
            <v>1.1110894562463458</v>
          </cell>
          <cell r="L282">
            <v>1.3416575939031028</v>
          </cell>
          <cell r="M282">
            <v>1.4731154454401687</v>
          </cell>
        </row>
        <row r="283">
          <cell r="A283" t="str">
            <v>Goldman defined ROIC (pre-tax)</v>
          </cell>
          <cell r="B283"/>
          <cell r="C283"/>
          <cell r="D283"/>
          <cell r="E283">
            <v>9.9747497219132369E-2</v>
          </cell>
          <cell r="F283">
            <v>0.12103490159139359</v>
          </cell>
          <cell r="G283">
            <v>6.9535283636514303E-2</v>
          </cell>
          <cell r="H283">
            <v>6.2464982620366864E-2</v>
          </cell>
          <cell r="I283">
            <v>8.1807478931919322E-2</v>
          </cell>
          <cell r="J283">
            <v>8.0194598703192371E-2</v>
          </cell>
          <cell r="K283">
            <v>9.0993855811082949E-2</v>
          </cell>
          <cell r="L283">
            <v>5.5604831790963529E-3</v>
          </cell>
          <cell r="M283">
            <v>7.1091271933127502E-3</v>
          </cell>
        </row>
        <row r="284">
          <cell r="A284" t="str">
            <v>Pre-tax cost of capital declared by company</v>
          </cell>
          <cell r="B284"/>
          <cell r="C284"/>
          <cell r="D284"/>
          <cell r="E284"/>
          <cell r="F284"/>
          <cell r="G284"/>
          <cell r="H284"/>
          <cell r="I284"/>
          <cell r="J284"/>
          <cell r="K284"/>
          <cell r="L284"/>
          <cell r="M284">
            <v>0.14029850746268657</v>
          </cell>
        </row>
        <row r="285">
          <cell r="A285"/>
          <cell r="B285"/>
          <cell r="C285"/>
          <cell r="D285"/>
          <cell r="E285"/>
          <cell r="F285"/>
          <cell r="G285"/>
          <cell r="H285"/>
          <cell r="I285"/>
          <cell r="J285"/>
          <cell r="K285"/>
          <cell r="L285"/>
          <cell r="M285"/>
        </row>
        <row r="286">
          <cell r="A286" t="str">
            <v>NOPLAT margin</v>
          </cell>
          <cell r="B286"/>
          <cell r="C286"/>
          <cell r="D286"/>
          <cell r="E286">
            <v>4.2673205551883676E-2</v>
          </cell>
          <cell r="F286">
            <v>3.6174325110092977E-2</v>
          </cell>
          <cell r="G286">
            <v>3.3894878354793358E-2</v>
          </cell>
          <cell r="H286">
            <v>3.7687017997094605E-2</v>
          </cell>
          <cell r="I286">
            <v>5.2963206112457049E-2</v>
          </cell>
          <cell r="J286">
            <v>5.265721375073841E-2</v>
          </cell>
          <cell r="K286">
            <v>5.5199479476301085E-2</v>
          </cell>
          <cell r="L286">
            <v>5.748805295577585E-3</v>
          </cell>
          <cell r="M286">
            <v>2.9871345602704253E-3</v>
          </cell>
        </row>
        <row r="287">
          <cell r="A287" t="str">
            <v>Asset turn</v>
          </cell>
          <cell r="B287"/>
          <cell r="C287"/>
          <cell r="D287"/>
          <cell r="E287">
            <v>1.4959831912000989</v>
          </cell>
          <cell r="F287">
            <v>1.52684547122106</v>
          </cell>
          <cell r="G287">
            <v>1.2390088260887582</v>
          </cell>
          <cell r="H287">
            <v>1.0370306638675706</v>
          </cell>
          <cell r="I287">
            <v>1.0024618880787803</v>
          </cell>
          <cell r="J287">
            <v>0.98535662209536812</v>
          </cell>
          <cell r="K287">
            <v>1.1110894562463458</v>
          </cell>
          <cell r="L287">
            <v>1.3416575939031028</v>
          </cell>
          <cell r="M287">
            <v>1.4731154454401687</v>
          </cell>
        </row>
        <row r="288">
          <cell r="A288" t="str">
            <v>Goldman defined ROIC (post-tax)</v>
          </cell>
          <cell r="B288"/>
          <cell r="C288"/>
          <cell r="D288"/>
          <cell r="E288">
            <v>6.3838398220244716E-2</v>
          </cell>
          <cell r="F288">
            <v>5.5232604468823727E-2</v>
          </cell>
          <cell r="G288">
            <v>4.1996053440793782E-2</v>
          </cell>
          <cell r="H288">
            <v>3.90825932927161E-2</v>
          </cell>
          <cell r="I288">
            <v>5.3093595598199296E-2</v>
          </cell>
          <cell r="J288">
            <v>5.188613427038137E-2</v>
          </cell>
          <cell r="K288">
            <v>6.1331559636404694E-2</v>
          </cell>
          <cell r="L288">
            <v>7.7129282806820383E-3</v>
          </cell>
          <cell r="M288">
            <v>4.4003940583424899E-3</v>
          </cell>
        </row>
        <row r="289">
          <cell r="A289" t="str">
            <v>WACC - as declared by company</v>
          </cell>
          <cell r="B289"/>
          <cell r="C289"/>
          <cell r="D289"/>
          <cell r="E289">
            <v>9.4E-2</v>
          </cell>
          <cell r="F289">
            <v>9.4E-2</v>
          </cell>
          <cell r="G289">
            <v>9.4E-2</v>
          </cell>
          <cell r="H289">
            <v>9.4E-2</v>
          </cell>
          <cell r="I289">
            <v>9.4E-2</v>
          </cell>
          <cell r="J289">
            <v>9.4E-2</v>
          </cell>
          <cell r="K289">
            <v>9.4E-2</v>
          </cell>
          <cell r="L289">
            <v>9.4E-2</v>
          </cell>
          <cell r="M289">
            <v>9.4E-2</v>
          </cell>
        </row>
        <row r="290">
          <cell r="A290" t="str">
            <v>ROIC / WACC - using company declared WACC</v>
          </cell>
          <cell r="B290"/>
          <cell r="C290"/>
          <cell r="D290"/>
          <cell r="E290">
            <v>0.67913189596005019</v>
          </cell>
          <cell r="F290">
            <v>0.58758089860450768</v>
          </cell>
          <cell r="G290">
            <v>0.44676652596589128</v>
          </cell>
          <cell r="H290">
            <v>0.41577226907144788</v>
          </cell>
          <cell r="I290">
            <v>0.56482548508722652</v>
          </cell>
          <cell r="J290">
            <v>0.55198015181256777</v>
          </cell>
          <cell r="K290">
            <v>0.65246340038728401</v>
          </cell>
          <cell r="L290">
            <v>8.205242851789403E-2</v>
          </cell>
          <cell r="M290">
            <v>4.6812702748324359E-2</v>
          </cell>
        </row>
        <row r="291">
          <cell r="A291"/>
          <cell r="B291"/>
          <cell r="C291"/>
          <cell r="D291"/>
          <cell r="E291"/>
          <cell r="F291"/>
          <cell r="G291"/>
          <cell r="H291"/>
          <cell r="I291"/>
          <cell r="J291"/>
          <cell r="K291"/>
          <cell r="L291"/>
          <cell r="M291"/>
        </row>
        <row r="292">
          <cell r="A292" t="str">
            <v>WACC - standardised at 9.5%</v>
          </cell>
          <cell r="B292"/>
          <cell r="C292"/>
          <cell r="D292"/>
          <cell r="E292">
            <v>9.5000000000000001E-2</v>
          </cell>
          <cell r="F292">
            <v>9.5000000000000001E-2</v>
          </cell>
          <cell r="G292">
            <v>9.5000000000000001E-2</v>
          </cell>
          <cell r="H292">
            <v>9.5000000000000001E-2</v>
          </cell>
          <cell r="I292">
            <v>9.5000000000000001E-2</v>
          </cell>
          <cell r="J292">
            <v>9.5000000000000001E-2</v>
          </cell>
          <cell r="K292">
            <v>9.5000000000000001E-2</v>
          </cell>
          <cell r="L292">
            <v>9.5000000000000001E-2</v>
          </cell>
          <cell r="M292">
            <v>9.5000000000000001E-2</v>
          </cell>
        </row>
        <row r="293">
          <cell r="A293" t="str">
            <v>ROIC / WACC - using standardised WACC of 9.5%</v>
          </cell>
          <cell r="B293"/>
          <cell r="C293"/>
          <cell r="D293"/>
          <cell r="E293">
            <v>0.6719831391604707</v>
          </cell>
          <cell r="F293">
            <v>0.58139583651393401</v>
          </cell>
          <cell r="G293">
            <v>0.44206372042940822</v>
          </cell>
          <cell r="H293">
            <v>0.41139571887069576</v>
          </cell>
          <cell r="I293">
            <v>0.55887995366525578</v>
          </cell>
          <cell r="J293">
            <v>0.54616983442506706</v>
          </cell>
          <cell r="K293">
            <v>0.64559536459373357</v>
          </cell>
          <cell r="L293">
            <v>8.1188718744021449E-2</v>
          </cell>
          <cell r="M293">
            <v>4.6319937456236734E-2</v>
          </cell>
        </row>
        <row r="294">
          <cell r="A294"/>
          <cell r="B294"/>
          <cell r="C294"/>
          <cell r="D294"/>
          <cell r="E294"/>
          <cell r="F294"/>
          <cell r="G294"/>
          <cell r="H294"/>
          <cell r="I294"/>
          <cell r="J294"/>
          <cell r="K294"/>
          <cell r="L294"/>
          <cell r="M294"/>
        </row>
        <row r="295">
          <cell r="A295" t="str">
            <v>Enterprise Value, where EV/IC = ROIC/WACC (using co. def. WACC)</v>
          </cell>
          <cell r="B295"/>
          <cell r="C295"/>
          <cell r="D295"/>
          <cell r="E295">
            <v>10989.712340425533</v>
          </cell>
          <cell r="F295">
            <v>11852.094305751525</v>
          </cell>
          <cell r="G295">
            <v>10781.816571134854</v>
          </cell>
          <cell r="H295">
            <v>12081.094822409061</v>
          </cell>
          <cell r="I295">
            <v>17895.365844018597</v>
          </cell>
          <cell r="J295"/>
          <cell r="K295">
            <v>20086.738244322925</v>
          </cell>
          <cell r="L295">
            <v>2411.6849789979415</v>
          </cell>
          <cell r="M295">
            <v>1243.2517595899983</v>
          </cell>
        </row>
        <row r="296">
          <cell r="A296" t="str">
            <v>Enterprise Value, where EV/IC = ROIC/WACC (using 9.5% WACC)</v>
          </cell>
          <cell r="B296"/>
          <cell r="C296"/>
          <cell r="D296"/>
          <cell r="E296">
            <v>10874.031157894737</v>
          </cell>
          <cell r="F296">
            <v>11727.335418322562</v>
          </cell>
          <cell r="G296">
            <v>10668.323765122908</v>
          </cell>
          <cell r="H296">
            <v>11953.925403225807</v>
          </cell>
          <cell r="I296">
            <v>17706.993571976298</v>
          </cell>
          <cell r="J296"/>
          <cell r="K296">
            <v>19875.298894382682</v>
          </cell>
          <cell r="L296">
            <v>2386.2988213242784</v>
          </cell>
          <cell r="M296">
            <v>1230.1648989627352</v>
          </cell>
        </row>
        <row r="297">
          <cell r="A297"/>
          <cell r="B297"/>
          <cell r="C297"/>
          <cell r="D297"/>
          <cell r="E297"/>
          <cell r="F297"/>
          <cell r="G297"/>
          <cell r="H297"/>
          <cell r="I297"/>
          <cell r="J297"/>
          <cell r="K297"/>
          <cell r="L297"/>
          <cell r="M297"/>
        </row>
        <row r="298">
          <cell r="A298" t="str">
            <v>Less: Market value of minorities - average</v>
          </cell>
          <cell r="B298"/>
          <cell r="C298"/>
          <cell r="D298"/>
          <cell r="E298">
            <v>-358.56538719369757</v>
          </cell>
          <cell r="F298">
            <v>-870.3911562900729</v>
          </cell>
          <cell r="G298">
            <v>-1208.8590396944771</v>
          </cell>
          <cell r="H298">
            <v>-1328.2281487318101</v>
          </cell>
          <cell r="I298">
            <v>-2314.2045160982443</v>
          </cell>
          <cell r="J298"/>
          <cell r="K298">
            <v>-3766.2747566424014</v>
          </cell>
          <cell r="L298">
            <v>-2971.6934054366316</v>
          </cell>
          <cell r="M298">
            <v>-120.26062841727271</v>
          </cell>
        </row>
        <row r="299">
          <cell r="A299" t="str">
            <v>Less: Net Debt / (Cash) including non-recourse debt</v>
          </cell>
          <cell r="B299"/>
          <cell r="C299"/>
          <cell r="D299"/>
          <cell r="E299">
            <v>2577</v>
          </cell>
          <cell r="F299">
            <v>3119</v>
          </cell>
          <cell r="G299">
            <v>3784</v>
          </cell>
          <cell r="H299">
            <v>5046</v>
          </cell>
          <cell r="I299">
            <v>4949</v>
          </cell>
          <cell r="J299"/>
          <cell r="K299">
            <v>6736</v>
          </cell>
          <cell r="L299">
            <v>5287</v>
          </cell>
          <cell r="M299">
            <v>7883</v>
          </cell>
        </row>
        <row r="300">
          <cell r="A300" t="str">
            <v>Less: Est. excess cust. prepayments (not disclosed from 2006)</v>
          </cell>
          <cell r="B300"/>
          <cell r="C300"/>
          <cell r="D300"/>
          <cell r="E300">
            <v>-3811</v>
          </cell>
          <cell r="F300">
            <v>-4509</v>
          </cell>
          <cell r="G300">
            <v>-3578</v>
          </cell>
          <cell r="H300">
            <v>-3807</v>
          </cell>
          <cell r="I300">
            <v>-5610</v>
          </cell>
          <cell r="J300"/>
          <cell r="K300">
            <v>-7410</v>
          </cell>
          <cell r="L300">
            <v>-7504</v>
          </cell>
          <cell r="M300">
            <v>-8000</v>
          </cell>
        </row>
        <row r="301">
          <cell r="A301" t="str">
            <v>Less: Pension deficit net of def tax (on balance sheet)</v>
          </cell>
          <cell r="B301"/>
          <cell r="C301"/>
          <cell r="D301"/>
          <cell r="E301">
            <v>-2513</v>
          </cell>
          <cell r="F301">
            <v>-2678</v>
          </cell>
          <cell r="G301">
            <v>-2772</v>
          </cell>
          <cell r="H301">
            <v>-3044</v>
          </cell>
          <cell r="I301">
            <v>-3247</v>
          </cell>
          <cell r="J301"/>
          <cell r="K301">
            <v>-3442</v>
          </cell>
          <cell r="L301">
            <v>-4840</v>
          </cell>
          <cell r="M301">
            <v>-4026</v>
          </cell>
        </row>
        <row r="302">
          <cell r="A302" t="str">
            <v>Less: Unrecognised actuarial pension loss (off balance sheet)</v>
          </cell>
          <cell r="B302"/>
          <cell r="C302"/>
          <cell r="D302"/>
          <cell r="E302">
            <v>0</v>
          </cell>
          <cell r="F302">
            <v>-158</v>
          </cell>
          <cell r="G302">
            <v>-398</v>
          </cell>
          <cell r="H302">
            <v>-384</v>
          </cell>
          <cell r="I302">
            <v>-659</v>
          </cell>
          <cell r="J302"/>
          <cell r="K302">
            <v>-1118</v>
          </cell>
          <cell r="L302">
            <v>0</v>
          </cell>
          <cell r="M302">
            <v>0</v>
          </cell>
        </row>
        <row r="303">
          <cell r="A303" t="str">
            <v>Less: Launch aid (Govt refundable advances)</v>
          </cell>
          <cell r="B303"/>
          <cell r="C303"/>
          <cell r="D303"/>
          <cell r="E303">
            <v>-2088</v>
          </cell>
          <cell r="F303">
            <v>-3469</v>
          </cell>
          <cell r="G303">
            <v>-4265</v>
          </cell>
          <cell r="H303">
            <v>-4851</v>
          </cell>
          <cell r="I303">
            <v>-5119</v>
          </cell>
          <cell r="J303"/>
          <cell r="K303">
            <v>-5293</v>
          </cell>
          <cell r="L303">
            <v>-5418</v>
          </cell>
          <cell r="M303">
            <v>-5315</v>
          </cell>
        </row>
        <row r="304">
          <cell r="A304" t="str">
            <v>Less: Off-balance sheet aircraft financing commitments</v>
          </cell>
          <cell r="B304"/>
          <cell r="C304"/>
          <cell r="D304"/>
          <cell r="E304">
            <v>-1410</v>
          </cell>
          <cell r="F304">
            <v>-1410</v>
          </cell>
          <cell r="G304">
            <v>-1047</v>
          </cell>
          <cell r="H304">
            <v>-850</v>
          </cell>
          <cell r="I304">
            <v>-650</v>
          </cell>
          <cell r="J304"/>
          <cell r="K304">
            <v>-644</v>
          </cell>
          <cell r="L304">
            <v>-526</v>
          </cell>
          <cell r="M304">
            <v>-440</v>
          </cell>
        </row>
        <row r="305">
          <cell r="A305" t="str">
            <v>Add back: customer financing collateral value</v>
          </cell>
          <cell r="B305"/>
          <cell r="C305"/>
          <cell r="D305"/>
          <cell r="E305">
            <v>2698</v>
          </cell>
          <cell r="F305">
            <v>2698</v>
          </cell>
          <cell r="G305">
            <v>2599</v>
          </cell>
          <cell r="H305">
            <v>2594</v>
          </cell>
          <cell r="I305">
            <v>2216</v>
          </cell>
          <cell r="J305"/>
          <cell r="K305">
            <v>2133</v>
          </cell>
          <cell r="L305">
            <v>791</v>
          </cell>
          <cell r="M305">
            <v>622</v>
          </cell>
        </row>
        <row r="306">
          <cell r="A306" t="str">
            <v>Less: FX hedge provision</v>
          </cell>
          <cell r="B306"/>
          <cell r="C306"/>
          <cell r="D306"/>
          <cell r="E306">
            <v>-650</v>
          </cell>
          <cell r="F306">
            <v>-390</v>
          </cell>
          <cell r="G306">
            <v>-195</v>
          </cell>
          <cell r="H306">
            <v>0</v>
          </cell>
          <cell r="I306">
            <v>0</v>
          </cell>
          <cell r="J306"/>
          <cell r="K306">
            <v>0</v>
          </cell>
          <cell r="L306">
            <v>0</v>
          </cell>
          <cell r="M306">
            <v>0</v>
          </cell>
        </row>
        <row r="307">
          <cell r="A307" t="str">
            <v>Add back: Market value of Dassault Aviation</v>
          </cell>
          <cell r="B307"/>
          <cell r="C307"/>
          <cell r="D307"/>
          <cell r="E307">
            <v>900.8590999999999</v>
          </cell>
          <cell r="F307">
            <v>1268.6199999999999</v>
          </cell>
          <cell r="G307">
            <v>1541.79</v>
          </cell>
          <cell r="H307">
            <v>1250.0999999999999</v>
          </cell>
          <cell r="I307">
            <v>2058.0349999999999</v>
          </cell>
          <cell r="J307"/>
          <cell r="K307">
            <v>2470.9847</v>
          </cell>
          <cell r="L307">
            <v>2911.4282831310002</v>
          </cell>
          <cell r="M307">
            <v>2484.7938648300001</v>
          </cell>
        </row>
        <row r="308">
          <cell r="A308" t="str">
            <v>Add back: book value of other investments</v>
          </cell>
          <cell r="B308"/>
          <cell r="C308"/>
          <cell r="D308"/>
          <cell r="E308">
            <v>967</v>
          </cell>
          <cell r="F308">
            <v>967</v>
          </cell>
          <cell r="G308">
            <v>991</v>
          </cell>
          <cell r="H308">
            <v>786</v>
          </cell>
          <cell r="I308">
            <v>785</v>
          </cell>
          <cell r="J308"/>
          <cell r="K308">
            <v>734</v>
          </cell>
          <cell r="L308">
            <v>989</v>
          </cell>
          <cell r="M308">
            <v>825</v>
          </cell>
        </row>
        <row r="309">
          <cell r="A309" t="str">
            <v>Less: cash provisions to be utilised</v>
          </cell>
          <cell r="B309"/>
          <cell r="C309"/>
          <cell r="D309"/>
          <cell r="E309"/>
          <cell r="F309"/>
          <cell r="G309"/>
          <cell r="H309"/>
          <cell r="I309"/>
          <cell r="J309"/>
          <cell r="K309">
            <v>0</v>
          </cell>
          <cell r="L309">
            <v>-1990</v>
          </cell>
          <cell r="M309">
            <v>-4258</v>
          </cell>
        </row>
        <row r="310">
          <cell r="A310" t="str">
            <v>Implied equity value (using company declared WACC)</v>
          </cell>
          <cell r="B310"/>
          <cell r="C310"/>
          <cell r="D310"/>
          <cell r="E310">
            <v>7302.0060532318348</v>
          </cell>
          <cell r="F310">
            <v>6420.3231494614529</v>
          </cell>
          <cell r="G310">
            <v>6233.7475314403773</v>
          </cell>
          <cell r="H310">
            <v>7492.9666736772506</v>
          </cell>
          <cell r="I310">
            <v>10304.196327920352</v>
          </cell>
          <cell r="J310"/>
          <cell r="K310">
            <v>10487.448187680526</v>
          </cell>
          <cell r="L310">
            <v>-10859.580143307689</v>
          </cell>
          <cell r="M310">
            <v>-9101.215003997273</v>
          </cell>
        </row>
        <row r="311">
          <cell r="A311" t="str">
            <v>Implied equity value (using 9.5% WACC)</v>
          </cell>
          <cell r="B311"/>
          <cell r="C311"/>
          <cell r="D311"/>
          <cell r="E311"/>
          <cell r="F311">
            <v>6295.5642620324898</v>
          </cell>
          <cell r="G311">
            <v>6120.2547254284318</v>
          </cell>
          <cell r="H311">
            <v>7365.7972544939967</v>
          </cell>
          <cell r="I311">
            <v>10115.824055878053</v>
          </cell>
          <cell r="J311"/>
          <cell r="K311">
            <v>10276.008837740283</v>
          </cell>
          <cell r="L311">
            <v>-10884.966300981352</v>
          </cell>
          <cell r="M311">
            <v>-9114.3018646245364</v>
          </cell>
        </row>
        <row r="312">
          <cell r="A312"/>
          <cell r="B312"/>
          <cell r="C312"/>
          <cell r="D312"/>
          <cell r="E312"/>
          <cell r="F312"/>
          <cell r="G312"/>
          <cell r="H312"/>
          <cell r="I312"/>
          <cell r="J312"/>
          <cell r="K312"/>
          <cell r="L312"/>
          <cell r="M312"/>
        </row>
        <row r="313">
          <cell r="A313" t="str">
            <v>Average no. of shares</v>
          </cell>
          <cell r="B313"/>
          <cell r="C313"/>
          <cell r="D313"/>
          <cell r="E313">
            <v>0</v>
          </cell>
          <cell r="F313">
            <v>0</v>
          </cell>
          <cell r="G313">
            <v>0</v>
          </cell>
          <cell r="H313">
            <v>0</v>
          </cell>
          <cell r="I313">
            <v>0</v>
          </cell>
          <cell r="J313"/>
          <cell r="K313">
            <v>0</v>
          </cell>
          <cell r="L313">
            <v>800.18516399999999</v>
          </cell>
          <cell r="M313">
            <v>803.12822100000005</v>
          </cell>
        </row>
        <row r="314">
          <cell r="A314" t="str">
            <v>Implied value per share (€) (using co. def WACC)</v>
          </cell>
          <cell r="B314"/>
          <cell r="C314"/>
          <cell r="D314"/>
          <cell r="E314" t="e">
            <v>#DIV/0!</v>
          </cell>
          <cell r="F314" t="e">
            <v>#DIV/0!</v>
          </cell>
          <cell r="G314" t="e">
            <v>#DIV/0!</v>
          </cell>
          <cell r="H314" t="e">
            <v>#DIV/0!</v>
          </cell>
          <cell r="I314" t="e">
            <v>#DIV/0!</v>
          </cell>
          <cell r="J314"/>
          <cell r="K314" t="e">
            <v>#DIV/0!</v>
          </cell>
          <cell r="L314">
            <v>-13.571334026017619</v>
          </cell>
          <cell r="M314">
            <v>-11.332206696291989</v>
          </cell>
        </row>
        <row r="315">
          <cell r="A315" t="str">
            <v>Implied value per share (€) (using 9.5% WACC)</v>
          </cell>
          <cell r="B315"/>
          <cell r="C315"/>
          <cell r="D315"/>
          <cell r="E315"/>
          <cell r="F315" t="e">
            <v>#DIV/0!</v>
          </cell>
          <cell r="G315" t="e">
            <v>#DIV/0!</v>
          </cell>
          <cell r="H315" t="e">
            <v>#DIV/0!</v>
          </cell>
          <cell r="I315" t="e">
            <v>#DIV/0!</v>
          </cell>
          <cell r="J315"/>
          <cell r="K315" t="e">
            <v>#DIV/0!</v>
          </cell>
          <cell r="L315">
            <v>-13.603059380117864</v>
          </cell>
          <cell r="M315">
            <v>-11.348501554678323</v>
          </cell>
        </row>
        <row r="316">
          <cell r="A316"/>
          <cell r="B316"/>
          <cell r="C316"/>
          <cell r="D316"/>
          <cell r="E316"/>
          <cell r="F316"/>
          <cell r="G316"/>
          <cell r="H316"/>
          <cell r="I316"/>
          <cell r="J316"/>
          <cell r="K316"/>
          <cell r="L316"/>
          <cell r="M316"/>
        </row>
        <row r="317">
          <cell r="A317" t="str">
            <v>Checking</v>
          </cell>
          <cell r="B317"/>
          <cell r="C317"/>
          <cell r="D317"/>
          <cell r="E317">
            <v>1.3877787807814457E-17</v>
          </cell>
          <cell r="F317">
            <v>6.9388939039072284E-18</v>
          </cell>
          <cell r="G317">
            <v>3.637971868197809E-12</v>
          </cell>
          <cell r="H317">
            <v>0</v>
          </cell>
          <cell r="I317">
            <v>0</v>
          </cell>
          <cell r="J317"/>
          <cell r="K317">
            <v>2.0816681711721685E-17</v>
          </cell>
          <cell r="L317">
            <v>0</v>
          </cell>
          <cell r="M317">
            <v>0</v>
          </cell>
        </row>
        <row r="318">
          <cell r="A318"/>
          <cell r="B318"/>
          <cell r="C318"/>
          <cell r="D318"/>
          <cell r="E318"/>
          <cell r="F318"/>
          <cell r="G318"/>
          <cell r="H318"/>
          <cell r="I318"/>
          <cell r="J318"/>
          <cell r="K318"/>
          <cell r="L318"/>
          <cell r="M318"/>
        </row>
        <row r="319">
          <cell r="A319" t="str">
            <v>EADS (year to Dec)</v>
          </cell>
          <cell r="B319"/>
          <cell r="C319"/>
          <cell r="D319"/>
          <cell r="E319"/>
          <cell r="F319"/>
          <cell r="G319"/>
          <cell r="H319"/>
          <cell r="I319"/>
          <cell r="J319"/>
          <cell r="K319"/>
          <cell r="L319"/>
          <cell r="M319"/>
        </row>
        <row r="320">
          <cell r="A320"/>
          <cell r="B320"/>
          <cell r="C320"/>
          <cell r="D320"/>
          <cell r="E320"/>
          <cell r="F320"/>
          <cell r="G320"/>
          <cell r="H320"/>
          <cell r="I320"/>
          <cell r="J320"/>
          <cell r="K320"/>
          <cell r="L320"/>
          <cell r="M320"/>
        </row>
        <row r="321">
          <cell r="A321"/>
          <cell r="B321"/>
          <cell r="C321"/>
          <cell r="D321"/>
          <cell r="E321"/>
          <cell r="F321"/>
          <cell r="G321"/>
          <cell r="H321"/>
          <cell r="I321"/>
          <cell r="J321"/>
          <cell r="K321"/>
          <cell r="L321"/>
          <cell r="M321"/>
        </row>
        <row r="322">
          <cell r="A322"/>
          <cell r="B322"/>
          <cell r="C322"/>
          <cell r="D322"/>
          <cell r="E322"/>
          <cell r="F322"/>
          <cell r="G322"/>
          <cell r="H322"/>
          <cell r="I322"/>
          <cell r="J322"/>
          <cell r="K322"/>
          <cell r="L322"/>
          <cell r="M322"/>
        </row>
        <row r="323">
          <cell r="A323"/>
          <cell r="B323" t="str">
            <v>IAS</v>
          </cell>
          <cell r="C323" t="str">
            <v>IAS</v>
          </cell>
          <cell r="D323" t="str">
            <v>IAS</v>
          </cell>
          <cell r="E323" t="str">
            <v>IAS</v>
          </cell>
          <cell r="F323" t="str">
            <v>IAS</v>
          </cell>
          <cell r="G323" t="str">
            <v>IFRS</v>
          </cell>
          <cell r="H323" t="str">
            <v>IFRS</v>
          </cell>
          <cell r="I323" t="str">
            <v>IFRS</v>
          </cell>
          <cell r="J323" t="str">
            <v>IFRS</v>
          </cell>
          <cell r="K323" t="str">
            <v>IFRS</v>
          </cell>
          <cell r="L323" t="str">
            <v>IFRS</v>
          </cell>
          <cell r="M323" t="str">
            <v>IFRS</v>
          </cell>
        </row>
        <row r="324">
          <cell r="A324" t="str">
            <v>Cash flow statement</v>
          </cell>
          <cell r="B324" t="str">
            <v>1997pf</v>
          </cell>
          <cell r="C324" t="str">
            <v>1998pf</v>
          </cell>
          <cell r="D324" t="str">
            <v>1999pf</v>
          </cell>
          <cell r="E324" t="str">
            <v>2000pf</v>
          </cell>
          <cell r="F324">
            <v>2001</v>
          </cell>
          <cell r="G324">
            <v>2002</v>
          </cell>
          <cell r="H324">
            <v>2003</v>
          </cell>
          <cell r="I324">
            <v>2004</v>
          </cell>
          <cell r="J324" t="str">
            <v>2004pf</v>
          </cell>
          <cell r="K324">
            <v>2005</v>
          </cell>
          <cell r="L324">
            <v>2006</v>
          </cell>
          <cell r="M324">
            <v>2007</v>
          </cell>
        </row>
        <row r="325">
          <cell r="A325"/>
          <cell r="B325"/>
          <cell r="C325"/>
          <cell r="D325">
            <v>0</v>
          </cell>
          <cell r="E325">
            <v>0</v>
          </cell>
          <cell r="F325"/>
          <cell r="G325"/>
          <cell r="H325"/>
          <cell r="I325"/>
          <cell r="J325"/>
          <cell r="K325"/>
          <cell r="L325"/>
          <cell r="M325"/>
        </row>
        <row r="326">
          <cell r="A326" t="str">
            <v>Statutory defined net income</v>
          </cell>
          <cell r="B326"/>
          <cell r="C326"/>
          <cell r="D326">
            <v>-1009</v>
          </cell>
          <cell r="E326">
            <v>-909</v>
          </cell>
          <cell r="F326">
            <v>1372</v>
          </cell>
          <cell r="G326">
            <v>-299</v>
          </cell>
          <cell r="H326">
            <v>152</v>
          </cell>
          <cell r="I326">
            <v>1030</v>
          </cell>
          <cell r="J326">
            <v>1203</v>
          </cell>
          <cell r="K326">
            <v>1676</v>
          </cell>
          <cell r="L326">
            <v>99</v>
          </cell>
          <cell r="M326">
            <v>-446</v>
          </cell>
        </row>
        <row r="327">
          <cell r="A327" t="str">
            <v>Minorities</v>
          </cell>
          <cell r="B327"/>
          <cell r="C327"/>
          <cell r="D327">
            <v>2</v>
          </cell>
          <cell r="E327">
            <v>14</v>
          </cell>
          <cell r="F327">
            <v>-17</v>
          </cell>
          <cell r="G327">
            <v>33</v>
          </cell>
          <cell r="H327">
            <v>66</v>
          </cell>
          <cell r="I327">
            <v>203</v>
          </cell>
          <cell r="J327">
            <v>18</v>
          </cell>
          <cell r="K327">
            <v>34</v>
          </cell>
          <cell r="L327">
            <v>16</v>
          </cell>
          <cell r="M327">
            <v>9</v>
          </cell>
        </row>
        <row r="328">
          <cell r="A328" t="str">
            <v>Depreciation and amortisation</v>
          </cell>
          <cell r="B328"/>
          <cell r="C328"/>
          <cell r="D328">
            <v>1226</v>
          </cell>
          <cell r="E328">
            <v>1540</v>
          </cell>
          <cell r="F328">
            <v>3560</v>
          </cell>
          <cell r="G328">
            <v>2768</v>
          </cell>
          <cell r="H328">
            <v>2375</v>
          </cell>
          <cell r="I328">
            <v>1621</v>
          </cell>
          <cell r="J328">
            <v>1621</v>
          </cell>
          <cell r="K328">
            <v>1653</v>
          </cell>
          <cell r="L328">
            <v>1691</v>
          </cell>
          <cell r="M328">
            <v>1772</v>
          </cell>
        </row>
        <row r="329">
          <cell r="A329" t="str">
            <v>Valuation adjustments and CTA release</v>
          </cell>
          <cell r="B329"/>
          <cell r="C329"/>
          <cell r="D329">
            <v>29</v>
          </cell>
          <cell r="E329">
            <v>483</v>
          </cell>
          <cell r="F329">
            <v>493</v>
          </cell>
          <cell r="G329">
            <v>177</v>
          </cell>
          <cell r="H329">
            <v>263</v>
          </cell>
          <cell r="I329">
            <v>-200</v>
          </cell>
          <cell r="J329">
            <v>-188</v>
          </cell>
          <cell r="K329">
            <v>261</v>
          </cell>
          <cell r="L329">
            <v>426</v>
          </cell>
          <cell r="M329">
            <v>670</v>
          </cell>
        </row>
        <row r="330">
          <cell r="A330" t="str">
            <v>Deferred tax expense (income)</v>
          </cell>
          <cell r="B330"/>
          <cell r="C330"/>
          <cell r="D330">
            <v>-12</v>
          </cell>
          <cell r="E330">
            <v>-611</v>
          </cell>
          <cell r="F330">
            <v>109</v>
          </cell>
          <cell r="G330">
            <v>255</v>
          </cell>
          <cell r="H330">
            <v>-138</v>
          </cell>
          <cell r="I330">
            <v>537</v>
          </cell>
          <cell r="J330">
            <v>537</v>
          </cell>
          <cell r="K330">
            <v>386</v>
          </cell>
          <cell r="L330">
            <v>-193</v>
          </cell>
          <cell r="M330">
            <v>-76</v>
          </cell>
        </row>
        <row r="331">
          <cell r="A331" t="str">
            <v>Results on disposal of non-current assets</v>
          </cell>
          <cell r="B331"/>
          <cell r="C331"/>
          <cell r="D331">
            <v>-290</v>
          </cell>
          <cell r="E331">
            <v>30</v>
          </cell>
          <cell r="F331">
            <v>-71</v>
          </cell>
          <cell r="G331">
            <v>-119</v>
          </cell>
          <cell r="H331">
            <v>-50</v>
          </cell>
          <cell r="I331">
            <v>-8</v>
          </cell>
          <cell r="J331">
            <v>-8</v>
          </cell>
          <cell r="K331">
            <v>-170</v>
          </cell>
          <cell r="L331">
            <v>-336</v>
          </cell>
          <cell r="M331">
            <v>-125</v>
          </cell>
        </row>
        <row r="332">
          <cell r="A332" t="str">
            <v>Associates</v>
          </cell>
          <cell r="B332"/>
          <cell r="C332"/>
          <cell r="D332"/>
          <cell r="E332">
            <v>-107</v>
          </cell>
          <cell r="F332">
            <v>-22</v>
          </cell>
          <cell r="G332">
            <v>-108</v>
          </cell>
          <cell r="H332">
            <v>-224</v>
          </cell>
          <cell r="I332">
            <v>-88</v>
          </cell>
          <cell r="J332">
            <v>-88</v>
          </cell>
          <cell r="K332">
            <v>-210</v>
          </cell>
          <cell r="L332">
            <v>-152</v>
          </cell>
          <cell r="M332">
            <v>-210</v>
          </cell>
        </row>
        <row r="333">
          <cell r="A333" t="str">
            <v>Change in provisions and current tax assets / liabilities</v>
          </cell>
          <cell r="B333"/>
          <cell r="C333"/>
          <cell r="D333">
            <v>809</v>
          </cell>
          <cell r="E333">
            <v>1259</v>
          </cell>
          <cell r="F333">
            <v>47</v>
          </cell>
          <cell r="G333">
            <v>-845</v>
          </cell>
          <cell r="H333">
            <v>246</v>
          </cell>
          <cell r="I333">
            <v>-237</v>
          </cell>
          <cell r="J333">
            <v>-237</v>
          </cell>
          <cell r="K333">
            <v>238</v>
          </cell>
          <cell r="L333">
            <v>1990</v>
          </cell>
          <cell r="M333">
            <v>2268</v>
          </cell>
        </row>
        <row r="334">
          <cell r="A334" t="str">
            <v>Dilution gain on formation of Airbus / MBDA</v>
          </cell>
          <cell r="B334"/>
          <cell r="C334"/>
          <cell r="D334"/>
          <cell r="E334"/>
          <cell r="F334">
            <v>-2817</v>
          </cell>
          <cell r="G334"/>
          <cell r="H334"/>
          <cell r="I334"/>
          <cell r="J334"/>
          <cell r="K334"/>
          <cell r="L334"/>
          <cell r="M334"/>
        </row>
        <row r="335">
          <cell r="A335" t="str">
            <v>EADS defined gross cash flow from operations</v>
          </cell>
          <cell r="B335"/>
          <cell r="C335"/>
          <cell r="D335">
            <v>755</v>
          </cell>
          <cell r="E335">
            <v>1699</v>
          </cell>
          <cell r="F335">
            <v>2654</v>
          </cell>
          <cell r="G335">
            <v>1862</v>
          </cell>
          <cell r="H335">
            <v>2690</v>
          </cell>
          <cell r="I335">
            <v>2858</v>
          </cell>
          <cell r="J335">
            <v>2858</v>
          </cell>
          <cell r="K335">
            <v>3868</v>
          </cell>
          <cell r="L335">
            <v>3541</v>
          </cell>
          <cell r="M335">
            <v>3862</v>
          </cell>
        </row>
        <row r="336">
          <cell r="A336"/>
          <cell r="B336"/>
          <cell r="C336"/>
          <cell r="D336"/>
          <cell r="E336"/>
          <cell r="F336"/>
          <cell r="G336"/>
          <cell r="H336"/>
          <cell r="I336"/>
          <cell r="J336"/>
          <cell r="K336"/>
          <cell r="L336"/>
          <cell r="M336"/>
        </row>
        <row r="337">
          <cell r="A337" t="str">
            <v>change in inventories</v>
          </cell>
          <cell r="B337"/>
          <cell r="C337"/>
          <cell r="D337"/>
          <cell r="E337">
            <v>-1201</v>
          </cell>
          <cell r="F337">
            <v>-655</v>
          </cell>
          <cell r="G337">
            <v>274</v>
          </cell>
          <cell r="H337">
            <v>160</v>
          </cell>
          <cell r="I337">
            <v>282</v>
          </cell>
          <cell r="J337">
            <v>366</v>
          </cell>
          <cell r="K337">
            <v>-3264</v>
          </cell>
          <cell r="L337">
            <v>-1942</v>
          </cell>
          <cell r="M337">
            <v>-2998</v>
          </cell>
        </row>
        <row r="338">
          <cell r="A338" t="str">
            <v>change in trade receivables</v>
          </cell>
          <cell r="B338"/>
          <cell r="C338"/>
          <cell r="D338"/>
          <cell r="E338">
            <v>252</v>
          </cell>
          <cell r="F338">
            <v>-894</v>
          </cell>
          <cell r="G338">
            <v>895</v>
          </cell>
          <cell r="H338">
            <v>168</v>
          </cell>
          <cell r="I338">
            <v>-403</v>
          </cell>
          <cell r="J338">
            <v>-403</v>
          </cell>
          <cell r="K338">
            <v>-388</v>
          </cell>
          <cell r="L338">
            <v>-7</v>
          </cell>
          <cell r="M338">
            <v>-148</v>
          </cell>
        </row>
        <row r="339">
          <cell r="A339" t="str">
            <v>change in trade liabilities</v>
          </cell>
          <cell r="B339"/>
          <cell r="C339"/>
          <cell r="D339"/>
          <cell r="E339">
            <v>479</v>
          </cell>
          <cell r="F339">
            <v>766</v>
          </cell>
          <cell r="G339">
            <v>-139</v>
          </cell>
          <cell r="H339">
            <v>116</v>
          </cell>
          <cell r="I339">
            <v>756</v>
          </cell>
          <cell r="J339">
            <v>756</v>
          </cell>
          <cell r="K339">
            <v>666</v>
          </cell>
          <cell r="L339">
            <v>686</v>
          </cell>
          <cell r="M339">
            <v>44</v>
          </cell>
        </row>
        <row r="340">
          <cell r="A340" t="str">
            <v>change in other assets and liabilities (inc. cust advances)</v>
          </cell>
          <cell r="B340"/>
          <cell r="C340"/>
          <cell r="D340"/>
          <cell r="E340">
            <v>1930</v>
          </cell>
          <cell r="F340">
            <v>785</v>
          </cell>
          <cell r="G340">
            <v>-226</v>
          </cell>
          <cell r="H340">
            <v>1575</v>
          </cell>
          <cell r="I340">
            <v>1520</v>
          </cell>
          <cell r="J340">
            <v>1436</v>
          </cell>
          <cell r="K340">
            <v>4225</v>
          </cell>
          <cell r="L340">
            <v>1120</v>
          </cell>
          <cell r="M340">
            <v>4277</v>
          </cell>
        </row>
        <row r="341">
          <cell r="A341" t="str">
            <v>Change in working capital (excluding customer financing)</v>
          </cell>
          <cell r="B341"/>
          <cell r="C341"/>
          <cell r="D341">
            <v>783</v>
          </cell>
          <cell r="E341">
            <v>1460</v>
          </cell>
          <cell r="F341">
            <v>2</v>
          </cell>
          <cell r="G341">
            <v>804</v>
          </cell>
          <cell r="H341">
            <v>2019</v>
          </cell>
          <cell r="I341">
            <v>2155</v>
          </cell>
          <cell r="J341">
            <v>2155</v>
          </cell>
          <cell r="K341">
            <v>1239</v>
          </cell>
          <cell r="L341">
            <v>-143</v>
          </cell>
          <cell r="M341">
            <v>1175</v>
          </cell>
        </row>
        <row r="342">
          <cell r="A342" t="str">
            <v>of which, net change in Launch Aid (Refundable advances)</v>
          </cell>
          <cell r="B342"/>
          <cell r="C342"/>
          <cell r="D342"/>
          <cell r="E342" t="str">
            <v>n/a</v>
          </cell>
          <cell r="F342" t="str">
            <v>n/a</v>
          </cell>
          <cell r="G342">
            <v>700</v>
          </cell>
          <cell r="H342">
            <v>700</v>
          </cell>
          <cell r="I342">
            <v>2</v>
          </cell>
          <cell r="J342">
            <v>2</v>
          </cell>
          <cell r="K342">
            <v>-103</v>
          </cell>
          <cell r="L342">
            <v>-100</v>
          </cell>
          <cell r="M342">
            <v>-200</v>
          </cell>
        </row>
        <row r="343">
          <cell r="A343"/>
          <cell r="B343"/>
          <cell r="C343"/>
          <cell r="D343"/>
          <cell r="E343"/>
          <cell r="F343"/>
          <cell r="G343"/>
          <cell r="H343"/>
          <cell r="I343"/>
          <cell r="J343"/>
          <cell r="K343"/>
          <cell r="L343"/>
          <cell r="M343"/>
        </row>
        <row r="344">
          <cell r="A344" t="str">
            <v>EADS defined cash flow from operating activities</v>
          </cell>
          <cell r="B344"/>
          <cell r="C344"/>
          <cell r="D344">
            <v>1538</v>
          </cell>
          <cell r="E344">
            <v>3159</v>
          </cell>
          <cell r="F344">
            <v>2656</v>
          </cell>
          <cell r="G344">
            <v>2666</v>
          </cell>
          <cell r="H344">
            <v>4709</v>
          </cell>
          <cell r="I344">
            <v>5013</v>
          </cell>
          <cell r="J344">
            <v>5013</v>
          </cell>
          <cell r="K344">
            <v>5107</v>
          </cell>
          <cell r="L344">
            <v>3398</v>
          </cell>
          <cell r="M344">
            <v>5037</v>
          </cell>
        </row>
        <row r="345">
          <cell r="A345"/>
          <cell r="B345"/>
          <cell r="C345"/>
          <cell r="D345"/>
          <cell r="E345"/>
          <cell r="F345"/>
          <cell r="G345"/>
          <cell r="H345"/>
          <cell r="I345"/>
          <cell r="J345"/>
          <cell r="K345"/>
          <cell r="L345"/>
          <cell r="M345"/>
        </row>
        <row r="346">
          <cell r="A346" t="str">
            <v>Disposal of intangible assets and PPE</v>
          </cell>
          <cell r="B346"/>
          <cell r="C346"/>
          <cell r="D346">
            <v>699</v>
          </cell>
          <cell r="E346">
            <v>292</v>
          </cell>
          <cell r="F346">
            <v>402</v>
          </cell>
          <cell r="G346">
            <v>120</v>
          </cell>
          <cell r="H346">
            <v>47</v>
          </cell>
          <cell r="I346">
            <v>36</v>
          </cell>
          <cell r="J346">
            <v>36</v>
          </cell>
          <cell r="K346">
            <v>101</v>
          </cell>
          <cell r="L346">
            <v>76</v>
          </cell>
          <cell r="M346">
            <v>162</v>
          </cell>
        </row>
        <row r="347">
          <cell r="A347" t="str">
            <v>Purchase of intangible assets and PPE</v>
          </cell>
          <cell r="B347"/>
          <cell r="C347"/>
          <cell r="D347">
            <v>-2126</v>
          </cell>
          <cell r="E347">
            <v>-1351</v>
          </cell>
          <cell r="F347">
            <v>-2103</v>
          </cell>
          <cell r="G347">
            <v>-2213</v>
          </cell>
          <cell r="H347">
            <v>-2672</v>
          </cell>
          <cell r="I347">
            <v>-3017</v>
          </cell>
          <cell r="J347">
            <v>-3017</v>
          </cell>
          <cell r="K347">
            <v>-2818</v>
          </cell>
          <cell r="L347">
            <v>-2708</v>
          </cell>
          <cell r="M347">
            <v>-2028</v>
          </cell>
        </row>
        <row r="348">
          <cell r="A348" t="str">
            <v>of which, gross capitalised R&amp;D</v>
          </cell>
          <cell r="B348"/>
          <cell r="C348"/>
          <cell r="D348"/>
          <cell r="E348"/>
          <cell r="F348"/>
          <cell r="G348"/>
          <cell r="H348">
            <v>-4</v>
          </cell>
          <cell r="I348">
            <v>-165</v>
          </cell>
          <cell r="J348">
            <v>-165</v>
          </cell>
          <cell r="K348">
            <v>-293</v>
          </cell>
          <cell r="L348">
            <v>-411</v>
          </cell>
          <cell r="M348">
            <v>-93</v>
          </cell>
        </row>
        <row r="349">
          <cell r="A349" t="str">
            <v>of which, capex</v>
          </cell>
          <cell r="B349"/>
          <cell r="C349"/>
          <cell r="D349">
            <v>-2126</v>
          </cell>
          <cell r="E349">
            <v>-1351</v>
          </cell>
          <cell r="F349">
            <v>-2103</v>
          </cell>
          <cell r="G349">
            <v>-2213</v>
          </cell>
          <cell r="H349">
            <v>-2668</v>
          </cell>
          <cell r="I349">
            <v>-2852</v>
          </cell>
          <cell r="J349">
            <v>-2852</v>
          </cell>
          <cell r="K349">
            <v>-2525</v>
          </cell>
          <cell r="L349">
            <v>-2297</v>
          </cell>
          <cell r="M349">
            <v>-1935</v>
          </cell>
        </row>
        <row r="350">
          <cell r="A350" t="str">
            <v>as % of sales</v>
          </cell>
          <cell r="B350"/>
          <cell r="C350"/>
          <cell r="D350">
            <v>-9.4266838114663243E-2</v>
          </cell>
          <cell r="E350">
            <v>-5.5807997356245871E-2</v>
          </cell>
          <cell r="F350">
            <v>-6.8283654782778105E-2</v>
          </cell>
          <cell r="G350">
            <v>-7.4010902645396476E-2</v>
          </cell>
          <cell r="H350">
            <v>-8.8540802442504896E-2</v>
          </cell>
          <cell r="I350">
            <v>-8.9795661345675515E-2</v>
          </cell>
          <cell r="J350">
            <v>-8.9795661345675515E-2</v>
          </cell>
          <cell r="K350">
            <v>-7.3817458925334742E-2</v>
          </cell>
          <cell r="L350">
            <v>-5.8249226555764061E-2</v>
          </cell>
          <cell r="M350">
            <v>-4.9459397285484243E-2</v>
          </cell>
        </row>
        <row r="351">
          <cell r="A351"/>
          <cell r="B351"/>
          <cell r="C351"/>
          <cell r="D351"/>
          <cell r="E351"/>
          <cell r="F351"/>
          <cell r="G351"/>
          <cell r="H351"/>
          <cell r="I351"/>
          <cell r="J351"/>
          <cell r="K351"/>
          <cell r="L351"/>
          <cell r="M351"/>
        </row>
        <row r="352">
          <cell r="A352" t="str">
            <v>Cust. financing (in wkg cap from 2009, but we show sep.)</v>
          </cell>
          <cell r="B352"/>
          <cell r="C352"/>
          <cell r="D352"/>
          <cell r="E352"/>
          <cell r="F352">
            <v>-93</v>
          </cell>
          <cell r="G352">
            <v>-865</v>
          </cell>
          <cell r="H352">
            <v>-1093</v>
          </cell>
          <cell r="I352">
            <v>-188</v>
          </cell>
          <cell r="J352">
            <v>-188</v>
          </cell>
          <cell r="K352">
            <v>174</v>
          </cell>
          <cell r="L352">
            <v>1160</v>
          </cell>
          <cell r="M352">
            <v>61</v>
          </cell>
        </row>
        <row r="353">
          <cell r="A353"/>
          <cell r="B353"/>
          <cell r="C353"/>
          <cell r="D353"/>
          <cell r="E353"/>
          <cell r="F353"/>
          <cell r="G353"/>
          <cell r="H353"/>
          <cell r="I353"/>
          <cell r="J353"/>
          <cell r="K353"/>
          <cell r="L353"/>
          <cell r="M353"/>
        </row>
        <row r="354">
          <cell r="A354" t="str">
            <v>Minor acquisitions (included in EADS def of FCF until 2009)</v>
          </cell>
          <cell r="B354"/>
          <cell r="C354"/>
          <cell r="D354">
            <v>-73</v>
          </cell>
          <cell r="E354">
            <v>-600</v>
          </cell>
          <cell r="F354">
            <v>-1096</v>
          </cell>
          <cell r="G354">
            <v>-19</v>
          </cell>
          <cell r="H354">
            <v>-92</v>
          </cell>
          <cell r="I354">
            <v>-100</v>
          </cell>
          <cell r="J354">
            <v>-100</v>
          </cell>
          <cell r="K354">
            <v>-131</v>
          </cell>
          <cell r="L354">
            <v>-82</v>
          </cell>
          <cell r="M354"/>
        </row>
        <row r="355">
          <cell r="A355" t="str">
            <v>of which, fixed assets</v>
          </cell>
          <cell r="B355"/>
          <cell r="C355"/>
          <cell r="D355"/>
          <cell r="E355"/>
          <cell r="F355"/>
          <cell r="G355"/>
          <cell r="H355"/>
          <cell r="I355"/>
          <cell r="J355"/>
          <cell r="K355"/>
          <cell r="L355"/>
          <cell r="M355"/>
        </row>
        <row r="356">
          <cell r="A356" t="str">
            <v>of which, working capital</v>
          </cell>
          <cell r="B356"/>
          <cell r="C356"/>
          <cell r="D356"/>
          <cell r="E356"/>
          <cell r="F356"/>
          <cell r="G356"/>
          <cell r="H356"/>
          <cell r="I356"/>
          <cell r="J356"/>
          <cell r="K356"/>
          <cell r="L356"/>
          <cell r="M356"/>
        </row>
        <row r="357">
          <cell r="A357" t="str">
            <v>of which, goodwill</v>
          </cell>
          <cell r="B357"/>
          <cell r="C357"/>
          <cell r="D357"/>
          <cell r="E357"/>
          <cell r="F357"/>
          <cell r="G357"/>
          <cell r="H357"/>
          <cell r="I357"/>
          <cell r="J357"/>
          <cell r="K357"/>
          <cell r="L357"/>
          <cell r="M357"/>
        </row>
        <row r="358">
          <cell r="A358" t="str">
            <v>Disposal of subsidiaries</v>
          </cell>
          <cell r="B358"/>
          <cell r="C358"/>
          <cell r="D358">
            <v>146</v>
          </cell>
          <cell r="E358">
            <v>187</v>
          </cell>
          <cell r="F358">
            <v>850</v>
          </cell>
          <cell r="G358">
            <v>84</v>
          </cell>
          <cell r="H358">
            <v>32</v>
          </cell>
          <cell r="I358">
            <v>0</v>
          </cell>
          <cell r="J358">
            <v>0</v>
          </cell>
          <cell r="K358">
            <v>89</v>
          </cell>
          <cell r="L358">
            <v>86</v>
          </cell>
          <cell r="M358">
            <v>29</v>
          </cell>
        </row>
        <row r="359">
          <cell r="A359" t="str">
            <v>Net investment in associates and other financial assets</v>
          </cell>
          <cell r="B359"/>
          <cell r="C359"/>
          <cell r="D359">
            <v>14</v>
          </cell>
          <cell r="E359">
            <v>-156</v>
          </cell>
          <cell r="F359">
            <v>158</v>
          </cell>
          <cell r="G359">
            <v>-60</v>
          </cell>
          <cell r="H359">
            <v>119</v>
          </cell>
          <cell r="I359">
            <v>-499</v>
          </cell>
          <cell r="J359">
            <v>-499</v>
          </cell>
          <cell r="K359">
            <v>-221</v>
          </cell>
          <cell r="L359">
            <v>99</v>
          </cell>
          <cell r="M359">
            <v>226</v>
          </cell>
        </row>
        <row r="360">
          <cell r="A360"/>
          <cell r="B360"/>
          <cell r="C360"/>
          <cell r="D360"/>
          <cell r="E360"/>
          <cell r="F360"/>
          <cell r="G360"/>
          <cell r="H360"/>
          <cell r="I360"/>
          <cell r="J360"/>
          <cell r="K360"/>
          <cell r="L360"/>
          <cell r="M360"/>
        </row>
        <row r="361">
          <cell r="A361" t="str">
            <v>Add back customer financing which is non-recourse to EADS</v>
          </cell>
          <cell r="B361"/>
          <cell r="C361"/>
          <cell r="D361"/>
          <cell r="E361"/>
          <cell r="F361"/>
          <cell r="G361"/>
          <cell r="H361"/>
          <cell r="I361">
            <v>369</v>
          </cell>
          <cell r="J361">
            <v>369</v>
          </cell>
          <cell r="K361">
            <v>112</v>
          </cell>
          <cell r="L361"/>
          <cell r="M361"/>
        </row>
        <row r="362">
          <cell r="A362"/>
          <cell r="B362"/>
          <cell r="C362"/>
          <cell r="D362"/>
          <cell r="E362"/>
          <cell r="F362"/>
          <cell r="G362"/>
          <cell r="H362"/>
          <cell r="I362"/>
          <cell r="J362"/>
          <cell r="K362"/>
          <cell r="L362"/>
          <cell r="M362"/>
        </row>
        <row r="363">
          <cell r="A363" t="str">
            <v>EADS defined cash used for investing activities (for info only)</v>
          </cell>
          <cell r="B363"/>
          <cell r="C363"/>
          <cell r="D363">
            <v>-1340</v>
          </cell>
          <cell r="E363">
            <v>-1628</v>
          </cell>
          <cell r="F363">
            <v>-1882</v>
          </cell>
          <cell r="G363">
            <v>-2953</v>
          </cell>
          <cell r="H363">
            <v>-3659</v>
          </cell>
          <cell r="I363">
            <v>-3399</v>
          </cell>
          <cell r="J363">
            <v>-3399</v>
          </cell>
          <cell r="K363">
            <v>-2694</v>
          </cell>
          <cell r="L363">
            <v>-1369</v>
          </cell>
          <cell r="M363">
            <v>-1550</v>
          </cell>
        </row>
        <row r="364">
          <cell r="A364"/>
          <cell r="B364"/>
          <cell r="C364"/>
          <cell r="D364"/>
          <cell r="E364"/>
          <cell r="F364"/>
          <cell r="G364"/>
          <cell r="H364"/>
          <cell r="I364"/>
          <cell r="J364"/>
          <cell r="K364"/>
          <cell r="L364"/>
          <cell r="M364"/>
        </row>
        <row r="365">
          <cell r="A365" t="str">
            <v>EADS defined FCF (pre dividend and major acquisitions)</v>
          </cell>
          <cell r="B365"/>
          <cell r="C365"/>
          <cell r="D365">
            <v>198</v>
          </cell>
          <cell r="E365">
            <v>1531</v>
          </cell>
          <cell r="F365">
            <v>774</v>
          </cell>
          <cell r="G365">
            <v>-287</v>
          </cell>
          <cell r="H365">
            <v>1050</v>
          </cell>
          <cell r="I365">
            <v>1614</v>
          </cell>
          <cell r="J365">
            <v>1614</v>
          </cell>
          <cell r="K365">
            <v>2413</v>
          </cell>
          <cell r="L365">
            <v>2029</v>
          </cell>
          <cell r="M365">
            <v>3487</v>
          </cell>
        </row>
        <row r="366">
          <cell r="A366" t="str">
            <v>as a % of sales</v>
          </cell>
          <cell r="B366"/>
          <cell r="C366"/>
          <cell r="D366">
            <v>8.7793198244136041E-3</v>
          </cell>
          <cell r="E366">
            <v>6.3243555849306021E-2</v>
          </cell>
          <cell r="F366">
            <v>2.5131502045587374E-2</v>
          </cell>
          <cell r="G366">
            <v>-9.5983411926022534E-3</v>
          </cell>
          <cell r="H366">
            <v>3.4845518202634984E-2</v>
          </cell>
          <cell r="I366">
            <v>5.0817039765750451E-2</v>
          </cell>
          <cell r="J366">
            <v>5.0817039765750451E-2</v>
          </cell>
          <cell r="K366">
            <v>7.0543179559141675E-2</v>
          </cell>
          <cell r="L366">
            <v>5.1453060810468125E-2</v>
          </cell>
          <cell r="M366">
            <v>8.9129156762007E-2</v>
          </cell>
        </row>
        <row r="367">
          <cell r="A367"/>
          <cell r="B367"/>
          <cell r="C367"/>
          <cell r="D367"/>
          <cell r="E367"/>
          <cell r="F367"/>
          <cell r="G367"/>
          <cell r="H367"/>
          <cell r="I367"/>
          <cell r="J367"/>
          <cell r="K367"/>
          <cell r="L367"/>
          <cell r="M367"/>
        </row>
        <row r="368">
          <cell r="A368" t="str">
            <v>EADS headline FCF (pre div., major acquis. and cust. fin.)</v>
          </cell>
          <cell r="B368"/>
          <cell r="C368"/>
          <cell r="D368"/>
          <cell r="E368"/>
          <cell r="F368">
            <v>867</v>
          </cell>
          <cell r="G368">
            <v>578</v>
          </cell>
          <cell r="H368">
            <v>2143</v>
          </cell>
          <cell r="I368">
            <v>1802</v>
          </cell>
          <cell r="J368">
            <v>1802</v>
          </cell>
          <cell r="K368">
            <v>2239</v>
          </cell>
          <cell r="L368">
            <v>869</v>
          </cell>
          <cell r="M368">
            <v>3426</v>
          </cell>
        </row>
        <row r="369">
          <cell r="A369"/>
          <cell r="B369"/>
          <cell r="C369"/>
          <cell r="D369"/>
          <cell r="E369"/>
          <cell r="F369"/>
          <cell r="G369"/>
          <cell r="H369"/>
          <cell r="I369"/>
          <cell r="J369"/>
          <cell r="K369"/>
          <cell r="L369"/>
          <cell r="M369"/>
        </row>
        <row r="370">
          <cell r="A370" t="str">
            <v>Larger acquisitions (not inc. in EADS definition of FCF)</v>
          </cell>
          <cell r="B370"/>
          <cell r="C370"/>
          <cell r="D370"/>
          <cell r="E370"/>
          <cell r="F370"/>
          <cell r="G370"/>
          <cell r="H370"/>
          <cell r="I370"/>
          <cell r="J370"/>
          <cell r="K370"/>
          <cell r="L370">
            <v>-2879</v>
          </cell>
          <cell r="M370"/>
        </row>
        <row r="371">
          <cell r="A371" t="str">
            <v>of which, fixed assets</v>
          </cell>
          <cell r="B371"/>
          <cell r="C371"/>
          <cell r="D371"/>
          <cell r="E371"/>
          <cell r="F371"/>
          <cell r="G371"/>
          <cell r="H371"/>
          <cell r="I371"/>
          <cell r="J371"/>
          <cell r="K371"/>
          <cell r="L371"/>
          <cell r="M371"/>
        </row>
        <row r="372">
          <cell r="A372" t="str">
            <v>of which, goodwill</v>
          </cell>
          <cell r="B372"/>
          <cell r="C372"/>
          <cell r="D372"/>
          <cell r="E372"/>
          <cell r="F372"/>
          <cell r="G372"/>
          <cell r="H372"/>
          <cell r="I372"/>
          <cell r="J372"/>
          <cell r="K372"/>
          <cell r="L372"/>
          <cell r="M372"/>
        </row>
        <row r="373">
          <cell r="A373" t="str">
            <v>Dividend paid</v>
          </cell>
          <cell r="B373"/>
          <cell r="C373"/>
          <cell r="D373">
            <v>-1305</v>
          </cell>
          <cell r="E373">
            <v>-31</v>
          </cell>
          <cell r="F373">
            <v>-404</v>
          </cell>
          <cell r="G373">
            <v>-403</v>
          </cell>
          <cell r="H373">
            <v>-240</v>
          </cell>
          <cell r="I373">
            <v>-320</v>
          </cell>
          <cell r="J373">
            <v>-320</v>
          </cell>
          <cell r="K373">
            <v>-396</v>
          </cell>
          <cell r="L373">
            <v>-536</v>
          </cell>
          <cell r="M373">
            <v>-98</v>
          </cell>
        </row>
        <row r="374">
          <cell r="A374" t="str">
            <v>EADS defined FCF (post div and customer financing)</v>
          </cell>
          <cell r="B374"/>
          <cell r="C374"/>
          <cell r="D374">
            <v>-1107</v>
          </cell>
          <cell r="E374">
            <v>1500</v>
          </cell>
          <cell r="F374">
            <v>370</v>
          </cell>
          <cell r="G374">
            <v>-690</v>
          </cell>
          <cell r="H374">
            <v>810</v>
          </cell>
          <cell r="I374">
            <v>1294</v>
          </cell>
          <cell r="J374">
            <v>1294</v>
          </cell>
          <cell r="K374">
            <v>2017</v>
          </cell>
          <cell r="L374">
            <v>-1386</v>
          </cell>
          <cell r="M374">
            <v>3389</v>
          </cell>
        </row>
        <row r="375">
          <cell r="A375"/>
          <cell r="B375"/>
          <cell r="C375"/>
          <cell r="D375"/>
          <cell r="E375"/>
          <cell r="F375"/>
          <cell r="G375"/>
          <cell r="H375"/>
          <cell r="I375"/>
          <cell r="J375"/>
          <cell r="K375"/>
          <cell r="L375"/>
          <cell r="M375"/>
        </row>
        <row r="376">
          <cell r="A376" t="str">
            <v>Add back net acquisitions</v>
          </cell>
          <cell r="B376"/>
          <cell r="C376"/>
          <cell r="D376">
            <v>-73</v>
          </cell>
          <cell r="E376">
            <v>413</v>
          </cell>
          <cell r="F376">
            <v>246</v>
          </cell>
          <cell r="G376">
            <v>-65</v>
          </cell>
          <cell r="H376">
            <v>60</v>
          </cell>
          <cell r="I376">
            <v>100</v>
          </cell>
          <cell r="J376">
            <v>100</v>
          </cell>
          <cell r="K376">
            <v>42</v>
          </cell>
          <cell r="L376">
            <v>2875</v>
          </cell>
          <cell r="M376">
            <v>-29</v>
          </cell>
        </row>
        <row r="377">
          <cell r="A377" t="str">
            <v>Add back net investments in associates and other financial assets</v>
          </cell>
          <cell r="B377"/>
          <cell r="C377"/>
          <cell r="D377">
            <v>-14</v>
          </cell>
          <cell r="E377">
            <v>156</v>
          </cell>
          <cell r="F377">
            <v>-158</v>
          </cell>
          <cell r="G377">
            <v>60</v>
          </cell>
          <cell r="H377">
            <v>-119</v>
          </cell>
          <cell r="I377">
            <v>499</v>
          </cell>
          <cell r="J377">
            <v>499</v>
          </cell>
          <cell r="K377">
            <v>221</v>
          </cell>
          <cell r="L377">
            <v>-99</v>
          </cell>
          <cell r="M377">
            <v>-226</v>
          </cell>
        </row>
        <row r="378">
          <cell r="A378" t="str">
            <v>Goldman defined Free Cash Flow (post dividend)  - for info only</v>
          </cell>
          <cell r="B378"/>
          <cell r="C378"/>
          <cell r="D378">
            <v>-1194</v>
          </cell>
          <cell r="E378">
            <v>2069</v>
          </cell>
          <cell r="F378">
            <v>458</v>
          </cell>
          <cell r="G378">
            <v>-695</v>
          </cell>
          <cell r="H378">
            <v>751</v>
          </cell>
          <cell r="I378">
            <v>1893</v>
          </cell>
          <cell r="J378">
            <v>1893</v>
          </cell>
          <cell r="K378">
            <v>2280</v>
          </cell>
          <cell r="L378">
            <v>1390</v>
          </cell>
          <cell r="M378">
            <v>3134</v>
          </cell>
        </row>
        <row r="379">
          <cell r="A379" t="str">
            <v>as a % of sales</v>
          </cell>
          <cell r="B379"/>
          <cell r="C379"/>
          <cell r="D379">
            <v>-5.294195894116082E-2</v>
          </cell>
          <cell r="E379">
            <v>8.5467614011896897E-2</v>
          </cell>
          <cell r="F379">
            <v>1.4871095525683485E-2</v>
          </cell>
          <cell r="G379">
            <v>-2.3243369786963647E-2</v>
          </cell>
          <cell r="H379">
            <v>2.4922842066837023E-2</v>
          </cell>
          <cell r="I379">
            <v>5.9601397940870882E-2</v>
          </cell>
          <cell r="J379">
            <v>5.9601397940870882E-2</v>
          </cell>
          <cell r="K379">
            <v>6.6654972811787408E-2</v>
          </cell>
          <cell r="L379">
            <v>3.5248770096870718E-2</v>
          </cell>
          <cell r="M379">
            <v>8.010633131406078E-2</v>
          </cell>
        </row>
        <row r="380">
          <cell r="A380"/>
          <cell r="B380"/>
          <cell r="C380"/>
          <cell r="D380"/>
          <cell r="E380"/>
          <cell r="F380"/>
          <cell r="G380"/>
          <cell r="H380"/>
          <cell r="I380"/>
          <cell r="J380"/>
          <cell r="K380"/>
          <cell r="L380"/>
          <cell r="M380"/>
        </row>
        <row r="381">
          <cell r="A381" t="str">
            <v>Net proceeds from share issue / share buyback</v>
          </cell>
          <cell r="B381"/>
          <cell r="C381"/>
          <cell r="D381">
            <v>69</v>
          </cell>
          <cell r="E381">
            <v>1540</v>
          </cell>
          <cell r="F381">
            <v>21</v>
          </cell>
          <cell r="G381">
            <v>-140</v>
          </cell>
          <cell r="H381">
            <v>-10</v>
          </cell>
          <cell r="I381">
            <v>124</v>
          </cell>
          <cell r="J381">
            <v>124</v>
          </cell>
          <cell r="K381">
            <v>-101</v>
          </cell>
          <cell r="L381">
            <v>59</v>
          </cell>
          <cell r="M381">
            <v>46</v>
          </cell>
        </row>
        <row r="382">
          <cell r="A382" t="str">
            <v>Contribution to pension scheme</v>
          </cell>
          <cell r="B382"/>
          <cell r="C382"/>
          <cell r="D382"/>
          <cell r="E382"/>
          <cell r="F382"/>
          <cell r="G382"/>
          <cell r="H382"/>
          <cell r="I382"/>
          <cell r="J382"/>
          <cell r="K382"/>
          <cell r="L382"/>
          <cell r="M382">
            <v>-303</v>
          </cell>
        </row>
        <row r="383">
          <cell r="A383" t="str">
            <v>Non-recourse customer financing</v>
          </cell>
          <cell r="B383"/>
          <cell r="C383"/>
          <cell r="D383"/>
          <cell r="E383"/>
          <cell r="F383"/>
          <cell r="G383"/>
          <cell r="H383"/>
          <cell r="I383">
            <v>-369</v>
          </cell>
          <cell r="J383">
            <v>-369</v>
          </cell>
          <cell r="K383">
            <v>-121</v>
          </cell>
          <cell r="L383">
            <v>-61</v>
          </cell>
          <cell r="M383"/>
        </row>
        <row r="384">
          <cell r="A384" t="str">
            <v>Payments for liabilities of puttable instruments (repayment/dividend to minorities)</v>
          </cell>
          <cell r="B384"/>
          <cell r="C384"/>
          <cell r="D384"/>
          <cell r="E384"/>
          <cell r="F384">
            <v>201</v>
          </cell>
          <cell r="G384">
            <v>-127</v>
          </cell>
          <cell r="H384">
            <v>-38</v>
          </cell>
          <cell r="I384">
            <v>-64</v>
          </cell>
          <cell r="J384">
            <v>-64</v>
          </cell>
          <cell r="K384">
            <v>-93</v>
          </cell>
          <cell r="L384"/>
          <cell r="M384"/>
        </row>
        <row r="385">
          <cell r="A385" t="str">
            <v>Other</v>
          </cell>
          <cell r="B385"/>
          <cell r="C385"/>
          <cell r="D385">
            <v>-51</v>
          </cell>
          <cell r="E385">
            <v>49</v>
          </cell>
          <cell r="F385">
            <v>-56</v>
          </cell>
          <cell r="G385">
            <v>648</v>
          </cell>
          <cell r="H385">
            <v>-27</v>
          </cell>
          <cell r="I385">
            <v>130</v>
          </cell>
          <cell r="J385">
            <v>130</v>
          </cell>
          <cell r="K385">
            <v>-174</v>
          </cell>
          <cell r="L385">
            <v>128</v>
          </cell>
          <cell r="M385">
            <v>-337</v>
          </cell>
        </row>
        <row r="386">
          <cell r="A386" t="str">
            <v>Statutory movement in net funds</v>
          </cell>
          <cell r="B386"/>
          <cell r="C386"/>
          <cell r="D386">
            <v>-1089</v>
          </cell>
          <cell r="E386">
            <v>3089</v>
          </cell>
          <cell r="F386">
            <v>536</v>
          </cell>
          <cell r="G386">
            <v>-309</v>
          </cell>
          <cell r="H386">
            <v>735</v>
          </cell>
          <cell r="I386">
            <v>1115</v>
          </cell>
          <cell r="J386">
            <v>1115</v>
          </cell>
          <cell r="K386">
            <v>1528</v>
          </cell>
          <cell r="L386">
            <v>-1260</v>
          </cell>
          <cell r="M386">
            <v>2795</v>
          </cell>
        </row>
        <row r="387">
          <cell r="A387"/>
          <cell r="B387"/>
          <cell r="C387"/>
          <cell r="D387"/>
          <cell r="E387" t="e">
            <v>#REF!</v>
          </cell>
          <cell r="F387" t="e">
            <v>#REF!</v>
          </cell>
          <cell r="G387" t="e">
            <v>#REF!</v>
          </cell>
          <cell r="H387" t="e">
            <v>#REF!</v>
          </cell>
          <cell r="I387" t="e">
            <v>#REF!</v>
          </cell>
          <cell r="J387"/>
          <cell r="K387"/>
          <cell r="L387"/>
          <cell r="M387"/>
        </row>
        <row r="388">
          <cell r="A388"/>
          <cell r="B388"/>
          <cell r="C388"/>
          <cell r="D388"/>
          <cell r="E388"/>
          <cell r="F388"/>
          <cell r="G388"/>
          <cell r="H388"/>
          <cell r="I388"/>
          <cell r="J388"/>
          <cell r="K388"/>
          <cell r="L388"/>
          <cell r="M388"/>
        </row>
        <row r="389">
          <cell r="A389" t="str">
            <v>Cash flow analysis</v>
          </cell>
          <cell r="B389"/>
          <cell r="C389"/>
          <cell r="D389"/>
          <cell r="E389"/>
          <cell r="F389"/>
          <cell r="G389"/>
          <cell r="H389"/>
          <cell r="I389"/>
          <cell r="J389"/>
          <cell r="K389"/>
          <cell r="L389"/>
          <cell r="M389"/>
        </row>
        <row r="390">
          <cell r="A390"/>
          <cell r="B390"/>
          <cell r="C390"/>
          <cell r="D390"/>
          <cell r="E390"/>
          <cell r="F390"/>
          <cell r="G390"/>
          <cell r="H390"/>
          <cell r="I390"/>
          <cell r="J390"/>
          <cell r="K390"/>
          <cell r="L390"/>
          <cell r="M390"/>
        </row>
        <row r="391">
          <cell r="A391" t="str">
            <v>GS def. operating CF, post net capex and invest. in intangibles</v>
          </cell>
          <cell r="B391"/>
          <cell r="C391"/>
          <cell r="D391">
            <v>111</v>
          </cell>
          <cell r="E391">
            <v>2100</v>
          </cell>
          <cell r="F391">
            <v>955</v>
          </cell>
          <cell r="G391">
            <v>573</v>
          </cell>
          <cell r="H391">
            <v>2084</v>
          </cell>
          <cell r="I391">
            <v>2032</v>
          </cell>
          <cell r="J391">
            <v>2032</v>
          </cell>
          <cell r="K391">
            <v>2390</v>
          </cell>
          <cell r="L391">
            <v>766</v>
          </cell>
          <cell r="M391">
            <v>3171</v>
          </cell>
        </row>
        <row r="392">
          <cell r="A392" t="str">
            <v>Cash conversion (op cash flow / EADS defined underlying EBITA)</v>
          </cell>
          <cell r="B392"/>
          <cell r="C392"/>
          <cell r="D392">
            <v>9.1508656224237428E-2</v>
          </cell>
          <cell r="E392">
            <v>1.5010721944245891</v>
          </cell>
          <cell r="F392">
            <v>0.56375442739079107</v>
          </cell>
          <cell r="G392">
            <v>0.40182328190743338</v>
          </cell>
          <cell r="H392">
            <v>1.3506156837329877</v>
          </cell>
          <cell r="I392">
            <v>0.83142389525368243</v>
          </cell>
          <cell r="J392">
            <v>0.83552631578947367</v>
          </cell>
          <cell r="K392">
            <v>0.8380084151472651</v>
          </cell>
          <cell r="L392">
            <v>1.9197994987468672</v>
          </cell>
          <cell r="M392" t="str">
            <v>n/a</v>
          </cell>
        </row>
        <row r="393">
          <cell r="A393"/>
          <cell r="B393"/>
          <cell r="C393"/>
          <cell r="D393"/>
          <cell r="E393"/>
          <cell r="F393"/>
          <cell r="G393"/>
          <cell r="H393"/>
          <cell r="I393"/>
          <cell r="J393"/>
          <cell r="K393"/>
          <cell r="L393"/>
          <cell r="M393"/>
        </row>
        <row r="394">
          <cell r="A394" t="str">
            <v>Goldman defined FCF (pre dividend)</v>
          </cell>
          <cell r="B394"/>
          <cell r="C394"/>
          <cell r="D394">
            <v>111</v>
          </cell>
          <cell r="E394">
            <v>2100</v>
          </cell>
          <cell r="F394">
            <v>862</v>
          </cell>
          <cell r="G394">
            <v>-292</v>
          </cell>
          <cell r="H394">
            <v>991</v>
          </cell>
          <cell r="I394">
            <v>2213</v>
          </cell>
          <cell r="J394">
            <v>2213</v>
          </cell>
          <cell r="K394">
            <v>2676</v>
          </cell>
          <cell r="L394">
            <v>1926</v>
          </cell>
          <cell r="M394">
            <v>3232</v>
          </cell>
        </row>
        <row r="395">
          <cell r="A395" t="str">
            <v>as a % of sales</v>
          </cell>
          <cell r="B395"/>
          <cell r="C395"/>
          <cell r="D395">
            <v>4.9217399015652023E-3</v>
          </cell>
          <cell r="E395">
            <v>8.6748182419035036E-2</v>
          </cell>
          <cell r="F395">
            <v>2.7988830443535295E-2</v>
          </cell>
          <cell r="G395">
            <v>-9.7655596802782522E-3</v>
          </cell>
          <cell r="H395">
            <v>3.2887531941725022E-2</v>
          </cell>
          <cell r="I395">
            <v>6.9676647460722274E-2</v>
          </cell>
          <cell r="J395">
            <v>6.9676647460722274E-2</v>
          </cell>
          <cell r="K395">
            <v>7.8231889142255748E-2</v>
          </cell>
          <cell r="L395">
            <v>4.8841101587462597E-2</v>
          </cell>
          <cell r="M395">
            <v>8.2611251693377297E-2</v>
          </cell>
        </row>
        <row r="396">
          <cell r="A396"/>
          <cell r="B396"/>
          <cell r="C396"/>
          <cell r="D396"/>
          <cell r="E396"/>
          <cell r="F396"/>
          <cell r="G396"/>
          <cell r="H396"/>
          <cell r="I396"/>
          <cell r="J396"/>
          <cell r="K396"/>
          <cell r="L396"/>
          <cell r="M396"/>
        </row>
        <row r="397">
          <cell r="A397" t="str">
            <v>Goldman defined FCF (pre-div) per share (pence)</v>
          </cell>
          <cell r="B397"/>
          <cell r="C397"/>
          <cell r="D397" t="str">
            <v>n/a</v>
          </cell>
          <cell r="E397">
            <v>5.4451837128363199</v>
          </cell>
          <cell r="F397">
            <v>1.0677621705040314</v>
          </cell>
          <cell r="G397">
            <v>-0.36313123587736612</v>
          </cell>
          <cell r="H397">
            <v>1.2372699158631488</v>
          </cell>
          <cell r="I397">
            <v>2.7626756674881268</v>
          </cell>
          <cell r="J397">
            <v>2.7626756674881268</v>
          </cell>
          <cell r="K397">
            <v>3.3671634272901949</v>
          </cell>
          <cell r="L397">
            <v>2.4069429010308419</v>
          </cell>
          <cell r="M397">
            <v>4.0242640159945271</v>
          </cell>
        </row>
        <row r="398">
          <cell r="A398"/>
          <cell r="B398"/>
          <cell r="C398"/>
          <cell r="D398"/>
          <cell r="E398"/>
          <cell r="F398"/>
          <cell r="G398"/>
          <cell r="H398"/>
          <cell r="I398"/>
          <cell r="J398"/>
          <cell r="K398"/>
          <cell r="L398"/>
          <cell r="M398"/>
        </row>
        <row r="399">
          <cell r="A399" t="str">
            <v>Checking Net cash from operating activities</v>
          </cell>
          <cell r="B399"/>
          <cell r="C399"/>
          <cell r="D399">
            <v>0</v>
          </cell>
          <cell r="E399">
            <v>0</v>
          </cell>
          <cell r="F399">
            <v>0</v>
          </cell>
          <cell r="G399">
            <v>0</v>
          </cell>
          <cell r="H399">
            <v>0</v>
          </cell>
          <cell r="I399">
            <v>0</v>
          </cell>
          <cell r="J399">
            <v>0</v>
          </cell>
          <cell r="K399">
            <v>0</v>
          </cell>
          <cell r="L399">
            <v>0</v>
          </cell>
          <cell r="M399">
            <v>0</v>
          </cell>
        </row>
        <row r="400">
          <cell r="A400" t="str">
            <v>EADS defined FCF post-customer financing</v>
          </cell>
          <cell r="B400"/>
          <cell r="C400"/>
          <cell r="D400">
            <v>0</v>
          </cell>
          <cell r="E400">
            <v>0</v>
          </cell>
          <cell r="F400">
            <v>0</v>
          </cell>
          <cell r="G400">
            <v>0</v>
          </cell>
          <cell r="H400">
            <v>0</v>
          </cell>
          <cell r="I400">
            <v>0</v>
          </cell>
          <cell r="J400">
            <v>0</v>
          </cell>
          <cell r="K400">
            <v>0</v>
          </cell>
          <cell r="L400">
            <v>0</v>
          </cell>
          <cell r="M400">
            <v>0</v>
          </cell>
        </row>
        <row r="401">
          <cell r="A401" t="str">
            <v>Checking Statutory movement in net funds</v>
          </cell>
          <cell r="B401"/>
          <cell r="C401"/>
          <cell r="D401"/>
          <cell r="E401">
            <v>0</v>
          </cell>
          <cell r="F401">
            <v>0</v>
          </cell>
          <cell r="G401">
            <v>0</v>
          </cell>
          <cell r="H401">
            <v>0</v>
          </cell>
          <cell r="I401">
            <v>0</v>
          </cell>
          <cell r="J401">
            <v>0</v>
          </cell>
          <cell r="K401">
            <v>0</v>
          </cell>
          <cell r="L401">
            <v>0</v>
          </cell>
          <cell r="M401">
            <v>0</v>
          </cell>
        </row>
        <row r="402">
          <cell r="A402"/>
          <cell r="B402"/>
          <cell r="C402"/>
          <cell r="D402"/>
          <cell r="E402"/>
          <cell r="F402"/>
          <cell r="G402"/>
          <cell r="H402"/>
          <cell r="I402"/>
          <cell r="J402"/>
          <cell r="K402"/>
          <cell r="L402"/>
          <cell r="M402"/>
        </row>
        <row r="403">
          <cell r="A403" t="str">
            <v>EADS (€)</v>
          </cell>
          <cell r="B403"/>
          <cell r="C403"/>
        </row>
        <row r="404">
          <cell r="A404"/>
          <cell r="B404"/>
          <cell r="C404"/>
          <cell r="D404"/>
          <cell r="E404"/>
          <cell r="F404"/>
          <cell r="G404"/>
          <cell r="H404"/>
          <cell r="I404"/>
          <cell r="J404"/>
          <cell r="K404"/>
          <cell r="L404"/>
          <cell r="M404"/>
        </row>
        <row r="405">
          <cell r="A405"/>
          <cell r="B405"/>
          <cell r="C405"/>
        </row>
        <row r="406">
          <cell r="A406"/>
          <cell r="B406"/>
          <cell r="C406"/>
        </row>
        <row r="407">
          <cell r="A407"/>
          <cell r="B407" t="str">
            <v>IAS</v>
          </cell>
          <cell r="C407" t="str">
            <v>IAS</v>
          </cell>
          <cell r="D407" t="str">
            <v>IAS</v>
          </cell>
          <cell r="E407" t="str">
            <v>IAS</v>
          </cell>
          <cell r="F407" t="str">
            <v>IAS</v>
          </cell>
          <cell r="G407" t="str">
            <v>IFRS</v>
          </cell>
          <cell r="H407" t="str">
            <v>IFRS</v>
          </cell>
          <cell r="I407" t="str">
            <v>IFRS</v>
          </cell>
          <cell r="J407" t="str">
            <v>IFRS</v>
          </cell>
          <cell r="K407" t="str">
            <v>IFRS</v>
          </cell>
          <cell r="L407" t="str">
            <v>IFRS</v>
          </cell>
          <cell r="M407" t="str">
            <v>IFRS</v>
          </cell>
        </row>
        <row r="408">
          <cell r="A408" t="str">
            <v>Balance sheet (1)</v>
          </cell>
          <cell r="B408" t="str">
            <v>1997pf</v>
          </cell>
          <cell r="C408" t="str">
            <v>1998pf</v>
          </cell>
          <cell r="D408" t="str">
            <v>1999pf</v>
          </cell>
          <cell r="E408" t="str">
            <v>2000pf</v>
          </cell>
          <cell r="F408">
            <v>2001</v>
          </cell>
          <cell r="G408">
            <v>2002</v>
          </cell>
          <cell r="H408">
            <v>2003</v>
          </cell>
          <cell r="I408">
            <v>2004</v>
          </cell>
          <cell r="J408" t="str">
            <v>2004pf</v>
          </cell>
          <cell r="K408">
            <v>2005</v>
          </cell>
          <cell r="L408">
            <v>2006</v>
          </cell>
          <cell r="M408">
            <v>2007</v>
          </cell>
        </row>
        <row r="409">
          <cell r="A409"/>
          <cell r="B409"/>
          <cell r="C409"/>
          <cell r="D409"/>
          <cell r="E409"/>
          <cell r="F409"/>
          <cell r="G409"/>
          <cell r="H409"/>
          <cell r="I409"/>
          <cell r="J409"/>
          <cell r="K409"/>
          <cell r="L409"/>
          <cell r="M409"/>
        </row>
        <row r="410">
          <cell r="A410" t="str">
            <v>Non-current securities</v>
          </cell>
          <cell r="C410">
            <v>722</v>
          </cell>
          <cell r="D410">
            <v>1575</v>
          </cell>
          <cell r="E410">
            <v>3240</v>
          </cell>
          <cell r="F410">
            <v>2692</v>
          </cell>
          <cell r="G410">
            <v>1703</v>
          </cell>
          <cell r="H410">
            <v>468</v>
          </cell>
          <cell r="I410">
            <v>466</v>
          </cell>
          <cell r="J410">
            <v>466</v>
          </cell>
          <cell r="K410">
            <v>1011</v>
          </cell>
          <cell r="L410">
            <v>1294</v>
          </cell>
          <cell r="M410">
            <v>2691</v>
          </cell>
        </row>
        <row r="411">
          <cell r="A411" t="str">
            <v>Current securities</v>
          </cell>
          <cell r="K411">
            <v>29</v>
          </cell>
          <cell r="L411">
            <v>549</v>
          </cell>
          <cell r="M411">
            <v>1598</v>
          </cell>
        </row>
        <row r="412">
          <cell r="A412" t="str">
            <v>Cash</v>
          </cell>
          <cell r="C412">
            <v>4132</v>
          </cell>
          <cell r="D412">
            <v>3175</v>
          </cell>
          <cell r="E412">
            <v>4682</v>
          </cell>
          <cell r="F412">
            <v>5341</v>
          </cell>
          <cell r="G412">
            <v>4497</v>
          </cell>
          <cell r="H412">
            <v>7404</v>
          </cell>
          <cell r="I412">
            <v>8718</v>
          </cell>
          <cell r="J412">
            <v>8718</v>
          </cell>
          <cell r="K412">
            <v>9546</v>
          </cell>
          <cell r="L412">
            <v>8143</v>
          </cell>
          <cell r="M412">
            <v>7549</v>
          </cell>
        </row>
        <row r="413">
          <cell r="A413" t="str">
            <v>Total cash</v>
          </cell>
          <cell r="C413">
            <v>4854</v>
          </cell>
          <cell r="D413">
            <v>4750</v>
          </cell>
          <cell r="E413">
            <v>7922</v>
          </cell>
          <cell r="F413">
            <v>8033</v>
          </cell>
          <cell r="G413">
            <v>6200</v>
          </cell>
          <cell r="H413">
            <v>7872</v>
          </cell>
          <cell r="I413">
            <v>9184</v>
          </cell>
          <cell r="J413">
            <v>9184</v>
          </cell>
          <cell r="K413">
            <v>10586</v>
          </cell>
          <cell r="L413">
            <v>9986</v>
          </cell>
          <cell r="M413">
            <v>11838</v>
          </cell>
        </row>
        <row r="414">
          <cell r="A414" t="str">
            <v>of which, Airbus cash (100% consoldiated)</v>
          </cell>
          <cell r="B414"/>
          <cell r="C414"/>
          <cell r="D414"/>
          <cell r="E414"/>
          <cell r="F414"/>
          <cell r="G414"/>
          <cell r="H414"/>
          <cell r="I414"/>
          <cell r="J414"/>
          <cell r="K414">
            <v>4000</v>
          </cell>
          <cell r="L414"/>
          <cell r="M414"/>
        </row>
        <row r="415">
          <cell r="A415"/>
          <cell r="B415"/>
          <cell r="C415"/>
          <cell r="D415"/>
          <cell r="E415"/>
          <cell r="F415"/>
          <cell r="G415"/>
          <cell r="H415"/>
          <cell r="I415"/>
          <cell r="J415"/>
          <cell r="K415"/>
          <cell r="L415"/>
          <cell r="M415"/>
        </row>
        <row r="416">
          <cell r="A416" t="str">
            <v>Short term debt</v>
          </cell>
          <cell r="C416"/>
          <cell r="D416"/>
          <cell r="E416">
            <v>-1003</v>
          </cell>
          <cell r="F416">
            <v>-1462</v>
          </cell>
          <cell r="G416">
            <v>-1185</v>
          </cell>
          <cell r="H416">
            <v>-978</v>
          </cell>
          <cell r="I416">
            <v>-720</v>
          </cell>
          <cell r="J416">
            <v>-818</v>
          </cell>
          <cell r="K416">
            <v>-908</v>
          </cell>
          <cell r="L416">
            <v>-2196</v>
          </cell>
          <cell r="M416">
            <v>-1724</v>
          </cell>
        </row>
        <row r="417">
          <cell r="A417" t="str">
            <v>Long term debt</v>
          </cell>
          <cell r="C417"/>
          <cell r="D417"/>
          <cell r="E417">
            <v>-4776</v>
          </cell>
          <cell r="F417">
            <v>-5038</v>
          </cell>
          <cell r="G417">
            <v>-3791</v>
          </cell>
          <cell r="H417">
            <v>-3789</v>
          </cell>
          <cell r="I417">
            <v>-4406</v>
          </cell>
          <cell r="J417">
            <v>-4405</v>
          </cell>
          <cell r="K417">
            <v>-4189</v>
          </cell>
          <cell r="L417">
            <v>-3561</v>
          </cell>
          <cell r="M417">
            <v>-3090</v>
          </cell>
        </row>
        <row r="418">
          <cell r="A418" t="str">
            <v xml:space="preserve">Total debt </v>
          </cell>
          <cell r="B418"/>
          <cell r="C418">
            <v>-4511</v>
          </cell>
          <cell r="D418">
            <v>-5696</v>
          </cell>
          <cell r="E418">
            <v>-5779</v>
          </cell>
          <cell r="F418">
            <v>-6500</v>
          </cell>
          <cell r="G418">
            <v>-4976</v>
          </cell>
          <cell r="H418">
            <v>-4767</v>
          </cell>
          <cell r="I418">
            <v>-5126</v>
          </cell>
          <cell r="J418">
            <v>-5223</v>
          </cell>
          <cell r="K418">
            <v>-5097</v>
          </cell>
          <cell r="L418">
            <v>-5757</v>
          </cell>
          <cell r="M418">
            <v>-4814</v>
          </cell>
        </row>
        <row r="419">
          <cell r="A419" t="str">
            <v>Add back Security deposits</v>
          </cell>
          <cell r="C419"/>
          <cell r="E419"/>
          <cell r="F419">
            <v>1044</v>
          </cell>
          <cell r="G419">
            <v>1146</v>
          </cell>
          <cell r="H419"/>
          <cell r="I419"/>
          <cell r="J419"/>
          <cell r="K419"/>
        </row>
        <row r="420">
          <cell r="A420"/>
          <cell r="B420"/>
          <cell r="C420"/>
          <cell r="D420"/>
          <cell r="E420"/>
          <cell r="F420"/>
          <cell r="G420"/>
          <cell r="H420"/>
          <cell r="I420"/>
          <cell r="J420"/>
          <cell r="K420"/>
          <cell r="L420"/>
          <cell r="M420"/>
        </row>
        <row r="421">
          <cell r="A421" t="str">
            <v>EADS defined Net (debt) / cash</v>
          </cell>
          <cell r="B421"/>
          <cell r="C421">
            <v>343</v>
          </cell>
          <cell r="D421">
            <v>-946</v>
          </cell>
          <cell r="E421">
            <v>2143</v>
          </cell>
          <cell r="F421">
            <v>2577</v>
          </cell>
          <cell r="G421">
            <v>2370</v>
          </cell>
          <cell r="H421">
            <v>3105</v>
          </cell>
          <cell r="I421">
            <v>4058</v>
          </cell>
          <cell r="J421">
            <v>3961</v>
          </cell>
          <cell r="K421">
            <v>5489</v>
          </cell>
          <cell r="L421">
            <v>4229</v>
          </cell>
          <cell r="M421">
            <v>7024</v>
          </cell>
        </row>
        <row r="422">
          <cell r="A422" t="str">
            <v>Change in net debt y/y</v>
          </cell>
          <cell r="B422"/>
          <cell r="C422"/>
          <cell r="D422">
            <v>-1289</v>
          </cell>
          <cell r="E422">
            <v>3089</v>
          </cell>
          <cell r="F422">
            <v>434</v>
          </cell>
          <cell r="G422">
            <v>-207</v>
          </cell>
          <cell r="H422">
            <v>735</v>
          </cell>
          <cell r="I422">
            <v>953</v>
          </cell>
          <cell r="J422">
            <v>856</v>
          </cell>
          <cell r="K422">
            <v>1528</v>
          </cell>
          <cell r="L422">
            <v>-1260</v>
          </cell>
          <cell r="M422">
            <v>2795</v>
          </cell>
        </row>
        <row r="423">
          <cell r="A423"/>
          <cell r="B423"/>
          <cell r="C423"/>
          <cell r="D423"/>
          <cell r="E423"/>
          <cell r="F423"/>
          <cell r="G423"/>
          <cell r="H423"/>
          <cell r="I423"/>
          <cell r="J423"/>
          <cell r="K423"/>
          <cell r="L423"/>
          <cell r="M423"/>
        </row>
        <row r="424">
          <cell r="A424" t="str">
            <v>Add back non-recourse debt</v>
          </cell>
          <cell r="B424"/>
          <cell r="C424"/>
          <cell r="D424"/>
          <cell r="E424"/>
          <cell r="F424"/>
          <cell r="G424">
            <v>749</v>
          </cell>
          <cell r="H424">
            <v>679</v>
          </cell>
          <cell r="I424">
            <v>988</v>
          </cell>
          <cell r="J424">
            <v>988</v>
          </cell>
          <cell r="K424">
            <v>1247</v>
          </cell>
          <cell r="L424">
            <v>1058</v>
          </cell>
          <cell r="M424">
            <v>859</v>
          </cell>
        </row>
        <row r="425">
          <cell r="A425" t="str">
            <v>EADS defined net (debt) / cash, net of non-recourse debt</v>
          </cell>
          <cell r="B425"/>
          <cell r="C425"/>
          <cell r="D425"/>
          <cell r="E425" t="str">
            <v>n/a</v>
          </cell>
          <cell r="F425" t="str">
            <v>n/a</v>
          </cell>
          <cell r="G425">
            <v>3119</v>
          </cell>
          <cell r="H425">
            <v>3784</v>
          </cell>
          <cell r="I425">
            <v>5046</v>
          </cell>
          <cell r="J425">
            <v>4949</v>
          </cell>
          <cell r="K425">
            <v>6736</v>
          </cell>
          <cell r="L425">
            <v>5287</v>
          </cell>
          <cell r="M425">
            <v>7883</v>
          </cell>
        </row>
        <row r="426">
          <cell r="A426" t="str">
            <v>checking net debt</v>
          </cell>
          <cell r="B426"/>
          <cell r="C426"/>
          <cell r="D426"/>
          <cell r="E426"/>
          <cell r="F426"/>
          <cell r="G426"/>
          <cell r="H426"/>
          <cell r="I426"/>
          <cell r="J426"/>
          <cell r="K426">
            <v>0</v>
          </cell>
          <cell r="L426">
            <v>0</v>
          </cell>
          <cell r="M426">
            <v>0</v>
          </cell>
        </row>
        <row r="427">
          <cell r="A427"/>
          <cell r="B427"/>
          <cell r="C427"/>
          <cell r="D427"/>
          <cell r="E427"/>
          <cell r="F427"/>
          <cell r="G427"/>
          <cell r="H427"/>
          <cell r="I427"/>
          <cell r="J427"/>
          <cell r="K427"/>
          <cell r="L427"/>
          <cell r="M427"/>
        </row>
        <row r="428">
          <cell r="A428" t="str">
            <v>Rate on average cash</v>
          </cell>
          <cell r="B428"/>
          <cell r="C428"/>
          <cell r="D428"/>
          <cell r="E428"/>
          <cell r="F428"/>
          <cell r="G428">
            <v>7.391273800323192E-2</v>
          </cell>
          <cell r="H428">
            <v>5.2728823194997158E-2</v>
          </cell>
          <cell r="I428">
            <v>4.5761830473218926E-2</v>
          </cell>
          <cell r="J428">
            <v>4.1275797373358347E-2</v>
          </cell>
          <cell r="K428">
            <v>4.8153768335862421E-2</v>
          </cell>
          <cell r="L428">
            <v>4.4137662842698815E-2</v>
          </cell>
          <cell r="M428">
            <v>4.6004398826979473E-2</v>
          </cell>
        </row>
        <row r="429">
          <cell r="A429" t="str">
            <v>Cost of average debt</v>
          </cell>
          <cell r="B429"/>
          <cell r="C429"/>
          <cell r="D429"/>
          <cell r="E429"/>
          <cell r="F429"/>
          <cell r="G429" t="str">
            <v>n/a</v>
          </cell>
          <cell r="H429">
            <v>-7.3078107359129632E-2</v>
          </cell>
          <cell r="I429">
            <v>-7.5628588398336957E-2</v>
          </cell>
          <cell r="J429">
            <v>-7.6476476476476471E-2</v>
          </cell>
          <cell r="K429">
            <v>-7.6550387596899222E-2</v>
          </cell>
          <cell r="L429">
            <v>-5.6937534549474846E-2</v>
          </cell>
          <cell r="M429">
            <v>-7.794910604483965E-2</v>
          </cell>
        </row>
        <row r="430">
          <cell r="A430" t="str">
            <v xml:space="preserve">Interest rate charged on Launch Aid </v>
          </cell>
          <cell r="B430"/>
          <cell r="C430"/>
          <cell r="D430"/>
          <cell r="E430"/>
          <cell r="F430"/>
          <cell r="G430" t="str">
            <v>n/a</v>
          </cell>
          <cell r="H430">
            <v>-4.782799473453269E-2</v>
          </cell>
          <cell r="I430">
            <v>-4.9147442326980942E-2</v>
          </cell>
          <cell r="J430">
            <v>-4.9305695310927752E-2</v>
          </cell>
          <cell r="K430">
            <v>-4.6677215189873417E-2</v>
          </cell>
          <cell r="L430">
            <v>-4.9668565026608158E-2</v>
          </cell>
          <cell r="M430">
            <v>-5.3852604118140315E-2</v>
          </cell>
        </row>
        <row r="431">
          <cell r="A431"/>
          <cell r="B431"/>
          <cell r="C431"/>
          <cell r="D431"/>
          <cell r="E431"/>
          <cell r="F431"/>
          <cell r="G431"/>
          <cell r="H431"/>
          <cell r="I431"/>
          <cell r="J431"/>
          <cell r="K431"/>
          <cell r="L431"/>
          <cell r="M431"/>
        </row>
        <row r="432">
          <cell r="A432" t="str">
            <v>Interest income</v>
          </cell>
          <cell r="B432"/>
          <cell r="C432"/>
          <cell r="D432"/>
          <cell r="E432" t="str">
            <v>n/a</v>
          </cell>
          <cell r="F432" t="str">
            <v>n/a</v>
          </cell>
          <cell r="G432">
            <v>526</v>
          </cell>
          <cell r="H432">
            <v>371</v>
          </cell>
          <cell r="I432">
            <v>352</v>
          </cell>
          <cell r="J432">
            <v>352</v>
          </cell>
          <cell r="K432">
            <v>476</v>
          </cell>
          <cell r="L432">
            <v>454</v>
          </cell>
          <cell r="M432">
            <v>502</v>
          </cell>
        </row>
        <row r="433">
          <cell r="A433" t="str">
            <v>Interest expense (excluding interest on Launch Aid)</v>
          </cell>
          <cell r="B433"/>
          <cell r="C433"/>
          <cell r="D433"/>
          <cell r="E433" t="str">
            <v>n/a</v>
          </cell>
          <cell r="F433" t="str">
            <v>n/a</v>
          </cell>
          <cell r="G433">
            <v>-607</v>
          </cell>
          <cell r="H433">
            <v>-356</v>
          </cell>
          <cell r="I433">
            <v>-382</v>
          </cell>
          <cell r="J433">
            <v>-382</v>
          </cell>
          <cell r="K433">
            <v>-395</v>
          </cell>
          <cell r="L433">
            <v>-309</v>
          </cell>
          <cell r="M433">
            <v>-412</v>
          </cell>
        </row>
        <row r="434">
          <cell r="A434" t="str">
            <v>Interest on Launch Aid</v>
          </cell>
          <cell r="B434"/>
          <cell r="C434"/>
          <cell r="D434"/>
          <cell r="E434" t="str">
            <v>n/a</v>
          </cell>
          <cell r="F434" t="str">
            <v>n/a</v>
          </cell>
          <cell r="G434" t="str">
            <v>n/a</v>
          </cell>
          <cell r="H434">
            <v>-218</v>
          </cell>
          <cell r="I434">
            <v>-245</v>
          </cell>
          <cell r="J434">
            <v>-245</v>
          </cell>
          <cell r="K434">
            <v>-236</v>
          </cell>
          <cell r="L434">
            <v>-266</v>
          </cell>
          <cell r="M434">
            <v>-289</v>
          </cell>
        </row>
        <row r="435">
          <cell r="A435" t="str">
            <v>Total interest charge</v>
          </cell>
          <cell r="B435"/>
          <cell r="C435"/>
          <cell r="D435"/>
          <cell r="E435"/>
          <cell r="F435"/>
          <cell r="G435">
            <v>-81</v>
          </cell>
          <cell r="H435">
            <v>-203</v>
          </cell>
          <cell r="I435">
            <v>-275</v>
          </cell>
          <cell r="J435">
            <v>-275</v>
          </cell>
          <cell r="K435">
            <v>-155</v>
          </cell>
          <cell r="L435">
            <v>-121</v>
          </cell>
          <cell r="M435">
            <v>-199</v>
          </cell>
        </row>
        <row r="436">
          <cell r="A436"/>
          <cell r="B436"/>
          <cell r="C436"/>
          <cell r="D436"/>
          <cell r="E436"/>
          <cell r="F436"/>
          <cell r="G436"/>
          <cell r="H436"/>
          <cell r="I436"/>
          <cell r="J436"/>
          <cell r="K436"/>
          <cell r="L436"/>
          <cell r="M436"/>
        </row>
        <row r="437">
          <cell r="A437" t="str">
            <v>Fixed assets</v>
          </cell>
          <cell r="B437"/>
          <cell r="C437"/>
          <cell r="M437"/>
        </row>
        <row r="438">
          <cell r="A438" t="str">
            <v>Intangible assets</v>
          </cell>
          <cell r="C438">
            <v>7854</v>
          </cell>
          <cell r="D438">
            <v>7710</v>
          </cell>
          <cell r="E438">
            <v>8165</v>
          </cell>
          <cell r="F438">
            <v>10588</v>
          </cell>
          <cell r="G438">
            <v>9789</v>
          </cell>
          <cell r="H438">
            <v>9694</v>
          </cell>
          <cell r="I438">
            <v>10008</v>
          </cell>
          <cell r="J438">
            <v>10549</v>
          </cell>
          <cell r="K438">
            <v>11052</v>
          </cell>
          <cell r="L438">
            <v>10855</v>
          </cell>
          <cell r="M438">
            <v>10832</v>
          </cell>
        </row>
        <row r="439">
          <cell r="A439" t="str">
            <v>of which, goodwill</v>
          </cell>
          <cell r="B439"/>
          <cell r="C439"/>
          <cell r="D439"/>
          <cell r="E439">
            <v>8049</v>
          </cell>
          <cell r="F439">
            <v>10442</v>
          </cell>
          <cell r="G439">
            <v>9586</v>
          </cell>
          <cell r="H439">
            <v>9372</v>
          </cell>
          <cell r="I439">
            <v>9460</v>
          </cell>
          <cell r="J439">
            <v>10001</v>
          </cell>
          <cell r="K439">
            <v>10167</v>
          </cell>
          <cell r="L439">
            <v>9565</v>
          </cell>
          <cell r="M439">
            <v>9519</v>
          </cell>
        </row>
        <row r="440">
          <cell r="A440" t="str">
            <v>of which, capitalised development costs</v>
          </cell>
          <cell r="B440"/>
          <cell r="C440"/>
          <cell r="D440"/>
          <cell r="E440"/>
          <cell r="F440"/>
          <cell r="G440"/>
          <cell r="H440"/>
          <cell r="I440">
            <v>169</v>
          </cell>
          <cell r="J440">
            <v>169</v>
          </cell>
          <cell r="K440">
            <v>462</v>
          </cell>
          <cell r="L440">
            <v>873</v>
          </cell>
          <cell r="M440">
            <v>900</v>
          </cell>
        </row>
        <row r="441">
          <cell r="A441" t="str">
            <v>of which, other</v>
          </cell>
          <cell r="B441"/>
          <cell r="C441"/>
          <cell r="D441"/>
          <cell r="E441">
            <v>116</v>
          </cell>
          <cell r="F441">
            <v>146</v>
          </cell>
          <cell r="G441">
            <v>203</v>
          </cell>
          <cell r="H441">
            <v>322</v>
          </cell>
          <cell r="I441">
            <v>379</v>
          </cell>
          <cell r="J441">
            <v>379</v>
          </cell>
          <cell r="K441">
            <v>423</v>
          </cell>
          <cell r="L441">
            <v>417</v>
          </cell>
          <cell r="M441">
            <v>413</v>
          </cell>
        </row>
        <row r="443">
          <cell r="A443" t="str">
            <v>Tangible fixed assets</v>
          </cell>
          <cell r="C443">
            <v>7452</v>
          </cell>
          <cell r="D443">
            <v>7950</v>
          </cell>
          <cell r="E443">
            <v>8120</v>
          </cell>
          <cell r="F443">
            <v>10050</v>
          </cell>
          <cell r="G443">
            <v>10509</v>
          </cell>
          <cell r="H443">
            <v>11448</v>
          </cell>
          <cell r="I443">
            <v>12905</v>
          </cell>
          <cell r="J443">
            <v>12956</v>
          </cell>
          <cell r="K443">
            <v>13951</v>
          </cell>
          <cell r="L443">
            <v>14315</v>
          </cell>
          <cell r="M443">
            <v>13489</v>
          </cell>
        </row>
        <row r="444">
          <cell r="A444" t="str">
            <v>of which, aircraft under operating lease</v>
          </cell>
          <cell r="B444"/>
          <cell r="C444"/>
          <cell r="D444"/>
          <cell r="E444"/>
          <cell r="F444">
            <v>1294</v>
          </cell>
          <cell r="G444">
            <v>1336</v>
          </cell>
          <cell r="H444">
            <v>1266</v>
          </cell>
          <cell r="I444">
            <v>1449</v>
          </cell>
          <cell r="J444">
            <v>1449</v>
          </cell>
          <cell r="K444">
            <v>1174</v>
          </cell>
          <cell r="L444">
            <v>944</v>
          </cell>
          <cell r="M444">
            <v>498</v>
          </cell>
        </row>
        <row r="445">
          <cell r="A445" t="str">
            <v>of which, aircraft under operating lease where high RVGs granted</v>
          </cell>
          <cell r="B445"/>
          <cell r="C445"/>
          <cell r="D445"/>
          <cell r="E445"/>
          <cell r="F445">
            <v>1912</v>
          </cell>
          <cell r="G445">
            <v>1709</v>
          </cell>
          <cell r="H445">
            <v>1505</v>
          </cell>
          <cell r="I445">
            <v>1294</v>
          </cell>
          <cell r="J445">
            <v>1294</v>
          </cell>
          <cell r="K445">
            <v>1207</v>
          </cell>
          <cell r="L445">
            <v>1048</v>
          </cell>
          <cell r="M445">
            <v>821</v>
          </cell>
        </row>
        <row r="446">
          <cell r="A446" t="str">
            <v>Associates</v>
          </cell>
          <cell r="E446">
            <v>1318</v>
          </cell>
          <cell r="F446">
            <v>1252</v>
          </cell>
          <cell r="G446">
            <v>1333</v>
          </cell>
          <cell r="H446">
            <v>1640</v>
          </cell>
          <cell r="I446">
            <v>1738</v>
          </cell>
          <cell r="J446">
            <v>1738</v>
          </cell>
          <cell r="K446">
            <v>1908</v>
          </cell>
          <cell r="L446">
            <v>2095</v>
          </cell>
          <cell r="M446">
            <v>2238</v>
          </cell>
        </row>
        <row r="447">
          <cell r="A447" t="str">
            <v>of which, Dassault Aviation</v>
          </cell>
          <cell r="B447"/>
          <cell r="C447"/>
          <cell r="D447"/>
          <cell r="E447">
            <v>1164</v>
          </cell>
          <cell r="F447">
            <v>1252</v>
          </cell>
          <cell r="G447">
            <v>1333</v>
          </cell>
          <cell r="H447">
            <v>1633</v>
          </cell>
          <cell r="I447">
            <v>1705</v>
          </cell>
          <cell r="J447">
            <v>1705</v>
          </cell>
          <cell r="K447">
            <v>1867</v>
          </cell>
          <cell r="L447">
            <v>1985</v>
          </cell>
          <cell r="M447">
            <v>2121</v>
          </cell>
        </row>
        <row r="448">
          <cell r="A448" t="str">
            <v>Other investments and long-term financial assets</v>
          </cell>
          <cell r="C448">
            <v>3109</v>
          </cell>
          <cell r="D448">
            <v>3931</v>
          </cell>
          <cell r="E448">
            <v>3291</v>
          </cell>
          <cell r="F448">
            <v>3474</v>
          </cell>
          <cell r="G448">
            <v>3542</v>
          </cell>
          <cell r="H448">
            <v>2489</v>
          </cell>
          <cell r="I448">
            <v>2352</v>
          </cell>
          <cell r="J448">
            <v>2110</v>
          </cell>
          <cell r="K448">
            <v>1938</v>
          </cell>
          <cell r="L448">
            <v>1666</v>
          </cell>
          <cell r="M448">
            <v>1553</v>
          </cell>
        </row>
        <row r="449">
          <cell r="A449" t="str">
            <v>of which, loans from aircraft financing</v>
          </cell>
          <cell r="B449"/>
          <cell r="C449"/>
          <cell r="D449"/>
          <cell r="E449" t="str">
            <v>n/a</v>
          </cell>
          <cell r="F449">
            <v>949</v>
          </cell>
          <cell r="G449">
            <v>656</v>
          </cell>
          <cell r="H449">
            <v>812</v>
          </cell>
          <cell r="I449">
            <v>635</v>
          </cell>
          <cell r="J449">
            <v>635</v>
          </cell>
          <cell r="K449">
            <v>443</v>
          </cell>
          <cell r="L449">
            <v>157</v>
          </cell>
          <cell r="M449">
            <v>267</v>
          </cell>
        </row>
        <row r="450">
          <cell r="A450" t="str">
            <v>of which, finance lease receivables from aircraft financing</v>
          </cell>
          <cell r="B450"/>
          <cell r="C450"/>
          <cell r="D450"/>
          <cell r="E450" t="str">
            <v>n/a</v>
          </cell>
          <cell r="F450">
            <v>514</v>
          </cell>
          <cell r="G450">
            <v>749</v>
          </cell>
          <cell r="H450">
            <v>898</v>
          </cell>
          <cell r="I450">
            <v>965</v>
          </cell>
          <cell r="J450">
            <v>965</v>
          </cell>
          <cell r="K450">
            <v>802</v>
          </cell>
          <cell r="L450">
            <v>630</v>
          </cell>
          <cell r="M450">
            <v>578</v>
          </cell>
        </row>
        <row r="451">
          <cell r="A451" t="str">
            <v>of which, other</v>
          </cell>
          <cell r="B451"/>
          <cell r="C451"/>
          <cell r="D451"/>
          <cell r="E451"/>
          <cell r="F451">
            <v>967</v>
          </cell>
          <cell r="G451">
            <v>991</v>
          </cell>
          <cell r="H451">
            <v>779</v>
          </cell>
          <cell r="I451">
            <v>752</v>
          </cell>
          <cell r="J451">
            <v>510</v>
          </cell>
          <cell r="K451">
            <v>693</v>
          </cell>
          <cell r="L451">
            <v>879</v>
          </cell>
          <cell r="M451">
            <v>708</v>
          </cell>
        </row>
        <row r="452">
          <cell r="A452" t="str">
            <v>of which, security deposits on customer financing</v>
          </cell>
          <cell r="B452"/>
          <cell r="C452"/>
          <cell r="D452"/>
          <cell r="E452" t="str">
            <v>n/a</v>
          </cell>
          <cell r="F452">
            <v>1044</v>
          </cell>
          <cell r="G452">
            <v>1146</v>
          </cell>
          <cell r="H452"/>
          <cell r="I452"/>
          <cell r="J452"/>
          <cell r="K452"/>
          <cell r="L452"/>
          <cell r="M452"/>
        </row>
        <row r="453">
          <cell r="A453" t="str">
            <v>Non-current other assets (mostly positive fair value of derivatives)</v>
          </cell>
          <cell r="J453">
            <v>7096</v>
          </cell>
          <cell r="K453">
            <v>3610</v>
          </cell>
          <cell r="L453">
            <v>4231</v>
          </cell>
          <cell r="M453">
            <v>3543</v>
          </cell>
        </row>
        <row r="454">
          <cell r="A454" t="str">
            <v>Deferred tax assets</v>
          </cell>
          <cell r="C454">
            <v>1614</v>
          </cell>
          <cell r="D454">
            <v>1734</v>
          </cell>
          <cell r="E454">
            <v>3151</v>
          </cell>
          <cell r="F454">
            <v>4288</v>
          </cell>
          <cell r="G454">
            <v>2992</v>
          </cell>
          <cell r="H454">
            <v>2724</v>
          </cell>
          <cell r="I454">
            <v>2543</v>
          </cell>
          <cell r="J454">
            <v>2548</v>
          </cell>
          <cell r="K454">
            <v>2557</v>
          </cell>
          <cell r="L454">
            <v>2624</v>
          </cell>
          <cell r="M454">
            <v>2705</v>
          </cell>
        </row>
        <row r="455">
          <cell r="A455" t="str">
            <v>of which, deferred tax related to pension liabilities</v>
          </cell>
          <cell r="B455"/>
          <cell r="C455"/>
          <cell r="D455"/>
          <cell r="E455">
            <v>473</v>
          </cell>
          <cell r="F455">
            <v>498</v>
          </cell>
          <cell r="G455">
            <v>585</v>
          </cell>
          <cell r="H455">
            <v>674</v>
          </cell>
          <cell r="I455">
            <v>700</v>
          </cell>
          <cell r="J455">
            <v>700</v>
          </cell>
          <cell r="K455">
            <v>678</v>
          </cell>
          <cell r="L455">
            <v>1043</v>
          </cell>
          <cell r="M455">
            <v>642</v>
          </cell>
        </row>
        <row r="456">
          <cell r="A456" t="str">
            <v>Non-current assets (excluding non-current securities)</v>
          </cell>
          <cell r="B456"/>
          <cell r="C456">
            <v>20029</v>
          </cell>
          <cell r="D456">
            <v>21325</v>
          </cell>
          <cell r="E456">
            <v>24045</v>
          </cell>
          <cell r="F456">
            <v>29652</v>
          </cell>
          <cell r="G456">
            <v>28165</v>
          </cell>
          <cell r="H456">
            <v>27995</v>
          </cell>
          <cell r="I456">
            <v>29546</v>
          </cell>
          <cell r="J456">
            <v>36997</v>
          </cell>
          <cell r="K456">
            <v>35016</v>
          </cell>
          <cell r="L456">
            <v>35786</v>
          </cell>
          <cell r="M456">
            <v>34360</v>
          </cell>
        </row>
        <row r="457">
          <cell r="A457"/>
          <cell r="B457"/>
          <cell r="C457"/>
          <cell r="D457"/>
          <cell r="E457"/>
          <cell r="F457"/>
          <cell r="G457"/>
          <cell r="H457"/>
          <cell r="I457"/>
          <cell r="J457"/>
          <cell r="K457"/>
        </row>
        <row r="458">
          <cell r="A458" t="str">
            <v>Non-current assets classified as held for sale</v>
          </cell>
          <cell r="K458">
            <v>881</v>
          </cell>
          <cell r="L458">
            <v>76</v>
          </cell>
        </row>
        <row r="459">
          <cell r="A459" t="str">
            <v>Liabilities associated with non-current assets held for sale</v>
          </cell>
          <cell r="K459">
            <v>-62</v>
          </cell>
          <cell r="L459">
            <v>-64</v>
          </cell>
        </row>
        <row r="460">
          <cell r="A460"/>
          <cell r="B460"/>
          <cell r="C460"/>
          <cell r="D460"/>
          <cell r="E460"/>
          <cell r="F460"/>
          <cell r="G460"/>
          <cell r="H460"/>
          <cell r="I460"/>
          <cell r="J460"/>
          <cell r="K460"/>
          <cell r="L460"/>
          <cell r="M460"/>
        </row>
        <row r="461">
          <cell r="A461" t="str">
            <v>Working capital</v>
          </cell>
          <cell r="B461"/>
          <cell r="C461"/>
        </row>
        <row r="462">
          <cell r="A462" t="str">
            <v>Gross inventories</v>
          </cell>
          <cell r="B462"/>
          <cell r="C462"/>
          <cell r="D462"/>
          <cell r="E462">
            <v>8946</v>
          </cell>
          <cell r="F462">
            <v>12063</v>
          </cell>
          <cell r="G462">
            <v>12198</v>
          </cell>
          <cell r="H462">
            <v>12629</v>
          </cell>
          <cell r="I462">
            <v>12334</v>
          </cell>
          <cell r="J462"/>
          <cell r="K462"/>
          <cell r="L462"/>
          <cell r="M462"/>
        </row>
        <row r="463">
          <cell r="A463" t="str">
            <v>Customer prepayments</v>
          </cell>
          <cell r="B463"/>
          <cell r="C463"/>
          <cell r="D463"/>
          <cell r="E463">
            <v>-6865</v>
          </cell>
          <cell r="F463">
            <v>-9594</v>
          </cell>
          <cell r="G463">
            <v>-9498</v>
          </cell>
          <cell r="H463">
            <v>-9350</v>
          </cell>
          <cell r="I463">
            <v>-9259</v>
          </cell>
          <cell r="J463"/>
          <cell r="K463"/>
          <cell r="L463"/>
          <cell r="M463"/>
        </row>
        <row r="464">
          <cell r="A464" t="str">
            <v>Net inventory</v>
          </cell>
          <cell r="B464"/>
          <cell r="C464">
            <v>1501</v>
          </cell>
          <cell r="D464">
            <v>1045</v>
          </cell>
          <cell r="E464">
            <v>2081</v>
          </cell>
          <cell r="F464">
            <v>2469</v>
          </cell>
          <cell r="G464">
            <v>2700</v>
          </cell>
          <cell r="H464">
            <v>3279</v>
          </cell>
          <cell r="I464">
            <v>3075</v>
          </cell>
          <cell r="J464">
            <v>12334</v>
          </cell>
          <cell r="K464">
            <v>15425</v>
          </cell>
          <cell r="L464">
            <v>16892</v>
          </cell>
          <cell r="M464">
            <v>18906</v>
          </cell>
        </row>
        <row r="465">
          <cell r="A465" t="str">
            <v>Trade receivables</v>
          </cell>
          <cell r="C465">
            <v>4069</v>
          </cell>
          <cell r="D465">
            <v>4509</v>
          </cell>
          <cell r="E465">
            <v>4118</v>
          </cell>
          <cell r="F465">
            <v>5183</v>
          </cell>
          <cell r="G465">
            <v>4114</v>
          </cell>
          <cell r="H465">
            <v>4001</v>
          </cell>
          <cell r="I465">
            <v>4406</v>
          </cell>
          <cell r="J465">
            <v>4406</v>
          </cell>
          <cell r="K465">
            <v>4802</v>
          </cell>
          <cell r="L465">
            <v>4852</v>
          </cell>
          <cell r="M465">
            <v>4639</v>
          </cell>
        </row>
        <row r="466">
          <cell r="A466" t="str">
            <v>Other current assets</v>
          </cell>
          <cell r="C466">
            <v>3055</v>
          </cell>
          <cell r="D466">
            <v>3360</v>
          </cell>
          <cell r="E466">
            <v>2624</v>
          </cell>
          <cell r="F466">
            <v>2633</v>
          </cell>
          <cell r="G466">
            <v>5256</v>
          </cell>
          <cell r="H466">
            <v>10280</v>
          </cell>
          <cell r="I466">
            <v>11105</v>
          </cell>
          <cell r="J466">
            <v>5242</v>
          </cell>
          <cell r="K466">
            <v>3675</v>
          </cell>
          <cell r="L466">
            <v>4545</v>
          </cell>
          <cell r="M466">
            <v>5713</v>
          </cell>
        </row>
        <row r="467">
          <cell r="A467" t="str">
            <v>Prepaid expenses</v>
          </cell>
          <cell r="C467">
            <v>474</v>
          </cell>
          <cell r="D467">
            <v>651</v>
          </cell>
          <cell r="E467">
            <v>654</v>
          </cell>
          <cell r="F467">
            <v>745</v>
          </cell>
          <cell r="G467">
            <v>965</v>
          </cell>
          <cell r="H467">
            <v>951</v>
          </cell>
          <cell r="I467">
            <v>951</v>
          </cell>
        </row>
        <row r="468">
          <cell r="A468" t="str">
            <v>Current assets (excluding cash and current securities)</v>
          </cell>
          <cell r="B468"/>
          <cell r="C468">
            <v>9099</v>
          </cell>
          <cell r="D468">
            <v>9565</v>
          </cell>
          <cell r="E468">
            <v>9477</v>
          </cell>
          <cell r="F468">
            <v>11030</v>
          </cell>
          <cell r="G468">
            <v>13035</v>
          </cell>
          <cell r="H468">
            <v>18511</v>
          </cell>
          <cell r="I468">
            <v>19537</v>
          </cell>
          <cell r="J468">
            <v>21982</v>
          </cell>
          <cell r="K468">
            <v>23902</v>
          </cell>
          <cell r="L468">
            <v>26289</v>
          </cell>
          <cell r="M468">
            <v>29258</v>
          </cell>
        </row>
        <row r="470">
          <cell r="A470" t="str">
            <v>Trade liabilities</v>
          </cell>
          <cell r="C470">
            <v>-3896</v>
          </cell>
          <cell r="D470">
            <v>-3734</v>
          </cell>
          <cell r="E470">
            <v>-4268</v>
          </cell>
          <cell r="F470">
            <v>-5466</v>
          </cell>
          <cell r="G470">
            <v>-5070</v>
          </cell>
          <cell r="H470">
            <v>-5117</v>
          </cell>
          <cell r="I470">
            <v>-5860</v>
          </cell>
          <cell r="J470">
            <v>-5860</v>
          </cell>
          <cell r="K470">
            <v>-6634</v>
          </cell>
          <cell r="L470">
            <v>-7461</v>
          </cell>
          <cell r="M470">
            <v>-7398</v>
          </cell>
        </row>
        <row r="471">
          <cell r="A471" t="str">
            <v>Current tax liabilities</v>
          </cell>
          <cell r="J471">
            <v>-178</v>
          </cell>
          <cell r="K471">
            <v>-174</v>
          </cell>
          <cell r="L471">
            <v>-218</v>
          </cell>
          <cell r="M471">
            <v>-179</v>
          </cell>
        </row>
        <row r="472">
          <cell r="A472" t="str">
            <v>Other current liabilities</v>
          </cell>
          <cell r="C472">
            <v>-6054</v>
          </cell>
          <cell r="D472">
            <v>-6416</v>
          </cell>
          <cell r="E472">
            <v>-8200</v>
          </cell>
          <cell r="F472">
            <v>-10631</v>
          </cell>
          <cell r="G472">
            <v>-10246</v>
          </cell>
          <cell r="H472">
            <v>-11318</v>
          </cell>
          <cell r="I472">
            <v>-13240</v>
          </cell>
          <cell r="J472">
            <v>-14223</v>
          </cell>
          <cell r="K472">
            <v>-17739</v>
          </cell>
          <cell r="L472">
            <v>-17646</v>
          </cell>
          <cell r="M472">
            <v>-20389</v>
          </cell>
        </row>
        <row r="473">
          <cell r="A473" t="str">
            <v>of which, customer advance payments</v>
          </cell>
          <cell r="B473"/>
          <cell r="C473"/>
          <cell r="D473"/>
          <cell r="E473">
            <v>-3811</v>
          </cell>
          <cell r="F473">
            <v>-4509</v>
          </cell>
          <cell r="G473">
            <v>-3578</v>
          </cell>
          <cell r="H473">
            <v>-3807</v>
          </cell>
          <cell r="I473">
            <v>-5610</v>
          </cell>
          <cell r="J473">
            <v>-10884</v>
          </cell>
          <cell r="K473">
            <v>-14078</v>
          </cell>
          <cell r="L473">
            <v>-14172</v>
          </cell>
          <cell r="M473">
            <v>-16214</v>
          </cell>
        </row>
        <row r="474">
          <cell r="A474" t="str">
            <v>of which, Launch Aid (European govt refundable advances)</v>
          </cell>
          <cell r="B474"/>
          <cell r="C474"/>
          <cell r="D474"/>
          <cell r="E474">
            <v>-2088</v>
          </cell>
          <cell r="F474">
            <v>-3469</v>
          </cell>
          <cell r="G474">
            <v>-4265</v>
          </cell>
          <cell r="H474">
            <v>-4851</v>
          </cell>
          <cell r="I474">
            <v>-5119</v>
          </cell>
          <cell r="J474">
            <v>-38</v>
          </cell>
          <cell r="K474">
            <v>-343</v>
          </cell>
          <cell r="L474">
            <v>-389</v>
          </cell>
          <cell r="M474">
            <v>-461</v>
          </cell>
        </row>
        <row r="475">
          <cell r="A475" t="str">
            <v>of which, other</v>
          </cell>
          <cell r="B475"/>
          <cell r="C475"/>
          <cell r="D475"/>
          <cell r="E475">
            <v>-2301</v>
          </cell>
          <cell r="F475">
            <v>-2653</v>
          </cell>
          <cell r="G475">
            <v>-2403</v>
          </cell>
          <cell r="H475">
            <v>-2660</v>
          </cell>
          <cell r="I475">
            <v>-2511</v>
          </cell>
          <cell r="J475">
            <v>-3301</v>
          </cell>
          <cell r="K475">
            <v>-3318</v>
          </cell>
          <cell r="L475">
            <v>-3085</v>
          </cell>
          <cell r="M475">
            <v>-3714</v>
          </cell>
        </row>
        <row r="476">
          <cell r="A476" t="str">
            <v>Current liabilities</v>
          </cell>
          <cell r="B476"/>
          <cell r="C476">
            <v>-9950</v>
          </cell>
          <cell r="D476">
            <v>-10150</v>
          </cell>
          <cell r="E476">
            <v>-12468</v>
          </cell>
          <cell r="F476">
            <v>-16097</v>
          </cell>
          <cell r="G476">
            <v>-15316</v>
          </cell>
          <cell r="H476">
            <v>-16435</v>
          </cell>
          <cell r="I476">
            <v>-19100</v>
          </cell>
          <cell r="J476">
            <v>-20261</v>
          </cell>
          <cell r="K476">
            <v>-24547</v>
          </cell>
          <cell r="L476">
            <v>-25325</v>
          </cell>
          <cell r="M476">
            <v>-27966</v>
          </cell>
        </row>
        <row r="478">
          <cell r="A478" t="str">
            <v>Working Capital (excl. non-current Cust advances and L.Aid)</v>
          </cell>
          <cell r="B478"/>
          <cell r="C478">
            <v>-851</v>
          </cell>
          <cell r="D478">
            <v>-585</v>
          </cell>
          <cell r="E478">
            <v>-2991</v>
          </cell>
          <cell r="F478">
            <v>-5067</v>
          </cell>
          <cell r="G478">
            <v>-2281</v>
          </cell>
          <cell r="H478">
            <v>2076</v>
          </cell>
          <cell r="I478">
            <v>437</v>
          </cell>
          <cell r="J478">
            <v>1721</v>
          </cell>
          <cell r="K478">
            <v>-645</v>
          </cell>
          <cell r="L478">
            <v>964</v>
          </cell>
          <cell r="M478">
            <v>1292</v>
          </cell>
        </row>
        <row r="479">
          <cell r="A479"/>
        </row>
        <row r="480">
          <cell r="A480" t="str">
            <v>Working capital as % of sales</v>
          </cell>
          <cell r="B480"/>
          <cell r="C480"/>
          <cell r="D480"/>
          <cell r="E480"/>
          <cell r="F480"/>
          <cell r="G480"/>
          <cell r="H480"/>
          <cell r="I480"/>
          <cell r="J480"/>
          <cell r="K480"/>
          <cell r="L480"/>
          <cell r="M480"/>
        </row>
        <row r="481">
          <cell r="A481" t="str">
            <v>Gross inventories</v>
          </cell>
          <cell r="B481"/>
          <cell r="C481"/>
          <cell r="D481"/>
          <cell r="E481">
            <v>0.36954725710508923</v>
          </cell>
          <cell r="F481">
            <v>0.39168127800506525</v>
          </cell>
          <cell r="G481">
            <v>0.40794622253436341</v>
          </cell>
          <cell r="H481">
            <v>0.41910861845816877</v>
          </cell>
          <cell r="I481">
            <v>0.38833789868077201</v>
          </cell>
          <cell r="J481"/>
          <cell r="K481"/>
          <cell r="L481"/>
          <cell r="M481"/>
        </row>
        <row r="482">
          <cell r="A482" t="str">
            <v>Customer prepayments</v>
          </cell>
          <cell r="B482"/>
          <cell r="C482"/>
          <cell r="D482"/>
          <cell r="E482">
            <v>-0.28358393919365499</v>
          </cell>
          <cell r="F482">
            <v>-0.31151373465809468</v>
          </cell>
          <cell r="G482">
            <v>-0.31764823918932478</v>
          </cell>
          <cell r="H482">
            <v>-0.31029104304251154</v>
          </cell>
          <cell r="I482">
            <v>-0.29152104782595006</v>
          </cell>
          <cell r="J482"/>
          <cell r="K482"/>
          <cell r="L482"/>
          <cell r="M482"/>
        </row>
        <row r="483">
          <cell r="A483" t="str">
            <v>Net inventory</v>
          </cell>
          <cell r="B483"/>
          <cell r="C483">
            <v>7.2920715118538676E-2</v>
          </cell>
          <cell r="D483">
            <v>4.633529907329402E-2</v>
          </cell>
          <cell r="E483">
            <v>8.5963317911434231E-2</v>
          </cell>
          <cell r="F483">
            <v>8.0167543346970585E-2</v>
          </cell>
          <cell r="G483">
            <v>9.0297983345038621E-2</v>
          </cell>
          <cell r="H483">
            <v>0.10881757541565726</v>
          </cell>
          <cell r="I483">
            <v>9.6816850854821945E-2</v>
          </cell>
          <cell r="J483">
            <v>0.38833789868077201</v>
          </cell>
          <cell r="K483">
            <v>0.45094427878150034</v>
          </cell>
          <cell r="L483">
            <v>0.42836131257290661</v>
          </cell>
          <cell r="M483">
            <v>0.48324514991181655</v>
          </cell>
        </row>
        <row r="484">
          <cell r="A484" t="str">
            <v>Trade receivables</v>
          </cell>
          <cell r="B484"/>
          <cell r="C484">
            <v>0.19767780800621843</v>
          </cell>
          <cell r="D484">
            <v>0.19992905600141889</v>
          </cell>
          <cell r="E484">
            <v>0.17010905485789821</v>
          </cell>
          <cell r="F484">
            <v>0.16829014871095527</v>
          </cell>
          <cell r="G484">
            <v>0.13758737165981072</v>
          </cell>
          <cell r="H484">
            <v>0.13277801745594531</v>
          </cell>
          <cell r="I484">
            <v>0.13872359182645383</v>
          </cell>
          <cell r="J484">
            <v>0.13872359182645383</v>
          </cell>
          <cell r="K484">
            <v>0.14038472782552769</v>
          </cell>
          <cell r="L484">
            <v>0.12304103058274585</v>
          </cell>
          <cell r="M484">
            <v>0.11857475142499298</v>
          </cell>
        </row>
        <row r="485">
          <cell r="A485" t="str">
            <v>Other current assets</v>
          </cell>
          <cell r="B485"/>
          <cell r="C485"/>
          <cell r="D485"/>
          <cell r="E485"/>
          <cell r="F485"/>
          <cell r="G485"/>
          <cell r="H485"/>
          <cell r="I485">
            <v>0.34964264349359275</v>
          </cell>
          <cell r="J485">
            <v>0.16504518119706557</v>
          </cell>
          <cell r="K485">
            <v>0.10743729170320997</v>
          </cell>
          <cell r="L485">
            <v>0.11525587056854492</v>
          </cell>
          <cell r="M485">
            <v>0.14602663394933926</v>
          </cell>
        </row>
        <row r="486">
          <cell r="A486"/>
          <cell r="B486"/>
          <cell r="C486"/>
          <cell r="D486"/>
          <cell r="E486"/>
          <cell r="F486"/>
          <cell r="G486"/>
          <cell r="H486"/>
          <cell r="I486"/>
          <cell r="J486"/>
          <cell r="K486"/>
          <cell r="L486"/>
          <cell r="M486"/>
        </row>
        <row r="487">
          <cell r="A487" t="str">
            <v>Trade liabilities</v>
          </cell>
          <cell r="B487"/>
          <cell r="C487"/>
          <cell r="D487"/>
          <cell r="E487">
            <v>-0.17630535360211499</v>
          </cell>
          <cell r="F487">
            <v>-0.17747905708162867</v>
          </cell>
          <cell r="G487">
            <v>-0.16955954650346142</v>
          </cell>
          <cell r="H487">
            <v>-0.1698138253741745</v>
          </cell>
          <cell r="I487">
            <v>-0.18450300683227858</v>
          </cell>
          <cell r="J487">
            <v>-0.18450300683227858</v>
          </cell>
          <cell r="K487">
            <v>-0.19394258317254282</v>
          </cell>
          <cell r="L487">
            <v>-0.18920221128974996</v>
          </cell>
          <cell r="M487">
            <v>-0.18909592822636301</v>
          </cell>
        </row>
        <row r="488">
          <cell r="A488" t="str">
            <v>Other current liabilities</v>
          </cell>
          <cell r="B488"/>
          <cell r="C488">
            <v>-7.933346288379324E-2</v>
          </cell>
          <cell r="D488">
            <v>-5.9637298807254026E-2</v>
          </cell>
          <cell r="E488">
            <v>-0.33873099801718443</v>
          </cell>
          <cell r="F488">
            <v>-0.34518475225664003</v>
          </cell>
          <cell r="G488">
            <v>-0.34266412494565401</v>
          </cell>
          <cell r="H488">
            <v>-0.37560150001659309</v>
          </cell>
          <cell r="I488">
            <v>-0.41686344888385124</v>
          </cell>
          <cell r="J488">
            <v>-0.44781335600264477</v>
          </cell>
          <cell r="K488">
            <v>-0.51859322925802487</v>
          </cell>
          <cell r="L488">
            <v>-0.44748186843840343</v>
          </cell>
          <cell r="M488">
            <v>-0.52115124095800425</v>
          </cell>
        </row>
        <row r="489">
          <cell r="A489" t="str">
            <v>Working Capital</v>
          </cell>
          <cell r="B489"/>
          <cell r="C489">
            <v>-4.1342790516906334E-2</v>
          </cell>
          <cell r="D489">
            <v>-2.5938899481222012E-2</v>
          </cell>
          <cell r="E489">
            <v>-0.12355419695968275</v>
          </cell>
          <cell r="F489">
            <v>-0.16452367036820573</v>
          </cell>
          <cell r="G489">
            <v>-7.6285074077790047E-2</v>
          </cell>
          <cell r="H489">
            <v>6.8894567417781175E-2</v>
          </cell>
          <cell r="I489">
            <v>1.3759012625547054E-2</v>
          </cell>
          <cell r="J489">
            <v>5.4185951323950758E-2</v>
          </cell>
          <cell r="K489">
            <v>-1.8856340992808279E-2</v>
          </cell>
          <cell r="L489">
            <v>2.4445909621139118E-2</v>
          </cell>
          <cell r="M489">
            <v>3.3024052347723848E-2</v>
          </cell>
        </row>
        <row r="490">
          <cell r="A490"/>
          <cell r="B490"/>
          <cell r="C490"/>
          <cell r="D490"/>
          <cell r="E490"/>
          <cell r="F490"/>
          <cell r="G490"/>
          <cell r="H490"/>
          <cell r="I490"/>
          <cell r="J490"/>
          <cell r="K490"/>
          <cell r="L490"/>
          <cell r="M490"/>
        </row>
        <row r="491">
          <cell r="A491"/>
        </row>
        <row r="492">
          <cell r="A492" t="str">
            <v>EADS (year to Dec)</v>
          </cell>
          <cell r="B492"/>
          <cell r="C492"/>
        </row>
        <row r="493">
          <cell r="A493"/>
          <cell r="B493"/>
          <cell r="C493"/>
          <cell r="D493"/>
          <cell r="E493"/>
          <cell r="F493"/>
          <cell r="G493"/>
          <cell r="H493"/>
          <cell r="I493"/>
          <cell r="J493"/>
          <cell r="K493"/>
          <cell r="L493"/>
          <cell r="M493"/>
        </row>
        <row r="494">
          <cell r="A494"/>
          <cell r="B494"/>
          <cell r="C494"/>
          <cell r="D494"/>
          <cell r="E494"/>
          <cell r="F494"/>
          <cell r="G494"/>
          <cell r="H494"/>
          <cell r="I494"/>
          <cell r="J494"/>
          <cell r="K494"/>
          <cell r="L494"/>
          <cell r="M494"/>
        </row>
        <row r="495">
          <cell r="A495"/>
          <cell r="B495"/>
          <cell r="C495"/>
          <cell r="D495"/>
          <cell r="E495"/>
          <cell r="F495"/>
          <cell r="G495"/>
          <cell r="H495"/>
          <cell r="I495"/>
          <cell r="J495"/>
          <cell r="K495"/>
          <cell r="L495"/>
          <cell r="M495"/>
        </row>
        <row r="496">
          <cell r="A496"/>
          <cell r="B496" t="str">
            <v>IAS</v>
          </cell>
          <cell r="C496" t="str">
            <v>IAS</v>
          </cell>
          <cell r="D496" t="str">
            <v>IAS</v>
          </cell>
          <cell r="E496" t="str">
            <v>IAS</v>
          </cell>
          <cell r="F496" t="str">
            <v>IAS</v>
          </cell>
          <cell r="G496" t="str">
            <v>IFRS</v>
          </cell>
          <cell r="H496" t="str">
            <v>IFRS</v>
          </cell>
          <cell r="I496" t="str">
            <v>IFRS</v>
          </cell>
          <cell r="J496" t="str">
            <v>IFRS</v>
          </cell>
          <cell r="K496" t="str">
            <v>IFRS</v>
          </cell>
          <cell r="L496" t="str">
            <v>IFRS</v>
          </cell>
          <cell r="M496" t="str">
            <v>IFRS</v>
          </cell>
        </row>
        <row r="497">
          <cell r="A497" t="str">
            <v>Balance sheet (2)</v>
          </cell>
          <cell r="B497" t="str">
            <v>1997pf</v>
          </cell>
          <cell r="C497" t="str">
            <v>1998pf</v>
          </cell>
          <cell r="D497" t="str">
            <v>1999pf</v>
          </cell>
          <cell r="E497" t="str">
            <v>2000pf</v>
          </cell>
          <cell r="F497">
            <v>2001</v>
          </cell>
          <cell r="G497">
            <v>2002</v>
          </cell>
          <cell r="H497">
            <v>2003</v>
          </cell>
          <cell r="I497">
            <v>2004</v>
          </cell>
          <cell r="J497" t="str">
            <v>2004pf</v>
          </cell>
          <cell r="K497">
            <v>2005</v>
          </cell>
          <cell r="L497">
            <v>2006</v>
          </cell>
          <cell r="M497">
            <v>2007</v>
          </cell>
        </row>
        <row r="499">
          <cell r="A499" t="str">
            <v>Liability for puttable instruments (ie. Est. value of BAE's Airbus stake)</v>
          </cell>
          <cell r="B499"/>
          <cell r="C499"/>
          <cell r="D499"/>
          <cell r="E499"/>
          <cell r="F499"/>
          <cell r="G499"/>
          <cell r="H499"/>
          <cell r="I499"/>
          <cell r="J499">
            <v>-3500</v>
          </cell>
          <cell r="K499">
            <v>-3500</v>
          </cell>
          <cell r="L499"/>
          <cell r="M499"/>
        </row>
        <row r="500">
          <cell r="A500"/>
          <cell r="B500"/>
          <cell r="C500"/>
          <cell r="D500"/>
          <cell r="E500"/>
          <cell r="F500"/>
          <cell r="G500"/>
          <cell r="H500"/>
          <cell r="I500"/>
          <cell r="J500"/>
          <cell r="K500"/>
          <cell r="L500"/>
          <cell r="M500"/>
        </row>
        <row r="501">
          <cell r="A501" t="str">
            <v>Non-current liabilities</v>
          </cell>
          <cell r="B501"/>
          <cell r="C501"/>
          <cell r="D501"/>
          <cell r="E501"/>
          <cell r="F501"/>
          <cell r="G501"/>
          <cell r="H501"/>
          <cell r="I501"/>
          <cell r="J501"/>
          <cell r="K501"/>
          <cell r="L501"/>
          <cell r="M501"/>
        </row>
        <row r="502">
          <cell r="A502" t="str">
            <v>Deferred tax liabilities</v>
          </cell>
          <cell r="C502">
            <v>-1633</v>
          </cell>
          <cell r="D502">
            <v>-1345</v>
          </cell>
          <cell r="E502">
            <v>-1128</v>
          </cell>
          <cell r="F502">
            <v>-806</v>
          </cell>
          <cell r="G502">
            <v>-2014</v>
          </cell>
          <cell r="H502">
            <v>-3664</v>
          </cell>
          <cell r="I502">
            <v>-4134</v>
          </cell>
          <cell r="J502">
            <v>-4134</v>
          </cell>
          <cell r="K502">
            <v>-2376</v>
          </cell>
          <cell r="L502">
            <v>-2465</v>
          </cell>
          <cell r="M502">
            <v>-2188</v>
          </cell>
        </row>
        <row r="503">
          <cell r="A503" t="str">
            <v>Non-current deferred income</v>
          </cell>
          <cell r="B503"/>
          <cell r="C503">
            <v>-2058</v>
          </cell>
          <cell r="D503">
            <v>-2746</v>
          </cell>
          <cell r="E503">
            <v>-2914</v>
          </cell>
          <cell r="F503">
            <v>-2958</v>
          </cell>
          <cell r="G503">
            <v>-2720</v>
          </cell>
          <cell r="H503">
            <v>-2458</v>
          </cell>
          <cell r="I503">
            <v>-1991</v>
          </cell>
          <cell r="J503">
            <v>-1490</v>
          </cell>
          <cell r="K503">
            <v>-1324</v>
          </cell>
          <cell r="L503">
            <v>-1110</v>
          </cell>
          <cell r="M503">
            <v>-753</v>
          </cell>
        </row>
        <row r="504">
          <cell r="A504" t="str">
            <v>Other non-current liabilities</v>
          </cell>
          <cell r="J504">
            <v>-8777</v>
          </cell>
          <cell r="K504">
            <v>-9971</v>
          </cell>
          <cell r="L504">
            <v>-11570</v>
          </cell>
          <cell r="M504">
            <v>-14127</v>
          </cell>
        </row>
        <row r="505">
          <cell r="A505" t="str">
            <v>of which, customer advance payments</v>
          </cell>
          <cell r="B505"/>
          <cell r="C505"/>
          <cell r="D505"/>
          <cell r="E505"/>
          <cell r="F505"/>
          <cell r="G505"/>
          <cell r="H505"/>
          <cell r="I505"/>
          <cell r="J505">
            <v>-3985</v>
          </cell>
          <cell r="K505">
            <v>-4911</v>
          </cell>
          <cell r="L505">
            <v>-6308</v>
          </cell>
          <cell r="M505">
            <v>-8420</v>
          </cell>
        </row>
        <row r="506">
          <cell r="A506" t="str">
            <v>of which, Launch Aid (European govt refundable advances)</v>
          </cell>
          <cell r="B506"/>
          <cell r="C506"/>
          <cell r="D506"/>
          <cell r="E506"/>
          <cell r="F506"/>
          <cell r="G506"/>
          <cell r="H506"/>
          <cell r="I506"/>
          <cell r="J506">
            <v>-4781</v>
          </cell>
          <cell r="K506">
            <v>-4950</v>
          </cell>
          <cell r="L506">
            <v>-5029</v>
          </cell>
          <cell r="M506">
            <v>-4854</v>
          </cell>
        </row>
        <row r="507">
          <cell r="A507" t="str">
            <v>of which, other</v>
          </cell>
          <cell r="B507"/>
          <cell r="C507"/>
          <cell r="D507"/>
          <cell r="E507"/>
          <cell r="F507"/>
          <cell r="G507"/>
          <cell r="H507"/>
          <cell r="I507"/>
          <cell r="J507">
            <v>-11</v>
          </cell>
          <cell r="K507">
            <v>-110</v>
          </cell>
          <cell r="L507">
            <v>-233</v>
          </cell>
          <cell r="M507">
            <v>-853</v>
          </cell>
        </row>
        <row r="508">
          <cell r="A508" t="str">
            <v>Non-current liabilities (excluding provisions)</v>
          </cell>
          <cell r="B508"/>
          <cell r="C508">
            <v>-3691</v>
          </cell>
          <cell r="D508">
            <v>-4091</v>
          </cell>
          <cell r="E508">
            <v>-4042</v>
          </cell>
          <cell r="F508">
            <v>-3764</v>
          </cell>
          <cell r="G508">
            <v>-4734</v>
          </cell>
          <cell r="H508">
            <v>-6122</v>
          </cell>
          <cell r="I508">
            <v>-6125</v>
          </cell>
          <cell r="J508">
            <v>-14401</v>
          </cell>
          <cell r="K508">
            <v>-13671</v>
          </cell>
          <cell r="L508">
            <v>-15145</v>
          </cell>
          <cell r="M508">
            <v>-17068</v>
          </cell>
        </row>
        <row r="509">
          <cell r="A509"/>
          <cell r="B509"/>
          <cell r="C509"/>
          <cell r="D509"/>
          <cell r="E509"/>
          <cell r="F509"/>
          <cell r="G509"/>
          <cell r="H509"/>
          <cell r="I509"/>
          <cell r="J509"/>
          <cell r="K509"/>
          <cell r="L509"/>
          <cell r="M509"/>
        </row>
        <row r="510">
          <cell r="A510" t="str">
            <v>Current provisions</v>
          </cell>
          <cell r="J510">
            <v>-2350</v>
          </cell>
          <cell r="K510">
            <v>-2727</v>
          </cell>
          <cell r="L510">
            <v>-3631</v>
          </cell>
          <cell r="M510">
            <v>-4378</v>
          </cell>
        </row>
        <row r="511">
          <cell r="A511" t="str">
            <v>Non-current provisions</v>
          </cell>
          <cell r="J511">
            <v>-6074</v>
          </cell>
          <cell r="K511">
            <v>-6879</v>
          </cell>
          <cell r="L511">
            <v>-9063</v>
          </cell>
          <cell r="M511">
            <v>-8055</v>
          </cell>
        </row>
        <row r="512">
          <cell r="A512" t="str">
            <v>Total provisions</v>
          </cell>
          <cell r="B512"/>
          <cell r="C512">
            <v>-5963</v>
          </cell>
          <cell r="D512">
            <v>-7421</v>
          </cell>
          <cell r="E512">
            <v>-8684</v>
          </cell>
          <cell r="F512">
            <v>-11918</v>
          </cell>
          <cell r="G512">
            <v>-8248</v>
          </cell>
          <cell r="H512">
            <v>-8726</v>
          </cell>
          <cell r="I512">
            <v>-8573</v>
          </cell>
          <cell r="J512">
            <v>-8424</v>
          </cell>
          <cell r="K512">
            <v>-9606</v>
          </cell>
          <cell r="L512">
            <v>-12694</v>
          </cell>
          <cell r="M512">
            <v>-12433</v>
          </cell>
        </row>
        <row r="513">
          <cell r="A513" t="str">
            <v>of which, pension provisions</v>
          </cell>
          <cell r="B513"/>
          <cell r="C513"/>
          <cell r="D513"/>
          <cell r="E513">
            <v>-2986</v>
          </cell>
          <cell r="F513">
            <v>-3176</v>
          </cell>
          <cell r="G513">
            <v>-3357</v>
          </cell>
          <cell r="H513">
            <v>-3718</v>
          </cell>
          <cell r="I513">
            <v>-3947</v>
          </cell>
          <cell r="J513">
            <v>-3947</v>
          </cell>
          <cell r="K513">
            <v>-4120</v>
          </cell>
          <cell r="L513">
            <v>-4986</v>
          </cell>
          <cell r="M513">
            <v>-4174</v>
          </cell>
        </row>
        <row r="514">
          <cell r="A514" t="str">
            <v>of which, Airbus / MBDA / Astrium UK pension provisions</v>
          </cell>
          <cell r="B514"/>
          <cell r="C514"/>
          <cell r="D514"/>
          <cell r="E514"/>
          <cell r="F514"/>
          <cell r="G514"/>
          <cell r="H514"/>
          <cell r="I514"/>
          <cell r="J514"/>
          <cell r="K514"/>
          <cell r="L514">
            <v>-897</v>
          </cell>
          <cell r="M514">
            <v>-494</v>
          </cell>
        </row>
        <row r="515">
          <cell r="A515" t="str">
            <v>of which, aircraft financing risks</v>
          </cell>
          <cell r="B515"/>
          <cell r="C515"/>
          <cell r="D515"/>
          <cell r="E515">
            <v>-9.81</v>
          </cell>
          <cell r="F515">
            <v>-1498</v>
          </cell>
          <cell r="G515">
            <v>-1215</v>
          </cell>
          <cell r="H515">
            <v>-1021</v>
          </cell>
          <cell r="I515">
            <v>-939</v>
          </cell>
          <cell r="J515">
            <v>-939</v>
          </cell>
          <cell r="K515">
            <v>-1169</v>
          </cell>
          <cell r="L515">
            <v>-1064</v>
          </cell>
          <cell r="M515">
            <v>-812</v>
          </cell>
        </row>
        <row r="516">
          <cell r="A516" t="str">
            <v>of which, FX mark-to-market provision</v>
          </cell>
          <cell r="B516"/>
          <cell r="C516"/>
          <cell r="D516"/>
          <cell r="E516">
            <v>-1140</v>
          </cell>
          <cell r="F516">
            <v>-3673</v>
          </cell>
          <cell r="G516">
            <v>-161</v>
          </cell>
          <cell r="H516"/>
          <cell r="I516"/>
          <cell r="J516"/>
          <cell r="K516"/>
          <cell r="L516"/>
          <cell r="M516"/>
        </row>
        <row r="517">
          <cell r="A517" t="str">
            <v>of which, other provisions</v>
          </cell>
          <cell r="B517"/>
          <cell r="C517"/>
          <cell r="D517"/>
          <cell r="E517">
            <v>-4548.1899999999996</v>
          </cell>
          <cell r="F517">
            <v>-3571</v>
          </cell>
          <cell r="G517">
            <v>-3515</v>
          </cell>
          <cell r="H517">
            <v>-3987</v>
          </cell>
          <cell r="I517">
            <v>-3687</v>
          </cell>
          <cell r="J517">
            <v>-3538</v>
          </cell>
          <cell r="K517">
            <v>-4317</v>
          </cell>
          <cell r="L517">
            <v>-5747</v>
          </cell>
          <cell r="M517">
            <v>-6953</v>
          </cell>
        </row>
        <row r="518">
          <cell r="K518"/>
          <cell r="L518"/>
          <cell r="M518"/>
        </row>
        <row r="519">
          <cell r="A519" t="str">
            <v>Shareholders funds</v>
          </cell>
          <cell r="B519"/>
          <cell r="C519"/>
          <cell r="D519"/>
          <cell r="E519"/>
          <cell r="F519"/>
          <cell r="G519"/>
          <cell r="H519"/>
          <cell r="I519"/>
          <cell r="J519"/>
          <cell r="K519"/>
          <cell r="L519"/>
          <cell r="M519"/>
        </row>
        <row r="520">
          <cell r="A520" t="str">
            <v>Capital stock</v>
          </cell>
          <cell r="E520">
            <v>807</v>
          </cell>
          <cell r="F520">
            <v>809</v>
          </cell>
          <cell r="G520">
            <v>811</v>
          </cell>
          <cell r="H520">
            <v>813</v>
          </cell>
          <cell r="I520">
            <v>810</v>
          </cell>
          <cell r="J520">
            <v>810</v>
          </cell>
          <cell r="K520">
            <v>818</v>
          </cell>
          <cell r="L520">
            <v>816</v>
          </cell>
          <cell r="M520">
            <v>814</v>
          </cell>
        </row>
        <row r="521">
          <cell r="A521" t="str">
            <v>Reserves</v>
          </cell>
          <cell r="E521">
            <v>9359</v>
          </cell>
          <cell r="F521">
            <v>10346</v>
          </cell>
          <cell r="G521">
            <v>9658</v>
          </cell>
          <cell r="H521">
            <v>9589</v>
          </cell>
          <cell r="I521">
            <v>10254</v>
          </cell>
          <cell r="J521">
            <v>7899</v>
          </cell>
          <cell r="K521">
            <v>9371</v>
          </cell>
          <cell r="L521">
            <v>7593</v>
          </cell>
          <cell r="M521">
            <v>7406</v>
          </cell>
        </row>
        <row r="522">
          <cell r="A522" t="str">
            <v>Accumulated other comprehensive income</v>
          </cell>
          <cell r="E522">
            <v>84</v>
          </cell>
          <cell r="F522">
            <v>-1278</v>
          </cell>
          <cell r="G522">
            <v>2452</v>
          </cell>
          <cell r="H522">
            <v>5934</v>
          </cell>
          <cell r="I522">
            <v>6086</v>
          </cell>
          <cell r="J522">
            <v>7678</v>
          </cell>
          <cell r="K522">
            <v>3982</v>
          </cell>
          <cell r="L522">
            <v>4955</v>
          </cell>
          <cell r="M522">
            <v>5076</v>
          </cell>
        </row>
        <row r="523">
          <cell r="A523" t="str">
            <v>Treasury shares</v>
          </cell>
          <cell r="E523">
            <v>0</v>
          </cell>
          <cell r="F523">
            <v>0</v>
          </cell>
          <cell r="G523">
            <v>-156</v>
          </cell>
          <cell r="H523">
            <v>-187</v>
          </cell>
          <cell r="I523">
            <v>-177</v>
          </cell>
          <cell r="J523">
            <v>-177</v>
          </cell>
          <cell r="K523">
            <v>-445</v>
          </cell>
          <cell r="L523">
            <v>-349</v>
          </cell>
          <cell r="M523">
            <v>-206</v>
          </cell>
        </row>
        <row r="524">
          <cell r="A524" t="str">
            <v>Reported shareholders funds (IFRS)</v>
          </cell>
          <cell r="B524"/>
          <cell r="C524">
            <v>9763</v>
          </cell>
          <cell r="D524">
            <v>8123</v>
          </cell>
          <cell r="E524">
            <v>10250</v>
          </cell>
          <cell r="F524">
            <v>9877</v>
          </cell>
          <cell r="G524">
            <v>12765</v>
          </cell>
          <cell r="H524">
            <v>16149</v>
          </cell>
          <cell r="I524">
            <v>16973</v>
          </cell>
          <cell r="J524">
            <v>16210</v>
          </cell>
          <cell r="K524">
            <v>13726</v>
          </cell>
          <cell r="L524">
            <v>13015</v>
          </cell>
          <cell r="M524">
            <v>13090</v>
          </cell>
        </row>
        <row r="525">
          <cell r="A525"/>
          <cell r="B525"/>
          <cell r="C525"/>
          <cell r="D525"/>
          <cell r="E525"/>
          <cell r="F525"/>
          <cell r="G525"/>
          <cell r="H525"/>
          <cell r="I525"/>
          <cell r="J525"/>
          <cell r="K525"/>
          <cell r="L525"/>
          <cell r="M525"/>
        </row>
        <row r="526">
          <cell r="A526" t="str">
            <v>Cumulative PPA written-off</v>
          </cell>
          <cell r="B526">
            <v>0</v>
          </cell>
          <cell r="C526">
            <v>0</v>
          </cell>
          <cell r="D526">
            <v>0</v>
          </cell>
          <cell r="E526">
            <v>659</v>
          </cell>
          <cell r="F526">
            <v>1194</v>
          </cell>
          <cell r="G526">
            <v>1437</v>
          </cell>
          <cell r="H526">
            <v>1666</v>
          </cell>
          <cell r="I526">
            <v>1883</v>
          </cell>
          <cell r="J526">
            <v>1883</v>
          </cell>
          <cell r="K526">
            <v>2019</v>
          </cell>
          <cell r="L526">
            <v>2076</v>
          </cell>
          <cell r="M526">
            <v>2125</v>
          </cell>
        </row>
        <row r="527">
          <cell r="A527" t="str">
            <v>Cumulative goodwill written-off</v>
          </cell>
          <cell r="B527">
            <v>403</v>
          </cell>
          <cell r="C527">
            <v>813</v>
          </cell>
          <cell r="D527">
            <v>1211</v>
          </cell>
          <cell r="E527">
            <v>1640</v>
          </cell>
          <cell r="F527">
            <v>3421</v>
          </cell>
          <cell r="G527">
            <v>4357</v>
          </cell>
          <cell r="H527">
            <v>4924</v>
          </cell>
          <cell r="I527">
            <v>4924</v>
          </cell>
          <cell r="J527">
            <v>4924</v>
          </cell>
          <cell r="K527">
            <v>4928</v>
          </cell>
          <cell r="L527">
            <v>4928</v>
          </cell>
          <cell r="M527">
            <v>4928</v>
          </cell>
        </row>
        <row r="528">
          <cell r="A528" t="str">
            <v>Goldman adjusted shareholders funds</v>
          </cell>
          <cell r="B528">
            <v>403</v>
          </cell>
          <cell r="C528">
            <v>10576</v>
          </cell>
          <cell r="D528">
            <v>9334</v>
          </cell>
          <cell r="E528">
            <v>12549</v>
          </cell>
          <cell r="F528">
            <v>14492</v>
          </cell>
          <cell r="G528">
            <v>18559</v>
          </cell>
          <cell r="H528">
            <v>22739</v>
          </cell>
          <cell r="I528">
            <v>23780</v>
          </cell>
          <cell r="J528">
            <v>23017</v>
          </cell>
          <cell r="K528">
            <v>20673</v>
          </cell>
          <cell r="L528">
            <v>20019</v>
          </cell>
          <cell r="M528">
            <v>20143</v>
          </cell>
        </row>
        <row r="529">
          <cell r="A529"/>
          <cell r="B529"/>
          <cell r="C529"/>
          <cell r="D529"/>
          <cell r="E529"/>
          <cell r="F529"/>
          <cell r="G529"/>
          <cell r="H529"/>
          <cell r="I529"/>
          <cell r="J529"/>
          <cell r="K529"/>
          <cell r="L529"/>
          <cell r="M529"/>
        </row>
        <row r="530">
          <cell r="A530" t="str">
            <v>Minorities</v>
          </cell>
          <cell r="C530">
            <v>104</v>
          </cell>
          <cell r="D530">
            <v>159</v>
          </cell>
          <cell r="E530">
            <v>221</v>
          </cell>
          <cell r="F530">
            <v>559</v>
          </cell>
          <cell r="G530">
            <v>1361</v>
          </cell>
          <cell r="H530">
            <v>2179</v>
          </cell>
          <cell r="I530">
            <v>2370</v>
          </cell>
          <cell r="J530">
            <v>144</v>
          </cell>
          <cell r="K530">
            <v>176</v>
          </cell>
          <cell r="L530">
            <v>137</v>
          </cell>
          <cell r="M530">
            <v>85</v>
          </cell>
        </row>
        <row r="532">
          <cell r="A532" t="str">
            <v>Total assets</v>
          </cell>
          <cell r="B532"/>
          <cell r="C532">
            <v>33982</v>
          </cell>
          <cell r="D532">
            <v>35640</v>
          </cell>
          <cell r="E532">
            <v>41444</v>
          </cell>
          <cell r="F532">
            <v>48715</v>
          </cell>
          <cell r="G532">
            <v>47400</v>
          </cell>
          <cell r="H532">
            <v>54378</v>
          </cell>
          <cell r="I532">
            <v>58267</v>
          </cell>
          <cell r="J532">
            <v>68163</v>
          </cell>
          <cell r="K532">
            <v>70385</v>
          </cell>
          <cell r="L532">
            <v>72137</v>
          </cell>
          <cell r="M532">
            <v>75456</v>
          </cell>
        </row>
        <row r="533">
          <cell r="A533" t="str">
            <v>Total liabilities</v>
          </cell>
          <cell r="B533"/>
          <cell r="C533">
            <v>-33982</v>
          </cell>
          <cell r="D533">
            <v>-35640</v>
          </cell>
          <cell r="E533">
            <v>-41444</v>
          </cell>
          <cell r="F533">
            <v>-48715</v>
          </cell>
          <cell r="G533">
            <v>-47400</v>
          </cell>
          <cell r="H533">
            <v>-54378</v>
          </cell>
          <cell r="I533">
            <v>-58267</v>
          </cell>
          <cell r="J533">
            <v>-68163</v>
          </cell>
          <cell r="K533">
            <v>-70385</v>
          </cell>
          <cell r="L533">
            <v>-72137</v>
          </cell>
          <cell r="M533">
            <v>-75456</v>
          </cell>
        </row>
        <row r="534">
          <cell r="A534" t="str">
            <v>Total assets and liabilities (including goodwill written-off)</v>
          </cell>
          <cell r="B534"/>
          <cell r="C534">
            <v>34795</v>
          </cell>
          <cell r="D534">
            <v>36851</v>
          </cell>
          <cell r="E534">
            <v>43084</v>
          </cell>
          <cell r="F534">
            <v>52136</v>
          </cell>
          <cell r="G534">
            <v>51757</v>
          </cell>
          <cell r="H534">
            <v>59302</v>
          </cell>
          <cell r="I534">
            <v>63191</v>
          </cell>
          <cell r="J534">
            <v>73087</v>
          </cell>
          <cell r="K534">
            <v>75313</v>
          </cell>
          <cell r="L534">
            <v>77065</v>
          </cell>
          <cell r="M534">
            <v>80384</v>
          </cell>
        </row>
        <row r="535">
          <cell r="A535"/>
          <cell r="B535"/>
          <cell r="C535"/>
          <cell r="D535"/>
          <cell r="E535"/>
          <cell r="F535"/>
          <cell r="G535"/>
          <cell r="H535"/>
          <cell r="I535"/>
          <cell r="J535"/>
          <cell r="K535"/>
          <cell r="L535"/>
          <cell r="M535"/>
        </row>
        <row r="536">
          <cell r="A536" t="str">
            <v>Balance sheet checking line</v>
          </cell>
          <cell r="B536"/>
          <cell r="C536">
            <v>0</v>
          </cell>
          <cell r="D536">
            <v>0</v>
          </cell>
          <cell r="E536">
            <v>0</v>
          </cell>
          <cell r="F536">
            <v>0</v>
          </cell>
          <cell r="G536">
            <v>0</v>
          </cell>
          <cell r="H536">
            <v>0</v>
          </cell>
          <cell r="I536">
            <v>0</v>
          </cell>
          <cell r="J536">
            <v>0</v>
          </cell>
          <cell r="K536">
            <v>0</v>
          </cell>
          <cell r="L536">
            <v>0</v>
          </cell>
          <cell r="M536">
            <v>0</v>
          </cell>
        </row>
        <row r="537">
          <cell r="A537"/>
          <cell r="B537"/>
          <cell r="C537"/>
          <cell r="D537"/>
          <cell r="E537"/>
          <cell r="F537"/>
          <cell r="G537"/>
          <cell r="H537"/>
          <cell r="I537"/>
          <cell r="J537"/>
          <cell r="K537"/>
          <cell r="L537"/>
          <cell r="M537"/>
        </row>
        <row r="538">
          <cell r="A538"/>
          <cell r="B538" t="str">
            <v>IAS</v>
          </cell>
          <cell r="C538" t="str">
            <v>IAS</v>
          </cell>
          <cell r="D538" t="str">
            <v>IAS</v>
          </cell>
          <cell r="E538" t="str">
            <v>IAS</v>
          </cell>
          <cell r="F538" t="str">
            <v>IAS</v>
          </cell>
          <cell r="G538" t="str">
            <v>IFRS</v>
          </cell>
          <cell r="H538" t="str">
            <v>IFRS</v>
          </cell>
          <cell r="I538" t="str">
            <v>IFRS</v>
          </cell>
          <cell r="J538" t="str">
            <v>IFRS</v>
          </cell>
          <cell r="K538" t="str">
            <v>IFRS</v>
          </cell>
          <cell r="L538" t="str">
            <v>IFRS</v>
          </cell>
          <cell r="M538" t="str">
            <v>IFRS</v>
          </cell>
        </row>
        <row r="539">
          <cell r="A539" t="str">
            <v>Summary Balance Sheet</v>
          </cell>
          <cell r="B539" t="str">
            <v>1997pf</v>
          </cell>
          <cell r="C539" t="str">
            <v>1998pf</v>
          </cell>
          <cell r="D539" t="str">
            <v>1999pf</v>
          </cell>
          <cell r="E539" t="str">
            <v>2000pf</v>
          </cell>
          <cell r="F539">
            <v>2001</v>
          </cell>
          <cell r="G539">
            <v>2002</v>
          </cell>
          <cell r="H539">
            <v>2003</v>
          </cell>
          <cell r="I539">
            <v>2004</v>
          </cell>
          <cell r="J539" t="str">
            <v>2004pf</v>
          </cell>
          <cell r="K539">
            <v>2005</v>
          </cell>
          <cell r="L539">
            <v>2006</v>
          </cell>
          <cell r="M539">
            <v>2007</v>
          </cell>
        </row>
        <row r="540">
          <cell r="A540"/>
          <cell r="B540"/>
          <cell r="C540"/>
          <cell r="D540"/>
          <cell r="E540"/>
          <cell r="F540"/>
          <cell r="G540"/>
          <cell r="H540"/>
          <cell r="I540"/>
          <cell r="J540"/>
          <cell r="K540"/>
          <cell r="L540"/>
          <cell r="M540"/>
        </row>
        <row r="541">
          <cell r="A541" t="str">
            <v>Intangible assets</v>
          </cell>
          <cell r="B541"/>
          <cell r="C541"/>
        </row>
        <row r="542">
          <cell r="A542" t="str">
            <v>Fixed assets</v>
          </cell>
          <cell r="B542"/>
          <cell r="C542"/>
        </row>
        <row r="543">
          <cell r="A543" t="str">
            <v>Net working capital</v>
          </cell>
          <cell r="B543"/>
          <cell r="C543"/>
        </row>
        <row r="544">
          <cell r="A544" t="str">
            <v>Investments / financial assets</v>
          </cell>
          <cell r="B544"/>
          <cell r="C544"/>
        </row>
        <row r="545">
          <cell r="A545" t="str">
            <v>Assets</v>
          </cell>
          <cell r="B545"/>
          <cell r="C545"/>
          <cell r="D545"/>
          <cell r="E545"/>
          <cell r="F545"/>
          <cell r="G545"/>
          <cell r="H545"/>
          <cell r="I545"/>
          <cell r="J545"/>
          <cell r="K545"/>
          <cell r="L545"/>
          <cell r="M545"/>
        </row>
        <row r="546">
          <cell r="A546"/>
          <cell r="B546"/>
          <cell r="C546"/>
          <cell r="I546"/>
          <cell r="J546"/>
          <cell r="K546"/>
          <cell r="L546"/>
          <cell r="M546"/>
        </row>
        <row r="547">
          <cell r="A547" t="str">
            <v>Provisions</v>
          </cell>
          <cell r="B547"/>
          <cell r="C547"/>
        </row>
        <row r="548">
          <cell r="A548" t="str">
            <v>Net debt / (cash)</v>
          </cell>
          <cell r="B548"/>
          <cell r="C548"/>
        </row>
        <row r="549">
          <cell r="A549" t="str">
            <v>Minorities</v>
          </cell>
          <cell r="B549"/>
          <cell r="C549"/>
        </row>
        <row r="550">
          <cell r="A550" t="str">
            <v>Reported shareholders funds (IFRS)</v>
          </cell>
        </row>
        <row r="551">
          <cell r="A551" t="str">
            <v>Liabilities</v>
          </cell>
          <cell r="B551"/>
          <cell r="C551"/>
          <cell r="D551"/>
          <cell r="E551"/>
          <cell r="F551"/>
          <cell r="G551"/>
          <cell r="H551"/>
          <cell r="I551"/>
          <cell r="J551"/>
          <cell r="K551"/>
          <cell r="L551"/>
          <cell r="M551"/>
        </row>
        <row r="552">
          <cell r="A552" t="str">
            <v>Cumulative goodwill written-off</v>
          </cell>
          <cell r="B552"/>
          <cell r="C552"/>
          <cell r="D552"/>
          <cell r="E552"/>
          <cell r="F552"/>
          <cell r="G552"/>
          <cell r="H552"/>
          <cell r="I552"/>
          <cell r="J552"/>
          <cell r="K552"/>
          <cell r="L552"/>
          <cell r="M552"/>
        </row>
      </sheetData>
      <sheetData sheetId="5"/>
      <sheetData sheetId="6">
        <row r="2">
          <cell r="C2">
            <v>1997</v>
          </cell>
        </row>
      </sheetData>
      <sheetData sheetId="7"/>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ow r="7">
          <cell r="B7" t="str">
            <v>Goldman earnings analysis</v>
          </cell>
          <cell r="C7">
            <v>2001</v>
          </cell>
          <cell r="D7">
            <v>2002</v>
          </cell>
          <cell r="E7">
            <v>2003</v>
          </cell>
          <cell r="F7">
            <v>2004</v>
          </cell>
          <cell r="G7" t="str">
            <v>2004pf</v>
          </cell>
          <cell r="H7">
            <v>2005</v>
          </cell>
          <cell r="I7">
            <v>2006</v>
          </cell>
          <cell r="J7">
            <v>2007</v>
          </cell>
          <cell r="K7">
            <v>2008</v>
          </cell>
          <cell r="L7">
            <v>2009</v>
          </cell>
          <cell r="M7">
            <v>2010</v>
          </cell>
          <cell r="N7">
            <v>2011</v>
          </cell>
          <cell r="O7" t="str">
            <v>2012E</v>
          </cell>
          <cell r="P7" t="str">
            <v>2013E</v>
          </cell>
          <cell r="Q7" t="str">
            <v>2014E</v>
          </cell>
          <cell r="R7" t="str">
            <v>2015E</v>
          </cell>
        </row>
        <row r="8">
          <cell r="B8"/>
          <cell r="C8"/>
          <cell r="D8"/>
          <cell r="E8"/>
          <cell r="F8"/>
          <cell r="G8"/>
          <cell r="H8"/>
          <cell r="I8"/>
          <cell r="J8"/>
          <cell r="K8"/>
          <cell r="L8"/>
          <cell r="M8"/>
          <cell r="N8"/>
          <cell r="O8"/>
          <cell r="P8"/>
          <cell r="Q8"/>
          <cell r="R8"/>
        </row>
        <row r="9">
          <cell r="B9"/>
          <cell r="C9"/>
          <cell r="D9"/>
          <cell r="E9"/>
          <cell r="F9"/>
          <cell r="G9"/>
          <cell r="H9"/>
          <cell r="I9"/>
          <cell r="J9"/>
          <cell r="K9"/>
          <cell r="L9"/>
          <cell r="M9"/>
          <cell r="N9"/>
          <cell r="O9"/>
          <cell r="P9"/>
          <cell r="Q9"/>
          <cell r="R9"/>
        </row>
        <row r="10">
          <cell r="B10" t="str">
            <v>Goldman calculation of Adjusted EPS</v>
          </cell>
          <cell r="C10">
            <v>2001</v>
          </cell>
          <cell r="D10">
            <v>2002</v>
          </cell>
          <cell r="E10">
            <v>2003</v>
          </cell>
          <cell r="F10">
            <v>2004</v>
          </cell>
          <cell r="G10" t="str">
            <v>2004pf</v>
          </cell>
          <cell r="H10">
            <v>2005</v>
          </cell>
          <cell r="I10">
            <v>2006</v>
          </cell>
          <cell r="J10">
            <v>2007</v>
          </cell>
          <cell r="K10">
            <v>2008</v>
          </cell>
          <cell r="L10">
            <v>2009</v>
          </cell>
          <cell r="M10">
            <v>2010</v>
          </cell>
          <cell r="N10">
            <v>2011</v>
          </cell>
          <cell r="O10" t="str">
            <v>2012E</v>
          </cell>
          <cell r="P10" t="str">
            <v>2013E</v>
          </cell>
          <cell r="Q10" t="str">
            <v>2014E</v>
          </cell>
          <cell r="R10" t="str">
            <v>2015E</v>
          </cell>
        </row>
        <row r="11">
          <cell r="B11"/>
          <cell r="C11"/>
          <cell r="D11"/>
          <cell r="E11"/>
          <cell r="F11"/>
          <cell r="G11"/>
          <cell r="H11"/>
          <cell r="I11"/>
          <cell r="J11"/>
          <cell r="K11"/>
          <cell r="L11"/>
          <cell r="M11"/>
          <cell r="N11"/>
          <cell r="O11"/>
          <cell r="P11"/>
          <cell r="Q11"/>
          <cell r="R11"/>
        </row>
        <row r="12">
          <cell r="B12" t="str">
            <v>EADS defined underlying PTP (pre-one-offs from 2010)</v>
          </cell>
          <cell r="C12">
            <v>1523</v>
          </cell>
          <cell r="D12">
            <v>1366</v>
          </cell>
          <cell r="E12">
            <v>1488</v>
          </cell>
          <cell r="F12">
            <v>2114</v>
          </cell>
          <cell r="G12">
            <v>2102</v>
          </cell>
          <cell r="H12">
            <v>2675</v>
          </cell>
          <cell r="I12">
            <v>155</v>
          </cell>
          <cell r="J12">
            <v>-685</v>
          </cell>
          <cell r="K12">
            <v>2358</v>
          </cell>
          <cell r="L12">
            <v>-914</v>
          </cell>
          <cell r="M12">
            <v>932</v>
          </cell>
          <cell r="N12">
            <v>1515</v>
          </cell>
          <cell r="O12">
            <v>2415.6864956953827</v>
          </cell>
          <cell r="P12">
            <v>3146.9503652116755</v>
          </cell>
          <cell r="Q12">
            <v>4024.561234948038</v>
          </cell>
          <cell r="R12">
            <v>4752.9795385256548</v>
          </cell>
        </row>
        <row r="13">
          <cell r="B13" t="str">
            <v>Deduct capital gains included in EBITA</v>
          </cell>
          <cell r="C13">
            <v>0</v>
          </cell>
          <cell r="D13">
            <v>-63</v>
          </cell>
          <cell r="E13">
            <v>0</v>
          </cell>
          <cell r="F13">
            <v>0</v>
          </cell>
          <cell r="G13">
            <v>0</v>
          </cell>
          <cell r="H13">
            <v>0</v>
          </cell>
          <cell r="I13">
            <v>-127</v>
          </cell>
          <cell r="J13">
            <v>-111</v>
          </cell>
          <cell r="K13">
            <v>0</v>
          </cell>
          <cell r="L13">
            <v>-33</v>
          </cell>
          <cell r="M13">
            <v>0</v>
          </cell>
          <cell r="N13">
            <v>0</v>
          </cell>
          <cell r="O13">
            <v>0</v>
          </cell>
          <cell r="P13">
            <v>0</v>
          </cell>
          <cell r="Q13">
            <v>0</v>
          </cell>
          <cell r="R13">
            <v>0</v>
          </cell>
        </row>
        <row r="14">
          <cell r="B14" t="str">
            <v>Adjust for net capitalised R&amp;D</v>
          </cell>
          <cell r="C14">
            <v>0</v>
          </cell>
          <cell r="D14">
            <v>0</v>
          </cell>
          <cell r="E14">
            <v>-4</v>
          </cell>
          <cell r="F14">
            <v>-165</v>
          </cell>
          <cell r="G14">
            <v>-165</v>
          </cell>
          <cell r="H14">
            <v>-291</v>
          </cell>
          <cell r="I14">
            <v>-404</v>
          </cell>
          <cell r="J14">
            <v>-47</v>
          </cell>
          <cell r="K14">
            <v>-31</v>
          </cell>
          <cell r="L14">
            <v>93</v>
          </cell>
          <cell r="M14">
            <v>-111</v>
          </cell>
          <cell r="N14">
            <v>19</v>
          </cell>
          <cell r="O14">
            <v>-419.45</v>
          </cell>
          <cell r="P14">
            <v>-304.45</v>
          </cell>
          <cell r="Q14">
            <v>-289.45</v>
          </cell>
          <cell r="R14">
            <v>-176.95</v>
          </cell>
        </row>
        <row r="15">
          <cell r="B15" t="str">
            <v>Goldman defined Clean PTP</v>
          </cell>
          <cell r="C15">
            <v>1523</v>
          </cell>
          <cell r="D15">
            <v>1303</v>
          </cell>
          <cell r="E15">
            <v>1484</v>
          </cell>
          <cell r="F15">
            <v>1949</v>
          </cell>
          <cell r="G15">
            <v>1937</v>
          </cell>
          <cell r="H15">
            <v>2384</v>
          </cell>
          <cell r="I15">
            <v>-376</v>
          </cell>
          <cell r="J15">
            <v>-843</v>
          </cell>
          <cell r="K15">
            <v>2327</v>
          </cell>
          <cell r="L15">
            <v>-854</v>
          </cell>
          <cell r="M15">
            <v>738</v>
          </cell>
          <cell r="N15">
            <v>1127</v>
          </cell>
          <cell r="O15">
            <v>856.2364956953827</v>
          </cell>
          <cell r="P15">
            <v>1792.5003652116754</v>
          </cell>
          <cell r="Q15">
            <v>2835.1112349480381</v>
          </cell>
          <cell r="R15">
            <v>4376.029538525655</v>
          </cell>
        </row>
        <row r="16">
          <cell r="B16" t="str">
            <v>Underlying tax rate (as per EADS)</v>
          </cell>
          <cell r="C16">
            <v>-0.54366382140512148</v>
          </cell>
          <cell r="D16">
            <v>-0.39604685212298685</v>
          </cell>
          <cell r="E16">
            <v>-0.37432795698924731</v>
          </cell>
          <cell r="F16">
            <v>-0.35099337748344372</v>
          </cell>
          <cell r="G16">
            <v>-0.35299714557564227</v>
          </cell>
          <cell r="H16">
            <v>-0.32598130841121498</v>
          </cell>
          <cell r="I16">
            <v>0.38709677419354838</v>
          </cell>
          <cell r="J16">
            <v>-0.381021897810219</v>
          </cell>
          <cell r="K16">
            <v>-0.30534351145038169</v>
          </cell>
          <cell r="L16">
            <v>-0.22210065645514224</v>
          </cell>
          <cell r="M16">
            <v>-0.29721030042918456</v>
          </cell>
          <cell r="N16">
            <v>-0.25346534653465347</v>
          </cell>
          <cell r="O16">
            <v>-0.30499999999999994</v>
          </cell>
          <cell r="P16">
            <v>-0.30499999999999999</v>
          </cell>
          <cell r="Q16">
            <v>-0.30499999999999999</v>
          </cell>
          <cell r="R16">
            <v>-0.30499999999999999</v>
          </cell>
        </row>
        <row r="17">
          <cell r="B17" t="str">
            <v>Less Goldman defined tax</v>
          </cell>
          <cell r="C17">
            <v>-828</v>
          </cell>
          <cell r="D17">
            <v>-516.04904831625186</v>
          </cell>
          <cell r="E17">
            <v>-555.50268817204301</v>
          </cell>
          <cell r="F17">
            <v>-684.08609271523187</v>
          </cell>
          <cell r="G17">
            <v>-683.75547098001903</v>
          </cell>
          <cell r="H17">
            <v>-777.1394392523365</v>
          </cell>
          <cell r="I17">
            <v>-145.54838709677418</v>
          </cell>
          <cell r="J17">
            <v>321.20145985401462</v>
          </cell>
          <cell r="K17">
            <v>-710.53435114503816</v>
          </cell>
          <cell r="L17">
            <v>189.67396061269147</v>
          </cell>
          <cell r="M17">
            <v>-219.3412017167382</v>
          </cell>
          <cell r="N17">
            <v>-285.65544554455448</v>
          </cell>
          <cell r="O17">
            <v>-261.1521311870917</v>
          </cell>
          <cell r="P17">
            <v>-546.71261138956095</v>
          </cell>
          <cell r="Q17">
            <v>-864.70892665915164</v>
          </cell>
          <cell r="R17">
            <v>-1334.6890092503247</v>
          </cell>
        </row>
        <row r="18">
          <cell r="B18" t="str">
            <v>Goldman adjusted Minority charge</v>
          </cell>
          <cell r="C18">
            <v>-137.0676296782666</v>
          </cell>
          <cell r="D18">
            <v>-119.19253294289896</v>
          </cell>
          <cell r="E18">
            <v>-125.12580645161292</v>
          </cell>
          <cell r="F18">
            <v>-204.26490066225165</v>
          </cell>
          <cell r="G18">
            <v>-203.30161750713603</v>
          </cell>
          <cell r="H18">
            <v>-305.76433644859816</v>
          </cell>
          <cell r="I18">
            <v>140.04838709677421</v>
          </cell>
          <cell r="J18">
            <v>-9</v>
          </cell>
          <cell r="K18">
            <v>-25</v>
          </cell>
          <cell r="L18">
            <v>-11</v>
          </cell>
          <cell r="M18">
            <v>-19</v>
          </cell>
          <cell r="N18">
            <v>-4</v>
          </cell>
          <cell r="O18">
            <v>-10</v>
          </cell>
          <cell r="P18">
            <v>-10.700000000000001</v>
          </cell>
          <cell r="Q18">
            <v>-11.449000000000002</v>
          </cell>
          <cell r="R18">
            <v>-12.250430000000003</v>
          </cell>
        </row>
        <row r="19">
          <cell r="B19" t="str">
            <v>Goldman defined Clean Net Income</v>
          </cell>
          <cell r="C19">
            <v>557.9323703217334</v>
          </cell>
          <cell r="D19">
            <v>667.75841874084915</v>
          </cell>
          <cell r="E19">
            <v>803.37150537634409</v>
          </cell>
          <cell r="F19">
            <v>1060.6490066225165</v>
          </cell>
          <cell r="G19">
            <v>1049.9429115128451</v>
          </cell>
          <cell r="H19">
            <v>1301.0962242990652</v>
          </cell>
          <cell r="I19">
            <v>-381.49999999999994</v>
          </cell>
          <cell r="J19">
            <v>-530.79854014598538</v>
          </cell>
          <cell r="K19">
            <v>1591.4656488549617</v>
          </cell>
          <cell r="L19">
            <v>-675.32603938730858</v>
          </cell>
          <cell r="M19">
            <v>499.65879828326183</v>
          </cell>
          <cell r="N19">
            <v>837.34455445544552</v>
          </cell>
          <cell r="O19">
            <v>585.08436450829095</v>
          </cell>
          <cell r="P19">
            <v>1235.0877538221146</v>
          </cell>
          <cell r="Q19">
            <v>1958.9533082888865</v>
          </cell>
          <cell r="R19">
            <v>3029.0900992753304</v>
          </cell>
        </row>
        <row r="20">
          <cell r="B20" t="str">
            <v>Goldman defined Clean EPS (€)</v>
          </cell>
          <cell r="C20">
            <v>0.69111262033549092</v>
          </cell>
          <cell r="D20">
            <v>0.83042445159205591</v>
          </cell>
          <cell r="E20">
            <v>1.003014525594188</v>
          </cell>
          <cell r="F20">
            <v>1.3240981483693988</v>
          </cell>
          <cell r="G20">
            <v>1.3107328214587333</v>
          </cell>
          <cell r="H20">
            <v>1.6371463459810063</v>
          </cell>
          <cell r="I20">
            <v>-0.47676465043783284</v>
          </cell>
          <cell r="J20">
            <v>-0.66091381957051831</v>
          </cell>
          <cell r="K20">
            <v>1.9721281982659689</v>
          </cell>
          <cell r="L20">
            <v>-0.8340461667241087</v>
          </cell>
          <cell r="M20">
            <v>0.61633514702316039</v>
          </cell>
          <cell r="N20">
            <v>1.0305686691335199</v>
          </cell>
          <cell r="O20">
            <v>0.71613753305788364</v>
          </cell>
          <cell r="P20">
            <v>1.5098374492739701</v>
          </cell>
          <cell r="Q20">
            <v>2.3947294895287947</v>
          </cell>
          <cell r="R20">
            <v>3.7029220433591945</v>
          </cell>
        </row>
        <row r="21">
          <cell r="B21" t="str">
            <v>Goldman defined Clean EPS  as a % of EADS defined underlying EPS</v>
          </cell>
          <cell r="C21">
            <v>0.68965682363625891</v>
          </cell>
          <cell r="D21">
            <v>0.9594230154322545</v>
          </cell>
          <cell r="E21">
            <v>1.0446963658990169</v>
          </cell>
          <cell r="F21">
            <v>0.92070226269315669</v>
          </cell>
          <cell r="G21">
            <v>0.78237176714817069</v>
          </cell>
          <cell r="H21">
            <v>0.73549814827533366</v>
          </cell>
          <cell r="I21" t="str">
            <v>n/a</v>
          </cell>
          <cell r="J21" t="str">
            <v>n/a</v>
          </cell>
          <cell r="K21">
            <v>0.98664950331987711</v>
          </cell>
          <cell r="L21">
            <v>0.93535462519017798</v>
          </cell>
          <cell r="M21">
            <v>0.78562704132588346</v>
          </cell>
          <cell r="N21">
            <v>0.74298540768007593</v>
          </cell>
          <cell r="O21">
            <v>0.35058039619098597</v>
          </cell>
          <cell r="P21">
            <v>0.56748320318665291</v>
          </cell>
          <cell r="Q21">
            <v>0.70323754283082773</v>
          </cell>
          <cell r="R21">
            <v>0.92039664236965157</v>
          </cell>
        </row>
        <row r="22">
          <cell r="B22"/>
          <cell r="C22"/>
          <cell r="D22"/>
          <cell r="E22"/>
          <cell r="F22"/>
          <cell r="G22"/>
          <cell r="H22"/>
          <cell r="I22"/>
          <cell r="J22"/>
          <cell r="K22"/>
          <cell r="L22"/>
          <cell r="M22"/>
          <cell r="N22"/>
          <cell r="O22"/>
          <cell r="P22"/>
          <cell r="Q22"/>
          <cell r="R22"/>
        </row>
        <row r="23">
          <cell r="B23" t="str">
            <v>Goldman calculation of Economic EBITA and NOPLAT</v>
          </cell>
          <cell r="C23">
            <v>2001</v>
          </cell>
          <cell r="D23">
            <v>2002</v>
          </cell>
          <cell r="E23">
            <v>2003</v>
          </cell>
          <cell r="F23">
            <v>2004</v>
          </cell>
          <cell r="G23" t="str">
            <v>2004pf</v>
          </cell>
          <cell r="H23">
            <v>2005</v>
          </cell>
          <cell r="I23">
            <v>2006</v>
          </cell>
          <cell r="J23">
            <v>2007</v>
          </cell>
          <cell r="K23">
            <v>2008</v>
          </cell>
          <cell r="L23">
            <v>2009</v>
          </cell>
          <cell r="M23">
            <v>2010</v>
          </cell>
          <cell r="N23">
            <v>2011</v>
          </cell>
          <cell r="O23" t="str">
            <v>2012E</v>
          </cell>
          <cell r="P23" t="str">
            <v>2013E</v>
          </cell>
          <cell r="Q23" t="str">
            <v>2014E</v>
          </cell>
          <cell r="R23" t="str">
            <v>2015E</v>
          </cell>
        </row>
        <row r="24">
          <cell r="B24"/>
          <cell r="C24"/>
          <cell r="D24"/>
          <cell r="E24"/>
          <cell r="F24"/>
          <cell r="G24"/>
          <cell r="H24"/>
          <cell r="I24"/>
          <cell r="J24"/>
          <cell r="K24"/>
          <cell r="L24"/>
          <cell r="M24"/>
          <cell r="N24"/>
          <cell r="O24"/>
          <cell r="P24"/>
          <cell r="Q24"/>
          <cell r="R24"/>
        </row>
        <row r="25">
          <cell r="B25" t="str">
            <v>EADS defined underlying EBITA (group level)</v>
          </cell>
          <cell r="C25">
            <v>1694</v>
          </cell>
          <cell r="D25">
            <v>1426</v>
          </cell>
          <cell r="E25">
            <v>1543</v>
          </cell>
          <cell r="F25">
            <v>2444</v>
          </cell>
          <cell r="G25">
            <v>2432</v>
          </cell>
          <cell r="H25">
            <v>2852</v>
          </cell>
          <cell r="I25">
            <v>399</v>
          </cell>
          <cell r="J25">
            <v>52</v>
          </cell>
          <cell r="K25">
            <v>2830</v>
          </cell>
          <cell r="L25">
            <v>-322</v>
          </cell>
          <cell r="M25">
            <v>1344</v>
          </cell>
          <cell r="N25">
            <v>1794</v>
          </cell>
          <cell r="O25">
            <v>2778.5003251338644</v>
          </cell>
          <cell r="P25">
            <v>3460.7172807747797</v>
          </cell>
          <cell r="Q25">
            <v>4283.3499958942857</v>
          </cell>
          <cell r="R25">
            <v>4944.8691035573156</v>
          </cell>
        </row>
        <row r="26">
          <cell r="B26" t="str">
            <v>Deduct investments and associates (as included in EBITA)</v>
          </cell>
          <cell r="C26">
            <v>342</v>
          </cell>
          <cell r="D26">
            <v>-87</v>
          </cell>
          <cell r="E26">
            <v>-186</v>
          </cell>
          <cell r="F26">
            <v>-84</v>
          </cell>
          <cell r="G26">
            <v>-84</v>
          </cell>
          <cell r="H26">
            <v>-225</v>
          </cell>
          <cell r="I26">
            <v>-189</v>
          </cell>
          <cell r="J26">
            <v>-296</v>
          </cell>
          <cell r="K26">
            <v>-211</v>
          </cell>
          <cell r="L26">
            <v>-134</v>
          </cell>
          <cell r="M26">
            <v>-145</v>
          </cell>
          <cell r="N26">
            <v>-192</v>
          </cell>
          <cell r="O26">
            <v>-208.90000000000003</v>
          </cell>
          <cell r="P26">
            <v>-227.37500000000006</v>
          </cell>
          <cell r="Q26">
            <v>-247.57675000000009</v>
          </cell>
          <cell r="R26">
            <v>-269.67188750000014</v>
          </cell>
        </row>
        <row r="27">
          <cell r="B27" t="str">
            <v>Deduct capital gains included in EBITA</v>
          </cell>
          <cell r="C27">
            <v>0</v>
          </cell>
          <cell r="D27">
            <v>-63</v>
          </cell>
          <cell r="E27">
            <v>0</v>
          </cell>
          <cell r="F27">
            <v>0</v>
          </cell>
          <cell r="G27">
            <v>0</v>
          </cell>
          <cell r="H27">
            <v>0</v>
          </cell>
          <cell r="I27">
            <v>-127</v>
          </cell>
          <cell r="J27">
            <v>-111</v>
          </cell>
          <cell r="K27">
            <v>0</v>
          </cell>
          <cell r="L27">
            <v>-33</v>
          </cell>
          <cell r="M27">
            <v>0</v>
          </cell>
          <cell r="N27">
            <v>0</v>
          </cell>
          <cell r="O27">
            <v>0</v>
          </cell>
          <cell r="P27">
            <v>0</v>
          </cell>
          <cell r="Q27">
            <v>0</v>
          </cell>
          <cell r="R27">
            <v>0</v>
          </cell>
        </row>
        <row r="28">
          <cell r="B28" t="str">
            <v>Adjust for net capitalised R&amp;D</v>
          </cell>
          <cell r="C28"/>
          <cell r="D28"/>
          <cell r="E28">
            <v>-4</v>
          </cell>
          <cell r="F28">
            <v>-165</v>
          </cell>
          <cell r="G28">
            <v>-165</v>
          </cell>
          <cell r="H28">
            <v>-291</v>
          </cell>
          <cell r="I28">
            <v>-404</v>
          </cell>
          <cell r="J28">
            <v>-47</v>
          </cell>
          <cell r="K28">
            <v>-31</v>
          </cell>
          <cell r="L28">
            <v>93</v>
          </cell>
          <cell r="M28">
            <v>-111</v>
          </cell>
          <cell r="N28">
            <v>19</v>
          </cell>
          <cell r="O28">
            <v>-419.45</v>
          </cell>
          <cell r="P28">
            <v>-304.45</v>
          </cell>
          <cell r="Q28">
            <v>-289.45</v>
          </cell>
          <cell r="R28">
            <v>-176.95</v>
          </cell>
        </row>
        <row r="29">
          <cell r="B29" t="str">
            <v>Goldman defined Clean EBITA (subsidiary level)</v>
          </cell>
          <cell r="C29">
            <v>2036</v>
          </cell>
          <cell r="D29">
            <v>1276</v>
          </cell>
          <cell r="E29">
            <v>1353</v>
          </cell>
          <cell r="F29">
            <v>2195</v>
          </cell>
          <cell r="G29">
            <v>2183</v>
          </cell>
          <cell r="H29">
            <v>2336</v>
          </cell>
          <cell r="I29">
            <v>-321</v>
          </cell>
          <cell r="J29">
            <v>-402</v>
          </cell>
          <cell r="K29">
            <v>2588</v>
          </cell>
          <cell r="L29">
            <v>-396</v>
          </cell>
          <cell r="M29">
            <v>1005</v>
          </cell>
          <cell r="N29">
            <v>1214</v>
          </cell>
          <cell r="O29">
            <v>1010.1503251338643</v>
          </cell>
          <cell r="P29">
            <v>1878.8922807747797</v>
          </cell>
          <cell r="Q29">
            <v>2846.3232458942857</v>
          </cell>
          <cell r="R29">
            <v>4298.2472160573152</v>
          </cell>
        </row>
        <row r="30">
          <cell r="B30" t="str">
            <v>Add estimated interest income on excess customer prepayments</v>
          </cell>
          <cell r="C30">
            <v>180.36</v>
          </cell>
          <cell r="D30">
            <v>143.12</v>
          </cell>
          <cell r="E30">
            <v>152.28</v>
          </cell>
          <cell r="F30">
            <v>118.12135500000001</v>
          </cell>
          <cell r="G30">
            <v>127.6275</v>
          </cell>
          <cell r="H30">
            <v>161.941845</v>
          </cell>
          <cell r="I30">
            <v>231.1637216</v>
          </cell>
          <cell r="J30">
            <v>342.07920000000001</v>
          </cell>
          <cell r="K30">
            <v>180</v>
          </cell>
          <cell r="L30">
            <v>150</v>
          </cell>
          <cell r="M30">
            <v>162.5</v>
          </cell>
          <cell r="N30">
            <v>225</v>
          </cell>
          <cell r="O30">
            <v>240.625</v>
          </cell>
          <cell r="P30">
            <v>256.25</v>
          </cell>
          <cell r="Q30">
            <v>271.875</v>
          </cell>
          <cell r="R30">
            <v>275</v>
          </cell>
        </row>
        <row r="31">
          <cell r="B31" t="str">
            <v>Add back net pension fin. costs which EADS includes in EBITA</v>
          </cell>
          <cell r="C31">
            <v>173</v>
          </cell>
          <cell r="D31">
            <v>195</v>
          </cell>
          <cell r="E31">
            <v>237</v>
          </cell>
          <cell r="F31">
            <v>202</v>
          </cell>
          <cell r="G31">
            <v>202</v>
          </cell>
          <cell r="H31">
            <v>224</v>
          </cell>
          <cell r="I31">
            <v>172</v>
          </cell>
          <cell r="J31">
            <v>169</v>
          </cell>
          <cell r="K31">
            <v>171</v>
          </cell>
          <cell r="L31">
            <v>229</v>
          </cell>
          <cell r="M31">
            <v>211</v>
          </cell>
          <cell r="N31">
            <v>134</v>
          </cell>
          <cell r="O31">
            <v>134</v>
          </cell>
          <cell r="P31">
            <v>134</v>
          </cell>
          <cell r="Q31">
            <v>134</v>
          </cell>
          <cell r="R31">
            <v>134</v>
          </cell>
        </row>
        <row r="32">
          <cell r="B32" t="str">
            <v>Goldman defined Economic EBITA (subsidiary level)</v>
          </cell>
          <cell r="C32">
            <v>2441.395</v>
          </cell>
          <cell r="D32">
            <v>1678.0949999999998</v>
          </cell>
          <cell r="E32">
            <v>1815.0450000000001</v>
          </cell>
          <cell r="F32">
            <v>2591.9063550000001</v>
          </cell>
          <cell r="G32">
            <v>2584.9124999999999</v>
          </cell>
          <cell r="H32">
            <v>2801.3368449999998</v>
          </cell>
          <cell r="I32">
            <v>163.43372160000001</v>
          </cell>
          <cell r="J32">
            <v>188.80420000000001</v>
          </cell>
          <cell r="K32">
            <v>3012.8</v>
          </cell>
          <cell r="L32">
            <v>62.41</v>
          </cell>
          <cell r="M32">
            <v>1468.8</v>
          </cell>
          <cell r="N32">
            <v>1659.0550000000001</v>
          </cell>
          <cell r="O32">
            <v>1470.8303251338643</v>
          </cell>
          <cell r="P32">
            <v>2354.4472807747793</v>
          </cell>
          <cell r="Q32">
            <v>3335.2532458942856</v>
          </cell>
          <cell r="R32">
            <v>4788.0522160573155</v>
          </cell>
        </row>
        <row r="33">
          <cell r="B33" t="str">
            <v>Tax rate</v>
          </cell>
          <cell r="C33">
            <v>-0.54366382140512148</v>
          </cell>
          <cell r="D33">
            <v>-0.39604685212298685</v>
          </cell>
          <cell r="E33">
            <v>-0.37432795698924731</v>
          </cell>
          <cell r="F33">
            <v>-0.35099337748344372</v>
          </cell>
          <cell r="G33">
            <v>-0.35299714557564227</v>
          </cell>
          <cell r="H33">
            <v>-0.32598130841121498</v>
          </cell>
          <cell r="I33">
            <v>0.38709677419354838</v>
          </cell>
          <cell r="J33">
            <v>-0.381021897810219</v>
          </cell>
          <cell r="K33">
            <v>-0.30534351145038169</v>
          </cell>
          <cell r="L33">
            <v>-0.22210065645514224</v>
          </cell>
          <cell r="M33">
            <v>-0.29721030042918456</v>
          </cell>
          <cell r="N33">
            <v>-0.25346534653465347</v>
          </cell>
          <cell r="O33">
            <v>-0.30499999999999994</v>
          </cell>
          <cell r="P33">
            <v>-0.30499999999999999</v>
          </cell>
          <cell r="Q33">
            <v>-0.30499999999999999</v>
          </cell>
          <cell r="R33">
            <v>-0.30499999999999999</v>
          </cell>
        </row>
        <row r="34">
          <cell r="B34" t="str">
            <v>Goldman defined NOPLAT</v>
          </cell>
          <cell r="C34">
            <v>1114.0968647406435</v>
          </cell>
          <cell r="D34">
            <v>1013.4907576866763</v>
          </cell>
          <cell r="E34">
            <v>1135.6229133064517</v>
          </cell>
          <cell r="F34">
            <v>1682.1643893377484</v>
          </cell>
          <cell r="G34">
            <v>1672.4457659372026</v>
          </cell>
          <cell r="H34">
            <v>1888.1533949663549</v>
          </cell>
          <cell r="I34">
            <v>226.69838802580648</v>
          </cell>
          <cell r="J34">
            <v>116.86566540145985</v>
          </cell>
          <cell r="K34">
            <v>2092.8610687022901</v>
          </cell>
          <cell r="L34">
            <v>48.548698030634569</v>
          </cell>
          <cell r="M34">
            <v>1032.2575107296136</v>
          </cell>
          <cell r="N34">
            <v>1238.5420495049505</v>
          </cell>
          <cell r="O34">
            <v>1022.2270759680358</v>
          </cell>
          <cell r="P34">
            <v>1636.3408601384717</v>
          </cell>
          <cell r="Q34">
            <v>2318.0010058965286</v>
          </cell>
          <cell r="R34">
            <v>3327.6962901598345</v>
          </cell>
        </row>
        <row r="35">
          <cell r="B35"/>
          <cell r="C35"/>
          <cell r="D35"/>
          <cell r="E35"/>
          <cell r="F35"/>
          <cell r="G35"/>
          <cell r="H35"/>
          <cell r="I35"/>
          <cell r="J35"/>
          <cell r="K35"/>
          <cell r="L35"/>
          <cell r="M35"/>
          <cell r="N35"/>
          <cell r="O35"/>
          <cell r="P35"/>
          <cell r="Q35"/>
          <cell r="R35"/>
        </row>
        <row r="36">
          <cell r="B36" t="str">
            <v>Goldman defined Invested Capital</v>
          </cell>
          <cell r="C36">
            <v>2001</v>
          </cell>
          <cell r="D36">
            <v>2002</v>
          </cell>
          <cell r="E36">
            <v>2003</v>
          </cell>
          <cell r="F36">
            <v>2004</v>
          </cell>
          <cell r="G36" t="str">
            <v>2004pf</v>
          </cell>
          <cell r="H36">
            <v>2005</v>
          </cell>
          <cell r="I36">
            <v>2006</v>
          </cell>
          <cell r="J36">
            <v>2007</v>
          </cell>
          <cell r="K36">
            <v>2008</v>
          </cell>
          <cell r="L36">
            <v>2009</v>
          </cell>
          <cell r="M36">
            <v>2010</v>
          </cell>
          <cell r="N36">
            <v>2011</v>
          </cell>
          <cell r="O36" t="str">
            <v>2012E</v>
          </cell>
          <cell r="P36" t="str">
            <v>2013E</v>
          </cell>
          <cell r="Q36" t="str">
            <v>2014E</v>
          </cell>
          <cell r="R36" t="str">
            <v>2015E</v>
          </cell>
        </row>
        <row r="37">
          <cell r="B37"/>
          <cell r="C37"/>
          <cell r="D37"/>
          <cell r="E37"/>
          <cell r="F37"/>
          <cell r="G37"/>
          <cell r="H37"/>
          <cell r="I37"/>
          <cell r="J37"/>
          <cell r="K37"/>
          <cell r="L37"/>
          <cell r="M37"/>
          <cell r="N37"/>
          <cell r="O37"/>
          <cell r="P37"/>
          <cell r="Q37"/>
          <cell r="R37"/>
        </row>
        <row r="38">
          <cell r="B38" t="str">
            <v>Shareholders Funds</v>
          </cell>
          <cell r="C38">
            <v>9877</v>
          </cell>
          <cell r="D38">
            <v>12765</v>
          </cell>
          <cell r="E38">
            <v>16149</v>
          </cell>
          <cell r="F38">
            <v>16973</v>
          </cell>
          <cell r="G38">
            <v>16210</v>
          </cell>
          <cell r="H38">
            <v>13726</v>
          </cell>
          <cell r="I38">
            <v>13015</v>
          </cell>
          <cell r="J38">
            <v>13090</v>
          </cell>
          <cell r="K38">
            <v>11022</v>
          </cell>
          <cell r="L38">
            <v>10535</v>
          </cell>
          <cell r="M38">
            <v>8841</v>
          </cell>
          <cell r="N38">
            <v>8850</v>
          </cell>
          <cell r="O38">
            <v>9257.0675507082906</v>
          </cell>
          <cell r="P38">
            <v>10145.866577970404</v>
          </cell>
          <cell r="Q38">
            <v>11589.081716731291</v>
          </cell>
          <cell r="R38">
            <v>13817.514370620222</v>
          </cell>
        </row>
        <row r="39">
          <cell r="B39" t="str">
            <v>Cumulative PPA depreciation and goodwill written-off</v>
          </cell>
          <cell r="C39">
            <v>4615</v>
          </cell>
          <cell r="D39">
            <v>5794</v>
          </cell>
          <cell r="E39">
            <v>6590</v>
          </cell>
          <cell r="F39">
            <v>6807</v>
          </cell>
          <cell r="G39">
            <v>6807</v>
          </cell>
          <cell r="H39">
            <v>6947</v>
          </cell>
          <cell r="I39">
            <v>7004</v>
          </cell>
          <cell r="J39">
            <v>7053</v>
          </cell>
          <cell r="K39">
            <v>7105</v>
          </cell>
          <cell r="L39">
            <v>7161</v>
          </cell>
          <cell r="M39">
            <v>7205</v>
          </cell>
          <cell r="N39">
            <v>7245</v>
          </cell>
          <cell r="O39">
            <v>7285</v>
          </cell>
          <cell r="P39">
            <v>7325</v>
          </cell>
          <cell r="Q39">
            <v>7365</v>
          </cell>
          <cell r="R39">
            <v>7405</v>
          </cell>
        </row>
        <row r="40">
          <cell r="B40" t="str">
            <v>Minority equity</v>
          </cell>
          <cell r="C40">
            <v>559</v>
          </cell>
          <cell r="D40">
            <v>1361</v>
          </cell>
          <cell r="E40">
            <v>2179</v>
          </cell>
          <cell r="F40">
            <v>2370</v>
          </cell>
          <cell r="G40">
            <v>144</v>
          </cell>
          <cell r="H40">
            <v>3676</v>
          </cell>
          <cell r="I40">
            <v>137</v>
          </cell>
          <cell r="J40">
            <v>85</v>
          </cell>
          <cell r="K40">
            <v>104</v>
          </cell>
          <cell r="L40">
            <v>106</v>
          </cell>
          <cell r="M40">
            <v>95</v>
          </cell>
          <cell r="N40">
            <v>20</v>
          </cell>
          <cell r="O40">
            <v>30</v>
          </cell>
          <cell r="P40">
            <v>40.700000000000003</v>
          </cell>
          <cell r="Q40">
            <v>52.149000000000001</v>
          </cell>
          <cell r="R40">
            <v>64.399430000000009</v>
          </cell>
        </row>
        <row r="41">
          <cell r="B41" t="str">
            <v>Net Debt / (Cash), adjusted for non-recourse debt</v>
          </cell>
          <cell r="C41">
            <v>-2577</v>
          </cell>
          <cell r="D41">
            <v>-3119</v>
          </cell>
          <cell r="E41">
            <v>-3784</v>
          </cell>
          <cell r="F41">
            <v>-5046</v>
          </cell>
          <cell r="G41">
            <v>-4949</v>
          </cell>
          <cell r="H41">
            <v>-6736</v>
          </cell>
          <cell r="I41">
            <v>-5287</v>
          </cell>
          <cell r="J41">
            <v>-7883</v>
          </cell>
          <cell r="K41">
            <v>-9930</v>
          </cell>
          <cell r="L41">
            <v>-10449</v>
          </cell>
          <cell r="M41">
            <v>-12450</v>
          </cell>
          <cell r="N41">
            <v>-12136</v>
          </cell>
          <cell r="O41">
            <v>-11992.434570751095</v>
          </cell>
          <cell r="P41">
            <v>-12984.274634313588</v>
          </cell>
          <cell r="Q41">
            <v>-14964.761005499369</v>
          </cell>
          <cell r="R41">
            <v>-16535.056164800524</v>
          </cell>
        </row>
        <row r="42">
          <cell r="B42" t="str">
            <v>Est. excess customer prepayments (not disclosed from 2006)</v>
          </cell>
          <cell r="C42">
            <v>4509</v>
          </cell>
          <cell r="D42">
            <v>3578</v>
          </cell>
          <cell r="E42">
            <v>3807</v>
          </cell>
          <cell r="F42">
            <v>5610</v>
          </cell>
          <cell r="G42">
            <v>5610</v>
          </cell>
          <cell r="H42">
            <v>7410</v>
          </cell>
          <cell r="I42">
            <v>7504</v>
          </cell>
          <cell r="J42">
            <v>8000</v>
          </cell>
          <cell r="K42">
            <v>6000</v>
          </cell>
          <cell r="L42">
            <v>6000</v>
          </cell>
          <cell r="M42">
            <v>6500</v>
          </cell>
          <cell r="N42">
            <v>9000</v>
          </cell>
          <cell r="O42">
            <v>9625</v>
          </cell>
          <cell r="P42">
            <v>10250</v>
          </cell>
          <cell r="Q42">
            <v>10875</v>
          </cell>
          <cell r="R42">
            <v>11000</v>
          </cell>
        </row>
        <row r="43">
          <cell r="B43" t="str">
            <v>Pension provisions, net of def. tax (on and off balance sheet)</v>
          </cell>
          <cell r="C43">
            <v>2836</v>
          </cell>
          <cell r="D43">
            <v>3170</v>
          </cell>
          <cell r="E43">
            <v>3428</v>
          </cell>
          <cell r="F43">
            <v>3906</v>
          </cell>
          <cell r="G43">
            <v>3906</v>
          </cell>
          <cell r="H43">
            <v>4560</v>
          </cell>
          <cell r="I43">
            <v>4840</v>
          </cell>
          <cell r="J43">
            <v>4026</v>
          </cell>
          <cell r="K43">
            <v>4093</v>
          </cell>
          <cell r="L43">
            <v>4653</v>
          </cell>
          <cell r="M43">
            <v>4344</v>
          </cell>
          <cell r="N43">
            <v>4843.0720000000001</v>
          </cell>
          <cell r="O43">
            <v>4531.0720000000001</v>
          </cell>
          <cell r="P43">
            <v>4219.0720000000001</v>
          </cell>
          <cell r="Q43">
            <v>3907.0720000000001</v>
          </cell>
          <cell r="R43">
            <v>3595.0720000000001</v>
          </cell>
        </row>
        <row r="44">
          <cell r="B44" t="str">
            <v>Launch Aid (European govt refundable advances)</v>
          </cell>
          <cell r="C44">
            <v>3469</v>
          </cell>
          <cell r="D44">
            <v>4265</v>
          </cell>
          <cell r="E44">
            <v>4851</v>
          </cell>
          <cell r="F44">
            <v>5119</v>
          </cell>
          <cell r="G44">
            <v>4819</v>
          </cell>
          <cell r="H44">
            <v>5293</v>
          </cell>
          <cell r="I44">
            <v>5418</v>
          </cell>
          <cell r="J44">
            <v>5315</v>
          </cell>
          <cell r="K44">
            <v>4920</v>
          </cell>
          <cell r="L44">
            <v>5294</v>
          </cell>
          <cell r="M44">
            <v>6020</v>
          </cell>
          <cell r="N44">
            <v>5737</v>
          </cell>
          <cell r="O44">
            <v>5737</v>
          </cell>
          <cell r="P44">
            <v>5687</v>
          </cell>
          <cell r="Q44">
            <v>5537</v>
          </cell>
          <cell r="R44">
            <v>5387</v>
          </cell>
        </row>
        <row r="45">
          <cell r="B45" t="str">
            <v>Off-balance sheet aircraft financing commitments</v>
          </cell>
          <cell r="C45">
            <v>1410</v>
          </cell>
          <cell r="D45">
            <v>1047</v>
          </cell>
          <cell r="E45">
            <v>850</v>
          </cell>
          <cell r="F45">
            <v>650</v>
          </cell>
          <cell r="G45">
            <v>650</v>
          </cell>
          <cell r="H45">
            <v>644</v>
          </cell>
          <cell r="I45">
            <v>526</v>
          </cell>
          <cell r="J45">
            <v>440</v>
          </cell>
          <cell r="K45">
            <v>415</v>
          </cell>
          <cell r="L45">
            <v>429</v>
          </cell>
          <cell r="M45">
            <v>427</v>
          </cell>
          <cell r="N45">
            <v>427</v>
          </cell>
          <cell r="O45">
            <v>427</v>
          </cell>
          <cell r="P45">
            <v>427</v>
          </cell>
          <cell r="Q45">
            <v>427</v>
          </cell>
          <cell r="R45">
            <v>427</v>
          </cell>
        </row>
        <row r="46">
          <cell r="B46" t="str">
            <v>Less: customer financing collateral value</v>
          </cell>
          <cell r="C46">
            <v>-2698</v>
          </cell>
          <cell r="D46">
            <v>-2599</v>
          </cell>
          <cell r="E46">
            <v>-2594</v>
          </cell>
          <cell r="F46">
            <v>-2216</v>
          </cell>
          <cell r="G46">
            <v>-2216</v>
          </cell>
          <cell r="H46">
            <v>-2133</v>
          </cell>
          <cell r="I46">
            <v>-791</v>
          </cell>
          <cell r="J46">
            <v>-622</v>
          </cell>
          <cell r="K46">
            <v>-697</v>
          </cell>
          <cell r="L46">
            <v>-972</v>
          </cell>
          <cell r="M46">
            <v>-926</v>
          </cell>
          <cell r="N46">
            <v>-818</v>
          </cell>
          <cell r="O46">
            <v>-882</v>
          </cell>
          <cell r="P46">
            <v>-882</v>
          </cell>
          <cell r="Q46">
            <v>-882</v>
          </cell>
          <cell r="R46">
            <v>-882</v>
          </cell>
        </row>
        <row r="47">
          <cell r="B47" t="str">
            <v>FX hedge provision</v>
          </cell>
          <cell r="C47">
            <v>390</v>
          </cell>
          <cell r="D47">
            <v>195</v>
          </cell>
          <cell r="E47"/>
          <cell r="F47"/>
          <cell r="G47"/>
          <cell r="H47"/>
          <cell r="I47"/>
          <cell r="J47"/>
          <cell r="K47"/>
          <cell r="L47"/>
          <cell r="M47"/>
          <cell r="N47"/>
          <cell r="O47"/>
          <cell r="P47"/>
          <cell r="Q47"/>
          <cell r="R47"/>
        </row>
        <row r="48">
          <cell r="B48" t="str">
            <v>Minus investments and associates @ book value</v>
          </cell>
          <cell r="C48">
            <v>-2219</v>
          </cell>
          <cell r="D48">
            <v>-2324</v>
          </cell>
          <cell r="E48">
            <v>-2419</v>
          </cell>
          <cell r="F48">
            <v>-2490</v>
          </cell>
          <cell r="G48">
            <v>-2248</v>
          </cell>
          <cell r="H48">
            <v>-2601</v>
          </cell>
          <cell r="I48">
            <v>-2974</v>
          </cell>
          <cell r="J48">
            <v>-2946</v>
          </cell>
          <cell r="K48">
            <v>-2960</v>
          </cell>
          <cell r="L48">
            <v>-3358</v>
          </cell>
          <cell r="M48">
            <v>-3724</v>
          </cell>
          <cell r="N48">
            <v>-4077</v>
          </cell>
          <cell r="O48">
            <v>-4283.8999999999996</v>
          </cell>
          <cell r="P48">
            <v>-4451.2749999999996</v>
          </cell>
          <cell r="Q48">
            <v>-4638.8517499999998</v>
          </cell>
          <cell r="R48">
            <v>-4848.5236375000004</v>
          </cell>
        </row>
        <row r="49">
          <cell r="B49" t="str">
            <v>Goldman defined Invested Capital</v>
          </cell>
          <cell r="C49">
            <v>20171</v>
          </cell>
          <cell r="D49">
            <v>24133</v>
          </cell>
          <cell r="E49">
            <v>29057</v>
          </cell>
          <cell r="F49">
            <v>31683</v>
          </cell>
          <cell r="G49">
            <v>32233</v>
          </cell>
          <cell r="H49">
            <v>30786</v>
          </cell>
          <cell r="I49">
            <v>29392</v>
          </cell>
          <cell r="J49">
            <v>26558</v>
          </cell>
          <cell r="K49">
            <v>20072</v>
          </cell>
          <cell r="L49">
            <v>19399</v>
          </cell>
          <cell r="M49">
            <v>16332</v>
          </cell>
          <cell r="N49">
            <v>19091.072</v>
          </cell>
          <cell r="O49">
            <v>19733.804979957196</v>
          </cell>
          <cell r="P49">
            <v>19777.088943656818</v>
          </cell>
          <cell r="Q49">
            <v>19266.689961231925</v>
          </cell>
          <cell r="R49">
            <v>19430.4059983197</v>
          </cell>
        </row>
        <row r="50">
          <cell r="B50"/>
          <cell r="C50"/>
          <cell r="D50"/>
          <cell r="E50"/>
          <cell r="F50"/>
          <cell r="G50"/>
          <cell r="H50"/>
          <cell r="I50"/>
          <cell r="J50"/>
          <cell r="K50"/>
          <cell r="L50"/>
          <cell r="M50"/>
          <cell r="N50"/>
          <cell r="O50"/>
          <cell r="P50"/>
          <cell r="Q50"/>
          <cell r="R50"/>
        </row>
        <row r="51">
          <cell r="B51" t="str">
            <v>Goldman defined CROCI and ROIC (pre and post-tax)</v>
          </cell>
          <cell r="C51">
            <v>2001</v>
          </cell>
          <cell r="D51">
            <v>2002</v>
          </cell>
          <cell r="E51">
            <v>2003</v>
          </cell>
          <cell r="F51">
            <v>2004</v>
          </cell>
          <cell r="G51" t="str">
            <v>2004pf</v>
          </cell>
          <cell r="H51">
            <v>2005</v>
          </cell>
          <cell r="I51">
            <v>2006</v>
          </cell>
          <cell r="J51">
            <v>2007</v>
          </cell>
          <cell r="K51">
            <v>2008</v>
          </cell>
          <cell r="L51">
            <v>2009</v>
          </cell>
          <cell r="M51">
            <v>2010</v>
          </cell>
          <cell r="N51">
            <v>2011</v>
          </cell>
          <cell r="O51" t="str">
            <v>2012E</v>
          </cell>
          <cell r="P51" t="str">
            <v>2013E</v>
          </cell>
          <cell r="Q51" t="str">
            <v>2014E</v>
          </cell>
          <cell r="R51" t="str">
            <v>2015E</v>
          </cell>
        </row>
        <row r="52">
          <cell r="B52"/>
          <cell r="C52"/>
          <cell r="D52"/>
          <cell r="E52"/>
          <cell r="F52"/>
          <cell r="G52"/>
          <cell r="H52"/>
          <cell r="I52"/>
          <cell r="J52"/>
          <cell r="K52"/>
          <cell r="L52"/>
          <cell r="M52"/>
          <cell r="N52"/>
          <cell r="O52"/>
          <cell r="P52"/>
          <cell r="Q52"/>
          <cell r="R52"/>
        </row>
        <row r="53">
          <cell r="B53" t="str">
            <v>DACF margin</v>
          </cell>
          <cell r="C53">
            <v>0</v>
          </cell>
          <cell r="D53">
            <v>0</v>
          </cell>
          <cell r="E53">
            <v>0</v>
          </cell>
          <cell r="F53">
            <v>0</v>
          </cell>
          <cell r="G53">
            <v>0</v>
          </cell>
          <cell r="H53">
            <v>0</v>
          </cell>
          <cell r="I53">
            <v>9.9160381691159316E-2</v>
          </cell>
          <cell r="J53">
            <v>9.9807855340664942E-2</v>
          </cell>
          <cell r="K53">
            <v>0.11322958193910598</v>
          </cell>
          <cell r="L53">
            <v>6.7337266157081771E-2</v>
          </cell>
          <cell r="M53">
            <v>5.3281495421856361E-2</v>
          </cell>
          <cell r="N53">
            <v>7.2387184981321781E-2</v>
          </cell>
          <cell r="O53">
            <v>5.0036740969063777E-2</v>
          </cell>
          <cell r="P53">
            <v>5.8532131116217301E-2</v>
          </cell>
          <cell r="Q53">
            <v>6.8186084907988387E-2</v>
          </cell>
          <cell r="R53">
            <v>7.3763518905890155E-2</v>
          </cell>
        </row>
        <row r="54">
          <cell r="B54" t="str">
            <v>Sales / Gross Cash Invested</v>
          </cell>
          <cell r="C54">
            <v>0</v>
          </cell>
          <cell r="D54">
            <v>0</v>
          </cell>
          <cell r="E54">
            <v>0</v>
          </cell>
          <cell r="F54">
            <v>0</v>
          </cell>
          <cell r="G54">
            <v>0</v>
          </cell>
          <cell r="H54">
            <v>0</v>
          </cell>
          <cell r="I54">
            <v>0.923801652892562</v>
          </cell>
          <cell r="J54">
            <v>1.0318633881084691</v>
          </cell>
          <cell r="K54">
            <v>1.1177276015293995</v>
          </cell>
          <cell r="L54">
            <v>1.0902147485265477</v>
          </cell>
          <cell r="M54">
            <v>1.1531840350855083</v>
          </cell>
          <cell r="N54">
            <v>1.1981562324707948</v>
          </cell>
          <cell r="O54">
            <v>1.2308918628670542</v>
          </cell>
          <cell r="P54">
            <v>1.2473304084461494</v>
          </cell>
          <cell r="Q54">
            <v>1.288601450386351</v>
          </cell>
          <cell r="R54">
            <v>1.2977100902658045</v>
          </cell>
        </row>
        <row r="55">
          <cell r="B55" t="str">
            <v>Goldman defined CROCI</v>
          </cell>
          <cell r="C55">
            <v>0</v>
          </cell>
          <cell r="D55">
            <v>0</v>
          </cell>
          <cell r="E55">
            <v>0</v>
          </cell>
          <cell r="F55">
            <v>0</v>
          </cell>
          <cell r="G55">
            <v>0</v>
          </cell>
          <cell r="H55">
            <v>0</v>
          </cell>
          <cell r="I55">
            <v>9.4649627640212897E-2</v>
          </cell>
          <cell r="J55">
            <v>0.10247361409874034</v>
          </cell>
          <cell r="K55">
            <v>0.12150446724445156</v>
          </cell>
          <cell r="L55">
            <v>7.3412080689908107E-2</v>
          </cell>
          <cell r="M55">
            <v>6.144336988596636E-2</v>
          </cell>
          <cell r="N55">
            <v>8.6731156836387005E-2</v>
          </cell>
          <cell r="O55">
            <v>6.1589817303207166E-2</v>
          </cell>
          <cell r="P55">
            <v>7.3008907012414886E-2</v>
          </cell>
          <cell r="Q55">
            <v>8.7864687908600719E-2</v>
          </cell>
          <cell r="R55">
            <v>9.5723662777686097E-2</v>
          </cell>
        </row>
        <row r="56">
          <cell r="B56"/>
          <cell r="C56"/>
          <cell r="D56"/>
          <cell r="E56"/>
          <cell r="F56"/>
          <cell r="G56"/>
          <cell r="H56"/>
          <cell r="I56"/>
          <cell r="J56"/>
          <cell r="K56"/>
          <cell r="L56"/>
          <cell r="M56"/>
          <cell r="N56"/>
          <cell r="O56"/>
          <cell r="P56"/>
          <cell r="Q56"/>
          <cell r="R56"/>
        </row>
        <row r="57">
          <cell r="B57" t="str">
            <v>Economic EBITA margin</v>
          </cell>
          <cell r="C57">
            <v>0</v>
          </cell>
          <cell r="D57">
            <v>6.0234460558192017E-2</v>
          </cell>
          <cell r="E57">
            <v>8.1606572683479747E-2</v>
          </cell>
          <cell r="F57">
            <v>8.1386370076508924E-2</v>
          </cell>
          <cell r="G57">
            <v>8.1896066333391804E-2</v>
          </cell>
          <cell r="H57">
            <v>8.1896066333391804E-2</v>
          </cell>
          <cell r="I57">
            <v>4.1444875386722124E-3</v>
          </cell>
          <cell r="J57">
            <v>4.8259131457199095E-3</v>
          </cell>
          <cell r="K57">
            <v>6.9635964405408535E-2</v>
          </cell>
          <cell r="L57">
            <v>1.4574284246415394E-3</v>
          </cell>
          <cell r="M57">
            <v>3.2103514600454623E-2</v>
          </cell>
          <cell r="N57">
            <v>3.3770049666178151E-2</v>
          </cell>
          <cell r="O57">
            <v>2.7436002793303969E-2</v>
          </cell>
          <cell r="P57">
            <v>4.1640229649695833E-2</v>
          </cell>
          <cell r="Q57">
            <v>5.5511990995760006E-2</v>
          </cell>
          <cell r="R57">
            <v>7.6593408507276542E-2</v>
          </cell>
        </row>
        <row r="58">
          <cell r="B58" t="str">
            <v>Asset turn</v>
          </cell>
          <cell r="C58">
            <v>0</v>
          </cell>
          <cell r="D58">
            <v>0</v>
          </cell>
          <cell r="E58">
            <v>0</v>
          </cell>
          <cell r="F58">
            <v>1.4959831912000989</v>
          </cell>
          <cell r="G58">
            <v>1.52684547122106</v>
          </cell>
          <cell r="H58">
            <v>1.1110894562463458</v>
          </cell>
          <cell r="I58">
            <v>1.3416575939031028</v>
          </cell>
          <cell r="J58">
            <v>1.4731154454401687</v>
          </cell>
          <cell r="K58">
            <v>2.1554902351534477</v>
          </cell>
          <cell r="L58">
            <v>2.207433372854271</v>
          </cell>
          <cell r="M58">
            <v>2.8013715405339212</v>
          </cell>
          <cell r="N58">
            <v>2.5733494693226238</v>
          </cell>
          <cell r="O58">
            <v>2.7166325818300079</v>
          </cell>
          <cell r="P58">
            <v>2.8589956049890599</v>
          </cell>
          <cell r="Q58">
            <v>3.1184221221086497</v>
          </cell>
          <cell r="R58">
            <v>3.2172559004547483</v>
          </cell>
        </row>
        <row r="59">
          <cell r="B59" t="str">
            <v>Goldman defined ROIC (pre-tax)</v>
          </cell>
          <cell r="C59">
            <v>0</v>
          </cell>
          <cell r="D59">
            <v>0</v>
          </cell>
          <cell r="E59">
            <v>0</v>
          </cell>
          <cell r="F59">
            <v>9.9747497219132369E-2</v>
          </cell>
          <cell r="G59">
            <v>0.12103490159139359</v>
          </cell>
          <cell r="H59">
            <v>9.0993855811082949E-2</v>
          </cell>
          <cell r="I59">
            <v>5.5604831790963529E-3</v>
          </cell>
          <cell r="J59">
            <v>7.1091271933127502E-3</v>
          </cell>
          <cell r="K59">
            <v>0.15009964129135114</v>
          </cell>
          <cell r="L59">
            <v>3.2171761431001597E-3</v>
          </cell>
          <cell r="M59">
            <v>8.9933872152828803E-2</v>
          </cell>
          <cell r="N59">
            <v>8.690213938745818E-2</v>
          </cell>
          <cell r="O59">
            <v>7.453353910346866E-2</v>
          </cell>
          <cell r="P59">
            <v>0.11904923355921551</v>
          </cell>
          <cell r="Q59">
            <v>0.17310982076347417</v>
          </cell>
          <cell r="R59">
            <v>0.24642059545597636</v>
          </cell>
        </row>
        <row r="60">
          <cell r="B60" t="str">
            <v>Pre-tax cost of capital declared by company</v>
          </cell>
          <cell r="C60">
            <v>0</v>
          </cell>
          <cell r="D60">
            <v>0</v>
          </cell>
          <cell r="E60">
            <v>0</v>
          </cell>
          <cell r="F60">
            <v>0</v>
          </cell>
          <cell r="G60">
            <v>0</v>
          </cell>
          <cell r="H60">
            <v>0</v>
          </cell>
          <cell r="I60">
            <v>0</v>
          </cell>
          <cell r="J60">
            <v>0.14029850746268657</v>
          </cell>
          <cell r="K60">
            <v>0.14029850746268657</v>
          </cell>
          <cell r="L60">
            <v>0.128</v>
          </cell>
          <cell r="M60">
            <v>0.112</v>
          </cell>
          <cell r="N60">
            <v>0.112</v>
          </cell>
          <cell r="O60">
            <v>0.112</v>
          </cell>
          <cell r="P60">
            <v>0.112</v>
          </cell>
          <cell r="Q60">
            <v>0.112</v>
          </cell>
          <cell r="R60">
            <v>0.112</v>
          </cell>
        </row>
        <row r="61">
          <cell r="B61"/>
          <cell r="C61"/>
          <cell r="D61"/>
          <cell r="E61"/>
          <cell r="F61"/>
          <cell r="G61"/>
          <cell r="H61"/>
          <cell r="I61"/>
          <cell r="J61"/>
          <cell r="K61"/>
          <cell r="L61"/>
          <cell r="M61"/>
          <cell r="N61"/>
          <cell r="O61"/>
          <cell r="P61"/>
          <cell r="Q61"/>
          <cell r="R61"/>
        </row>
        <row r="62">
          <cell r="B62" t="str">
            <v>NOPLAT margin</v>
          </cell>
          <cell r="C62">
            <v>3.6174325110092977E-2</v>
          </cell>
          <cell r="D62">
            <v>3.3894878354793358E-2</v>
          </cell>
          <cell r="E62">
            <v>3.7687017997094605E-2</v>
          </cell>
          <cell r="F62">
            <v>5.2963206112457049E-2</v>
          </cell>
          <cell r="G62">
            <v>5.265721375073841E-2</v>
          </cell>
          <cell r="H62">
            <v>5.5199479476301085E-2</v>
          </cell>
          <cell r="I62">
            <v>5.748805295577585E-3</v>
          </cell>
          <cell r="J62">
            <v>2.9871345602704253E-3</v>
          </cell>
          <cell r="K62">
            <v>4.8373074510627299E-2</v>
          </cell>
          <cell r="L62">
            <v>1.1337326147922695E-3</v>
          </cell>
          <cell r="M62">
            <v>2.256201938122079E-2</v>
          </cell>
          <cell r="N62">
            <v>2.5210512325047844E-2</v>
          </cell>
          <cell r="O62">
            <v>1.9068021941346259E-2</v>
          </cell>
          <cell r="P62">
            <v>2.8939959606538602E-2</v>
          </cell>
          <cell r="Q62">
            <v>3.8580833742053205E-2</v>
          </cell>
          <cell r="R62">
            <v>5.32324189125572E-2</v>
          </cell>
        </row>
        <row r="63">
          <cell r="B63" t="str">
            <v>Asset turn</v>
          </cell>
          <cell r="C63">
            <v>1.52684547122106</v>
          </cell>
          <cell r="D63">
            <v>1.2390088260887582</v>
          </cell>
          <cell r="E63">
            <v>1.0370306638675706</v>
          </cell>
          <cell r="F63">
            <v>1.0024618880787803</v>
          </cell>
          <cell r="G63">
            <v>0.98535662209536812</v>
          </cell>
          <cell r="H63">
            <v>1.1110894562463458</v>
          </cell>
          <cell r="I63">
            <v>1.3416575939031028</v>
          </cell>
          <cell r="J63">
            <v>1.4731154454401687</v>
          </cell>
          <cell r="K63">
            <v>2.1554902351534477</v>
          </cell>
          <cell r="L63">
            <v>2.207433372854271</v>
          </cell>
          <cell r="M63">
            <v>2.8013715405339212</v>
          </cell>
          <cell r="N63">
            <v>2.5733494693226238</v>
          </cell>
          <cell r="O63">
            <v>2.7166325818300079</v>
          </cell>
          <cell r="P63">
            <v>2.8589956049890599</v>
          </cell>
          <cell r="Q63">
            <v>3.1184221221086497</v>
          </cell>
          <cell r="R63">
            <v>3.2172559004547483</v>
          </cell>
        </row>
        <row r="64">
          <cell r="B64" t="str">
            <v>Goldman defined ROIC (post-tax)</v>
          </cell>
          <cell r="C64">
            <v>5.5232604468823727E-2</v>
          </cell>
          <cell r="D64">
            <v>4.1996053440793782E-2</v>
          </cell>
          <cell r="E64">
            <v>3.90825932927161E-2</v>
          </cell>
          <cell r="F64">
            <v>5.3093595598199296E-2</v>
          </cell>
          <cell r="G64">
            <v>5.188613427038137E-2</v>
          </cell>
          <cell r="H64">
            <v>6.1331559636404694E-2</v>
          </cell>
          <cell r="I64">
            <v>7.7129282806820383E-3</v>
          </cell>
          <cell r="J64">
            <v>4.4003940583424899E-3</v>
          </cell>
          <cell r="K64">
            <v>0.10426768975200729</v>
          </cell>
          <cell r="L64">
            <v>2.5026392097857912E-3</v>
          </cell>
          <cell r="M64">
            <v>6.3204598991526667E-2</v>
          </cell>
          <cell r="N64">
            <v>6.4875458513013337E-2</v>
          </cell>
          <cell r="O64">
            <v>5.1800809676910725E-2</v>
          </cell>
          <cell r="P64">
            <v>8.2739217323654787E-2</v>
          </cell>
          <cell r="Q64">
            <v>0.12031132543061455</v>
          </cell>
          <cell r="R64">
            <v>0.17126231384190357</v>
          </cell>
        </row>
        <row r="65">
          <cell r="B65" t="str">
            <v>WACC - as declared by company</v>
          </cell>
          <cell r="C65">
            <v>9.4E-2</v>
          </cell>
          <cell r="D65">
            <v>9.4E-2</v>
          </cell>
          <cell r="E65">
            <v>9.4E-2</v>
          </cell>
          <cell r="F65">
            <v>9.4E-2</v>
          </cell>
          <cell r="G65">
            <v>9.4E-2</v>
          </cell>
          <cell r="H65">
            <v>9.4E-2</v>
          </cell>
          <cell r="I65">
            <v>9.4E-2</v>
          </cell>
          <cell r="J65">
            <v>9.4E-2</v>
          </cell>
          <cell r="K65">
            <v>9.4E-2</v>
          </cell>
          <cell r="L65">
            <v>9.4E-2</v>
          </cell>
          <cell r="M65">
            <v>9.4E-2</v>
          </cell>
          <cell r="N65">
            <v>9.4E-2</v>
          </cell>
          <cell r="O65">
            <v>9.4E-2</v>
          </cell>
          <cell r="P65">
            <v>9.4E-2</v>
          </cell>
          <cell r="Q65">
            <v>9.4E-2</v>
          </cell>
          <cell r="R65">
            <v>9.4E-2</v>
          </cell>
        </row>
        <row r="66">
          <cell r="B66" t="str">
            <v>ROIC / WACC - using company declared WACC</v>
          </cell>
          <cell r="C66">
            <v>0.58758089860450768</v>
          </cell>
          <cell r="D66">
            <v>0.44676652596589128</v>
          </cell>
          <cell r="E66">
            <v>0.41577226907144788</v>
          </cell>
          <cell r="F66">
            <v>0.56482548508722652</v>
          </cell>
          <cell r="G66">
            <v>0.55198015181256777</v>
          </cell>
          <cell r="H66">
            <v>0.65246340038728401</v>
          </cell>
          <cell r="I66">
            <v>8.205242851789403E-2</v>
          </cell>
          <cell r="J66">
            <v>4.6812702748324359E-2</v>
          </cell>
          <cell r="K66">
            <v>1.1092307420426306</v>
          </cell>
          <cell r="L66">
            <v>2.6623821380699908E-2</v>
          </cell>
          <cell r="M66">
            <v>0.6723893509736879</v>
          </cell>
          <cell r="N66">
            <v>0.69016445226609935</v>
          </cell>
          <cell r="O66">
            <v>0.55107244337139072</v>
          </cell>
          <cell r="P66">
            <v>0.88020443961334882</v>
          </cell>
          <cell r="Q66">
            <v>1.2799077173469633</v>
          </cell>
          <cell r="R66">
            <v>1.821939508956421</v>
          </cell>
        </row>
        <row r="67">
          <cell r="B67"/>
          <cell r="C67"/>
          <cell r="D67"/>
          <cell r="E67"/>
          <cell r="F67"/>
          <cell r="G67"/>
          <cell r="H67"/>
          <cell r="I67"/>
          <cell r="J67"/>
          <cell r="K67"/>
          <cell r="L67"/>
          <cell r="M67"/>
          <cell r="N67"/>
          <cell r="O67"/>
          <cell r="P67"/>
          <cell r="Q67"/>
          <cell r="R67"/>
        </row>
        <row r="68">
          <cell r="B68" t="str">
            <v>WACC - standardised at 9.5%</v>
          </cell>
          <cell r="C68">
            <v>9.5000000000000001E-2</v>
          </cell>
          <cell r="D68">
            <v>9.5000000000000001E-2</v>
          </cell>
          <cell r="E68">
            <v>9.5000000000000001E-2</v>
          </cell>
          <cell r="F68">
            <v>9.5000000000000001E-2</v>
          </cell>
          <cell r="G68">
            <v>9.5000000000000001E-2</v>
          </cell>
          <cell r="H68">
            <v>9.5000000000000001E-2</v>
          </cell>
          <cell r="I68">
            <v>9.5000000000000001E-2</v>
          </cell>
          <cell r="J68">
            <v>9.5000000000000001E-2</v>
          </cell>
          <cell r="K68">
            <v>9.5000000000000001E-2</v>
          </cell>
          <cell r="L68">
            <v>9.5000000000000001E-2</v>
          </cell>
          <cell r="M68">
            <v>9.5000000000000001E-2</v>
          </cell>
          <cell r="N68">
            <v>9.5000000000000001E-2</v>
          </cell>
          <cell r="O68">
            <v>9.5000000000000001E-2</v>
          </cell>
          <cell r="P68">
            <v>9.5000000000000001E-2</v>
          </cell>
          <cell r="Q68">
            <v>9.5000000000000001E-2</v>
          </cell>
          <cell r="R68">
            <v>9.5000000000000001E-2</v>
          </cell>
        </row>
        <row r="69">
          <cell r="B69" t="str">
            <v>ROIC / WACC - using standardised WACC of 9.5%</v>
          </cell>
          <cell r="C69">
            <v>0.58139583651393401</v>
          </cell>
          <cell r="D69">
            <v>0.44206372042940822</v>
          </cell>
          <cell r="E69">
            <v>0.41139571887069576</v>
          </cell>
          <cell r="F69">
            <v>0.55887995366525578</v>
          </cell>
          <cell r="G69">
            <v>0.54616983442506706</v>
          </cell>
          <cell r="H69">
            <v>0.64559536459373357</v>
          </cell>
          <cell r="I69">
            <v>8.1188718744021449E-2</v>
          </cell>
          <cell r="J69">
            <v>4.6319937456236734E-2</v>
          </cell>
          <cell r="K69">
            <v>1.0975546289684976</v>
          </cell>
          <cell r="L69">
            <v>2.6343570629324117E-2</v>
          </cell>
          <cell r="M69">
            <v>0.66531156833185967</v>
          </cell>
          <cell r="N69">
            <v>0.68289956329487722</v>
          </cell>
          <cell r="O69">
            <v>0.54527168080958655</v>
          </cell>
          <cell r="P69">
            <v>0.87093912972268195</v>
          </cell>
          <cell r="Q69">
            <v>1.2664350045327848</v>
          </cell>
          <cell r="R69">
            <v>1.8027611983358272</v>
          </cell>
        </row>
        <row r="70">
          <cell r="B70"/>
          <cell r="C70"/>
          <cell r="D70"/>
          <cell r="E70"/>
          <cell r="F70"/>
          <cell r="G70"/>
          <cell r="H70"/>
          <cell r="I70"/>
          <cell r="J70"/>
          <cell r="K70"/>
          <cell r="L70"/>
          <cell r="M70"/>
          <cell r="N70"/>
          <cell r="O70"/>
          <cell r="P70"/>
          <cell r="Q70"/>
          <cell r="R70"/>
        </row>
        <row r="71">
          <cell r="B71" t="str">
            <v>Enterprise Value, where EV/IC = ROIC/WACC (using co. def. WACC)</v>
          </cell>
          <cell r="C71">
            <v>11852.094305751525</v>
          </cell>
          <cell r="D71">
            <v>10781.816571134854</v>
          </cell>
          <cell r="E71">
            <v>12081.094822409061</v>
          </cell>
          <cell r="F71">
            <v>17895.365844018597</v>
          </cell>
          <cell r="G71"/>
          <cell r="H71">
            <v>20086.738244322925</v>
          </cell>
          <cell r="I71">
            <v>2411.6849789979415</v>
          </cell>
          <cell r="J71">
            <v>1243.2517595899983</v>
          </cell>
          <cell r="K71">
            <v>22264.479454279681</v>
          </cell>
          <cell r="L71">
            <v>516.4755109641975</v>
          </cell>
          <cell r="M71">
            <v>10981.46288010227</v>
          </cell>
          <cell r="N71">
            <v>13175.979250052666</v>
          </cell>
          <cell r="O71">
            <v>10874.75612731953</v>
          </cell>
          <cell r="P71">
            <v>17407.881490834807</v>
          </cell>
          <cell r="Q71">
            <v>24659.585169112004</v>
          </cell>
          <cell r="R71">
            <v>35401.024363402488</v>
          </cell>
        </row>
        <row r="72">
          <cell r="B72" t="str">
            <v>Enterprise Value, where EV/IC = ROIC/WACC (using 9.5% WACC)</v>
          </cell>
          <cell r="C72">
            <v>11727.335418322562</v>
          </cell>
          <cell r="D72">
            <v>10668.323765122908</v>
          </cell>
          <cell r="E72">
            <v>11953.925403225807</v>
          </cell>
          <cell r="F72">
            <v>17706.993571976298</v>
          </cell>
          <cell r="G72"/>
          <cell r="H72">
            <v>19875.298894382682</v>
          </cell>
          <cell r="I72">
            <v>2386.2988213242784</v>
          </cell>
          <cell r="J72">
            <v>1230.1648989627352</v>
          </cell>
          <cell r="K72">
            <v>22030.116512655684</v>
          </cell>
          <cell r="L72">
            <v>511.03892663825854</v>
          </cell>
          <cell r="M72">
            <v>10865.868533995932</v>
          </cell>
          <cell r="N72">
            <v>13037.284731631058</v>
          </cell>
          <cell r="O72">
            <v>10760.285010189849</v>
          </cell>
          <cell r="P72">
            <v>17224.640633036543</v>
          </cell>
          <cell r="Q72">
            <v>24400.010588384514</v>
          </cell>
          <cell r="R72">
            <v>35028.382001682468</v>
          </cell>
        </row>
        <row r="73">
          <cell r="B73" t="str">
            <v>Less: Market value of minorities - average</v>
          </cell>
          <cell r="C73">
            <v>-870.3911562900729</v>
          </cell>
          <cell r="D73">
            <v>-1208.8590396944771</v>
          </cell>
          <cell r="E73">
            <v>-1328.2281487318101</v>
          </cell>
          <cell r="F73">
            <v>-2314.2045160982443</v>
          </cell>
          <cell r="G73"/>
          <cell r="H73">
            <v>-3766.2747566424014</v>
          </cell>
          <cell r="I73">
            <v>-2971.6934054366316</v>
          </cell>
          <cell r="J73">
            <v>-120.26062841727271</v>
          </cell>
          <cell r="K73">
            <v>-109.19033792953729</v>
          </cell>
          <cell r="L73">
            <v>-101.67386093756811</v>
          </cell>
          <cell r="M73">
            <v>-144.51908572909738</v>
          </cell>
          <cell r="N73">
            <v>-39.472246712171753</v>
          </cell>
          <cell r="O73">
            <v>-68.151971079840351</v>
          </cell>
          <cell r="P73">
            <v>-84.465902608872241</v>
          </cell>
          <cell r="Q73">
            <v>-94.748670495376231</v>
          </cell>
          <cell r="R73">
            <v>-98.135979936987439</v>
          </cell>
        </row>
        <row r="74">
          <cell r="B74" t="str">
            <v>Less: Net Debt / (Cash) including non-recourse debt</v>
          </cell>
          <cell r="C74">
            <v>3119</v>
          </cell>
          <cell r="D74">
            <v>3784</v>
          </cell>
          <cell r="E74">
            <v>5046</v>
          </cell>
          <cell r="F74">
            <v>4949</v>
          </cell>
          <cell r="G74"/>
          <cell r="H74">
            <v>6736</v>
          </cell>
          <cell r="I74">
            <v>5287</v>
          </cell>
          <cell r="J74">
            <v>7883</v>
          </cell>
          <cell r="K74">
            <v>9930</v>
          </cell>
          <cell r="L74">
            <v>10449</v>
          </cell>
          <cell r="M74">
            <v>12450</v>
          </cell>
          <cell r="N74">
            <v>12136</v>
          </cell>
          <cell r="O74">
            <v>11992.434570751095</v>
          </cell>
          <cell r="P74">
            <v>12984.274634313588</v>
          </cell>
          <cell r="Q74">
            <v>14964.761005499369</v>
          </cell>
          <cell r="R74">
            <v>16535.056164800524</v>
          </cell>
        </row>
        <row r="75">
          <cell r="B75" t="str">
            <v>Less: Est. excess cust. prepayments (not disclosed from 2006)</v>
          </cell>
          <cell r="C75">
            <v>-4509</v>
          </cell>
          <cell r="D75">
            <v>-3578</v>
          </cell>
          <cell r="E75">
            <v>-3807</v>
          </cell>
          <cell r="F75">
            <v>-5610</v>
          </cell>
          <cell r="G75"/>
          <cell r="H75">
            <v>-7410</v>
          </cell>
          <cell r="I75">
            <v>-7504</v>
          </cell>
          <cell r="J75">
            <v>-8000</v>
          </cell>
          <cell r="K75">
            <v>-6000</v>
          </cell>
          <cell r="L75">
            <v>-6000</v>
          </cell>
          <cell r="M75">
            <v>-6500</v>
          </cell>
          <cell r="N75">
            <v>-9000</v>
          </cell>
          <cell r="O75">
            <v>-9625</v>
          </cell>
          <cell r="P75">
            <v>-10250</v>
          </cell>
          <cell r="Q75">
            <v>-10875</v>
          </cell>
          <cell r="R75">
            <v>-11000</v>
          </cell>
        </row>
        <row r="76">
          <cell r="B76" t="str">
            <v>Less: Pension deficit, net of def. tax (on and off balance sheet)</v>
          </cell>
          <cell r="C76">
            <v>-2836</v>
          </cell>
          <cell r="D76">
            <v>-3170</v>
          </cell>
          <cell r="E76">
            <v>-3428</v>
          </cell>
          <cell r="F76">
            <v>-3906</v>
          </cell>
          <cell r="G76">
            <v>0</v>
          </cell>
          <cell r="H76">
            <v>-4560</v>
          </cell>
          <cell r="I76">
            <v>-4840</v>
          </cell>
          <cell r="J76">
            <v>-4026</v>
          </cell>
          <cell r="K76">
            <v>-4093</v>
          </cell>
          <cell r="L76">
            <v>-4653</v>
          </cell>
          <cell r="M76">
            <v>-4344</v>
          </cell>
          <cell r="N76">
            <v>-4843.0720000000001</v>
          </cell>
          <cell r="O76">
            <v>-4531.0720000000001</v>
          </cell>
          <cell r="P76">
            <v>-4219.0720000000001</v>
          </cell>
          <cell r="Q76">
            <v>-3907.0720000000001</v>
          </cell>
          <cell r="R76">
            <v>-3595.0720000000001</v>
          </cell>
        </row>
        <row r="77">
          <cell r="B77" t="str">
            <v>Less: Launch aid (Govt refundable advances)</v>
          </cell>
          <cell r="C77">
            <v>-3469</v>
          </cell>
          <cell r="D77">
            <v>-4265</v>
          </cell>
          <cell r="E77">
            <v>-4851</v>
          </cell>
          <cell r="F77">
            <v>-5119</v>
          </cell>
          <cell r="G77"/>
          <cell r="H77">
            <v>-5293</v>
          </cell>
          <cell r="I77">
            <v>-5418</v>
          </cell>
          <cell r="J77">
            <v>-5315</v>
          </cell>
          <cell r="K77">
            <v>-4920</v>
          </cell>
          <cell r="L77">
            <v>-5294</v>
          </cell>
          <cell r="M77">
            <v>-6020</v>
          </cell>
          <cell r="N77">
            <v>-5737</v>
          </cell>
          <cell r="O77">
            <v>-5737</v>
          </cell>
          <cell r="P77">
            <v>-5687</v>
          </cell>
          <cell r="Q77">
            <v>-5537</v>
          </cell>
          <cell r="R77">
            <v>-5387</v>
          </cell>
        </row>
        <row r="78">
          <cell r="B78" t="str">
            <v>Less: Off-balance sheet aircraft financing commitments</v>
          </cell>
          <cell r="C78">
            <v>-1410</v>
          </cell>
          <cell r="D78">
            <v>-1047</v>
          </cell>
          <cell r="E78">
            <v>-850</v>
          </cell>
          <cell r="F78">
            <v>-650</v>
          </cell>
          <cell r="G78"/>
          <cell r="H78">
            <v>-644</v>
          </cell>
          <cell r="I78">
            <v>-526</v>
          </cell>
          <cell r="J78">
            <v>-440</v>
          </cell>
          <cell r="K78">
            <v>-415</v>
          </cell>
          <cell r="L78">
            <v>-429</v>
          </cell>
          <cell r="M78">
            <v>-427</v>
          </cell>
          <cell r="N78">
            <v>-427</v>
          </cell>
          <cell r="O78">
            <v>-427</v>
          </cell>
          <cell r="P78">
            <v>-427</v>
          </cell>
          <cell r="Q78">
            <v>-427</v>
          </cell>
          <cell r="R78">
            <v>-427</v>
          </cell>
        </row>
        <row r="79">
          <cell r="B79" t="str">
            <v>Add back: customer financing collateral value</v>
          </cell>
          <cell r="C79">
            <v>2698</v>
          </cell>
          <cell r="D79">
            <v>2599</v>
          </cell>
          <cell r="E79">
            <v>2594</v>
          </cell>
          <cell r="F79">
            <v>2216</v>
          </cell>
          <cell r="G79"/>
          <cell r="H79">
            <v>2133</v>
          </cell>
          <cell r="I79">
            <v>791</v>
          </cell>
          <cell r="J79">
            <v>622</v>
          </cell>
          <cell r="K79">
            <v>697</v>
          </cell>
          <cell r="L79">
            <v>972</v>
          </cell>
          <cell r="M79">
            <v>926</v>
          </cell>
          <cell r="N79">
            <v>818</v>
          </cell>
          <cell r="O79">
            <v>882</v>
          </cell>
          <cell r="P79">
            <v>882</v>
          </cell>
          <cell r="Q79">
            <v>882</v>
          </cell>
          <cell r="R79">
            <v>882</v>
          </cell>
        </row>
        <row r="80">
          <cell r="B80" t="str">
            <v>Less: FX hedge provision</v>
          </cell>
          <cell r="C80">
            <v>-390</v>
          </cell>
          <cell r="D80">
            <v>-195</v>
          </cell>
          <cell r="E80"/>
          <cell r="F80"/>
          <cell r="G80"/>
          <cell r="H80"/>
          <cell r="I80"/>
          <cell r="J80"/>
          <cell r="K80"/>
          <cell r="L80"/>
          <cell r="M80"/>
          <cell r="N80"/>
          <cell r="O80"/>
          <cell r="P80"/>
          <cell r="Q80"/>
          <cell r="R80"/>
        </row>
        <row r="81">
          <cell r="B81" t="str">
            <v>Add back: Market value of Dassault Aviation</v>
          </cell>
          <cell r="C81">
            <v>1268.6199999999999</v>
          </cell>
          <cell r="D81">
            <v>1541.79</v>
          </cell>
          <cell r="E81">
            <v>1250.0999999999999</v>
          </cell>
          <cell r="F81">
            <v>2058.0349999999999</v>
          </cell>
          <cell r="G81"/>
          <cell r="H81">
            <v>2470.9847</v>
          </cell>
          <cell r="I81">
            <v>2911.4282831310002</v>
          </cell>
          <cell r="J81">
            <v>2484.7938648300001</v>
          </cell>
          <cell r="K81">
            <v>2433.2226714090002</v>
          </cell>
          <cell r="L81">
            <v>1936.2638984430002</v>
          </cell>
          <cell r="M81">
            <v>2742.6498319349998</v>
          </cell>
          <cell r="N81">
            <v>3047.3887021500004</v>
          </cell>
          <cell r="O81">
            <v>3211.4788630350004</v>
          </cell>
          <cell r="P81">
            <v>3211.4788630350004</v>
          </cell>
          <cell r="Q81">
            <v>3211.4788630350004</v>
          </cell>
          <cell r="R81">
            <v>3211.4788630350004</v>
          </cell>
        </row>
        <row r="82">
          <cell r="B82" t="str">
            <v>Add back: book value of other investments</v>
          </cell>
          <cell r="C82">
            <v>967</v>
          </cell>
          <cell r="D82">
            <v>991</v>
          </cell>
          <cell r="E82">
            <v>786</v>
          </cell>
          <cell r="F82">
            <v>785</v>
          </cell>
          <cell r="G82"/>
          <cell r="H82">
            <v>734</v>
          </cell>
          <cell r="I82">
            <v>989</v>
          </cell>
          <cell r="J82">
            <v>825</v>
          </cell>
          <cell r="K82">
            <v>717</v>
          </cell>
          <cell r="L82">
            <v>978</v>
          </cell>
          <cell r="M82">
            <v>1406</v>
          </cell>
          <cell r="N82">
            <v>1525</v>
          </cell>
          <cell r="O82">
            <v>1583</v>
          </cell>
          <cell r="P82">
            <v>1583</v>
          </cell>
          <cell r="Q82">
            <v>1583</v>
          </cell>
          <cell r="R82">
            <v>1583</v>
          </cell>
        </row>
        <row r="83">
          <cell r="B83" t="str">
            <v>Implied equity value (using company declared WACC)</v>
          </cell>
          <cell r="C83">
            <v>6420.3231494614529</v>
          </cell>
          <cell r="D83">
            <v>6233.7475314403773</v>
          </cell>
          <cell r="E83">
            <v>7492.9666736772506</v>
          </cell>
          <cell r="F83">
            <v>10304.196327920352</v>
          </cell>
          <cell r="G83"/>
          <cell r="H83">
            <v>10487.448187680526</v>
          </cell>
          <cell r="I83">
            <v>-10859.580143307689</v>
          </cell>
          <cell r="J83">
            <v>-9101.215003997273</v>
          </cell>
          <cell r="K83">
            <v>16284.511787759144</v>
          </cell>
          <cell r="L83">
            <v>-6725.9344515303701</v>
          </cell>
          <cell r="M83">
            <v>5592.5936263081712</v>
          </cell>
          <cell r="N83">
            <v>6655.823705490493</v>
          </cell>
          <cell r="O83">
            <v>4405.4455900257844</v>
          </cell>
          <cell r="P83">
            <v>11901.097085574522</v>
          </cell>
          <cell r="Q83">
            <v>21210.004367150999</v>
          </cell>
          <cell r="R83">
            <v>34605.351411301024</v>
          </cell>
        </row>
        <row r="84">
          <cell r="B84" t="str">
            <v>Implied equity value (using 9.5% WACC)</v>
          </cell>
          <cell r="C84">
            <v>6295.5642620324898</v>
          </cell>
          <cell r="D84">
            <v>6120.2547254284318</v>
          </cell>
          <cell r="E84">
            <v>7365.7972544939967</v>
          </cell>
          <cell r="F84">
            <v>10115.824055878053</v>
          </cell>
          <cell r="G84"/>
          <cell r="H84">
            <v>10276.008837740283</v>
          </cell>
          <cell r="I84">
            <v>-10884.966300981352</v>
          </cell>
          <cell r="J84">
            <v>-9114.3018646245364</v>
          </cell>
          <cell r="K84">
            <v>16050.148846135147</v>
          </cell>
          <cell r="L84">
            <v>-6731.3710358563085</v>
          </cell>
          <cell r="M84">
            <v>5476.9992802018314</v>
          </cell>
          <cell r="N84">
            <v>6517.1291870688874</v>
          </cell>
          <cell r="O84">
            <v>4290.9744728961041</v>
          </cell>
          <cell r="P84">
            <v>11717.856227776258</v>
          </cell>
          <cell r="Q84">
            <v>20950.429786423505</v>
          </cell>
          <cell r="R84">
            <v>34232.709049581004</v>
          </cell>
        </row>
        <row r="85">
          <cell r="B85"/>
          <cell r="C85"/>
          <cell r="D85"/>
          <cell r="E85"/>
          <cell r="F85"/>
          <cell r="G85"/>
          <cell r="H85"/>
          <cell r="I85"/>
          <cell r="J85"/>
          <cell r="K85"/>
          <cell r="L85"/>
          <cell r="M85"/>
          <cell r="N85"/>
          <cell r="O85"/>
          <cell r="P85"/>
          <cell r="Q85"/>
          <cell r="R85"/>
        </row>
        <row r="86">
          <cell r="B86" t="str">
            <v>Average no. of shares</v>
          </cell>
          <cell r="C86">
            <v>0</v>
          </cell>
          <cell r="D86">
            <v>0</v>
          </cell>
          <cell r="E86">
            <v>0</v>
          </cell>
          <cell r="F86">
            <v>0</v>
          </cell>
          <cell r="G86"/>
          <cell r="H86">
            <v>0</v>
          </cell>
          <cell r="I86">
            <v>800.18516399999999</v>
          </cell>
          <cell r="J86">
            <v>803.12822100000005</v>
          </cell>
          <cell r="K86">
            <v>806.97880099999998</v>
          </cell>
          <cell r="L86">
            <v>809.69863099999998</v>
          </cell>
          <cell r="M86">
            <v>810.69333900000004</v>
          </cell>
          <cell r="N86">
            <v>812.50728800000002</v>
          </cell>
          <cell r="O86">
            <v>817</v>
          </cell>
          <cell r="P86">
            <v>818.02697000000001</v>
          </cell>
          <cell r="Q86">
            <v>818.02697000000001</v>
          </cell>
          <cell r="R86">
            <v>818.02697000000001</v>
          </cell>
        </row>
        <row r="87">
          <cell r="B87" t="str">
            <v>Implied value per share (€) (using co. def WACC)</v>
          </cell>
          <cell r="C87" t="e">
            <v>#DIV/0!</v>
          </cell>
          <cell r="D87" t="e">
            <v>#DIV/0!</v>
          </cell>
          <cell r="E87" t="e">
            <v>#DIV/0!</v>
          </cell>
          <cell r="F87" t="e">
            <v>#DIV/0!</v>
          </cell>
          <cell r="G87"/>
          <cell r="H87" t="e">
            <v>#DIV/0!</v>
          </cell>
          <cell r="I87">
            <v>-13.571334026017619</v>
          </cell>
          <cell r="J87">
            <v>-11.332206696291989</v>
          </cell>
          <cell r="K87">
            <v>20.179602943199427</v>
          </cell>
          <cell r="L87">
            <v>-8.3067133795491994</v>
          </cell>
          <cell r="M87">
            <v>6.8985316114804922</v>
          </cell>
          <cell r="N87">
            <v>8.1917095437678</v>
          </cell>
          <cell r="O87">
            <v>5.3922222644134452</v>
          </cell>
          <cell r="P87">
            <v>14.548538767095321</v>
          </cell>
          <cell r="Q87">
            <v>25.928245821957432</v>
          </cell>
          <cell r="R87">
            <v>42.30343580395769</v>
          </cell>
        </row>
        <row r="88">
          <cell r="B88" t="str">
            <v>Implied value per share (€) (using 9.5% WACC)</v>
          </cell>
          <cell r="C88" t="e">
            <v>#DIV/0!</v>
          </cell>
          <cell r="D88" t="e">
            <v>#DIV/0!</v>
          </cell>
          <cell r="E88" t="e">
            <v>#DIV/0!</v>
          </cell>
          <cell r="F88" t="e">
            <v>#DIV/0!</v>
          </cell>
          <cell r="G88"/>
          <cell r="H88" t="e">
            <v>#DIV/0!</v>
          </cell>
          <cell r="I88">
            <v>-13.603059380117864</v>
          </cell>
          <cell r="J88">
            <v>-11.348501554678323</v>
          </cell>
          <cell r="K88">
            <v>19.889182747113015</v>
          </cell>
          <cell r="L88">
            <v>-8.3134277101875309</v>
          </cell>
          <cell r="M88">
            <v>6.7559445930045214</v>
          </cell>
          <cell r="N88">
            <v>8.0210101291656191</v>
          </cell>
          <cell r="O88">
            <v>5.2521107379389278</v>
          </cell>
          <cell r="P88">
            <v>14.32453532403248</v>
          </cell>
          <cell r="Q88">
            <v>25.610927945839617</v>
          </cell>
          <cell r="R88">
            <v>41.847897813908268</v>
          </cell>
        </row>
        <row r="89">
          <cell r="B89"/>
          <cell r="C89"/>
          <cell r="D89"/>
          <cell r="E89"/>
          <cell r="F89"/>
          <cell r="G89"/>
          <cell r="H89"/>
          <cell r="I89"/>
          <cell r="J89"/>
          <cell r="K89"/>
          <cell r="L89"/>
          <cell r="M89"/>
          <cell r="N89"/>
          <cell r="O89"/>
          <cell r="P89"/>
          <cell r="Q89"/>
          <cell r="R89"/>
        </row>
        <row r="91">
          <cell r="B91" t="str">
            <v>Checking</v>
          </cell>
        </row>
        <row r="92">
          <cell r="N92">
            <v>0.47619047619047628</v>
          </cell>
        </row>
        <row r="93">
          <cell r="N93">
            <v>-0.32258064516129037</v>
          </cell>
        </row>
        <row r="94">
          <cell r="B94"/>
          <cell r="C94"/>
          <cell r="D94"/>
          <cell r="E94"/>
          <cell r="F94"/>
          <cell r="G94"/>
          <cell r="H94"/>
          <cell r="I94"/>
          <cell r="J94"/>
          <cell r="K94"/>
          <cell r="L94"/>
          <cell r="M94"/>
          <cell r="N94"/>
          <cell r="O94"/>
          <cell r="P94"/>
          <cell r="Q94"/>
          <cell r="R94"/>
        </row>
      </sheetData>
      <sheetData sheetId="20"/>
      <sheetData sheetId="21" refreshError="1"/>
      <sheetData sheetId="22" refreshError="1"/>
      <sheetData sheetId="23"/>
      <sheetData sheetId="24" refreshError="1"/>
      <sheetData sheetId="25" refreshError="1"/>
      <sheetData sheetId="26" refreshError="1"/>
      <sheetData sheetId="27" refreshError="1"/>
      <sheetData sheetId="28">
        <row r="14">
          <cell r="B14" t="str">
            <v>Civil aero - new equipment</v>
          </cell>
        </row>
      </sheetData>
      <sheetData sheetId="29"/>
      <sheetData sheetId="30" refreshError="1"/>
      <sheetData sheetId="31" refreshError="1"/>
      <sheetData sheetId="32">
        <row r="18">
          <cell r="G18">
            <v>1996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4"/>
      <sheetName val="MigrationOutput_QP_ULE.L"/>
      <sheetName val="QP_ULE.L_migrated"/>
      <sheetName val="_QP_ULE.L"/>
      <sheetName val="ULE.L_Live_Sheet"/>
      <sheetName val="ULE.L_Validation_Sheet"/>
      <sheetName val="ULE.L_Annotation_Sheet"/>
      <sheetName val="ULE.L_Exchange_Sheet"/>
      <sheetName val="Financials"/>
      <sheetName val="Divisional_New"/>
      <sheetName val="Interims"/>
      <sheetName val="Use of cash"/>
      <sheetName val="Summary Financials"/>
      <sheetName val="Exhibit 2"/>
      <sheetName val="Platforms"/>
      <sheetName val="Old vs New"/>
      <sheetName val="Divisional_OLD"/>
      <sheetName val="Regional Breakdown"/>
      <sheetName val="Old Model ---&gt;"/>
      <sheetName val="Data"/>
      <sheetName val="CROCI"/>
      <sheetName val="Val"/>
      <sheetName val="Financials DP"/>
      <sheetName val="Interims DP"/>
      <sheetName val="Aircraft &amp; Vehicle DP"/>
      <sheetName val="Info &amp; Power DP"/>
      <sheetName val="Tactical &amp; SonarDP"/>
      <sheetName val="R4"/>
      <sheetName val="DCF-old"/>
      <sheetName val="Structure - new"/>
      <sheetName val="Cyber peers"/>
      <sheetName val="Structure - old"/>
      <sheetName val="Report - divisions"/>
      <sheetName val="Report - Oman"/>
      <sheetName val="Ch1"/>
      <sheetName val="R1"/>
      <sheetName val="R2"/>
      <sheetName val="R3"/>
      <sheetName val="P1"/>
      <sheetName val="Z2 (GS)"/>
      <sheetName val="Z3 ROIC"/>
      <sheetName val="Z2 (pres)"/>
      <sheetName val="Charts 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ow r="1">
          <cell r="A1" t="str">
            <v>2bf638bf-eee6-40ad-8514-1ec1f7d6a584</v>
          </cell>
        </row>
        <row r="2">
          <cell r="A2" t="str">
            <v>N:\Aerospace\Company Models\WIP models\[Ultra Electronics Model.xlsx]ULE.L_Validation_Sheet</v>
          </cell>
        </row>
        <row r="7">
          <cell r="A7" t="str">
            <v>Scalar|||208007413|||ISSR|||CURRENCY_ISO|||False|||</v>
          </cell>
          <cell r="C7" t="str">
            <v>V_KEYWORD_ISSR_208007413_CURRENCY_ISO</v>
          </cell>
        </row>
        <row r="9">
          <cell r="A9" t="str">
            <v>Scalar|||208007413|||ISSR|||MA_PROB|||False|||</v>
          </cell>
          <cell r="C9" t="str">
            <v>V_KEYWORD_ISSR_208007413_MA_PROB</v>
          </cell>
        </row>
        <row r="11">
          <cell r="A11" t="str">
            <v>Vector|||208007413|||ISSR|||SALES|||False|||</v>
          </cell>
          <cell r="C11" t="str">
            <v>V_KEYWORD_ISSR_208007413_SALES</v>
          </cell>
        </row>
        <row r="12">
          <cell r="A12" t="str">
            <v>Vector|||208007413|||ISSR|||COST_GD_SD|||False|||</v>
          </cell>
          <cell r="C12" t="str">
            <v>V_KEYWORD_ISSR_208007413_COST_GD_SD</v>
          </cell>
        </row>
        <row r="13">
          <cell r="A13" t="str">
            <v>Vector|||208007413|||ISSR|||SEL_GL_AD|||False|||</v>
          </cell>
          <cell r="C13" t="str">
            <v>V_KEYWORD_ISSR_208007413_SEL_GL_AD</v>
          </cell>
        </row>
        <row r="14">
          <cell r="A14" t="str">
            <v>Vector|||208007413|||ISSR|||OP_COST|||False|||</v>
          </cell>
          <cell r="C14" t="str">
            <v>V_KEYWORD_ISSR_208007413_OP_COST</v>
          </cell>
        </row>
        <row r="15">
          <cell r="A15" t="str">
            <v>Vector|||208007413|||ISSR|||RD_EXP|||False|||</v>
          </cell>
          <cell r="C15" t="str">
            <v>V_KEYWORD_ISSR_208007413_RD_EXP</v>
          </cell>
        </row>
        <row r="16">
          <cell r="A16" t="str">
            <v>Vector|||208007413|||ISSR|||OTH_OP_INC_EXP|||False|||</v>
          </cell>
          <cell r="C16" t="str">
            <v>V_KEYWORD_ISSR_208007413_OTH_OP_INC_EXP</v>
          </cell>
        </row>
        <row r="17">
          <cell r="A17" t="str">
            <v>Vector|||208007413|||ISSR|||TOT_OPS_EXP_DDA|||False|||</v>
          </cell>
          <cell r="C17" t="str">
            <v>V_KEYWORD_ISSR_208007413_TOT_OPS_EXP_DDA</v>
          </cell>
        </row>
        <row r="18">
          <cell r="A18" t="str">
            <v>Vector|||208007413|||ISSR|||TOT_OPS_EXP|||False|||</v>
          </cell>
          <cell r="C18" t="str">
            <v>V_KEYWORD_ISSR_208007413_TOT_OPS_EXP</v>
          </cell>
        </row>
        <row r="19">
          <cell r="A19" t="str">
            <v>Vector|||208007413|||ISSR|||EBITDA_CALC|||False|||</v>
          </cell>
          <cell r="C19" t="str">
            <v>V_KEYWORD_ISSR_208007413_EBITDA_CALC</v>
          </cell>
        </row>
        <row r="20">
          <cell r="A20" t="str">
            <v>Vector|||208007413|||ISSR|||DEPREC|||False|||</v>
          </cell>
          <cell r="C20" t="str">
            <v>V_KEYWORD_ISSR_208007413_DEPREC</v>
          </cell>
        </row>
        <row r="21">
          <cell r="A21" t="str">
            <v>Vector|||208007413|||ISSR|||GOODWILL_AMORT|||False|||</v>
          </cell>
          <cell r="C21" t="str">
            <v>V_KEYWORD_ISSR_208007413_GOODWILL_AMORT</v>
          </cell>
        </row>
        <row r="22">
          <cell r="A22" t="str">
            <v>Vector|||208007413|||ISSR|||EBIT|||False|||</v>
          </cell>
          <cell r="C22" t="str">
            <v>V_KEYWORD_ISSR_208007413_EBIT</v>
          </cell>
        </row>
        <row r="23">
          <cell r="A23" t="str">
            <v>Vector|||208007413|||ISSR|||INT_INC_IND|||False|||</v>
          </cell>
          <cell r="C23" t="str">
            <v>V_KEYWORD_ISSR_208007413_INT_INC_IND</v>
          </cell>
        </row>
        <row r="24">
          <cell r="A24" t="str">
            <v>Vector|||208007413|||ISSR|||INT_EXP_IND|||False|||</v>
          </cell>
          <cell r="C24" t="str">
            <v>V_KEYWORD_ISSR_208007413_INT_EXP_IND</v>
          </cell>
        </row>
        <row r="25">
          <cell r="A25" t="str">
            <v>Vector|||208007413|||ISSR|||NET_INT_EXP|||False|||</v>
          </cell>
          <cell r="C25" t="str">
            <v>V_KEYWORD_ISSR_208007413_NET_INT_EXP</v>
          </cell>
        </row>
        <row r="26">
          <cell r="A26" t="str">
            <v>Vector|||208007413|||ISSR|||ASSOCIATE|||False|||</v>
          </cell>
          <cell r="C26" t="str">
            <v>V_KEYWORD_ISSR_208007413_ASSOCIATE</v>
          </cell>
        </row>
        <row r="27">
          <cell r="A27" t="str">
            <v>Vector|||208007413|||ISSR|||PROFIT_ON_DISP|||False|||</v>
          </cell>
          <cell r="C27" t="str">
            <v>V_KEYWORD_ISSR_208007413_PROFIT_ON_DISP</v>
          </cell>
        </row>
        <row r="28">
          <cell r="A28" t="str">
            <v>Vector|||208007413|||ISSR|||OTH_COST_INC|||False|||</v>
          </cell>
          <cell r="C28" t="str">
            <v>V_KEYWORD_ISSR_208007413_OTH_COST_INC</v>
          </cell>
        </row>
        <row r="29">
          <cell r="A29" t="str">
            <v>Vector|||208007413|||ISSR|||PT_PROF|||False|||</v>
          </cell>
          <cell r="C29" t="str">
            <v>V_KEYWORD_ISSR_208007413_PT_PROF</v>
          </cell>
        </row>
        <row r="31">
          <cell r="A31" t="str">
            <v>Vector|||208007413|||ISSR|||ORG_REV|||False|||</v>
          </cell>
          <cell r="C31" t="str">
            <v>V_KEYWORD_ISSR_208007413_ORG_REV</v>
          </cell>
        </row>
        <row r="32">
          <cell r="A32" t="str">
            <v>Vector|||208007413|||ISSR|||ORG_REV_GRTH|||False|||</v>
          </cell>
          <cell r="C32" t="str">
            <v>V_KEYWORD_ISSR_208007413_ORG_REV_GRTH</v>
          </cell>
        </row>
        <row r="33">
          <cell r="A33" t="str">
            <v>Vector|||208007413|||ISSR|||LEASE_PAY|||False|||</v>
          </cell>
          <cell r="C33" t="str">
            <v>V_KEYWORD_ISSR_208007413_LEASE_PAY</v>
          </cell>
        </row>
        <row r="34">
          <cell r="A34" t="str">
            <v>Vector|||208007413|||ISSR|||LEASE_DEEM_INT|||False|||</v>
          </cell>
          <cell r="C34" t="str">
            <v>V_KEYWORD_ISSR_208007413_LEASE_DEEM_INT</v>
          </cell>
        </row>
        <row r="35">
          <cell r="A35" t="str">
            <v>Vector|||208007413|||ISSR|||LEASE_DEEM_DEPR|||False|||</v>
          </cell>
          <cell r="C35" t="str">
            <v>V_KEYWORD_ISSR_208007413_LEASE_DEEM_DEPR</v>
          </cell>
        </row>
        <row r="36">
          <cell r="A36" t="str">
            <v>Vector|||208007413|||ISSR|||NET_INT_CH|||False|||</v>
          </cell>
          <cell r="C36" t="str">
            <v>V_KEYWORD_ISSR_208007413_NET_INT_CH</v>
          </cell>
        </row>
        <row r="37">
          <cell r="A37" t="str">
            <v>Vector|||208007413|||ISSR|||ASSOCIATE_OP|||False|||</v>
          </cell>
          <cell r="C37" t="str">
            <v>V_KEYWORD_ISSR_208007413_ASSOCIATE_OP</v>
          </cell>
        </row>
        <row r="38">
          <cell r="A38" t="str">
            <v>Vector|||208007413|||ISSR|||GW_AMORT|||False|||</v>
          </cell>
          <cell r="C38" t="str">
            <v>V_KEYWORD_ISSR_208007413_GW_AMORT</v>
          </cell>
        </row>
        <row r="39">
          <cell r="A39" t="str">
            <v>Vector|||208007413|||ISSR|||OTH_INT_AMORT|||False|||</v>
          </cell>
          <cell r="C39" t="str">
            <v>V_KEYWORD_ISSR_208007413_OTH_INT_AMORT</v>
          </cell>
        </row>
        <row r="41">
          <cell r="A41" t="str">
            <v>Vector|||208007413|||ISSR|||CASH_EQ|||False|||</v>
          </cell>
          <cell r="C41" t="str">
            <v>V_KEYWORD_ISSR_208007413_CASH_EQ</v>
          </cell>
        </row>
        <row r="42">
          <cell r="A42" t="str">
            <v>Vector|||208007413|||ISSR|||DEBTORS|||False|||</v>
          </cell>
          <cell r="C42" t="str">
            <v>V_KEYWORD_ISSR_208007413_DEBTORS</v>
          </cell>
        </row>
        <row r="43">
          <cell r="A43" t="str">
            <v>Vector|||208007413|||ISSR|||STOCKS|||False|||</v>
          </cell>
          <cell r="C43" t="str">
            <v>V_KEYWORD_ISSR_208007413_STOCKS</v>
          </cell>
        </row>
        <row r="44">
          <cell r="A44" t="str">
            <v>Vector|||208007413|||ISSR|||OTH_CUR_ASS|||False|||</v>
          </cell>
          <cell r="C44" t="str">
            <v>V_KEYWORD_ISSR_208007413_OTH_CUR_ASS</v>
          </cell>
        </row>
        <row r="45">
          <cell r="A45" t="str">
            <v>Vector|||208007413|||ISSR|||CUR_ASS|||False|||</v>
          </cell>
          <cell r="C45" t="str">
            <v>V_KEYWORD_ISSR_208007413_CUR_ASS</v>
          </cell>
        </row>
        <row r="46">
          <cell r="A46" t="str">
            <v>Vector|||208007413|||ISSR|||GR_FIX_ASS|||False|||</v>
          </cell>
          <cell r="C46" t="str">
            <v>V_KEYWORD_ISSR_208007413_GR_FIX_ASS</v>
          </cell>
        </row>
        <row r="47">
          <cell r="A47" t="str">
            <v>Vector|||208007413|||ISSR|||ACC_DDA|||False|||</v>
          </cell>
          <cell r="C47" t="str">
            <v>V_KEYWORD_ISSR_208007413_ACC_DDA</v>
          </cell>
        </row>
        <row r="48">
          <cell r="A48" t="str">
            <v>Vector|||208007413|||ISSR|||NET_FIX_ASS|||False|||</v>
          </cell>
          <cell r="C48" t="str">
            <v>V_KEYWORD_ISSR_208007413_NET_FIX_ASS</v>
          </cell>
        </row>
        <row r="49">
          <cell r="A49" t="str">
            <v>Vector|||208007413|||ISSR|||GR_INTANG|||False|||</v>
          </cell>
          <cell r="C49" t="str">
            <v>V_KEYWORD_ISSR_208007413_GR_INTANG</v>
          </cell>
        </row>
        <row r="50">
          <cell r="A50" t="str">
            <v>Vector|||208007413|||ISSR|||ACC_AMORT|||False|||</v>
          </cell>
          <cell r="C50" t="str">
            <v>V_KEYWORD_ISSR_208007413_ACC_AMORT</v>
          </cell>
        </row>
        <row r="51">
          <cell r="A51" t="str">
            <v>Vector|||208007413|||ISSR|||NET_INTANG|||False|||</v>
          </cell>
          <cell r="C51" t="str">
            <v>V_KEYWORD_ISSR_208007413_NET_INTANG</v>
          </cell>
        </row>
        <row r="52">
          <cell r="A52" t="str">
            <v>Vector|||208007413|||ISSR|||FIX_ASS_INV|||False|||</v>
          </cell>
          <cell r="C52" t="str">
            <v>V_KEYWORD_ISSR_208007413_FIX_ASS_INV</v>
          </cell>
        </row>
        <row r="53">
          <cell r="A53" t="str">
            <v>Vector|||208007413|||ISSR|||INV_SECUR|||False|||</v>
          </cell>
          <cell r="C53" t="str">
            <v>V_KEYWORD_ISSR_208007413_INV_SECUR</v>
          </cell>
        </row>
        <row r="54">
          <cell r="A54" t="str">
            <v>Vector|||208007413|||ISSR|||OTH_LT_ASS|||False|||</v>
          </cell>
          <cell r="C54" t="str">
            <v>V_KEYWORD_ISSR_208007413_OTH_LT_ASS</v>
          </cell>
        </row>
        <row r="55">
          <cell r="A55" t="str">
            <v>Vector|||208007413|||ISSR|||TOT_ASSET|||False|||</v>
          </cell>
          <cell r="C55" t="str">
            <v>V_KEYWORD_ISSR_208007413_TOT_ASSET</v>
          </cell>
        </row>
        <row r="56">
          <cell r="A56" t="str">
            <v>Vector|||208007413|||ISSR|||ACC_PAY_GQ|||False|||</v>
          </cell>
          <cell r="C56" t="str">
            <v>V_KEYWORD_ISSR_208007413_ACC_PAY_GQ</v>
          </cell>
        </row>
        <row r="57">
          <cell r="A57" t="str">
            <v>Vector|||208007413|||ISSR|||SHORT_T_DEBT|||False|||</v>
          </cell>
          <cell r="C57" t="str">
            <v>V_KEYWORD_ISSR_208007413_SHORT_T_DEBT</v>
          </cell>
        </row>
        <row r="58">
          <cell r="A58" t="str">
            <v>Vector|||208007413|||ISSR|||OTH_CUR_LIABS|||False|||</v>
          </cell>
          <cell r="C58" t="str">
            <v>V_KEYWORD_ISSR_208007413_OTH_CUR_LIABS</v>
          </cell>
        </row>
        <row r="59">
          <cell r="A59" t="str">
            <v>Vector|||208007413|||ISSR|||SHORT_TERM_LIABS|||False|||</v>
          </cell>
          <cell r="C59" t="str">
            <v>V_KEYWORD_ISSR_208007413_SHORT_TERM_LIABS</v>
          </cell>
        </row>
        <row r="60">
          <cell r="A60" t="str">
            <v>Vector|||208007413|||ISSR|||LT_DEBT|||False|||</v>
          </cell>
          <cell r="C60" t="str">
            <v>V_KEYWORD_ISSR_208007413_LT_DEBT</v>
          </cell>
        </row>
        <row r="61">
          <cell r="A61" t="str">
            <v>Vector|||208007413|||ISSR|||OTH_LT_CRED_GQ|||False|||</v>
          </cell>
          <cell r="C61" t="str">
            <v>V_KEYWORD_ISSR_208007413_OTH_LT_CRED_GQ</v>
          </cell>
        </row>
        <row r="62">
          <cell r="A62" t="str">
            <v>Vector|||208007413|||ISSR|||TOT_LT_LIAB|||False|||</v>
          </cell>
          <cell r="C62" t="str">
            <v>V_KEYWORD_ISSR_208007413_TOT_LT_LIAB</v>
          </cell>
        </row>
        <row r="63">
          <cell r="A63" t="str">
            <v>Vector|||208007413|||ISSR|||TOT_LIAB|||False|||</v>
          </cell>
          <cell r="C63" t="str">
            <v>V_KEYWORD_ISSR_208007413_TOT_LIAB</v>
          </cell>
        </row>
        <row r="64">
          <cell r="A64" t="str">
            <v>Vector|||208007413|||ISSR|||PREF_SH|||False|||</v>
          </cell>
          <cell r="C64" t="str">
            <v>V_KEYWORD_ISSR_208007413_PREF_SH</v>
          </cell>
        </row>
        <row r="65">
          <cell r="A65" t="str">
            <v>Vector|||208007413|||ISSR|||ORD_SH_FUND|||False|||</v>
          </cell>
          <cell r="C65" t="str">
            <v>V_KEYWORD_ISSR_208007413_ORD_SH_FUND</v>
          </cell>
        </row>
        <row r="66">
          <cell r="A66" t="str">
            <v>Vector|||208007413|||ISSR|||MINORITIES|||False|||</v>
          </cell>
          <cell r="C66" t="str">
            <v>V_KEYWORD_ISSR_208007413_MINORITIES</v>
          </cell>
        </row>
        <row r="67">
          <cell r="A67" t="str">
            <v>Vector|||208007413|||ISSR|||EQ|||False|||</v>
          </cell>
          <cell r="C67" t="str">
            <v>V_KEYWORD_ISSR_208007413_EQ</v>
          </cell>
        </row>
        <row r="68">
          <cell r="A68" t="str">
            <v>Vector|||208007413|||ISSR|||TOT_LIAB_EQ|||False|||</v>
          </cell>
          <cell r="C68" t="str">
            <v>V_KEYWORD_ISSR_208007413_TOT_LIAB_EQ</v>
          </cell>
        </row>
        <row r="70">
          <cell r="A70" t="str">
            <v>Vector|||208007413|||ISSR|||NET_DEBT|||False|||</v>
          </cell>
          <cell r="C70" t="str">
            <v>V_KEYWORD_ISSR_208007413_NET_DEBT</v>
          </cell>
        </row>
        <row r="71">
          <cell r="A71" t="str">
            <v>Vector|||208007413|||ISSR|||CAP_LEASES|||False|||</v>
          </cell>
          <cell r="C71" t="str">
            <v>V_KEYWORD_ISSR_208007413_CAP_LEASES</v>
          </cell>
        </row>
        <row r="72">
          <cell r="A72" t="str">
            <v>Vector|||208007413|||ISSR|||DEF_INC_TAX|||False|||</v>
          </cell>
          <cell r="C72" t="str">
            <v>V_KEYWORD_ISSR_208007413_DEF_INC_TAX</v>
          </cell>
        </row>
        <row r="73">
          <cell r="A73" t="str">
            <v>Vector|||208007413|||ISSR|||MV_ASSOCIATES|||False|||</v>
          </cell>
          <cell r="C73" t="str">
            <v>V_KEYWORD_ISSR_208007413_MV_ASSOCIATES</v>
          </cell>
        </row>
        <row r="74">
          <cell r="A74" t="str">
            <v>Vector|||208007413|||ISSR|||NET_DEBT_ADJ|||False|||</v>
          </cell>
          <cell r="C74" t="str">
            <v>V_KEYWORD_ISSR_208007413_NET_DEBT_ADJ</v>
          </cell>
        </row>
        <row r="75">
          <cell r="A75" t="str">
            <v>Vector|||208007413|||ISSR|||CO_BOR_MARGIN|||False|||</v>
          </cell>
          <cell r="C75" t="str">
            <v>V_KEYWORD_ISSR_208007413_CO_BOR_MARGIN</v>
          </cell>
        </row>
        <row r="76">
          <cell r="A76" t="str">
            <v>Vector|||208007413|||ISSR|||UNF_PENS|||False|||</v>
          </cell>
          <cell r="C76" t="str">
            <v>V_KEYWORD_ISSR_208007413_UNF_PENS</v>
          </cell>
        </row>
        <row r="77">
          <cell r="A77" t="str">
            <v>Vector|||208007413|||ISSR|||UNF_PENS_OFF|||False|||</v>
          </cell>
          <cell r="C77" t="str">
            <v>V_KEYWORD_ISSR_208007413_UNF_PENS_OFF</v>
          </cell>
        </row>
        <row r="78">
          <cell r="A78" t="str">
            <v>Vector|||208007413|||ISSR|||UNF_PENS_LIAB_OTH|||False|||</v>
          </cell>
          <cell r="C78" t="str">
            <v>V_KEYWORD_ISSR_208007413_UNF_PENS_LIAB_OTH</v>
          </cell>
        </row>
        <row r="79">
          <cell r="A79" t="str">
            <v>Vector|||208007413|||ISSR|||ADJ_UNF_PENS_GOOD|||False|||</v>
          </cell>
          <cell r="C79" t="str">
            <v>V_KEYWORD_ISSR_208007413_ADJ_UNF_PENS_GOOD</v>
          </cell>
        </row>
        <row r="80">
          <cell r="A80" t="str">
            <v>Vector|||208007413|||ISSR|||OTH_GCI_ADJ|||False|||</v>
          </cell>
          <cell r="C80" t="str">
            <v>V_KEYWORD_ISSR_208007413_OTH_GCI_ADJ</v>
          </cell>
        </row>
        <row r="81">
          <cell r="A81" t="str">
            <v>Vector|||208007413|||ISSR|||GCI_INFL|||False|||</v>
          </cell>
          <cell r="C81" t="str">
            <v>V_KEYWORD_ISSR_208007413_GCI_INFL</v>
          </cell>
        </row>
        <row r="82">
          <cell r="A82" t="str">
            <v>Vector|||208007413|||ISSR|||BAL_MINO_INT|||False|||</v>
          </cell>
          <cell r="C82" t="str">
            <v>V_KEYWORD_ISSR_208007413_BAL_MINO_INT</v>
          </cell>
        </row>
        <row r="84">
          <cell r="A84" t="str">
            <v>Vector|||208007413|||ISSR|||CF_INC_MINORITY|||False|||</v>
          </cell>
          <cell r="C84" t="str">
            <v>V_KEYWORD_ISSR_208007413_CF_INC_MINORITY</v>
          </cell>
        </row>
        <row r="85">
          <cell r="A85" t="str">
            <v>Vector|||208007413|||ISSR|||DEPR_AMORT|||False|||</v>
          </cell>
          <cell r="C85" t="str">
            <v>V_KEYWORD_ISSR_208007413_DEPR_AMORT</v>
          </cell>
        </row>
        <row r="86">
          <cell r="A86" t="str">
            <v>Vector|||208007413|||ISSR|||WORK_CAP|||False|||</v>
          </cell>
          <cell r="C86" t="str">
            <v>V_KEYWORD_ISSR_208007413_WORK_CAP</v>
          </cell>
        </row>
        <row r="87">
          <cell r="A87" t="str">
            <v>Vector|||208007413|||ISSR|||OTH_OP_CF|||False|||</v>
          </cell>
          <cell r="C87" t="str">
            <v>V_KEYWORD_ISSR_208007413_OTH_OP_CF</v>
          </cell>
        </row>
        <row r="88">
          <cell r="A88" t="str">
            <v>Vector|||208007413|||ISSR|||CF_OPS|||False|||</v>
          </cell>
          <cell r="C88" t="str">
            <v>V_KEYWORD_ISSR_208007413_CF_OPS</v>
          </cell>
        </row>
        <row r="89">
          <cell r="A89" t="str">
            <v>Vector|||208007413|||ISSR|||CAPEX|||False|||</v>
          </cell>
          <cell r="C89" t="str">
            <v>V_KEYWORD_ISSR_208007413_CAPEX</v>
          </cell>
        </row>
        <row r="90">
          <cell r="A90" t="str">
            <v>Vector|||208007413|||ISSR|||ACQ|||False|||</v>
          </cell>
          <cell r="C90" t="str">
            <v>V_KEYWORD_ISSR_208007413_ACQ</v>
          </cell>
        </row>
        <row r="91">
          <cell r="A91" t="str">
            <v>Vector|||208007413|||ISSR|||DIVEST|||False|||</v>
          </cell>
          <cell r="C91" t="str">
            <v>V_KEYWORD_ISSR_208007413_DIVEST</v>
          </cell>
        </row>
        <row r="92">
          <cell r="A92" t="str">
            <v>Vector|||208007413|||ISSR|||OTH_INV_CF|||False|||</v>
          </cell>
          <cell r="C92" t="str">
            <v>V_KEYWORD_ISSR_208007413_OTH_INV_CF</v>
          </cell>
        </row>
        <row r="93">
          <cell r="A93" t="str">
            <v>Vector|||208007413|||ISSR|||CF_INV|||False|||</v>
          </cell>
          <cell r="C93" t="str">
            <v>V_KEYWORD_ISSR_208007413_CF_INV</v>
          </cell>
        </row>
        <row r="94">
          <cell r="A94" t="str">
            <v>Vector|||208007413|||ISSR|||DIV_PAID|||False|||</v>
          </cell>
          <cell r="C94" t="str">
            <v>V_KEYWORD_ISSR_208007413_DIV_PAID</v>
          </cell>
        </row>
        <row r="95">
          <cell r="A95" t="str">
            <v>Vector|||208007413|||ISSR|||SH_REPUR|||False|||</v>
          </cell>
          <cell r="C95" t="str">
            <v>V_KEYWORD_ISSR_208007413_SH_REPUR</v>
          </cell>
        </row>
        <row r="96">
          <cell r="A96" t="str">
            <v>Vector|||208007413|||ISSR|||CHG_LT_DEBT|||False|||</v>
          </cell>
          <cell r="C96" t="str">
            <v>V_KEYWORD_ISSR_208007413_CHG_LT_DEBT</v>
          </cell>
        </row>
        <row r="97">
          <cell r="A97" t="str">
            <v>Vector|||208007413|||ISSR|||OTH_FIN_CF|||False|||</v>
          </cell>
          <cell r="C97" t="str">
            <v>V_KEYWORD_ISSR_208007413_OTH_FIN_CF</v>
          </cell>
        </row>
        <row r="98">
          <cell r="A98" t="str">
            <v>Vector|||208007413|||ISSR|||CF_FIN|||False|||</v>
          </cell>
          <cell r="C98" t="str">
            <v>V_KEYWORD_ISSR_208007413_CF_FIN</v>
          </cell>
        </row>
        <row r="99">
          <cell r="A99" t="str">
            <v>Vector|||208007413|||ISSR|||OTH_ITEM_NCF|||False|||</v>
          </cell>
          <cell r="C99" t="str">
            <v>V_KEYWORD_ISSR_208007413_OTH_ITEM_NCF</v>
          </cell>
        </row>
        <row r="100">
          <cell r="A100" t="str">
            <v>Vector|||208007413|||ISSR|||TOT_CF|||False|||</v>
          </cell>
          <cell r="C100" t="str">
            <v>V_KEYWORD_ISSR_208007413_TOT_CF</v>
          </cell>
        </row>
        <row r="102">
          <cell r="A102" t="str">
            <v>Vector|||208007413|||ISSR|||ASSOC_JV_ADDBK|||False|||</v>
          </cell>
          <cell r="C102" t="str">
            <v>V_KEYWORD_ISSR_208007413_ASSOC_JV_ADDBK</v>
          </cell>
        </row>
        <row r="103">
          <cell r="A103" t="str">
            <v>Vector|||208007413|||ISSR|||CASH_INT_INC_EXP|||False|||</v>
          </cell>
          <cell r="C103" t="str">
            <v>V_KEYWORD_ISSR_208007413_CASH_INT_INC_EXP</v>
          </cell>
        </row>
        <row r="104">
          <cell r="A104" t="str">
            <v>Vector|||208007413|||ISSR|||CASH_TAX_PD|||False|||</v>
          </cell>
          <cell r="C104" t="str">
            <v>V_KEYWORD_ISSR_208007413_CASH_TAX_PD</v>
          </cell>
        </row>
        <row r="105">
          <cell r="A105" t="str">
            <v>Vector|||208007413|||ISSR|||PL_SALE_ASSETS|||False|||</v>
          </cell>
          <cell r="C105" t="str">
            <v>V_KEYWORD_ISSR_208007413_PL_SALE_ASSETS</v>
          </cell>
        </row>
        <row r="106">
          <cell r="A106" t="str">
            <v>Vector|||208007413|||ISSR|||OTH_NONCASH_ADJ|||False|||</v>
          </cell>
          <cell r="C106" t="str">
            <v>V_KEYWORD_ISSR_208007413_OTH_NONCASH_ADJ</v>
          </cell>
        </row>
        <row r="107">
          <cell r="A107" t="str">
            <v>Vector|||208007413|||ISSR|||OTH_DACF_ADJ|||False|||</v>
          </cell>
          <cell r="C107" t="str">
            <v>V_KEYWORD_ISSR_208007413_OTH_DACF_ADJ</v>
          </cell>
        </row>
        <row r="108">
          <cell r="A108" t="str">
            <v>Vector|||208007413|||ISSR|||CASH_INT_EXP|||False|||</v>
          </cell>
          <cell r="C108" t="str">
            <v>V_KEYWORD_ISSR_208007413_CASH_INT_EXP</v>
          </cell>
        </row>
        <row r="109">
          <cell r="A109" t="str">
            <v>Vector|||208007413|||ISSR|||CASH_TAX_EXP|||False|||</v>
          </cell>
          <cell r="C109" t="str">
            <v>V_KEYWORD_ISSR_208007413_CASH_TAX_EXP</v>
          </cell>
        </row>
        <row r="110">
          <cell r="A110" t="str">
            <v>Vector|||208007413|||ISSR|||DIVDS_ASSOC_JV|||False|||</v>
          </cell>
          <cell r="C110" t="str">
            <v>V_KEYWORD_ISSR_208007413_DIVDS_ASSOC_JV</v>
          </cell>
        </row>
        <row r="111">
          <cell r="A111" t="str">
            <v>Vector|||208007413|||ISSR|||CAPEX_MAINTENANCE|||False|||</v>
          </cell>
          <cell r="C111" t="str">
            <v>V_KEYWORD_ISSR_208007413_CAPEX_MAINTENANCE</v>
          </cell>
        </row>
        <row r="112">
          <cell r="A112" t="str">
            <v>Vector|||208007413|||ISSR|||CAPEX_EXPANSION|||False|||</v>
          </cell>
          <cell r="C112" t="str">
            <v>V_KEYWORD_ISSR_208007413_CAPEX_EXPANSION</v>
          </cell>
        </row>
        <row r="113">
          <cell r="A113" t="str">
            <v>Vector|||208007413|||ISSR|||NONPPE_CAPEX|||False|||</v>
          </cell>
          <cell r="C113" t="str">
            <v>V_KEYWORD_ISSR_208007413_NONPPE_CAPEX</v>
          </cell>
        </row>
        <row r="114">
          <cell r="A114" t="str">
            <v>Vector|||208007413|||ISSR|||DIVDS_PD_MINORITIES|||False|||</v>
          </cell>
          <cell r="C114" t="str">
            <v>V_KEYWORD_ISSR_208007413_DIVDS_PD_MINORITIES</v>
          </cell>
        </row>
        <row r="116">
          <cell r="A116" t="str">
            <v>Vector|||208007413|||ISSR|||EMPLOYEES|||False|||</v>
          </cell>
          <cell r="C116" t="str">
            <v>V_KEYWORD_ISSR_208007413_EMPLOYEES</v>
          </cell>
        </row>
        <row r="118">
          <cell r="A118" t="str">
            <v>Vector|||208007413|||ISSR|||SALES_CANADA|||False|||</v>
          </cell>
          <cell r="C118" t="str">
            <v>V_KEYWORD_ISSR_208007413_SALES_CANADA</v>
          </cell>
        </row>
        <row r="119">
          <cell r="A119" t="str">
            <v>Vector|||208007413|||ISSR|||SALES_US|||False|||</v>
          </cell>
          <cell r="C119" t="str">
            <v>V_KEYWORD_ISSR_208007413_SALES_US</v>
          </cell>
        </row>
        <row r="120">
          <cell r="A120" t="str">
            <v>Vector|||208007413|||ISSR|||SALES_OTH_NO_AMER|||False|||</v>
          </cell>
          <cell r="C120" t="str">
            <v>V_KEYWORD_ISSR_208007413_SALES_OTH_NO_AMER</v>
          </cell>
        </row>
        <row r="121">
          <cell r="A121" t="str">
            <v>Vector|||208007413|||ISSR|||SALES_ARGENTINA|||False|||</v>
          </cell>
          <cell r="C121" t="str">
            <v>V_KEYWORD_ISSR_208007413_SALES_ARGENTINA</v>
          </cell>
        </row>
        <row r="122">
          <cell r="A122" t="str">
            <v>Vector|||208007413|||ISSR|||SALES_BRAZIL|||False|||</v>
          </cell>
          <cell r="C122" t="str">
            <v>V_KEYWORD_ISSR_208007413_SALES_BRAZIL</v>
          </cell>
        </row>
        <row r="123">
          <cell r="A123" t="str">
            <v>Vector|||208007413|||ISSR|||SALES_CHILE|||False|||</v>
          </cell>
          <cell r="C123" t="str">
            <v>V_KEYWORD_ISSR_208007413_SALES_CHILE</v>
          </cell>
        </row>
        <row r="124">
          <cell r="A124" t="str">
            <v>Vector|||208007413|||ISSR|||SALES_COLOMBIA|||False|||</v>
          </cell>
          <cell r="C124" t="str">
            <v>V_KEYWORD_ISSR_208007413_SALES_COLOMBIA</v>
          </cell>
        </row>
        <row r="125">
          <cell r="A125" t="str">
            <v>Vector|||208007413|||ISSR|||SALES_MEXICO|||False|||</v>
          </cell>
          <cell r="C125" t="str">
            <v>V_KEYWORD_ISSR_208007413_SALES_MEXICO</v>
          </cell>
        </row>
        <row r="126">
          <cell r="A126" t="str">
            <v>Vector|||208007413|||ISSR|||SALES_VENEZUELA|||False|||</v>
          </cell>
          <cell r="C126" t="str">
            <v>V_KEYWORD_ISSR_208007413_SALES_VENEZUELA</v>
          </cell>
        </row>
        <row r="127">
          <cell r="A127" t="str">
            <v>Vector|||208007413|||ISSR|||SALES_OTH_LATAM|||False|||</v>
          </cell>
          <cell r="C127" t="str">
            <v>V_KEYWORD_ISSR_208007413_SALES_OTH_LATAM</v>
          </cell>
        </row>
        <row r="128">
          <cell r="A128" t="str">
            <v>Vector|||208007413|||ISSR|||SALES_AUSTRIA|||False|||</v>
          </cell>
          <cell r="C128" t="str">
            <v>V_KEYWORD_ISSR_208007413_SALES_AUSTRIA</v>
          </cell>
        </row>
        <row r="129">
          <cell r="A129" t="str">
            <v>Vector|||208007413|||ISSR|||SALES_BEL|||False|||</v>
          </cell>
          <cell r="C129" t="str">
            <v>V_KEYWORD_ISSR_208007413_SALES_BEL</v>
          </cell>
        </row>
        <row r="130">
          <cell r="A130" t="str">
            <v>Vector|||208007413|||ISSR|||SALES_FRA|||False|||</v>
          </cell>
          <cell r="C130" t="str">
            <v>V_KEYWORD_ISSR_208007413_SALES_FRA</v>
          </cell>
        </row>
        <row r="131">
          <cell r="A131" t="str">
            <v>Vector|||208007413|||ISSR|||SALES_GER|||False|||</v>
          </cell>
          <cell r="C131" t="str">
            <v>V_KEYWORD_ISSR_208007413_SALES_GER</v>
          </cell>
        </row>
        <row r="132">
          <cell r="A132" t="str">
            <v>Vector|||208007413|||ISSR|||SALES_GRE|||False|||</v>
          </cell>
          <cell r="C132" t="str">
            <v>V_KEYWORD_ISSR_208007413_SALES_GRE</v>
          </cell>
        </row>
        <row r="133">
          <cell r="A133" t="str">
            <v>Vector|||208007413|||ISSR|||SALES_IRE|||False|||</v>
          </cell>
          <cell r="C133" t="str">
            <v>V_KEYWORD_ISSR_208007413_SALES_IRE</v>
          </cell>
        </row>
        <row r="134">
          <cell r="A134" t="str">
            <v>Vector|||208007413|||ISSR|||SALES_ITA|||False|||</v>
          </cell>
          <cell r="C134" t="str">
            <v>V_KEYWORD_ISSR_208007413_SALES_ITA</v>
          </cell>
        </row>
        <row r="135">
          <cell r="A135" t="str">
            <v>Vector|||208007413|||ISSR|||SALES_NETH|||False|||</v>
          </cell>
          <cell r="C135" t="str">
            <v>V_KEYWORD_ISSR_208007413_SALES_NETH</v>
          </cell>
        </row>
        <row r="136">
          <cell r="A136" t="str">
            <v>Vector|||208007413|||ISSR|||SALES_NOR|||False|||</v>
          </cell>
          <cell r="C136" t="str">
            <v>V_KEYWORD_ISSR_208007413_SALES_NOR</v>
          </cell>
        </row>
        <row r="137">
          <cell r="A137" t="str">
            <v>Vector|||208007413|||ISSR|||SALES_POR|||False|||</v>
          </cell>
          <cell r="C137" t="str">
            <v>V_KEYWORD_ISSR_208007413_SALES_POR</v>
          </cell>
        </row>
        <row r="138">
          <cell r="A138" t="str">
            <v>Vector|||208007413|||ISSR|||SALES_SPA|||False|||</v>
          </cell>
          <cell r="C138" t="str">
            <v>V_KEYWORD_ISSR_208007413_SALES_SPA</v>
          </cell>
        </row>
        <row r="139">
          <cell r="A139" t="str">
            <v>Vector|||208007413|||ISSR|||SALES_SWE|||False|||</v>
          </cell>
          <cell r="C139" t="str">
            <v>V_KEYWORD_ISSR_208007413_SALES_SWE</v>
          </cell>
        </row>
        <row r="140">
          <cell r="A140" t="str">
            <v>Vector|||208007413|||ISSR|||SALES_SWIT|||False|||</v>
          </cell>
          <cell r="C140" t="str">
            <v>V_KEYWORD_ISSR_208007413_SALES_SWIT</v>
          </cell>
        </row>
        <row r="141">
          <cell r="A141" t="str">
            <v>Vector|||208007413|||ISSR|||SALES_UK|||False|||</v>
          </cell>
          <cell r="C141" t="str">
            <v>V_KEYWORD_ISSR_208007413_SALES_UK</v>
          </cell>
        </row>
        <row r="142">
          <cell r="A142" t="str">
            <v>Vector|||208007413|||ISSR|||SALES_OTH_WEST_EURO|||False|||</v>
          </cell>
          <cell r="C142" t="str">
            <v>V_KEYWORD_ISSR_208007413_SALES_OTH_WEST_EURO</v>
          </cell>
        </row>
        <row r="143">
          <cell r="A143" t="str">
            <v>Vector|||208007413|||ISSR|||SALES_POLAND|||False|||</v>
          </cell>
          <cell r="C143" t="str">
            <v>V_KEYWORD_ISSR_208007413_SALES_POLAND</v>
          </cell>
        </row>
        <row r="144">
          <cell r="A144" t="str">
            <v>Vector|||208007413|||ISSR|||SALES_RUSSIA|||False|||</v>
          </cell>
          <cell r="C144" t="str">
            <v>V_KEYWORD_ISSR_208007413_SALES_RUSSIA</v>
          </cell>
        </row>
        <row r="145">
          <cell r="A145" t="str">
            <v>Vector|||208007413|||ISSR|||SALES_TURKEY|||False|||</v>
          </cell>
          <cell r="C145" t="str">
            <v>V_KEYWORD_ISSR_208007413_SALES_TURKEY</v>
          </cell>
        </row>
        <row r="146">
          <cell r="A146" t="str">
            <v>Vector|||208007413|||ISSR|||SALES_OTH_CEE|||False|||</v>
          </cell>
          <cell r="C146" t="str">
            <v>V_KEYWORD_ISSR_208007413_SALES_OTH_CEE</v>
          </cell>
        </row>
        <row r="147">
          <cell r="A147" t="str">
            <v>Vector|||208007413|||ISSR|||SALES_SAUDI_ARABIA|||False|||</v>
          </cell>
          <cell r="C147" t="str">
            <v>V_KEYWORD_ISSR_208007413_SALES_SAUDI_ARABIA</v>
          </cell>
        </row>
        <row r="148">
          <cell r="A148" t="str">
            <v>Vector|||208007413|||ISSR|||SALES_UAE|||False|||</v>
          </cell>
          <cell r="C148" t="str">
            <v>V_KEYWORD_ISSR_208007413_SALES_UAE</v>
          </cell>
        </row>
        <row r="149">
          <cell r="A149" t="str">
            <v>Vector|||208007413|||ISSR|||SALES_OTH_ME|||False|||</v>
          </cell>
          <cell r="C149" t="str">
            <v>V_KEYWORD_ISSR_208007413_SALES_OTH_ME</v>
          </cell>
        </row>
        <row r="150">
          <cell r="A150" t="str">
            <v>Vector|||208007413|||ISSR|||SALES_NIGERIA|||False|||</v>
          </cell>
          <cell r="C150" t="str">
            <v>V_KEYWORD_ISSR_208007413_SALES_NIGERIA</v>
          </cell>
        </row>
        <row r="151">
          <cell r="A151" t="str">
            <v>Vector|||208007413|||ISSR|||SALES_SO_AFRICA|||False|||</v>
          </cell>
          <cell r="C151" t="str">
            <v>V_KEYWORD_ISSR_208007413_SALES_SO_AFRICA</v>
          </cell>
        </row>
        <row r="152">
          <cell r="A152" t="str">
            <v>Vector|||208007413|||ISSR|||SALES_OTH_AFRICA|||False|||</v>
          </cell>
          <cell r="C152" t="str">
            <v>V_KEYWORD_ISSR_208007413_SALES_OTH_AFRICA</v>
          </cell>
        </row>
        <row r="153">
          <cell r="A153" t="str">
            <v>Vector|||208007413|||ISSR|||SALES_HONG_KONG|||False|||</v>
          </cell>
          <cell r="C153" t="str">
            <v>V_KEYWORD_ISSR_208007413_SALES_HONG_KONG</v>
          </cell>
        </row>
        <row r="154">
          <cell r="A154" t="str">
            <v>Vector|||208007413|||ISSR|||SALES_JAPAN|||False|||</v>
          </cell>
          <cell r="C154" t="str">
            <v>V_KEYWORD_ISSR_208007413_SALES_JAPAN</v>
          </cell>
        </row>
        <row r="155">
          <cell r="A155" t="str">
            <v>Vector|||208007413|||ISSR|||SALES_SINGAPORE|||False|||</v>
          </cell>
          <cell r="C155" t="str">
            <v>V_KEYWORD_ISSR_208007413_SALES_SINGAPORE</v>
          </cell>
        </row>
        <row r="156">
          <cell r="A156" t="str">
            <v>Vector|||208007413|||ISSR|||SALES_SK|||False|||</v>
          </cell>
          <cell r="C156" t="str">
            <v>V_KEYWORD_ISSR_208007413_SALES_SK</v>
          </cell>
        </row>
        <row r="157">
          <cell r="A157" t="str">
            <v>Vector|||208007413|||ISSR|||SALES_TAIWAN|||False|||</v>
          </cell>
          <cell r="C157" t="str">
            <v>V_KEYWORD_ISSR_208007413_SALES_TAIWAN</v>
          </cell>
        </row>
        <row r="158">
          <cell r="A158" t="str">
            <v>Vector|||208007413|||ISSR|||SALES_OTH_DEV_ASIA|||False|||</v>
          </cell>
          <cell r="C158" t="str">
            <v>V_KEYWORD_ISSR_208007413_SALES_OTH_DEV_ASIA</v>
          </cell>
        </row>
        <row r="159">
          <cell r="A159" t="str">
            <v>Vector|||208007413|||ISSR|||SALES_CHINA|||False|||</v>
          </cell>
          <cell r="C159" t="str">
            <v>V_KEYWORD_ISSR_208007413_SALES_CHINA</v>
          </cell>
        </row>
        <row r="160">
          <cell r="A160" t="str">
            <v>Vector|||208007413|||ISSR|||SALES_INDIA|||False|||</v>
          </cell>
          <cell r="C160" t="str">
            <v>V_KEYWORD_ISSR_208007413_SALES_INDIA</v>
          </cell>
        </row>
        <row r="161">
          <cell r="A161" t="str">
            <v>Vector|||208007413|||ISSR|||SALES_INDONESIA|||False|||</v>
          </cell>
          <cell r="C161" t="str">
            <v>V_KEYWORD_ISSR_208007413_SALES_INDONESIA</v>
          </cell>
        </row>
        <row r="162">
          <cell r="A162" t="str">
            <v>Vector|||208007413|||ISSR|||SALES_THAILAND|||False|||</v>
          </cell>
          <cell r="C162" t="str">
            <v>V_KEYWORD_ISSR_208007413_SALES_THAILAND</v>
          </cell>
        </row>
        <row r="163">
          <cell r="A163" t="str">
            <v>Vector|||208007413|||ISSR|||SALES_OTH_EMERG_ASIA|||False|||</v>
          </cell>
          <cell r="C163" t="str">
            <v>V_KEYWORD_ISSR_208007413_SALES_OTH_EMERG_ASIA</v>
          </cell>
        </row>
        <row r="164">
          <cell r="A164" t="str">
            <v>Vector|||208007413|||ISSR|||SALES_AUSTRA|||False|||</v>
          </cell>
          <cell r="C164" t="str">
            <v>V_KEYWORD_ISSR_208007413_SALES_AUSTRA</v>
          </cell>
        </row>
        <row r="165">
          <cell r="A165" t="str">
            <v>Vector|||208007413|||ISSR|||SALES_NZ|||False|||</v>
          </cell>
          <cell r="C165" t="str">
            <v>V_KEYWORD_ISSR_208007413_SALES_NZ</v>
          </cell>
        </row>
        <row r="166">
          <cell r="A166" t="str">
            <v>Vector|||208007413|||ISSR|||SALES_OTHER|||False|||</v>
          </cell>
          <cell r="C166" t="str">
            <v>V_KEYWORD_ISSR_208007413_SALES_OTHER</v>
          </cell>
        </row>
        <row r="167">
          <cell r="A167" t="str">
            <v>Vector|||208007413|||ISSR|||SALES_CONS|||False|||</v>
          </cell>
          <cell r="C167" t="str">
            <v>V_KEYWORD_ISSR_208007413_SALES_CONS</v>
          </cell>
        </row>
        <row r="168">
          <cell r="A168" t="str">
            <v>Vector|||208007413|||ISSR|||SALES_IND|||False|||</v>
          </cell>
          <cell r="C168" t="str">
            <v>V_KEYWORD_ISSR_208007413_SALES_IND</v>
          </cell>
        </row>
        <row r="169">
          <cell r="A169" t="str">
            <v>Vector|||208007413|||ISSR|||SALES_GOV|||False|||</v>
          </cell>
          <cell r="C169" t="str">
            <v>V_KEYWORD_ISSR_208007413_SALES_GOV</v>
          </cell>
        </row>
        <row r="170">
          <cell r="A170" t="str">
            <v>Vector|||208007413|||ISSR|||SALES_FINAN|||False|||</v>
          </cell>
          <cell r="C170" t="str">
            <v>V_KEYWORD_ISSR_208007413_SALES_FINAN</v>
          </cell>
        </row>
        <row r="171">
          <cell r="A171" t="str">
            <v>Vector|||208007413|||ISSR|||SALES_OIL_GAS|||False|||</v>
          </cell>
          <cell r="C171" t="str">
            <v>V_KEYWORD_ISSR_208007413_SALES_OIL_GAS</v>
          </cell>
        </row>
        <row r="173">
          <cell r="A173" t="str">
            <v>Vector|||208007413|||ISSR|||SALES_OTH_COMMODITY|||False|||</v>
          </cell>
          <cell r="C173" t="str">
            <v>V_KEYWORD_ISSR_208007413_SALES_OTH_COMMODITY</v>
          </cell>
        </row>
        <row r="174">
          <cell r="A174" t="str">
            <v>Vector|||208007413|||ISSR|||SALES_OTH_SALES_SOURCES|||False|||</v>
          </cell>
          <cell r="C174" t="str">
            <v>V_KEYWORD_ISSR_208007413_SALES_OTH_SALES_SOURCES</v>
          </cell>
        </row>
        <row r="176">
          <cell r="A176" t="str">
            <v>Vector|||208007413|||ISSR|||EXP_OIL_PETRO_FUEL|||False|||</v>
          </cell>
          <cell r="C176" t="str">
            <v>V_KEYWORD_ISSR_208007413_EXP_OIL_PETRO_FUEL</v>
          </cell>
        </row>
        <row r="177">
          <cell r="A177" t="str">
            <v>Vector|||208007413|||ISSR|||EXP_OIL_DERIV_NGLS_PLASTICS|||False|||</v>
          </cell>
          <cell r="C177" t="str">
            <v>V_KEYWORD_ISSR_208007413_EXP_OIL_DERIV_NGLS_PLASTICS</v>
          </cell>
        </row>
        <row r="178">
          <cell r="A178" t="str">
            <v>Vector|||208007413|||ISSR|||EXP_NAT_GAS|||False|||</v>
          </cell>
          <cell r="C178" t="str">
            <v>V_KEYWORD_ISSR_208007413_EXP_NAT_GAS</v>
          </cell>
        </row>
        <row r="179">
          <cell r="A179" t="str">
            <v>Vector|||208007413|||ISSR|||EXP_GOLD|||False|||</v>
          </cell>
          <cell r="C179" t="str">
            <v>V_KEYWORD_ISSR_208007413_EXP_GOLD</v>
          </cell>
        </row>
        <row r="180">
          <cell r="A180" t="str">
            <v>Vector|||208007413|||ISSR|||EXP_COPPER|||False|||</v>
          </cell>
          <cell r="C180" t="str">
            <v>V_KEYWORD_ISSR_208007413_EXP_COPPER</v>
          </cell>
        </row>
        <row r="181">
          <cell r="A181" t="str">
            <v>Vector|||208007413|||ISSR|||EXP_SILVER|||False|||</v>
          </cell>
          <cell r="C181" t="str">
            <v>V_KEYWORD_ISSR_208007413_EXP_SILVER</v>
          </cell>
        </row>
        <row r="182">
          <cell r="A182" t="str">
            <v>Vector|||208007413|||ISSR|||EXP_PLATINUM|||False|||</v>
          </cell>
          <cell r="C182" t="str">
            <v>V_KEYWORD_ISSR_208007413_EXP_PLATINUM</v>
          </cell>
        </row>
        <row r="183">
          <cell r="A183" t="str">
            <v>Vector|||208007413|||ISSR|||EXP_PALLADIUM|||False|||</v>
          </cell>
          <cell r="C183" t="str">
            <v>V_KEYWORD_ISSR_208007413_EXP_PALLADIUM</v>
          </cell>
        </row>
        <row r="184">
          <cell r="A184" t="str">
            <v>Vector|||208007413|||ISSR|||EXP_ALUMINIUM|||False|||</v>
          </cell>
          <cell r="C184" t="str">
            <v>V_KEYWORD_ISSR_208007413_EXP_ALUMINIUM</v>
          </cell>
        </row>
        <row r="185">
          <cell r="A185" t="str">
            <v>Vector|||208007413|||ISSR|||EXP_NICKEL|||False|||</v>
          </cell>
          <cell r="C185" t="str">
            <v>V_KEYWORD_ISSR_208007413_EXP_NICKEL</v>
          </cell>
        </row>
        <row r="186">
          <cell r="A186" t="str">
            <v>Vector|||208007413|||ISSR|||EXP_ZINC|||False|||</v>
          </cell>
          <cell r="C186" t="str">
            <v>V_KEYWORD_ISSR_208007413_EXP_ZINC</v>
          </cell>
        </row>
        <row r="187">
          <cell r="A187" t="str">
            <v>Vector|||208007413|||ISSR|||EXP_STEEL|||False|||</v>
          </cell>
          <cell r="C187" t="str">
            <v>V_KEYWORD_ISSR_208007413_EXP_STEEL</v>
          </cell>
        </row>
        <row r="188">
          <cell r="A188" t="str">
            <v>Vector|||208007413|||ISSR|||EXP_GLASS|||False|||</v>
          </cell>
          <cell r="C188" t="str">
            <v>V_KEYWORD_ISSR_208007413_EXP_GLASS</v>
          </cell>
        </row>
        <row r="189">
          <cell r="A189" t="str">
            <v>Vector|||208007413|||ISSR|||EXP_RUBBER|||False|||</v>
          </cell>
          <cell r="C189" t="str">
            <v>V_KEYWORD_ISSR_208007413_EXP_RUBBER</v>
          </cell>
        </row>
        <row r="190">
          <cell r="A190" t="str">
            <v>Vector|||208007413|||ISSR|||EXP_WATER|||False|||</v>
          </cell>
          <cell r="C190" t="str">
            <v>V_KEYWORD_ISSR_208007413_EXP_WATER</v>
          </cell>
        </row>
        <row r="191">
          <cell r="A191" t="str">
            <v>Vector|||208007413|||ISSR|||EXP_OTH_COMMODITY|||False|||</v>
          </cell>
          <cell r="C191" t="str">
            <v>V_KEYWORD_ISSR_208007413_EXP_OTH_COMMODITY</v>
          </cell>
        </row>
        <row r="192">
          <cell r="A192" t="str">
            <v>Vector|||208007413|||ISSR|||EXP_OTH_COST|||False|||</v>
          </cell>
          <cell r="C192" t="str">
            <v>V_KEYWORD_ISSR_208007413_EXP_OTH_COST</v>
          </cell>
        </row>
        <row r="194">
          <cell r="A194" t="str">
            <v>Vector|||208007413|||ISSR|||SALES_FX_GPB|||False|||</v>
          </cell>
          <cell r="C194" t="str">
            <v>V_KEYWORD_ISSR_208007413_SALES_FX_GPB</v>
          </cell>
        </row>
        <row r="195">
          <cell r="A195" t="str">
            <v>Vector|||208007413|||ISSR|||SALES_FX_EUR|||False|||</v>
          </cell>
          <cell r="C195" t="str">
            <v>V_KEYWORD_ISSR_208007413_SALES_FX_EUR</v>
          </cell>
        </row>
        <row r="196">
          <cell r="A196" t="str">
            <v>Vector|||208007413|||ISSR|||SALES_FX_RUB|||False|||</v>
          </cell>
          <cell r="C196" t="str">
            <v>V_KEYWORD_ISSR_208007413_SALES_FX_RUB</v>
          </cell>
        </row>
        <row r="197">
          <cell r="A197" t="str">
            <v>Vector|||208007413|||ISSR|||SALES_FX_USD|||False|||</v>
          </cell>
          <cell r="C197" t="str">
            <v>V_KEYWORD_ISSR_208007413_SALES_FX_USD</v>
          </cell>
        </row>
        <row r="198">
          <cell r="A198" t="str">
            <v>Vector|||208007413|||ISSR|||SALES_FX_BRL|||False|||</v>
          </cell>
          <cell r="C198" t="str">
            <v>V_KEYWORD_ISSR_208007413_SALES_FX_BRL</v>
          </cell>
        </row>
        <row r="199">
          <cell r="A199" t="str">
            <v>Vector|||208007413|||ISSR|||SALES_FX_YEN|||False|||</v>
          </cell>
          <cell r="C199" t="str">
            <v>V_KEYWORD_ISSR_208007413_SALES_FX_YEN</v>
          </cell>
        </row>
        <row r="200">
          <cell r="A200" t="str">
            <v>Vector|||208007413|||ISSR|||SALES_FX_CNY|||False|||</v>
          </cell>
          <cell r="C200" t="str">
            <v>V_KEYWORD_ISSR_208007413_SALES_FX_CNY</v>
          </cell>
        </row>
        <row r="201">
          <cell r="A201" t="str">
            <v>Vector|||208007413|||ISSR|||SALES_FX_INR|||False|||</v>
          </cell>
          <cell r="C201" t="str">
            <v>V_KEYWORD_ISSR_208007413_SALES_FX_INR</v>
          </cell>
        </row>
        <row r="202">
          <cell r="A202" t="str">
            <v>Vector|||208007413|||ISSR|||SALES_FX_ZAR|||False|||</v>
          </cell>
          <cell r="C202" t="str">
            <v>V_KEYWORD_ISSR_208007413_SALES_FX_ZAR</v>
          </cell>
        </row>
        <row r="203">
          <cell r="A203" t="str">
            <v>Vector|||208007413|||ISSR|||SALES_FX_NGN|||False|||</v>
          </cell>
          <cell r="C203" t="str">
            <v>V_KEYWORD_ISSR_208007413_SALES_FX_NGN</v>
          </cell>
        </row>
        <row r="204">
          <cell r="A204" t="str">
            <v>Vector|||208007413|||ISSR|||SALES_FX_CHF|||False|||</v>
          </cell>
          <cell r="C204" t="str">
            <v>V_KEYWORD_ISSR_208007413_SALES_FX_CHF</v>
          </cell>
        </row>
        <row r="205">
          <cell r="A205" t="str">
            <v>Vector|||208007413|||ISSR|||SALES_FX_AED|||False|||</v>
          </cell>
          <cell r="C205" t="str">
            <v>V_KEYWORD_ISSR_208007413_SALES_FX_AED</v>
          </cell>
        </row>
        <row r="206">
          <cell r="A206" t="str">
            <v>Vector|||208007413|||ISSR|||SALES_FX_TRY|||False|||</v>
          </cell>
          <cell r="C206" t="str">
            <v>V_KEYWORD_ISSR_208007413_SALES_FX_TRY</v>
          </cell>
        </row>
        <row r="207">
          <cell r="A207" t="str">
            <v>Vector|||208007413|||ISSR|||SALES_FX_OTH|||False|||</v>
          </cell>
          <cell r="C207" t="str">
            <v>V_KEYWORD_ISSR_208007413_SALES_FX_OTH</v>
          </cell>
        </row>
        <row r="209">
          <cell r="A209" t="str">
            <v>Vector|||208007413|||ISSR|||SALES_TOT_AM|||False|||</v>
          </cell>
          <cell r="C209" t="str">
            <v>V_KEYWORD_ISSR_208007413_SALES_TOT_AM</v>
          </cell>
        </row>
        <row r="210">
          <cell r="A210" t="str">
            <v>Vector|||208007413|||ISSR|||SALES_OTH_AM|||False|||</v>
          </cell>
          <cell r="C210" t="str">
            <v>V_KEYWORD_ISSR_208007413_SALES_OTH_AM</v>
          </cell>
        </row>
        <row r="211">
          <cell r="A211" t="str">
            <v>Vector|||208007413|||ISSR|||SALES_TOT_EMEA|||False|||</v>
          </cell>
          <cell r="C211" t="str">
            <v>V_KEYWORD_ISSR_208007413_SALES_TOT_EMEA</v>
          </cell>
        </row>
        <row r="212">
          <cell r="A212" t="str">
            <v>Vector|||208007413|||ISSR|||SALES_EU_EX_UK|||False|||</v>
          </cell>
          <cell r="C212" t="str">
            <v>V_KEYWORD_ISSR_208007413_SALES_EU_EX_UK</v>
          </cell>
        </row>
        <row r="213">
          <cell r="A213" t="str">
            <v>Vector|||208007413|||ISSR|||SALES_OTH_EU_EX_UK|||False|||</v>
          </cell>
          <cell r="C213" t="str">
            <v>V_KEYWORD_ISSR_208007413_SALES_OTH_EU_EX_UK</v>
          </cell>
        </row>
        <row r="214">
          <cell r="A214" t="str">
            <v>Vector|||208007413|||ISSR|||SALES_CEE|||False|||</v>
          </cell>
          <cell r="C214" t="str">
            <v>V_KEYWORD_ISSR_208007413_SALES_CEE</v>
          </cell>
        </row>
        <row r="215">
          <cell r="A215" t="str">
            <v>Vector|||208007413|||ISSR|||SALES_ME|||False|||</v>
          </cell>
          <cell r="C215" t="str">
            <v>V_KEYWORD_ISSR_208007413_SALES_ME</v>
          </cell>
        </row>
        <row r="216">
          <cell r="A216" t="str">
            <v>Vector|||208007413|||ISSR|||SALES_TOT_AFRICA|||False|||</v>
          </cell>
          <cell r="C216" t="str">
            <v>V_KEYWORD_ISSR_208007413_SALES_TOT_AFRICA</v>
          </cell>
        </row>
        <row r="217">
          <cell r="A217" t="str">
            <v>Vector|||208007413|||ISSR|||SALES_OTH_EMEA|||False|||</v>
          </cell>
          <cell r="C217" t="str">
            <v>V_KEYWORD_ISSR_208007413_SALES_OTH_EMEA</v>
          </cell>
        </row>
        <row r="218">
          <cell r="A218" t="str">
            <v>Vector|||208007413|||ISSR|||SALES_TOT_ASIA|||False|||</v>
          </cell>
          <cell r="C218" t="str">
            <v>V_KEYWORD_ISSR_208007413_SALES_TOT_ASIA</v>
          </cell>
        </row>
        <row r="219">
          <cell r="A219" t="str">
            <v>Vector|||208007413|||ISSR|||SALES_OTH_AEJ|||False|||</v>
          </cell>
          <cell r="C219" t="str">
            <v>V_KEYWORD_ISSR_208007413_SALES_OTH_AEJ</v>
          </cell>
        </row>
        <row r="220">
          <cell r="A220" t="str">
            <v>Vector|||208007413|||ISSR|||IND_SALES_BRAZIL|||False|||</v>
          </cell>
          <cell r="C220" t="str">
            <v>V_KEYWORD_ISSR_208007413_IND_SALES_BRAZIL</v>
          </cell>
        </row>
        <row r="221">
          <cell r="A221" t="str">
            <v>Vector|||208007413|||ISSR|||IND_SALES_US|||False|||</v>
          </cell>
          <cell r="C221" t="str">
            <v>V_KEYWORD_ISSR_208007413_IND_SALES_US</v>
          </cell>
        </row>
        <row r="222">
          <cell r="A222" t="str">
            <v>Vector|||208007413|||ISSR|||IND_SALES_OTH_AM|||False|||</v>
          </cell>
          <cell r="C222" t="str">
            <v>V_KEYWORD_ISSR_208007413_IND_SALES_OTH_AM</v>
          </cell>
        </row>
        <row r="223">
          <cell r="A223" t="str">
            <v>Vector|||208007413|||ISSR|||IND_SALES_TOT_AM|||False|||</v>
          </cell>
          <cell r="C223" t="str">
            <v>V_KEYWORD_ISSR_208007413_IND_SALES_TOT_AM</v>
          </cell>
        </row>
        <row r="224">
          <cell r="A224" t="str">
            <v>Vector|||208007413|||ISSR|||IND_SALES_FRA|||False|||</v>
          </cell>
          <cell r="C224" t="str">
            <v>V_KEYWORD_ISSR_208007413_IND_SALES_FRA</v>
          </cell>
        </row>
        <row r="225">
          <cell r="A225" t="str">
            <v>Vector|||208007413|||ISSR|||IND_SALES_GER|||False|||</v>
          </cell>
          <cell r="C225" t="str">
            <v>V_KEYWORD_ISSR_208007413_IND_SALES_GER</v>
          </cell>
        </row>
        <row r="226">
          <cell r="A226" t="str">
            <v>Vector|||208007413|||ISSR|||IND_SALES_ITA|||False|||</v>
          </cell>
          <cell r="C226" t="str">
            <v>V_KEYWORD_ISSR_208007413_IND_SALES_ITA</v>
          </cell>
        </row>
        <row r="227">
          <cell r="A227" t="str">
            <v>Vector|||208007413|||ISSR|||IND_SALES_SPA|||False|||</v>
          </cell>
          <cell r="C227" t="str">
            <v>V_KEYWORD_ISSR_208007413_IND_SALES_SPA</v>
          </cell>
        </row>
        <row r="228">
          <cell r="A228" t="str">
            <v>Vector|||208007413|||ISSR|||IND_SALES_UK|||False|||</v>
          </cell>
          <cell r="C228" t="str">
            <v>V_KEYWORD_ISSR_208007413_IND_SALES_UK</v>
          </cell>
        </row>
        <row r="229">
          <cell r="A229" t="str">
            <v>Vector|||208007413|||ISSR|||IND_SALES_EU_EX_UK|||False|||</v>
          </cell>
          <cell r="C229" t="str">
            <v>V_KEYWORD_ISSR_208007413_IND_SALES_EU_EX_UK</v>
          </cell>
        </row>
        <row r="230">
          <cell r="A230" t="str">
            <v>Vector|||208007413|||ISSR|||IND_SALES_OTH_EU_EX_UK|||False|||</v>
          </cell>
          <cell r="C230" t="str">
            <v>V_KEYWORD_ISSR_208007413_IND_SALES_OTH_EU_EX_UK</v>
          </cell>
        </row>
        <row r="231">
          <cell r="A231" t="str">
            <v>Vector|||208007413|||ISSR|||IND_SALES_RUSSIA|||False|||</v>
          </cell>
          <cell r="C231" t="str">
            <v>V_KEYWORD_ISSR_208007413_IND_SALES_RUSSIA</v>
          </cell>
        </row>
        <row r="232">
          <cell r="A232" t="str">
            <v>Vector|||208007413|||ISSR|||IND_SALES_CEE|||False|||</v>
          </cell>
          <cell r="C232" t="str">
            <v>V_KEYWORD_ISSR_208007413_IND_SALES_CEE</v>
          </cell>
        </row>
        <row r="233">
          <cell r="A233" t="str">
            <v>Vector|||208007413|||ISSR|||IND_SALES_OTH_EMEA|||False|||</v>
          </cell>
          <cell r="C233" t="str">
            <v>V_KEYWORD_ISSR_208007413_IND_SALES_OTH_EMEA</v>
          </cell>
        </row>
        <row r="234">
          <cell r="A234" t="str">
            <v>Vector|||208007413|||ISSR|||IND_SALES_TOT_EMEA|||False|||</v>
          </cell>
          <cell r="C234" t="str">
            <v>V_KEYWORD_ISSR_208007413_IND_SALES_TOT_EMEA</v>
          </cell>
        </row>
        <row r="235">
          <cell r="A235" t="str">
            <v>Vector|||208007413|||ISSR|||IND_SALES_ME|||False|||</v>
          </cell>
          <cell r="C235" t="str">
            <v>V_KEYWORD_ISSR_208007413_IND_SALES_ME</v>
          </cell>
        </row>
        <row r="236">
          <cell r="A236" t="str">
            <v>Vector|||208007413|||ISSR|||IND_SALES_NIGERIA|||False|||</v>
          </cell>
          <cell r="C236" t="str">
            <v>V_KEYWORD_ISSR_208007413_IND_SALES_NIGERIA</v>
          </cell>
        </row>
        <row r="237">
          <cell r="A237" t="str">
            <v>Vector|||208007413|||ISSR|||IND_SALES_SO_AFRICA|||False|||</v>
          </cell>
          <cell r="C237" t="str">
            <v>V_KEYWORD_ISSR_208007413_IND_SALES_SO_AFRICA</v>
          </cell>
        </row>
        <row r="238">
          <cell r="A238" t="str">
            <v>Vector|||208007413|||ISSR|||IND_SALES_OTH_AFRICA|||False|||</v>
          </cell>
          <cell r="C238" t="str">
            <v>V_KEYWORD_ISSR_208007413_IND_SALES_OTH_AFRICA</v>
          </cell>
        </row>
        <row r="239">
          <cell r="A239" t="str">
            <v>Vector|||208007413|||ISSR|||IND_SALES_TOT_AFRICA|||False|||</v>
          </cell>
          <cell r="C239" t="str">
            <v>V_KEYWORD_ISSR_208007413_IND_SALES_TOT_AFRICA</v>
          </cell>
        </row>
        <row r="240">
          <cell r="A240" t="str">
            <v>Vector|||208007413|||ISSR|||IND_SALES_CHINA|||False|||</v>
          </cell>
          <cell r="C240" t="str">
            <v>V_KEYWORD_ISSR_208007413_IND_SALES_CHINA</v>
          </cell>
        </row>
        <row r="241">
          <cell r="A241" t="str">
            <v>Vector|||208007413|||ISSR|||IND_SALES_INDIA|||False|||</v>
          </cell>
          <cell r="C241" t="str">
            <v>V_KEYWORD_ISSR_208007413_IND_SALES_INDIA</v>
          </cell>
        </row>
        <row r="242">
          <cell r="A242" t="str">
            <v>Vector|||208007413|||ISSR|||IND_SALES_JAPAN|||False|||</v>
          </cell>
          <cell r="C242" t="str">
            <v>V_KEYWORD_ISSR_208007413_IND_SALES_JAPAN</v>
          </cell>
        </row>
        <row r="243">
          <cell r="A243" t="str">
            <v>Vector|||208007413|||ISSR|||IND_SALES_OTH_AEJ|||False|||</v>
          </cell>
          <cell r="C243" t="str">
            <v>V_KEYWORD_ISSR_208007413_IND_SALES_OTH_AEJ</v>
          </cell>
        </row>
        <row r="244">
          <cell r="A244" t="str">
            <v>Vector|||208007413|||ISSR|||IND_SALES_TOT_ASIA|||False|||</v>
          </cell>
          <cell r="C244" t="str">
            <v>V_KEYWORD_ISSR_208007413_IND_SALES_TOT_ASIA</v>
          </cell>
        </row>
        <row r="245">
          <cell r="A245" t="str">
            <v>Vector|||208007413|||ISSR|||IND_SALES_OTHER|||False|||</v>
          </cell>
          <cell r="C245" t="str">
            <v>V_KEYWORD_ISSR_208007413_IND_SALES_OTHER</v>
          </cell>
        </row>
        <row r="246">
          <cell r="A246" t="str">
            <v>Vector|||208007413|||ISSR|||IND_SALES_CONS|||False|||</v>
          </cell>
          <cell r="C246" t="str">
            <v>V_KEYWORD_ISSR_208007413_IND_SALES_CONS</v>
          </cell>
        </row>
        <row r="247">
          <cell r="A247" t="str">
            <v>Vector|||208007413|||ISSR|||IND_SALES_IND|||False|||</v>
          </cell>
          <cell r="C247" t="str">
            <v>V_KEYWORD_ISSR_208007413_IND_SALES_IND</v>
          </cell>
        </row>
        <row r="248">
          <cell r="A248" t="str">
            <v>Vector|||208007413|||ISSR|||IND_SALES_GOV|||False|||</v>
          </cell>
          <cell r="C248" t="str">
            <v>V_KEYWORD_ISSR_208007413_IND_SALES_GOV</v>
          </cell>
        </row>
        <row r="249">
          <cell r="A249" t="str">
            <v>Vector|||208007413|||ISSR|||IND_SALES_FINAN|||False|||</v>
          </cell>
          <cell r="C249" t="str">
            <v>V_KEYWORD_ISSR_208007413_IND_SALES_FINAN</v>
          </cell>
        </row>
        <row r="255">
          <cell r="A255" t="str">
            <v>Scalar|||200009618|||EQTY|||PUB_CURRENCY_ISO|||False|||</v>
          </cell>
          <cell r="C255" t="str">
            <v>V_KEYWORD_EQTY_200009618_PUB_CURRENCY_ISO</v>
          </cell>
        </row>
        <row r="256">
          <cell r="A256" t="str">
            <v>Scalar|||200009618|||EQTY|||PRICE_CURRENCY_ISO|||False|||</v>
          </cell>
          <cell r="C256" t="str">
            <v>V_KEYWORD_EQTY_200009618_PRICE_CURRENCY_ISO</v>
          </cell>
        </row>
        <row r="257">
          <cell r="A257" t="str">
            <v>Scalar|||200009618|||EQTY|||CURRENCY_ISO|||False|||</v>
          </cell>
          <cell r="C257" t="str">
            <v>V_KEYWORD_EQTY_200009618_CURRENCY_ISO</v>
          </cell>
        </row>
        <row r="259">
          <cell r="A259" t="str">
            <v>Scalar|||200009618|||EQTY|||EURO_LIST|||False|||</v>
          </cell>
          <cell r="C259" t="str">
            <v>V_KEYWORD_EQTY_200009618_EURO_LIST</v>
          </cell>
        </row>
        <row r="260">
          <cell r="A260" t="str">
            <v>Scalar|||200009618|||EQTY|||EURO_CONVICTION|||False|||</v>
          </cell>
          <cell r="C260" t="str">
            <v>V_KEYWORD_EQTY_200009618_EURO_CONVICTION</v>
          </cell>
        </row>
        <row r="261">
          <cell r="A261" t="str">
            <v>Scalar|||200009618|||EQTY|||LEGAL_RATING|||False|||</v>
          </cell>
          <cell r="C261" t="str">
            <v>V_KEYWORD_EQTY_200009618_LEGAL_RATING</v>
          </cell>
        </row>
        <row r="262">
          <cell r="A262" t="str">
            <v>Scalar|||200009618|||EQTY|||TARGET_PRICE|||False|||</v>
          </cell>
          <cell r="C262" t="str">
            <v>V_KEYWORD_EQTY_200009618_TARGET_PRICE</v>
          </cell>
        </row>
        <row r="263">
          <cell r="A263" t="str">
            <v>Scalar|||200009618|||EQTY|||TP_PERIOD|||False|||</v>
          </cell>
          <cell r="C263" t="str">
            <v>V_KEYWORD_EQTY_200009618_TP_PERIOD</v>
          </cell>
        </row>
        <row r="264">
          <cell r="A264" t="str">
            <v>Scalar|||200009618|||EQTY|||NUM_SH|||False|||</v>
          </cell>
          <cell r="C264" t="str">
            <v>V_KEYWORD_EQTY_200009618_NUM_SH</v>
          </cell>
        </row>
        <row r="265">
          <cell r="A265" t="str">
            <v>Scalar|||200009618|||EQTY|||FREE_FLOAT|||False|||</v>
          </cell>
          <cell r="C265" t="str">
            <v>V_KEYWORD_EQTY_200009618_FREE_FLOAT</v>
          </cell>
        </row>
        <row r="267">
          <cell r="A267" t="str">
            <v>Vector|||200009618|||EQTY|||BVPS_PUB|||False|||</v>
          </cell>
          <cell r="C267" t="str">
            <v>V_KEYWORD_EQTY_200009618_BVPS_PUB</v>
          </cell>
        </row>
        <row r="268">
          <cell r="A268" t="str">
            <v>Vector|||200009618|||EQTY|||DPS_PUB|||False|||</v>
          </cell>
          <cell r="C268" t="str">
            <v>V_KEYWORD_EQTY_200009618_DPS_PUB</v>
          </cell>
        </row>
        <row r="269">
          <cell r="A269" t="str">
            <v>Vector|||200009618|||EQTY|||DPS_SPECIAL_PUB|||False|||</v>
          </cell>
          <cell r="C269" t="str">
            <v>V_KEYWORD_EQTY_200009618_DPS_SPECIAL_PUB</v>
          </cell>
        </row>
        <row r="270">
          <cell r="A270" t="str">
            <v>Vector|||200009618|||EQTY|||EBITDA_PUB|||False|||</v>
          </cell>
          <cell r="C270" t="str">
            <v>V_KEYWORD_EQTY_200009618_EBITDA_PUB</v>
          </cell>
        </row>
        <row r="271">
          <cell r="A271" t="str">
            <v>Vector|||200009618|||EQTY|||EPS_PUB|||False|||</v>
          </cell>
          <cell r="C271" t="str">
            <v>V_KEYWORD_EQTY_200009618_EPS_PUB</v>
          </cell>
        </row>
        <row r="272">
          <cell r="A272" t="str">
            <v>Vector|||200009618|||EQTY|||EV_ADJ_PUB|||False|||</v>
          </cell>
          <cell r="C272" t="str">
            <v>V_KEYWORD_EQTY_200009618_EV_ADJ_PUB</v>
          </cell>
        </row>
        <row r="273">
          <cell r="A273" t="str">
            <v>Vector|||200009618|||EQTY|||NET_DEBT_PUB|||False|||</v>
          </cell>
          <cell r="C273" t="str">
            <v>V_KEYWORD_EQTY_200009618_NET_DEBT_PUB</v>
          </cell>
        </row>
        <row r="274">
          <cell r="A274" t="str">
            <v>Vector|||200009618|||EQTY|||NI_PUB|||False|||</v>
          </cell>
          <cell r="C274" t="str">
            <v>V_KEYWORD_EQTY_200009618_NI_PUB</v>
          </cell>
        </row>
        <row r="275">
          <cell r="A275" t="str">
            <v>Vector|||200009618|||EQTY|||EBIT_PUB|||False|||</v>
          </cell>
          <cell r="C275" t="str">
            <v>V_KEYWORD_EQTY_200009618_EBIT_PUB</v>
          </cell>
        </row>
        <row r="276">
          <cell r="A276" t="str">
            <v>Vector|||200009618|||EQTY|||PTP_PUB|||False|||</v>
          </cell>
          <cell r="C276" t="str">
            <v>V_KEYWORD_EQTY_200009618_PTP_PUB</v>
          </cell>
        </row>
        <row r="277">
          <cell r="A277" t="str">
            <v>Vector|||200009618|||EQTY|||REVS_PUB|||False|||</v>
          </cell>
          <cell r="C277" t="str">
            <v>V_KEYWORD_EQTY_200009618_REVS_PUB</v>
          </cell>
        </row>
        <row r="278">
          <cell r="A278" t="str">
            <v>Vector|||200009618|||EQTY|||EQ_PUB|||False|||</v>
          </cell>
          <cell r="C278" t="str">
            <v>V_KEYWORD_EQTY_200009618_EQ_PUB</v>
          </cell>
        </row>
        <row r="280">
          <cell r="A280" t="str">
            <v>Vector|||200009618|||EQTY|||PROV_INC_TAX|||False|||</v>
          </cell>
          <cell r="C280" t="str">
            <v>V_KEYWORD_EQTY_200009618_PROV_INC_TAX</v>
          </cell>
        </row>
        <row r="281">
          <cell r="A281" t="str">
            <v>Vector|||200009618|||EQTY|||INC_MINORITY|||False|||</v>
          </cell>
          <cell r="C281" t="str">
            <v>V_KEYWORD_EQTY_200009618_INC_MINORITY</v>
          </cell>
        </row>
        <row r="282">
          <cell r="A282" t="str">
            <v>Vector|||200009618|||EQTY|||NI_PRE_PREF|||False|||</v>
          </cell>
          <cell r="C282" t="str">
            <v>V_KEYWORD_EQTY_200009618_NI_PRE_PREF</v>
          </cell>
        </row>
        <row r="283">
          <cell r="A283" t="str">
            <v>Vector|||200009618|||EQTY|||PREF_DIV|||False|||</v>
          </cell>
          <cell r="C283" t="str">
            <v>V_KEYWORD_EQTY_200009618_PREF_DIV</v>
          </cell>
        </row>
        <row r="284">
          <cell r="A284" t="str">
            <v>Vector|||200009618|||EQTY|||NET_EARNING|||False|||</v>
          </cell>
          <cell r="C284" t="str">
            <v>V_KEYWORD_EQTY_200009618_NET_EARNING</v>
          </cell>
        </row>
        <row r="285">
          <cell r="A285" t="str">
            <v>Vector|||200009618|||EQTY|||TAX_EXC|||False|||</v>
          </cell>
          <cell r="C285" t="str">
            <v>V_KEYWORD_EQTY_200009618_TAX_EXC</v>
          </cell>
        </row>
        <row r="286">
          <cell r="A286" t="str">
            <v>Vector|||200009618|||EQTY|||NET_INC|||False|||</v>
          </cell>
          <cell r="C286" t="str">
            <v>V_KEYWORD_EQTY_200009618_NET_INC</v>
          </cell>
        </row>
        <row r="287">
          <cell r="A287" t="str">
            <v>Vector|||200009618|||EQTY|||EPS|||False|||</v>
          </cell>
          <cell r="C287" t="str">
            <v>V_KEYWORD_EQTY_200009618_EPS</v>
          </cell>
        </row>
        <row r="288">
          <cell r="A288" t="str">
            <v>Vector|||200009618|||EQTY|||EPS_FUL_DIL|||False|||</v>
          </cell>
          <cell r="C288" t="str">
            <v>V_KEYWORD_EQTY_200009618_EPS_FUL_DIL</v>
          </cell>
        </row>
        <row r="289">
          <cell r="A289" t="str">
            <v>Vector|||200009618|||EQTY|||EPS_POST_BASIC|||False|||</v>
          </cell>
          <cell r="C289" t="str">
            <v>V_KEYWORD_EQTY_200009618_EPS_POST_BASIC</v>
          </cell>
        </row>
        <row r="290">
          <cell r="A290" t="str">
            <v>Vector|||200009618|||EQTY|||FULLY_DIL_EPS|||False|||</v>
          </cell>
          <cell r="C290" t="str">
            <v>V_KEYWORD_EQTY_200009618_FULLY_DIL_EPS</v>
          </cell>
        </row>
        <row r="291">
          <cell r="A291" t="str">
            <v>Vector|||200009618|||EQTY|||COMMON_DIV_PAID|||False|||</v>
          </cell>
          <cell r="C291" t="str">
            <v>V_KEYWORD_EQTY_200009618_COMMON_DIV_PAID</v>
          </cell>
        </row>
        <row r="292">
          <cell r="A292" t="str">
            <v>Vector|||200009618|||EQTY|||DPS|||False|||</v>
          </cell>
          <cell r="C292" t="str">
            <v>V_KEYWORD_EQTY_200009618_DPS</v>
          </cell>
        </row>
        <row r="293">
          <cell r="A293" t="str">
            <v>Vector|||200009618|||EQTY|||SH|||False|||</v>
          </cell>
          <cell r="C293" t="str">
            <v>V_KEYWORD_EQTY_200009618_SH</v>
          </cell>
        </row>
        <row r="294">
          <cell r="A294" t="str">
            <v>Vector|||200009618|||EQTY|||DILUTE_SHARES|||False|||</v>
          </cell>
          <cell r="C294" t="str">
            <v>V_KEYWORD_EQTY_200009618_DILUTE_SHARES</v>
          </cell>
        </row>
        <row r="295">
          <cell r="A295" t="str">
            <v>Vector|||200009618|||EQTY|||NON_OP_ADD|||False|||</v>
          </cell>
          <cell r="C295" t="str">
            <v>V_KEYWORD_EQTY_200009618_NON_OP_ADD</v>
          </cell>
        </row>
        <row r="297">
          <cell r="A297" t="str">
            <v>Vector|||200009618|||EQTY|||ORG_NI|||False|||</v>
          </cell>
          <cell r="C297" t="str">
            <v>V_KEYWORD_EQTY_200009618_ORG_NI</v>
          </cell>
        </row>
        <row r="298">
          <cell r="A298" t="str">
            <v>Vector|||200009618|||EQTY|||ORG_EPS|||False|||</v>
          </cell>
          <cell r="C298" t="str">
            <v>V_KEYWORD_EQTY_200009618_ORG_EPS</v>
          </cell>
        </row>
        <row r="299">
          <cell r="A299" t="str">
            <v>Vector|||200009618|||EQTY|||MARGIN_TAX_RATE|||False|||</v>
          </cell>
          <cell r="C299" t="str">
            <v>V_KEYWORD_EQTY_200009618_MARGIN_TAX_RATE</v>
          </cell>
        </row>
        <row r="301">
          <cell r="A301" t="str">
            <v>Vector|||200009618|||EQTY|||BVPS|||False|||</v>
          </cell>
          <cell r="C301" t="str">
            <v>V_KEYWORD_EQTY_200009618_BVPS</v>
          </cell>
        </row>
        <row r="303">
          <cell r="A303" t="str">
            <v>Vector|||200009618|||EQTY|||CF_NI_PRE_PREF|||False|||</v>
          </cell>
          <cell r="C303" t="str">
            <v>V_KEYWORD_EQTY_200009618_CF_NI_PRE_PREF</v>
          </cell>
        </row>
        <row r="305">
          <cell r="A305" t="str">
            <v>Scalar|||200009618|||EQTY|||BETA_ANALYST|||False|||</v>
          </cell>
          <cell r="C305" t="str">
            <v>V_KEYWORD_EQTY_200009618_BETA_ANALYST</v>
          </cell>
        </row>
        <row r="306">
          <cell r="A306" t="str">
            <v>Scalar|||200009618|||EQTY|||MKT_EQ_RISK_PREM|||False|||</v>
          </cell>
          <cell r="C306" t="str">
            <v>V_KEYWORD_EQTY_200009618_MKT_EQ_RISK_PREM</v>
          </cell>
        </row>
        <row r="307">
          <cell r="A307" t="str">
            <v>Scalar|||200009618|||EQTY|||RISK_FR_RATE|||False|||</v>
          </cell>
          <cell r="C307" t="str">
            <v>V_KEYWORD_EQTY_200009618_RISK_FR_RATE</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ATCOa.ST"/>
      <sheetName val="Summary"/>
      <sheetName val="ATCOa.ST_Live_Sheet"/>
      <sheetName val="ATCOa.ST_Validation_Sheet"/>
      <sheetName val="ATCOa.ST_Annotation_Sheet"/>
      <sheetName val="ATCOa.ST_Exchange_Sheet"/>
      <sheetName val="OpMod"/>
      <sheetName val="Interim"/>
      <sheetName val="Atlas Copco Snapshot"/>
      <sheetName val="10 Yr Val"/>
      <sheetName val="Normalization"/>
      <sheetName val="New vs Old"/>
      <sheetName val="Q out NEW"/>
      <sheetName val="GS vs. Cons"/>
      <sheetName val="Forecasting &gt;&gt;&gt;"/>
      <sheetName val="End Markets"/>
      <sheetName val="Compressor Technique"/>
      <sheetName val="Mining &amp; Rock Excavation"/>
      <sheetName val="Vacuum Technique"/>
      <sheetName val="Power Technique"/>
      <sheetName val="Industrial Technique"/>
      <sheetName val="Other &gt;&gt;&gt;"/>
      <sheetName val="Sheet2"/>
      <sheetName val="Correlations"/>
      <sheetName val="Bull vs Bear"/>
      <sheetName val="Equipment Calc"/>
      <sheetName val="Aftermarket"/>
      <sheetName val="SOTP"/>
      <sheetName val="Director's Cut"/>
      <sheetName val="Sheet1 (2)"/>
      <sheetName val=""/>
      <sheetName val="Mining"/>
      <sheetName val="Growth from Acquistions"/>
      <sheetName val="EBITDA from Acquistions"/>
      <sheetName val="MRE Aftermarket Sensitivity"/>
      <sheetName val="Raw Materials"/>
      <sheetName val="Steel Prices"/>
      <sheetName val="Charts New"/>
      <sheetName val="Output"/>
      <sheetName val="Charts"/>
      <sheetName val="ROIC"/>
      <sheetName val="Val"/>
      <sheetName val="Output OLD"/>
      <sheetName val="Q data"/>
      <sheetName val="Driven by China"/>
      <sheetName val="Atlas vs. Market"/>
      <sheetName val="Schematics"/>
      <sheetName val="MRE Margins"/>
      <sheetName val="Use of Cash &amp; Leverage"/>
      <sheetName val="Pricing and recievables"/>
      <sheetName val="Implied OSG"/>
      <sheetName val="Market Share"/>
      <sheetName val="Shares by segment"/>
      <sheetName val="Org vs. Acquired Growth"/>
      <sheetName val="Vacuum Structural Growth"/>
      <sheetName val="NewCo Capacit"/>
      <sheetName val="Estimate Changes"/>
      <sheetName val="QP_ATCOa.ST"/>
      <sheetName val="_x0000__x0001__x0000__x0010__x0000__x0000__x0000_틠"/>
      <sheetName val="_x0000__x0001__x0000__x0010__x0000__x0000__x0000_㇀"/>
      <sheetName val="OSG &amp; margins (Y)"/>
      <sheetName val="Sheet1"/>
    </sheetNames>
    <sheetDataSet>
      <sheetData sheetId="0"/>
      <sheetData sheetId="1"/>
      <sheetData sheetId="2">
        <row r="1">
          <cell r="A1" t="str">
            <v>Issuer: Atlas Copco</v>
          </cell>
        </row>
      </sheetData>
      <sheetData sheetId="3">
        <row r="1">
          <cell r="A1" t="str">
            <v>c8ce8d50-8dd1-468d-9fc9-702e4e084c4c</v>
          </cell>
        </row>
      </sheetData>
      <sheetData sheetId="4">
        <row r="11">
          <cell r="B11" t="str">
            <v>Sales, net revenue</v>
          </cell>
        </row>
      </sheetData>
      <sheetData sheetId="5">
        <row r="1">
          <cell r="A1" t="str">
            <v>Issuer: Atlas Copco</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rysler Summary"/>
      <sheetName val="Tax"/>
      <sheetName val="Exhibits"/>
      <sheetName val="Value creation exhibit"/>
      <sheetName val="Consensus"/>
      <sheetName val="New Fiat &amp; Chrysler Plan 2014"/>
      <sheetName val="US Valuation"/>
      <sheetName val="EPS Split"/>
      <sheetName val="Change in price target"/>
      <sheetName val="Fiat model extensions"/>
      <sheetName val="Q out"/>
      <sheetName val="Bloomberg"/>
    </sheetNames>
    <sheetDataSet>
      <sheetData sheetId="0" refreshError="1">
        <row r="3">
          <cell r="A3" t="str">
            <v>Minority Interest Calculation ($ mn)</v>
          </cell>
          <cell r="B3" t="str">
            <v>2012E</v>
          </cell>
          <cell r="C3" t="str">
            <v>2013E</v>
          </cell>
          <cell r="D3" t="str">
            <v>2013E</v>
          </cell>
        </row>
        <row r="5">
          <cell r="A5" t="str">
            <v xml:space="preserve">Chrysler EBITDA </v>
          </cell>
          <cell r="B5">
            <v>5450</v>
          </cell>
          <cell r="C5">
            <v>6266.9107596925169</v>
          </cell>
          <cell r="D5">
            <v>7338.0634973538436</v>
          </cell>
        </row>
        <row r="6">
          <cell r="A6" t="str">
            <v>Ford EV/EBITDA (x)</v>
          </cell>
          <cell r="B6">
            <v>3</v>
          </cell>
          <cell r="C6">
            <v>3</v>
          </cell>
          <cell r="D6">
            <v>3</v>
          </cell>
        </row>
        <row r="7">
          <cell r="A7" t="str">
            <v xml:space="preserve">Target EV </v>
          </cell>
          <cell r="B7">
            <v>16350</v>
          </cell>
          <cell r="C7">
            <v>18800.732279077551</v>
          </cell>
          <cell r="D7">
            <v>22014.190492061531</v>
          </cell>
        </row>
        <row r="9">
          <cell r="A9" t="str">
            <v>Net Debt</v>
          </cell>
          <cell r="B9">
            <v>1576</v>
          </cell>
          <cell r="C9">
            <v>1541.9303199092792</v>
          </cell>
          <cell r="D9">
            <v>1033.8782520791274</v>
          </cell>
        </row>
        <row r="10">
          <cell r="A10" t="str">
            <v>Pension</v>
          </cell>
          <cell r="B10">
            <v>6500</v>
          </cell>
          <cell r="C10">
            <v>6500</v>
          </cell>
          <cell r="D10">
            <v>6500</v>
          </cell>
        </row>
        <row r="11">
          <cell r="A11" t="str">
            <v>OPEB</v>
          </cell>
          <cell r="B11">
            <v>2700</v>
          </cell>
          <cell r="C11">
            <v>2700</v>
          </cell>
          <cell r="D11">
            <v>2700</v>
          </cell>
        </row>
        <row r="12">
          <cell r="A12" t="str">
            <v>Equity Value</v>
          </cell>
          <cell r="B12">
            <v>5574</v>
          </cell>
          <cell r="C12">
            <v>8058.8019591682714</v>
          </cell>
          <cell r="D12">
            <v>11780.312239982402</v>
          </cell>
        </row>
        <row r="13">
          <cell r="A13" t="str">
            <v xml:space="preserve">VEBA stake </v>
          </cell>
          <cell r="B13">
            <v>0.41499999999999998</v>
          </cell>
          <cell r="C13">
            <v>0.41499999999999998</v>
          </cell>
          <cell r="D13">
            <v>0.41499999999999998</v>
          </cell>
        </row>
        <row r="14">
          <cell r="A14" t="str">
            <v>Stake value</v>
          </cell>
          <cell r="B14">
            <v>2313.21</v>
          </cell>
          <cell r="C14">
            <v>3344.4028130548327</v>
          </cell>
          <cell r="D14">
            <v>4888.829579592697</v>
          </cell>
        </row>
        <row r="15">
          <cell r="A15" t="str">
            <v>Stake value (€)</v>
          </cell>
          <cell r="B15">
            <v>1779.3923076923077</v>
          </cell>
          <cell r="C15">
            <v>2572.6175485037174</v>
          </cell>
          <cell r="D15">
            <v>3760.6381381482283</v>
          </cell>
        </row>
        <row r="18">
          <cell r="A18" t="str">
            <v>Chrysler Summary ($ mn)</v>
          </cell>
          <cell r="B18">
            <v>2010</v>
          </cell>
          <cell r="C18">
            <v>2011</v>
          </cell>
          <cell r="D18" t="str">
            <v>2012E</v>
          </cell>
          <cell r="E18" t="str">
            <v>2013E</v>
          </cell>
          <cell r="F18" t="str">
            <v>2014E</v>
          </cell>
        </row>
        <row r="19">
          <cell r="A19" t="str">
            <v>Revenues</v>
          </cell>
          <cell r="B19">
            <v>41946</v>
          </cell>
          <cell r="C19">
            <v>54981</v>
          </cell>
          <cell r="D19">
            <v>65784</v>
          </cell>
          <cell r="E19">
            <v>73212.263612633702</v>
          </cell>
          <cell r="F19">
            <v>78083.466802869225</v>
          </cell>
        </row>
        <row r="20">
          <cell r="A20">
            <v>0</v>
          </cell>
          <cell r="B20">
            <v>0</v>
          </cell>
          <cell r="C20">
            <v>0</v>
          </cell>
          <cell r="D20">
            <v>0</v>
          </cell>
          <cell r="E20">
            <v>0</v>
          </cell>
          <cell r="F20">
            <v>0</v>
          </cell>
        </row>
        <row r="21">
          <cell r="A21" t="str">
            <v>Modified EBITDA</v>
          </cell>
          <cell r="B21">
            <v>3461</v>
          </cell>
          <cell r="C21">
            <v>4754</v>
          </cell>
          <cell r="D21">
            <v>5450</v>
          </cell>
          <cell r="E21">
            <v>6266.9107596925169</v>
          </cell>
          <cell r="F21">
            <v>7338.0634973538436</v>
          </cell>
        </row>
        <row r="22">
          <cell r="A22">
            <v>0</v>
          </cell>
          <cell r="B22">
            <v>0</v>
          </cell>
          <cell r="C22">
            <v>0</v>
          </cell>
          <cell r="D22">
            <v>0</v>
          </cell>
          <cell r="E22">
            <v>0</v>
          </cell>
          <cell r="F22">
            <v>0</v>
          </cell>
        </row>
        <row r="23">
          <cell r="A23" t="str">
            <v>Operating Profit</v>
          </cell>
          <cell r="B23">
            <v>763</v>
          </cell>
          <cell r="C23">
            <v>1975</v>
          </cell>
          <cell r="D23">
            <v>2912</v>
          </cell>
          <cell r="E23">
            <v>3500.3393311210889</v>
          </cell>
          <cell r="F23">
            <v>4400.0634973538436</v>
          </cell>
        </row>
        <row r="24">
          <cell r="A24">
            <v>0</v>
          </cell>
          <cell r="B24">
            <v>0</v>
          </cell>
          <cell r="C24">
            <v>0</v>
          </cell>
          <cell r="D24">
            <v>0</v>
          </cell>
          <cell r="E24">
            <v>0</v>
          </cell>
          <cell r="F24">
            <v>0</v>
          </cell>
        </row>
        <row r="25">
          <cell r="A25" t="str">
            <v>Operating Margin (%)</v>
          </cell>
          <cell r="B25">
            <v>1.8190053878796547E-2</v>
          </cell>
          <cell r="C25">
            <v>3.5921500154598864E-2</v>
          </cell>
          <cell r="D25">
            <v>4.426608293810045E-2</v>
          </cell>
          <cell r="E25">
            <v>4.7810833300297804E-2</v>
          </cell>
          <cell r="F25">
            <v>5.635077024003448E-2</v>
          </cell>
        </row>
        <row r="26">
          <cell r="A26">
            <v>0</v>
          </cell>
          <cell r="B26">
            <v>0</v>
          </cell>
          <cell r="C26">
            <v>0</v>
          </cell>
          <cell r="D26">
            <v>0</v>
          </cell>
          <cell r="E26">
            <v>0</v>
          </cell>
          <cell r="F26">
            <v>0</v>
          </cell>
        </row>
        <row r="27">
          <cell r="A27" t="str">
            <v>Net Debt</v>
          </cell>
          <cell r="B27">
            <v>5773</v>
          </cell>
          <cell r="C27">
            <v>2932</v>
          </cell>
          <cell r="D27">
            <v>1576</v>
          </cell>
          <cell r="E27">
            <v>1541.9303199092792</v>
          </cell>
          <cell r="F27">
            <v>1033.8782520791274</v>
          </cell>
        </row>
        <row r="28">
          <cell r="A28">
            <v>0</v>
          </cell>
          <cell r="B28">
            <v>0</v>
          </cell>
          <cell r="C28">
            <v>0</v>
          </cell>
          <cell r="D28">
            <v>0</v>
          </cell>
          <cell r="E28">
            <v>0</v>
          </cell>
          <cell r="F28">
            <v>0</v>
          </cell>
        </row>
        <row r="29">
          <cell r="A29" t="str">
            <v>Unfunded Pension Liabilities</v>
          </cell>
          <cell r="B29">
            <v>6608</v>
          </cell>
          <cell r="C29">
            <v>9265</v>
          </cell>
          <cell r="D29">
            <v>11938</v>
          </cell>
          <cell r="E29">
            <v>11938</v>
          </cell>
          <cell r="F29">
            <v>11938</v>
          </cell>
        </row>
      </sheetData>
      <sheetData sheetId="1" refreshError="1"/>
      <sheetData sheetId="2" refreshError="1">
        <row r="2">
          <cell r="B2" t="str">
            <v>FY 2010</v>
          </cell>
        </row>
        <row r="177">
          <cell r="A177" t="str">
            <v>Revenues</v>
          </cell>
          <cell r="B177">
            <v>0</v>
          </cell>
          <cell r="C177" t="str">
            <v>FY2011</v>
          </cell>
          <cell r="D177" t="str">
            <v>FY2012</v>
          </cell>
          <cell r="E177" t="str">
            <v>FY2013</v>
          </cell>
          <cell r="F177" t="str">
            <v>FY2014</v>
          </cell>
        </row>
        <row r="178">
          <cell r="A178" t="str">
            <v>NAFTA</v>
          </cell>
          <cell r="B178">
            <v>0</v>
          </cell>
          <cell r="C178">
            <v>33638</v>
          </cell>
          <cell r="D178">
            <v>43521</v>
          </cell>
          <cell r="E178">
            <v>45531.719999999994</v>
          </cell>
          <cell r="F178">
            <v>47434.957492527814</v>
          </cell>
        </row>
        <row r="179">
          <cell r="A179" t="str">
            <v>LATAM</v>
          </cell>
          <cell r="B179">
            <v>0</v>
          </cell>
          <cell r="C179">
            <v>11267.55</v>
          </cell>
          <cell r="D179">
            <v>11062</v>
          </cell>
          <cell r="E179">
            <v>10361.736000000001</v>
          </cell>
          <cell r="F179">
            <v>10361.736000000001</v>
          </cell>
        </row>
        <row r="180">
          <cell r="A180" t="str">
            <v>APAC</v>
          </cell>
          <cell r="B180">
            <v>0</v>
          </cell>
          <cell r="C180">
            <v>2158.2316849439289</v>
          </cell>
          <cell r="D180">
            <v>3128</v>
          </cell>
          <cell r="E180">
            <v>4696.8</v>
          </cell>
          <cell r="F180">
            <v>5871</v>
          </cell>
        </row>
        <row r="181">
          <cell r="A181" t="str">
            <v>EMEA</v>
          </cell>
          <cell r="B181">
            <v>0</v>
          </cell>
          <cell r="C181">
            <v>19975.218315056074</v>
          </cell>
          <cell r="D181">
            <v>17800</v>
          </cell>
          <cell r="E181">
            <v>17643.714</v>
          </cell>
          <cell r="F181">
            <v>18446.502986999996</v>
          </cell>
        </row>
        <row r="182">
          <cell r="A182" t="str">
            <v>Mass Market</v>
          </cell>
          <cell r="B182">
            <v>0</v>
          </cell>
          <cell r="C182">
            <v>67039</v>
          </cell>
          <cell r="D182">
            <v>75511</v>
          </cell>
          <cell r="E182">
            <v>78233.97</v>
          </cell>
          <cell r="F182">
            <v>82114.196479527818</v>
          </cell>
        </row>
        <row r="183">
          <cell r="A183">
            <v>0</v>
          </cell>
          <cell r="B183">
            <v>0</v>
          </cell>
          <cell r="C183">
            <v>0</v>
          </cell>
          <cell r="D183">
            <v>0</v>
          </cell>
          <cell r="E183">
            <v>0</v>
          </cell>
          <cell r="F183">
            <v>0</v>
          </cell>
        </row>
        <row r="184">
          <cell r="A184" t="str">
            <v>Ferrari</v>
          </cell>
          <cell r="B184">
            <v>0</v>
          </cell>
          <cell r="C184">
            <v>2251</v>
          </cell>
          <cell r="D184">
            <v>2400</v>
          </cell>
          <cell r="E184">
            <v>2294.1929999999998</v>
          </cell>
          <cell r="F184">
            <v>2408.90265</v>
          </cell>
        </row>
        <row r="185">
          <cell r="A185" t="str">
            <v>Maserati</v>
          </cell>
          <cell r="B185">
            <v>0</v>
          </cell>
          <cell r="C185">
            <v>588</v>
          </cell>
          <cell r="D185">
            <v>634</v>
          </cell>
          <cell r="E185">
            <v>1725</v>
          </cell>
          <cell r="F185">
            <v>3300</v>
          </cell>
        </row>
        <row r="186">
          <cell r="A186" t="str">
            <v>Other</v>
          </cell>
          <cell r="B186">
            <v>0</v>
          </cell>
          <cell r="C186">
            <v>-130</v>
          </cell>
          <cell r="D186">
            <v>-136</v>
          </cell>
          <cell r="E186">
            <v>-100</v>
          </cell>
          <cell r="F186">
            <v>-150</v>
          </cell>
        </row>
        <row r="187">
          <cell r="A187" t="str">
            <v>Luxury and Performance</v>
          </cell>
          <cell r="B187">
            <v>0</v>
          </cell>
          <cell r="C187">
            <v>2709</v>
          </cell>
          <cell r="D187">
            <v>2898</v>
          </cell>
          <cell r="E187">
            <v>3919.1929999999998</v>
          </cell>
          <cell r="F187">
            <v>5558.90265</v>
          </cell>
        </row>
        <row r="188">
          <cell r="A188">
            <v>0</v>
          </cell>
          <cell r="B188">
            <v>0</v>
          </cell>
          <cell r="C188">
            <v>0</v>
          </cell>
          <cell r="D188">
            <v>0</v>
          </cell>
          <cell r="E188">
            <v>0</v>
          </cell>
          <cell r="F188">
            <v>0</v>
          </cell>
        </row>
        <row r="189">
          <cell r="A189" t="str">
            <v>Magneti Marelli</v>
          </cell>
          <cell r="B189">
            <v>0</v>
          </cell>
          <cell r="C189">
            <v>5860</v>
          </cell>
          <cell r="D189">
            <v>5828</v>
          </cell>
          <cell r="E189">
            <v>5886.28</v>
          </cell>
          <cell r="F189">
            <v>6062.8684000000003</v>
          </cell>
        </row>
        <row r="190">
          <cell r="A190" t="str">
            <v>Teksid</v>
          </cell>
          <cell r="B190">
            <v>0</v>
          </cell>
          <cell r="C190">
            <v>922</v>
          </cell>
          <cell r="D190">
            <v>780</v>
          </cell>
          <cell r="E190">
            <v>748.8</v>
          </cell>
          <cell r="F190">
            <v>771.26400000000001</v>
          </cell>
        </row>
        <row r="191">
          <cell r="A191" t="str">
            <v>Comau</v>
          </cell>
          <cell r="B191">
            <v>0</v>
          </cell>
          <cell r="C191">
            <v>1402</v>
          </cell>
          <cell r="D191">
            <v>1482</v>
          </cell>
          <cell r="E191">
            <v>1378.26</v>
          </cell>
          <cell r="F191">
            <v>1419.6078</v>
          </cell>
        </row>
        <row r="192">
          <cell r="A192" t="str">
            <v>Other</v>
          </cell>
          <cell r="B192">
            <v>0</v>
          </cell>
          <cell r="C192">
            <v>-60</v>
          </cell>
          <cell r="D192">
            <v>-60</v>
          </cell>
          <cell r="E192">
            <v>-60</v>
          </cell>
          <cell r="F192">
            <v>-60</v>
          </cell>
        </row>
        <row r="193">
          <cell r="A193" t="str">
            <v>Components &amp; Prodn. Systems</v>
          </cell>
          <cell r="B193">
            <v>0</v>
          </cell>
          <cell r="C193">
            <v>8124</v>
          </cell>
          <cell r="D193">
            <v>8030</v>
          </cell>
          <cell r="E193">
            <v>7953.34</v>
          </cell>
          <cell r="F193">
            <v>8193.7402000000002</v>
          </cell>
        </row>
        <row r="194">
          <cell r="A194">
            <v>0</v>
          </cell>
          <cell r="B194">
            <v>0</v>
          </cell>
          <cell r="C194">
            <v>0</v>
          </cell>
          <cell r="D194">
            <v>0</v>
          </cell>
          <cell r="E194">
            <v>0</v>
          </cell>
          <cell r="F194">
            <v>0</v>
          </cell>
        </row>
        <row r="195">
          <cell r="A195" t="str">
            <v>Other</v>
          </cell>
          <cell r="B195">
            <v>0</v>
          </cell>
          <cell r="C195">
            <v>1062</v>
          </cell>
          <cell r="D195">
            <v>979</v>
          </cell>
          <cell r="E195">
            <v>1000</v>
          </cell>
          <cell r="F195">
            <v>1200</v>
          </cell>
        </row>
        <row r="196">
          <cell r="A196" t="str">
            <v>Eliminations</v>
          </cell>
          <cell r="B196">
            <v>0</v>
          </cell>
          <cell r="C196">
            <v>-3817</v>
          </cell>
          <cell r="D196">
            <v>-3461</v>
          </cell>
          <cell r="E196">
            <v>-3462</v>
          </cell>
          <cell r="F196">
            <v>-3508</v>
          </cell>
        </row>
        <row r="197">
          <cell r="A197" t="str">
            <v>Total</v>
          </cell>
          <cell r="B197">
            <v>0</v>
          </cell>
          <cell r="C197">
            <v>75117</v>
          </cell>
          <cell r="D197">
            <v>83957</v>
          </cell>
          <cell r="E197">
            <v>87644.502999999997</v>
          </cell>
          <cell r="F197">
            <v>93558.839329527822</v>
          </cell>
        </row>
        <row r="202">
          <cell r="A202" t="str">
            <v>EBIT</v>
          </cell>
          <cell r="B202">
            <v>0</v>
          </cell>
          <cell r="C202" t="str">
            <v>FY2011</v>
          </cell>
          <cell r="D202" t="str">
            <v>FY2012</v>
          </cell>
          <cell r="E202" t="str">
            <v>FY2013</v>
          </cell>
          <cell r="F202" t="str">
            <v>FY2014</v>
          </cell>
        </row>
        <row r="203">
          <cell r="A203" t="str">
            <v>NAFTA</v>
          </cell>
          <cell r="B203">
            <v>0</v>
          </cell>
          <cell r="C203">
            <v>1749.8988796322897</v>
          </cell>
          <cell r="D203">
            <v>2741</v>
          </cell>
          <cell r="E203">
            <v>2499.8202322795159</v>
          </cell>
          <cell r="F203">
            <v>2811.1296977093593</v>
          </cell>
        </row>
        <row r="204">
          <cell r="A204" t="str">
            <v>LATAM</v>
          </cell>
          <cell r="B204">
            <v>0</v>
          </cell>
          <cell r="C204">
            <v>1210</v>
          </cell>
          <cell r="D204">
            <v>1032</v>
          </cell>
          <cell r="E204">
            <v>700.50268548819372</v>
          </cell>
          <cell r="F204">
            <v>670.28989448984828</v>
          </cell>
        </row>
        <row r="205">
          <cell r="A205" t="str">
            <v>APAC</v>
          </cell>
          <cell r="B205">
            <v>0</v>
          </cell>
          <cell r="C205">
            <v>170</v>
          </cell>
          <cell r="D205">
            <v>255</v>
          </cell>
          <cell r="E205">
            <v>389.5</v>
          </cell>
          <cell r="F205">
            <v>528.39</v>
          </cell>
        </row>
        <row r="206">
          <cell r="A206" t="str">
            <v>EMEA</v>
          </cell>
          <cell r="B206">
            <v>0</v>
          </cell>
          <cell r="C206">
            <v>-500</v>
          </cell>
          <cell r="D206">
            <v>-738</v>
          </cell>
          <cell r="E206">
            <v>-383.09351176770963</v>
          </cell>
          <cell r="F206">
            <v>-244.80738333022774</v>
          </cell>
        </row>
        <row r="207">
          <cell r="A207" t="str">
            <v>Mass Market</v>
          </cell>
          <cell r="B207">
            <v>0</v>
          </cell>
          <cell r="C207">
            <v>2629.8988796322897</v>
          </cell>
          <cell r="D207">
            <v>3290</v>
          </cell>
          <cell r="E207">
            <v>3206.7294059999999</v>
          </cell>
          <cell r="F207">
            <v>3765.0022088689798</v>
          </cell>
        </row>
        <row r="208">
          <cell r="A208">
            <v>0</v>
          </cell>
          <cell r="B208">
            <v>0</v>
          </cell>
          <cell r="C208">
            <v>0</v>
          </cell>
          <cell r="D208">
            <v>0</v>
          </cell>
          <cell r="E208">
            <v>0</v>
          </cell>
          <cell r="F208">
            <v>0</v>
          </cell>
        </row>
        <row r="209">
          <cell r="A209" t="str">
            <v>Ferrari</v>
          </cell>
          <cell r="B209">
            <v>0</v>
          </cell>
          <cell r="C209">
            <v>312</v>
          </cell>
          <cell r="D209">
            <v>350</v>
          </cell>
          <cell r="E209">
            <v>351.78052999999994</v>
          </cell>
          <cell r="F209">
            <v>374.72246000000001</v>
          </cell>
        </row>
        <row r="210">
          <cell r="A210" t="str">
            <v>Maserati</v>
          </cell>
          <cell r="B210">
            <v>0</v>
          </cell>
          <cell r="C210">
            <v>40</v>
          </cell>
          <cell r="D210">
            <v>42</v>
          </cell>
          <cell r="E210">
            <v>151.10000000000002</v>
          </cell>
          <cell r="F210">
            <v>308.60000000000002</v>
          </cell>
        </row>
        <row r="211">
          <cell r="A211" t="str">
            <v>Other</v>
          </cell>
          <cell r="B211">
            <v>0</v>
          </cell>
          <cell r="C211">
            <v>0</v>
          </cell>
          <cell r="D211">
            <v>0</v>
          </cell>
          <cell r="E211">
            <v>0</v>
          </cell>
          <cell r="F211">
            <v>0</v>
          </cell>
        </row>
        <row r="212">
          <cell r="A212" t="str">
            <v>Luxury and Performance</v>
          </cell>
          <cell r="B212">
            <v>0</v>
          </cell>
          <cell r="C212">
            <v>352</v>
          </cell>
          <cell r="D212">
            <v>392</v>
          </cell>
          <cell r="E212">
            <v>502.88052999999996</v>
          </cell>
          <cell r="F212">
            <v>683.32246000000009</v>
          </cell>
        </row>
        <row r="213">
          <cell r="A213">
            <v>0</v>
          </cell>
          <cell r="B213">
            <v>0</v>
          </cell>
          <cell r="C213">
            <v>0</v>
          </cell>
          <cell r="D213">
            <v>0</v>
          </cell>
          <cell r="E213">
            <v>0</v>
          </cell>
          <cell r="F213">
            <v>0</v>
          </cell>
        </row>
        <row r="214">
          <cell r="A214" t="str">
            <v>Magneti Marelli</v>
          </cell>
          <cell r="B214">
            <v>0</v>
          </cell>
          <cell r="C214">
            <v>181</v>
          </cell>
          <cell r="D214">
            <v>140</v>
          </cell>
          <cell r="E214">
            <v>148.74199999999996</v>
          </cell>
          <cell r="F214">
            <v>175.23026000000004</v>
          </cell>
        </row>
        <row r="215">
          <cell r="A215" t="str">
            <v>Teksid</v>
          </cell>
          <cell r="B215">
            <v>0</v>
          </cell>
          <cell r="C215">
            <v>26</v>
          </cell>
          <cell r="D215">
            <v>0</v>
          </cell>
          <cell r="E215">
            <v>-6.2400000000000091</v>
          </cell>
          <cell r="F215">
            <v>-1.7471999999999976</v>
          </cell>
        </row>
        <row r="216">
          <cell r="A216" t="str">
            <v>Comau</v>
          </cell>
          <cell r="B216">
            <v>0</v>
          </cell>
          <cell r="C216">
            <v>10</v>
          </cell>
          <cell r="D216">
            <v>36</v>
          </cell>
          <cell r="E216">
            <v>40.251999999999995</v>
          </cell>
          <cell r="F216">
            <v>46.454169999999998</v>
          </cell>
        </row>
        <row r="217">
          <cell r="A217" t="str">
            <v>Other</v>
          </cell>
          <cell r="B217">
            <v>0</v>
          </cell>
          <cell r="C217">
            <v>0</v>
          </cell>
          <cell r="D217">
            <v>-9</v>
          </cell>
          <cell r="E217">
            <v>0</v>
          </cell>
          <cell r="F217">
            <v>0</v>
          </cell>
        </row>
        <row r="218">
          <cell r="A218" t="str">
            <v>Components &amp; Prodn. Systems</v>
          </cell>
          <cell r="B218">
            <v>0</v>
          </cell>
          <cell r="C218">
            <v>217</v>
          </cell>
          <cell r="D218">
            <v>167</v>
          </cell>
          <cell r="E218">
            <v>182.75399999999996</v>
          </cell>
          <cell r="F218">
            <v>219.93723000000006</v>
          </cell>
        </row>
        <row r="219">
          <cell r="A219">
            <v>0</v>
          </cell>
          <cell r="B219">
            <v>0</v>
          </cell>
          <cell r="C219">
            <v>0</v>
          </cell>
          <cell r="D219">
            <v>0</v>
          </cell>
          <cell r="E219">
            <v>0</v>
          </cell>
          <cell r="F219">
            <v>0</v>
          </cell>
        </row>
        <row r="220">
          <cell r="A220" t="str">
            <v>Other</v>
          </cell>
          <cell r="B220">
            <v>0</v>
          </cell>
          <cell r="C220">
            <v>0</v>
          </cell>
          <cell r="D220">
            <v>-172</v>
          </cell>
          <cell r="E220">
            <v>-134</v>
          </cell>
          <cell r="F220">
            <v>-131</v>
          </cell>
        </row>
        <row r="221">
          <cell r="A221" t="str">
            <v>Eliminations</v>
          </cell>
          <cell r="B221">
            <v>0</v>
          </cell>
          <cell r="C221">
            <v>50</v>
          </cell>
          <cell r="D221">
            <v>0</v>
          </cell>
          <cell r="E221">
            <v>0</v>
          </cell>
          <cell r="F221">
            <v>0</v>
          </cell>
        </row>
        <row r="222">
          <cell r="A222">
            <v>0</v>
          </cell>
          <cell r="B222">
            <v>0</v>
          </cell>
          <cell r="C222">
            <v>0</v>
          </cell>
          <cell r="D222">
            <v>0</v>
          </cell>
          <cell r="E222">
            <v>0</v>
          </cell>
          <cell r="F222">
            <v>0</v>
          </cell>
        </row>
        <row r="223">
          <cell r="A223" t="str">
            <v>Total</v>
          </cell>
          <cell r="B223">
            <v>0</v>
          </cell>
          <cell r="C223">
            <v>3248.8988796322897</v>
          </cell>
          <cell r="D223">
            <v>3677</v>
          </cell>
          <cell r="E223">
            <v>3758.3639359999997</v>
          </cell>
          <cell r="F223">
            <v>4537.2618988689801</v>
          </cell>
        </row>
      </sheetData>
      <sheetData sheetId="3" refreshError="1">
        <row r="3">
          <cell r="C3" t="str">
            <v>Chrysler Transaction Value ($mn)</v>
          </cell>
          <cell r="D3">
            <v>0</v>
          </cell>
          <cell r="E3">
            <v>0</v>
          </cell>
          <cell r="F3">
            <v>0</v>
          </cell>
          <cell r="G3">
            <v>0</v>
          </cell>
          <cell r="H3" t="str">
            <v>2011 E</v>
          </cell>
          <cell r="I3" t="str">
            <v>2012 E</v>
          </cell>
          <cell r="J3" t="str">
            <v>2013 E</v>
          </cell>
          <cell r="K3" t="str">
            <v>2014 E</v>
          </cell>
          <cell r="M3">
            <v>0</v>
          </cell>
          <cell r="N3">
            <v>0</v>
          </cell>
          <cell r="O3">
            <v>0</v>
          </cell>
          <cell r="P3">
            <v>0</v>
          </cell>
        </row>
        <row r="4">
          <cell r="M4">
            <v>0</v>
          </cell>
          <cell r="N4">
            <v>0</v>
          </cell>
          <cell r="O4">
            <v>0</v>
          </cell>
          <cell r="P4">
            <v>0</v>
          </cell>
        </row>
        <row r="5">
          <cell r="C5" t="str">
            <v>Amount paid by Fiat for 59% stake in Chrysler</v>
          </cell>
          <cell r="D5">
            <v>0</v>
          </cell>
          <cell r="E5">
            <v>0</v>
          </cell>
          <cell r="F5">
            <v>0</v>
          </cell>
          <cell r="G5">
            <v>0</v>
          </cell>
          <cell r="H5">
            <v>1893</v>
          </cell>
          <cell r="I5">
            <v>1893</v>
          </cell>
          <cell r="J5">
            <v>1893</v>
          </cell>
          <cell r="K5">
            <v>1893</v>
          </cell>
          <cell r="L5">
            <v>0</v>
          </cell>
          <cell r="M5">
            <v>0</v>
          </cell>
          <cell r="N5">
            <v>0</v>
          </cell>
          <cell r="O5">
            <v>0</v>
          </cell>
          <cell r="P5">
            <v>0</v>
          </cell>
        </row>
        <row r="6">
          <cell r="H6">
            <v>0</v>
          </cell>
          <cell r="I6">
            <v>0</v>
          </cell>
          <cell r="J6">
            <v>0</v>
          </cell>
          <cell r="K6">
            <v>0</v>
          </cell>
          <cell r="M6">
            <v>0</v>
          </cell>
          <cell r="N6">
            <v>0</v>
          </cell>
          <cell r="O6">
            <v>0</v>
          </cell>
          <cell r="P6">
            <v>0</v>
          </cell>
        </row>
        <row r="7">
          <cell r="C7" t="str">
            <v>VEBA stake value cap (base)</v>
          </cell>
          <cell r="D7" t="str">
            <v>VEBA stake value cap (base)</v>
          </cell>
          <cell r="E7" t="str">
            <v>VEBA stake value cap (base)</v>
          </cell>
          <cell r="F7" t="str">
            <v>VEBA stake value cap (base)</v>
          </cell>
          <cell r="G7" t="str">
            <v>VEBA stake value cap (base)</v>
          </cell>
          <cell r="H7">
            <v>4250</v>
          </cell>
          <cell r="I7">
            <v>4250</v>
          </cell>
          <cell r="J7">
            <v>4250</v>
          </cell>
          <cell r="K7">
            <v>4250</v>
          </cell>
          <cell r="M7">
            <v>0</v>
          </cell>
          <cell r="N7">
            <v>0</v>
          </cell>
          <cell r="O7">
            <v>0</v>
          </cell>
          <cell r="P7">
            <v>0</v>
          </cell>
        </row>
        <row r="8">
          <cell r="C8" t="str">
            <v>Compounded interest@9% p.a(from Jan 2010)</v>
          </cell>
          <cell r="D8" t="str">
            <v>Compounded interest @9% p.a (from Jan 2010)</v>
          </cell>
          <cell r="E8" t="str">
            <v>Compounded interest @9% p.a (from Jan 2010)</v>
          </cell>
          <cell r="F8" t="str">
            <v>Compounded interest @9% p.a (from Jan 2010)</v>
          </cell>
          <cell r="G8" t="str">
            <v>Compounded interest @9% p.a (from Jan 2010)</v>
          </cell>
          <cell r="H8">
            <v>799.42500000000109</v>
          </cell>
          <cell r="I8">
            <v>1253.8732500000006</v>
          </cell>
          <cell r="J8">
            <v>1749.221842500001</v>
          </cell>
          <cell r="K8">
            <v>2289.1518083250021</v>
          </cell>
          <cell r="M8">
            <v>0</v>
          </cell>
          <cell r="N8">
            <v>0</v>
          </cell>
          <cell r="O8">
            <v>0</v>
          </cell>
          <cell r="P8">
            <v>0</v>
          </cell>
        </row>
        <row r="9">
          <cell r="C9" t="str">
            <v>Total Value Cap for the VEBA stake</v>
          </cell>
          <cell r="D9" t="str">
            <v>Total Value Cap for the VEBA stake</v>
          </cell>
          <cell r="E9" t="str">
            <v>Total Value Cap for the VEBA stake</v>
          </cell>
          <cell r="F9" t="str">
            <v>Total Value Cap for the VEBA stake</v>
          </cell>
          <cell r="G9" t="str">
            <v>Total Value Cap for the VEBA stake</v>
          </cell>
          <cell r="H9">
            <v>5049.4250000000011</v>
          </cell>
          <cell r="I9">
            <v>5503.8732500000006</v>
          </cell>
          <cell r="J9">
            <v>5999.221842500001</v>
          </cell>
          <cell r="K9">
            <v>6539.1518083250021</v>
          </cell>
          <cell r="L9">
            <v>0</v>
          </cell>
          <cell r="M9">
            <v>0</v>
          </cell>
          <cell r="N9">
            <v>0</v>
          </cell>
          <cell r="O9">
            <v>0</v>
          </cell>
          <cell r="P9">
            <v>0</v>
          </cell>
        </row>
        <row r="10">
          <cell r="H10">
            <v>0</v>
          </cell>
          <cell r="I10">
            <v>0</v>
          </cell>
          <cell r="J10">
            <v>0</v>
          </cell>
          <cell r="K10">
            <v>0</v>
          </cell>
          <cell r="M10">
            <v>0</v>
          </cell>
          <cell r="N10">
            <v>0</v>
          </cell>
          <cell r="O10">
            <v>0</v>
          </cell>
          <cell r="P10">
            <v>0</v>
          </cell>
        </row>
        <row r="11">
          <cell r="C11" t="str">
            <v>Total amount  paid by Fiat for Chrysler</v>
          </cell>
          <cell r="D11" t="str">
            <v>Total amount to be paid by Fiat for Chrysler</v>
          </cell>
          <cell r="E11" t="str">
            <v>Total amount to be paid by Fiat for Chrysler</v>
          </cell>
          <cell r="F11" t="str">
            <v>Total amount to be paid by Fiat for Chrysler</v>
          </cell>
          <cell r="G11" t="str">
            <v>Total amount to be paid by Fiat for Chrysler</v>
          </cell>
          <cell r="H11">
            <v>6942.4250000000011</v>
          </cell>
          <cell r="I11">
            <v>7396.8732500000006</v>
          </cell>
          <cell r="J11">
            <v>7892.221842500001</v>
          </cell>
          <cell r="K11">
            <v>8432.1518083250012</v>
          </cell>
          <cell r="L11">
            <v>0</v>
          </cell>
          <cell r="M11">
            <v>0</v>
          </cell>
          <cell r="N11">
            <v>0</v>
          </cell>
          <cell r="O11">
            <v>0</v>
          </cell>
          <cell r="P11">
            <v>0</v>
          </cell>
        </row>
        <row r="12">
          <cell r="C12" t="str">
            <v xml:space="preserve">Chrysler Net Debt </v>
          </cell>
          <cell r="D12" t="str">
            <v xml:space="preserve">Chrysler Net Debt </v>
          </cell>
          <cell r="E12" t="str">
            <v xml:space="preserve">Chrysler Net Debt </v>
          </cell>
          <cell r="F12" t="str">
            <v xml:space="preserve">Chrysler Net Debt </v>
          </cell>
          <cell r="G12" t="str">
            <v xml:space="preserve">Chrysler Net Debt </v>
          </cell>
          <cell r="H12">
            <v>2932</v>
          </cell>
          <cell r="I12">
            <v>1576</v>
          </cell>
          <cell r="J12">
            <v>1541.9303199092792</v>
          </cell>
          <cell r="K12">
            <v>1033.8782520791274</v>
          </cell>
          <cell r="M12">
            <v>0</v>
          </cell>
          <cell r="N12">
            <v>0</v>
          </cell>
          <cell r="O12">
            <v>0</v>
          </cell>
          <cell r="P12">
            <v>0</v>
          </cell>
        </row>
        <row r="13">
          <cell r="C13" t="str">
            <v>Chrysler Pension Liabilities &amp;healthcare benefits</v>
          </cell>
          <cell r="D13" t="str">
            <v>Chrysler Pension Liabilities &amp; healthcare benefits</v>
          </cell>
          <cell r="E13" t="str">
            <v>Chrysler Pension Liabilities &amp; healthcare benefits</v>
          </cell>
          <cell r="F13" t="str">
            <v>Chrysler Pension Liabilities &amp; healthcare benefits</v>
          </cell>
          <cell r="G13" t="str">
            <v>Chrysler Pension Liabilities &amp; healthcare benefits</v>
          </cell>
          <cell r="H13">
            <v>7354.8567289965767</v>
          </cell>
          <cell r="I13">
            <v>7354.8567289965767</v>
          </cell>
          <cell r="J13">
            <v>7354.8567289965767</v>
          </cell>
          <cell r="K13">
            <v>7354.8567289965767</v>
          </cell>
          <cell r="M13">
            <v>0</v>
          </cell>
          <cell r="N13">
            <v>0</v>
          </cell>
          <cell r="O13">
            <v>0</v>
          </cell>
          <cell r="P13">
            <v>0</v>
          </cell>
        </row>
        <row r="14">
          <cell r="C14" t="str">
            <v>EV of Chrysler @ Fiat purchase price</v>
          </cell>
          <cell r="D14" t="str">
            <v>EV of Chrysler @ Fiat purchase price</v>
          </cell>
          <cell r="E14" t="str">
            <v>EV of Chrysler @ Fiat purchase price</v>
          </cell>
          <cell r="F14" t="str">
            <v>EV of Chrysler @ Fiat purchase price</v>
          </cell>
          <cell r="G14" t="str">
            <v>EV of Chrysler @ Fiat purchase price</v>
          </cell>
          <cell r="H14">
            <v>17229.281728996579</v>
          </cell>
          <cell r="I14">
            <v>16327.729978996576</v>
          </cell>
          <cell r="J14">
            <v>16789.008891405858</v>
          </cell>
          <cell r="K14">
            <v>16820.886789400705</v>
          </cell>
          <cell r="L14">
            <v>0</v>
          </cell>
          <cell r="M14">
            <v>0</v>
          </cell>
          <cell r="N14">
            <v>0</v>
          </cell>
          <cell r="O14">
            <v>0</v>
          </cell>
          <cell r="P14">
            <v>0</v>
          </cell>
        </row>
        <row r="15">
          <cell r="G15">
            <v>0</v>
          </cell>
          <cell r="H15">
            <v>0</v>
          </cell>
          <cell r="I15">
            <v>0</v>
          </cell>
          <cell r="J15">
            <v>0</v>
          </cell>
          <cell r="K15">
            <v>0</v>
          </cell>
          <cell r="M15">
            <v>0</v>
          </cell>
          <cell r="N15">
            <v>0</v>
          </cell>
          <cell r="O15">
            <v>0</v>
          </cell>
          <cell r="P15">
            <v>0</v>
          </cell>
        </row>
        <row r="16">
          <cell r="C16" t="str">
            <v>Chrysler EBITDA (GSe)</v>
          </cell>
          <cell r="D16" t="str">
            <v>Chrysler EBITDA (GSe)</v>
          </cell>
          <cell r="E16" t="str">
            <v>Chrysler EBITDA (GSe)</v>
          </cell>
          <cell r="F16" t="str">
            <v>Chrysler EBITDA (GSe)</v>
          </cell>
          <cell r="G16" t="str">
            <v>Chrysler EBITDA (GSe)</v>
          </cell>
          <cell r="H16">
            <v>4754</v>
          </cell>
          <cell r="I16">
            <v>5450</v>
          </cell>
          <cell r="J16">
            <v>6266.9107596925169</v>
          </cell>
          <cell r="K16">
            <v>7338.0634973538436</v>
          </cell>
          <cell r="M16">
            <v>0</v>
          </cell>
          <cell r="N16">
            <v>0</v>
          </cell>
          <cell r="O16">
            <v>0</v>
          </cell>
          <cell r="P16">
            <v>0</v>
          </cell>
        </row>
        <row r="17">
          <cell r="C17" t="str">
            <v>Implied Transaction EV/EBITDA (x)</v>
          </cell>
          <cell r="D17" t="str">
            <v>Implied Transaction EV/EBITDA (x)</v>
          </cell>
          <cell r="E17" t="str">
            <v>Implied Transaction EV/EBITDA (x)</v>
          </cell>
          <cell r="F17" t="str">
            <v>Implied Transaction EV/EBITDA (x)</v>
          </cell>
          <cell r="G17" t="str">
            <v>Implied Transaction EV/EBITDA (x)</v>
          </cell>
          <cell r="H17">
            <v>3.6241652774498481</v>
          </cell>
          <cell r="I17">
            <v>2.9959137576140509</v>
          </cell>
          <cell r="J17">
            <v>2.678992814033561</v>
          </cell>
          <cell r="K17">
            <v>2.2922787184202527</v>
          </cell>
          <cell r="L17">
            <v>0</v>
          </cell>
          <cell r="M17">
            <v>0</v>
          </cell>
          <cell r="N17">
            <v>0</v>
          </cell>
          <cell r="O17">
            <v>0</v>
          </cell>
          <cell r="P17">
            <v>0</v>
          </cell>
        </row>
        <row r="18">
          <cell r="C18">
            <v>0</v>
          </cell>
          <cell r="D18">
            <v>0</v>
          </cell>
          <cell r="E18">
            <v>0</v>
          </cell>
          <cell r="F18">
            <v>0</v>
          </cell>
          <cell r="G18">
            <v>0</v>
          </cell>
          <cell r="H18">
            <v>0</v>
          </cell>
          <cell r="I18">
            <v>0</v>
          </cell>
          <cell r="J18">
            <v>0</v>
          </cell>
          <cell r="K18">
            <v>0</v>
          </cell>
          <cell r="M18">
            <v>0</v>
          </cell>
          <cell r="N18">
            <v>0</v>
          </cell>
          <cell r="O18">
            <v>0</v>
          </cell>
          <cell r="P18">
            <v>0</v>
          </cell>
        </row>
        <row r="20">
          <cell r="B20" t="str">
            <v>On GS estimates</v>
          </cell>
          <cell r="C20" t="str">
            <v>EV/EBITDA (x) =3.0x</v>
          </cell>
          <cell r="D20">
            <v>0</v>
          </cell>
          <cell r="E20">
            <v>0</v>
          </cell>
          <cell r="F20">
            <v>0</v>
          </cell>
          <cell r="H20" t="str">
            <v>EV/EBITDA (x) =4.0x</v>
          </cell>
          <cell r="I20">
            <v>0</v>
          </cell>
          <cell r="J20">
            <v>0</v>
          </cell>
          <cell r="K20">
            <v>0</v>
          </cell>
          <cell r="M20" t="str">
            <v>EV/EBITDA (x) =5.0x</v>
          </cell>
          <cell r="N20">
            <v>0</v>
          </cell>
          <cell r="O20">
            <v>0</v>
          </cell>
          <cell r="P20">
            <v>0</v>
          </cell>
        </row>
        <row r="22">
          <cell r="B22" t="str">
            <v>Chrysler Value creation walk ($mn)</v>
          </cell>
          <cell r="C22" t="str">
            <v>2011 E</v>
          </cell>
          <cell r="D22" t="str">
            <v>2012 E</v>
          </cell>
          <cell r="E22" t="str">
            <v>2013 E</v>
          </cell>
          <cell r="F22" t="str">
            <v>2014 E</v>
          </cell>
          <cell r="H22" t="str">
            <v>2011 E</v>
          </cell>
          <cell r="I22" t="str">
            <v>2012 E</v>
          </cell>
          <cell r="J22" t="str">
            <v>2013 E</v>
          </cell>
          <cell r="K22" t="str">
            <v>2014 E</v>
          </cell>
          <cell r="M22" t="str">
            <v>2011 E</v>
          </cell>
          <cell r="N22" t="str">
            <v>2012 E</v>
          </cell>
          <cell r="O22" t="str">
            <v>2013 E</v>
          </cell>
          <cell r="P22" t="str">
            <v>2014 E</v>
          </cell>
        </row>
        <row r="24">
          <cell r="B24" t="str">
            <v>Chrysler EBITDA (GSe)</v>
          </cell>
          <cell r="C24">
            <v>4754</v>
          </cell>
          <cell r="D24">
            <v>5450</v>
          </cell>
          <cell r="E24">
            <v>6266.9107596925169</v>
          </cell>
          <cell r="F24">
            <v>7338.0634973538436</v>
          </cell>
          <cell r="H24">
            <v>4754</v>
          </cell>
          <cell r="I24">
            <v>5450</v>
          </cell>
          <cell r="J24">
            <v>6266.9107596925169</v>
          </cell>
          <cell r="K24">
            <v>7338.0634973538436</v>
          </cell>
          <cell r="M24">
            <v>4754</v>
          </cell>
          <cell r="N24">
            <v>5450</v>
          </cell>
          <cell r="O24">
            <v>6266.9107596925169</v>
          </cell>
          <cell r="P24">
            <v>7338.0634973538436</v>
          </cell>
        </row>
        <row r="25">
          <cell r="B25" t="str">
            <v>Target EV/EBITDA (x)</v>
          </cell>
          <cell r="C25">
            <v>3</v>
          </cell>
          <cell r="D25">
            <v>3</v>
          </cell>
          <cell r="E25">
            <v>3</v>
          </cell>
          <cell r="F25">
            <v>3</v>
          </cell>
          <cell r="H25">
            <v>4</v>
          </cell>
          <cell r="I25">
            <v>4</v>
          </cell>
          <cell r="J25">
            <v>4</v>
          </cell>
          <cell r="K25">
            <v>4</v>
          </cell>
          <cell r="L25">
            <v>0</v>
          </cell>
          <cell r="M25">
            <v>5</v>
          </cell>
          <cell r="N25">
            <v>5</v>
          </cell>
          <cell r="O25">
            <v>5</v>
          </cell>
          <cell r="P25">
            <v>5</v>
          </cell>
        </row>
        <row r="26">
          <cell r="B26" t="str">
            <v xml:space="preserve">Target EV </v>
          </cell>
          <cell r="C26">
            <v>14262</v>
          </cell>
          <cell r="D26">
            <v>16350</v>
          </cell>
          <cell r="E26">
            <v>18800.732279077551</v>
          </cell>
          <cell r="F26">
            <v>22014.190492061531</v>
          </cell>
          <cell r="G26">
            <v>0</v>
          </cell>
          <cell r="H26">
            <v>19016</v>
          </cell>
          <cell r="I26">
            <v>21800</v>
          </cell>
          <cell r="J26">
            <v>25067.643038770068</v>
          </cell>
          <cell r="K26">
            <v>29352.253989415374</v>
          </cell>
          <cell r="L26">
            <v>0</v>
          </cell>
          <cell r="M26">
            <v>23770</v>
          </cell>
          <cell r="N26">
            <v>27250</v>
          </cell>
          <cell r="O26">
            <v>31334.553798462584</v>
          </cell>
          <cell r="P26">
            <v>36690.317486769214</v>
          </cell>
        </row>
        <row r="27">
          <cell r="B27" t="str">
            <v>Purchace EV</v>
          </cell>
          <cell r="C27">
            <v>17229.281728996579</v>
          </cell>
          <cell r="D27">
            <v>16327.729978996576</v>
          </cell>
          <cell r="E27">
            <v>16789.008891405858</v>
          </cell>
          <cell r="F27">
            <v>16820.886789400705</v>
          </cell>
          <cell r="H27">
            <v>17229.281728996579</v>
          </cell>
          <cell r="I27">
            <v>16327.729978996576</v>
          </cell>
          <cell r="J27">
            <v>16789.008891405858</v>
          </cell>
          <cell r="K27">
            <v>16820.886789400705</v>
          </cell>
          <cell r="M27">
            <v>17229.281728996579</v>
          </cell>
          <cell r="N27">
            <v>16327.729978996576</v>
          </cell>
          <cell r="O27">
            <v>16789.008891405858</v>
          </cell>
          <cell r="P27">
            <v>16820.886789400705</v>
          </cell>
        </row>
        <row r="28">
          <cell r="B28" t="str">
            <v>Value created for Fiat shareholder</v>
          </cell>
          <cell r="C28">
            <v>-2967.2817289965787</v>
          </cell>
          <cell r="D28">
            <v>22.270021003423608</v>
          </cell>
          <cell r="E28">
            <v>2011.7233876716928</v>
          </cell>
          <cell r="F28">
            <v>5193.3037026608254</v>
          </cell>
          <cell r="H28">
            <v>1786.7182710034213</v>
          </cell>
          <cell r="I28">
            <v>5472.2700210034236</v>
          </cell>
          <cell r="J28">
            <v>8278.6341473642096</v>
          </cell>
          <cell r="K28">
            <v>12531.367200014669</v>
          </cell>
          <cell r="M28">
            <v>6540.7182710034213</v>
          </cell>
          <cell r="N28">
            <v>10922.270021003424</v>
          </cell>
          <cell r="O28">
            <v>14545.544907056727</v>
          </cell>
          <cell r="P28">
            <v>19869.430697368509</v>
          </cell>
        </row>
        <row r="29">
          <cell r="B29" t="str">
            <v>NOSH</v>
          </cell>
          <cell r="C29">
            <v>1250.402075</v>
          </cell>
          <cell r="D29">
            <v>1250.402075</v>
          </cell>
          <cell r="E29">
            <v>1250.402075</v>
          </cell>
          <cell r="F29">
            <v>1250.402075</v>
          </cell>
          <cell r="H29">
            <v>1250.402075</v>
          </cell>
          <cell r="I29">
            <v>1250.402075</v>
          </cell>
          <cell r="J29">
            <v>1250.402075</v>
          </cell>
          <cell r="K29">
            <v>1250.402075</v>
          </cell>
          <cell r="M29">
            <v>1250.402075</v>
          </cell>
          <cell r="N29">
            <v>1250.402075</v>
          </cell>
          <cell r="O29">
            <v>1250.402075</v>
          </cell>
          <cell r="P29">
            <v>1250.402075</v>
          </cell>
        </row>
        <row r="30">
          <cell r="B30" t="str">
            <v>Value created per share ($)</v>
          </cell>
          <cell r="C30">
            <v>-2.3730620640537397</v>
          </cell>
          <cell r="D30">
            <v>1.7810287945518331E-2</v>
          </cell>
          <cell r="E30">
            <v>1.6088612038425263</v>
          </cell>
          <cell r="F30">
            <v>4.153307009396018</v>
          </cell>
          <cell r="H30">
            <v>1.4289149920064081</v>
          </cell>
          <cell r="I30">
            <v>4.3764083013085404</v>
          </cell>
          <cell r="J30">
            <v>6.6207776785432877</v>
          </cell>
          <cell r="K30">
            <v>10.021870125267242</v>
          </cell>
          <cell r="M30">
            <v>5.2308920480665559</v>
          </cell>
          <cell r="N30">
            <v>8.735006314671562</v>
          </cell>
          <cell r="O30">
            <v>11.632694153244049</v>
          </cell>
          <cell r="P30">
            <v>15.890433241138464</v>
          </cell>
        </row>
        <row r="31">
          <cell r="B31">
            <v>0</v>
          </cell>
          <cell r="C31">
            <v>0</v>
          </cell>
          <cell r="D31">
            <v>0</v>
          </cell>
          <cell r="E31">
            <v>0</v>
          </cell>
          <cell r="F31">
            <v>0</v>
          </cell>
          <cell r="H31">
            <v>0</v>
          </cell>
          <cell r="I31">
            <v>0</v>
          </cell>
          <cell r="J31">
            <v>0</v>
          </cell>
          <cell r="K31">
            <v>0</v>
          </cell>
          <cell r="M31">
            <v>0</v>
          </cell>
          <cell r="N31">
            <v>0</v>
          </cell>
          <cell r="O31">
            <v>0</v>
          </cell>
          <cell r="P31">
            <v>0</v>
          </cell>
        </row>
        <row r="33">
          <cell r="B33" t="str">
            <v>On Plan Targets</v>
          </cell>
          <cell r="C33" t="str">
            <v>EV/EBITDA (x) =3.0x</v>
          </cell>
          <cell r="D33">
            <v>0</v>
          </cell>
          <cell r="E33">
            <v>0</v>
          </cell>
          <cell r="F33">
            <v>0</v>
          </cell>
          <cell r="H33" t="str">
            <v>EV/EBITDA (x) =4.0x</v>
          </cell>
          <cell r="I33">
            <v>0</v>
          </cell>
          <cell r="J33">
            <v>0</v>
          </cell>
          <cell r="K33">
            <v>0</v>
          </cell>
          <cell r="M33" t="str">
            <v>EV/EBITDA (x) =5.0x</v>
          </cell>
          <cell r="N33">
            <v>0</v>
          </cell>
          <cell r="O33">
            <v>0</v>
          </cell>
          <cell r="P33">
            <v>0</v>
          </cell>
        </row>
        <row r="35">
          <cell r="B35" t="str">
            <v>Chrysler Value creation walk ($mn)</v>
          </cell>
          <cell r="C35" t="str">
            <v>2011 E</v>
          </cell>
          <cell r="D35" t="str">
            <v>2012 E</v>
          </cell>
          <cell r="E35" t="str">
            <v>2013 E</v>
          </cell>
          <cell r="F35" t="str">
            <v>2014 E</v>
          </cell>
          <cell r="H35" t="str">
            <v>2011 E</v>
          </cell>
          <cell r="I35" t="str">
            <v>2012 E</v>
          </cell>
          <cell r="J35" t="str">
            <v>2013 E</v>
          </cell>
          <cell r="K35" t="str">
            <v>2014 E</v>
          </cell>
          <cell r="M35" t="str">
            <v>2011 E</v>
          </cell>
          <cell r="N35" t="str">
            <v>2012 E</v>
          </cell>
          <cell r="O35" t="str">
            <v>2013 E</v>
          </cell>
          <cell r="P35" t="str">
            <v>2014 E</v>
          </cell>
        </row>
        <row r="37">
          <cell r="B37" t="str">
            <v>Chrysler EBITDA (Plan targets)</v>
          </cell>
          <cell r="C37">
            <v>4800</v>
          </cell>
          <cell r="D37">
            <v>6150</v>
          </cell>
          <cell r="E37">
            <v>7100</v>
          </cell>
          <cell r="F37">
            <v>8250</v>
          </cell>
          <cell r="H37">
            <v>4800</v>
          </cell>
          <cell r="I37">
            <v>6150</v>
          </cell>
          <cell r="J37">
            <v>7100</v>
          </cell>
          <cell r="K37">
            <v>8250</v>
          </cell>
          <cell r="M37">
            <v>4800</v>
          </cell>
          <cell r="N37">
            <v>6150</v>
          </cell>
          <cell r="O37">
            <v>7100</v>
          </cell>
          <cell r="P37">
            <v>8250</v>
          </cell>
        </row>
        <row r="38">
          <cell r="B38" t="str">
            <v>Target EV/EBITDA (x)</v>
          </cell>
          <cell r="C38">
            <v>3</v>
          </cell>
          <cell r="D38">
            <v>3</v>
          </cell>
          <cell r="E38">
            <v>3</v>
          </cell>
          <cell r="F38">
            <v>3</v>
          </cell>
          <cell r="H38">
            <v>4</v>
          </cell>
          <cell r="I38">
            <v>4</v>
          </cell>
          <cell r="J38">
            <v>4</v>
          </cell>
          <cell r="K38">
            <v>4</v>
          </cell>
          <cell r="L38">
            <v>0</v>
          </cell>
          <cell r="M38">
            <v>5</v>
          </cell>
          <cell r="N38">
            <v>5</v>
          </cell>
          <cell r="O38">
            <v>5</v>
          </cell>
          <cell r="P38">
            <v>5</v>
          </cell>
        </row>
        <row r="39">
          <cell r="B39" t="str">
            <v xml:space="preserve">Target EV </v>
          </cell>
          <cell r="C39">
            <v>14400</v>
          </cell>
          <cell r="D39">
            <v>18450</v>
          </cell>
          <cell r="E39">
            <v>21300</v>
          </cell>
          <cell r="F39">
            <v>24750</v>
          </cell>
          <cell r="G39">
            <v>0</v>
          </cell>
          <cell r="H39">
            <v>19200</v>
          </cell>
          <cell r="I39">
            <v>24600</v>
          </cell>
          <cell r="J39">
            <v>28400</v>
          </cell>
          <cell r="K39">
            <v>33000</v>
          </cell>
          <cell r="L39">
            <v>0</v>
          </cell>
          <cell r="M39">
            <v>24000</v>
          </cell>
          <cell r="N39">
            <v>30750</v>
          </cell>
          <cell r="O39">
            <v>35500</v>
          </cell>
          <cell r="P39">
            <v>41250</v>
          </cell>
        </row>
        <row r="40">
          <cell r="B40" t="str">
            <v>Purchace EV</v>
          </cell>
          <cell r="C40">
            <v>17229.281728996579</v>
          </cell>
          <cell r="D40">
            <v>16327.729978996576</v>
          </cell>
          <cell r="E40">
            <v>16789.008891405858</v>
          </cell>
          <cell r="F40">
            <v>16820.886789400705</v>
          </cell>
          <cell r="H40">
            <v>17229.281728996579</v>
          </cell>
          <cell r="I40">
            <v>16327.729978996576</v>
          </cell>
          <cell r="J40">
            <v>16789.008891405858</v>
          </cell>
          <cell r="K40">
            <v>16820.886789400705</v>
          </cell>
          <cell r="M40">
            <v>17229.281728996579</v>
          </cell>
          <cell r="N40">
            <v>16327.729978996576</v>
          </cell>
          <cell r="O40">
            <v>16789.008891405858</v>
          </cell>
          <cell r="P40">
            <v>16820.886789400705</v>
          </cell>
        </row>
        <row r="41">
          <cell r="B41" t="str">
            <v>Value created for Fiat shareholder</v>
          </cell>
          <cell r="C41">
            <v>-2829.2817289965787</v>
          </cell>
          <cell r="D41">
            <v>2122.2700210034236</v>
          </cell>
          <cell r="E41">
            <v>4510.9911085941421</v>
          </cell>
          <cell r="F41">
            <v>7929.1132105992947</v>
          </cell>
          <cell r="H41">
            <v>1970.7182710034213</v>
          </cell>
          <cell r="I41">
            <v>8272.2700210034236</v>
          </cell>
          <cell r="J41">
            <v>11610.991108594142</v>
          </cell>
          <cell r="K41">
            <v>16179.113210599295</v>
          </cell>
          <cell r="M41">
            <v>6770.7182710034213</v>
          </cell>
          <cell r="N41">
            <v>14422.270021003424</v>
          </cell>
          <cell r="O41">
            <v>18710.991108594142</v>
          </cell>
          <cell r="P41">
            <v>24429.113210599295</v>
          </cell>
        </row>
        <row r="42">
          <cell r="B42" t="str">
            <v>NOSH</v>
          </cell>
          <cell r="C42">
            <v>1250.402075</v>
          </cell>
          <cell r="D42">
            <v>1250.402075</v>
          </cell>
          <cell r="E42">
            <v>1250.402075</v>
          </cell>
          <cell r="F42">
            <v>1250.402075</v>
          </cell>
          <cell r="H42">
            <v>1250.402075</v>
          </cell>
          <cell r="I42">
            <v>1250.402075</v>
          </cell>
          <cell r="J42">
            <v>1250.402075</v>
          </cell>
          <cell r="K42">
            <v>1250.402075</v>
          </cell>
          <cell r="M42">
            <v>1250.402075</v>
          </cell>
          <cell r="N42">
            <v>1250.402075</v>
          </cell>
          <cell r="O42">
            <v>1250.402075</v>
          </cell>
          <cell r="P42">
            <v>1250.402075</v>
          </cell>
        </row>
        <row r="43">
          <cell r="B43" t="str">
            <v>Value created per share ($)</v>
          </cell>
          <cell r="C43">
            <v>-2.2626975638988593</v>
          </cell>
          <cell r="D43">
            <v>1.6972700729110863</v>
          </cell>
          <cell r="E43">
            <v>3.6076324558195747</v>
          </cell>
          <cell r="F43">
            <v>6.3412508417336841</v>
          </cell>
          <cell r="H43">
            <v>1.5760676588795819</v>
          </cell>
          <cell r="I43">
            <v>6.615688014595964</v>
          </cell>
          <cell r="J43">
            <v>9.2858060145126853</v>
          </cell>
          <cell r="K43">
            <v>12.939128568384129</v>
          </cell>
          <cell r="M43">
            <v>5.4148328816580227</v>
          </cell>
          <cell r="N43">
            <v>11.534105956280841</v>
          </cell>
          <cell r="O43">
            <v>14.963979573205796</v>
          </cell>
          <cell r="P43">
            <v>19.537006295034576</v>
          </cell>
        </row>
      </sheetData>
      <sheetData sheetId="4" refreshError="1"/>
      <sheetData sheetId="5" refreshError="1"/>
      <sheetData sheetId="6" refreshError="1"/>
      <sheetData sheetId="7" refreshError="1">
        <row r="1">
          <cell r="A1">
            <v>0</v>
          </cell>
          <cell r="B1" t="str">
            <v>Fiat ex Chrysler</v>
          </cell>
          <cell r="C1">
            <v>0</v>
          </cell>
          <cell r="D1">
            <v>0</v>
          </cell>
          <cell r="E1" t="str">
            <v xml:space="preserve">Chrysler </v>
          </cell>
          <cell r="F1">
            <v>0</v>
          </cell>
          <cell r="G1">
            <v>0</v>
          </cell>
          <cell r="H1" t="str">
            <v>Fiat-Chrysler</v>
          </cell>
          <cell r="I1">
            <v>0</v>
          </cell>
          <cell r="J1">
            <v>0</v>
          </cell>
        </row>
        <row r="2">
          <cell r="A2" t="str">
            <v>€ mn</v>
          </cell>
          <cell r="B2">
            <v>0</v>
          </cell>
          <cell r="C2">
            <v>0</v>
          </cell>
          <cell r="D2">
            <v>0</v>
          </cell>
          <cell r="E2">
            <v>0</v>
          </cell>
          <cell r="F2">
            <v>0</v>
          </cell>
          <cell r="G2">
            <v>0</v>
          </cell>
          <cell r="H2">
            <v>0</v>
          </cell>
          <cell r="I2">
            <v>0</v>
          </cell>
          <cell r="J2">
            <v>0</v>
          </cell>
        </row>
        <row r="3">
          <cell r="A3" t="str">
            <v>IFRS</v>
          </cell>
          <cell r="B3" t="str">
            <v>2012E</v>
          </cell>
          <cell r="C3" t="str">
            <v>2013E</v>
          </cell>
          <cell r="D3" t="str">
            <v>2014E</v>
          </cell>
          <cell r="E3" t="str">
            <v>2012E</v>
          </cell>
          <cell r="F3" t="str">
            <v>2013E</v>
          </cell>
          <cell r="G3" t="str">
            <v>2014E</v>
          </cell>
          <cell r="H3" t="str">
            <v>2012E</v>
          </cell>
          <cell r="I3" t="str">
            <v>2013E</v>
          </cell>
          <cell r="J3" t="str">
            <v>2014E</v>
          </cell>
        </row>
        <row r="4">
          <cell r="A4" t="str">
            <v>Revenues</v>
          </cell>
          <cell r="B4">
            <v>32755</v>
          </cell>
          <cell r="C4">
            <v>32370.149090006838</v>
          </cell>
          <cell r="D4">
            <v>35067.160388092394</v>
          </cell>
          <cell r="E4">
            <v>51202</v>
          </cell>
          <cell r="F4">
            <v>55274.353909993159</v>
          </cell>
          <cell r="G4">
            <v>58491.678941435428</v>
          </cell>
          <cell r="H4">
            <v>83957</v>
          </cell>
          <cell r="I4">
            <v>87644.502999999997</v>
          </cell>
          <cell r="J4">
            <v>93558.839329527822</v>
          </cell>
        </row>
        <row r="5">
          <cell r="A5">
            <v>0</v>
          </cell>
          <cell r="B5">
            <v>0</v>
          </cell>
          <cell r="C5">
            <v>0</v>
          </cell>
          <cell r="D5">
            <v>0</v>
          </cell>
          <cell r="E5">
            <v>0</v>
          </cell>
          <cell r="F5">
            <v>0</v>
          </cell>
          <cell r="G5">
            <v>0</v>
          </cell>
          <cell r="H5">
            <v>0</v>
          </cell>
          <cell r="I5">
            <v>0</v>
          </cell>
          <cell r="J5">
            <v>0</v>
          </cell>
        </row>
        <row r="6">
          <cell r="A6" t="str">
            <v xml:space="preserve">Trading Profit </v>
          </cell>
          <cell r="B6">
            <v>355</v>
          </cell>
          <cell r="C6">
            <v>162.04186973976721</v>
          </cell>
          <cell r="D6">
            <v>384.34387482332249</v>
          </cell>
          <cell r="E6">
            <v>3459</v>
          </cell>
          <cell r="F6">
            <v>3521.3220662602325</v>
          </cell>
          <cell r="G6">
            <v>4031.9180240456576</v>
          </cell>
          <cell r="H6">
            <v>3814</v>
          </cell>
          <cell r="I6">
            <v>3683.3639359999997</v>
          </cell>
          <cell r="J6">
            <v>4416.2618988689801</v>
          </cell>
        </row>
        <row r="7">
          <cell r="A7" t="str">
            <v>Unusual items</v>
          </cell>
          <cell r="B7">
            <v>-261</v>
          </cell>
          <cell r="C7">
            <v>0</v>
          </cell>
          <cell r="D7">
            <v>0</v>
          </cell>
          <cell r="E7">
            <v>17</v>
          </cell>
          <cell r="F7">
            <v>-35</v>
          </cell>
          <cell r="G7">
            <v>0</v>
          </cell>
          <cell r="H7">
            <v>-244</v>
          </cell>
          <cell r="I7">
            <v>-35</v>
          </cell>
          <cell r="J7">
            <v>0</v>
          </cell>
        </row>
        <row r="8">
          <cell r="A8" t="str">
            <v>Operating income</v>
          </cell>
          <cell r="B8">
            <v>94</v>
          </cell>
          <cell r="C8">
            <v>162.04186973976721</v>
          </cell>
          <cell r="D8">
            <v>384.34387482332249</v>
          </cell>
          <cell r="E8">
            <v>3476</v>
          </cell>
          <cell r="F8">
            <v>3486.3220662602325</v>
          </cell>
          <cell r="G8">
            <v>4031.9180240456576</v>
          </cell>
          <cell r="H8">
            <v>3570</v>
          </cell>
          <cell r="I8">
            <v>3648.3639359999997</v>
          </cell>
          <cell r="J8">
            <v>4416.2618988689801</v>
          </cell>
        </row>
        <row r="9">
          <cell r="A9" t="str">
            <v>Result from investments:</v>
          </cell>
          <cell r="B9">
            <v>110</v>
          </cell>
          <cell r="C9">
            <v>110</v>
          </cell>
          <cell r="D9">
            <v>121.00000000000001</v>
          </cell>
          <cell r="E9">
            <v>-3</v>
          </cell>
          <cell r="F9">
            <v>0</v>
          </cell>
          <cell r="G9">
            <v>0</v>
          </cell>
          <cell r="H9">
            <v>107</v>
          </cell>
          <cell r="I9">
            <v>110</v>
          </cell>
          <cell r="J9">
            <v>121.00000000000001</v>
          </cell>
        </row>
        <row r="10">
          <cell r="A10" t="str">
            <v>EBIT</v>
          </cell>
          <cell r="B10">
            <v>204</v>
          </cell>
          <cell r="C10">
            <v>272.04186973976721</v>
          </cell>
          <cell r="D10">
            <v>505.34387482332249</v>
          </cell>
          <cell r="E10">
            <v>3473</v>
          </cell>
          <cell r="F10">
            <v>3486.3220662602325</v>
          </cell>
          <cell r="G10">
            <v>4031.9180240456576</v>
          </cell>
          <cell r="H10">
            <v>3677</v>
          </cell>
          <cell r="I10">
            <v>3758.3639359999997</v>
          </cell>
          <cell r="J10">
            <v>4537.2618988689801</v>
          </cell>
        </row>
        <row r="11">
          <cell r="A11">
            <v>0</v>
          </cell>
          <cell r="B11">
            <v>0</v>
          </cell>
          <cell r="C11">
            <v>0</v>
          </cell>
          <cell r="D11">
            <v>0</v>
          </cell>
          <cell r="E11">
            <v>0</v>
          </cell>
          <cell r="F11">
            <v>0</v>
          </cell>
          <cell r="G11">
            <v>0</v>
          </cell>
          <cell r="H11">
            <v>0</v>
          </cell>
          <cell r="I11">
            <v>0</v>
          </cell>
          <cell r="J11">
            <v>0</v>
          </cell>
        </row>
        <row r="12">
          <cell r="A12" t="str">
            <v>Financial income (expenses)</v>
          </cell>
          <cell r="B12">
            <v>-825</v>
          </cell>
          <cell r="C12">
            <v>-945.01236292255726</v>
          </cell>
          <cell r="D12">
            <v>-1025.8174463463051</v>
          </cell>
          <cell r="E12">
            <v>-816</v>
          </cell>
          <cell r="F12">
            <v>-1004.9876370774427</v>
          </cell>
          <cell r="G12">
            <v>-924.18255365369487</v>
          </cell>
          <cell r="H12">
            <v>-1641</v>
          </cell>
          <cell r="I12">
            <v>-1950</v>
          </cell>
          <cell r="J12">
            <v>-1950</v>
          </cell>
        </row>
        <row r="13">
          <cell r="A13" t="str">
            <v>Profit before taxes</v>
          </cell>
          <cell r="B13">
            <v>-621</v>
          </cell>
          <cell r="C13">
            <v>-672.97049318279005</v>
          </cell>
          <cell r="D13">
            <v>-520.47357152298264</v>
          </cell>
          <cell r="E13">
            <v>2657</v>
          </cell>
          <cell r="F13">
            <v>2481.3344291827898</v>
          </cell>
          <cell r="G13">
            <v>3107.7354703919627</v>
          </cell>
          <cell r="H13">
            <v>2036</v>
          </cell>
          <cell r="I13">
            <v>1808.3639359999997</v>
          </cell>
          <cell r="J13">
            <v>2587.2618988689801</v>
          </cell>
        </row>
        <row r="14">
          <cell r="A14" t="str">
            <v>Taxes</v>
          </cell>
          <cell r="B14">
            <v>-420</v>
          </cell>
          <cell r="C14">
            <v>-290.28297330276433</v>
          </cell>
          <cell r="D14">
            <v>-381.8600773075442</v>
          </cell>
          <cell r="E14">
            <v>-205</v>
          </cell>
          <cell r="F14">
            <v>-342.64440429723555</v>
          </cell>
          <cell r="G14">
            <v>-471.93634931921929</v>
          </cell>
          <cell r="H14">
            <v>-625</v>
          </cell>
          <cell r="I14">
            <v>-632.92737759999989</v>
          </cell>
          <cell r="J14">
            <v>-853.79642662676349</v>
          </cell>
        </row>
        <row r="15">
          <cell r="A15" t="str">
            <v>Tax rate (%)</v>
          </cell>
          <cell r="B15">
            <v>-0.67632850241545894</v>
          </cell>
          <cell r="C15">
            <v>-0.43134576663217628</v>
          </cell>
          <cell r="D15">
            <v>-0.73367813122607772</v>
          </cell>
          <cell r="E15">
            <v>7.7154685735792247E-2</v>
          </cell>
          <cell r="F15">
            <v>0.13808876395999675</v>
          </cell>
          <cell r="G15">
            <v>0.15185859730194359</v>
          </cell>
          <cell r="H15">
            <v>0.30697445972495091</v>
          </cell>
          <cell r="I15">
            <v>0.35</v>
          </cell>
          <cell r="J15">
            <v>0.33</v>
          </cell>
        </row>
        <row r="16">
          <cell r="A16">
            <v>0</v>
          </cell>
          <cell r="B16">
            <v>0</v>
          </cell>
          <cell r="C16">
            <v>0</v>
          </cell>
          <cell r="D16">
            <v>0</v>
          </cell>
          <cell r="E16">
            <v>0</v>
          </cell>
          <cell r="F16">
            <v>0</v>
          </cell>
          <cell r="G16">
            <v>0</v>
          </cell>
          <cell r="H16">
            <v>0</v>
          </cell>
          <cell r="I16">
            <v>0</v>
          </cell>
          <cell r="J16">
            <v>0</v>
          </cell>
        </row>
        <row r="17">
          <cell r="A17" t="str">
            <v>Net profit pre minority</v>
          </cell>
          <cell r="B17">
            <v>-1041</v>
          </cell>
          <cell r="C17">
            <v>-963.25346648555433</v>
          </cell>
          <cell r="D17">
            <v>-902.33364883052684</v>
          </cell>
          <cell r="E17">
            <v>2452</v>
          </cell>
          <cell r="F17">
            <v>2138.6900248855541</v>
          </cell>
          <cell r="G17">
            <v>2635.7991210727432</v>
          </cell>
          <cell r="H17">
            <v>1411</v>
          </cell>
          <cell r="I17">
            <v>1175.4365583999997</v>
          </cell>
          <cell r="J17">
            <v>1733.4654722422165</v>
          </cell>
        </row>
        <row r="18">
          <cell r="A18" t="str">
            <v>Minority Interest</v>
          </cell>
          <cell r="B18">
            <v>-30</v>
          </cell>
          <cell r="C18">
            <v>-30</v>
          </cell>
          <cell r="D18">
            <v>-30</v>
          </cell>
          <cell r="E18">
            <v>0</v>
          </cell>
          <cell r="F18">
            <v>0</v>
          </cell>
          <cell r="G18">
            <v>0</v>
          </cell>
          <cell r="H18">
            <v>-1063</v>
          </cell>
          <cell r="I18">
            <v>-917.55636032750499</v>
          </cell>
          <cell r="J18">
            <v>-1123.8566352451885</v>
          </cell>
        </row>
        <row r="19">
          <cell r="A19" t="str">
            <v>Net profit post minority</v>
          </cell>
          <cell r="B19">
            <v>-1071</v>
          </cell>
          <cell r="C19">
            <v>-993.25346648555433</v>
          </cell>
          <cell r="D19">
            <v>-932.33364883052684</v>
          </cell>
          <cell r="E19">
            <v>2452</v>
          </cell>
          <cell r="F19">
            <v>2138.6900248855541</v>
          </cell>
          <cell r="G19">
            <v>2635.7991210727432</v>
          </cell>
          <cell r="H19">
            <v>348</v>
          </cell>
          <cell r="I19">
            <v>257.88019807249475</v>
          </cell>
          <cell r="J19">
            <v>609.60883699702799</v>
          </cell>
        </row>
        <row r="20">
          <cell r="A20">
            <v>0</v>
          </cell>
          <cell r="B20">
            <v>0</v>
          </cell>
          <cell r="C20">
            <v>0</v>
          </cell>
          <cell r="D20">
            <v>0</v>
          </cell>
          <cell r="E20">
            <v>0</v>
          </cell>
          <cell r="F20">
            <v>0</v>
          </cell>
          <cell r="G20">
            <v>0</v>
          </cell>
          <cell r="H20">
            <v>0</v>
          </cell>
          <cell r="I20">
            <v>0</v>
          </cell>
          <cell r="J20">
            <v>0</v>
          </cell>
        </row>
        <row r="21">
          <cell r="A21" t="str">
            <v>EPS pre minority</v>
          </cell>
          <cell r="B21">
            <v>-0.83253220769007441</v>
          </cell>
          <cell r="C21">
            <v>-0.77035498080531761</v>
          </cell>
          <cell r="D21">
            <v>-0.72163479801529185</v>
          </cell>
          <cell r="E21">
            <v>1.960969234635987</v>
          </cell>
          <cell r="F21">
            <v>1.7104018520487132</v>
          </cell>
          <cell r="G21">
            <v>2.1079612500425058</v>
          </cell>
          <cell r="H21">
            <v>1.1284370269459125</v>
          </cell>
          <cell r="I21">
            <v>0.9400468712433957</v>
          </cell>
          <cell r="J21">
            <v>1.3863264520272141</v>
          </cell>
        </row>
        <row r="22">
          <cell r="A22" t="str">
            <v xml:space="preserve">Minority Interest per share </v>
          </cell>
          <cell r="B22">
            <v>-2.3992282642365258E-2</v>
          </cell>
          <cell r="C22">
            <v>-2.3992282642365258E-2</v>
          </cell>
          <cell r="D22">
            <v>-2.3992282642365258E-2</v>
          </cell>
          <cell r="E22">
            <v>0</v>
          </cell>
          <cell r="F22">
            <v>0</v>
          </cell>
          <cell r="G22">
            <v>0</v>
          </cell>
          <cell r="H22">
            <v>-0.85012654829447565</v>
          </cell>
          <cell r="I22">
            <v>-0.73380905124258133</v>
          </cell>
          <cell r="J22">
            <v>-0.89879620141000527</v>
          </cell>
        </row>
        <row r="23">
          <cell r="A23" t="str">
            <v>EPS  post minority</v>
          </cell>
          <cell r="B23">
            <v>-0.85652449033243971</v>
          </cell>
          <cell r="C23">
            <v>-0.79434726344768292</v>
          </cell>
          <cell r="D23">
            <v>-0.74562708065765715</v>
          </cell>
          <cell r="E23">
            <v>1.960969234635987</v>
          </cell>
          <cell r="F23">
            <v>1.7104018520487132</v>
          </cell>
          <cell r="G23">
            <v>2.1079612500425058</v>
          </cell>
          <cell r="H23">
            <v>0.27831047865143699</v>
          </cell>
          <cell r="I23">
            <v>0.20623782000081434</v>
          </cell>
          <cell r="J23">
            <v>0.48753025061720889</v>
          </cell>
        </row>
      </sheetData>
      <sheetData sheetId="8" refreshError="1">
        <row r="3">
          <cell r="A3" t="str">
            <v>Valuation</v>
          </cell>
          <cell r="B3">
            <v>0</v>
          </cell>
          <cell r="C3" t="str">
            <v>2012E</v>
          </cell>
          <cell r="D3">
            <v>0</v>
          </cell>
          <cell r="E3">
            <v>0</v>
          </cell>
          <cell r="F3" t="str">
            <v>2013E</v>
          </cell>
          <cell r="G3">
            <v>0</v>
          </cell>
          <cell r="H3">
            <v>0</v>
          </cell>
          <cell r="I3" t="str">
            <v>2014E</v>
          </cell>
          <cell r="J3">
            <v>0</v>
          </cell>
          <cell r="K3">
            <v>0</v>
          </cell>
          <cell r="L3">
            <v>0</v>
          </cell>
          <cell r="M3" t="str">
            <v>Per Share</v>
          </cell>
          <cell r="N3">
            <v>0</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 mn , Dec Y/E</v>
          </cell>
          <cell r="B5">
            <v>0</v>
          </cell>
          <cell r="C5" t="str">
            <v>Old</v>
          </cell>
          <cell r="D5" t="str">
            <v>New</v>
          </cell>
          <cell r="E5">
            <v>0</v>
          </cell>
          <cell r="F5" t="str">
            <v>Old</v>
          </cell>
          <cell r="G5" t="str">
            <v>New</v>
          </cell>
          <cell r="H5">
            <v>0</v>
          </cell>
          <cell r="I5" t="str">
            <v>Old</v>
          </cell>
          <cell r="J5" t="str">
            <v>New</v>
          </cell>
          <cell r="K5">
            <v>0</v>
          </cell>
          <cell r="L5">
            <v>0</v>
          </cell>
          <cell r="M5" t="str">
            <v>Old</v>
          </cell>
          <cell r="N5" t="str">
            <v>New</v>
          </cell>
          <cell r="P5" t="str">
            <v>Change</v>
          </cell>
        </row>
        <row r="6">
          <cell r="A6">
            <v>0</v>
          </cell>
          <cell r="B6">
            <v>0</v>
          </cell>
          <cell r="C6">
            <v>0</v>
          </cell>
          <cell r="D6">
            <v>0</v>
          </cell>
          <cell r="E6">
            <v>0</v>
          </cell>
          <cell r="F6">
            <v>0</v>
          </cell>
          <cell r="G6">
            <v>0</v>
          </cell>
          <cell r="H6">
            <v>0</v>
          </cell>
          <cell r="I6">
            <v>0</v>
          </cell>
          <cell r="J6">
            <v>0</v>
          </cell>
          <cell r="K6">
            <v>0</v>
          </cell>
          <cell r="L6">
            <v>0</v>
          </cell>
          <cell r="M6">
            <v>0</v>
          </cell>
          <cell r="N6">
            <v>0</v>
          </cell>
          <cell r="P6">
            <v>0</v>
          </cell>
        </row>
        <row r="7">
          <cell r="A7" t="str">
            <v>Underlying EBIT</v>
          </cell>
          <cell r="B7">
            <v>0</v>
          </cell>
          <cell r="C7">
            <v>3256.4892817172008</v>
          </cell>
          <cell r="D7">
            <v>2354</v>
          </cell>
          <cell r="E7">
            <v>0</v>
          </cell>
          <cell r="F7">
            <v>3983.2556424601071</v>
          </cell>
          <cell r="G7">
            <v>2455.1848699999996</v>
          </cell>
          <cell r="H7">
            <v>0</v>
          </cell>
          <cell r="I7">
            <v>4819.7888207247497</v>
          </cell>
          <cell r="J7">
            <v>3220.238040814801</v>
          </cell>
          <cell r="K7">
            <v>0</v>
          </cell>
          <cell r="L7">
            <v>0</v>
          </cell>
          <cell r="M7">
            <v>3.1855798403566364</v>
          </cell>
          <cell r="N7">
            <v>1.963516311343293</v>
          </cell>
          <cell r="P7">
            <v>-1.2220635290133435</v>
          </cell>
        </row>
        <row r="8">
          <cell r="A8" t="str">
            <v>Tax charge</v>
          </cell>
          <cell r="B8">
            <v>0</v>
          </cell>
          <cell r="C8">
            <v>-976.94678451516018</v>
          </cell>
          <cell r="D8">
            <v>-706.19999999999993</v>
          </cell>
          <cell r="F8">
            <v>-1194.9766927380322</v>
          </cell>
          <cell r="G8">
            <v>-736.55546099999981</v>
          </cell>
          <cell r="H8">
            <v>0</v>
          </cell>
          <cell r="I8">
            <v>-1445.9366462174248</v>
          </cell>
          <cell r="J8">
            <v>-966.07141224444024</v>
          </cell>
          <cell r="K8">
            <v>0</v>
          </cell>
          <cell r="L8">
            <v>0</v>
          </cell>
          <cell r="M8">
            <v>-0.95567395210699102</v>
          </cell>
          <cell r="N8">
            <v>-0.58905489340298789</v>
          </cell>
          <cell r="P8">
            <v>0.36661905870400313</v>
          </cell>
        </row>
        <row r="9">
          <cell r="A9" t="str">
            <v>Tax rate (%)</v>
          </cell>
          <cell r="B9">
            <v>0</v>
          </cell>
          <cell r="C9">
            <v>0.3</v>
          </cell>
          <cell r="D9">
            <v>0.3</v>
          </cell>
          <cell r="F9">
            <v>0.3</v>
          </cell>
          <cell r="G9">
            <v>0.3</v>
          </cell>
          <cell r="H9">
            <v>0</v>
          </cell>
          <cell r="I9">
            <v>0.3</v>
          </cell>
          <cell r="J9">
            <v>0.3</v>
          </cell>
          <cell r="K9">
            <v>0</v>
          </cell>
          <cell r="L9">
            <v>0</v>
          </cell>
          <cell r="M9">
            <v>0</v>
          </cell>
          <cell r="N9">
            <v>0</v>
          </cell>
          <cell r="P9">
            <v>0</v>
          </cell>
        </row>
        <row r="10">
          <cell r="A10" t="str">
            <v>NOPLAT</v>
          </cell>
          <cell r="B10">
            <v>0</v>
          </cell>
          <cell r="C10">
            <v>2379.5424972020405</v>
          </cell>
          <cell r="D10">
            <v>1701.3000000000002</v>
          </cell>
          <cell r="F10">
            <v>2908.2789497220747</v>
          </cell>
          <cell r="G10">
            <v>1773.6294089999997</v>
          </cell>
          <cell r="H10">
            <v>0</v>
          </cell>
          <cell r="I10">
            <v>3513.8521745073249</v>
          </cell>
          <cell r="J10">
            <v>2314.6666285703609</v>
          </cell>
          <cell r="K10">
            <v>0</v>
          </cell>
          <cell r="L10">
            <v>0</v>
          </cell>
          <cell r="M10">
            <v>2.3258750188191066</v>
          </cell>
          <cell r="N10">
            <v>1.4184472694513082</v>
          </cell>
          <cell r="P10">
            <v>-0.90742774936779846</v>
          </cell>
        </row>
        <row r="11">
          <cell r="A11">
            <v>0</v>
          </cell>
          <cell r="B11">
            <v>0</v>
          </cell>
          <cell r="C11">
            <v>0</v>
          </cell>
          <cell r="D11">
            <v>0</v>
          </cell>
          <cell r="E11">
            <v>0</v>
          </cell>
          <cell r="F11">
            <v>0</v>
          </cell>
          <cell r="G11">
            <v>0</v>
          </cell>
          <cell r="H11">
            <v>0</v>
          </cell>
          <cell r="I11">
            <v>0</v>
          </cell>
          <cell r="J11">
            <v>0</v>
          </cell>
          <cell r="K11">
            <v>0</v>
          </cell>
          <cell r="L11">
            <v>0</v>
          </cell>
          <cell r="M11">
            <v>0</v>
          </cell>
          <cell r="N11">
            <v>0</v>
          </cell>
          <cell r="P11">
            <v>0</v>
          </cell>
        </row>
        <row r="12">
          <cell r="A12" t="str">
            <v>ROIC (%)</v>
          </cell>
          <cell r="B12">
            <v>0</v>
          </cell>
          <cell r="C12">
            <v>6.2660983317023702E-2</v>
          </cell>
          <cell r="D12">
            <v>4.4742205683177959E-2</v>
          </cell>
          <cell r="F12">
            <v>7.1662686657561175E-2</v>
          </cell>
          <cell r="G12">
            <v>4.4237783360151203E-2</v>
          </cell>
          <cell r="H12">
            <v>0</v>
          </cell>
          <cell r="I12">
            <v>8.0221065360496016E-2</v>
          </cell>
          <cell r="J12">
            <v>5.4596742599191637E-2</v>
          </cell>
          <cell r="K12">
            <v>0</v>
          </cell>
          <cell r="L12">
            <v>0</v>
          </cell>
          <cell r="M12">
            <v>0</v>
          </cell>
          <cell r="N12">
            <v>0</v>
          </cell>
          <cell r="P12">
            <v>0</v>
          </cell>
        </row>
        <row r="13">
          <cell r="A13" t="str">
            <v>WACC</v>
          </cell>
          <cell r="B13">
            <v>0</v>
          </cell>
          <cell r="C13">
            <v>0.09</v>
          </cell>
          <cell r="D13">
            <v>0.09</v>
          </cell>
          <cell r="F13">
            <v>0.09</v>
          </cell>
          <cell r="G13">
            <v>0.09</v>
          </cell>
          <cell r="H13">
            <v>0</v>
          </cell>
          <cell r="I13">
            <v>0.09</v>
          </cell>
          <cell r="J13">
            <v>0.09</v>
          </cell>
          <cell r="K13">
            <v>0</v>
          </cell>
          <cell r="L13">
            <v>0</v>
          </cell>
          <cell r="M13">
            <v>0</v>
          </cell>
          <cell r="N13">
            <v>0</v>
          </cell>
          <cell r="P13">
            <v>0</v>
          </cell>
        </row>
        <row r="14">
          <cell r="A14" t="str">
            <v>ROIC/WACC</v>
          </cell>
          <cell r="B14">
            <v>0</v>
          </cell>
          <cell r="C14">
            <v>0.69623314796693003</v>
          </cell>
          <cell r="D14">
            <v>0.49713561870197731</v>
          </cell>
          <cell r="F14">
            <v>0.79625207397290199</v>
          </cell>
          <cell r="G14">
            <v>0.49153092622390226</v>
          </cell>
          <cell r="H14">
            <v>0</v>
          </cell>
          <cell r="I14">
            <v>0.891345170672178</v>
          </cell>
          <cell r="J14">
            <v>0.6066304733243516</v>
          </cell>
          <cell r="K14">
            <v>0</v>
          </cell>
          <cell r="L14">
            <v>0</v>
          </cell>
          <cell r="M14">
            <v>0</v>
          </cell>
          <cell r="N14">
            <v>0</v>
          </cell>
          <cell r="P14">
            <v>0</v>
          </cell>
        </row>
        <row r="15">
          <cell r="A15">
            <v>0</v>
          </cell>
          <cell r="B15">
            <v>0</v>
          </cell>
          <cell r="C15">
            <v>0</v>
          </cell>
          <cell r="D15">
            <v>0</v>
          </cell>
          <cell r="E15">
            <v>0</v>
          </cell>
          <cell r="F15">
            <v>0</v>
          </cell>
          <cell r="G15">
            <v>0</v>
          </cell>
          <cell r="H15">
            <v>0</v>
          </cell>
          <cell r="I15">
            <v>0</v>
          </cell>
          <cell r="J15">
            <v>0</v>
          </cell>
          <cell r="K15">
            <v>0</v>
          </cell>
          <cell r="L15">
            <v>0</v>
          </cell>
          <cell r="M15">
            <v>0</v>
          </cell>
          <cell r="N15">
            <v>0</v>
          </cell>
          <cell r="P15">
            <v>0</v>
          </cell>
        </row>
        <row r="16">
          <cell r="A16" t="str">
            <v>EV/IC</v>
          </cell>
          <cell r="B16">
            <v>0</v>
          </cell>
          <cell r="C16">
            <v>0.65147896961419249</v>
          </cell>
          <cell r="D16">
            <v>0.53022131024335306</v>
          </cell>
          <cell r="F16">
            <v>0.65147896961419249</v>
          </cell>
          <cell r="G16">
            <v>0.6308685185550863</v>
          </cell>
          <cell r="H16">
            <v>0</v>
          </cell>
          <cell r="I16">
            <v>0.65147896961419249</v>
          </cell>
          <cell r="J16">
            <v>0.63086851855508641</v>
          </cell>
          <cell r="K16">
            <v>0</v>
          </cell>
          <cell r="L16">
            <v>0</v>
          </cell>
          <cell r="M16">
            <v>0</v>
          </cell>
          <cell r="N16">
            <v>0</v>
          </cell>
          <cell r="P16">
            <v>0</v>
          </cell>
        </row>
        <row r="17">
          <cell r="A17" t="str">
            <v>Theoretical EV</v>
          </cell>
          <cell r="B17">
            <v>0</v>
          </cell>
          <cell r="C17">
            <v>24739.827116776258</v>
          </cell>
          <cell r="D17">
            <v>20161.400211348377</v>
          </cell>
          <cell r="F17">
            <v>26438.899542927953</v>
          </cell>
          <cell r="G17">
            <v>25293.467997980148</v>
          </cell>
          <cell r="H17">
            <v>0</v>
          </cell>
          <cell r="I17">
            <v>28536.155481573966</v>
          </cell>
          <cell r="J17">
            <v>26746.106771151961</v>
          </cell>
          <cell r="K17">
            <v>0</v>
          </cell>
          <cell r="L17">
            <v>0</v>
          </cell>
          <cell r="M17">
            <v>21.144318352900967</v>
          </cell>
          <cell r="N17">
            <v>20.228267773772007</v>
          </cell>
          <cell r="P17">
            <v>-0.91605057912896015</v>
          </cell>
        </row>
        <row r="18">
          <cell r="A18">
            <v>0</v>
          </cell>
          <cell r="B18">
            <v>0</v>
          </cell>
          <cell r="C18">
            <v>0</v>
          </cell>
          <cell r="D18">
            <v>0</v>
          </cell>
          <cell r="E18">
            <v>0</v>
          </cell>
          <cell r="F18">
            <v>0</v>
          </cell>
          <cell r="G18">
            <v>0</v>
          </cell>
          <cell r="H18">
            <v>0</v>
          </cell>
          <cell r="I18">
            <v>0</v>
          </cell>
          <cell r="J18">
            <v>0</v>
          </cell>
          <cell r="K18">
            <v>0</v>
          </cell>
          <cell r="L18">
            <v>0</v>
          </cell>
          <cell r="M18">
            <v>0</v>
          </cell>
          <cell r="N18">
            <v>0</v>
          </cell>
          <cell r="P18">
            <v>0</v>
          </cell>
        </row>
        <row r="19">
          <cell r="A19" t="str">
            <v>Net Debt</v>
          </cell>
          <cell r="B19">
            <v>0</v>
          </cell>
          <cell r="C19">
            <v>5664.3770344221648</v>
          </cell>
          <cell r="D19">
            <v>6545</v>
          </cell>
          <cell r="F19">
            <v>6554.8170366516315</v>
          </cell>
          <cell r="G19">
            <v>7297.7425076000009</v>
          </cell>
          <cell r="H19">
            <v>0</v>
          </cell>
          <cell r="I19">
            <v>6657.334572865504</v>
          </cell>
          <cell r="J19">
            <v>8010.3008934119634</v>
          </cell>
          <cell r="K19">
            <v>0</v>
          </cell>
          <cell r="L19">
            <v>0</v>
          </cell>
          <cell r="M19">
            <v>-5.2421674337445667</v>
          </cell>
          <cell r="N19">
            <v>-5.8363166964514201</v>
          </cell>
          <cell r="P19">
            <v>-0.59414926270685342</v>
          </cell>
        </row>
        <row r="20">
          <cell r="A20" t="str">
            <v>Minorities</v>
          </cell>
          <cell r="B20">
            <v>0</v>
          </cell>
          <cell r="C20">
            <v>249</v>
          </cell>
          <cell r="D20">
            <v>249</v>
          </cell>
          <cell r="F20">
            <v>279</v>
          </cell>
          <cell r="G20">
            <v>279</v>
          </cell>
          <cell r="H20">
            <v>0</v>
          </cell>
          <cell r="I20">
            <v>309</v>
          </cell>
          <cell r="J20">
            <v>309</v>
          </cell>
          <cell r="K20">
            <v>0</v>
          </cell>
          <cell r="L20">
            <v>0</v>
          </cell>
          <cell r="M20">
            <v>-0.22312822857399689</v>
          </cell>
          <cell r="N20">
            <v>-0.22312822857399689</v>
          </cell>
          <cell r="P20">
            <v>0</v>
          </cell>
        </row>
        <row r="21">
          <cell r="A21" t="str">
            <v>Pension</v>
          </cell>
          <cell r="B21">
            <v>0</v>
          </cell>
          <cell r="C21">
            <v>7026</v>
          </cell>
          <cell r="D21">
            <v>9743.045454545454</v>
          </cell>
          <cell r="F21">
            <v>8026</v>
          </cell>
          <cell r="G21">
            <v>7954.4952756315315</v>
          </cell>
          <cell r="H21">
            <v>0</v>
          </cell>
          <cell r="I21">
            <v>8026</v>
          </cell>
          <cell r="J21">
            <v>7954.4952756315315</v>
          </cell>
          <cell r="K21">
            <v>0</v>
          </cell>
          <cell r="L21">
            <v>0</v>
          </cell>
          <cell r="M21">
            <v>-6.4187353495874522</v>
          </cell>
          <cell r="N21">
            <v>-6.3615499643436948</v>
          </cell>
          <cell r="P21">
            <v>5.7185385243757381E-2</v>
          </cell>
        </row>
        <row r="22">
          <cell r="A22" t="str">
            <v>Chrysler minorities</v>
          </cell>
          <cell r="B22">
            <v>0</v>
          </cell>
          <cell r="C22">
            <v>1609.7935620936437</v>
          </cell>
          <cell r="D22">
            <v>1651.3763470983749</v>
          </cell>
          <cell r="F22">
            <v>1928.1037887501084</v>
          </cell>
          <cell r="G22">
            <v>2502.528137451397</v>
          </cell>
          <cell r="H22">
            <v>0</v>
          </cell>
          <cell r="I22">
            <v>1905.766963006658</v>
          </cell>
          <cell r="J22">
            <v>3648.2083338531343</v>
          </cell>
          <cell r="K22">
            <v>0</v>
          </cell>
          <cell r="L22">
            <v>0</v>
          </cell>
          <cell r="M22">
            <v>-1.5419870354502638</v>
          </cell>
          <cell r="N22">
            <v>-2.0013787464735269</v>
          </cell>
          <cell r="P22">
            <v>-0.45939171102326304</v>
          </cell>
        </row>
        <row r="23">
          <cell r="A23" t="str">
            <v>Implied equity value</v>
          </cell>
          <cell r="B23">
            <v>0</v>
          </cell>
          <cell r="C23">
            <v>10190.656520260449</v>
          </cell>
          <cell r="D23">
            <v>1972.9784097045449</v>
          </cell>
          <cell r="F23">
            <v>9650.9787175262136</v>
          </cell>
          <cell r="G23">
            <v>7259.7020772972173</v>
          </cell>
          <cell r="H23">
            <v>0</v>
          </cell>
          <cell r="I23">
            <v>11638.053945701802</v>
          </cell>
          <cell r="J23">
            <v>6824.1022682553303</v>
          </cell>
          <cell r="K23">
            <v>0</v>
          </cell>
          <cell r="L23">
            <v>0</v>
          </cell>
          <cell r="M23">
            <v>7.7183003055446893</v>
          </cell>
          <cell r="N23">
            <v>5.8058941379293678</v>
          </cell>
          <cell r="P23">
            <v>-1.9124061676153215</v>
          </cell>
        </row>
        <row r="24">
          <cell r="A24">
            <v>0</v>
          </cell>
          <cell r="B24">
            <v>0</v>
          </cell>
          <cell r="C24">
            <v>0</v>
          </cell>
          <cell r="D24">
            <v>0</v>
          </cell>
          <cell r="E24">
            <v>0</v>
          </cell>
          <cell r="F24">
            <v>0</v>
          </cell>
          <cell r="G24">
            <v>0</v>
          </cell>
          <cell r="H24">
            <v>0</v>
          </cell>
          <cell r="I24">
            <v>0</v>
          </cell>
          <cell r="J24">
            <v>0</v>
          </cell>
          <cell r="K24">
            <v>0</v>
          </cell>
          <cell r="L24">
            <v>0</v>
          </cell>
          <cell r="M24">
            <v>0</v>
          </cell>
          <cell r="N24">
            <v>0</v>
          </cell>
          <cell r="P24">
            <v>0</v>
          </cell>
        </row>
        <row r="25">
          <cell r="A25" t="str">
            <v>NOSH</v>
          </cell>
          <cell r="B25">
            <v>0</v>
          </cell>
          <cell r="C25">
            <v>1250.402075</v>
          </cell>
          <cell r="D25">
            <v>1250.402075</v>
          </cell>
          <cell r="F25">
            <v>1250.402075</v>
          </cell>
          <cell r="G25">
            <v>1250.402075</v>
          </cell>
          <cell r="H25">
            <v>0</v>
          </cell>
          <cell r="I25">
            <v>1250.402075</v>
          </cell>
          <cell r="J25">
            <v>1250.402075</v>
          </cell>
          <cell r="K25">
            <v>0</v>
          </cell>
          <cell r="L25">
            <v>0</v>
          </cell>
          <cell r="M25">
            <v>0</v>
          </cell>
          <cell r="N25">
            <v>0</v>
          </cell>
          <cell r="P25">
            <v>0</v>
          </cell>
        </row>
        <row r="26">
          <cell r="A26" t="str">
            <v xml:space="preserve">Implied equity value per share </v>
          </cell>
          <cell r="B26">
            <v>0</v>
          </cell>
          <cell r="C26">
            <v>8.1499037181783702</v>
          </cell>
          <cell r="D26">
            <v>1.5778751884305253</v>
          </cell>
          <cell r="F26">
            <v>7.7183003055446893</v>
          </cell>
          <cell r="G26">
            <v>5.8058941379293678</v>
          </cell>
          <cell r="H26">
            <v>0</v>
          </cell>
          <cell r="I26">
            <v>9.3074493224123955</v>
          </cell>
          <cell r="J26">
            <v>5.4575263466795914</v>
          </cell>
          <cell r="K26">
            <v>0</v>
          </cell>
          <cell r="L26">
            <v>0</v>
          </cell>
          <cell r="M26">
            <v>7.7183003055446893</v>
          </cell>
          <cell r="N26">
            <v>5.8058941379293678</v>
          </cell>
          <cell r="P26">
            <v>-1.9124061676153215</v>
          </cell>
        </row>
      </sheetData>
      <sheetData sheetId="9" refreshError="1"/>
      <sheetData sheetId="10" refreshError="1"/>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Sheet1"/>
      <sheetName val="Forecasting &gt;&gt;&gt;"/>
      <sheetName val="Machining Solutions"/>
      <sheetName val="Materials Tech"/>
      <sheetName val="Mining"/>
      <sheetName val="Other &gt;&gt;&gt;"/>
      <sheetName val="ROIC Bridge"/>
      <sheetName val="Bear vs Bull"/>
      <sheetName val="CMD Calculations"/>
      <sheetName val="Charts New"/>
      <sheetName val="Charts"/>
      <sheetName val="Scenario Analysis"/>
      <sheetName val="Material Tech Exposures"/>
      <sheetName val="Offshore Capex"/>
      <sheetName val="Restructuring Note for JH"/>
      <sheetName val="Restructuring"/>
      <sheetName val="Mining Splits_Quartely"/>
      <sheetName val="Correlations"/>
      <sheetName val="Mining Splits_Annual"/>
      <sheetName val="Nickel Price"/>
      <sheetName val="Split"/>
      <sheetName val="Implied OSG"/>
      <sheetName val="Valuation"/>
      <sheetName val="ROCE calcs"/>
      <sheetName val="Sandvik ex-Mat Tech"/>
    </sheetNames>
    <sheetDataSet>
      <sheetData sheetId="0"/>
      <sheetData sheetId="1"/>
      <sheetData sheetId="2"/>
      <sheetData sheetId="3"/>
      <sheetData sheetId="4"/>
      <sheetData sheetId="5">
        <row r="3">
          <cell r="J3">
            <v>2006</v>
          </cell>
        </row>
      </sheetData>
      <sheetData sheetId="6"/>
      <sheetData sheetId="7">
        <row r="11">
          <cell r="E11">
            <v>1995</v>
          </cell>
        </row>
      </sheetData>
      <sheetData sheetId="8">
        <row r="9">
          <cell r="Q9" t="str">
            <v>Mining &amp; Rock Technology - Aftermarket</v>
          </cell>
        </row>
      </sheetData>
      <sheetData sheetId="9"/>
      <sheetData sheetId="10">
        <row r="5">
          <cell r="C5">
            <v>2005</v>
          </cell>
        </row>
        <row r="411">
          <cell r="B411" t="str">
            <v>Mining &amp; Construction - Best-in-Class Scenario</v>
          </cell>
          <cell r="C411"/>
        </row>
        <row r="412">
          <cell r="B412" t="str">
            <v>Mining &amp; Construction</v>
          </cell>
          <cell r="C412">
            <v>2018</v>
          </cell>
        </row>
        <row r="413">
          <cell r="B413" t="str">
            <v>Sales, Consensus</v>
          </cell>
          <cell r="C413">
            <v>0</v>
          </cell>
        </row>
        <row r="414">
          <cell r="B414" t="str">
            <v>Adj. EBIT, Consensus</v>
          </cell>
          <cell r="C414">
            <v>0</v>
          </cell>
        </row>
        <row r="415">
          <cell r="B415" t="str">
            <v>Adj. EBIT Margin, Consensus</v>
          </cell>
          <cell r="C415" t="e">
            <v>#DIV/0!</v>
          </cell>
        </row>
        <row r="416">
          <cell r="B416" t="str">
            <v>Best-in-class</v>
          </cell>
          <cell r="C416">
            <v>0.19148936170212766</v>
          </cell>
        </row>
        <row r="417">
          <cell r="B417" t="str">
            <v>Additional Adj. EBIT Best-in-Class</v>
          </cell>
          <cell r="C417">
            <v>0</v>
          </cell>
        </row>
        <row r="419">
          <cell r="B419" t="str">
            <v>Group</v>
          </cell>
          <cell r="C419">
            <v>2018</v>
          </cell>
        </row>
        <row r="420">
          <cell r="B420" t="str">
            <v>Adj. EBIT, Consensus</v>
          </cell>
          <cell r="C420">
            <v>0</v>
          </cell>
        </row>
        <row r="421">
          <cell r="B421" t="str">
            <v>Implied Adj. EBIT Best-in-Class</v>
          </cell>
          <cell r="C421">
            <v>0</v>
          </cell>
        </row>
        <row r="422">
          <cell r="B422" t="str">
            <v>Upgrade to consensus</v>
          </cell>
          <cell r="C422" t="e">
            <v>#DIV/0!</v>
          </cell>
        </row>
        <row r="424">
          <cell r="B424" t="str">
            <v>Implied EV</v>
          </cell>
          <cell r="C424"/>
        </row>
        <row r="425">
          <cell r="B425" t="str">
            <v>Historical Premium / Discount vs. Sector</v>
          </cell>
          <cell r="C425">
            <v>-0.05</v>
          </cell>
        </row>
        <row r="426">
          <cell r="B426" t="str">
            <v>Sector EV/EBIT 2016, Consensus</v>
          </cell>
          <cell r="C426">
            <v>16.747002004949394</v>
          </cell>
        </row>
        <row r="427">
          <cell r="B427" t="str">
            <v>Implied EV/EBIT 2016</v>
          </cell>
          <cell r="C427">
            <v>15.909651904701924</v>
          </cell>
        </row>
        <row r="429">
          <cell r="B429" t="str">
            <v>Implied EV 14/04/2018</v>
          </cell>
          <cell r="C429">
            <v>0</v>
          </cell>
        </row>
        <row r="430">
          <cell r="B430" t="str">
            <v>Discount rate</v>
          </cell>
          <cell r="C430">
            <v>0.05</v>
          </cell>
        </row>
        <row r="431">
          <cell r="B431" t="str">
            <v>Years</v>
          </cell>
          <cell r="C431">
            <v>2</v>
          </cell>
        </row>
        <row r="432">
          <cell r="B432" t="str">
            <v>Implied EV 14/04/2018</v>
          </cell>
          <cell r="C432">
            <v>0</v>
          </cell>
        </row>
        <row r="433">
          <cell r="B433" t="str">
            <v>Total EV Adjustments</v>
          </cell>
          <cell r="C433">
            <v>23772</v>
          </cell>
        </row>
        <row r="434">
          <cell r="B434" t="str">
            <v>Implied Market Cap</v>
          </cell>
          <cell r="C434">
            <v>-23772</v>
          </cell>
        </row>
        <row r="435">
          <cell r="B435" t="str">
            <v>NOSH</v>
          </cell>
          <cell r="C435">
            <v>1254.386</v>
          </cell>
        </row>
        <row r="585">
          <cell r="B585"/>
          <cell r="C585">
            <v>2018</v>
          </cell>
        </row>
        <row r="586">
          <cell r="B586" t="str">
            <v>Consensus</v>
          </cell>
          <cell r="C586">
            <v>14.981570488405069</v>
          </cell>
        </row>
        <row r="587">
          <cell r="B587" t="str">
            <v>GS Base Case</v>
          </cell>
          <cell r="C587">
            <v>7.4636224808077403</v>
          </cell>
        </row>
        <row r="588">
          <cell r="B588" t="str">
            <v>2018 EBIT Target (Gse assuming no growth)</v>
          </cell>
          <cell r="C588">
            <v>13.103246592750317</v>
          </cell>
        </row>
        <row r="590">
          <cell r="B590" t="str">
            <v>Sector</v>
          </cell>
          <cell r="C590">
            <v>14.635899505631356</v>
          </cell>
        </row>
        <row r="591">
          <cell r="B591" t="str">
            <v>Sector Minus Historical Discount</v>
          </cell>
          <cell r="C591">
            <v>11.347729508393382</v>
          </cell>
        </row>
        <row r="593">
          <cell r="B593" t="str">
            <v>Historical Relationship</v>
          </cell>
          <cell r="C593"/>
        </row>
        <row r="594">
          <cell r="B594" t="str">
            <v>10yr Historical Median</v>
          </cell>
          <cell r="C594">
            <v>11.8</v>
          </cell>
        </row>
        <row r="595">
          <cell r="B595" t="str">
            <v>10yr Historical Sector</v>
          </cell>
          <cell r="C595">
            <v>11.4</v>
          </cell>
        </row>
        <row r="596">
          <cell r="B596" t="str">
            <v>Relative</v>
          </cell>
          <cell r="C596">
            <v>3.5087719298245723E-2</v>
          </cell>
        </row>
      </sheetData>
      <sheetData sheetId="11">
        <row r="125">
          <cell r="C125" t="str">
            <v>Mining</v>
          </cell>
        </row>
      </sheetData>
      <sheetData sheetId="12"/>
      <sheetData sheetId="13">
        <row r="4">
          <cell r="N4" t="str">
            <v>Energy</v>
          </cell>
        </row>
      </sheetData>
      <sheetData sheetId="14">
        <row r="7">
          <cell r="C7">
            <v>2003</v>
          </cell>
        </row>
      </sheetData>
      <sheetData sheetId="15"/>
      <sheetData sheetId="16"/>
      <sheetData sheetId="17"/>
      <sheetData sheetId="18">
        <row r="45">
          <cell r="C45" t="str">
            <v>Weighted GS Capex Tracker</v>
          </cell>
        </row>
      </sheetData>
      <sheetData sheetId="19"/>
      <sheetData sheetId="20"/>
      <sheetData sheetId="21">
        <row r="14">
          <cell r="J14" t="str">
            <v>Machining Solutions</v>
          </cell>
        </row>
      </sheetData>
      <sheetData sheetId="22"/>
      <sheetData sheetId="23">
        <row r="4">
          <cell r="C4" t="str">
            <v>Premium/Discount vs. Sector</v>
          </cell>
        </row>
      </sheetData>
      <sheetData sheetId="24"/>
      <sheetData sheetId="25">
        <row r="121">
          <cell r="H121" t="str">
            <v>Sandvik ex-Mat Tech</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SCVb.ST"/>
      <sheetName val="Sales splits"/>
      <sheetName val="SCVb.ST_Live_Sheet"/>
      <sheetName val="SCVb.ST_Validation_Sheet"/>
      <sheetName val="SCVb.ST_Annotation_Sheet"/>
      <sheetName val="SCVb.ST_Exchange_Sheet"/>
      <sheetName val="Sheet5"/>
      <sheetName val="Sheet4"/>
      <sheetName val="EBIT_VAL"/>
      <sheetName val="MigrationOutput_QP_SCVb.ST"/>
      <sheetName val="QP_SCVb.ST_migrated"/>
      <sheetName val="Op Mod"/>
      <sheetName val="Summary"/>
      <sheetName val="Interims"/>
      <sheetName val="10 year val."/>
      <sheetName val="Q out"/>
      <sheetName val="CROCI"/>
      <sheetName val="ROIC_NEW"/>
      <sheetName val="EPS Changes"/>
      <sheetName val="EBITplay"/>
      <sheetName val="Consensus"/>
      <sheetName val="OUTPUT"/>
      <sheetName val="Sheet1 (2)"/>
      <sheetName val="FX"/>
      <sheetName val="Sheet3"/>
      <sheetName val="Interim"/>
    </sheetNames>
    <sheetDataSet>
      <sheetData sheetId="0" refreshError="1"/>
      <sheetData sheetId="1" refreshError="1"/>
      <sheetData sheetId="2">
        <row r="1">
          <cell r="A1" t="str">
            <v>Issuer: Scania</v>
          </cell>
        </row>
      </sheetData>
      <sheetData sheetId="3">
        <row r="1">
          <cell r="A1" t="str">
            <v>b403d213-f658-414a-9e52-56a847545ebb</v>
          </cell>
        </row>
      </sheetData>
      <sheetData sheetId="4">
        <row r="2">
          <cell r="F2" t="str">
            <v>Actual</v>
          </cell>
        </row>
      </sheetData>
      <sheetData sheetId="5">
        <row r="1">
          <cell r="A1" t="str">
            <v>Issuer: Scania</v>
          </cell>
        </row>
      </sheetData>
      <sheetData sheetId="6" refreshError="1"/>
      <sheetData sheetId="7" refreshError="1"/>
      <sheetData sheetId="8" refreshError="1"/>
      <sheetData sheetId="9" refreshError="1"/>
      <sheetData sheetId="10" refreshError="1"/>
      <sheetData sheetId="11">
        <row r="203">
          <cell r="I203">
            <v>179</v>
          </cell>
        </row>
      </sheetData>
      <sheetData sheetId="12">
        <row r="65">
          <cell r="A65" t="str">
            <v>Summary Income Statement</v>
          </cell>
          <cell r="B65">
            <v>2009</v>
          </cell>
          <cell r="C65">
            <v>2010</v>
          </cell>
          <cell r="D65">
            <v>2011</v>
          </cell>
          <cell r="E65" t="str">
            <v>2012E</v>
          </cell>
          <cell r="F65" t="str">
            <v>2013E</v>
          </cell>
        </row>
        <row r="66">
          <cell r="A66" t="str">
            <v>Revenues</v>
          </cell>
          <cell r="B66">
            <v>63270</v>
          </cell>
          <cell r="C66">
            <v>79405</v>
          </cell>
          <cell r="D66">
            <v>89116</v>
          </cell>
          <cell r="E66">
            <v>81149</v>
          </cell>
          <cell r="F66">
            <v>88140.381147873064</v>
          </cell>
        </row>
        <row r="67">
          <cell r="A67" t="str">
            <v>Cost of sales</v>
          </cell>
          <cell r="B67">
            <v>-48890</v>
          </cell>
          <cell r="C67">
            <v>-54504</v>
          </cell>
          <cell r="D67">
            <v>-63163</v>
          </cell>
          <cell r="E67">
            <v>-58927</v>
          </cell>
          <cell r="F67">
            <v>-65156.912021824013</v>
          </cell>
        </row>
        <row r="68">
          <cell r="A68" t="str">
            <v>Gross Profit</v>
          </cell>
          <cell r="B68">
            <v>14380</v>
          </cell>
          <cell r="C68">
            <v>24901</v>
          </cell>
          <cell r="D68">
            <v>25953</v>
          </cell>
          <cell r="E68">
            <v>22222</v>
          </cell>
          <cell r="F68">
            <v>22983.469126049044</v>
          </cell>
        </row>
        <row r="69">
          <cell r="A69" t="str">
            <v>Sales and administrative costs</v>
          </cell>
          <cell r="B69">
            <v>-7863</v>
          </cell>
          <cell r="C69">
            <v>-8173</v>
          </cell>
          <cell r="D69">
            <v>-8833</v>
          </cell>
          <cell r="E69">
            <v>-8978</v>
          </cell>
          <cell r="F69">
            <v>-9295.6571478730584</v>
          </cell>
        </row>
        <row r="70">
          <cell r="A70" t="str">
            <v>Research and development costs</v>
          </cell>
          <cell r="B70">
            <v>-3216</v>
          </cell>
          <cell r="C70">
            <v>-3505</v>
          </cell>
          <cell r="D70">
            <v>-4440</v>
          </cell>
          <cell r="E70">
            <v>-4681</v>
          </cell>
          <cell r="F70">
            <v>-4801.1959999999999</v>
          </cell>
        </row>
        <row r="71">
          <cell r="A71" t="str">
            <v>Other operating income and expenses</v>
          </cell>
          <cell r="B71">
            <v>-828</v>
          </cell>
          <cell r="C71">
            <v>-477</v>
          </cell>
          <cell r="D71">
            <v>-282</v>
          </cell>
          <cell r="E71">
            <v>-263</v>
          </cell>
          <cell r="F71">
            <v>-265</v>
          </cell>
        </row>
        <row r="72">
          <cell r="A72" t="str">
            <v>Trading Profit</v>
          </cell>
          <cell r="B72">
            <v>2473</v>
          </cell>
          <cell r="C72">
            <v>12746</v>
          </cell>
          <cell r="D72">
            <v>12398</v>
          </cell>
          <cell r="E72">
            <v>8300</v>
          </cell>
          <cell r="F72">
            <v>8621.6159781759816</v>
          </cell>
        </row>
        <row r="73">
          <cell r="A73" t="str">
            <v>Exceptional items</v>
          </cell>
          <cell r="B73">
            <v>0</v>
          </cell>
          <cell r="C73">
            <v>0</v>
          </cell>
          <cell r="D73">
            <v>0</v>
          </cell>
          <cell r="E73">
            <v>0</v>
          </cell>
          <cell r="F73">
            <v>0</v>
          </cell>
        </row>
        <row r="74">
          <cell r="A74" t="str">
            <v>Operating Profit</v>
          </cell>
          <cell r="B74">
            <v>2473</v>
          </cell>
          <cell r="C74">
            <v>12746</v>
          </cell>
          <cell r="D74">
            <v>12398</v>
          </cell>
          <cell r="E74">
            <v>8300</v>
          </cell>
          <cell r="F74">
            <v>8621.6159781759816</v>
          </cell>
        </row>
        <row r="75">
          <cell r="A75" t="str">
            <v>Net interest expense</v>
          </cell>
          <cell r="B75">
            <v>-722</v>
          </cell>
          <cell r="C75">
            <v>-193</v>
          </cell>
          <cell r="D75">
            <v>261</v>
          </cell>
          <cell r="E75">
            <v>133</v>
          </cell>
          <cell r="F75">
            <v>133</v>
          </cell>
        </row>
        <row r="76">
          <cell r="A76" t="str">
            <v>Other financial income</v>
          </cell>
          <cell r="B76">
            <v>135</v>
          </cell>
          <cell r="C76">
            <v>70</v>
          </cell>
          <cell r="D76">
            <v>116</v>
          </cell>
          <cell r="E76">
            <v>0</v>
          </cell>
          <cell r="F76">
            <v>0</v>
          </cell>
        </row>
        <row r="77">
          <cell r="A77" t="str">
            <v>Other financial expenses</v>
          </cell>
          <cell r="B77">
            <v>-284</v>
          </cell>
          <cell r="C77">
            <v>-90</v>
          </cell>
          <cell r="D77">
            <v>-163</v>
          </cell>
          <cell r="E77">
            <v>-152</v>
          </cell>
          <cell r="F77">
            <v>0</v>
          </cell>
        </row>
        <row r="78">
          <cell r="A78" t="str">
            <v>Profit before tax</v>
          </cell>
          <cell r="B78">
            <v>1602</v>
          </cell>
          <cell r="C78">
            <v>12533</v>
          </cell>
          <cell r="D78">
            <v>12612</v>
          </cell>
          <cell r="E78">
            <v>8281</v>
          </cell>
          <cell r="F78">
            <v>8754.6159781759816</v>
          </cell>
        </row>
        <row r="79">
          <cell r="A79" t="str">
            <v>Income taxes</v>
          </cell>
          <cell r="B79">
            <v>-473</v>
          </cell>
          <cell r="C79">
            <v>-3430</v>
          </cell>
          <cell r="D79">
            <v>-3190</v>
          </cell>
          <cell r="E79">
            <v>-1641</v>
          </cell>
          <cell r="F79">
            <v>-2451.2924738892752</v>
          </cell>
        </row>
        <row r="80">
          <cell r="A80" t="str">
            <v>Tax rate (%)</v>
          </cell>
          <cell r="B80">
            <v>0.29525593008739076</v>
          </cell>
          <cell r="C80">
            <v>0.27367749142264419</v>
          </cell>
          <cell r="D80">
            <v>0.2529337139232477</v>
          </cell>
          <cell r="E80">
            <v>0.19816447288974762</v>
          </cell>
          <cell r="F80">
            <v>0.28000000000000003</v>
          </cell>
        </row>
        <row r="81">
          <cell r="A81" t="str">
            <v>Net income</v>
          </cell>
          <cell r="B81">
            <v>1129</v>
          </cell>
          <cell r="C81">
            <v>9103</v>
          </cell>
          <cell r="D81">
            <v>9422</v>
          </cell>
          <cell r="E81">
            <v>6640</v>
          </cell>
          <cell r="F81">
            <v>6303.3235042867063</v>
          </cell>
        </row>
        <row r="84">
          <cell r="A84" t="str">
            <v>EPS (Skr )</v>
          </cell>
          <cell r="B84">
            <v>1.4112499999999999</v>
          </cell>
          <cell r="C84">
            <v>11.37875</v>
          </cell>
          <cell r="D84">
            <v>11.7775</v>
          </cell>
          <cell r="E84">
            <v>8.3074999999999992</v>
          </cell>
          <cell r="F84">
            <v>7.8866543803583831</v>
          </cell>
        </row>
        <row r="85">
          <cell r="A85" t="str">
            <v xml:space="preserve">DPS (Skr) </v>
          </cell>
          <cell r="B85">
            <v>1</v>
          </cell>
          <cell r="C85">
            <v>5</v>
          </cell>
          <cell r="D85">
            <v>5</v>
          </cell>
          <cell r="E85">
            <v>4.75</v>
          </cell>
          <cell r="F85">
            <v>4.75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BIT"/>
      <sheetName val="China dealer network"/>
      <sheetName val="Charts"/>
      <sheetName val="Sheet2"/>
      <sheetName val="Sheet1"/>
      <sheetName val="EPS changes"/>
      <sheetName val="Q out"/>
      <sheetName val="Model"/>
      <sheetName val="Interim"/>
    </sheetNames>
    <sheetDataSet>
      <sheetData sheetId="0">
        <row r="120">
          <cell r="N120">
            <v>7624</v>
          </cell>
        </row>
      </sheetData>
      <sheetData sheetId="1"/>
      <sheetData sheetId="2"/>
      <sheetData sheetId="3"/>
      <sheetData sheetId="4">
        <row r="3">
          <cell r="B3" t="str">
            <v>Potential cost savings from Global Heavy duty platform (€ mn)</v>
          </cell>
          <cell r="C3">
            <v>0</v>
          </cell>
          <cell r="D3">
            <v>0</v>
          </cell>
          <cell r="E3">
            <v>0</v>
          </cell>
          <cell r="F3">
            <v>0</v>
          </cell>
          <cell r="G3">
            <v>0</v>
          </cell>
          <cell r="H3">
            <v>0</v>
          </cell>
        </row>
        <row r="4">
          <cell r="B4" t="str">
            <v>Number of engines  on global heavy duty platform by 2017E ('000s)</v>
          </cell>
          <cell r="C4">
            <v>0</v>
          </cell>
          <cell r="D4">
            <v>0</v>
          </cell>
          <cell r="E4">
            <v>0</v>
          </cell>
          <cell r="F4">
            <v>0</v>
          </cell>
          <cell r="G4">
            <v>0</v>
          </cell>
          <cell r="H4">
            <v>200</v>
          </cell>
        </row>
        <row r="5">
          <cell r="B5" t="str">
            <v>Total unit sales for Daimler trucks</v>
          </cell>
          <cell r="C5">
            <v>0</v>
          </cell>
          <cell r="D5">
            <v>0</v>
          </cell>
          <cell r="E5">
            <v>0</v>
          </cell>
          <cell r="F5">
            <v>0</v>
          </cell>
          <cell r="G5">
            <v>0</v>
          </cell>
          <cell r="H5">
            <v>148.1</v>
          </cell>
        </row>
        <row r="6">
          <cell r="B6" t="str">
            <v>% of trucks on the global heavy duty platform</v>
          </cell>
          <cell r="C6">
            <v>0</v>
          </cell>
          <cell r="D6">
            <v>0</v>
          </cell>
          <cell r="E6">
            <v>0</v>
          </cell>
          <cell r="F6">
            <v>0</v>
          </cell>
          <cell r="G6">
            <v>0</v>
          </cell>
          <cell r="H6">
            <v>1.3504388926401081</v>
          </cell>
        </row>
        <row r="7">
          <cell r="B7">
            <v>0</v>
          </cell>
          <cell r="C7">
            <v>0</v>
          </cell>
          <cell r="D7">
            <v>0</v>
          </cell>
          <cell r="E7">
            <v>0</v>
          </cell>
          <cell r="F7">
            <v>0</v>
          </cell>
          <cell r="G7">
            <v>0</v>
          </cell>
          <cell r="H7">
            <v>0</v>
          </cell>
        </row>
        <row r="8">
          <cell r="B8" t="str">
            <v xml:space="preserve">Cost of sharable parts (€ '000, GSe) </v>
          </cell>
          <cell r="C8">
            <v>0</v>
          </cell>
          <cell r="D8">
            <v>0</v>
          </cell>
          <cell r="E8">
            <v>0</v>
          </cell>
          <cell r="F8">
            <v>0</v>
          </cell>
          <cell r="G8">
            <v>0</v>
          </cell>
          <cell r="H8">
            <v>36.75</v>
          </cell>
        </row>
        <row r="9">
          <cell r="B9" t="str">
            <v>% synergy parts</v>
          </cell>
          <cell r="C9">
            <v>0</v>
          </cell>
          <cell r="D9">
            <v>0</v>
          </cell>
          <cell r="E9">
            <v>0</v>
          </cell>
          <cell r="F9">
            <v>0</v>
          </cell>
          <cell r="G9">
            <v>0</v>
          </cell>
          <cell r="H9">
            <v>0.5</v>
          </cell>
        </row>
        <row r="10">
          <cell r="B10" t="str">
            <v>Cost of synergy parts</v>
          </cell>
          <cell r="C10">
            <v>0</v>
          </cell>
          <cell r="D10">
            <v>0</v>
          </cell>
          <cell r="E10">
            <v>0</v>
          </cell>
          <cell r="F10">
            <v>0</v>
          </cell>
          <cell r="G10">
            <v>0</v>
          </cell>
          <cell r="H10">
            <v>18.375</v>
          </cell>
        </row>
        <row r="11">
          <cell r="B11" t="str">
            <v>Cost base</v>
          </cell>
          <cell r="C11">
            <v>0</v>
          </cell>
          <cell r="D11">
            <v>0</v>
          </cell>
          <cell r="E11">
            <v>0</v>
          </cell>
          <cell r="F11">
            <v>0</v>
          </cell>
          <cell r="G11">
            <v>0</v>
          </cell>
          <cell r="H11">
            <v>3675</v>
          </cell>
        </row>
        <row r="12">
          <cell r="B12" t="str">
            <v>Assumed reduction of costs by 2017E</v>
          </cell>
          <cell r="C12">
            <v>0</v>
          </cell>
          <cell r="D12">
            <v>0</v>
          </cell>
          <cell r="E12">
            <v>0</v>
          </cell>
          <cell r="F12">
            <v>0</v>
          </cell>
          <cell r="G12">
            <v>0</v>
          </cell>
          <cell r="H12">
            <v>0.2</v>
          </cell>
        </row>
        <row r="13">
          <cell r="B13" t="str">
            <v>Savings</v>
          </cell>
          <cell r="C13">
            <v>0</v>
          </cell>
          <cell r="D13">
            <v>0</v>
          </cell>
          <cell r="E13">
            <v>0</v>
          </cell>
          <cell r="F13">
            <v>0</v>
          </cell>
          <cell r="G13">
            <v>0</v>
          </cell>
          <cell r="H13">
            <v>700</v>
          </cell>
        </row>
      </sheetData>
      <sheetData sheetId="5" refreshError="1"/>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FLS.CO"/>
      <sheetName val="FLS.CO_Exchange_Sheet"/>
      <sheetName val="OpMod"/>
      <sheetName val="Interim"/>
      <sheetName val="OUTPUT2"/>
      <sheetName val="OUTPUT"/>
      <sheetName val="Q Out NEW"/>
      <sheetName val="Estimate Changes"/>
      <sheetName val="10 Yr Val"/>
      <sheetName val="GS vs. Cons"/>
      <sheetName val="Chart"/>
      <sheetName val="Bull vs. Bear"/>
      <sheetName val="Normalization"/>
      <sheetName val="Normalisation Table"/>
      <sheetName val="Cement"/>
      <sheetName val="FLS.CO_Live_Sheet"/>
      <sheetName val="FLS.CO_Validation_Sheet"/>
      <sheetName val="FLS.CO_Annotation_Sheet"/>
      <sheetName val="Sheet2"/>
      <sheetName val="Sheet1"/>
      <sheetName val="Sheet3"/>
      <sheetName val="Acqusitions"/>
      <sheetName val="ROIC"/>
      <sheetName val="Val"/>
      <sheetName val="DSAFO32ADVVERINF32"/>
      <sheetName val="Prepayment chart"/>
      <sheetName val=""/>
    </sheetNames>
    <sheetDataSet>
      <sheetData sheetId="0"/>
      <sheetData sheetId="1">
        <row r="1">
          <cell r="A1" t="str">
            <v>Issuer: FLSmidth &amp; Co.</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Issuer: FLSmidth &amp; Co.</v>
          </cell>
        </row>
      </sheetData>
      <sheetData sheetId="16">
        <row r="1">
          <cell r="A1" t="str">
            <v>cdde2cc4-8b86-4d4a-bf26-0a9c4c12fb53</v>
          </cell>
        </row>
      </sheetData>
      <sheetData sheetId="17">
        <row r="503">
          <cell r="B503" t="str">
            <v>Ticker</v>
          </cell>
        </row>
      </sheetData>
      <sheetData sheetId="18"/>
      <sheetData sheetId="19"/>
      <sheetData sheetId="20"/>
      <sheetData sheetId="21"/>
      <sheetData sheetId="22"/>
      <sheetData sheetId="23"/>
      <sheetData sheetId="24"/>
      <sheetData sheetId="25" refreshError="1"/>
      <sheetData sheetId="2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ABBN.VX"/>
      <sheetName val="ABBN.S_Live_Sheet"/>
      <sheetName val="ABBN.S_Validation_Sheet"/>
      <sheetName val="ABBN.S_Annotation_Sheet"/>
      <sheetName val="Cover Page"/>
      <sheetName val="Products"/>
      <sheetName val="Company profile"/>
      <sheetName val="ABBN.S_Exchange_Sheet"/>
      <sheetName val="Core &gt;&gt;&gt;"/>
      <sheetName val="OpMod"/>
      <sheetName val="SOTP (OLD)"/>
      <sheetName val="Interim"/>
      <sheetName val="ROIC"/>
      <sheetName val="PA ROIC"/>
      <sheetName val="10 Yr Val"/>
      <sheetName val="Normalization"/>
      <sheetName val="Note Exhibits &gt;&gt;&gt;"/>
      <sheetName val="New vs old"/>
      <sheetName val="GS vs. consensus"/>
      <sheetName val="DXY"/>
      <sheetName val="Q Out NEW"/>
      <sheetName val="SOTP"/>
      <sheetName val="Financial_Information"/>
      <sheetName val="Charts"/>
      <sheetName val="Charts New"/>
      <sheetName val="Division charts"/>
      <sheetName val="Division profiles"/>
      <sheetName val="Pre-release"/>
      <sheetName val="Output"/>
      <sheetName val="SOTP_old"/>
      <sheetName val="Others &gt;&gt;&gt;"/>
      <sheetName val="Acq &amp; Disp"/>
      <sheetName val="PPI"/>
      <sheetName val="JMTBA Analysis"/>
      <sheetName val="Capex vs ABB"/>
      <sheetName val="Val"/>
      <sheetName val="Client tabs"/>
      <sheetName val="Implied Grow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9">
          <cell r="H9" t="str">
            <v>1Q 2015</v>
          </cell>
          <cell r="I9" t="str">
            <v>2Q 2015</v>
          </cell>
          <cell r="J9" t="str">
            <v>3Q 2015</v>
          </cell>
          <cell r="K9" t="str">
            <v>4Q 2015</v>
          </cell>
          <cell r="L9" t="str">
            <v>1Q 2016</v>
          </cell>
          <cell r="M9" t="str">
            <v>2Q 2016</v>
          </cell>
          <cell r="N9" t="str">
            <v>3Q 2016</v>
          </cell>
          <cell r="O9" t="str">
            <v>4Q 2016</v>
          </cell>
          <cell r="P9" t="str">
            <v>1Q 2017</v>
          </cell>
          <cell r="Q9" t="str">
            <v>2Q 2017</v>
          </cell>
          <cell r="R9" t="str">
            <v>3Q 2017</v>
          </cell>
          <cell r="S9" t="str">
            <v>4Q 2017</v>
          </cell>
          <cell r="T9" t="str">
            <v>1Q 2018</v>
          </cell>
          <cell r="U9" t="str">
            <v>2Q 2018</v>
          </cell>
          <cell r="V9" t="str">
            <v>3Q 2018</v>
          </cell>
          <cell r="W9" t="str">
            <v>4Q 2018</v>
          </cell>
          <cell r="X9" t="str">
            <v>1Q 2019</v>
          </cell>
          <cell r="Y9" t="str">
            <v>2Q 2019</v>
          </cell>
          <cell r="Z9" t="str">
            <v>3Q 2019</v>
          </cell>
          <cell r="AA9" t="str">
            <v>4Q 19</v>
          </cell>
          <cell r="AB9" t="str">
            <v>1Q20</v>
          </cell>
          <cell r="AC9" t="str">
            <v>2Q20</v>
          </cell>
          <cell r="AD9" t="str">
            <v>3Q 2020</v>
          </cell>
        </row>
        <row r="11">
          <cell r="E11">
            <v>10</v>
          </cell>
          <cell r="F11" t="str">
            <v>Orders</v>
          </cell>
          <cell r="H11">
            <v>10404</v>
          </cell>
          <cell r="I11">
            <v>8996</v>
          </cell>
          <cell r="J11">
            <v>8767</v>
          </cell>
          <cell r="K11">
            <v>8770</v>
          </cell>
          <cell r="L11">
            <v>9253</v>
          </cell>
          <cell r="M11">
            <v>8316</v>
          </cell>
          <cell r="N11">
            <v>7533</v>
          </cell>
          <cell r="O11">
            <v>8277</v>
          </cell>
          <cell r="P11">
            <v>6264</v>
          </cell>
          <cell r="Q11">
            <v>6116</v>
          </cell>
          <cell r="R11">
            <v>6326</v>
          </cell>
          <cell r="S11">
            <v>6328</v>
          </cell>
          <cell r="T11">
            <v>7555</v>
          </cell>
          <cell r="U11">
            <v>7133</v>
          </cell>
          <cell r="V11">
            <v>6917</v>
          </cell>
          <cell r="W11">
            <v>6985</v>
          </cell>
          <cell r="X11">
            <v>7613</v>
          </cell>
          <cell r="Y11">
            <v>7401</v>
          </cell>
          <cell r="Z11">
            <v>6688</v>
          </cell>
          <cell r="AA11">
            <v>6886</v>
          </cell>
          <cell r="AB11">
            <v>7346</v>
          </cell>
          <cell r="AC11">
            <v>6054</v>
          </cell>
          <cell r="AD11">
            <v>6109</v>
          </cell>
        </row>
        <row r="12">
          <cell r="E12">
            <v>5</v>
          </cell>
          <cell r="F12" t="str">
            <v>Organic order growth</v>
          </cell>
          <cell r="H12">
            <v>5.5126622959249257E-2</v>
          </cell>
          <cell r="I12">
            <v>-1.4574091088069301E-2</v>
          </cell>
          <cell r="J12">
            <v>-0.16387769958747875</v>
          </cell>
          <cell r="K12">
            <v>-3.237952237952238E-2</v>
          </cell>
          <cell r="L12">
            <v>-9.1330203585595626E-2</v>
          </cell>
          <cell r="M12">
            <v>-8.1494814814814825E-2</v>
          </cell>
          <cell r="N12">
            <v>-8.3843897669871284E-2</v>
          </cell>
          <cell r="O12">
            <v>-5.3657422512234904E-2</v>
          </cell>
          <cell r="P12">
            <v>2.4355770732469161E-2</v>
          </cell>
          <cell r="Q12">
            <v>6.3746464814506729E-2</v>
          </cell>
          <cell r="R12">
            <v>6.61707889510742E-2</v>
          </cell>
          <cell r="S12">
            <v>5.7009164610504058E-2</v>
          </cell>
          <cell r="T12">
            <v>0.08</v>
          </cell>
          <cell r="U12">
            <v>0.10091157117637618</v>
          </cell>
          <cell r="V12">
            <v>9.1264367816091957E-2</v>
          </cell>
          <cell r="W12">
            <v>7.0000000000000007E-2</v>
          </cell>
          <cell r="X12">
            <v>0.03</v>
          </cell>
          <cell r="Y12">
            <v>0.01</v>
          </cell>
          <cell r="Z12">
            <v>-0.01</v>
          </cell>
          <cell r="AA12">
            <v>-0.01</v>
          </cell>
          <cell r="AB12">
            <v>0.01</v>
          </cell>
          <cell r="AC12">
            <v>-0.14000000000000001</v>
          </cell>
          <cell r="AD12">
            <v>-0.08</v>
          </cell>
        </row>
        <row r="14">
          <cell r="F14" t="str">
            <v>Book-to-bill</v>
          </cell>
          <cell r="H14">
            <v>1.2161309175920514</v>
          </cell>
          <cell r="I14">
            <v>0.98156028368794324</v>
          </cell>
          <cell r="J14">
            <v>1.0291113980514144</v>
          </cell>
          <cell r="K14">
            <v>0.94892880328933127</v>
          </cell>
          <cell r="L14">
            <v>1.1708212071365305</v>
          </cell>
          <cell r="M14">
            <v>0.95839575890284656</v>
          </cell>
          <cell r="N14">
            <v>0.91253785584494251</v>
          </cell>
          <cell r="O14">
            <v>0.92038251973757368</v>
          </cell>
          <cell r="P14">
            <v>1.0952963804860989</v>
          </cell>
          <cell r="Q14">
            <v>0.98852432519799582</v>
          </cell>
          <cell r="R14">
            <v>0.97533148319457297</v>
          </cell>
          <cell r="S14">
            <v>0.93004115226337447</v>
          </cell>
          <cell r="T14">
            <v>1.1729545101692285</v>
          </cell>
          <cell r="U14">
            <v>1.0597236666171446</v>
          </cell>
          <cell r="V14">
            <v>0.97491190979563069</v>
          </cell>
          <cell r="W14">
            <v>0.94455713319810686</v>
          </cell>
          <cell r="X14">
            <v>1.1118738133489119</v>
          </cell>
          <cell r="Y14">
            <v>1.0320736298982012</v>
          </cell>
          <cell r="Z14">
            <v>0.97040046430644222</v>
          </cell>
          <cell r="AA14">
            <v>0.97425014148273914</v>
          </cell>
          <cell r="AB14">
            <v>1.1817889317889319</v>
          </cell>
          <cell r="AC14">
            <v>0.983750406239844</v>
          </cell>
          <cell r="AD14">
            <v>0.92813734427225769</v>
          </cell>
        </row>
        <row r="16">
          <cell r="E16">
            <v>21</v>
          </cell>
          <cell r="F16" t="str">
            <v>Revenues</v>
          </cell>
          <cell r="H16">
            <v>8555</v>
          </cell>
          <cell r="I16">
            <v>9165</v>
          </cell>
          <cell r="J16">
            <v>8519</v>
          </cell>
          <cell r="K16">
            <v>9242</v>
          </cell>
          <cell r="L16">
            <v>7903</v>
          </cell>
          <cell r="M16">
            <v>8677</v>
          </cell>
          <cell r="N16">
            <v>8255</v>
          </cell>
          <cell r="O16">
            <v>8993</v>
          </cell>
          <cell r="P16">
            <v>5719</v>
          </cell>
          <cell r="Q16">
            <v>6187</v>
          </cell>
          <cell r="R16">
            <v>6486</v>
          </cell>
          <cell r="S16">
            <v>6804</v>
          </cell>
          <cell r="T16">
            <v>6441</v>
          </cell>
          <cell r="U16">
            <v>6731</v>
          </cell>
          <cell r="V16">
            <v>7095</v>
          </cell>
          <cell r="W16">
            <v>7395</v>
          </cell>
          <cell r="X16">
            <v>6847</v>
          </cell>
          <cell r="Y16">
            <v>7171</v>
          </cell>
          <cell r="Z16">
            <v>6892</v>
          </cell>
          <cell r="AA16">
            <v>7068</v>
          </cell>
          <cell r="AB16">
            <v>6216</v>
          </cell>
          <cell r="AC16">
            <v>6154</v>
          </cell>
          <cell r="AD16">
            <v>6582</v>
          </cell>
        </row>
        <row r="17">
          <cell r="E17">
            <v>15</v>
          </cell>
          <cell r="F17" t="str">
            <v>Organic revenue growth</v>
          </cell>
          <cell r="H17">
            <v>-0.11006384919428402</v>
          </cell>
          <cell r="I17">
            <v>-8.813364055299544E-2</v>
          </cell>
          <cell r="J17">
            <v>-0.14945890611289847</v>
          </cell>
          <cell r="K17">
            <v>-0.60216975111678361</v>
          </cell>
          <cell r="L17">
            <v>-3.8947728049197106E-2</v>
          </cell>
          <cell r="M17">
            <v>-3.1111813013265932E-2</v>
          </cell>
          <cell r="N17">
            <v>7.5653370013755161E-3</v>
          </cell>
          <cell r="O17">
            <v>-1.7645171639396606E-3</v>
          </cell>
          <cell r="P17">
            <v>1.6530394596516285E-2</v>
          </cell>
          <cell r="Q17">
            <v>8.4759576202118048E-3</v>
          </cell>
          <cell r="R17">
            <v>0.10682593856655287</v>
          </cell>
          <cell r="S17">
            <v>9.3363329583802113E-2</v>
          </cell>
          <cell r="X17">
            <v>4.0199391171993913E-2</v>
          </cell>
          <cell r="Y17">
            <v>0.02</v>
          </cell>
          <cell r="Z17">
            <v>0</v>
          </cell>
          <cell r="AA17">
            <v>-0.02</v>
          </cell>
          <cell r="AB17">
            <v>-7.0000000000000007E-2</v>
          </cell>
          <cell r="AC17">
            <v>-0.1</v>
          </cell>
          <cell r="AD17">
            <v>-0.04</v>
          </cell>
        </row>
        <row r="19">
          <cell r="E19">
            <v>31</v>
          </cell>
          <cell r="F19" t="str">
            <v xml:space="preserve">Operational EBITA </v>
          </cell>
          <cell r="H19">
            <v>798</v>
          </cell>
          <cell r="I19">
            <v>876</v>
          </cell>
          <cell r="J19">
            <v>907</v>
          </cell>
          <cell r="K19">
            <v>818</v>
          </cell>
          <cell r="L19">
            <v>771</v>
          </cell>
          <cell r="M19">
            <v>843</v>
          </cell>
          <cell r="N19">
            <v>828</v>
          </cell>
          <cell r="O19">
            <v>738</v>
          </cell>
          <cell r="P19">
            <v>646</v>
          </cell>
          <cell r="Q19">
            <v>716</v>
          </cell>
          <cell r="R19">
            <v>791</v>
          </cell>
          <cell r="S19">
            <v>664</v>
          </cell>
          <cell r="T19">
            <v>752</v>
          </cell>
          <cell r="U19">
            <v>855</v>
          </cell>
          <cell r="V19">
            <v>814</v>
          </cell>
          <cell r="W19">
            <v>584</v>
          </cell>
          <cell r="X19">
            <v>766</v>
          </cell>
          <cell r="Y19">
            <v>825</v>
          </cell>
          <cell r="Z19">
            <v>806</v>
          </cell>
          <cell r="AA19">
            <v>710</v>
          </cell>
          <cell r="AB19">
            <v>636</v>
          </cell>
          <cell r="AC19">
            <v>651</v>
          </cell>
          <cell r="AD19">
            <v>787</v>
          </cell>
        </row>
        <row r="20">
          <cell r="E20">
            <v>26</v>
          </cell>
          <cell r="F20" t="str">
            <v>Margin</v>
          </cell>
          <cell r="H20">
            <v>9.3278784336645243E-2</v>
          </cell>
          <cell r="I20">
            <v>9.5581014729950897E-2</v>
          </cell>
          <cell r="J20">
            <v>0.10646789529287475</v>
          </cell>
          <cell r="K20">
            <v>8.8508980740099552E-2</v>
          </cell>
          <cell r="L20">
            <v>9.7557889409085163E-2</v>
          </cell>
          <cell r="M20">
            <v>9.7153394030194767E-2</v>
          </cell>
          <cell r="N20">
            <v>0.10030284675953967</v>
          </cell>
          <cell r="O20">
            <v>8.2063827421327701E-2</v>
          </cell>
          <cell r="P20">
            <v>0.11295681063122924</v>
          </cell>
          <cell r="Q20">
            <v>0.11572652335542266</v>
          </cell>
          <cell r="R20">
            <v>0.12195497995683009</v>
          </cell>
          <cell r="S20">
            <v>9.7589653145208705E-2</v>
          </cell>
          <cell r="T20">
            <v>0.11675205713398541</v>
          </cell>
          <cell r="U20">
            <v>0.12702421631258357</v>
          </cell>
          <cell r="V20">
            <v>0.11472868217054263</v>
          </cell>
          <cell r="W20">
            <v>7.8972278566599052E-2</v>
          </cell>
          <cell r="X20">
            <v>0.11187381334891193</v>
          </cell>
          <cell r="Y20">
            <v>0.11504671593919956</v>
          </cell>
          <cell r="Z20">
            <v>0.11694718514219385</v>
          </cell>
          <cell r="AA20">
            <v>0.10045274476513866</v>
          </cell>
          <cell r="AB20">
            <v>0.10231660231660232</v>
          </cell>
          <cell r="AC20">
            <v>0.10578485537861554</v>
          </cell>
          <cell r="AD20">
            <v>0.11956852020662413</v>
          </cell>
        </row>
        <row r="22">
          <cell r="F22" t="str">
            <v>EPS</v>
          </cell>
          <cell r="H22">
            <v>0.25</v>
          </cell>
          <cell r="I22">
            <v>0.26</v>
          </cell>
          <cell r="J22">
            <v>0.26</v>
          </cell>
          <cell r="K22">
            <v>0.09</v>
          </cell>
          <cell r="L22">
            <v>0.23</v>
          </cell>
          <cell r="M22">
            <v>0.19</v>
          </cell>
          <cell r="N22">
            <v>0.26</v>
          </cell>
          <cell r="O22">
            <v>0.21</v>
          </cell>
          <cell r="P22">
            <v>0.34</v>
          </cell>
          <cell r="Q22">
            <v>0.24</v>
          </cell>
          <cell r="R22">
            <v>0.27</v>
          </cell>
          <cell r="S22">
            <v>0.09</v>
          </cell>
          <cell r="T22">
            <v>0.18</v>
          </cell>
          <cell r="U22">
            <v>0.23</v>
          </cell>
          <cell r="V22">
            <v>0.28000000000000003</v>
          </cell>
          <cell r="W22">
            <v>0.09</v>
          </cell>
          <cell r="X22">
            <v>0.18</v>
          </cell>
          <cell r="Y22">
            <v>-0.04</v>
          </cell>
          <cell r="Z22">
            <v>0.2</v>
          </cell>
          <cell r="AA22">
            <v>0.15</v>
          </cell>
          <cell r="AB22">
            <v>0.2</v>
          </cell>
          <cell r="AC22">
            <v>0.13</v>
          </cell>
        </row>
        <row r="23">
          <cell r="F23" t="str">
            <v>DPS (CHF)</v>
          </cell>
          <cell r="AA23">
            <v>0.20515222482435597</v>
          </cell>
        </row>
        <row r="24">
          <cell r="D24" t="str">
            <v>Pg 11 - CFO + CFI</v>
          </cell>
          <cell r="F24" t="str">
            <v>FCF*</v>
          </cell>
          <cell r="AA24">
            <v>1677</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FIA.MI"/>
      <sheetName val="QP_FIA.MI"/>
      <sheetName val="Financials"/>
      <sheetName val="OpMod"/>
      <sheetName val="Interim"/>
      <sheetName val="fiat auto"/>
      <sheetName val="fiat industrial"/>
      <sheetName val="Q out"/>
      <sheetName val="Interim Auto"/>
      <sheetName val="Interim Industrial"/>
      <sheetName val="ROIC"/>
      <sheetName val="10 year Val"/>
      <sheetName val="Fiat Plan 2014"/>
      <sheetName val="Fair value"/>
      <sheetName val="Summary"/>
      <sheetName val="Output"/>
      <sheetName val="SOTP dISCOUT"/>
      <sheetName val="SOTP"/>
      <sheetName val="Output Summary"/>
      <sheetName val="SOTPP"/>
      <sheetName val="Revenue &amp; Trading Profit Histor"/>
      <sheetName val="Valuation Arbitrage"/>
      <sheetName val="ROIC_NEW"/>
      <sheetName val="Sheet1"/>
      <sheetName val="Suceeding in each WinZone"/>
    </sheetNames>
    <sheetDataSet>
      <sheetData sheetId="0" refreshError="1"/>
      <sheetData sheetId="1" refreshError="1"/>
      <sheetData sheetId="2">
        <row r="135">
          <cell r="M135">
            <v>57555</v>
          </cell>
        </row>
      </sheetData>
      <sheetData sheetId="3" refreshError="1"/>
      <sheetData sheetId="4" refreshError="1"/>
      <sheetData sheetId="5" refreshError="1"/>
      <sheetData sheetId="6" refreshError="1"/>
      <sheetData sheetId="7" refreshError="1"/>
      <sheetData sheetId="8" refreshError="1"/>
      <sheetData sheetId="9" refreshError="1"/>
      <sheetData sheetId="10">
        <row r="50">
          <cell r="C50">
            <v>0.08</v>
          </cell>
        </row>
      </sheetData>
      <sheetData sheetId="11">
        <row r="7">
          <cell r="C7">
            <v>24.717500000000001</v>
          </cell>
        </row>
        <row r="135">
          <cell r="B135" t="str">
            <v>Target Price Calculation</v>
          </cell>
          <cell r="M135">
            <v>2000</v>
          </cell>
          <cell r="N135">
            <v>2001</v>
          </cell>
          <cell r="O135">
            <v>2002</v>
          </cell>
          <cell r="P135">
            <v>2003</v>
          </cell>
          <cell r="Q135">
            <v>2004</v>
          </cell>
          <cell r="R135">
            <v>2005</v>
          </cell>
          <cell r="S135">
            <v>2006</v>
          </cell>
          <cell r="T135">
            <v>2007</v>
          </cell>
          <cell r="U135">
            <v>2008</v>
          </cell>
          <cell r="V135">
            <v>2009</v>
          </cell>
          <cell r="W135" t="str">
            <v>2010E</v>
          </cell>
          <cell r="X135" t="str">
            <v>2011E</v>
          </cell>
          <cell r="Y135" t="str">
            <v>2012E</v>
          </cell>
        </row>
        <row r="136">
          <cell r="B136" t="str">
            <v>Fiat Core</v>
          </cell>
        </row>
        <row r="137">
          <cell r="B137" t="str">
            <v>Revenues</v>
          </cell>
          <cell r="M137">
            <v>57555</v>
          </cell>
          <cell r="N137">
            <v>58006</v>
          </cell>
          <cell r="O137">
            <v>55649</v>
          </cell>
          <cell r="P137">
            <v>47271</v>
          </cell>
          <cell r="Q137">
            <v>45637</v>
          </cell>
          <cell r="R137">
            <v>46544</v>
          </cell>
          <cell r="S137">
            <v>51832</v>
          </cell>
          <cell r="T137">
            <v>58529</v>
          </cell>
          <cell r="U137">
            <v>59564</v>
          </cell>
          <cell r="V137">
            <v>50102</v>
          </cell>
          <cell r="W137">
            <v>55120.925237354095</v>
          </cell>
          <cell r="X137">
            <v>62300.149926573096</v>
          </cell>
          <cell r="Y137">
            <v>70174.849238269089</v>
          </cell>
        </row>
        <row r="138">
          <cell r="B138" t="str">
            <v>GS EBIT</v>
          </cell>
          <cell r="M138">
            <v>855.0148553557467</v>
          </cell>
          <cell r="N138">
            <v>318.00548219149744</v>
          </cell>
          <cell r="O138">
            <v>-762.01369296842722</v>
          </cell>
          <cell r="P138">
            <v>-510.01078885574657</v>
          </cell>
          <cell r="Q138">
            <v>50</v>
          </cell>
          <cell r="R138">
            <v>1000</v>
          </cell>
          <cell r="S138">
            <v>1951</v>
          </cell>
          <cell r="T138">
            <v>3233</v>
          </cell>
          <cell r="U138">
            <v>3362</v>
          </cell>
          <cell r="V138">
            <v>1058</v>
          </cell>
          <cell r="W138">
            <v>2249.8282880000002</v>
          </cell>
          <cell r="X138">
            <v>3570.0102880000004</v>
          </cell>
          <cell r="Y138">
            <v>4930.2036879999996</v>
          </cell>
        </row>
        <row r="139">
          <cell r="B139" t="str">
            <v>Average Margin</v>
          </cell>
          <cell r="M139">
            <v>1.4855613853804999E-2</v>
          </cell>
          <cell r="N139">
            <v>5.482286008197384E-3</v>
          </cell>
          <cell r="O139">
            <v>-1.369321448666512E-2</v>
          </cell>
          <cell r="P139">
            <v>-1.0789083980786245E-2</v>
          </cell>
          <cell r="Q139">
            <v>1.0956022525582313E-3</v>
          </cell>
          <cell r="R139">
            <v>2.1485046407700242E-2</v>
          </cell>
          <cell r="S139">
            <v>3.7640839635746257E-2</v>
          </cell>
          <cell r="T139">
            <v>5.5237574535700253E-2</v>
          </cell>
          <cell r="U139">
            <v>5.6443489355986837E-2</v>
          </cell>
          <cell r="V139">
            <v>2.111692148018043E-2</v>
          </cell>
          <cell r="W139">
            <v>4.0816228652042777E-2</v>
          </cell>
          <cell r="X139">
            <v>5.7303398020833202E-2</v>
          </cell>
          <cell r="Y139">
            <v>7.0255992588743127E-2</v>
          </cell>
        </row>
        <row r="140">
          <cell r="B140" t="str">
            <v>EV/EBIT</v>
          </cell>
          <cell r="M140">
            <v>21.980231340807734</v>
          </cell>
          <cell r="N140">
            <v>59.560889148814695</v>
          </cell>
          <cell r="O140">
            <v>-23.846104910890514</v>
          </cell>
          <cell r="P140">
            <v>-30.264833399929348</v>
          </cell>
          <cell r="Q140">
            <v>298.0368363189242</v>
          </cell>
          <cell r="R140">
            <v>15.198004371045432</v>
          </cell>
          <cell r="S140">
            <v>8.6748816545061249</v>
          </cell>
          <cell r="T140">
            <v>5.9113715973409509</v>
          </cell>
          <cell r="U140">
            <v>5.785075177704404</v>
          </cell>
          <cell r="V140">
            <v>15.46294660056444</v>
          </cell>
          <cell r="W140">
            <v>8</v>
          </cell>
          <cell r="X140">
            <v>8</v>
          </cell>
          <cell r="Y140">
            <v>8</v>
          </cell>
        </row>
        <row r="141">
          <cell r="B141" t="str">
            <v>EV/Sales</v>
          </cell>
          <cell r="M141">
            <v>0.32652982921634222</v>
          </cell>
          <cell r="N141">
            <v>0.32652982921634222</v>
          </cell>
          <cell r="O141">
            <v>0.32652982921634222</v>
          </cell>
          <cell r="P141">
            <v>0.32652982921634222</v>
          </cell>
          <cell r="Q141">
            <v>0.32652982921634222</v>
          </cell>
          <cell r="R141">
            <v>0.32652982921634222</v>
          </cell>
          <cell r="S141">
            <v>0.32652982921634222</v>
          </cell>
          <cell r="T141">
            <v>0.32652982921634222</v>
          </cell>
          <cell r="U141">
            <v>0.32652982921634222</v>
          </cell>
          <cell r="V141">
            <v>0.32652982921634222</v>
          </cell>
          <cell r="W141">
            <v>0.32652982921634222</v>
          </cell>
          <cell r="X141">
            <v>0.45842718416666561</v>
          </cell>
          <cell r="Y141">
            <v>0.56204794070994502</v>
          </cell>
        </row>
        <row r="142">
          <cell r="B142" t="str">
            <v>EV</v>
          </cell>
          <cell r="M142">
            <v>18793.424320546575</v>
          </cell>
          <cell r="N142">
            <v>18940.689273523145</v>
          </cell>
          <cell r="O142">
            <v>18171.058466060229</v>
          </cell>
          <cell r="P142">
            <v>15435.391556885714</v>
          </cell>
          <cell r="Q142">
            <v>14901.841815946209</v>
          </cell>
          <cell r="R142">
            <v>15198.004371045432</v>
          </cell>
          <cell r="S142">
            <v>16924.69410794145</v>
          </cell>
          <cell r="T142">
            <v>19111.464374203293</v>
          </cell>
          <cell r="U142">
            <v>19449.422747442208</v>
          </cell>
          <cell r="V142">
            <v>16359.797503397178</v>
          </cell>
          <cell r="W142">
            <v>17998.626304000001</v>
          </cell>
          <cell r="X142">
            <v>28560.082304000003</v>
          </cell>
          <cell r="Y142">
            <v>39441.629503999997</v>
          </cell>
        </row>
        <row r="143">
          <cell r="B143" t="str">
            <v>Net Debt/(Cash)</v>
          </cell>
          <cell r="M143">
            <v>8228</v>
          </cell>
          <cell r="N143">
            <v>7998</v>
          </cell>
          <cell r="O143">
            <v>4627</v>
          </cell>
          <cell r="P143">
            <v>2741</v>
          </cell>
          <cell r="Q143">
            <v>9447</v>
          </cell>
          <cell r="R143">
            <v>3219</v>
          </cell>
          <cell r="S143">
            <v>1773</v>
          </cell>
          <cell r="T143">
            <v>-355</v>
          </cell>
          <cell r="U143">
            <v>5949</v>
          </cell>
          <cell r="V143">
            <v>4418</v>
          </cell>
          <cell r="W143">
            <v>3780.5197076857148</v>
          </cell>
          <cell r="X143">
            <v>2855.1569883067332</v>
          </cell>
          <cell r="Y143">
            <v>1036.5188264618419</v>
          </cell>
        </row>
        <row r="144">
          <cell r="B144" t="str">
            <v>Pension liablities</v>
          </cell>
          <cell r="M144">
            <v>3532</v>
          </cell>
          <cell r="N144">
            <v>1735</v>
          </cell>
          <cell r="O144">
            <v>1609</v>
          </cell>
          <cell r="P144">
            <v>1313</v>
          </cell>
          <cell r="Q144">
            <v>3682</v>
          </cell>
          <cell r="R144">
            <v>3950</v>
          </cell>
          <cell r="S144">
            <v>3761</v>
          </cell>
          <cell r="T144">
            <v>3597</v>
          </cell>
          <cell r="U144">
            <v>3366</v>
          </cell>
          <cell r="V144">
            <v>3447</v>
          </cell>
          <cell r="W144">
            <v>3447</v>
          </cell>
          <cell r="X144">
            <v>3447</v>
          </cell>
          <cell r="Y144">
            <v>3447</v>
          </cell>
        </row>
        <row r="145">
          <cell r="B145" t="str">
            <v>Minorities</v>
          </cell>
          <cell r="M145">
            <v>1889</v>
          </cell>
          <cell r="N145">
            <v>1437</v>
          </cell>
          <cell r="O145">
            <v>1038</v>
          </cell>
          <cell r="P145">
            <v>701</v>
          </cell>
          <cell r="Q145">
            <v>624</v>
          </cell>
          <cell r="R145">
            <v>732</v>
          </cell>
          <cell r="S145">
            <v>674</v>
          </cell>
          <cell r="T145">
            <v>673</v>
          </cell>
          <cell r="U145">
            <v>747</v>
          </cell>
          <cell r="V145">
            <v>814</v>
          </cell>
          <cell r="W145">
            <v>889</v>
          </cell>
          <cell r="X145">
            <v>989</v>
          </cell>
          <cell r="Y145">
            <v>1139</v>
          </cell>
        </row>
        <row r="146">
          <cell r="B146" t="str">
            <v>Core Equity Value</v>
          </cell>
          <cell r="M146">
            <v>5144.4243205465755</v>
          </cell>
          <cell r="N146">
            <v>7770.6892735231449</v>
          </cell>
          <cell r="O146">
            <v>10897.058466060229</v>
          </cell>
          <cell r="P146">
            <v>10680.391556885714</v>
          </cell>
          <cell r="Q146">
            <v>1148.841815946209</v>
          </cell>
          <cell r="R146">
            <v>7297.004371045432</v>
          </cell>
          <cell r="S146">
            <v>10716.69410794145</v>
          </cell>
          <cell r="T146">
            <v>15196.464374203293</v>
          </cell>
          <cell r="U146">
            <v>9387.4227474422078</v>
          </cell>
          <cell r="V146">
            <v>7680.7975033971779</v>
          </cell>
          <cell r="W146">
            <v>9882.1065963142864</v>
          </cell>
          <cell r="X146">
            <v>21268.925315693268</v>
          </cell>
          <cell r="Y146">
            <v>33819.110677538156</v>
          </cell>
        </row>
        <row r="147">
          <cell r="B147" t="str">
            <v>Per Share</v>
          </cell>
          <cell r="M147">
            <v>11.05574124560729</v>
          </cell>
          <cell r="N147">
            <v>16.247477767377639</v>
          </cell>
          <cell r="O147">
            <v>19.831033886514771</v>
          </cell>
          <cell r="P147">
            <v>11.340155199568695</v>
          </cell>
          <cell r="Q147">
            <v>1.2547092551185963</v>
          </cell>
          <cell r="R147">
            <v>6.9631267161073094</v>
          </cell>
          <cell r="S147">
            <v>8.6059188957956909</v>
          </cell>
          <cell r="T147">
            <v>12.270607011030043</v>
          </cell>
          <cell r="U147">
            <v>7.9109926606767216</v>
          </cell>
          <cell r="V147">
            <v>6.602520035899019</v>
          </cell>
          <cell r="W147">
            <v>8.3533171499370358</v>
          </cell>
          <cell r="X147">
            <v>17.978563261660668</v>
          </cell>
          <cell r="Y147">
            <v>28.587199952251321</v>
          </cell>
        </row>
        <row r="149">
          <cell r="B149" t="str">
            <v>Equity Stakes at DDM</v>
          </cell>
        </row>
        <row r="150">
          <cell r="B150" t="str">
            <v>Total</v>
          </cell>
          <cell r="M150">
            <v>0</v>
          </cell>
          <cell r="N150">
            <v>0</v>
          </cell>
          <cell r="O150">
            <v>0</v>
          </cell>
          <cell r="P150">
            <v>0</v>
          </cell>
          <cell r="Q150">
            <v>1157.1428571428571</v>
          </cell>
          <cell r="R150">
            <v>291.42857142857144</v>
          </cell>
          <cell r="S150">
            <v>1337.1428571428571</v>
          </cell>
          <cell r="T150">
            <v>1585.7142857142858</v>
          </cell>
          <cell r="U150">
            <v>1388.5714285714287</v>
          </cell>
          <cell r="V150">
            <v>2381.0119047619046</v>
          </cell>
          <cell r="W150">
            <v>3649.583333333333</v>
          </cell>
          <cell r="X150">
            <v>3863.8690476190473</v>
          </cell>
          <cell r="Y150">
            <v>4292.4404761904761</v>
          </cell>
        </row>
        <row r="151">
          <cell r="B151" t="str">
            <v>Per Share</v>
          </cell>
          <cell r="M151">
            <v>0</v>
          </cell>
          <cell r="N151">
            <v>0</v>
          </cell>
          <cell r="O151">
            <v>0</v>
          </cell>
          <cell r="P151">
            <v>0</v>
          </cell>
          <cell r="Q151">
            <v>1.1820288456523174</v>
          </cell>
          <cell r="R151">
            <v>0.27380073265854876</v>
          </cell>
          <cell r="S151">
            <v>1.051848016052819</v>
          </cell>
          <cell r="T151">
            <v>1.2561307100193966</v>
          </cell>
          <cell r="U151">
            <v>1.1199240479493409</v>
          </cell>
          <cell r="V151">
            <v>1.9250082503791015</v>
          </cell>
          <cell r="W151">
            <v>2.9475297407628598</v>
          </cell>
          <cell r="X151">
            <v>3.1205942958612285</v>
          </cell>
          <cell r="Y151">
            <v>3.4667234060579668</v>
          </cell>
        </row>
        <row r="153">
          <cell r="B153" t="str">
            <v>Equity Value</v>
          </cell>
          <cell r="M153">
            <v>5144.4243205465755</v>
          </cell>
          <cell r="N153">
            <v>7770.6892735231449</v>
          </cell>
          <cell r="O153">
            <v>10897.058466060229</v>
          </cell>
          <cell r="P153">
            <v>10680.391556885714</v>
          </cell>
          <cell r="Q153">
            <v>2305.9846730890658</v>
          </cell>
          <cell r="R153">
            <v>7588.4329424740035</v>
          </cell>
          <cell r="S153">
            <v>12053.836965084307</v>
          </cell>
          <cell r="T153">
            <v>16782.178659917579</v>
          </cell>
          <cell r="U153">
            <v>10775.994176013637</v>
          </cell>
          <cell r="V153">
            <v>10061.809408159083</v>
          </cell>
          <cell r="W153">
            <v>13531.689929647619</v>
          </cell>
          <cell r="X153">
            <v>25132.794363312314</v>
          </cell>
          <cell r="Y153">
            <v>38111.551153728629</v>
          </cell>
        </row>
        <row r="154">
          <cell r="B154" t="str">
            <v>NOSH</v>
          </cell>
          <cell r="M154">
            <v>465.31699740988222</v>
          </cell>
          <cell r="N154">
            <v>478.27049741378676</v>
          </cell>
          <cell r="O154">
            <v>549.4952269468057</v>
          </cell>
          <cell r="P154">
            <v>941.82058084107393</v>
          </cell>
          <cell r="Q154">
            <v>915.62392742342479</v>
          </cell>
          <cell r="R154">
            <v>1047.9493866118776</v>
          </cell>
          <cell r="S154">
            <v>1245.2701725061518</v>
          </cell>
          <cell r="T154">
            <v>1238.4443866993049</v>
          </cell>
          <cell r="U154">
            <v>1186.6301929597782</v>
          </cell>
          <cell r="V154">
            <v>1163.3130170958032</v>
          </cell>
          <cell r="W154">
            <v>1183.0158509411765</v>
          </cell>
          <cell r="X154">
            <v>1183.0158509411765</v>
          </cell>
          <cell r="Y154">
            <v>1183.0158509411765</v>
          </cell>
        </row>
        <row r="155">
          <cell r="B155" t="str">
            <v>Value per share</v>
          </cell>
          <cell r="M155">
            <v>11.05574124560729</v>
          </cell>
          <cell r="N155">
            <v>16.247477767377639</v>
          </cell>
          <cell r="O155">
            <v>19.831033886514771</v>
          </cell>
          <cell r="P155">
            <v>11.340155199568695</v>
          </cell>
          <cell r="Q155">
            <v>2.5184845044167101</v>
          </cell>
          <cell r="R155">
            <v>7.2412208446518074</v>
          </cell>
          <cell r="S155">
            <v>9.6796962066677619</v>
          </cell>
          <cell r="T155">
            <v>13.551015160757721</v>
          </cell>
          <cell r="U155">
            <v>9.0811730899374634</v>
          </cell>
          <cell r="V155">
            <v>8.6492708843560155</v>
          </cell>
          <cell r="W155">
            <v>11.438299764861274</v>
          </cell>
          <cell r="X155">
            <v>21.244680993341991</v>
          </cell>
          <cell r="Y155">
            <v>32.215587917446818</v>
          </cell>
        </row>
        <row r="156">
          <cell r="B156" t="str">
            <v>Share Price</v>
          </cell>
          <cell r="W156">
            <v>12.75</v>
          </cell>
          <cell r="X156">
            <v>12.75</v>
          </cell>
          <cell r="Y156">
            <v>12.75</v>
          </cell>
        </row>
        <row r="157">
          <cell r="B157" t="str">
            <v>Upside(Downside)</v>
          </cell>
          <cell r="W157">
            <v>-0.1028784498148021</v>
          </cell>
          <cell r="X157">
            <v>0.66624948967388153</v>
          </cell>
          <cell r="Y157">
            <v>1.526712777838966</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v>2006</v>
          </cell>
        </row>
      </sheetData>
      <sheetData sheetId="21" refreshError="1"/>
      <sheetData sheetId="22" refreshError="1"/>
      <sheetData sheetId="23" refreshError="1"/>
      <sheetData sheetId="2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VOLVb.ST"/>
      <sheetName val="Sales splits"/>
      <sheetName val="VOLVb.ST_Live_Sheet"/>
      <sheetName val="VOLVb.ST_Validation_Sheet"/>
      <sheetName val="VOLVb.ST_Annotation_Sheet"/>
      <sheetName val="VOLVb.ST_Exchange_Sheet"/>
      <sheetName val="Sheet5"/>
      <sheetName val="Sheet4"/>
      <sheetName val="MigrationOutput_QP_VOLVb.ST"/>
      <sheetName val="QP_VOLVb.ST_migrated"/>
      <sheetName val="TSR"/>
      <sheetName val="Summary"/>
      <sheetName val="Historic"/>
      <sheetName val="Model"/>
      <sheetName val="Mid cycle"/>
      <sheetName val="LINKS"/>
      <sheetName val="EPS changes"/>
      <sheetName val="ROIC_NEW"/>
      <sheetName val="10 year val."/>
      <sheetName val="Q out"/>
      <sheetName val="fx"/>
      <sheetName val="Dongfeng"/>
      <sheetName val="CROCI"/>
      <sheetName val="Charts"/>
      <sheetName val="ROIC charts"/>
      <sheetName val="summary (landscape)"/>
      <sheetName val="EBIT_VAL"/>
      <sheetName val="SOTP"/>
      <sheetName val="SME"/>
      <sheetName val="debt"/>
      <sheetName val="GSvsCons"/>
      <sheetName val="Trucks"/>
      <sheetName val="CE"/>
      <sheetName val="OpMod"/>
      <sheetName val="Interims"/>
      <sheetName val="Interim Summary"/>
      <sheetName val="Datadump"/>
      <sheetName val="Sheet2 (2)"/>
      <sheetName val="Mid cycle and Peak analysis"/>
      <sheetName val="Sheet1 (2)"/>
      <sheetName val="Sheet1"/>
      <sheetName val="VCE"/>
      <sheetName val="Revenue"/>
      <sheetName val="Nat Gas"/>
    </sheetNames>
    <sheetDataSet>
      <sheetData sheetId="0"/>
      <sheetData sheetId="1"/>
      <sheetData sheetId="2">
        <row r="1">
          <cell r="A1" t="str">
            <v>Issuer: Volvo</v>
          </cell>
        </row>
      </sheetData>
      <sheetData sheetId="3">
        <row r="1">
          <cell r="A1" t="str">
            <v>8258372f-6f94-4884-8fde-236e898276a2</v>
          </cell>
        </row>
      </sheetData>
      <sheetData sheetId="4">
        <row r="1">
          <cell r="A1" t="str">
            <v>Issuer: Volvo</v>
          </cell>
        </row>
      </sheetData>
      <sheetData sheetId="5">
        <row r="1">
          <cell r="A1" t="str">
            <v>Issuer: Volvo</v>
          </cell>
        </row>
      </sheetData>
      <sheetData sheetId="6"/>
      <sheetData sheetId="7"/>
      <sheetData sheetId="8"/>
      <sheetData sheetId="9"/>
      <sheetData sheetId="10">
        <row r="27">
          <cell r="E27">
            <v>3</v>
          </cell>
        </row>
      </sheetData>
      <sheetData sheetId="11">
        <row r="155">
          <cell r="O155">
            <v>5.9312418667723801</v>
          </cell>
        </row>
      </sheetData>
      <sheetData sheetId="12"/>
      <sheetData sheetId="13">
        <row r="56">
          <cell r="U56">
            <v>2026.27979</v>
          </cell>
        </row>
      </sheetData>
      <sheetData sheetId="14"/>
      <sheetData sheetId="15">
        <row r="3">
          <cell r="S3">
            <v>341950.66988100635</v>
          </cell>
        </row>
      </sheetData>
      <sheetData sheetId="16"/>
      <sheetData sheetId="17">
        <row r="8">
          <cell r="C8">
            <v>59415</v>
          </cell>
        </row>
      </sheetData>
      <sheetData sheetId="18">
        <row r="12">
          <cell r="AC12">
            <v>1.8552359055137971E-2</v>
          </cell>
        </row>
      </sheetData>
      <sheetData sheetId="19">
        <row r="1">
          <cell r="A1" t="str">
            <v>Q1 2014 RESULTS</v>
          </cell>
          <cell r="D1" t="str">
            <v>GS</v>
          </cell>
          <cell r="E1" t="str">
            <v>Cons.</v>
          </cell>
        </row>
        <row r="2">
          <cell r="A2" t="str">
            <v>SEK mn</v>
          </cell>
          <cell r="B2" t="str">
            <v>Q2'17A</v>
          </cell>
          <cell r="C2" t="str">
            <v>Q2'18A</v>
          </cell>
          <cell r="D2" t="str">
            <v>Q2'18E</v>
          </cell>
          <cell r="E2" t="str">
            <v>Q2'18E</v>
          </cell>
        </row>
        <row r="4">
          <cell r="A4" t="str">
            <v>Group revenues</v>
          </cell>
          <cell r="B4">
            <v>88409</v>
          </cell>
          <cell r="C4">
            <v>72756</v>
          </cell>
          <cell r="D4">
            <v>95867.016325645978</v>
          </cell>
          <cell r="E4">
            <v>95915</v>
          </cell>
        </row>
        <row r="5">
          <cell r="A5" t="str">
            <v>Trucks</v>
          </cell>
          <cell r="B5">
            <v>56366</v>
          </cell>
          <cell r="C5">
            <v>46234</v>
          </cell>
          <cell r="D5">
            <v>61642.357380740825</v>
          </cell>
          <cell r="E5">
            <v>61664</v>
          </cell>
        </row>
        <row r="6">
          <cell r="A6" t="str">
            <v>Construction Equipment</v>
          </cell>
          <cell r="B6">
            <v>18511</v>
          </cell>
          <cell r="C6">
            <v>16019</v>
          </cell>
          <cell r="D6">
            <v>20228.798944905149</v>
          </cell>
          <cell r="E6">
            <v>20434</v>
          </cell>
        </row>
        <row r="7">
          <cell r="A7" t="str">
            <v>Buses</v>
          </cell>
          <cell r="B7">
            <v>6971</v>
          </cell>
          <cell r="C7">
            <v>4008</v>
          </cell>
          <cell r="D7">
            <v>7180.13</v>
          </cell>
          <cell r="E7">
            <v>7043</v>
          </cell>
        </row>
        <row r="8">
          <cell r="A8" t="str">
            <v>Volvo Penta</v>
          </cell>
          <cell r="B8">
            <v>3081</v>
          </cell>
          <cell r="C8">
            <v>2159</v>
          </cell>
          <cell r="D8">
            <v>3173.4300000000003</v>
          </cell>
          <cell r="E8">
            <v>3209</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75">
          <cell r="AA75">
            <v>14643.187924669281</v>
          </cell>
        </row>
      </sheetData>
      <sheetData sheetId="34"/>
      <sheetData sheetId="35"/>
      <sheetData sheetId="36"/>
      <sheetData sheetId="37"/>
      <sheetData sheetId="38"/>
      <sheetData sheetId="39"/>
      <sheetData sheetId="40"/>
      <sheetData sheetId="41"/>
      <sheetData sheetId="42" refreshError="1"/>
      <sheetData sheetId="4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ld Model ---&gt;"/>
      <sheetName val="Data"/>
      <sheetName val="Val"/>
      <sheetName val="CROCI"/>
      <sheetName val="FinancialsDP"/>
      <sheetName val="InterimsDP"/>
      <sheetName val="Airbus"/>
      <sheetName val="Airbus MilitaryDP"/>
      <sheetName val="EC"/>
      <sheetName val="CassidianDP"/>
      <sheetName val="Space"/>
      <sheetName val="HQ &amp; Other"/>
      <sheetName val="FX cover"/>
      <sheetName val="R4"/>
      <sheetName val="Val table"/>
      <sheetName val="Pres table"/>
      <sheetName val="IRC Apr 12"/>
      <sheetName val="Airbus margins graph"/>
      <sheetName val="Z2 (GS)"/>
      <sheetName val="Z3 (GS)"/>
      <sheetName val="R1"/>
      <sheetName val="R2-bridge"/>
      <sheetName val="Structure"/>
      <sheetName val="Overruns"/>
      <sheetName val="Asset val"/>
      <sheetName val="DCF old"/>
      <sheetName val="Rev. SOTP - old"/>
      <sheetName val="Basic rev SOTP -old"/>
      <sheetName val="Ch1"/>
      <sheetName val="Ch2"/>
      <sheetName val="Org Growth"/>
      <sheetName val="CF &amp; BS table"/>
      <sheetName val="VF chart"/>
      <sheetName val="Tanker"/>
      <sheetName val="P1 -FX vs vol"/>
      <sheetName val="P2-shareholders"/>
      <sheetName val="P3 - FX hedge book"/>
      <sheetName val="P4-effic."/>
      <sheetName val="P5-A380"/>
      <sheetName val="P7-delivs"/>
      <sheetName val="P10 -Power 8 cash"/>
      <sheetName val="Sheet1 (2)"/>
      <sheetName val="Sheet1"/>
      <sheetName val="Sheet2"/>
      <sheetName val="Sheet3"/>
    </sheetNames>
    <sheetDataSet>
      <sheetData sheetId="0" refreshError="1"/>
      <sheetData sheetId="1">
        <row r="6">
          <cell r="B6">
            <v>1997</v>
          </cell>
        </row>
      </sheetData>
      <sheetData sheetId="2">
        <row r="6">
          <cell r="C6" t="str">
            <v>2000pf</v>
          </cell>
        </row>
      </sheetData>
      <sheetData sheetId="3">
        <row r="10">
          <cell r="C10">
            <v>12540</v>
          </cell>
        </row>
      </sheetData>
      <sheetData sheetId="4">
        <row r="2">
          <cell r="A2" t="str">
            <v>EADS (€)</v>
          </cell>
        </row>
      </sheetData>
      <sheetData sheetId="5"/>
      <sheetData sheetId="6">
        <row r="2">
          <cell r="C2">
            <v>1997</v>
          </cell>
        </row>
      </sheetData>
      <sheetData sheetId="7"/>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ow r="7">
          <cell r="B7" t="str">
            <v>Goldman earnings analysis</v>
          </cell>
          <cell r="C7">
            <v>2001</v>
          </cell>
          <cell r="D7">
            <v>2002</v>
          </cell>
          <cell r="E7">
            <v>2003</v>
          </cell>
          <cell r="F7">
            <v>2004</v>
          </cell>
          <cell r="G7" t="str">
            <v>2004pf</v>
          </cell>
          <cell r="H7">
            <v>2005</v>
          </cell>
          <cell r="I7">
            <v>2006</v>
          </cell>
          <cell r="J7">
            <v>2007</v>
          </cell>
          <cell r="K7">
            <v>2008</v>
          </cell>
          <cell r="L7">
            <v>2009</v>
          </cell>
          <cell r="M7">
            <v>2010</v>
          </cell>
          <cell r="N7">
            <v>2011</v>
          </cell>
          <cell r="O7" t="str">
            <v>2012E</v>
          </cell>
          <cell r="P7" t="str">
            <v>2013E</v>
          </cell>
          <cell r="Q7" t="str">
            <v>2014E</v>
          </cell>
          <cell r="R7" t="str">
            <v>2015E</v>
          </cell>
        </row>
        <row r="8">
          <cell r="B8"/>
          <cell r="C8"/>
          <cell r="D8"/>
          <cell r="E8"/>
          <cell r="F8"/>
          <cell r="G8"/>
          <cell r="H8"/>
          <cell r="I8"/>
          <cell r="J8"/>
          <cell r="K8"/>
          <cell r="L8"/>
          <cell r="M8"/>
          <cell r="N8"/>
          <cell r="O8"/>
          <cell r="P8"/>
          <cell r="Q8"/>
          <cell r="R8"/>
        </row>
        <row r="9">
          <cell r="B9"/>
          <cell r="C9"/>
          <cell r="D9"/>
          <cell r="E9"/>
          <cell r="F9"/>
          <cell r="G9"/>
          <cell r="H9"/>
          <cell r="I9"/>
          <cell r="J9"/>
          <cell r="K9"/>
          <cell r="L9"/>
          <cell r="M9"/>
          <cell r="N9"/>
          <cell r="O9"/>
          <cell r="P9"/>
          <cell r="Q9"/>
          <cell r="R9"/>
        </row>
        <row r="10">
          <cell r="B10" t="str">
            <v>Goldman calculation of Adjusted EPS</v>
          </cell>
          <cell r="C10">
            <v>2001</v>
          </cell>
          <cell r="D10">
            <v>2002</v>
          </cell>
          <cell r="E10">
            <v>2003</v>
          </cell>
          <cell r="F10">
            <v>2004</v>
          </cell>
          <cell r="G10" t="str">
            <v>2004pf</v>
          </cell>
          <cell r="H10">
            <v>2005</v>
          </cell>
          <cell r="I10">
            <v>2006</v>
          </cell>
          <cell r="J10">
            <v>2007</v>
          </cell>
          <cell r="K10">
            <v>2008</v>
          </cell>
          <cell r="L10">
            <v>2009</v>
          </cell>
          <cell r="M10">
            <v>2010</v>
          </cell>
          <cell r="N10">
            <v>2011</v>
          </cell>
          <cell r="O10" t="str">
            <v>2012E</v>
          </cell>
          <cell r="P10" t="str">
            <v>2013E</v>
          </cell>
          <cell r="Q10" t="str">
            <v>2014E</v>
          </cell>
          <cell r="R10" t="str">
            <v>2015E</v>
          </cell>
        </row>
        <row r="11">
          <cell r="B11"/>
          <cell r="C11"/>
          <cell r="D11"/>
          <cell r="E11"/>
          <cell r="F11"/>
          <cell r="G11"/>
          <cell r="H11"/>
          <cell r="I11"/>
          <cell r="J11"/>
          <cell r="K11"/>
          <cell r="L11"/>
          <cell r="M11"/>
          <cell r="N11"/>
          <cell r="O11"/>
          <cell r="P11"/>
          <cell r="Q11"/>
          <cell r="R11"/>
        </row>
        <row r="12">
          <cell r="B12" t="str">
            <v>EADS defined underlying PTP (pre-one-offs from 2010)</v>
          </cell>
          <cell r="C12">
            <v>1523</v>
          </cell>
          <cell r="D12">
            <v>1366</v>
          </cell>
          <cell r="E12">
            <v>1488</v>
          </cell>
          <cell r="F12">
            <v>2114</v>
          </cell>
          <cell r="G12">
            <v>2102</v>
          </cell>
          <cell r="H12">
            <v>2675</v>
          </cell>
          <cell r="I12">
            <v>155</v>
          </cell>
          <cell r="J12">
            <v>-685</v>
          </cell>
          <cell r="K12">
            <v>2358</v>
          </cell>
          <cell r="L12">
            <v>-914</v>
          </cell>
          <cell r="M12">
            <v>932</v>
          </cell>
          <cell r="N12">
            <v>1515</v>
          </cell>
          <cell r="O12">
            <v>2415.6864956953827</v>
          </cell>
          <cell r="P12">
            <v>3146.9503652116755</v>
          </cell>
          <cell r="Q12">
            <v>4024.561234948038</v>
          </cell>
          <cell r="R12">
            <v>4752.9795385256548</v>
          </cell>
        </row>
        <row r="13">
          <cell r="B13" t="str">
            <v>Deduct capital gains included in EBITA</v>
          </cell>
          <cell r="C13">
            <v>0</v>
          </cell>
          <cell r="D13">
            <v>-63</v>
          </cell>
          <cell r="E13">
            <v>0</v>
          </cell>
          <cell r="F13">
            <v>0</v>
          </cell>
          <cell r="G13">
            <v>0</v>
          </cell>
          <cell r="H13">
            <v>0</v>
          </cell>
          <cell r="I13">
            <v>-127</v>
          </cell>
          <cell r="J13">
            <v>-111</v>
          </cell>
          <cell r="K13">
            <v>0</v>
          </cell>
          <cell r="L13">
            <v>-33</v>
          </cell>
          <cell r="M13">
            <v>0</v>
          </cell>
          <cell r="N13">
            <v>0</v>
          </cell>
          <cell r="O13">
            <v>0</v>
          </cell>
          <cell r="P13">
            <v>0</v>
          </cell>
          <cell r="Q13">
            <v>0</v>
          </cell>
          <cell r="R13">
            <v>0</v>
          </cell>
        </row>
        <row r="14">
          <cell r="B14" t="str">
            <v>Adjust for net capitalised R&amp;D</v>
          </cell>
          <cell r="C14">
            <v>0</v>
          </cell>
          <cell r="D14">
            <v>0</v>
          </cell>
          <cell r="E14">
            <v>-4</v>
          </cell>
          <cell r="F14">
            <v>-165</v>
          </cell>
          <cell r="G14">
            <v>-165</v>
          </cell>
          <cell r="H14">
            <v>-291</v>
          </cell>
          <cell r="I14">
            <v>-404</v>
          </cell>
          <cell r="J14">
            <v>-47</v>
          </cell>
          <cell r="K14">
            <v>-31</v>
          </cell>
          <cell r="L14">
            <v>93</v>
          </cell>
          <cell r="M14">
            <v>-111</v>
          </cell>
          <cell r="N14">
            <v>19</v>
          </cell>
          <cell r="O14">
            <v>-419.45</v>
          </cell>
          <cell r="P14">
            <v>-304.45</v>
          </cell>
          <cell r="Q14">
            <v>-289.45</v>
          </cell>
          <cell r="R14">
            <v>-176.95</v>
          </cell>
        </row>
        <row r="15">
          <cell r="B15" t="str">
            <v>Goldman defined Clean PTP</v>
          </cell>
          <cell r="C15">
            <v>1523</v>
          </cell>
          <cell r="D15">
            <v>1303</v>
          </cell>
          <cell r="E15">
            <v>1484</v>
          </cell>
          <cell r="F15">
            <v>1949</v>
          </cell>
          <cell r="G15">
            <v>1937</v>
          </cell>
          <cell r="H15">
            <v>2384</v>
          </cell>
          <cell r="I15">
            <v>-376</v>
          </cell>
          <cell r="J15">
            <v>-843</v>
          </cell>
          <cell r="K15">
            <v>2327</v>
          </cell>
          <cell r="L15">
            <v>-854</v>
          </cell>
          <cell r="M15">
            <v>738</v>
          </cell>
          <cell r="N15">
            <v>1127</v>
          </cell>
          <cell r="O15">
            <v>856.2364956953827</v>
          </cell>
          <cell r="P15">
            <v>1792.5003652116754</v>
          </cell>
          <cell r="Q15">
            <v>2835.1112349480381</v>
          </cell>
          <cell r="R15">
            <v>4376.029538525655</v>
          </cell>
        </row>
        <row r="16">
          <cell r="B16" t="str">
            <v>Underlying tax rate (as per EADS)</v>
          </cell>
          <cell r="C16">
            <v>-0.54366382140512148</v>
          </cell>
          <cell r="D16">
            <v>-0.39604685212298685</v>
          </cell>
          <cell r="E16">
            <v>-0.37432795698924731</v>
          </cell>
          <cell r="F16">
            <v>-0.35099337748344372</v>
          </cell>
          <cell r="G16">
            <v>-0.35299714557564227</v>
          </cell>
          <cell r="H16">
            <v>-0.32598130841121498</v>
          </cell>
          <cell r="I16">
            <v>0.38709677419354838</v>
          </cell>
          <cell r="J16">
            <v>-0.381021897810219</v>
          </cell>
          <cell r="K16">
            <v>-0.30534351145038169</v>
          </cell>
          <cell r="L16">
            <v>-0.22210065645514224</v>
          </cell>
          <cell r="M16">
            <v>-0.29721030042918456</v>
          </cell>
          <cell r="N16">
            <v>-0.25346534653465347</v>
          </cell>
          <cell r="O16">
            <v>-0.30499999999999994</v>
          </cell>
          <cell r="P16">
            <v>-0.30499999999999999</v>
          </cell>
          <cell r="Q16">
            <v>-0.30499999999999999</v>
          </cell>
          <cell r="R16">
            <v>-0.30499999999999999</v>
          </cell>
        </row>
        <row r="17">
          <cell r="B17" t="str">
            <v>Less Goldman defined tax</v>
          </cell>
          <cell r="C17">
            <v>-828</v>
          </cell>
          <cell r="D17">
            <v>-516.04904831625186</v>
          </cell>
          <cell r="E17">
            <v>-555.50268817204301</v>
          </cell>
          <cell r="F17">
            <v>-684.08609271523187</v>
          </cell>
          <cell r="G17">
            <v>-683.75547098001903</v>
          </cell>
          <cell r="H17">
            <v>-777.1394392523365</v>
          </cell>
          <cell r="I17">
            <v>-145.54838709677418</v>
          </cell>
          <cell r="J17">
            <v>321.20145985401462</v>
          </cell>
          <cell r="K17">
            <v>-710.53435114503816</v>
          </cell>
          <cell r="L17">
            <v>189.67396061269147</v>
          </cell>
          <cell r="M17">
            <v>-219.3412017167382</v>
          </cell>
          <cell r="N17">
            <v>-285.65544554455448</v>
          </cell>
          <cell r="O17">
            <v>-261.1521311870917</v>
          </cell>
          <cell r="P17">
            <v>-546.71261138956095</v>
          </cell>
          <cell r="Q17">
            <v>-864.70892665915164</v>
          </cell>
          <cell r="R17">
            <v>-1334.6890092503247</v>
          </cell>
        </row>
        <row r="18">
          <cell r="B18" t="str">
            <v>Goldman adjusted Minority charge</v>
          </cell>
          <cell r="C18">
            <v>-137.0676296782666</v>
          </cell>
          <cell r="D18">
            <v>-119.19253294289896</v>
          </cell>
          <cell r="E18">
            <v>-125.12580645161292</v>
          </cell>
          <cell r="F18">
            <v>-204.26490066225165</v>
          </cell>
          <cell r="G18">
            <v>-203.30161750713603</v>
          </cell>
          <cell r="H18">
            <v>-305.76433644859816</v>
          </cell>
          <cell r="I18">
            <v>140.04838709677421</v>
          </cell>
          <cell r="J18">
            <v>-9</v>
          </cell>
          <cell r="K18">
            <v>-25</v>
          </cell>
          <cell r="L18">
            <v>-11</v>
          </cell>
          <cell r="M18">
            <v>-19</v>
          </cell>
          <cell r="N18">
            <v>-4</v>
          </cell>
          <cell r="O18">
            <v>-10</v>
          </cell>
          <cell r="P18">
            <v>-10.700000000000001</v>
          </cell>
          <cell r="Q18">
            <v>-11.449000000000002</v>
          </cell>
          <cell r="R18">
            <v>-12.250430000000003</v>
          </cell>
        </row>
        <row r="19">
          <cell r="B19" t="str">
            <v>Goldman defined Clean Net Income</v>
          </cell>
          <cell r="C19">
            <v>557.9323703217334</v>
          </cell>
          <cell r="D19">
            <v>667.75841874084915</v>
          </cell>
          <cell r="E19">
            <v>803.37150537634409</v>
          </cell>
          <cell r="F19">
            <v>1060.6490066225165</v>
          </cell>
          <cell r="G19">
            <v>1049.9429115128451</v>
          </cell>
          <cell r="H19">
            <v>1301.0962242990652</v>
          </cell>
          <cell r="I19">
            <v>-381.49999999999994</v>
          </cell>
          <cell r="J19">
            <v>-530.79854014598538</v>
          </cell>
          <cell r="K19">
            <v>1591.4656488549617</v>
          </cell>
          <cell r="L19">
            <v>-675.32603938730858</v>
          </cell>
          <cell r="M19">
            <v>499.65879828326183</v>
          </cell>
          <cell r="N19">
            <v>837.34455445544552</v>
          </cell>
          <cell r="O19">
            <v>585.08436450829095</v>
          </cell>
          <cell r="P19">
            <v>1235.0877538221146</v>
          </cell>
          <cell r="Q19">
            <v>1958.9533082888865</v>
          </cell>
          <cell r="R19">
            <v>3029.0900992753304</v>
          </cell>
        </row>
        <row r="20">
          <cell r="B20" t="str">
            <v>Goldman defined Clean EPS (€)</v>
          </cell>
          <cell r="C20">
            <v>0.69111262033549092</v>
          </cell>
          <cell r="D20">
            <v>0.83042445159205591</v>
          </cell>
          <cell r="E20">
            <v>1.003014525594188</v>
          </cell>
          <cell r="F20">
            <v>1.3240981483693988</v>
          </cell>
          <cell r="G20">
            <v>1.3107328214587333</v>
          </cell>
          <cell r="H20">
            <v>1.6371463459810063</v>
          </cell>
          <cell r="I20">
            <v>-0.47676465043783284</v>
          </cell>
          <cell r="J20">
            <v>-0.66091381957051831</v>
          </cell>
          <cell r="K20">
            <v>1.9721281982659689</v>
          </cell>
          <cell r="L20">
            <v>-0.8340461667241087</v>
          </cell>
          <cell r="M20">
            <v>0.61633514702316039</v>
          </cell>
          <cell r="N20">
            <v>1.0305686691335199</v>
          </cell>
          <cell r="O20">
            <v>0.71613753305788364</v>
          </cell>
          <cell r="P20">
            <v>1.5098374492739701</v>
          </cell>
          <cell r="Q20">
            <v>2.3947294895287947</v>
          </cell>
          <cell r="R20">
            <v>3.7029220433591945</v>
          </cell>
        </row>
        <row r="21">
          <cell r="B21" t="str">
            <v>Goldman defined Clean EPS  as a % of EADS defined underlying EPS</v>
          </cell>
          <cell r="C21">
            <v>0.68965682363625891</v>
          </cell>
          <cell r="D21">
            <v>0.9594230154322545</v>
          </cell>
          <cell r="E21">
            <v>1.0446963658990169</v>
          </cell>
          <cell r="F21">
            <v>0.92070226269315669</v>
          </cell>
          <cell r="G21">
            <v>0.78237176714817069</v>
          </cell>
          <cell r="H21">
            <v>0.73549814827533366</v>
          </cell>
          <cell r="I21" t="str">
            <v>n/a</v>
          </cell>
          <cell r="J21" t="str">
            <v>n/a</v>
          </cell>
          <cell r="K21">
            <v>0.98664950331987711</v>
          </cell>
          <cell r="L21">
            <v>0.93535462519017798</v>
          </cell>
          <cell r="M21">
            <v>0.78562704132588346</v>
          </cell>
          <cell r="N21">
            <v>0.74298540768007593</v>
          </cell>
          <cell r="O21">
            <v>0.35058039619098597</v>
          </cell>
          <cell r="P21">
            <v>0.56748320318665291</v>
          </cell>
          <cell r="Q21">
            <v>0.70323754283082773</v>
          </cell>
          <cell r="R21">
            <v>0.92039664236965157</v>
          </cell>
        </row>
        <row r="22">
          <cell r="B22"/>
          <cell r="C22"/>
          <cell r="D22"/>
          <cell r="E22"/>
          <cell r="F22"/>
          <cell r="G22"/>
          <cell r="H22"/>
          <cell r="I22"/>
          <cell r="J22"/>
          <cell r="K22"/>
          <cell r="L22"/>
          <cell r="M22"/>
          <cell r="N22"/>
          <cell r="O22"/>
          <cell r="P22"/>
          <cell r="Q22"/>
          <cell r="R22"/>
        </row>
        <row r="23">
          <cell r="B23" t="str">
            <v>Goldman calculation of Economic EBITA and NOPLAT</v>
          </cell>
          <cell r="C23">
            <v>2001</v>
          </cell>
          <cell r="D23">
            <v>2002</v>
          </cell>
          <cell r="E23">
            <v>2003</v>
          </cell>
          <cell r="F23">
            <v>2004</v>
          </cell>
          <cell r="G23" t="str">
            <v>2004pf</v>
          </cell>
          <cell r="H23">
            <v>2005</v>
          </cell>
          <cell r="I23">
            <v>2006</v>
          </cell>
          <cell r="J23">
            <v>2007</v>
          </cell>
          <cell r="K23">
            <v>2008</v>
          </cell>
          <cell r="L23">
            <v>2009</v>
          </cell>
          <cell r="M23">
            <v>2010</v>
          </cell>
          <cell r="N23">
            <v>2011</v>
          </cell>
          <cell r="O23" t="str">
            <v>2012E</v>
          </cell>
          <cell r="P23" t="str">
            <v>2013E</v>
          </cell>
          <cell r="Q23" t="str">
            <v>2014E</v>
          </cell>
          <cell r="R23" t="str">
            <v>2015E</v>
          </cell>
        </row>
        <row r="24">
          <cell r="B24"/>
          <cell r="C24"/>
          <cell r="D24"/>
          <cell r="E24"/>
          <cell r="F24"/>
          <cell r="G24"/>
          <cell r="H24"/>
          <cell r="I24"/>
          <cell r="J24"/>
          <cell r="K24"/>
          <cell r="L24"/>
          <cell r="M24"/>
          <cell r="N24"/>
          <cell r="O24"/>
          <cell r="P24"/>
          <cell r="Q24"/>
          <cell r="R24"/>
        </row>
        <row r="25">
          <cell r="B25" t="str">
            <v>EADS defined underlying EBITA (group level)</v>
          </cell>
          <cell r="C25">
            <v>1694</v>
          </cell>
          <cell r="D25">
            <v>1426</v>
          </cell>
          <cell r="E25">
            <v>1543</v>
          </cell>
          <cell r="F25">
            <v>2444</v>
          </cell>
          <cell r="G25">
            <v>2432</v>
          </cell>
          <cell r="H25">
            <v>2852</v>
          </cell>
          <cell r="I25">
            <v>399</v>
          </cell>
          <cell r="J25">
            <v>52</v>
          </cell>
          <cell r="K25">
            <v>2830</v>
          </cell>
          <cell r="L25">
            <v>-322</v>
          </cell>
          <cell r="M25">
            <v>1344</v>
          </cell>
          <cell r="N25">
            <v>1794</v>
          </cell>
          <cell r="O25">
            <v>2778.5003251338644</v>
          </cell>
          <cell r="P25">
            <v>3460.7172807747797</v>
          </cell>
          <cell r="Q25">
            <v>4283.3499958942857</v>
          </cell>
          <cell r="R25">
            <v>4944.8691035573156</v>
          </cell>
        </row>
        <row r="26">
          <cell r="B26" t="str">
            <v>Deduct investments and associates (as included in EBITA)</v>
          </cell>
          <cell r="C26">
            <v>342</v>
          </cell>
          <cell r="D26">
            <v>-87</v>
          </cell>
          <cell r="E26">
            <v>-186</v>
          </cell>
          <cell r="F26">
            <v>-84</v>
          </cell>
          <cell r="G26">
            <v>-84</v>
          </cell>
          <cell r="H26">
            <v>-225</v>
          </cell>
          <cell r="I26">
            <v>-189</v>
          </cell>
          <cell r="J26">
            <v>-296</v>
          </cell>
          <cell r="K26">
            <v>-211</v>
          </cell>
          <cell r="L26">
            <v>-134</v>
          </cell>
          <cell r="M26">
            <v>-145</v>
          </cell>
          <cell r="N26">
            <v>-192</v>
          </cell>
          <cell r="O26">
            <v>-208.90000000000003</v>
          </cell>
          <cell r="P26">
            <v>-227.37500000000006</v>
          </cell>
          <cell r="Q26">
            <v>-247.57675000000009</v>
          </cell>
          <cell r="R26">
            <v>-269.67188750000014</v>
          </cell>
        </row>
        <row r="27">
          <cell r="B27" t="str">
            <v>Deduct capital gains included in EBITA</v>
          </cell>
          <cell r="C27">
            <v>0</v>
          </cell>
          <cell r="D27">
            <v>-63</v>
          </cell>
          <cell r="E27">
            <v>0</v>
          </cell>
          <cell r="F27">
            <v>0</v>
          </cell>
          <cell r="G27">
            <v>0</v>
          </cell>
          <cell r="H27">
            <v>0</v>
          </cell>
          <cell r="I27">
            <v>-127</v>
          </cell>
          <cell r="J27">
            <v>-111</v>
          </cell>
          <cell r="K27">
            <v>0</v>
          </cell>
          <cell r="L27">
            <v>-33</v>
          </cell>
          <cell r="M27">
            <v>0</v>
          </cell>
          <cell r="N27">
            <v>0</v>
          </cell>
          <cell r="O27">
            <v>0</v>
          </cell>
          <cell r="P27">
            <v>0</v>
          </cell>
          <cell r="Q27">
            <v>0</v>
          </cell>
          <cell r="R27">
            <v>0</v>
          </cell>
        </row>
        <row r="28">
          <cell r="B28" t="str">
            <v>Adjust for net capitalised R&amp;D</v>
          </cell>
          <cell r="C28"/>
          <cell r="D28"/>
          <cell r="E28">
            <v>-4</v>
          </cell>
          <cell r="F28">
            <v>-165</v>
          </cell>
          <cell r="G28">
            <v>-165</v>
          </cell>
          <cell r="H28">
            <v>-291</v>
          </cell>
          <cell r="I28">
            <v>-404</v>
          </cell>
          <cell r="J28">
            <v>-47</v>
          </cell>
          <cell r="K28">
            <v>-31</v>
          </cell>
          <cell r="L28">
            <v>93</v>
          </cell>
          <cell r="M28">
            <v>-111</v>
          </cell>
          <cell r="N28">
            <v>19</v>
          </cell>
          <cell r="O28">
            <v>-419.45</v>
          </cell>
          <cell r="P28">
            <v>-304.45</v>
          </cell>
          <cell r="Q28">
            <v>-289.45</v>
          </cell>
          <cell r="R28">
            <v>-176.95</v>
          </cell>
        </row>
        <row r="29">
          <cell r="B29" t="str">
            <v>Goldman defined Clean EBITA (subsidiary level)</v>
          </cell>
          <cell r="C29">
            <v>2036</v>
          </cell>
          <cell r="D29">
            <v>1276</v>
          </cell>
          <cell r="E29">
            <v>1353</v>
          </cell>
          <cell r="F29">
            <v>2195</v>
          </cell>
          <cell r="G29">
            <v>2183</v>
          </cell>
          <cell r="H29">
            <v>2336</v>
          </cell>
          <cell r="I29">
            <v>-321</v>
          </cell>
          <cell r="J29">
            <v>-402</v>
          </cell>
          <cell r="K29">
            <v>2588</v>
          </cell>
          <cell r="L29">
            <v>-396</v>
          </cell>
          <cell r="M29">
            <v>1005</v>
          </cell>
          <cell r="N29">
            <v>1214</v>
          </cell>
          <cell r="O29">
            <v>1010.1503251338643</v>
          </cell>
          <cell r="P29">
            <v>1878.8922807747797</v>
          </cell>
          <cell r="Q29">
            <v>2846.3232458942857</v>
          </cell>
          <cell r="R29">
            <v>4298.2472160573152</v>
          </cell>
        </row>
        <row r="30">
          <cell r="B30" t="str">
            <v>Add estimated interest income on excess customer prepayments</v>
          </cell>
          <cell r="C30">
            <v>180.36</v>
          </cell>
          <cell r="D30">
            <v>143.12</v>
          </cell>
          <cell r="E30">
            <v>152.28</v>
          </cell>
          <cell r="F30">
            <v>118.12135500000001</v>
          </cell>
          <cell r="G30">
            <v>127.6275</v>
          </cell>
          <cell r="H30">
            <v>161.941845</v>
          </cell>
          <cell r="I30">
            <v>231.1637216</v>
          </cell>
          <cell r="J30">
            <v>342.07920000000001</v>
          </cell>
          <cell r="K30">
            <v>180</v>
          </cell>
          <cell r="L30">
            <v>150</v>
          </cell>
          <cell r="M30">
            <v>162.5</v>
          </cell>
          <cell r="N30">
            <v>225</v>
          </cell>
          <cell r="O30">
            <v>240.625</v>
          </cell>
          <cell r="P30">
            <v>256.25</v>
          </cell>
          <cell r="Q30">
            <v>271.875</v>
          </cell>
          <cell r="R30">
            <v>275</v>
          </cell>
        </row>
        <row r="31">
          <cell r="B31" t="str">
            <v>Add back net pension fin. costs which EADS includes in EBITA</v>
          </cell>
          <cell r="C31">
            <v>173</v>
          </cell>
          <cell r="D31">
            <v>195</v>
          </cell>
          <cell r="E31">
            <v>237</v>
          </cell>
          <cell r="F31">
            <v>202</v>
          </cell>
          <cell r="G31">
            <v>202</v>
          </cell>
          <cell r="H31">
            <v>224</v>
          </cell>
          <cell r="I31">
            <v>172</v>
          </cell>
          <cell r="J31">
            <v>169</v>
          </cell>
          <cell r="K31">
            <v>171</v>
          </cell>
          <cell r="L31">
            <v>229</v>
          </cell>
          <cell r="M31">
            <v>211</v>
          </cell>
          <cell r="N31">
            <v>134</v>
          </cell>
          <cell r="O31">
            <v>134</v>
          </cell>
          <cell r="P31">
            <v>134</v>
          </cell>
          <cell r="Q31">
            <v>134</v>
          </cell>
          <cell r="R31">
            <v>134</v>
          </cell>
        </row>
        <row r="32">
          <cell r="B32" t="str">
            <v>Goldman defined Economic EBITA (subsidiary level)</v>
          </cell>
          <cell r="C32">
            <v>2441.395</v>
          </cell>
          <cell r="D32">
            <v>1678.0949999999998</v>
          </cell>
          <cell r="E32">
            <v>1815.0450000000001</v>
          </cell>
          <cell r="F32">
            <v>2591.9063550000001</v>
          </cell>
          <cell r="G32">
            <v>2584.9124999999999</v>
          </cell>
          <cell r="H32">
            <v>2801.3368449999998</v>
          </cell>
          <cell r="I32">
            <v>163.43372160000001</v>
          </cell>
          <cell r="J32">
            <v>188.80420000000001</v>
          </cell>
          <cell r="K32">
            <v>3012.8</v>
          </cell>
          <cell r="L32">
            <v>62.41</v>
          </cell>
          <cell r="M32">
            <v>1468.8</v>
          </cell>
          <cell r="N32">
            <v>1659.0550000000001</v>
          </cell>
          <cell r="O32">
            <v>1470.8303251338643</v>
          </cell>
          <cell r="P32">
            <v>2354.4472807747793</v>
          </cell>
          <cell r="Q32">
            <v>3335.2532458942856</v>
          </cell>
          <cell r="R32">
            <v>4788.0522160573155</v>
          </cell>
        </row>
        <row r="33">
          <cell r="B33" t="str">
            <v>Tax rate</v>
          </cell>
          <cell r="C33">
            <v>-0.54366382140512148</v>
          </cell>
          <cell r="D33">
            <v>-0.39604685212298685</v>
          </cell>
          <cell r="E33">
            <v>-0.37432795698924731</v>
          </cell>
          <cell r="F33">
            <v>-0.35099337748344372</v>
          </cell>
          <cell r="G33">
            <v>-0.35299714557564227</v>
          </cell>
          <cell r="H33">
            <v>-0.32598130841121498</v>
          </cell>
          <cell r="I33">
            <v>0.38709677419354838</v>
          </cell>
          <cell r="J33">
            <v>-0.381021897810219</v>
          </cell>
          <cell r="K33">
            <v>-0.30534351145038169</v>
          </cell>
          <cell r="L33">
            <v>-0.22210065645514224</v>
          </cell>
          <cell r="M33">
            <v>-0.29721030042918456</v>
          </cell>
          <cell r="N33">
            <v>-0.25346534653465347</v>
          </cell>
          <cell r="O33">
            <v>-0.30499999999999994</v>
          </cell>
          <cell r="P33">
            <v>-0.30499999999999999</v>
          </cell>
          <cell r="Q33">
            <v>-0.30499999999999999</v>
          </cell>
          <cell r="R33">
            <v>-0.30499999999999999</v>
          </cell>
        </row>
        <row r="34">
          <cell r="B34" t="str">
            <v>Goldman defined NOPLAT</v>
          </cell>
          <cell r="C34">
            <v>1114.0968647406435</v>
          </cell>
          <cell r="D34">
            <v>1013.4907576866763</v>
          </cell>
          <cell r="E34">
            <v>1135.6229133064517</v>
          </cell>
          <cell r="F34">
            <v>1682.1643893377484</v>
          </cell>
          <cell r="G34">
            <v>1672.4457659372026</v>
          </cell>
          <cell r="H34">
            <v>1888.1533949663549</v>
          </cell>
          <cell r="I34">
            <v>226.69838802580648</v>
          </cell>
          <cell r="J34">
            <v>116.86566540145985</v>
          </cell>
          <cell r="K34">
            <v>2092.8610687022901</v>
          </cell>
          <cell r="L34">
            <v>48.548698030634569</v>
          </cell>
          <cell r="M34">
            <v>1032.2575107296136</v>
          </cell>
          <cell r="N34">
            <v>1238.5420495049505</v>
          </cell>
          <cell r="O34">
            <v>1022.2270759680358</v>
          </cell>
          <cell r="P34">
            <v>1636.3408601384717</v>
          </cell>
          <cell r="Q34">
            <v>2318.0010058965286</v>
          </cell>
          <cell r="R34">
            <v>3327.6962901598345</v>
          </cell>
        </row>
        <row r="35">
          <cell r="B35"/>
          <cell r="C35"/>
          <cell r="D35"/>
          <cell r="E35"/>
          <cell r="F35"/>
          <cell r="G35"/>
          <cell r="H35"/>
          <cell r="I35"/>
          <cell r="J35"/>
          <cell r="K35"/>
          <cell r="L35"/>
          <cell r="M35"/>
          <cell r="N35"/>
          <cell r="O35"/>
          <cell r="P35"/>
          <cell r="Q35"/>
          <cell r="R35"/>
        </row>
        <row r="36">
          <cell r="B36" t="str">
            <v>Goldman defined Invested Capital</v>
          </cell>
          <cell r="C36">
            <v>2001</v>
          </cell>
          <cell r="D36">
            <v>2002</v>
          </cell>
          <cell r="E36">
            <v>2003</v>
          </cell>
          <cell r="F36">
            <v>2004</v>
          </cell>
          <cell r="G36" t="str">
            <v>2004pf</v>
          </cell>
          <cell r="H36">
            <v>2005</v>
          </cell>
          <cell r="I36">
            <v>2006</v>
          </cell>
          <cell r="J36">
            <v>2007</v>
          </cell>
          <cell r="K36">
            <v>2008</v>
          </cell>
          <cell r="L36">
            <v>2009</v>
          </cell>
          <cell r="M36">
            <v>2010</v>
          </cell>
          <cell r="N36">
            <v>2011</v>
          </cell>
          <cell r="O36" t="str">
            <v>2012E</v>
          </cell>
          <cell r="P36" t="str">
            <v>2013E</v>
          </cell>
          <cell r="Q36" t="str">
            <v>2014E</v>
          </cell>
          <cell r="R36" t="str">
            <v>2015E</v>
          </cell>
        </row>
        <row r="37">
          <cell r="B37"/>
          <cell r="C37"/>
          <cell r="D37"/>
          <cell r="E37"/>
          <cell r="F37"/>
          <cell r="G37"/>
          <cell r="H37"/>
          <cell r="I37"/>
          <cell r="J37"/>
          <cell r="K37"/>
          <cell r="L37"/>
          <cell r="M37"/>
          <cell r="N37"/>
          <cell r="O37"/>
          <cell r="P37"/>
          <cell r="Q37"/>
          <cell r="R37"/>
        </row>
        <row r="38">
          <cell r="B38" t="str">
            <v>Shareholders Funds</v>
          </cell>
          <cell r="C38">
            <v>9877</v>
          </cell>
          <cell r="D38">
            <v>12765</v>
          </cell>
          <cell r="E38">
            <v>16149</v>
          </cell>
          <cell r="F38">
            <v>16973</v>
          </cell>
          <cell r="G38">
            <v>16210</v>
          </cell>
          <cell r="H38">
            <v>13726</v>
          </cell>
          <cell r="I38">
            <v>13015</v>
          </cell>
          <cell r="J38">
            <v>13090</v>
          </cell>
          <cell r="K38">
            <v>11022</v>
          </cell>
          <cell r="L38">
            <v>10535</v>
          </cell>
          <cell r="M38">
            <v>8841</v>
          </cell>
          <cell r="N38">
            <v>8850</v>
          </cell>
          <cell r="O38">
            <v>9257.0675507082906</v>
          </cell>
          <cell r="P38">
            <v>10145.866577970404</v>
          </cell>
          <cell r="Q38">
            <v>11589.081716731291</v>
          </cell>
          <cell r="R38">
            <v>13817.514370620222</v>
          </cell>
        </row>
        <row r="39">
          <cell r="B39" t="str">
            <v>Cumulative PPA depreciation and goodwill written-off</v>
          </cell>
          <cell r="C39">
            <v>4615</v>
          </cell>
          <cell r="D39">
            <v>5794</v>
          </cell>
          <cell r="E39">
            <v>6590</v>
          </cell>
          <cell r="F39">
            <v>6807</v>
          </cell>
          <cell r="G39">
            <v>6807</v>
          </cell>
          <cell r="H39">
            <v>6947</v>
          </cell>
          <cell r="I39">
            <v>7004</v>
          </cell>
          <cell r="J39">
            <v>7053</v>
          </cell>
          <cell r="K39">
            <v>7105</v>
          </cell>
          <cell r="L39">
            <v>7161</v>
          </cell>
          <cell r="M39">
            <v>7205</v>
          </cell>
          <cell r="N39">
            <v>7245</v>
          </cell>
          <cell r="O39">
            <v>7285</v>
          </cell>
          <cell r="P39">
            <v>7325</v>
          </cell>
          <cell r="Q39">
            <v>7365</v>
          </cell>
          <cell r="R39">
            <v>7405</v>
          </cell>
        </row>
        <row r="40">
          <cell r="B40" t="str">
            <v>Minority equity</v>
          </cell>
          <cell r="C40">
            <v>559</v>
          </cell>
          <cell r="D40">
            <v>1361</v>
          </cell>
          <cell r="E40">
            <v>2179</v>
          </cell>
          <cell r="F40">
            <v>2370</v>
          </cell>
          <cell r="G40">
            <v>144</v>
          </cell>
          <cell r="H40">
            <v>3676</v>
          </cell>
          <cell r="I40">
            <v>137</v>
          </cell>
          <cell r="J40">
            <v>85</v>
          </cell>
          <cell r="K40">
            <v>104</v>
          </cell>
          <cell r="L40">
            <v>106</v>
          </cell>
          <cell r="M40">
            <v>95</v>
          </cell>
          <cell r="N40">
            <v>20</v>
          </cell>
          <cell r="O40">
            <v>30</v>
          </cell>
          <cell r="P40">
            <v>40.700000000000003</v>
          </cell>
          <cell r="Q40">
            <v>52.149000000000001</v>
          </cell>
          <cell r="R40">
            <v>64.399430000000009</v>
          </cell>
        </row>
        <row r="41">
          <cell r="B41" t="str">
            <v>Net Debt / (Cash), adjusted for non-recourse debt</v>
          </cell>
          <cell r="C41">
            <v>-2577</v>
          </cell>
          <cell r="D41">
            <v>-3119</v>
          </cell>
          <cell r="E41">
            <v>-3784</v>
          </cell>
          <cell r="F41">
            <v>-5046</v>
          </cell>
          <cell r="G41">
            <v>-4949</v>
          </cell>
          <cell r="H41">
            <v>-6736</v>
          </cell>
          <cell r="I41">
            <v>-5287</v>
          </cell>
          <cell r="J41">
            <v>-7883</v>
          </cell>
          <cell r="K41">
            <v>-9930</v>
          </cell>
          <cell r="L41">
            <v>-10449</v>
          </cell>
          <cell r="M41">
            <v>-12450</v>
          </cell>
          <cell r="N41">
            <v>-12136</v>
          </cell>
          <cell r="O41">
            <v>-11992.434570751095</v>
          </cell>
          <cell r="P41">
            <v>-12984.274634313588</v>
          </cell>
          <cell r="Q41">
            <v>-14964.761005499369</v>
          </cell>
          <cell r="R41">
            <v>-16535.056164800524</v>
          </cell>
        </row>
        <row r="42">
          <cell r="B42" t="str">
            <v>Est. excess customer prepayments (not disclosed from 2006)</v>
          </cell>
          <cell r="C42">
            <v>4509</v>
          </cell>
          <cell r="D42">
            <v>3578</v>
          </cell>
          <cell r="E42">
            <v>3807</v>
          </cell>
          <cell r="F42">
            <v>5610</v>
          </cell>
          <cell r="G42">
            <v>5610</v>
          </cell>
          <cell r="H42">
            <v>7410</v>
          </cell>
          <cell r="I42">
            <v>7504</v>
          </cell>
          <cell r="J42">
            <v>8000</v>
          </cell>
          <cell r="K42">
            <v>6000</v>
          </cell>
          <cell r="L42">
            <v>6000</v>
          </cell>
          <cell r="M42">
            <v>6500</v>
          </cell>
          <cell r="N42">
            <v>9000</v>
          </cell>
          <cell r="O42">
            <v>9625</v>
          </cell>
          <cell r="P42">
            <v>10250</v>
          </cell>
          <cell r="Q42">
            <v>10875</v>
          </cell>
          <cell r="R42">
            <v>11000</v>
          </cell>
        </row>
        <row r="43">
          <cell r="B43" t="str">
            <v>Pension provisions, net of def. tax (on and off balance sheet)</v>
          </cell>
          <cell r="C43">
            <v>2836</v>
          </cell>
          <cell r="D43">
            <v>3170</v>
          </cell>
          <cell r="E43">
            <v>3428</v>
          </cell>
          <cell r="F43">
            <v>3906</v>
          </cell>
          <cell r="G43">
            <v>3906</v>
          </cell>
          <cell r="H43">
            <v>4560</v>
          </cell>
          <cell r="I43">
            <v>4840</v>
          </cell>
          <cell r="J43">
            <v>4026</v>
          </cell>
          <cell r="K43">
            <v>4093</v>
          </cell>
          <cell r="L43">
            <v>4653</v>
          </cell>
          <cell r="M43">
            <v>4344</v>
          </cell>
          <cell r="N43">
            <v>4843.0720000000001</v>
          </cell>
          <cell r="O43">
            <v>4531.0720000000001</v>
          </cell>
          <cell r="P43">
            <v>4219.0720000000001</v>
          </cell>
          <cell r="Q43">
            <v>3907.0720000000001</v>
          </cell>
          <cell r="R43">
            <v>3595.0720000000001</v>
          </cell>
        </row>
        <row r="44">
          <cell r="B44" t="str">
            <v>Launch Aid (European govt refundable advances)</v>
          </cell>
          <cell r="C44">
            <v>3469</v>
          </cell>
          <cell r="D44">
            <v>4265</v>
          </cell>
          <cell r="E44">
            <v>4851</v>
          </cell>
          <cell r="F44">
            <v>5119</v>
          </cell>
          <cell r="G44">
            <v>4819</v>
          </cell>
          <cell r="H44">
            <v>5293</v>
          </cell>
          <cell r="I44">
            <v>5418</v>
          </cell>
          <cell r="J44">
            <v>5315</v>
          </cell>
          <cell r="K44">
            <v>4920</v>
          </cell>
          <cell r="L44">
            <v>5294</v>
          </cell>
          <cell r="M44">
            <v>6020</v>
          </cell>
          <cell r="N44">
            <v>5737</v>
          </cell>
          <cell r="O44">
            <v>5737</v>
          </cell>
          <cell r="P44">
            <v>5687</v>
          </cell>
          <cell r="Q44">
            <v>5537</v>
          </cell>
          <cell r="R44">
            <v>5387</v>
          </cell>
        </row>
        <row r="45">
          <cell r="B45" t="str">
            <v>Off-balance sheet aircraft financing commitments</v>
          </cell>
          <cell r="C45">
            <v>1410</v>
          </cell>
          <cell r="D45">
            <v>1047</v>
          </cell>
          <cell r="E45">
            <v>850</v>
          </cell>
          <cell r="F45">
            <v>650</v>
          </cell>
          <cell r="G45">
            <v>650</v>
          </cell>
          <cell r="H45">
            <v>644</v>
          </cell>
          <cell r="I45">
            <v>526</v>
          </cell>
          <cell r="J45">
            <v>440</v>
          </cell>
          <cell r="K45">
            <v>415</v>
          </cell>
          <cell r="L45">
            <v>429</v>
          </cell>
          <cell r="M45">
            <v>427</v>
          </cell>
          <cell r="N45">
            <v>427</v>
          </cell>
          <cell r="O45">
            <v>427</v>
          </cell>
          <cell r="P45">
            <v>427</v>
          </cell>
          <cell r="Q45">
            <v>427</v>
          </cell>
          <cell r="R45">
            <v>427</v>
          </cell>
        </row>
        <row r="46">
          <cell r="B46" t="str">
            <v>Less: customer financing collateral value</v>
          </cell>
          <cell r="C46">
            <v>-2698</v>
          </cell>
          <cell r="D46">
            <v>-2599</v>
          </cell>
          <cell r="E46">
            <v>-2594</v>
          </cell>
          <cell r="F46">
            <v>-2216</v>
          </cell>
          <cell r="G46">
            <v>-2216</v>
          </cell>
          <cell r="H46">
            <v>-2133</v>
          </cell>
          <cell r="I46">
            <v>-791</v>
          </cell>
          <cell r="J46">
            <v>-622</v>
          </cell>
          <cell r="K46">
            <v>-697</v>
          </cell>
          <cell r="L46">
            <v>-972</v>
          </cell>
          <cell r="M46">
            <v>-926</v>
          </cell>
          <cell r="N46">
            <v>-818</v>
          </cell>
          <cell r="O46">
            <v>-882</v>
          </cell>
          <cell r="P46">
            <v>-882</v>
          </cell>
          <cell r="Q46">
            <v>-882</v>
          </cell>
          <cell r="R46">
            <v>-882</v>
          </cell>
        </row>
        <row r="47">
          <cell r="B47" t="str">
            <v>FX hedge provision</v>
          </cell>
          <cell r="C47">
            <v>390</v>
          </cell>
          <cell r="D47">
            <v>195</v>
          </cell>
          <cell r="E47"/>
          <cell r="F47"/>
          <cell r="G47"/>
          <cell r="H47"/>
          <cell r="I47"/>
          <cell r="J47"/>
          <cell r="K47"/>
          <cell r="L47"/>
          <cell r="M47"/>
          <cell r="N47"/>
          <cell r="O47"/>
          <cell r="P47"/>
          <cell r="Q47"/>
          <cell r="R47"/>
        </row>
        <row r="48">
          <cell r="B48" t="str">
            <v>Minus investments and associates @ book value</v>
          </cell>
          <cell r="C48">
            <v>-2219</v>
          </cell>
          <cell r="D48">
            <v>-2324</v>
          </cell>
          <cell r="E48">
            <v>-2419</v>
          </cell>
          <cell r="F48">
            <v>-2490</v>
          </cell>
          <cell r="G48">
            <v>-2248</v>
          </cell>
          <cell r="H48">
            <v>-2601</v>
          </cell>
          <cell r="I48">
            <v>-2974</v>
          </cell>
          <cell r="J48">
            <v>-2946</v>
          </cell>
          <cell r="K48">
            <v>-2960</v>
          </cell>
          <cell r="L48">
            <v>-3358</v>
          </cell>
          <cell r="M48">
            <v>-3724</v>
          </cell>
          <cell r="N48">
            <v>-4077</v>
          </cell>
          <cell r="O48">
            <v>-4283.8999999999996</v>
          </cell>
          <cell r="P48">
            <v>-4451.2749999999996</v>
          </cell>
          <cell r="Q48">
            <v>-4638.8517499999998</v>
          </cell>
          <cell r="R48">
            <v>-4848.5236375000004</v>
          </cell>
        </row>
        <row r="49">
          <cell r="B49" t="str">
            <v>Goldman defined Invested Capital</v>
          </cell>
          <cell r="C49">
            <v>20171</v>
          </cell>
          <cell r="D49">
            <v>24133</v>
          </cell>
          <cell r="E49">
            <v>29057</v>
          </cell>
          <cell r="F49">
            <v>31683</v>
          </cell>
          <cell r="G49">
            <v>32233</v>
          </cell>
          <cell r="H49">
            <v>30786</v>
          </cell>
          <cell r="I49">
            <v>29392</v>
          </cell>
          <cell r="J49">
            <v>26558</v>
          </cell>
          <cell r="K49">
            <v>20072</v>
          </cell>
          <cell r="L49">
            <v>19399</v>
          </cell>
          <cell r="M49">
            <v>16332</v>
          </cell>
          <cell r="N49">
            <v>19091.072</v>
          </cell>
          <cell r="O49">
            <v>19733.804979957196</v>
          </cell>
          <cell r="P49">
            <v>19777.088943656818</v>
          </cell>
          <cell r="Q49">
            <v>19266.689961231925</v>
          </cell>
          <cell r="R49">
            <v>19430.4059983197</v>
          </cell>
        </row>
        <row r="50">
          <cell r="B50"/>
          <cell r="C50"/>
          <cell r="D50"/>
          <cell r="E50"/>
          <cell r="F50"/>
          <cell r="G50"/>
          <cell r="H50"/>
          <cell r="I50"/>
          <cell r="J50"/>
          <cell r="K50"/>
          <cell r="L50"/>
          <cell r="M50"/>
          <cell r="N50"/>
          <cell r="O50"/>
          <cell r="P50"/>
          <cell r="Q50"/>
          <cell r="R50"/>
        </row>
        <row r="51">
          <cell r="B51" t="str">
            <v>Goldman defined CROCI and ROIC (pre and post-tax)</v>
          </cell>
          <cell r="C51">
            <v>2001</v>
          </cell>
          <cell r="D51">
            <v>2002</v>
          </cell>
          <cell r="E51">
            <v>2003</v>
          </cell>
          <cell r="F51">
            <v>2004</v>
          </cell>
          <cell r="G51" t="str">
            <v>2004pf</v>
          </cell>
          <cell r="H51">
            <v>2005</v>
          </cell>
          <cell r="I51">
            <v>2006</v>
          </cell>
          <cell r="J51">
            <v>2007</v>
          </cell>
          <cell r="K51">
            <v>2008</v>
          </cell>
          <cell r="L51">
            <v>2009</v>
          </cell>
          <cell r="M51">
            <v>2010</v>
          </cell>
          <cell r="N51">
            <v>2011</v>
          </cell>
          <cell r="O51" t="str">
            <v>2012E</v>
          </cell>
          <cell r="P51" t="str">
            <v>2013E</v>
          </cell>
          <cell r="Q51" t="str">
            <v>2014E</v>
          </cell>
          <cell r="R51" t="str">
            <v>2015E</v>
          </cell>
        </row>
        <row r="52">
          <cell r="B52"/>
          <cell r="C52"/>
          <cell r="D52"/>
          <cell r="E52"/>
          <cell r="F52"/>
          <cell r="G52"/>
          <cell r="H52"/>
          <cell r="I52"/>
          <cell r="J52"/>
          <cell r="K52"/>
          <cell r="L52"/>
          <cell r="M52"/>
          <cell r="N52"/>
          <cell r="O52"/>
          <cell r="P52"/>
          <cell r="Q52"/>
          <cell r="R52"/>
        </row>
        <row r="53">
          <cell r="B53" t="str">
            <v>DACF margin</v>
          </cell>
          <cell r="C53">
            <v>0</v>
          </cell>
          <cell r="D53">
            <v>0</v>
          </cell>
          <cell r="E53">
            <v>0</v>
          </cell>
          <cell r="F53">
            <v>0</v>
          </cell>
          <cell r="G53">
            <v>0</v>
          </cell>
          <cell r="H53">
            <v>0</v>
          </cell>
          <cell r="I53">
            <v>9.9160381691159316E-2</v>
          </cell>
          <cell r="J53">
            <v>9.9807855340664942E-2</v>
          </cell>
          <cell r="K53">
            <v>0.11322958193910598</v>
          </cell>
          <cell r="L53">
            <v>6.7337266157081771E-2</v>
          </cell>
          <cell r="M53">
            <v>5.3281495421856361E-2</v>
          </cell>
          <cell r="N53">
            <v>7.2387184981321781E-2</v>
          </cell>
          <cell r="O53">
            <v>5.0036740969063777E-2</v>
          </cell>
          <cell r="P53">
            <v>5.8532131116217301E-2</v>
          </cell>
          <cell r="Q53">
            <v>6.8186084907988387E-2</v>
          </cell>
          <cell r="R53">
            <v>7.3763518905890155E-2</v>
          </cell>
        </row>
        <row r="54">
          <cell r="B54" t="str">
            <v>Sales / Gross Cash Invested</v>
          </cell>
          <cell r="C54">
            <v>0</v>
          </cell>
          <cell r="D54">
            <v>0</v>
          </cell>
          <cell r="E54">
            <v>0</v>
          </cell>
          <cell r="F54">
            <v>0</v>
          </cell>
          <cell r="G54">
            <v>0</v>
          </cell>
          <cell r="H54">
            <v>0</v>
          </cell>
          <cell r="I54">
            <v>0.923801652892562</v>
          </cell>
          <cell r="J54">
            <v>1.0318633881084691</v>
          </cell>
          <cell r="K54">
            <v>1.1177276015293995</v>
          </cell>
          <cell r="L54">
            <v>1.0902147485265477</v>
          </cell>
          <cell r="M54">
            <v>1.1531840350855083</v>
          </cell>
          <cell r="N54">
            <v>1.1981562324707948</v>
          </cell>
          <cell r="O54">
            <v>1.2308918628670542</v>
          </cell>
          <cell r="P54">
            <v>1.2473304084461494</v>
          </cell>
          <cell r="Q54">
            <v>1.288601450386351</v>
          </cell>
          <cell r="R54">
            <v>1.2977100902658045</v>
          </cell>
        </row>
        <row r="55">
          <cell r="B55" t="str">
            <v>Goldman defined CROCI</v>
          </cell>
          <cell r="C55">
            <v>0</v>
          </cell>
          <cell r="D55">
            <v>0</v>
          </cell>
          <cell r="E55">
            <v>0</v>
          </cell>
          <cell r="F55">
            <v>0</v>
          </cell>
          <cell r="G55">
            <v>0</v>
          </cell>
          <cell r="H55">
            <v>0</v>
          </cell>
          <cell r="I55">
            <v>9.4649627640212897E-2</v>
          </cell>
          <cell r="J55">
            <v>0.10247361409874034</v>
          </cell>
          <cell r="K55">
            <v>0.12150446724445156</v>
          </cell>
          <cell r="L55">
            <v>7.3412080689908107E-2</v>
          </cell>
          <cell r="M55">
            <v>6.144336988596636E-2</v>
          </cell>
          <cell r="N55">
            <v>8.6731156836387005E-2</v>
          </cell>
          <cell r="O55">
            <v>6.1589817303207166E-2</v>
          </cell>
          <cell r="P55">
            <v>7.3008907012414886E-2</v>
          </cell>
          <cell r="Q55">
            <v>8.7864687908600719E-2</v>
          </cell>
          <cell r="R55">
            <v>9.5723662777686097E-2</v>
          </cell>
        </row>
        <row r="56">
          <cell r="B56"/>
          <cell r="C56"/>
          <cell r="D56"/>
          <cell r="E56"/>
          <cell r="F56"/>
          <cell r="G56"/>
          <cell r="H56"/>
          <cell r="I56"/>
          <cell r="J56"/>
          <cell r="K56"/>
          <cell r="L56"/>
          <cell r="M56"/>
          <cell r="N56"/>
          <cell r="O56"/>
          <cell r="P56"/>
          <cell r="Q56"/>
          <cell r="R56"/>
        </row>
        <row r="57">
          <cell r="B57" t="str">
            <v>Economic EBITA margin</v>
          </cell>
          <cell r="C57">
            <v>0</v>
          </cell>
          <cell r="D57">
            <v>6.0234460558192017E-2</v>
          </cell>
          <cell r="E57">
            <v>8.1606572683479747E-2</v>
          </cell>
          <cell r="F57">
            <v>8.1386370076508924E-2</v>
          </cell>
          <cell r="G57">
            <v>8.1896066333391804E-2</v>
          </cell>
          <cell r="H57">
            <v>8.1896066333391804E-2</v>
          </cell>
          <cell r="I57">
            <v>4.1444875386722124E-3</v>
          </cell>
          <cell r="J57">
            <v>4.8259131457199095E-3</v>
          </cell>
          <cell r="K57">
            <v>6.9635964405408535E-2</v>
          </cell>
          <cell r="L57">
            <v>1.4574284246415394E-3</v>
          </cell>
          <cell r="M57">
            <v>3.2103514600454623E-2</v>
          </cell>
          <cell r="N57">
            <v>3.3770049666178151E-2</v>
          </cell>
          <cell r="O57">
            <v>2.7436002793303969E-2</v>
          </cell>
          <cell r="P57">
            <v>4.1640229649695833E-2</v>
          </cell>
          <cell r="Q57">
            <v>5.5511990995760006E-2</v>
          </cell>
          <cell r="R57">
            <v>7.6593408507276542E-2</v>
          </cell>
        </row>
        <row r="58">
          <cell r="B58" t="str">
            <v>Asset turn</v>
          </cell>
          <cell r="C58">
            <v>0</v>
          </cell>
          <cell r="D58">
            <v>0</v>
          </cell>
          <cell r="E58">
            <v>0</v>
          </cell>
          <cell r="F58">
            <v>1.4959831912000989</v>
          </cell>
          <cell r="G58">
            <v>1.52684547122106</v>
          </cell>
          <cell r="H58">
            <v>1.1110894562463458</v>
          </cell>
          <cell r="I58">
            <v>1.3416575939031028</v>
          </cell>
          <cell r="J58">
            <v>1.4731154454401687</v>
          </cell>
          <cell r="K58">
            <v>2.1554902351534477</v>
          </cell>
          <cell r="L58">
            <v>2.207433372854271</v>
          </cell>
          <cell r="M58">
            <v>2.8013715405339212</v>
          </cell>
          <cell r="N58">
            <v>2.5733494693226238</v>
          </cell>
          <cell r="O58">
            <v>2.7166325818300079</v>
          </cell>
          <cell r="P58">
            <v>2.8589956049890599</v>
          </cell>
          <cell r="Q58">
            <v>3.1184221221086497</v>
          </cell>
          <cell r="R58">
            <v>3.2172559004547483</v>
          </cell>
        </row>
        <row r="59">
          <cell r="B59" t="str">
            <v>Goldman defined ROIC (pre-tax)</v>
          </cell>
          <cell r="C59">
            <v>0</v>
          </cell>
          <cell r="D59">
            <v>0</v>
          </cell>
          <cell r="E59">
            <v>0</v>
          </cell>
          <cell r="F59">
            <v>9.9747497219132369E-2</v>
          </cell>
          <cell r="G59">
            <v>0.12103490159139359</v>
          </cell>
          <cell r="H59">
            <v>9.0993855811082949E-2</v>
          </cell>
          <cell r="I59">
            <v>5.5604831790963529E-3</v>
          </cell>
          <cell r="J59">
            <v>7.1091271933127502E-3</v>
          </cell>
          <cell r="K59">
            <v>0.15009964129135114</v>
          </cell>
          <cell r="L59">
            <v>3.2171761431001597E-3</v>
          </cell>
          <cell r="M59">
            <v>8.9933872152828803E-2</v>
          </cell>
          <cell r="N59">
            <v>8.690213938745818E-2</v>
          </cell>
          <cell r="O59">
            <v>7.453353910346866E-2</v>
          </cell>
          <cell r="P59">
            <v>0.11904923355921551</v>
          </cell>
          <cell r="Q59">
            <v>0.17310982076347417</v>
          </cell>
          <cell r="R59">
            <v>0.24642059545597636</v>
          </cell>
        </row>
        <row r="60">
          <cell r="B60" t="str">
            <v>Pre-tax cost of capital declared by company</v>
          </cell>
          <cell r="C60">
            <v>0</v>
          </cell>
          <cell r="D60">
            <v>0</v>
          </cell>
          <cell r="E60">
            <v>0</v>
          </cell>
          <cell r="F60">
            <v>0</v>
          </cell>
          <cell r="G60">
            <v>0</v>
          </cell>
          <cell r="H60">
            <v>0</v>
          </cell>
          <cell r="I60">
            <v>0</v>
          </cell>
          <cell r="J60">
            <v>0.14029850746268657</v>
          </cell>
          <cell r="K60">
            <v>0.14029850746268657</v>
          </cell>
          <cell r="L60">
            <v>0.128</v>
          </cell>
          <cell r="M60">
            <v>0.112</v>
          </cell>
          <cell r="N60">
            <v>0.112</v>
          </cell>
          <cell r="O60">
            <v>0.112</v>
          </cell>
          <cell r="P60">
            <v>0.112</v>
          </cell>
          <cell r="Q60">
            <v>0.112</v>
          </cell>
          <cell r="R60">
            <v>0.112</v>
          </cell>
        </row>
        <row r="61">
          <cell r="B61"/>
          <cell r="C61"/>
          <cell r="D61"/>
          <cell r="E61"/>
          <cell r="F61"/>
          <cell r="G61"/>
          <cell r="H61"/>
          <cell r="I61"/>
          <cell r="J61"/>
          <cell r="K61"/>
          <cell r="L61"/>
          <cell r="M61"/>
          <cell r="N61"/>
          <cell r="O61"/>
          <cell r="P61"/>
          <cell r="Q61"/>
          <cell r="R61"/>
        </row>
        <row r="62">
          <cell r="B62" t="str">
            <v>NOPLAT margin</v>
          </cell>
          <cell r="C62">
            <v>3.6174325110092977E-2</v>
          </cell>
          <cell r="D62">
            <v>3.3894878354793358E-2</v>
          </cell>
          <cell r="E62">
            <v>3.7687017997094605E-2</v>
          </cell>
          <cell r="F62">
            <v>5.2963206112457049E-2</v>
          </cell>
          <cell r="G62">
            <v>5.265721375073841E-2</v>
          </cell>
          <cell r="H62">
            <v>5.5199479476301085E-2</v>
          </cell>
          <cell r="I62">
            <v>5.748805295577585E-3</v>
          </cell>
          <cell r="J62">
            <v>2.9871345602704253E-3</v>
          </cell>
          <cell r="K62">
            <v>4.8373074510627299E-2</v>
          </cell>
          <cell r="L62">
            <v>1.1337326147922695E-3</v>
          </cell>
          <cell r="M62">
            <v>2.256201938122079E-2</v>
          </cell>
          <cell r="N62">
            <v>2.5210512325047844E-2</v>
          </cell>
          <cell r="O62">
            <v>1.9068021941346259E-2</v>
          </cell>
          <cell r="P62">
            <v>2.8939959606538602E-2</v>
          </cell>
          <cell r="Q62">
            <v>3.8580833742053205E-2</v>
          </cell>
          <cell r="R62">
            <v>5.32324189125572E-2</v>
          </cell>
        </row>
        <row r="63">
          <cell r="B63" t="str">
            <v>Asset turn</v>
          </cell>
          <cell r="C63">
            <v>1.52684547122106</v>
          </cell>
          <cell r="D63">
            <v>1.2390088260887582</v>
          </cell>
          <cell r="E63">
            <v>1.0370306638675706</v>
          </cell>
          <cell r="F63">
            <v>1.0024618880787803</v>
          </cell>
          <cell r="G63">
            <v>0.98535662209536812</v>
          </cell>
          <cell r="H63">
            <v>1.1110894562463458</v>
          </cell>
          <cell r="I63">
            <v>1.3416575939031028</v>
          </cell>
          <cell r="J63">
            <v>1.4731154454401687</v>
          </cell>
          <cell r="K63">
            <v>2.1554902351534477</v>
          </cell>
          <cell r="L63">
            <v>2.207433372854271</v>
          </cell>
          <cell r="M63">
            <v>2.8013715405339212</v>
          </cell>
          <cell r="N63">
            <v>2.5733494693226238</v>
          </cell>
          <cell r="O63">
            <v>2.7166325818300079</v>
          </cell>
          <cell r="P63">
            <v>2.8589956049890599</v>
          </cell>
          <cell r="Q63">
            <v>3.1184221221086497</v>
          </cell>
          <cell r="R63">
            <v>3.2172559004547483</v>
          </cell>
        </row>
        <row r="64">
          <cell r="B64" t="str">
            <v>Goldman defined ROIC (post-tax)</v>
          </cell>
          <cell r="C64">
            <v>5.5232604468823727E-2</v>
          </cell>
          <cell r="D64">
            <v>4.1996053440793782E-2</v>
          </cell>
          <cell r="E64">
            <v>3.90825932927161E-2</v>
          </cell>
          <cell r="F64">
            <v>5.3093595598199296E-2</v>
          </cell>
          <cell r="G64">
            <v>5.188613427038137E-2</v>
          </cell>
          <cell r="H64">
            <v>6.1331559636404694E-2</v>
          </cell>
          <cell r="I64">
            <v>7.7129282806820383E-3</v>
          </cell>
          <cell r="J64">
            <v>4.4003940583424899E-3</v>
          </cell>
          <cell r="K64">
            <v>0.10426768975200729</v>
          </cell>
          <cell r="L64">
            <v>2.5026392097857912E-3</v>
          </cell>
          <cell r="M64">
            <v>6.3204598991526667E-2</v>
          </cell>
          <cell r="N64">
            <v>6.4875458513013337E-2</v>
          </cell>
          <cell r="O64">
            <v>5.1800809676910725E-2</v>
          </cell>
          <cell r="P64">
            <v>8.2739217323654787E-2</v>
          </cell>
          <cell r="Q64">
            <v>0.12031132543061455</v>
          </cell>
          <cell r="R64">
            <v>0.17126231384190357</v>
          </cell>
        </row>
        <row r="65">
          <cell r="B65" t="str">
            <v>WACC - as declared by company</v>
          </cell>
          <cell r="C65">
            <v>9.4E-2</v>
          </cell>
          <cell r="D65">
            <v>9.4E-2</v>
          </cell>
          <cell r="E65">
            <v>9.4E-2</v>
          </cell>
          <cell r="F65">
            <v>9.4E-2</v>
          </cell>
          <cell r="G65">
            <v>9.4E-2</v>
          </cell>
          <cell r="H65">
            <v>9.4E-2</v>
          </cell>
          <cell r="I65">
            <v>9.4E-2</v>
          </cell>
          <cell r="J65">
            <v>9.4E-2</v>
          </cell>
          <cell r="K65">
            <v>9.4E-2</v>
          </cell>
          <cell r="L65">
            <v>9.4E-2</v>
          </cell>
          <cell r="M65">
            <v>9.4E-2</v>
          </cell>
          <cell r="N65">
            <v>9.4E-2</v>
          </cell>
          <cell r="O65">
            <v>9.4E-2</v>
          </cell>
          <cell r="P65">
            <v>9.4E-2</v>
          </cell>
          <cell r="Q65">
            <v>9.4E-2</v>
          </cell>
          <cell r="R65">
            <v>9.4E-2</v>
          </cell>
        </row>
        <row r="66">
          <cell r="B66" t="str">
            <v>ROIC / WACC - using company declared WACC</v>
          </cell>
          <cell r="C66">
            <v>0.58758089860450768</v>
          </cell>
          <cell r="D66">
            <v>0.44676652596589128</v>
          </cell>
          <cell r="E66">
            <v>0.41577226907144788</v>
          </cell>
          <cell r="F66">
            <v>0.56482548508722652</v>
          </cell>
          <cell r="G66">
            <v>0.55198015181256777</v>
          </cell>
          <cell r="H66">
            <v>0.65246340038728401</v>
          </cell>
          <cell r="I66">
            <v>8.205242851789403E-2</v>
          </cell>
          <cell r="J66">
            <v>4.6812702748324359E-2</v>
          </cell>
          <cell r="K66">
            <v>1.1092307420426306</v>
          </cell>
          <cell r="L66">
            <v>2.6623821380699908E-2</v>
          </cell>
          <cell r="M66">
            <v>0.6723893509736879</v>
          </cell>
          <cell r="N66">
            <v>0.69016445226609935</v>
          </cell>
          <cell r="O66">
            <v>0.55107244337139072</v>
          </cell>
          <cell r="P66">
            <v>0.88020443961334882</v>
          </cell>
          <cell r="Q66">
            <v>1.2799077173469633</v>
          </cell>
          <cell r="R66">
            <v>1.821939508956421</v>
          </cell>
        </row>
        <row r="67">
          <cell r="B67"/>
          <cell r="C67"/>
          <cell r="D67"/>
          <cell r="E67"/>
          <cell r="F67"/>
          <cell r="G67"/>
          <cell r="H67"/>
          <cell r="I67"/>
          <cell r="J67"/>
          <cell r="K67"/>
          <cell r="L67"/>
          <cell r="M67"/>
          <cell r="N67"/>
          <cell r="O67"/>
          <cell r="P67"/>
          <cell r="Q67"/>
          <cell r="R67"/>
        </row>
        <row r="68">
          <cell r="B68" t="str">
            <v>WACC - standardised at 9.5%</v>
          </cell>
          <cell r="C68">
            <v>9.5000000000000001E-2</v>
          </cell>
          <cell r="D68">
            <v>9.5000000000000001E-2</v>
          </cell>
          <cell r="E68">
            <v>9.5000000000000001E-2</v>
          </cell>
          <cell r="F68">
            <v>9.5000000000000001E-2</v>
          </cell>
          <cell r="G68">
            <v>9.5000000000000001E-2</v>
          </cell>
          <cell r="H68">
            <v>9.5000000000000001E-2</v>
          </cell>
          <cell r="I68">
            <v>9.5000000000000001E-2</v>
          </cell>
          <cell r="J68">
            <v>9.5000000000000001E-2</v>
          </cell>
          <cell r="K68">
            <v>9.5000000000000001E-2</v>
          </cell>
          <cell r="L68">
            <v>9.5000000000000001E-2</v>
          </cell>
          <cell r="M68">
            <v>9.5000000000000001E-2</v>
          </cell>
          <cell r="N68">
            <v>9.5000000000000001E-2</v>
          </cell>
          <cell r="O68">
            <v>9.5000000000000001E-2</v>
          </cell>
          <cell r="P68">
            <v>9.5000000000000001E-2</v>
          </cell>
          <cell r="Q68">
            <v>9.5000000000000001E-2</v>
          </cell>
          <cell r="R68">
            <v>9.5000000000000001E-2</v>
          </cell>
        </row>
        <row r="69">
          <cell r="B69" t="str">
            <v>ROIC / WACC - using standardised WACC of 9.5%</v>
          </cell>
          <cell r="C69">
            <v>0.58139583651393401</v>
          </cell>
          <cell r="D69">
            <v>0.44206372042940822</v>
          </cell>
          <cell r="E69">
            <v>0.41139571887069576</v>
          </cell>
          <cell r="F69">
            <v>0.55887995366525578</v>
          </cell>
          <cell r="G69">
            <v>0.54616983442506706</v>
          </cell>
          <cell r="H69">
            <v>0.64559536459373357</v>
          </cell>
          <cell r="I69">
            <v>8.1188718744021449E-2</v>
          </cell>
          <cell r="J69">
            <v>4.6319937456236734E-2</v>
          </cell>
          <cell r="K69">
            <v>1.0975546289684976</v>
          </cell>
          <cell r="L69">
            <v>2.6343570629324117E-2</v>
          </cell>
          <cell r="M69">
            <v>0.66531156833185967</v>
          </cell>
          <cell r="N69">
            <v>0.68289956329487722</v>
          </cell>
          <cell r="O69">
            <v>0.54527168080958655</v>
          </cell>
          <cell r="P69">
            <v>0.87093912972268195</v>
          </cell>
          <cell r="Q69">
            <v>1.2664350045327848</v>
          </cell>
          <cell r="R69">
            <v>1.8027611983358272</v>
          </cell>
        </row>
        <row r="70">
          <cell r="B70"/>
          <cell r="C70"/>
          <cell r="D70"/>
          <cell r="E70"/>
          <cell r="F70"/>
          <cell r="G70"/>
          <cell r="H70"/>
          <cell r="I70"/>
          <cell r="J70"/>
          <cell r="K70"/>
          <cell r="L70"/>
          <cell r="M70"/>
          <cell r="N70"/>
          <cell r="O70"/>
          <cell r="P70"/>
          <cell r="Q70"/>
          <cell r="R70"/>
        </row>
        <row r="71">
          <cell r="B71" t="str">
            <v>Enterprise Value, where EV/IC = ROIC/WACC (using co. def. WACC)</v>
          </cell>
          <cell r="C71">
            <v>11852.094305751525</v>
          </cell>
          <cell r="D71">
            <v>10781.816571134854</v>
          </cell>
          <cell r="E71">
            <v>12081.094822409061</v>
          </cell>
          <cell r="F71">
            <v>17895.365844018597</v>
          </cell>
          <cell r="G71"/>
          <cell r="H71">
            <v>20086.738244322925</v>
          </cell>
          <cell r="I71">
            <v>2411.6849789979415</v>
          </cell>
          <cell r="J71">
            <v>1243.2517595899983</v>
          </cell>
          <cell r="K71">
            <v>22264.479454279681</v>
          </cell>
          <cell r="L71">
            <v>516.4755109641975</v>
          </cell>
          <cell r="M71">
            <v>10981.46288010227</v>
          </cell>
          <cell r="N71">
            <v>13175.979250052666</v>
          </cell>
          <cell r="O71">
            <v>10874.75612731953</v>
          </cell>
          <cell r="P71">
            <v>17407.881490834807</v>
          </cell>
          <cell r="Q71">
            <v>24659.585169112004</v>
          </cell>
          <cell r="R71">
            <v>35401.024363402488</v>
          </cell>
        </row>
        <row r="72">
          <cell r="B72" t="str">
            <v>Enterprise Value, where EV/IC = ROIC/WACC (using 9.5% WACC)</v>
          </cell>
          <cell r="C72">
            <v>11727.335418322562</v>
          </cell>
          <cell r="D72">
            <v>10668.323765122908</v>
          </cell>
          <cell r="E72">
            <v>11953.925403225807</v>
          </cell>
          <cell r="F72">
            <v>17706.993571976298</v>
          </cell>
          <cell r="G72"/>
          <cell r="H72">
            <v>19875.298894382682</v>
          </cell>
          <cell r="I72">
            <v>2386.2988213242784</v>
          </cell>
          <cell r="J72">
            <v>1230.1648989627352</v>
          </cell>
          <cell r="K72">
            <v>22030.116512655684</v>
          </cell>
          <cell r="L72">
            <v>511.03892663825854</v>
          </cell>
          <cell r="M72">
            <v>10865.868533995932</v>
          </cell>
          <cell r="N72">
            <v>13037.284731631058</v>
          </cell>
          <cell r="O72">
            <v>10760.285010189849</v>
          </cell>
          <cell r="P72">
            <v>17224.640633036543</v>
          </cell>
          <cell r="Q72">
            <v>24400.010588384514</v>
          </cell>
          <cell r="R72">
            <v>35028.382001682468</v>
          </cell>
        </row>
        <row r="73">
          <cell r="B73" t="str">
            <v>Less: Market value of minorities - average</v>
          </cell>
          <cell r="C73">
            <v>-870.3911562900729</v>
          </cell>
          <cell r="D73">
            <v>-1208.8590396944771</v>
          </cell>
          <cell r="E73">
            <v>-1328.2281487318101</v>
          </cell>
          <cell r="F73">
            <v>-2314.2045160982443</v>
          </cell>
          <cell r="G73"/>
          <cell r="H73">
            <v>-3766.2747566424014</v>
          </cell>
          <cell r="I73">
            <v>-2971.6934054366316</v>
          </cell>
          <cell r="J73">
            <v>-120.26062841727271</v>
          </cell>
          <cell r="K73">
            <v>-109.19033792953729</v>
          </cell>
          <cell r="L73">
            <v>-101.67386093756811</v>
          </cell>
          <cell r="M73">
            <v>-144.51908572909738</v>
          </cell>
          <cell r="N73">
            <v>-39.472246712171753</v>
          </cell>
          <cell r="O73">
            <v>-68.151971079840351</v>
          </cell>
          <cell r="P73">
            <v>-84.465902608872241</v>
          </cell>
          <cell r="Q73">
            <v>-94.748670495376231</v>
          </cell>
          <cell r="R73">
            <v>-98.135979936987439</v>
          </cell>
        </row>
        <row r="74">
          <cell r="B74" t="str">
            <v>Less: Net Debt / (Cash) including non-recourse debt</v>
          </cell>
          <cell r="C74">
            <v>3119</v>
          </cell>
          <cell r="D74">
            <v>3784</v>
          </cell>
          <cell r="E74">
            <v>5046</v>
          </cell>
          <cell r="F74">
            <v>4949</v>
          </cell>
          <cell r="G74"/>
          <cell r="H74">
            <v>6736</v>
          </cell>
          <cell r="I74">
            <v>5287</v>
          </cell>
          <cell r="J74">
            <v>7883</v>
          </cell>
          <cell r="K74">
            <v>9930</v>
          </cell>
          <cell r="L74">
            <v>10449</v>
          </cell>
          <cell r="M74">
            <v>12450</v>
          </cell>
          <cell r="N74">
            <v>12136</v>
          </cell>
          <cell r="O74">
            <v>11992.434570751095</v>
          </cell>
          <cell r="P74">
            <v>12984.274634313588</v>
          </cell>
          <cell r="Q74">
            <v>14964.761005499369</v>
          </cell>
          <cell r="R74">
            <v>16535.056164800524</v>
          </cell>
        </row>
        <row r="75">
          <cell r="B75" t="str">
            <v>Less: Est. excess cust. prepayments (not disclosed from 2006)</v>
          </cell>
          <cell r="C75">
            <v>-4509</v>
          </cell>
          <cell r="D75">
            <v>-3578</v>
          </cell>
          <cell r="E75">
            <v>-3807</v>
          </cell>
          <cell r="F75">
            <v>-5610</v>
          </cell>
          <cell r="G75"/>
          <cell r="H75">
            <v>-7410</v>
          </cell>
          <cell r="I75">
            <v>-7504</v>
          </cell>
          <cell r="J75">
            <v>-8000</v>
          </cell>
          <cell r="K75">
            <v>-6000</v>
          </cell>
          <cell r="L75">
            <v>-6000</v>
          </cell>
          <cell r="M75">
            <v>-6500</v>
          </cell>
          <cell r="N75">
            <v>-9000</v>
          </cell>
          <cell r="O75">
            <v>-9625</v>
          </cell>
          <cell r="P75">
            <v>-10250</v>
          </cell>
          <cell r="Q75">
            <v>-10875</v>
          </cell>
          <cell r="R75">
            <v>-11000</v>
          </cell>
        </row>
        <row r="76">
          <cell r="B76" t="str">
            <v>Less: Pension deficit, net of def. tax (on and off balance sheet)</v>
          </cell>
          <cell r="C76">
            <v>-2836</v>
          </cell>
          <cell r="D76">
            <v>-3170</v>
          </cell>
          <cell r="E76">
            <v>-3428</v>
          </cell>
          <cell r="F76">
            <v>-3906</v>
          </cell>
          <cell r="G76">
            <v>0</v>
          </cell>
          <cell r="H76">
            <v>-4560</v>
          </cell>
          <cell r="I76">
            <v>-4840</v>
          </cell>
          <cell r="J76">
            <v>-4026</v>
          </cell>
          <cell r="K76">
            <v>-4093</v>
          </cell>
          <cell r="L76">
            <v>-4653</v>
          </cell>
          <cell r="M76">
            <v>-4344</v>
          </cell>
          <cell r="N76">
            <v>-4843.0720000000001</v>
          </cell>
          <cell r="O76">
            <v>-4531.0720000000001</v>
          </cell>
          <cell r="P76">
            <v>-4219.0720000000001</v>
          </cell>
          <cell r="Q76">
            <v>-3907.0720000000001</v>
          </cell>
          <cell r="R76">
            <v>-3595.0720000000001</v>
          </cell>
        </row>
        <row r="77">
          <cell r="B77" t="str">
            <v>Less: Launch aid (Govt refundable advances)</v>
          </cell>
          <cell r="C77">
            <v>-3469</v>
          </cell>
          <cell r="D77">
            <v>-4265</v>
          </cell>
          <cell r="E77">
            <v>-4851</v>
          </cell>
          <cell r="F77">
            <v>-5119</v>
          </cell>
          <cell r="G77"/>
          <cell r="H77">
            <v>-5293</v>
          </cell>
          <cell r="I77">
            <v>-5418</v>
          </cell>
          <cell r="J77">
            <v>-5315</v>
          </cell>
          <cell r="K77">
            <v>-4920</v>
          </cell>
          <cell r="L77">
            <v>-5294</v>
          </cell>
          <cell r="M77">
            <v>-6020</v>
          </cell>
          <cell r="N77">
            <v>-5737</v>
          </cell>
          <cell r="O77">
            <v>-5737</v>
          </cell>
          <cell r="P77">
            <v>-5687</v>
          </cell>
          <cell r="Q77">
            <v>-5537</v>
          </cell>
          <cell r="R77">
            <v>-5387</v>
          </cell>
        </row>
        <row r="78">
          <cell r="B78" t="str">
            <v>Less: Off-balance sheet aircraft financing commitments</v>
          </cell>
          <cell r="C78">
            <v>-1410</v>
          </cell>
          <cell r="D78">
            <v>-1047</v>
          </cell>
          <cell r="E78">
            <v>-850</v>
          </cell>
          <cell r="F78">
            <v>-650</v>
          </cell>
          <cell r="G78"/>
          <cell r="H78">
            <v>-644</v>
          </cell>
          <cell r="I78">
            <v>-526</v>
          </cell>
          <cell r="J78">
            <v>-440</v>
          </cell>
          <cell r="K78">
            <v>-415</v>
          </cell>
          <cell r="L78">
            <v>-429</v>
          </cell>
          <cell r="M78">
            <v>-427</v>
          </cell>
          <cell r="N78">
            <v>-427</v>
          </cell>
          <cell r="O78">
            <v>-427</v>
          </cell>
          <cell r="P78">
            <v>-427</v>
          </cell>
          <cell r="Q78">
            <v>-427</v>
          </cell>
          <cell r="R78">
            <v>-427</v>
          </cell>
        </row>
        <row r="79">
          <cell r="B79" t="str">
            <v>Add back: customer financing collateral value</v>
          </cell>
          <cell r="C79">
            <v>2698</v>
          </cell>
          <cell r="D79">
            <v>2599</v>
          </cell>
          <cell r="E79">
            <v>2594</v>
          </cell>
          <cell r="F79">
            <v>2216</v>
          </cell>
          <cell r="G79"/>
          <cell r="H79">
            <v>2133</v>
          </cell>
          <cell r="I79">
            <v>791</v>
          </cell>
          <cell r="J79">
            <v>622</v>
          </cell>
          <cell r="K79">
            <v>697</v>
          </cell>
          <cell r="L79">
            <v>972</v>
          </cell>
          <cell r="M79">
            <v>926</v>
          </cell>
          <cell r="N79">
            <v>818</v>
          </cell>
          <cell r="O79">
            <v>882</v>
          </cell>
          <cell r="P79">
            <v>882</v>
          </cell>
          <cell r="Q79">
            <v>882</v>
          </cell>
          <cell r="R79">
            <v>882</v>
          </cell>
        </row>
        <row r="80">
          <cell r="B80" t="str">
            <v>Less: FX hedge provision</v>
          </cell>
          <cell r="C80">
            <v>-390</v>
          </cell>
          <cell r="D80">
            <v>-195</v>
          </cell>
          <cell r="E80"/>
          <cell r="F80"/>
          <cell r="G80"/>
          <cell r="H80"/>
          <cell r="I80"/>
          <cell r="J80"/>
          <cell r="K80"/>
          <cell r="L80"/>
          <cell r="M80"/>
          <cell r="N80"/>
          <cell r="O80"/>
          <cell r="P80"/>
          <cell r="Q80"/>
          <cell r="R80"/>
        </row>
        <row r="81">
          <cell r="B81" t="str">
            <v>Add back: Market value of Dassault Aviation</v>
          </cell>
          <cell r="C81">
            <v>1268.6199999999999</v>
          </cell>
          <cell r="D81">
            <v>1541.79</v>
          </cell>
          <cell r="E81">
            <v>1250.0999999999999</v>
          </cell>
          <cell r="F81">
            <v>2058.0349999999999</v>
          </cell>
          <cell r="G81"/>
          <cell r="H81">
            <v>2470.9847</v>
          </cell>
          <cell r="I81">
            <v>2911.4282831310002</v>
          </cell>
          <cell r="J81">
            <v>2484.7938648300001</v>
          </cell>
          <cell r="K81">
            <v>2433.2226714090002</v>
          </cell>
          <cell r="L81">
            <v>1936.2638984430002</v>
          </cell>
          <cell r="M81">
            <v>2742.6498319349998</v>
          </cell>
          <cell r="N81">
            <v>3047.3887021500004</v>
          </cell>
          <cell r="O81">
            <v>3211.4788630350004</v>
          </cell>
          <cell r="P81">
            <v>3211.4788630350004</v>
          </cell>
          <cell r="Q81">
            <v>3211.4788630350004</v>
          </cell>
          <cell r="R81">
            <v>3211.4788630350004</v>
          </cell>
        </row>
        <row r="82">
          <cell r="B82" t="str">
            <v>Add back: book value of other investments</v>
          </cell>
          <cell r="C82">
            <v>967</v>
          </cell>
          <cell r="D82">
            <v>991</v>
          </cell>
          <cell r="E82">
            <v>786</v>
          </cell>
          <cell r="F82">
            <v>785</v>
          </cell>
          <cell r="G82"/>
          <cell r="H82">
            <v>734</v>
          </cell>
          <cell r="I82">
            <v>989</v>
          </cell>
          <cell r="J82">
            <v>825</v>
          </cell>
          <cell r="K82">
            <v>717</v>
          </cell>
          <cell r="L82">
            <v>978</v>
          </cell>
          <cell r="M82">
            <v>1406</v>
          </cell>
          <cell r="N82">
            <v>1525</v>
          </cell>
          <cell r="O82">
            <v>1583</v>
          </cell>
          <cell r="P82">
            <v>1583</v>
          </cell>
          <cell r="Q82">
            <v>1583</v>
          </cell>
          <cell r="R82">
            <v>1583</v>
          </cell>
        </row>
        <row r="83">
          <cell r="B83" t="str">
            <v>Implied equity value (using company declared WACC)</v>
          </cell>
          <cell r="C83">
            <v>6420.3231494614529</v>
          </cell>
          <cell r="D83">
            <v>6233.7475314403773</v>
          </cell>
          <cell r="E83">
            <v>7492.9666736772506</v>
          </cell>
          <cell r="F83">
            <v>10304.196327920352</v>
          </cell>
          <cell r="G83"/>
          <cell r="H83">
            <v>10487.448187680526</v>
          </cell>
          <cell r="I83">
            <v>-10859.580143307689</v>
          </cell>
          <cell r="J83">
            <v>-9101.215003997273</v>
          </cell>
          <cell r="K83">
            <v>16284.511787759144</v>
          </cell>
          <cell r="L83">
            <v>-6725.9344515303701</v>
          </cell>
          <cell r="M83">
            <v>5592.5936263081712</v>
          </cell>
          <cell r="N83">
            <v>6655.823705490493</v>
          </cell>
          <cell r="O83">
            <v>4405.4455900257844</v>
          </cell>
          <cell r="P83">
            <v>11901.097085574522</v>
          </cell>
          <cell r="Q83">
            <v>21210.004367150999</v>
          </cell>
          <cell r="R83">
            <v>34605.351411301024</v>
          </cell>
        </row>
        <row r="84">
          <cell r="B84" t="str">
            <v>Implied equity value (using 9.5% WACC)</v>
          </cell>
          <cell r="C84">
            <v>6295.5642620324898</v>
          </cell>
          <cell r="D84">
            <v>6120.2547254284318</v>
          </cell>
          <cell r="E84">
            <v>7365.7972544939967</v>
          </cell>
          <cell r="F84">
            <v>10115.824055878053</v>
          </cell>
          <cell r="G84"/>
          <cell r="H84">
            <v>10276.008837740283</v>
          </cell>
          <cell r="I84">
            <v>-10884.966300981352</v>
          </cell>
          <cell r="J84">
            <v>-9114.3018646245364</v>
          </cell>
          <cell r="K84">
            <v>16050.148846135147</v>
          </cell>
          <cell r="L84">
            <v>-6731.3710358563085</v>
          </cell>
          <cell r="M84">
            <v>5476.9992802018314</v>
          </cell>
          <cell r="N84">
            <v>6517.1291870688874</v>
          </cell>
          <cell r="O84">
            <v>4290.9744728961041</v>
          </cell>
          <cell r="P84">
            <v>11717.856227776258</v>
          </cell>
          <cell r="Q84">
            <v>20950.429786423505</v>
          </cell>
          <cell r="R84">
            <v>34232.709049581004</v>
          </cell>
        </row>
        <row r="85">
          <cell r="B85"/>
          <cell r="C85"/>
          <cell r="D85"/>
          <cell r="E85"/>
          <cell r="F85"/>
          <cell r="G85"/>
          <cell r="H85"/>
          <cell r="I85"/>
          <cell r="J85"/>
          <cell r="K85"/>
          <cell r="L85"/>
          <cell r="M85"/>
          <cell r="N85"/>
          <cell r="O85"/>
          <cell r="P85"/>
          <cell r="Q85"/>
          <cell r="R85"/>
        </row>
        <row r="86">
          <cell r="B86" t="str">
            <v>Average no. of shares</v>
          </cell>
          <cell r="C86">
            <v>0</v>
          </cell>
          <cell r="D86">
            <v>0</v>
          </cell>
          <cell r="E86">
            <v>0</v>
          </cell>
          <cell r="F86">
            <v>0</v>
          </cell>
          <cell r="G86"/>
          <cell r="H86">
            <v>0</v>
          </cell>
          <cell r="I86">
            <v>800.18516399999999</v>
          </cell>
          <cell r="J86">
            <v>803.12822100000005</v>
          </cell>
          <cell r="K86">
            <v>806.97880099999998</v>
          </cell>
          <cell r="L86">
            <v>809.69863099999998</v>
          </cell>
          <cell r="M86">
            <v>810.69333900000004</v>
          </cell>
          <cell r="N86">
            <v>812.50728800000002</v>
          </cell>
          <cell r="O86">
            <v>817</v>
          </cell>
          <cell r="P86">
            <v>818.02697000000001</v>
          </cell>
          <cell r="Q86">
            <v>818.02697000000001</v>
          </cell>
          <cell r="R86">
            <v>818.02697000000001</v>
          </cell>
        </row>
        <row r="87">
          <cell r="B87" t="str">
            <v>Implied value per share (€) (using co. def WACC)</v>
          </cell>
          <cell r="C87" t="e">
            <v>#DIV/0!</v>
          </cell>
          <cell r="D87" t="e">
            <v>#DIV/0!</v>
          </cell>
          <cell r="E87" t="e">
            <v>#DIV/0!</v>
          </cell>
          <cell r="F87" t="e">
            <v>#DIV/0!</v>
          </cell>
          <cell r="G87"/>
          <cell r="H87" t="e">
            <v>#DIV/0!</v>
          </cell>
          <cell r="I87">
            <v>-13.571334026017619</v>
          </cell>
          <cell r="J87">
            <v>-11.332206696291989</v>
          </cell>
          <cell r="K87">
            <v>20.179602943199427</v>
          </cell>
          <cell r="L87">
            <v>-8.3067133795491994</v>
          </cell>
          <cell r="M87">
            <v>6.8985316114804922</v>
          </cell>
          <cell r="N87">
            <v>8.1917095437678</v>
          </cell>
          <cell r="O87">
            <v>5.3922222644134452</v>
          </cell>
          <cell r="P87">
            <v>14.548538767095321</v>
          </cell>
          <cell r="Q87">
            <v>25.928245821957432</v>
          </cell>
          <cell r="R87">
            <v>42.30343580395769</v>
          </cell>
        </row>
        <row r="88">
          <cell r="B88" t="str">
            <v>Implied value per share (€) (using 9.5% WACC)</v>
          </cell>
          <cell r="C88" t="e">
            <v>#DIV/0!</v>
          </cell>
          <cell r="D88" t="e">
            <v>#DIV/0!</v>
          </cell>
          <cell r="E88" t="e">
            <v>#DIV/0!</v>
          </cell>
          <cell r="F88" t="e">
            <v>#DIV/0!</v>
          </cell>
          <cell r="G88"/>
          <cell r="H88" t="e">
            <v>#DIV/0!</v>
          </cell>
          <cell r="I88">
            <v>-13.603059380117864</v>
          </cell>
          <cell r="J88">
            <v>-11.348501554678323</v>
          </cell>
          <cell r="K88">
            <v>19.889182747113015</v>
          </cell>
          <cell r="L88">
            <v>-8.3134277101875309</v>
          </cell>
          <cell r="M88">
            <v>6.7559445930045214</v>
          </cell>
          <cell r="N88">
            <v>8.0210101291656191</v>
          </cell>
          <cell r="O88">
            <v>5.2521107379389278</v>
          </cell>
          <cell r="P88">
            <v>14.32453532403248</v>
          </cell>
          <cell r="Q88">
            <v>25.610927945839617</v>
          </cell>
          <cell r="R88">
            <v>41.847897813908268</v>
          </cell>
        </row>
        <row r="89">
          <cell r="B89"/>
          <cell r="C89"/>
          <cell r="D89"/>
          <cell r="E89"/>
          <cell r="F89"/>
          <cell r="G89"/>
          <cell r="H89"/>
          <cell r="I89"/>
          <cell r="J89"/>
          <cell r="K89"/>
          <cell r="L89"/>
          <cell r="M89"/>
          <cell r="N89"/>
          <cell r="O89"/>
          <cell r="P89"/>
          <cell r="Q89"/>
          <cell r="R89"/>
        </row>
        <row r="91">
          <cell r="B91" t="str">
            <v>Checking</v>
          </cell>
        </row>
        <row r="92">
          <cell r="N92">
            <v>0.47619047619047628</v>
          </cell>
        </row>
        <row r="93">
          <cell r="N93">
            <v>-0.32258064516129037</v>
          </cell>
        </row>
        <row r="94">
          <cell r="B94"/>
          <cell r="C94"/>
          <cell r="D94"/>
          <cell r="E94"/>
          <cell r="F94"/>
          <cell r="G94"/>
          <cell r="H94"/>
          <cell r="I94"/>
          <cell r="J94"/>
          <cell r="K94"/>
          <cell r="L94"/>
          <cell r="M94"/>
          <cell r="N94"/>
          <cell r="O94"/>
          <cell r="P94"/>
          <cell r="Q94"/>
          <cell r="R94"/>
        </row>
      </sheetData>
      <sheetData sheetId="20"/>
      <sheetData sheetId="21" refreshError="1"/>
      <sheetData sheetId="22" refreshError="1"/>
      <sheetData sheetId="23"/>
      <sheetData sheetId="24" refreshError="1"/>
      <sheetData sheetId="25" refreshError="1"/>
      <sheetData sheetId="26" refreshError="1"/>
      <sheetData sheetId="27" refreshError="1"/>
      <sheetData sheetId="28">
        <row r="14">
          <cell r="B14" t="str">
            <v>Civil aero - new equipment</v>
          </cell>
        </row>
      </sheetData>
      <sheetData sheetId="29"/>
      <sheetData sheetId="30" refreshError="1"/>
      <sheetData sheetId="31" refreshError="1"/>
      <sheetData sheetId="32">
        <row r="18">
          <cell r="G18">
            <v>1996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Company snapshot"/>
      <sheetName val="OpMod"/>
      <sheetName val="Interim"/>
      <sheetName val="SOTP"/>
      <sheetName val="10 Yr Val"/>
      <sheetName val="ROIC"/>
      <sheetName val="Acq &amp; Disp"/>
      <sheetName val="New vs old"/>
      <sheetName val="GS vs. Consensus"/>
      <sheetName val="Charts"/>
      <sheetName val="Correlations (Q)"/>
      <sheetName val="Automation analsyis"/>
      <sheetName val="Q Out NEW"/>
      <sheetName val="Bottom up"/>
      <sheetName val="SOTP old"/>
      <sheetName val="Bridges"/>
      <sheetName val="Output"/>
    </sheetNames>
    <sheetDataSet>
      <sheetData sheetId="0"/>
      <sheetData sheetId="1"/>
      <sheetData sheetId="2">
        <row r="1">
          <cell r="A1" t="str">
            <v>SKF Operating Model</v>
          </cell>
        </row>
      </sheetData>
      <sheetData sheetId="3">
        <row r="1">
          <cell r="A1" t="str">
            <v>SKF Operating Model</v>
          </cell>
        </row>
      </sheetData>
      <sheetData sheetId="4"/>
      <sheetData sheetId="5">
        <row r="22">
          <cell r="BH22">
            <v>0.15459832995490769</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gl. discount"/>
    </sheetNames>
    <sheetDataSet>
      <sheetData sheetId="0">
        <row r="4">
          <cell r="B4">
            <v>0</v>
          </cell>
          <cell r="U4">
            <v>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GDP revisions"/>
    </sheetNames>
    <sheetDataSet>
      <sheetData sheetId="0" refreshError="1"/>
      <sheetData sheetId="1">
        <row r="2">
          <cell r="BY2">
            <v>0</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GIR Product">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B48210-8A4D-4EB4-996A-B865B55457AC}">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6.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 Id="rId4" Type="http://schemas.openxmlformats.org/officeDocument/2006/relationships/customProperty" Target="../customProperty9.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customProperty" Target="../customProperty18.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B1"/>
  <sheetViews>
    <sheetView workbookViewId="0"/>
  </sheetViews>
  <sheetFormatPr defaultRowHeight="14.25"/>
  <sheetData>
    <row r="1" spans="1:2">
      <c r="B1" t="s">
        <v>496</v>
      </c>
    </row>
  </sheetData>
  <pageMargins left="0.7" right="0.7" top="0.75" bottom="0.75" header="0.3" footer="0.3"/>
  <pageSetup paperSize="0" orientation="portrait" r:id="rId1"/>
  <customProperties>
    <customPr name="Qube.Worksheet.Visibility" r:id="rId2"/>
    <customPr name="QXL_SHEET_ID" r:id="rId3"/>
  </customProperties>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theme="0"/>
  </sheetPr>
  <dimension ref="A1:I27"/>
  <sheetViews>
    <sheetView showGridLines="0" tabSelected="1" zoomScaleNormal="100" workbookViewId="0"/>
  </sheetViews>
  <sheetFormatPr defaultColWidth="0" defaultRowHeight="12.75" customHeight="1" zeroHeight="1"/>
  <cols>
    <col min="1" max="1" width="8" style="298" customWidth="1"/>
    <col min="2" max="2" width="35" style="298" customWidth="1"/>
    <col min="3" max="3" width="15.875" style="298" customWidth="1"/>
    <col min="4" max="5" width="20" style="298" customWidth="1"/>
    <col min="6" max="16384" width="8" style="298" hidden="1"/>
  </cols>
  <sheetData>
    <row r="1" spans="1:9" ht="9.75" customHeight="1"/>
    <row r="2" spans="1:9" ht="21">
      <c r="A2" s="345" t="s">
        <v>506</v>
      </c>
      <c r="B2" s="346"/>
      <c r="C2" s="346"/>
      <c r="D2" s="346"/>
      <c r="E2" s="346"/>
    </row>
    <row r="3" spans="1:9" ht="21">
      <c r="A3" s="345" t="s">
        <v>507</v>
      </c>
      <c r="B3" s="346"/>
      <c r="C3" s="346"/>
      <c r="D3" s="346"/>
      <c r="E3" s="346"/>
    </row>
    <row r="4" spans="1:9" ht="21">
      <c r="A4" s="345" t="s">
        <v>508</v>
      </c>
      <c r="B4" s="346"/>
      <c r="C4" s="346"/>
      <c r="D4" s="346"/>
      <c r="E4" s="346"/>
    </row>
    <row r="5" spans="1:9" ht="6" customHeight="1"/>
    <row r="6" spans="1:9" s="299" customFormat="1" ht="18" customHeight="1">
      <c r="A6" s="347"/>
      <c r="B6" s="348" t="s">
        <v>379</v>
      </c>
      <c r="C6" s="349"/>
      <c r="D6" s="347"/>
      <c r="E6" s="347"/>
    </row>
    <row r="7" spans="1:9" s="300" customFormat="1" ht="18" customHeight="1">
      <c r="A7" s="350"/>
      <c r="B7" s="351" t="s">
        <v>509</v>
      </c>
      <c r="C7" s="352">
        <v>46260</v>
      </c>
      <c r="D7" s="350"/>
      <c r="E7" s="350"/>
      <c r="I7" s="300" t="s">
        <v>510</v>
      </c>
    </row>
    <row r="8" spans="1:9" ht="6" customHeight="1"/>
    <row r="9" spans="1:9" s="301" customFormat="1" ht="18" customHeight="1">
      <c r="A9" s="347"/>
      <c r="B9" s="353" t="s">
        <v>511</v>
      </c>
      <c r="C9" s="347"/>
      <c r="D9" s="347"/>
      <c r="E9" s="347"/>
    </row>
    <row r="10" spans="1:9" s="300" customFormat="1" ht="18" customHeight="1">
      <c r="A10" s="350"/>
      <c r="B10" s="354" t="s">
        <v>653</v>
      </c>
      <c r="C10" s="350"/>
      <c r="D10" s="350"/>
      <c r="E10" s="350"/>
    </row>
    <row r="11" spans="1:9" s="300" customFormat="1" ht="18" customHeight="1">
      <c r="A11" s="350"/>
      <c r="B11" s="355" t="s">
        <v>648</v>
      </c>
      <c r="C11" s="356"/>
      <c r="D11" s="356"/>
      <c r="E11" s="356"/>
    </row>
    <row r="12" spans="1:9" s="300" customFormat="1" ht="18" customHeight="1">
      <c r="A12" s="350"/>
      <c r="B12" s="354" t="s">
        <v>654</v>
      </c>
      <c r="C12" s="350"/>
      <c r="D12" s="350"/>
      <c r="E12" s="350"/>
    </row>
    <row r="13" spans="1:9" s="300" customFormat="1" ht="18" customHeight="1">
      <c r="A13" s="350"/>
      <c r="B13" s="858" t="s">
        <v>649</v>
      </c>
      <c r="C13" s="350"/>
      <c r="D13" s="350"/>
      <c r="E13" s="350"/>
    </row>
    <row r="14" spans="1:9" s="300" customFormat="1" ht="18" customHeight="1">
      <c r="A14" s="350"/>
      <c r="B14" s="355" t="s">
        <v>650</v>
      </c>
      <c r="C14" s="350"/>
      <c r="D14" s="350"/>
      <c r="E14" s="350"/>
    </row>
    <row r="15" spans="1:9" s="300" customFormat="1" ht="18" customHeight="1">
      <c r="A15" s="350"/>
      <c r="B15" s="357"/>
      <c r="C15" s="350"/>
      <c r="D15" s="350"/>
      <c r="E15" s="350"/>
    </row>
    <row r="16" spans="1:9" s="300" customFormat="1" ht="18" customHeight="1">
      <c r="A16" s="350"/>
      <c r="B16" s="357"/>
      <c r="C16" s="356"/>
      <c r="D16" s="356"/>
      <c r="E16" s="356"/>
    </row>
    <row r="17" spans="1:5" s="300" customFormat="1" ht="18" customHeight="1">
      <c r="A17" s="298"/>
      <c r="B17" s="298"/>
      <c r="C17" s="298"/>
      <c r="D17" s="298"/>
      <c r="E17" s="298"/>
    </row>
    <row r="18" spans="1:5" hidden="1"/>
    <row r="19" spans="1:5" hidden="1"/>
    <row r="20" spans="1:5" hidden="1"/>
    <row r="21" spans="1:5" hidden="1"/>
    <row r="22" spans="1:5" hidden="1"/>
    <row r="23" spans="1:5" hidden="1"/>
    <row r="24" spans="1:5" hidden="1"/>
    <row r="25" spans="1:5" hidden="1"/>
    <row r="26" spans="1:5" hidden="1"/>
    <row r="27" spans="1:5" hidden="1"/>
  </sheetData>
  <protectedRanges>
    <protectedRange password="EFD2" sqref="C7:E8" name="Cover_2_1"/>
    <protectedRange password="EFD2" sqref="C10:E10 C12:E15" name="Cover_2_1_1"/>
    <protectedRange password="EFD2" sqref="C11:E11" name="Cover_1_1_1_1"/>
    <protectedRange password="EFD2" sqref="B10" name="Cover_2_1_1_1_1_1"/>
    <protectedRange password="EFD2" sqref="B12" name="Cover_2_1_1_1_1_1_1_1"/>
  </protectedRanges>
  <pageMargins left="0.7" right="0.7" top="0.75" bottom="0.75" header="0.3" footer="0.3"/>
  <pageSetup paperSize="0" orientation="portrait" r:id="rId1"/>
  <customProperties>
    <customPr name="Qube.Worksheet.Visibility" r:id="rId2"/>
    <customPr name="QXL_SHEET_ID"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CF0F-CA4E-4641-A6E2-309D5592F04C}">
  <sheetPr>
    <tabColor rgb="FF002060"/>
    <pageSetUpPr fitToPage="1"/>
  </sheetPr>
  <dimension ref="A1:W63"/>
  <sheetViews>
    <sheetView showGridLines="0" zoomScaleNormal="100" workbookViewId="0"/>
  </sheetViews>
  <sheetFormatPr defaultColWidth="0" defaultRowHeight="12.75" zeroHeight="1"/>
  <cols>
    <col min="1" max="1" width="9" style="114" customWidth="1"/>
    <col min="2" max="2" width="32.75" style="114" bestFit="1" customWidth="1"/>
    <col min="3" max="3" width="8.5" style="114" customWidth="1"/>
    <col min="4" max="8" width="10.625" style="114" customWidth="1"/>
    <col min="9" max="13" width="11.125" style="114" customWidth="1"/>
    <col min="14" max="15" width="9.125" style="114" customWidth="1"/>
    <col min="16" max="20" width="9.125" style="114" hidden="1"/>
    <col min="21" max="23" width="8.375" style="114" hidden="1"/>
    <col min="24" max="16384" width="9" style="114" hidden="1"/>
  </cols>
  <sheetData>
    <row r="1" spans="1:14" ht="13.5" thickBot="1">
      <c r="A1" s="99"/>
    </row>
    <row r="2" spans="1:14">
      <c r="A2" s="99"/>
      <c r="B2" s="888" t="s">
        <v>670</v>
      </c>
    </row>
    <row r="3" spans="1:14" ht="13.5" thickBot="1">
      <c r="B3" s="889">
        <v>46625</v>
      </c>
      <c r="E3" s="141"/>
    </row>
    <row r="4" spans="1:14">
      <c r="B4" s="879"/>
      <c r="E4" s="141"/>
    </row>
    <row r="5" spans="1:14">
      <c r="C5" s="114">
        <v>2026</v>
      </c>
      <c r="D5" s="114">
        <v>2027</v>
      </c>
      <c r="E5" s="114">
        <f>D5+1</f>
        <v>2028</v>
      </c>
      <c r="F5" s="114">
        <f t="shared" ref="F5:H5" si="0">E5+1</f>
        <v>2029</v>
      </c>
      <c r="G5" s="114">
        <f t="shared" si="0"/>
        <v>2030</v>
      </c>
      <c r="H5" s="114">
        <f t="shared" si="0"/>
        <v>2031</v>
      </c>
      <c r="I5" s="114">
        <f t="shared" ref="I5" si="1">H5+1</f>
        <v>2032</v>
      </c>
      <c r="J5" s="114">
        <f t="shared" ref="J5" si="2">I5+1</f>
        <v>2033</v>
      </c>
      <c r="K5" s="114">
        <f t="shared" ref="K5" si="3">J5+1</f>
        <v>2034</v>
      </c>
      <c r="L5" s="114">
        <f t="shared" ref="L5" si="4">K5+1</f>
        <v>2035</v>
      </c>
      <c r="M5" s="114">
        <f t="shared" ref="M5" si="5">L5+1</f>
        <v>2036</v>
      </c>
    </row>
    <row r="6" spans="1:14">
      <c r="B6" s="817" t="s">
        <v>542</v>
      </c>
      <c r="C6" s="817"/>
      <c r="D6" s="893">
        <f>DATE(YEAR(B3),6,1)</f>
        <v>46539</v>
      </c>
      <c r="E6" s="893">
        <f>EDATE(DATE(YEAR(D6),6,1),12)</f>
        <v>46905</v>
      </c>
      <c r="F6" s="893">
        <f t="shared" ref="F6:M6" si="6">EDATE(DATE(YEAR(E6),6,1),12)</f>
        <v>47270</v>
      </c>
      <c r="G6" s="893">
        <f t="shared" si="6"/>
        <v>47635</v>
      </c>
      <c r="H6" s="893">
        <f t="shared" si="6"/>
        <v>48000</v>
      </c>
      <c r="I6" s="893">
        <f t="shared" si="6"/>
        <v>48366</v>
      </c>
      <c r="J6" s="893">
        <f t="shared" si="6"/>
        <v>48731</v>
      </c>
      <c r="K6" s="893">
        <f t="shared" si="6"/>
        <v>49096</v>
      </c>
      <c r="L6" s="893">
        <f t="shared" si="6"/>
        <v>49461</v>
      </c>
      <c r="M6" s="893">
        <f t="shared" si="6"/>
        <v>49827</v>
      </c>
      <c r="N6" s="818"/>
    </row>
    <row r="7" spans="1:14">
      <c r="B7" s="114" t="s">
        <v>528</v>
      </c>
      <c r="C7" s="819">
        <f>'DCF Feed'!B4</f>
        <v>7612.6223301407481</v>
      </c>
      <c r="D7" s="819">
        <f>'DCF Feed'!C4</f>
        <v>9281.3937468996228</v>
      </c>
      <c r="E7" s="819">
        <f>'DCF Feed'!D4</f>
        <v>11593.856786348431</v>
      </c>
      <c r="F7" s="819">
        <f>'DCF Feed'!E4</f>
        <v>13254.654457542723</v>
      </c>
      <c r="G7" s="819">
        <f>'DCF Feed'!F4</f>
        <v>14127.450751599445</v>
      </c>
      <c r="H7" s="819">
        <f>'DCF Feed'!G4</f>
        <v>14752.724686371123</v>
      </c>
      <c r="I7" s="819">
        <f t="shared" ref="I7:M7" si="7">H7*(1+I8)</f>
        <v>15785.415414417103</v>
      </c>
      <c r="J7" s="819">
        <f t="shared" si="7"/>
        <v>16732.540339282128</v>
      </c>
      <c r="K7" s="819">
        <f t="shared" si="7"/>
        <v>17569.167356246235</v>
      </c>
      <c r="L7" s="819">
        <f t="shared" si="7"/>
        <v>18271.934050496086</v>
      </c>
      <c r="M7" s="819">
        <f t="shared" si="7"/>
        <v>18820.092072010968</v>
      </c>
      <c r="N7" s="139"/>
    </row>
    <row r="8" spans="1:14" s="820" customFormat="1">
      <c r="B8" s="820" t="s">
        <v>671</v>
      </c>
      <c r="C8" s="890"/>
      <c r="D8" s="891">
        <f>D7/C7-1</f>
        <v>0.21921111338358235</v>
      </c>
      <c r="E8" s="891">
        <f t="shared" ref="E8:H8" si="8">E7/D7-1</f>
        <v>0.24915040806465827</v>
      </c>
      <c r="F8" s="891">
        <f t="shared" si="8"/>
        <v>0.14324807540747386</v>
      </c>
      <c r="G8" s="891">
        <f t="shared" si="8"/>
        <v>6.5848287245243498E-2</v>
      </c>
      <c r="H8" s="891">
        <f t="shared" si="8"/>
        <v>4.4259501998326733E-2</v>
      </c>
      <c r="I8" s="891">
        <f>$D$21</f>
        <v>7.0000000000000007E-2</v>
      </c>
      <c r="J8" s="891">
        <f>I8+(($M$8-$I$8)/4)</f>
        <v>6.0000000000000005E-2</v>
      </c>
      <c r="K8" s="891">
        <f t="shared" ref="K8:L8" si="9">J8+(($M$8-$I$8)/4)</f>
        <v>0.05</v>
      </c>
      <c r="L8" s="891">
        <f t="shared" si="9"/>
        <v>0.04</v>
      </c>
      <c r="M8" s="891">
        <f>$D$39</f>
        <v>0.03</v>
      </c>
      <c r="N8" s="892"/>
    </row>
    <row r="9" spans="1:14">
      <c r="B9" s="820" t="s">
        <v>623</v>
      </c>
      <c r="C9" s="821">
        <f>-'DCF Feed'!B11</f>
        <v>0.2699576868829337</v>
      </c>
      <c r="D9" s="821">
        <f>-'DCF Feed'!C11</f>
        <v>0.2699576868829337</v>
      </c>
      <c r="E9" s="821">
        <f>-'DCF Feed'!D11</f>
        <v>0.2699576868829337</v>
      </c>
      <c r="F9" s="821">
        <f>-'DCF Feed'!E11</f>
        <v>0.2699576868829337</v>
      </c>
      <c r="G9" s="821">
        <f>-'DCF Feed'!F11</f>
        <v>0.2699576868829337</v>
      </c>
      <c r="H9" s="821">
        <f>-'DCF Feed'!G11</f>
        <v>0.2699576868829337</v>
      </c>
      <c r="I9" s="821">
        <f t="shared" ref="I9:M9" si="10">H9</f>
        <v>0.2699576868829337</v>
      </c>
      <c r="J9" s="821">
        <f t="shared" si="10"/>
        <v>0.2699576868829337</v>
      </c>
      <c r="K9" s="821">
        <f>J9</f>
        <v>0.2699576868829337</v>
      </c>
      <c r="L9" s="821">
        <f t="shared" si="10"/>
        <v>0.2699576868829337</v>
      </c>
      <c r="M9" s="821">
        <f t="shared" si="10"/>
        <v>0.2699576868829337</v>
      </c>
    </row>
    <row r="10" spans="1:14">
      <c r="B10" s="114" t="s">
        <v>604</v>
      </c>
      <c r="C10" s="917">
        <f>C7*(1-C9)</f>
        <v>5557.5364147825831</v>
      </c>
      <c r="D10" s="917">
        <f t="shared" ref="D10:G10" si="11">D7*(1-D9)</f>
        <v>6775.8101599368765</v>
      </c>
      <c r="E10" s="917">
        <f t="shared" si="11"/>
        <v>8464.0060262538063</v>
      </c>
      <c r="F10" s="917">
        <f t="shared" si="11"/>
        <v>9676.4585997519243</v>
      </c>
      <c r="G10" s="917">
        <f t="shared" si="11"/>
        <v>10313.636825145097</v>
      </c>
      <c r="H10" s="917">
        <f>H7*(1-H9)</f>
        <v>10770.113254817621</v>
      </c>
      <c r="I10" s="819">
        <f t="shared" ref="I10:L10" si="12">I7*(1-I9)</f>
        <v>11524.021182654857</v>
      </c>
      <c r="J10" s="819">
        <f t="shared" si="12"/>
        <v>12215.462453614147</v>
      </c>
      <c r="K10" s="819">
        <f t="shared" si="12"/>
        <v>12826.235576294854</v>
      </c>
      <c r="L10" s="819">
        <f t="shared" si="12"/>
        <v>13339.28499934665</v>
      </c>
      <c r="M10" s="819">
        <f t="shared" ref="M10" si="13">M7*(1-M9)</f>
        <v>13739.463549327049</v>
      </c>
    </row>
    <row r="11" spans="1:14">
      <c r="B11" s="114" t="s">
        <v>49</v>
      </c>
      <c r="C11" s="138">
        <f>INDEX('Income Statement'!153:153, MATCH(C5,'Income Statement'!2:2,0))</f>
        <v>3211.5501357933422</v>
      </c>
      <c r="D11" s="138">
        <f>INDEX('Income Statement'!153:153, MATCH(D5,'Income Statement'!2:2,0))</f>
        <v>3469.6347494203442</v>
      </c>
      <c r="E11" s="138">
        <f>INDEX('Income Statement'!153:153, MATCH(E5,'Income Statement'!2:2,0))</f>
        <v>3062.0877125687011</v>
      </c>
      <c r="F11" s="138">
        <f>INDEX('Income Statement'!153:153, MATCH(F5,'Income Statement'!2:2,0))</f>
        <v>3424.6145774449874</v>
      </c>
      <c r="G11" s="138">
        <f>INDEX('Income Statement'!153:153, MATCH(G5,'Income Statement'!2:2,0))</f>
        <v>3697.5801079786388</v>
      </c>
      <c r="H11" s="138">
        <f>INDEX('Income Statement'!153:153, MATCH(H5,'Income Statement'!2:2,0))</f>
        <v>3879.6435200377946</v>
      </c>
      <c r="I11" s="819"/>
      <c r="J11" s="819"/>
      <c r="K11" s="819"/>
      <c r="L11" s="819"/>
      <c r="M11" s="819"/>
    </row>
    <row r="12" spans="1:14">
      <c r="B12" s="114" t="s">
        <v>624</v>
      </c>
      <c r="C12" s="138">
        <f>INDEX('Cash Flow Statement'!23:23, MATCH(C5,'Cash Flow Statement'!2:2,0))</f>
        <v>286.29730750009367</v>
      </c>
      <c r="D12" s="138">
        <f>INDEX('Cash Flow Statement'!23:23, MATCH(D5,'Cash Flow Statement'!2:2,0))</f>
        <v>1076.5363823401885</v>
      </c>
      <c r="E12" s="138">
        <f>INDEX('Cash Flow Statement'!23:23, MATCH(E5,'Cash Flow Statement'!2:2,0))</f>
        <v>2094.6614400685785</v>
      </c>
      <c r="F12" s="138">
        <f>INDEX('Cash Flow Statement'!23:23, MATCH(F5,'Cash Flow Statement'!2:2,0))</f>
        <v>2770.7820249812048</v>
      </c>
      <c r="G12" s="138">
        <f>INDEX('Cash Flow Statement'!23:23, MATCH(G5,'Cash Flow Statement'!2:2,0))</f>
        <v>2833.2116133789332</v>
      </c>
      <c r="H12" s="138">
        <f>INDEX('Cash Flow Statement'!23:23, MATCH(H5,'Cash Flow Statement'!2:2,0))</f>
        <v>986.59515404288868</v>
      </c>
      <c r="I12" s="139"/>
      <c r="J12" s="139"/>
      <c r="K12" s="139"/>
      <c r="L12" s="139"/>
      <c r="M12" s="139"/>
    </row>
    <row r="13" spans="1:14">
      <c r="B13" s="114" t="s">
        <v>625</v>
      </c>
      <c r="C13" s="138">
        <f>INDEX('Cash Flow Statement'!73:73, MATCH(C5,'Cash Flow Statement'!2:2,0))</f>
        <v>-4175.2211832254379</v>
      </c>
      <c r="D13" s="138">
        <f>INDEX('Cash Flow Statement'!73:73, MATCH(D5,'Cash Flow Statement'!2:2,0))</f>
        <v>-4567.208597120687</v>
      </c>
      <c r="E13" s="138">
        <f>INDEX('Cash Flow Statement'!73:73, MATCH(E5,'Cash Flow Statement'!2:2,0))</f>
        <v>-5029.5828194492078</v>
      </c>
      <c r="F13" s="138">
        <f>INDEX('Cash Flow Statement'!73:73, MATCH(F5,'Cash Flow Statement'!2:2,0))</f>
        <v>-5340.976287763071</v>
      </c>
      <c r="G13" s="138">
        <f>INDEX('Cash Flow Statement'!73:73, MATCH(G5,'Cash Flow Statement'!2:2,0))</f>
        <v>-5495.0067136203224</v>
      </c>
      <c r="H13" s="138">
        <f>INDEX('Cash Flow Statement'!73:73, MATCH(H5,'Cash Flow Statement'!2:2,0))</f>
        <v>-5587.5175099190928</v>
      </c>
      <c r="I13" s="139"/>
      <c r="J13" s="139"/>
      <c r="K13" s="139"/>
      <c r="L13" s="139"/>
      <c r="M13" s="139"/>
    </row>
    <row r="14" spans="1:14">
      <c r="B14" s="822" t="s">
        <v>645</v>
      </c>
      <c r="C14" s="823">
        <f>C10+C11+C12+C13</f>
        <v>4880.1626748505805</v>
      </c>
      <c r="D14" s="823">
        <f>D10+D11+D12+D13</f>
        <v>6754.7726945767208</v>
      </c>
      <c r="E14" s="823">
        <f t="shared" ref="E14:G14" si="14">E10+E11+E12+E13</f>
        <v>8591.1723594418781</v>
      </c>
      <c r="F14" s="823">
        <f t="shared" si="14"/>
        <v>10530.878914415045</v>
      </c>
      <c r="G14" s="823">
        <f t="shared" si="14"/>
        <v>11349.421832882348</v>
      </c>
      <c r="H14" s="823">
        <f t="shared" ref="H14" si="15">H10+H11+H12+H13</f>
        <v>10048.834418979211</v>
      </c>
      <c r="I14" s="823">
        <f>I10*I15</f>
        <v>10560.885863697533</v>
      </c>
      <c r="J14" s="823">
        <f t="shared" ref="J14:L14" si="16">J10*J15</f>
        <v>10991.690033032544</v>
      </c>
      <c r="K14" s="823">
        <f t="shared" si="16"/>
        <v>11328.283103072989</v>
      </c>
      <c r="L14" s="823">
        <f t="shared" si="16"/>
        <v>11559.90333832028</v>
      </c>
      <c r="M14" s="823">
        <f t="shared" ref="M14" si="17">M10*M15</f>
        <v>11678.544016927992</v>
      </c>
    </row>
    <row r="15" spans="1:14">
      <c r="B15" s="114" t="s">
        <v>674</v>
      </c>
      <c r="C15" s="141">
        <f>C14/C10</f>
        <v>0.87811618505454236</v>
      </c>
      <c r="D15" s="141">
        <f t="shared" ref="D15:G15" si="18">D14/D10</f>
        <v>0.99689521033447137</v>
      </c>
      <c r="E15" s="141">
        <f t="shared" si="18"/>
        <v>1.0150243670424648</v>
      </c>
      <c r="F15" s="141">
        <f t="shared" si="18"/>
        <v>1.0882988653188703</v>
      </c>
      <c r="G15" s="141">
        <f t="shared" si="18"/>
        <v>1.1004286873095979</v>
      </c>
      <c r="H15" s="141">
        <f>H14/H10</f>
        <v>0.93302959599651647</v>
      </c>
      <c r="I15" s="141">
        <f>H15+(($M$15-$H$15)/5)</f>
        <v>0.91642367679721315</v>
      </c>
      <c r="J15" s="141">
        <f t="shared" ref="J15:L15" si="19">I15+(($M$15-$H$15)/5)</f>
        <v>0.89981775759790983</v>
      </c>
      <c r="K15" s="141">
        <f t="shared" si="19"/>
        <v>0.88321183839860651</v>
      </c>
      <c r="L15" s="141">
        <f t="shared" si="19"/>
        <v>0.86660591919930319</v>
      </c>
      <c r="M15" s="141">
        <f>$D$22</f>
        <v>0.85</v>
      </c>
    </row>
    <row r="16" spans="1:14">
      <c r="B16" s="114" t="s">
        <v>505</v>
      </c>
      <c r="C16" s="763"/>
      <c r="D16" s="763">
        <f t="shared" ref="D16:M16" si="20">$D$38</f>
        <v>8.9520000000000002E-2</v>
      </c>
      <c r="E16" s="763">
        <f t="shared" si="20"/>
        <v>8.9520000000000002E-2</v>
      </c>
      <c r="F16" s="763">
        <f t="shared" si="20"/>
        <v>8.9520000000000002E-2</v>
      </c>
      <c r="G16" s="763">
        <f t="shared" si="20"/>
        <v>8.9520000000000002E-2</v>
      </c>
      <c r="H16" s="763">
        <f t="shared" si="20"/>
        <v>8.9520000000000002E-2</v>
      </c>
      <c r="I16" s="763">
        <f t="shared" si="20"/>
        <v>8.9520000000000002E-2</v>
      </c>
      <c r="J16" s="763">
        <f t="shared" si="20"/>
        <v>8.9520000000000002E-2</v>
      </c>
      <c r="K16" s="763">
        <f t="shared" si="20"/>
        <v>8.9520000000000002E-2</v>
      </c>
      <c r="L16" s="763">
        <f t="shared" si="20"/>
        <v>8.9520000000000002E-2</v>
      </c>
      <c r="M16" s="763">
        <f t="shared" si="20"/>
        <v>8.9520000000000002E-2</v>
      </c>
    </row>
    <row r="17" spans="2:14">
      <c r="B17" s="114" t="s">
        <v>626</v>
      </c>
      <c r="C17" s="848"/>
      <c r="D17" s="140">
        <f>1/(1+$D$38)^((D6-$B$3)/365)</f>
        <v>1.0204065244773071</v>
      </c>
      <c r="E17" s="140">
        <f t="shared" ref="E17:L17" si="21">1/(1+$D$38)^((E6-$B$3)/365)</f>
        <v>0.93634523705646233</v>
      </c>
      <c r="F17" s="140">
        <f t="shared" si="21"/>
        <v>0.85941078369966795</v>
      </c>
      <c r="G17" s="140">
        <f t="shared" si="21"/>
        <v>0.78879762069504744</v>
      </c>
      <c r="H17" s="140">
        <f t="shared" si="21"/>
        <v>0.72398636160423613</v>
      </c>
      <c r="I17" s="140">
        <f t="shared" si="21"/>
        <v>0.66434422469928078</v>
      </c>
      <c r="J17" s="140">
        <f t="shared" si="21"/>
        <v>0.60975863196571034</v>
      </c>
      <c r="K17" s="140">
        <f t="shared" si="21"/>
        <v>0.55965804387777218</v>
      </c>
      <c r="L17" s="140">
        <f t="shared" si="21"/>
        <v>0.51367395171981445</v>
      </c>
      <c r="M17" s="140">
        <f t="shared" ref="M17" si="22">1/(1+$D$38)^((M6-$B$3)/365)</f>
        <v>0.47135739193670356</v>
      </c>
    </row>
    <row r="18" spans="2:14">
      <c r="B18" s="114" t="s">
        <v>627</v>
      </c>
      <c r="C18" s="819"/>
      <c r="D18" s="819">
        <f>D14*D17</f>
        <v>6892.6141289072457</v>
      </c>
      <c r="E18" s="819">
        <f t="shared" ref="E18:L18" si="23">E14*E17</f>
        <v>8044.3033194945319</v>
      </c>
      <c r="F18" s="819">
        <f t="shared" si="23"/>
        <v>9050.3509008837427</v>
      </c>
      <c r="G18" s="819">
        <f t="shared" si="23"/>
        <v>8952.3969380420203</v>
      </c>
      <c r="H18" s="819">
        <f t="shared" si="23"/>
        <v>7275.2190693601779</v>
      </c>
      <c r="I18" s="819">
        <f t="shared" si="23"/>
        <v>7016.0635312557315</v>
      </c>
      <c r="J18" s="819">
        <f t="shared" si="23"/>
        <v>6702.277877533058</v>
      </c>
      <c r="K18" s="819">
        <f t="shared" si="23"/>
        <v>6339.964761959448</v>
      </c>
      <c r="L18" s="819">
        <f t="shared" si="23"/>
        <v>5938.0212292940532</v>
      </c>
      <c r="M18" s="819">
        <f>M14*M17</f>
        <v>5504.7680494371716</v>
      </c>
      <c r="N18" s="819">
        <f>SUM(C18:M18)</f>
        <v>71715.97980616719</v>
      </c>
    </row>
    <row r="19" spans="2:14">
      <c r="E19" s="140"/>
      <c r="F19" s="140"/>
      <c r="G19" s="140"/>
    </row>
    <row r="20" spans="2:14">
      <c r="B20" s="824" t="s">
        <v>667</v>
      </c>
      <c r="C20" s="825"/>
      <c r="D20" s="826"/>
      <c r="E20" s="140"/>
      <c r="F20" s="900"/>
      <c r="G20" s="140"/>
    </row>
    <row r="21" spans="2:14">
      <c r="B21" s="827" t="s">
        <v>672</v>
      </c>
      <c r="C21" s="828" t="s">
        <v>493</v>
      </c>
      <c r="D21" s="829">
        <v>7.0000000000000007E-2</v>
      </c>
      <c r="E21" s="140"/>
      <c r="F21" s="140"/>
      <c r="G21" s="900"/>
    </row>
    <row r="22" spans="2:14">
      <c r="B22" s="883" t="s">
        <v>673</v>
      </c>
      <c r="C22" s="884" t="s">
        <v>493</v>
      </c>
      <c r="D22" s="885">
        <v>0.85</v>
      </c>
      <c r="E22" s="140"/>
      <c r="F22" s="140"/>
      <c r="G22" s="140"/>
    </row>
    <row r="23" spans="2:14"/>
    <row r="24" spans="2:14">
      <c r="B24" s="824" t="s">
        <v>628</v>
      </c>
      <c r="C24" s="825"/>
      <c r="D24" s="826"/>
    </row>
    <row r="25" spans="2:14">
      <c r="B25" s="827" t="s">
        <v>629</v>
      </c>
      <c r="C25" s="828" t="s">
        <v>493</v>
      </c>
      <c r="D25" s="829">
        <v>0.04</v>
      </c>
    </row>
    <row r="26" spans="2:14">
      <c r="B26" s="827" t="s">
        <v>630</v>
      </c>
      <c r="C26" s="828" t="s">
        <v>493</v>
      </c>
      <c r="D26" s="829">
        <v>0.04</v>
      </c>
      <c r="N26" s="899"/>
    </row>
    <row r="27" spans="2:14">
      <c r="B27" s="827"/>
      <c r="C27" s="828"/>
      <c r="D27" s="829"/>
      <c r="I27" s="898"/>
    </row>
    <row r="28" spans="2:14">
      <c r="B28" s="827" t="s">
        <v>2</v>
      </c>
      <c r="C28" s="828" t="s">
        <v>556</v>
      </c>
      <c r="D28" s="830">
        <v>1.238</v>
      </c>
    </row>
    <row r="29" spans="2:14">
      <c r="B29" s="831" t="s">
        <v>631</v>
      </c>
      <c r="C29" s="832" t="s">
        <v>493</v>
      </c>
      <c r="D29" s="833">
        <f>D25+D28*(D26)</f>
        <v>8.9520000000000002E-2</v>
      </c>
    </row>
    <row r="30" spans="2:14" ht="21" customHeight="1">
      <c r="B30" s="827"/>
      <c r="C30" s="828"/>
      <c r="D30" s="834"/>
    </row>
    <row r="31" spans="2:14" ht="18" customHeight="1">
      <c r="B31" s="827" t="s">
        <v>632</v>
      </c>
      <c r="C31" s="828" t="s">
        <v>493</v>
      </c>
      <c r="D31" s="829">
        <f>'Income Statement'!V130</f>
        <v>5.1999999999999998E-2</v>
      </c>
    </row>
    <row r="32" spans="2:14" ht="18" customHeight="1">
      <c r="B32" s="827" t="s">
        <v>387</v>
      </c>
      <c r="C32" s="828" t="s">
        <v>493</v>
      </c>
      <c r="D32" s="835">
        <f>C9</f>
        <v>0.2699576868829337</v>
      </c>
    </row>
    <row r="33" spans="2:4" ht="18" customHeight="1">
      <c r="B33" s="831" t="s">
        <v>633</v>
      </c>
      <c r="C33" s="832" t="s">
        <v>493</v>
      </c>
      <c r="D33" s="833">
        <f>D31*(1-D32)</f>
        <v>3.7962200282087452E-2</v>
      </c>
    </row>
    <row r="34" spans="2:4" ht="18" customHeight="1">
      <c r="B34" s="827"/>
      <c r="C34" s="828"/>
      <c r="D34" s="834"/>
    </row>
    <row r="35" spans="2:4" ht="18" customHeight="1">
      <c r="B35" s="827" t="s">
        <v>634</v>
      </c>
      <c r="C35" s="828" t="s">
        <v>493</v>
      </c>
      <c r="D35" s="829">
        <v>1</v>
      </c>
    </row>
    <row r="36" spans="2:4" ht="18" customHeight="1">
      <c r="B36" s="827" t="s">
        <v>635</v>
      </c>
      <c r="C36" s="828" t="s">
        <v>493</v>
      </c>
      <c r="D36" s="829">
        <v>0</v>
      </c>
    </row>
    <row r="37" spans="2:4" ht="18" customHeight="1">
      <c r="B37" s="827"/>
      <c r="C37" s="828"/>
      <c r="D37" s="834"/>
    </row>
    <row r="38" spans="2:4" ht="18" customHeight="1">
      <c r="B38" s="831" t="s">
        <v>505</v>
      </c>
      <c r="C38" s="832" t="s">
        <v>493</v>
      </c>
      <c r="D38" s="833">
        <f>(D29*D35)+(D36*D33)</f>
        <v>8.9520000000000002E-2</v>
      </c>
    </row>
    <row r="39" spans="2:4" ht="18" customHeight="1">
      <c r="B39" s="836" t="s">
        <v>636</v>
      </c>
      <c r="C39" s="837" t="s">
        <v>493</v>
      </c>
      <c r="D39" s="855">
        <v>0.03</v>
      </c>
    </row>
    <row r="40" spans="2:4"/>
    <row r="41" spans="2:4" ht="14.25">
      <c r="B41" s="838" t="s">
        <v>628</v>
      </c>
      <c r="C41" s="839"/>
      <c r="D41" s="840"/>
    </row>
    <row r="42" spans="2:4">
      <c r="B42" s="841" t="s">
        <v>637</v>
      </c>
      <c r="C42" s="851" t="s">
        <v>643</v>
      </c>
      <c r="D42" s="849">
        <f>N18</f>
        <v>71715.97980616719</v>
      </c>
    </row>
    <row r="43" spans="2:4">
      <c r="B43" s="841" t="s">
        <v>638</v>
      </c>
      <c r="C43" s="851" t="s">
        <v>643</v>
      </c>
      <c r="D43" s="849">
        <f>M14*(1+D39)/(D38-D39)</f>
        <v>202098.45997036007</v>
      </c>
    </row>
    <row r="44" spans="2:4">
      <c r="B44" s="841" t="s">
        <v>639</v>
      </c>
      <c r="C44" s="851" t="s">
        <v>643</v>
      </c>
      <c r="D44" s="849">
        <f>D43*M17</f>
        <v>95260.603006053207</v>
      </c>
    </row>
    <row r="45" spans="2:4">
      <c r="B45" s="842" t="s">
        <v>640</v>
      </c>
      <c r="C45" s="853" t="s">
        <v>643</v>
      </c>
      <c r="D45" s="854">
        <f>D42+D44</f>
        <v>166976.58281222038</v>
      </c>
    </row>
    <row r="46" spans="2:4">
      <c r="B46" s="841" t="s">
        <v>646</v>
      </c>
      <c r="C46" s="851" t="s">
        <v>643</v>
      </c>
      <c r="D46" s="849">
        <f>'DCF Feed'!C8</f>
        <v>16271.149157413347</v>
      </c>
    </row>
    <row r="47" spans="2:4">
      <c r="B47" s="841" t="s">
        <v>540</v>
      </c>
      <c r="C47" s="851" t="s">
        <v>643</v>
      </c>
      <c r="D47" s="849">
        <f>'DCF Feed'!C9</f>
        <v>356</v>
      </c>
    </row>
    <row r="48" spans="2:4">
      <c r="B48" s="841" t="s">
        <v>543</v>
      </c>
      <c r="C48" s="851" t="s">
        <v>643</v>
      </c>
      <c r="D48" s="849">
        <f>-D47*(D32)</f>
        <v>-96.104936530324395</v>
      </c>
    </row>
    <row r="49" spans="2:4">
      <c r="B49" s="842" t="s">
        <v>641</v>
      </c>
      <c r="C49" s="853" t="s">
        <v>643</v>
      </c>
      <c r="D49" s="852">
        <f>SUM(D45:D48)</f>
        <v>183507.6270331034</v>
      </c>
    </row>
    <row r="50" spans="2:4">
      <c r="B50" s="841" t="s">
        <v>452</v>
      </c>
      <c r="C50" s="851" t="s">
        <v>647</v>
      </c>
      <c r="D50" s="850">
        <f>'DCF Feed'!C13</f>
        <v>775.10265431578944</v>
      </c>
    </row>
    <row r="51" spans="2:4">
      <c r="B51" s="843" t="s">
        <v>642</v>
      </c>
      <c r="C51" s="856" t="s">
        <v>644</v>
      </c>
      <c r="D51" s="857">
        <f>MROUND(D49/D50,10)</f>
        <v>240</v>
      </c>
    </row>
    <row r="52" spans="2:4">
      <c r="B52" s="474"/>
      <c r="C52" s="473"/>
      <c r="D52" s="886"/>
    </row>
    <row r="53" spans="2:4" hidden="1">
      <c r="B53" s="474"/>
      <c r="C53" s="473"/>
      <c r="D53" s="886"/>
    </row>
    <row r="54" spans="2:4" hidden="1">
      <c r="B54" s="474"/>
      <c r="C54" s="473"/>
      <c r="D54" s="886"/>
    </row>
    <row r="55" spans="2:4" hidden="1">
      <c r="B55" s="474"/>
      <c r="C55" s="473"/>
      <c r="D55" s="886"/>
    </row>
    <row r="56" spans="2:4" hidden="1">
      <c r="B56" s="474"/>
      <c r="C56" s="473"/>
      <c r="D56" s="886"/>
    </row>
    <row r="57" spans="2:4" ht="12.75" hidden="1" customHeight="1">
      <c r="B57" s="474"/>
      <c r="C57" s="473"/>
      <c r="D57" s="886"/>
    </row>
    <row r="58" spans="2:4" hidden="1">
      <c r="B58" s="474"/>
      <c r="C58" s="473"/>
      <c r="D58" s="886"/>
    </row>
    <row r="59" spans="2:4" ht="13.5" hidden="1" customHeight="1">
      <c r="B59" s="474"/>
      <c r="C59" s="473"/>
      <c r="D59" s="886"/>
    </row>
    <row r="60" spans="2:4" hidden="1">
      <c r="B60" s="474"/>
      <c r="C60" s="473"/>
      <c r="D60" s="886"/>
    </row>
    <row r="61" spans="2:4" hidden="1">
      <c r="B61" s="474"/>
      <c r="C61" s="473"/>
      <c r="D61" s="886"/>
    </row>
    <row r="62" spans="2:4" hidden="1">
      <c r="B62" s="474"/>
      <c r="C62" s="473"/>
      <c r="D62" s="886"/>
    </row>
    <row r="63" spans="2:4" hidden="1">
      <c r="B63" s="474"/>
      <c r="C63" s="473"/>
      <c r="D63" s="886"/>
    </row>
  </sheetData>
  <conditionalFormatting sqref="N57:R61">
    <cfRule type="colorScale" priority="1">
      <colorScale>
        <cfvo type="min"/>
        <cfvo type="percentile" val="50"/>
        <cfvo type="max"/>
        <color rgb="FFF8696B"/>
        <color rgb="FFFFEB84"/>
        <color rgb="FF63BE7B"/>
      </colorScale>
    </cfRule>
  </conditionalFormatting>
  <printOptions horizontalCentered="1" verticalCentered="1"/>
  <pageMargins left="0.7" right="0.7" top="0.75" bottom="0.75" header="0.3" footer="0.3"/>
  <pageSetup paperSize="0" scale="38" orientation="portrait" r:id="rId1"/>
  <customProperties>
    <customPr name="Qube.Worksheet.Visibility" r:id="rId2"/>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A95A-89CA-46D8-9AFD-AE41A3F52066}">
  <sheetPr codeName="Sheet3">
    <tabColor theme="4"/>
  </sheetPr>
  <dimension ref="A1:AI98"/>
  <sheetViews>
    <sheetView showGridLines="0" zoomScaleNormal="100" workbookViewId="0">
      <selection activeCell="G4" sqref="G4"/>
    </sheetView>
  </sheetViews>
  <sheetFormatPr defaultColWidth="9" defaultRowHeight="12.75" outlineLevelRow="1"/>
  <cols>
    <col min="1" max="1" width="23.125" style="114" customWidth="1"/>
    <col min="2" max="2" width="10.5" style="114" bestFit="1" customWidth="1"/>
    <col min="3" max="7" width="9" style="114"/>
    <col min="8" max="8" width="9" style="114" bestFit="1" customWidth="1"/>
    <col min="9" max="16384" width="9" style="114"/>
  </cols>
  <sheetData>
    <row r="1" spans="1:8">
      <c r="A1" s="748" t="s">
        <v>539</v>
      </c>
      <c r="B1" s="749">
        <v>2026</v>
      </c>
      <c r="C1" s="749">
        <f>B1+1</f>
        <v>2027</v>
      </c>
      <c r="D1" s="749">
        <f>C1+1</f>
        <v>2028</v>
      </c>
      <c r="E1" s="749">
        <f>D1+1</f>
        <v>2029</v>
      </c>
      <c r="F1" s="749">
        <f>E1+1</f>
        <v>2030</v>
      </c>
      <c r="G1" s="749">
        <f>F1+1</f>
        <v>2031</v>
      </c>
      <c r="H1" s="750" t="s">
        <v>677</v>
      </c>
    </row>
    <row r="2" spans="1:8">
      <c r="A2" s="743" t="s">
        <v>16</v>
      </c>
      <c r="B2" s="751">
        <f>INDEX('Income Statement'!$14:$14,MATCH('DCF Feed'!B1,'Income Statement'!$4:$4,0))</f>
        <v>80292.715062027652</v>
      </c>
      <c r="C2" s="752">
        <f>INDEX('Income Statement'!$14:$14,MATCH('DCF Feed'!C1,'Income Statement'!$4:$4,0))</f>
        <v>91344.171942413755</v>
      </c>
      <c r="D2" s="752">
        <f>INDEX('Income Statement'!$14:$14,MATCH('DCF Feed'!D1,'Income Statement'!$4:$4,0))</f>
        <v>102644.54733569814</v>
      </c>
      <c r="E2" s="752">
        <f>INDEX('Income Statement'!$14:$14,MATCH('DCF Feed'!E1,'Income Statement'!$4:$4,0))</f>
        <v>111270.33932839733</v>
      </c>
      <c r="F2" s="752">
        <f>INDEX('Income Statement'!$14:$14,MATCH('DCF Feed'!F1,'Income Statement'!$4:$4,0))</f>
        <v>116915.03646000689</v>
      </c>
      <c r="G2" s="752">
        <f>INDEX('Income Statement'!$14:$14,MATCH('DCF Feed'!G1,'Income Statement'!$4:$4,0))</f>
        <v>121467.77195476291</v>
      </c>
      <c r="H2" s="753">
        <f>(G2/B2)^(1/5)-1</f>
        <v>8.6318021559703251E-2</v>
      </c>
    </row>
    <row r="3" spans="1:8">
      <c r="A3" s="743" t="s">
        <v>504</v>
      </c>
      <c r="B3" s="746"/>
      <c r="C3" s="754">
        <f>C2/B2-1</f>
        <v>0.13763959621802102</v>
      </c>
      <c r="D3" s="754">
        <f>D2/C2-1</f>
        <v>0.12371205686125752</v>
      </c>
      <c r="E3" s="754">
        <f>E2/D2-1</f>
        <v>8.4035559770053947E-2</v>
      </c>
      <c r="F3" s="754">
        <f>F2/E2-1</f>
        <v>5.0729575964984619E-2</v>
      </c>
      <c r="G3" s="754">
        <f>G2/F2-1</f>
        <v>3.8940547192262809E-2</v>
      </c>
      <c r="H3" s="742"/>
    </row>
    <row r="4" spans="1:8">
      <c r="A4" s="743" t="s">
        <v>1</v>
      </c>
      <c r="B4" s="751">
        <f>INDEX('Income Statement'!$84:$84,MATCH('DCF Feed'!B1,'Income Statement'!$4:$4,0))</f>
        <v>7612.6223301407481</v>
      </c>
      <c r="C4" s="752">
        <f>INDEX('Income Statement'!$84:$84,MATCH('DCF Feed'!C1,'Income Statement'!$4:$4,0))</f>
        <v>9281.3937468996228</v>
      </c>
      <c r="D4" s="752">
        <f>INDEX('Income Statement'!$84:$84,MATCH('DCF Feed'!D1,'Income Statement'!$4:$4,0))</f>
        <v>11593.856786348431</v>
      </c>
      <c r="E4" s="752">
        <f>INDEX('Income Statement'!$84:$84,MATCH('DCF Feed'!E1,'Income Statement'!$4:$4,0))</f>
        <v>13254.654457542723</v>
      </c>
      <c r="F4" s="752">
        <f>INDEX('Income Statement'!$84:$84,MATCH('DCF Feed'!F1,'Income Statement'!$4:$4,0))</f>
        <v>14127.450751599445</v>
      </c>
      <c r="G4" s="752">
        <f>INDEX('Income Statement'!$84:$84,MATCH('DCF Feed'!G1,'Income Statement'!$4:$4,0))</f>
        <v>14752.724686371123</v>
      </c>
      <c r="H4" s="753">
        <f>(G4/B4)^(1/5)-1</f>
        <v>0.1414781182802296</v>
      </c>
    </row>
    <row r="5" spans="1:8">
      <c r="A5" s="743" t="s">
        <v>504</v>
      </c>
      <c r="B5" s="746"/>
      <c r="C5" s="754">
        <f>C4/B4-1</f>
        <v>0.21921111338358235</v>
      </c>
      <c r="D5" s="754">
        <f>D4/C4-1</f>
        <v>0.24915040806465827</v>
      </c>
      <c r="E5" s="754">
        <f>E4/D4-1</f>
        <v>0.14324807540747386</v>
      </c>
      <c r="F5" s="754">
        <f>F4/E4-1</f>
        <v>6.5848287245243498E-2</v>
      </c>
      <c r="G5" s="754">
        <f>G4/F4-1</f>
        <v>4.4259501998326733E-2</v>
      </c>
      <c r="H5" s="742"/>
    </row>
    <row r="6" spans="1:8">
      <c r="A6" s="743" t="s">
        <v>618</v>
      </c>
      <c r="B6" s="751">
        <f>INDEX('Cash Flow Statement'!75:75, MATCH('DCF Feed'!B1,'Cash Flow Statement'!2:2,0))</f>
        <v>6164.9985902087465</v>
      </c>
      <c r="C6" s="751">
        <f>INDEX('Cash Flow Statement'!75:75, MATCH('DCF Feed'!C1,'Cash Flow Statement'!2:2,0))</f>
        <v>8652.09378153947</v>
      </c>
      <c r="D6" s="751">
        <f>INDEX('Cash Flow Statement'!75:75, MATCH('DCF Feed'!D1,'Cash Flow Statement'!2:2,0))</f>
        <v>11095.947494536504</v>
      </c>
      <c r="E6" s="751">
        <f>INDEX('Cash Flow Statement'!75:75, MATCH('DCF Feed'!E1,'Cash Flow Statement'!2:2,0))</f>
        <v>13466.345365955844</v>
      </c>
      <c r="F6" s="751">
        <f>INDEX('Cash Flow Statement'!75:75, MATCH('DCF Feed'!F1,'Cash Flow Statement'!2:2,0))</f>
        <v>14501.969882774196</v>
      </c>
      <c r="G6" s="751">
        <f>INDEX('Cash Flow Statement'!75:75, MATCH('DCF Feed'!G1,'Cash Flow Statement'!2:2,0))</f>
        <v>13350.71668014209</v>
      </c>
      <c r="H6" s="753">
        <f>(G6/B6)^(1/5)-1</f>
        <v>0.16711679753540132</v>
      </c>
    </row>
    <row r="7" spans="1:8">
      <c r="A7" s="743" t="s">
        <v>57</v>
      </c>
      <c r="B7" s="746"/>
      <c r="C7" s="754">
        <f>C6/C4</f>
        <v>0.93219768684306004</v>
      </c>
      <c r="D7" s="754">
        <f>D6/D4</f>
        <v>0.95705404155084894</v>
      </c>
      <c r="E7" s="754">
        <f>E6/E4</f>
        <v>1.0159710620213607</v>
      </c>
      <c r="F7" s="754">
        <f>F6/F4</f>
        <v>1.026510029145375</v>
      </c>
      <c r="G7" s="754">
        <f>G6/G4</f>
        <v>0.90496616482484504</v>
      </c>
      <c r="H7" s="753">
        <f>AVERAGE(C7:G7)</f>
        <v>0.96733979687709792</v>
      </c>
    </row>
    <row r="8" spans="1:8">
      <c r="A8" s="743" t="s">
        <v>574</v>
      </c>
      <c r="B8" s="751">
        <f>INDEX('Balance Sheet'!65:65,MATCH('DCF Feed'!B$1,'Balance Sheet'!$2:$2,0))</f>
        <v>14247.337194877458</v>
      </c>
      <c r="C8" s="751">
        <f>INDEX('Balance Sheet'!65:65,MATCH('DCF Feed'!C1,'Balance Sheet'!$2:$2,0))</f>
        <v>16271.149157413347</v>
      </c>
      <c r="D8" s="751">
        <f>INDEX('Balance Sheet'!65:65,MATCH('DCF Feed'!D1,'Balance Sheet'!$2:$2,0))</f>
        <v>19589.530385746657</v>
      </c>
      <c r="E8" s="751">
        <f>INDEX('Balance Sheet'!65:65,MATCH('DCF Feed'!E1,'Balance Sheet'!$2:$2,0))</f>
        <v>26112.194225202329</v>
      </c>
      <c r="F8" s="751">
        <f>INDEX('Balance Sheet'!65:65,MATCH('DCF Feed'!F1,'Balance Sheet'!$2:$2,0))</f>
        <v>33061.677904546021</v>
      </c>
      <c r="G8" s="751">
        <f>INDEX('Balance Sheet'!65:65,MATCH('DCF Feed'!G1,'Balance Sheet'!$2:$2,0))</f>
        <v>38198.224953518686</v>
      </c>
      <c r="H8" s="755"/>
    </row>
    <row r="9" spans="1:8">
      <c r="A9" s="743" t="s">
        <v>540</v>
      </c>
      <c r="B9" s="751">
        <f>INDEX('Balance Sheet'!119:119,MATCH('DCF Feed'!B$1,'Balance Sheet'!$2:$2,0))</f>
        <v>-144</v>
      </c>
      <c r="C9" s="751">
        <f>INDEX('Balance Sheet'!119:119,MATCH('DCF Feed'!C1,'Balance Sheet'!$2:$2,0))</f>
        <v>356</v>
      </c>
      <c r="D9" s="751">
        <f>INDEX('Balance Sheet'!119:119,MATCH('DCF Feed'!D1,'Balance Sheet'!$2:$2,0))</f>
        <v>856</v>
      </c>
      <c r="E9" s="751">
        <f>INDEX('Balance Sheet'!119:119,MATCH('DCF Feed'!E1,'Balance Sheet'!$2:$2,0))</f>
        <v>1356</v>
      </c>
      <c r="F9" s="751">
        <f>INDEX('Balance Sheet'!119:119,MATCH('DCF Feed'!F1,'Balance Sheet'!$2:$2,0))</f>
        <v>1856</v>
      </c>
      <c r="G9" s="751">
        <f>INDEX('Balance Sheet'!119:119,MATCH('DCF Feed'!G1,'Balance Sheet'!$2:$2,0))</f>
        <v>2356</v>
      </c>
      <c r="H9" s="742"/>
    </row>
    <row r="10" spans="1:8">
      <c r="A10" s="743" t="s">
        <v>559</v>
      </c>
      <c r="B10" s="751">
        <f>INDEX('Balance Sheet'!125:125,MATCH('DCF Feed'!B$1,'Balance Sheet'!$2:$2,0))</f>
        <v>-3874.5338363211276</v>
      </c>
      <c r="C10" s="751">
        <f>INDEX('Balance Sheet'!125:125,MATCH('DCF Feed'!C$1,'Balance Sheet'!$2:$2,0))</f>
        <v>-3886.3151738107972</v>
      </c>
      <c r="D10" s="751">
        <f>INDEX('Balance Sheet'!125:125,MATCH('DCF Feed'!D$1,'Balance Sheet'!$2:$2,0))</f>
        <v>-3900.3516781649446</v>
      </c>
      <c r="E10" s="751">
        <f>INDEX('Balance Sheet'!125:125,MATCH('DCF Feed'!E$1,'Balance Sheet'!$2:$2,0))</f>
        <v>-3916.3786150432011</v>
      </c>
      <c r="F10" s="751">
        <f>INDEX('Balance Sheet'!125:125,MATCH('DCF Feed'!F$1,'Balance Sheet'!$2:$2,0))</f>
        <v>-3934.1657986918867</v>
      </c>
      <c r="G10" s="751">
        <f>INDEX('Balance Sheet'!125:125,MATCH('DCF Feed'!G$1,'Balance Sheet'!$2:$2,0))</f>
        <v>-3953.5131114705532</v>
      </c>
      <c r="H10" s="742"/>
    </row>
    <row r="11" spans="1:8">
      <c r="A11" s="743" t="s">
        <v>554</v>
      </c>
      <c r="B11" s="744">
        <f>INDEX('Income Statement'!97:97,MATCH('DCF Feed'!B1,'Income Statement'!2:2,0))</f>
        <v>-0.2699576868829337</v>
      </c>
      <c r="C11" s="745">
        <f>INDEX('Income Statement'!97:97,MATCH('DCF Feed'!C1,'Income Statement'!2:2,0))</f>
        <v>-0.2699576868829337</v>
      </c>
      <c r="D11" s="745">
        <f>INDEX('Income Statement'!97:97,MATCH('DCF Feed'!D1,'Income Statement'!2:2,0))</f>
        <v>-0.2699576868829337</v>
      </c>
      <c r="E11" s="745">
        <f>INDEX('Income Statement'!97:97,MATCH('DCF Feed'!E1,'Income Statement'!2:2,0))</f>
        <v>-0.2699576868829337</v>
      </c>
      <c r="F11" s="745">
        <f>INDEX('Income Statement'!97:97,MATCH('DCF Feed'!F1,'Income Statement'!2:2,0))</f>
        <v>-0.2699576868829337</v>
      </c>
      <c r="G11" s="745">
        <f>INDEX('Income Statement'!97:97,MATCH('DCF Feed'!G1,'Income Statement'!2:2,0))</f>
        <v>-0.2699576868829337</v>
      </c>
      <c r="H11" s="742"/>
    </row>
    <row r="12" spans="1:8">
      <c r="A12" s="743" t="s">
        <v>15</v>
      </c>
      <c r="B12" s="746"/>
      <c r="C12" s="756"/>
      <c r="D12" s="756"/>
      <c r="E12" s="756"/>
      <c r="F12" s="756"/>
      <c r="G12" s="756"/>
      <c r="H12" s="742"/>
    </row>
    <row r="13" spans="1:8" ht="13.5" thickBot="1">
      <c r="A13" s="747" t="s">
        <v>558</v>
      </c>
      <c r="B13" s="757">
        <f>INDEX('Income Statement'!114:114,MATCH('DCF Feed'!B$1,'Income Statement'!$2:$2,0))/1000</f>
        <v>785.62897010526319</v>
      </c>
      <c r="C13" s="757">
        <f>INDEX('Income Statement'!114:114,MATCH('DCF Feed'!C$1,'Income Statement'!$2:$2,0))/1000</f>
        <v>775.10265431578944</v>
      </c>
      <c r="D13" s="757">
        <f>INDEX('Income Statement'!114:114,MATCH('DCF Feed'!D$1,'Income Statement'!$2:$2,0))/1000</f>
        <v>764.57633852631579</v>
      </c>
      <c r="E13" s="757">
        <f>INDEX('Income Statement'!114:114,MATCH('DCF Feed'!E$1,'Income Statement'!$2:$2,0))/1000</f>
        <v>764.57633852631579</v>
      </c>
      <c r="F13" s="757">
        <f>INDEX('Income Statement'!114:114,MATCH('DCF Feed'!F$1,'Income Statement'!$2:$2,0))/1000</f>
        <v>764.57633852631579</v>
      </c>
      <c r="G13" s="757">
        <f>INDEX('Income Statement'!114:114,MATCH('DCF Feed'!G$1,'Income Statement'!$2:$2,0))/1000</f>
        <v>764.57633852631579</v>
      </c>
      <c r="H13" s="758"/>
    </row>
    <row r="14" spans="1:8">
      <c r="B14" s="138"/>
      <c r="C14" s="138"/>
      <c r="D14" s="138"/>
      <c r="E14" s="138"/>
      <c r="F14" s="138"/>
      <c r="G14" s="138"/>
    </row>
    <row r="15" spans="1:8">
      <c r="B15" s="138"/>
      <c r="C15" s="138"/>
      <c r="D15" s="138"/>
      <c r="E15" s="138"/>
      <c r="F15" s="138"/>
      <c r="G15" s="138"/>
    </row>
    <row r="16" spans="1:8">
      <c r="B16" s="138"/>
      <c r="C16" s="138"/>
      <c r="D16" s="138"/>
      <c r="E16" s="138"/>
      <c r="F16" s="138"/>
      <c r="G16" s="138"/>
    </row>
    <row r="17" spans="1:26">
      <c r="B17" s="138"/>
      <c r="C17" s="138"/>
      <c r="D17" s="138"/>
      <c r="E17" s="138"/>
      <c r="F17" s="138"/>
      <c r="G17" s="138"/>
    </row>
    <row r="18" spans="1:26">
      <c r="B18" s="138"/>
      <c r="C18" s="138"/>
      <c r="D18" s="138"/>
      <c r="E18" s="138"/>
      <c r="F18" s="138"/>
      <c r="G18" s="138"/>
    </row>
    <row r="19" spans="1:26">
      <c r="B19" s="138"/>
      <c r="C19" s="138"/>
      <c r="D19" s="138"/>
      <c r="E19" s="138"/>
      <c r="F19" s="138"/>
      <c r="G19" s="138"/>
    </row>
    <row r="20" spans="1:26">
      <c r="B20" s="138"/>
      <c r="C20" s="138"/>
      <c r="D20" s="138"/>
      <c r="E20" s="138"/>
      <c r="F20" s="138"/>
      <c r="G20" s="138"/>
    </row>
    <row r="21" spans="1:26">
      <c r="B21" s="138"/>
      <c r="C21" s="138"/>
      <c r="D21" s="138"/>
      <c r="E21" s="138"/>
      <c r="F21" s="138"/>
      <c r="G21" s="138"/>
    </row>
    <row r="22" spans="1:26">
      <c r="B22" s="138"/>
      <c r="C22" s="138"/>
      <c r="D22" s="138"/>
      <c r="E22" s="138"/>
      <c r="F22" s="138"/>
      <c r="G22" s="138"/>
    </row>
    <row r="23" spans="1:26">
      <c r="B23" s="138"/>
      <c r="C23" s="138"/>
      <c r="D23" s="138"/>
      <c r="E23" s="138"/>
      <c r="F23" s="138"/>
      <c r="G23" s="138"/>
    </row>
    <row r="25" spans="1:26" s="1" customFormat="1" hidden="1" outlineLevel="1">
      <c r="A25" s="196" t="s">
        <v>329</v>
      </c>
      <c r="B25" s="585">
        <f>'Income Statement'!B2</f>
        <v>2006</v>
      </c>
      <c r="C25" s="585">
        <f>'Income Statement'!C2</f>
        <v>2007</v>
      </c>
      <c r="D25" s="585">
        <f>'Income Statement'!D2</f>
        <v>2008</v>
      </c>
      <c r="E25" s="585">
        <f>'Income Statement'!E2</f>
        <v>2009</v>
      </c>
      <c r="F25" s="585">
        <f>'Income Statement'!F2</f>
        <v>2010</v>
      </c>
      <c r="G25" s="585">
        <f>'Income Statement'!G2</f>
        <v>2011</v>
      </c>
      <c r="H25" s="585">
        <f>'Income Statement'!H2</f>
        <v>2012</v>
      </c>
      <c r="I25" s="585">
        <f>'Income Statement'!I2</f>
        <v>2013</v>
      </c>
      <c r="J25" s="585">
        <f>'Income Statement'!J2</f>
        <v>2014</v>
      </c>
      <c r="K25" s="585">
        <f>'Income Statement'!K2</f>
        <v>2015</v>
      </c>
      <c r="L25" s="585">
        <f>'Income Statement'!L2</f>
        <v>2016</v>
      </c>
      <c r="M25" s="585">
        <f>'Income Statement'!M2</f>
        <v>2017</v>
      </c>
      <c r="N25" s="585">
        <f>'Income Statement'!N2</f>
        <v>2018</v>
      </c>
      <c r="O25" s="576">
        <f>'Income Statement'!O2</f>
        <v>2019</v>
      </c>
      <c r="P25" s="576">
        <f>'Income Statement'!P2</f>
        <v>2020</v>
      </c>
      <c r="Q25" s="618">
        <f>'Income Statement'!Q$2</f>
        <v>2021</v>
      </c>
      <c r="R25" s="618">
        <f>'Income Statement'!R$2</f>
        <v>2022</v>
      </c>
      <c r="S25" s="618">
        <f>'Income Statement'!S$2</f>
        <v>2023</v>
      </c>
      <c r="T25" s="618">
        <f>'Income Statement'!T$2</f>
        <v>2024</v>
      </c>
      <c r="U25" s="532">
        <f>'Income Statement'!U$2</f>
        <v>2025</v>
      </c>
      <c r="V25" s="532">
        <f>'Income Statement'!V$2</f>
        <v>2026</v>
      </c>
      <c r="W25" s="532">
        <f>'Income Statement'!W$2</f>
        <v>2027</v>
      </c>
      <c r="X25" s="532">
        <f>'Income Statement'!X$2</f>
        <v>2028</v>
      </c>
      <c r="Y25" s="532">
        <f>'Income Statement'!Y$2</f>
        <v>2029</v>
      </c>
      <c r="Z25" s="532">
        <f>'Income Statement'!Z$2</f>
        <v>2030</v>
      </c>
    </row>
    <row r="26" spans="1:26" s="1" customFormat="1" hidden="1" outlineLevel="1">
      <c r="A26" s="1" t="s">
        <v>27</v>
      </c>
      <c r="B26" s="552">
        <f>'Income Statement'!B113/1000</f>
        <v>800.18516399999999</v>
      </c>
      <c r="C26" s="552">
        <f>'Income Statement'!C113/1000</f>
        <v>803.12822100000005</v>
      </c>
      <c r="D26" s="552">
        <f>'Income Statement'!D113/1000</f>
        <v>806.97880099999998</v>
      </c>
      <c r="E26" s="552">
        <f>'Income Statement'!E113/1000</f>
        <v>809.69863100000009</v>
      </c>
      <c r="F26" s="552">
        <f>'Income Statement'!F113/1000</f>
        <v>810.69333900000004</v>
      </c>
      <c r="G26" s="552">
        <f>'Income Statement'!G113/1000</f>
        <v>812.5072879999999</v>
      </c>
      <c r="H26" s="552">
        <f>'Income Statement'!H113/1000</f>
        <v>819.37826399999994</v>
      </c>
      <c r="I26" s="552">
        <f>'Income Statement'!I113/1000</f>
        <v>792.46686199999999</v>
      </c>
      <c r="J26" s="552">
        <f>'Income Statement'!J113/1000</f>
        <v>782.96238500000004</v>
      </c>
      <c r="K26" s="552">
        <f>'Income Statement'!K113/1000</f>
        <v>785.62109900000007</v>
      </c>
      <c r="L26" s="552">
        <f>'Income Statement'!L113/1000</f>
        <v>773.79883700000005</v>
      </c>
      <c r="M26" s="552">
        <f>'Income Statement'!M113/1000</f>
        <v>773.77270200000009</v>
      </c>
      <c r="N26" s="552">
        <f>'Income Statement'!N113/1000</f>
        <v>775.16794100000004</v>
      </c>
      <c r="O26" s="544">
        <f>'Income Statement'!O113/1000</f>
        <v>777.03985799999998</v>
      </c>
      <c r="P26" s="544">
        <f>'Income Statement'!P113/1000</f>
        <v>783.17819099999997</v>
      </c>
      <c r="Q26" s="544">
        <f>'Income Statement'!Q113/1000</f>
        <v>785.32607400000006</v>
      </c>
      <c r="R26" s="544">
        <f>'Income Statement'!R113/1000</f>
        <v>787.08057900000006</v>
      </c>
      <c r="S26" s="544">
        <f>'Income Statement'!S113/1000</f>
        <v>788.72077899999999</v>
      </c>
      <c r="T26" s="544">
        <f>'Income Statement'!T113/1000</f>
        <v>789.96167100000002</v>
      </c>
      <c r="U26" s="544">
        <f>'Income Statement'!U113/1000</f>
        <v>789.57321300000001</v>
      </c>
      <c r="V26" s="544">
        <f>'Income Statement'!V113/1000</f>
        <v>784.31005510526313</v>
      </c>
      <c r="W26" s="544">
        <f>'Income Statement'!W113/1000</f>
        <v>773.78373931578938</v>
      </c>
      <c r="X26" s="544">
        <f>'Income Statement'!X113/1000</f>
        <v>763.25742352631573</v>
      </c>
      <c r="Y26" s="544">
        <f>'Income Statement'!Y113/1000</f>
        <v>763.25742352631573</v>
      </c>
      <c r="Z26" s="544">
        <f>'Income Statement'!Z113/1000</f>
        <v>763.25742352631573</v>
      </c>
    </row>
    <row r="27" spans="1:26" s="1" customFormat="1" hidden="1" outlineLevel="1">
      <c r="A27" s="1" t="s">
        <v>26</v>
      </c>
      <c r="B27" s="555">
        <v>26.32</v>
      </c>
      <c r="C27" s="555">
        <v>23.06</v>
      </c>
      <c r="D27" s="555">
        <v>14.34</v>
      </c>
      <c r="E27" s="555">
        <v>12.48</v>
      </c>
      <c r="F27" s="555">
        <v>16.59</v>
      </c>
      <c r="G27" s="555">
        <v>21.497</v>
      </c>
      <c r="H27" s="546">
        <v>27.862300000000001</v>
      </c>
      <c r="I27" s="546">
        <v>41.2545</v>
      </c>
      <c r="J27" s="544">
        <f>'Income Statement'!J120</f>
        <v>55.8</v>
      </c>
      <c r="K27" s="544">
        <f>'Income Statement'!K120</f>
        <v>55.8</v>
      </c>
      <c r="L27" s="544">
        <f>'Income Statement'!L120</f>
        <v>110</v>
      </c>
      <c r="M27" s="544">
        <f>L27</f>
        <v>110</v>
      </c>
      <c r="N27" s="544">
        <f>'Income Statement'!N120</f>
        <v>109.68</v>
      </c>
      <c r="O27" s="546">
        <v>137</v>
      </c>
      <c r="P27" s="544">
        <f t="shared" ref="P27:Z27" si="0">O27</f>
        <v>137</v>
      </c>
      <c r="Q27" s="544">
        <f t="shared" si="0"/>
        <v>137</v>
      </c>
      <c r="R27" s="544">
        <f t="shared" si="0"/>
        <v>137</v>
      </c>
      <c r="S27" s="544">
        <f t="shared" si="0"/>
        <v>137</v>
      </c>
      <c r="T27" s="544">
        <f t="shared" si="0"/>
        <v>137</v>
      </c>
      <c r="U27" s="544">
        <f t="shared" si="0"/>
        <v>137</v>
      </c>
      <c r="V27" s="544">
        <f t="shared" si="0"/>
        <v>137</v>
      </c>
      <c r="W27" s="544">
        <f t="shared" si="0"/>
        <v>137</v>
      </c>
      <c r="X27" s="544">
        <f t="shared" si="0"/>
        <v>137</v>
      </c>
      <c r="Y27" s="544">
        <f t="shared" si="0"/>
        <v>137</v>
      </c>
      <c r="Z27" s="544">
        <f t="shared" si="0"/>
        <v>137</v>
      </c>
    </row>
    <row r="28" spans="1:26" s="1" customFormat="1" hidden="1" outlineLevel="1">
      <c r="A28" s="1" t="s">
        <v>345</v>
      </c>
      <c r="B28" s="271"/>
      <c r="C28" s="271"/>
      <c r="D28" s="271"/>
      <c r="E28" s="271"/>
      <c r="F28" s="271"/>
      <c r="G28" s="271"/>
      <c r="H28" s="544"/>
      <c r="I28" s="582">
        <f>I27*1.35</f>
        <v>55.693575000000003</v>
      </c>
      <c r="J28" s="544">
        <f>I28</f>
        <v>55.693575000000003</v>
      </c>
      <c r="K28" s="544">
        <f>J28</f>
        <v>55.693575000000003</v>
      </c>
      <c r="L28" s="544">
        <f>K28</f>
        <v>55.693575000000003</v>
      </c>
      <c r="M28" s="544">
        <f>L28</f>
        <v>55.693575000000003</v>
      </c>
      <c r="N28" s="544">
        <f>M28</f>
        <v>55.693575000000003</v>
      </c>
      <c r="O28" s="544">
        <f>N28</f>
        <v>55.693575000000003</v>
      </c>
      <c r="P28" s="544">
        <f t="shared" ref="P28:Z28" si="1">O28</f>
        <v>55.693575000000003</v>
      </c>
      <c r="Q28" s="544">
        <f t="shared" si="1"/>
        <v>55.693575000000003</v>
      </c>
      <c r="R28" s="544">
        <f t="shared" si="1"/>
        <v>55.693575000000003</v>
      </c>
      <c r="S28" s="544">
        <f t="shared" si="1"/>
        <v>55.693575000000003</v>
      </c>
      <c r="T28" s="544">
        <f t="shared" si="1"/>
        <v>55.693575000000003</v>
      </c>
      <c r="U28" s="544">
        <f t="shared" si="1"/>
        <v>55.693575000000003</v>
      </c>
      <c r="V28" s="544">
        <f t="shared" si="1"/>
        <v>55.693575000000003</v>
      </c>
      <c r="W28" s="544">
        <f t="shared" si="1"/>
        <v>55.693575000000003</v>
      </c>
      <c r="X28" s="544">
        <f t="shared" si="1"/>
        <v>55.693575000000003</v>
      </c>
      <c r="Y28" s="544">
        <f t="shared" si="1"/>
        <v>55.693575000000003</v>
      </c>
      <c r="Z28" s="544">
        <f t="shared" si="1"/>
        <v>55.693575000000003</v>
      </c>
    </row>
    <row r="29" spans="1:26" s="1" customFormat="1" hidden="1" outlineLevel="1">
      <c r="A29" s="40" t="s">
        <v>25</v>
      </c>
      <c r="B29" s="583"/>
      <c r="C29" s="583"/>
      <c r="D29" s="583"/>
      <c r="E29" s="583"/>
      <c r="F29" s="583"/>
      <c r="G29" s="583"/>
      <c r="H29" s="584"/>
      <c r="I29" s="584"/>
      <c r="J29" s="584"/>
      <c r="K29" s="584"/>
      <c r="L29" s="584"/>
      <c r="M29" s="584"/>
      <c r="N29" s="584"/>
      <c r="O29" s="584"/>
      <c r="P29" s="584"/>
      <c r="Q29" s="584"/>
      <c r="R29" s="548"/>
      <c r="S29" s="548"/>
      <c r="T29" s="548"/>
      <c r="U29" s="548"/>
      <c r="V29" s="548"/>
      <c r="W29" s="548"/>
      <c r="X29" s="548"/>
      <c r="Y29" s="548"/>
      <c r="Z29" s="548"/>
    </row>
    <row r="30" spans="1:26" s="1" customFormat="1" hidden="1" outlineLevel="1">
      <c r="A30" s="69" t="s">
        <v>24</v>
      </c>
      <c r="B30" s="552">
        <f t="shared" ref="B30:Z30" si="2">B27*B26</f>
        <v>21060.873516479998</v>
      </c>
      <c r="C30" s="552">
        <f t="shared" si="2"/>
        <v>18520.136776259998</v>
      </c>
      <c r="D30" s="552">
        <f t="shared" si="2"/>
        <v>11572.076006339999</v>
      </c>
      <c r="E30" s="552">
        <f t="shared" si="2"/>
        <v>10105.038914880002</v>
      </c>
      <c r="F30" s="552">
        <f t="shared" si="2"/>
        <v>13449.402494010001</v>
      </c>
      <c r="G30" s="552">
        <f t="shared" si="2"/>
        <v>17466.469170135999</v>
      </c>
      <c r="H30" s="544">
        <f t="shared" si="2"/>
        <v>22829.7630050472</v>
      </c>
      <c r="I30" s="544">
        <f t="shared" si="2"/>
        <v>32692.824158379</v>
      </c>
      <c r="J30" s="544">
        <f t="shared" si="2"/>
        <v>43689.301082999998</v>
      </c>
      <c r="K30" s="544">
        <f t="shared" si="2"/>
        <v>43837.657324200001</v>
      </c>
      <c r="L30" s="544">
        <f t="shared" si="2"/>
        <v>85117.872070000012</v>
      </c>
      <c r="M30" s="544">
        <f t="shared" si="2"/>
        <v>85114.997220000005</v>
      </c>
      <c r="N30" s="544">
        <f t="shared" si="2"/>
        <v>85020.419768880005</v>
      </c>
      <c r="O30" s="544">
        <f t="shared" si="2"/>
        <v>106454.460546</v>
      </c>
      <c r="P30" s="544">
        <f t="shared" si="2"/>
        <v>107295.412167</v>
      </c>
      <c r="Q30" s="544">
        <f t="shared" si="2"/>
        <v>107589.67213800001</v>
      </c>
      <c r="R30" s="544">
        <f t="shared" si="2"/>
        <v>107830.039323</v>
      </c>
      <c r="S30" s="544">
        <f t="shared" si="2"/>
        <v>108054.746723</v>
      </c>
      <c r="T30" s="544">
        <f t="shared" si="2"/>
        <v>108224.74892700001</v>
      </c>
      <c r="U30" s="544">
        <f t="shared" si="2"/>
        <v>108171.53018099999</v>
      </c>
      <c r="V30" s="544">
        <f t="shared" si="2"/>
        <v>107450.47754942105</v>
      </c>
      <c r="W30" s="544">
        <f t="shared" si="2"/>
        <v>106008.37228626314</v>
      </c>
      <c r="X30" s="544">
        <f t="shared" si="2"/>
        <v>104566.26702310526</v>
      </c>
      <c r="Y30" s="544">
        <f t="shared" si="2"/>
        <v>104566.26702310526</v>
      </c>
      <c r="Z30" s="544">
        <f t="shared" si="2"/>
        <v>104566.26702310526</v>
      </c>
    </row>
    <row r="31" spans="1:26" s="1" customFormat="1" hidden="1" outlineLevel="1">
      <c r="A31" s="69" t="s">
        <v>23</v>
      </c>
      <c r="B31" s="552">
        <f>B30/SUM('Balance Sheet'!B49:B53)*'Balance Sheet'!B$54+2750</f>
        <v>2976.6002376504148</v>
      </c>
      <c r="C31" s="552">
        <f>C30/SUM('Balance Sheet'!C49:C53)*'Balance Sheet'!C$54</f>
        <v>120.26062841727271</v>
      </c>
      <c r="D31" s="552">
        <f>D30/SUM('Balance Sheet'!D49:D53)*'Balance Sheet'!D$54</f>
        <v>109.19033792953729</v>
      </c>
      <c r="E31" s="552">
        <f>E30/SUM('Balance Sheet'!E49:E53)*'Balance Sheet'!E$54</f>
        <v>101.67386093756814</v>
      </c>
      <c r="F31" s="552">
        <f>F30/SUM('Balance Sheet'!F49:F53)*'Balance Sheet'!F$54</f>
        <v>144.51908572909738</v>
      </c>
      <c r="G31" s="552">
        <f>G30/SUM('Balance Sheet'!G49:G53)*'Balance Sheet'!G$54</f>
        <v>29.604185034128811</v>
      </c>
      <c r="H31" s="544">
        <f>H30/SUM('Balance Sheet'!H49:H53)*'Balance Sheet'!H$54</f>
        <v>37.307120165894688</v>
      </c>
      <c r="I31" s="544">
        <f>I30/SUM('Balance Sheet'!I49:I53)*'Balance Sheet'!I$54</f>
        <v>127.67155015986714</v>
      </c>
      <c r="J31" s="544">
        <f>J30/SUM('Balance Sheet'!J49:J53)*'Balance Sheet'!J$54</f>
        <v>111.37337763687862</v>
      </c>
      <c r="K31" s="544">
        <f>K30/SUM('Balance Sheet'!K49:K53)*'Balance Sheet'!K$54</f>
        <v>51.435400816191752</v>
      </c>
      <c r="L31" s="544">
        <f>L30/SUM('Balance Sheet'!L49:L53)*'Balance Sheet'!L$54</f>
        <v>-116.37663668307357</v>
      </c>
      <c r="M31" s="544">
        <f>M30/SUM('Balance Sheet'!M49:M53)*'Balance Sheet'!M$54</f>
        <v>19.12983155978424</v>
      </c>
      <c r="N31" s="544">
        <f>N30/SUM('Balance Sheet'!N49:N53)*'Balance Sheet'!N$54</f>
        <v>-43.716793381777052</v>
      </c>
      <c r="O31" s="544">
        <f>O30/SUM('Balance Sheet'!O49:O53)*'Balance Sheet'!O$54</f>
        <v>267.24969174728034</v>
      </c>
      <c r="P31" s="544">
        <f>P30/SUM('Balance Sheet'!P49:P53)*'Balance Sheet'!P$54</f>
        <v>183.12638228657875</v>
      </c>
      <c r="Q31" s="544">
        <f>Q30/SUM('Balance Sheet'!Q49:Q53)*'Balance Sheet'!Q$54</f>
        <v>227.31813255440525</v>
      </c>
      <c r="R31" s="544">
        <f>R30/SUM('Balance Sheet'!R49:R53)*'Balance Sheet'!R$54</f>
        <v>266.45260682131277</v>
      </c>
      <c r="S31" s="544">
        <f>S30/SUM('Balance Sheet'!S49:S53)*'Balance Sheet'!S$54</f>
        <v>213.72795339389657</v>
      </c>
      <c r="T31" s="544">
        <f>T30/SUM('Balance Sheet'!T49:T53)*'Balance Sheet'!T$54</f>
        <v>496.79829661481187</v>
      </c>
      <c r="U31" s="544">
        <f>U30/SUM('Balance Sheet'!U49:U53)*'Balance Sheet'!U$54</f>
        <v>331.50943972111554</v>
      </c>
      <c r="V31" s="544">
        <f>V30/SUM('Balance Sheet'!V49:V53)*'Balance Sheet'!V$54</f>
        <v>303.8263843513069</v>
      </c>
      <c r="W31" s="544">
        <f>W30/SUM('Balance Sheet'!W49:W53)*'Balance Sheet'!W$54</f>
        <v>277.25500507097848</v>
      </c>
      <c r="X31" s="544">
        <f>X30/SUM('Balance Sheet'!X49:X53)*'Balance Sheet'!X$54</f>
        <v>245.77856527790229</v>
      </c>
      <c r="Y31" s="544">
        <f>Y30/SUM('Balance Sheet'!Y49:Y53)*'Balance Sheet'!Y$54</f>
        <v>209.28707370158153</v>
      </c>
      <c r="Z31" s="544">
        <f>Z30/SUM('Balance Sheet'!Z49:Z53)*'Balance Sheet'!Z$54</f>
        <v>181.2095331741003</v>
      </c>
    </row>
    <row r="32" spans="1:26" s="1" customFormat="1" hidden="1" outlineLevel="1">
      <c r="A32" s="69" t="s">
        <v>311</v>
      </c>
      <c r="B32" s="544">
        <f>'Balance Sheet'!B65</f>
        <v>4229</v>
      </c>
      <c r="C32" s="544">
        <f>'Balance Sheet'!C65</f>
        <v>7024</v>
      </c>
      <c r="D32" s="544">
        <f>'Balance Sheet'!D65</f>
        <v>9193</v>
      </c>
      <c r="E32" s="544">
        <f>'Balance Sheet'!E65</f>
        <v>9797</v>
      </c>
      <c r="F32" s="544">
        <f>'Balance Sheet'!F65</f>
        <v>11918</v>
      </c>
      <c r="G32" s="544">
        <f>'Balance Sheet'!G65</f>
        <v>11681</v>
      </c>
      <c r="H32" s="544">
        <f>'Balance Sheet'!H65</f>
        <v>12292</v>
      </c>
      <c r="I32" s="544">
        <f>'Balance Sheet'!I65</f>
        <v>9054</v>
      </c>
      <c r="J32" s="544">
        <f>'Balance Sheet'!J65</f>
        <v>9092</v>
      </c>
      <c r="K32" s="544">
        <f>'Balance Sheet'!K65</f>
        <v>10003</v>
      </c>
      <c r="L32" s="544">
        <f>'Balance Sheet'!L65</f>
        <v>11130</v>
      </c>
      <c r="M32" s="544">
        <f>'Balance Sheet'!M65</f>
        <v>13396</v>
      </c>
      <c r="N32" s="544">
        <f>'Balance Sheet'!N65</f>
        <v>13296</v>
      </c>
      <c r="O32" s="544">
        <f>'Balance Sheet'!O65</f>
        <v>12534</v>
      </c>
      <c r="P32" s="544">
        <f>'Balance Sheet'!P65</f>
        <v>4312</v>
      </c>
      <c r="Q32" s="544">
        <f>'Balance Sheet'!Q65</f>
        <v>7740</v>
      </c>
      <c r="R32" s="544">
        <f>'Balance Sheet'!R65</f>
        <v>9431</v>
      </c>
      <c r="S32" s="544">
        <f>'Balance Sheet'!S65</f>
        <v>10726</v>
      </c>
      <c r="T32" s="544">
        <f>'Balance Sheet'!T65</f>
        <v>11753</v>
      </c>
      <c r="U32" s="544">
        <f>'Balance Sheet'!U65</f>
        <v>12171</v>
      </c>
      <c r="V32" s="544">
        <f>'Balance Sheet'!V65</f>
        <v>14247.337194877458</v>
      </c>
      <c r="W32" s="544">
        <f>'Balance Sheet'!W65</f>
        <v>16271.149157413347</v>
      </c>
      <c r="X32" s="544">
        <f>'Balance Sheet'!X65</f>
        <v>19589.530385746657</v>
      </c>
      <c r="Y32" s="544">
        <f>'Balance Sheet'!Y65</f>
        <v>26112.194225202329</v>
      </c>
      <c r="Z32" s="544">
        <f>'Balance Sheet'!Z65</f>
        <v>33061.677904546021</v>
      </c>
    </row>
    <row r="33" spans="1:26" s="1" customFormat="1" hidden="1" outlineLevel="1">
      <c r="A33" s="69" t="s">
        <v>342</v>
      </c>
      <c r="B33" s="552">
        <f>'Balance Sheet'!B119</f>
        <v>-4986</v>
      </c>
      <c r="C33" s="552">
        <f>'Balance Sheet'!C119</f>
        <v>-4174</v>
      </c>
      <c r="D33" s="552">
        <f>'Balance Sheet'!D119</f>
        <v>-3958</v>
      </c>
      <c r="E33" s="552">
        <f>'Balance Sheet'!E119</f>
        <v>-5306</v>
      </c>
      <c r="F33" s="552">
        <f>'Balance Sheet'!F119</f>
        <v>-5221</v>
      </c>
      <c r="G33" s="552">
        <f>'Balance Sheet'!G119</f>
        <v>-5821</v>
      </c>
      <c r="H33" s="544">
        <f>'Balance Sheet'!H119</f>
        <v>-6433</v>
      </c>
      <c r="I33" s="544">
        <f>'Balance Sheet'!I119</f>
        <v>-6615</v>
      </c>
      <c r="J33" s="544">
        <f>'Balance Sheet'!J119</f>
        <v>-8250</v>
      </c>
      <c r="K33" s="544">
        <f>'Balance Sheet'!K119</f>
        <v>-7615</v>
      </c>
      <c r="L33" s="544">
        <f>'Balance Sheet'!L119</f>
        <v>-8656</v>
      </c>
      <c r="M33" s="544">
        <f>'Balance Sheet'!M119</f>
        <v>-8361</v>
      </c>
      <c r="N33" s="544">
        <f>'Balance Sheet'!N119</f>
        <v>-7072</v>
      </c>
      <c r="O33" s="544">
        <f>'Balance Sheet'!O119</f>
        <v>-8353</v>
      </c>
      <c r="P33" s="544">
        <f>'Balance Sheet'!P119</f>
        <v>-9980</v>
      </c>
      <c r="Q33" s="544">
        <f>'Balance Sheet'!Q119</f>
        <v>-7072</v>
      </c>
      <c r="R33" s="544">
        <f>'Balance Sheet'!R119</f>
        <v>-3509</v>
      </c>
      <c r="S33" s="544">
        <f>'Balance Sheet'!S119</f>
        <v>-2342</v>
      </c>
      <c r="T33" s="544">
        <f>'Balance Sheet'!T119</f>
        <v>-1144</v>
      </c>
      <c r="U33" s="544">
        <f>'Balance Sheet'!U119</f>
        <v>-644</v>
      </c>
      <c r="V33" s="544">
        <f>'Balance Sheet'!V119</f>
        <v>-144</v>
      </c>
      <c r="W33" s="544">
        <f>'Balance Sheet'!W119</f>
        <v>356</v>
      </c>
      <c r="X33" s="544">
        <f>'Balance Sheet'!X119</f>
        <v>856</v>
      </c>
      <c r="Y33" s="544">
        <f>'Balance Sheet'!Y119</f>
        <v>1356</v>
      </c>
      <c r="Z33" s="544">
        <f>'Balance Sheet'!Z119</f>
        <v>1856</v>
      </c>
    </row>
    <row r="34" spans="1:26" s="1" customFormat="1" hidden="1" outlineLevel="1">
      <c r="A34" s="69" t="s">
        <v>312</v>
      </c>
      <c r="B34" s="552">
        <f t="shared" ref="B34:Z34" si="3">SUM(B35:B41)</f>
        <v>-9508.4282831310011</v>
      </c>
      <c r="C34" s="552">
        <f t="shared" si="3"/>
        <v>-7625.7938648300005</v>
      </c>
      <c r="D34" s="552">
        <f t="shared" si="3"/>
        <v>-8414.2226714089993</v>
      </c>
      <c r="E34" s="552">
        <f t="shared" si="3"/>
        <v>-8368.2638984430014</v>
      </c>
      <c r="F34" s="552">
        <f t="shared" si="3"/>
        <v>-8004.6498319349994</v>
      </c>
      <c r="G34" s="552">
        <f t="shared" si="3"/>
        <v>-11452.388702150001</v>
      </c>
      <c r="H34" s="544">
        <f t="shared" si="3"/>
        <v>-8672</v>
      </c>
      <c r="I34" s="544">
        <f t="shared" si="3"/>
        <v>-9930</v>
      </c>
      <c r="J34" s="544">
        <f t="shared" si="3"/>
        <v>-10277</v>
      </c>
      <c r="K34" s="544">
        <f t="shared" si="3"/>
        <v>-15458.073466372764</v>
      </c>
      <c r="L34" s="544">
        <f t="shared" si="3"/>
        <v>-16630</v>
      </c>
      <c r="M34" s="544">
        <f t="shared" si="3"/>
        <v>-20342</v>
      </c>
      <c r="N34" s="544">
        <f t="shared" si="3"/>
        <v>-21194</v>
      </c>
      <c r="O34" s="544">
        <f t="shared" si="3"/>
        <v>2881</v>
      </c>
      <c r="P34" s="544">
        <f t="shared" si="3"/>
        <v>2951</v>
      </c>
      <c r="Q34" s="544">
        <f t="shared" si="3"/>
        <v>2618</v>
      </c>
      <c r="R34" s="544">
        <f t="shared" si="3"/>
        <v>1940</v>
      </c>
      <c r="S34" s="544">
        <f t="shared" si="3"/>
        <v>1296.126218445389</v>
      </c>
      <c r="T34" s="544">
        <f t="shared" si="3"/>
        <v>759.60663748144088</v>
      </c>
      <c r="U34" s="544">
        <f t="shared" si="3"/>
        <v>475.45689612070692</v>
      </c>
      <c r="V34" s="544">
        <f t="shared" si="3"/>
        <v>181.08254641740768</v>
      </c>
      <c r="W34" s="544">
        <f t="shared" si="3"/>
        <v>-143.39861609292166</v>
      </c>
      <c r="X34" s="544">
        <f t="shared" si="3"/>
        <v>-482.43773673877513</v>
      </c>
      <c r="Y34" s="544">
        <f t="shared" si="3"/>
        <v>-837.14020611052001</v>
      </c>
      <c r="Z34" s="544">
        <f t="shared" si="3"/>
        <v>-1208.6188990243318</v>
      </c>
    </row>
    <row r="35" spans="1:26" s="1" customFormat="1" hidden="1" outlineLevel="1">
      <c r="A35" s="8" t="s">
        <v>313</v>
      </c>
      <c r="B35" s="552">
        <f t="shared" ref="B35:Z35" si="4">B87</f>
        <v>-12484</v>
      </c>
      <c r="C35" s="552">
        <f t="shared" si="4"/>
        <v>-13470</v>
      </c>
      <c r="D35" s="552">
        <f t="shared" si="4"/>
        <v>-14082</v>
      </c>
      <c r="E35" s="552">
        <f t="shared" si="4"/>
        <v>-15703</v>
      </c>
      <c r="F35" s="552">
        <f t="shared" si="4"/>
        <v>-15249</v>
      </c>
      <c r="G35" s="552">
        <f t="shared" si="4"/>
        <v>-16522</v>
      </c>
      <c r="H35" s="544">
        <f t="shared" si="4"/>
        <v>-17352</v>
      </c>
      <c r="I35" s="544">
        <f t="shared" si="4"/>
        <v>-18890</v>
      </c>
      <c r="J35" s="544">
        <f t="shared" si="4"/>
        <v>-19451</v>
      </c>
      <c r="K35" s="544">
        <f t="shared" si="4"/>
        <v>-22790</v>
      </c>
      <c r="L35" s="544">
        <f t="shared" si="4"/>
        <v>-23808</v>
      </c>
      <c r="M35" s="544">
        <f t="shared" si="4"/>
        <v>-25505</v>
      </c>
      <c r="N35" s="544">
        <f t="shared" si="4"/>
        <v>-25037</v>
      </c>
      <c r="O35" s="544">
        <f t="shared" si="4"/>
        <v>0</v>
      </c>
      <c r="P35" s="544">
        <f t="shared" si="4"/>
        <v>0</v>
      </c>
      <c r="Q35" s="544">
        <f t="shared" si="4"/>
        <v>0</v>
      </c>
      <c r="R35" s="544">
        <f t="shared" si="4"/>
        <v>0</v>
      </c>
      <c r="S35" s="544">
        <f t="shared" si="4"/>
        <v>0</v>
      </c>
      <c r="T35" s="544">
        <f t="shared" si="4"/>
        <v>0</v>
      </c>
      <c r="U35" s="544">
        <f t="shared" si="4"/>
        <v>0</v>
      </c>
      <c r="V35" s="544">
        <f t="shared" si="4"/>
        <v>0</v>
      </c>
      <c r="W35" s="544">
        <f t="shared" si="4"/>
        <v>0</v>
      </c>
      <c r="X35" s="544">
        <f t="shared" si="4"/>
        <v>0</v>
      </c>
      <c r="Y35" s="544">
        <f t="shared" si="4"/>
        <v>0</v>
      </c>
      <c r="Z35" s="544">
        <f t="shared" si="4"/>
        <v>0</v>
      </c>
    </row>
    <row r="36" spans="1:26" s="1" customFormat="1" hidden="1" outlineLevel="1">
      <c r="A36" s="8" t="s">
        <v>353</v>
      </c>
      <c r="B36" s="271">
        <f>-'Balance Sheet'!B125</f>
        <v>5418</v>
      </c>
      <c r="C36" s="271">
        <f>-'Balance Sheet'!C125</f>
        <v>5315</v>
      </c>
      <c r="D36" s="271">
        <f>-'Balance Sheet'!D125</f>
        <v>4920</v>
      </c>
      <c r="E36" s="271">
        <f>-'Balance Sheet'!E125</f>
        <v>5294</v>
      </c>
      <c r="F36" s="271">
        <f>-'Balance Sheet'!F125</f>
        <v>6020</v>
      </c>
      <c r="G36" s="271">
        <f>-'Balance Sheet'!G125</f>
        <v>5737</v>
      </c>
      <c r="H36" s="544">
        <f>-'Balance Sheet'!H125</f>
        <v>6112</v>
      </c>
      <c r="I36" s="544">
        <f>-'Balance Sheet'!I125</f>
        <v>6112</v>
      </c>
      <c r="J36" s="544">
        <f>-'Balance Sheet'!J125</f>
        <v>6528</v>
      </c>
      <c r="K36" s="544">
        <f>-'Balance Sheet'!K125</f>
        <v>7286</v>
      </c>
      <c r="L36" s="544">
        <f>-'Balance Sheet'!L125</f>
        <v>7070</v>
      </c>
      <c r="M36" s="544">
        <f>-'Balance Sheet'!M125</f>
        <v>5901</v>
      </c>
      <c r="N36" s="544">
        <f>-'Balance Sheet'!N125</f>
        <v>4577</v>
      </c>
      <c r="O36" s="544">
        <f>-'Balance Sheet'!O125</f>
        <v>4277</v>
      </c>
      <c r="P36" s="544">
        <f>-'Balance Sheet'!P125</f>
        <v>3912</v>
      </c>
      <c r="Q36" s="544">
        <f>-'Balance Sheet'!Q125</f>
        <v>3861</v>
      </c>
      <c r="R36" s="544">
        <f>-'Balance Sheet'!R125</f>
        <v>3857</v>
      </c>
      <c r="S36" s="544">
        <f>-'Balance Sheet'!S125</f>
        <v>3856</v>
      </c>
      <c r="T36" s="544">
        <f>-'Balance Sheet'!T125</f>
        <v>3859</v>
      </c>
      <c r="U36" s="544">
        <f>-'Balance Sheet'!U125</f>
        <v>3865.3120970057498</v>
      </c>
      <c r="V36" s="544">
        <f>-'Balance Sheet'!V125</f>
        <v>3874.5338363211276</v>
      </c>
      <c r="W36" s="544">
        <f>-'Balance Sheet'!W125</f>
        <v>3886.3151738107972</v>
      </c>
      <c r="X36" s="544">
        <f>-'Balance Sheet'!X125</f>
        <v>3900.3516781649446</v>
      </c>
      <c r="Y36" s="544">
        <f>-'Balance Sheet'!Y125</f>
        <v>3916.3786150432011</v>
      </c>
      <c r="Z36" s="544">
        <f>-'Balance Sheet'!Z125</f>
        <v>3934.1657986918867</v>
      </c>
    </row>
    <row r="37" spans="1:26" s="1" customFormat="1" hidden="1" outlineLevel="1">
      <c r="A37" s="8" t="s">
        <v>354</v>
      </c>
      <c r="B37" s="271">
        <f t="shared" ref="B37:Z37" si="5">B60</f>
        <v>526</v>
      </c>
      <c r="C37" s="271">
        <f t="shared" si="5"/>
        <v>440</v>
      </c>
      <c r="D37" s="271">
        <f t="shared" si="5"/>
        <v>415</v>
      </c>
      <c r="E37" s="271">
        <f t="shared" si="5"/>
        <v>429</v>
      </c>
      <c r="F37" s="271">
        <f t="shared" si="5"/>
        <v>427</v>
      </c>
      <c r="G37" s="271">
        <f t="shared" si="5"/>
        <v>363</v>
      </c>
      <c r="H37" s="544">
        <f t="shared" si="5"/>
        <v>181</v>
      </c>
      <c r="I37" s="544">
        <f t="shared" si="5"/>
        <v>181</v>
      </c>
      <c r="J37" s="544">
        <f t="shared" si="5"/>
        <v>80</v>
      </c>
      <c r="K37" s="544">
        <f t="shared" si="5"/>
        <v>68</v>
      </c>
      <c r="L37" s="544">
        <f t="shared" si="5"/>
        <v>203</v>
      </c>
      <c r="M37" s="544">
        <f t="shared" si="5"/>
        <v>148</v>
      </c>
      <c r="N37" s="544">
        <f t="shared" si="5"/>
        <v>38</v>
      </c>
      <c r="O37" s="544">
        <f t="shared" si="5"/>
        <v>104</v>
      </c>
      <c r="P37" s="544">
        <f t="shared" si="5"/>
        <v>14</v>
      </c>
      <c r="Q37" s="544">
        <f t="shared" si="5"/>
        <v>67</v>
      </c>
      <c r="R37" s="544">
        <f t="shared" si="5"/>
        <v>8</v>
      </c>
      <c r="S37" s="544">
        <f t="shared" si="5"/>
        <v>8</v>
      </c>
      <c r="T37" s="544">
        <f t="shared" si="5"/>
        <v>4</v>
      </c>
      <c r="U37" s="544">
        <f t="shared" si="5"/>
        <v>4</v>
      </c>
      <c r="V37" s="544">
        <f t="shared" si="5"/>
        <v>4</v>
      </c>
      <c r="W37" s="544">
        <f t="shared" si="5"/>
        <v>4</v>
      </c>
      <c r="X37" s="544">
        <f t="shared" si="5"/>
        <v>4</v>
      </c>
      <c r="Y37" s="544">
        <f t="shared" si="5"/>
        <v>4</v>
      </c>
      <c r="Z37" s="544">
        <f t="shared" si="5"/>
        <v>4</v>
      </c>
    </row>
    <row r="38" spans="1:26" s="1" customFormat="1" hidden="1" outlineLevel="1">
      <c r="A38" s="8" t="s">
        <v>359</v>
      </c>
      <c r="B38" s="271"/>
      <c r="C38" s="271"/>
      <c r="D38" s="271"/>
      <c r="E38" s="271"/>
      <c r="F38" s="271"/>
      <c r="G38" s="271"/>
      <c r="H38" s="271"/>
      <c r="I38" s="586"/>
      <c r="J38" s="552"/>
      <c r="K38" s="552"/>
      <c r="L38" s="552"/>
      <c r="M38" s="552"/>
      <c r="N38" s="552"/>
      <c r="O38" s="544"/>
      <c r="P38" s="544"/>
      <c r="Q38" s="544"/>
      <c r="R38" s="544"/>
      <c r="S38" s="544"/>
      <c r="T38" s="544"/>
      <c r="U38" s="544"/>
      <c r="V38" s="544"/>
      <c r="W38" s="544"/>
      <c r="X38" s="544"/>
      <c r="Y38" s="544"/>
      <c r="Z38" s="544"/>
    </row>
    <row r="39" spans="1:26" s="1" customFormat="1" hidden="1" outlineLevel="1">
      <c r="A39" s="8" t="s">
        <v>314</v>
      </c>
      <c r="B39" s="552">
        <f t="shared" ref="B39:Z39" si="6">B64</f>
        <v>-3900.4282831310002</v>
      </c>
      <c r="C39" s="552">
        <f t="shared" si="6"/>
        <v>-3309.7938648300001</v>
      </c>
      <c r="D39" s="552">
        <f t="shared" si="6"/>
        <v>-3150.2226714090002</v>
      </c>
      <c r="E39" s="552">
        <f t="shared" si="6"/>
        <v>-2836.2638984430005</v>
      </c>
      <c r="F39" s="552">
        <f t="shared" si="6"/>
        <v>-4148.6498319349994</v>
      </c>
      <c r="G39" s="552">
        <f t="shared" si="6"/>
        <v>-4575.3887021500004</v>
      </c>
      <c r="H39" s="544">
        <f t="shared" si="6"/>
        <v>-1518</v>
      </c>
      <c r="I39" s="544">
        <f t="shared" si="6"/>
        <v>-1354</v>
      </c>
      <c r="J39" s="544">
        <f t="shared" si="6"/>
        <v>-2288</v>
      </c>
      <c r="K39" s="544">
        <f t="shared" si="6"/>
        <v>-4178.0734663727644</v>
      </c>
      <c r="L39" s="544">
        <f t="shared" si="6"/>
        <v>-4300</v>
      </c>
      <c r="M39" s="544">
        <f t="shared" si="6"/>
        <v>-5107</v>
      </c>
      <c r="N39" s="544">
        <f t="shared" si="6"/>
        <v>-4993</v>
      </c>
      <c r="O39" s="544">
        <f t="shared" si="6"/>
        <v>-5721</v>
      </c>
      <c r="P39" s="544">
        <f t="shared" si="6"/>
        <v>-5196</v>
      </c>
      <c r="Q39" s="544">
        <f t="shared" si="6"/>
        <v>-5531</v>
      </c>
      <c r="R39" s="544">
        <f t="shared" si="6"/>
        <v>-6146</v>
      </c>
      <c r="S39" s="544">
        <f t="shared" si="6"/>
        <v>-6788.873781554611</v>
      </c>
      <c r="T39" s="544">
        <f t="shared" si="6"/>
        <v>-7324.3933625185591</v>
      </c>
      <c r="U39" s="544">
        <f t="shared" si="6"/>
        <v>-7614.8552008850429</v>
      </c>
      <c r="V39" s="544">
        <f t="shared" si="6"/>
        <v>-7918.45128990372</v>
      </c>
      <c r="W39" s="544">
        <f t="shared" si="6"/>
        <v>-8254.7137899037189</v>
      </c>
      <c r="X39" s="544">
        <f t="shared" si="6"/>
        <v>-8607.7894149037202</v>
      </c>
      <c r="Y39" s="544">
        <f t="shared" si="6"/>
        <v>-8978.5188211537206</v>
      </c>
      <c r="Z39" s="544">
        <f t="shared" si="6"/>
        <v>-9367.7846977162189</v>
      </c>
    </row>
    <row r="40" spans="1:26" s="1" customFormat="1" hidden="1" outlineLevel="1">
      <c r="A40" s="8" t="s">
        <v>18</v>
      </c>
      <c r="B40" s="271">
        <f t="shared" ref="B40:Z40" si="7">B74</f>
        <v>1990</v>
      </c>
      <c r="C40" s="271">
        <f t="shared" si="7"/>
        <v>4258</v>
      </c>
      <c r="D40" s="271">
        <f t="shared" si="7"/>
        <v>4220</v>
      </c>
      <c r="E40" s="271">
        <f t="shared" si="7"/>
        <v>5100</v>
      </c>
      <c r="F40" s="271">
        <f t="shared" si="7"/>
        <v>5478</v>
      </c>
      <c r="G40" s="271">
        <f t="shared" si="7"/>
        <v>4000</v>
      </c>
      <c r="H40" s="544">
        <f t="shared" si="7"/>
        <v>4250</v>
      </c>
      <c r="I40" s="544">
        <f t="shared" si="7"/>
        <v>4250</v>
      </c>
      <c r="J40" s="544">
        <f t="shared" si="7"/>
        <v>4900</v>
      </c>
      <c r="K40" s="544">
        <f t="shared" si="7"/>
        <v>4250</v>
      </c>
      <c r="L40" s="544">
        <f t="shared" si="7"/>
        <v>4250</v>
      </c>
      <c r="M40" s="544">
        <f t="shared" si="7"/>
        <v>4250</v>
      </c>
      <c r="N40" s="544">
        <f t="shared" si="7"/>
        <v>4250</v>
      </c>
      <c r="O40" s="544">
        <f t="shared" si="7"/>
        <v>4250</v>
      </c>
      <c r="P40" s="544">
        <f t="shared" si="7"/>
        <v>4250</v>
      </c>
      <c r="Q40" s="544">
        <f t="shared" si="7"/>
        <v>4250</v>
      </c>
      <c r="R40" s="544">
        <f t="shared" si="7"/>
        <v>4250</v>
      </c>
      <c r="S40" s="544">
        <f t="shared" si="7"/>
        <v>4250</v>
      </c>
      <c r="T40" s="544">
        <f t="shared" si="7"/>
        <v>4250</v>
      </c>
      <c r="U40" s="544">
        <f t="shared" si="7"/>
        <v>4250</v>
      </c>
      <c r="V40" s="544">
        <f t="shared" si="7"/>
        <v>4250</v>
      </c>
      <c r="W40" s="544">
        <f t="shared" si="7"/>
        <v>4250</v>
      </c>
      <c r="X40" s="544">
        <f t="shared" si="7"/>
        <v>4250</v>
      </c>
      <c r="Y40" s="544">
        <f t="shared" si="7"/>
        <v>4250</v>
      </c>
      <c r="Z40" s="544">
        <f t="shared" si="7"/>
        <v>4250</v>
      </c>
    </row>
    <row r="41" spans="1:26" s="1" customFormat="1" hidden="1" outlineLevel="1">
      <c r="A41" s="8" t="s">
        <v>351</v>
      </c>
      <c r="B41" s="552">
        <f t="shared" ref="B41:Z41" si="8">B80</f>
        <v>-1058</v>
      </c>
      <c r="C41" s="552">
        <f t="shared" si="8"/>
        <v>-859</v>
      </c>
      <c r="D41" s="552">
        <f t="shared" si="8"/>
        <v>-737</v>
      </c>
      <c r="E41" s="552">
        <f t="shared" si="8"/>
        <v>-652</v>
      </c>
      <c r="F41" s="552">
        <f t="shared" si="8"/>
        <v>-532</v>
      </c>
      <c r="G41" s="552">
        <f t="shared" si="8"/>
        <v>-455</v>
      </c>
      <c r="H41" s="544">
        <f t="shared" si="8"/>
        <v>-345</v>
      </c>
      <c r="I41" s="544">
        <f t="shared" si="8"/>
        <v>-229</v>
      </c>
      <c r="J41" s="544">
        <f t="shared" si="8"/>
        <v>-46</v>
      </c>
      <c r="K41" s="544">
        <f t="shared" si="8"/>
        <v>-94</v>
      </c>
      <c r="L41" s="544">
        <f t="shared" si="8"/>
        <v>-45</v>
      </c>
      <c r="M41" s="544">
        <f t="shared" si="8"/>
        <v>-29</v>
      </c>
      <c r="N41" s="544">
        <f t="shared" si="8"/>
        <v>-29</v>
      </c>
      <c r="O41" s="544">
        <f t="shared" si="8"/>
        <v>-29</v>
      </c>
      <c r="P41" s="544">
        <f t="shared" si="8"/>
        <v>-29</v>
      </c>
      <c r="Q41" s="544">
        <f t="shared" si="8"/>
        <v>-29</v>
      </c>
      <c r="R41" s="544">
        <f t="shared" si="8"/>
        <v>-29</v>
      </c>
      <c r="S41" s="544">
        <f t="shared" si="8"/>
        <v>-29</v>
      </c>
      <c r="T41" s="544">
        <f t="shared" si="8"/>
        <v>-29</v>
      </c>
      <c r="U41" s="544">
        <f t="shared" si="8"/>
        <v>-29</v>
      </c>
      <c r="V41" s="544">
        <f t="shared" si="8"/>
        <v>-29</v>
      </c>
      <c r="W41" s="544">
        <f t="shared" si="8"/>
        <v>-29</v>
      </c>
      <c r="X41" s="544">
        <f t="shared" si="8"/>
        <v>-29</v>
      </c>
      <c r="Y41" s="544">
        <f t="shared" si="8"/>
        <v>-29</v>
      </c>
      <c r="Z41" s="544">
        <f t="shared" si="8"/>
        <v>-29</v>
      </c>
    </row>
    <row r="42" spans="1:26" s="1" customFormat="1" hidden="1" outlineLevel="1">
      <c r="A42" s="40" t="s">
        <v>17</v>
      </c>
      <c r="B42" s="587">
        <f t="shared" ref="B42:Z42" si="9">SUM(B30:B34)</f>
        <v>13772.045470999412</v>
      </c>
      <c r="C42" s="587">
        <f t="shared" si="9"/>
        <v>13864.60353984727</v>
      </c>
      <c r="D42" s="587">
        <f t="shared" si="9"/>
        <v>8502.0436728605382</v>
      </c>
      <c r="E42" s="587">
        <f t="shared" si="9"/>
        <v>6329.4488773745688</v>
      </c>
      <c r="F42" s="587">
        <f t="shared" si="9"/>
        <v>12286.271747804101</v>
      </c>
      <c r="G42" s="587">
        <f t="shared" si="9"/>
        <v>11903.684653020126</v>
      </c>
      <c r="H42" s="584">
        <f t="shared" si="9"/>
        <v>20054.070125213097</v>
      </c>
      <c r="I42" s="584">
        <f t="shared" si="9"/>
        <v>25329.495708538867</v>
      </c>
      <c r="J42" s="584">
        <f t="shared" si="9"/>
        <v>34365.674460636874</v>
      </c>
      <c r="K42" s="584">
        <f t="shared" si="9"/>
        <v>30819.019258643428</v>
      </c>
      <c r="L42" s="584">
        <f t="shared" si="9"/>
        <v>70845.495433316944</v>
      </c>
      <c r="M42" s="584">
        <f t="shared" si="9"/>
        <v>69827.127051559786</v>
      </c>
      <c r="N42" s="584">
        <f t="shared" si="9"/>
        <v>70006.702975498221</v>
      </c>
      <c r="O42" s="584">
        <f t="shared" si="9"/>
        <v>113783.71023774728</v>
      </c>
      <c r="P42" s="584">
        <f t="shared" si="9"/>
        <v>104761.53854928658</v>
      </c>
      <c r="Q42" s="584">
        <f t="shared" si="9"/>
        <v>111102.99027055441</v>
      </c>
      <c r="R42" s="584">
        <f t="shared" si="9"/>
        <v>115958.49192982132</v>
      </c>
      <c r="S42" s="584">
        <f t="shared" si="9"/>
        <v>117948.6008948393</v>
      </c>
      <c r="T42" s="584">
        <f t="shared" si="9"/>
        <v>120090.15386109626</v>
      </c>
      <c r="U42" s="584">
        <f t="shared" si="9"/>
        <v>120505.49651684183</v>
      </c>
      <c r="V42" s="584">
        <f t="shared" si="9"/>
        <v>122038.72367506723</v>
      </c>
      <c r="W42" s="584">
        <f t="shared" si="9"/>
        <v>122769.37783265454</v>
      </c>
      <c r="X42" s="584">
        <f t="shared" si="9"/>
        <v>124775.13823739103</v>
      </c>
      <c r="Y42" s="584">
        <f t="shared" si="9"/>
        <v>131406.60811589865</v>
      </c>
      <c r="Z42" s="584">
        <f t="shared" si="9"/>
        <v>138456.53556180105</v>
      </c>
    </row>
    <row r="43" spans="1:26" s="1" customFormat="1" hidden="1" outlineLevel="1">
      <c r="A43" s="72" t="s">
        <v>344</v>
      </c>
      <c r="B43" s="588">
        <f>B42/'Income Statement'!B84</f>
        <v>34.516404689221581</v>
      </c>
      <c r="C43" s="588">
        <f>C42/'Income Statement'!C84</f>
        <v>266.62699115090902</v>
      </c>
      <c r="D43" s="588">
        <f>D42/'Income Statement'!D84</f>
        <v>3.0042557147917095</v>
      </c>
      <c r="E43" s="588">
        <f>E42/'Income Statement'!E84</f>
        <v>-19.656673532219159</v>
      </c>
      <c r="F43" s="588">
        <f>F42/'Income Statement'!F84</f>
        <v>9.980724409264095</v>
      </c>
      <c r="G43" s="588">
        <f>G42/'Income Statement'!G84</f>
        <v>7.0186819888090364</v>
      </c>
      <c r="H43" s="588">
        <f>H42/'Income Statement'!H84</f>
        <v>9.3535774837747656</v>
      </c>
      <c r="I43" s="588">
        <f>I42/'Income Statement'!I84</f>
        <v>9.5187883158733051</v>
      </c>
      <c r="J43" s="588">
        <f>J42/'Income Statement'!J151</f>
        <v>8.4519612544606186</v>
      </c>
      <c r="K43" s="588">
        <f>K42/'Income Statement'!K151</f>
        <v>7.5021955352101823</v>
      </c>
      <c r="L43" s="588">
        <f>L42/'Income Statement'!L151</f>
        <v>17.912893914871542</v>
      </c>
      <c r="M43" s="588">
        <f>M42/'Income Statement'!M151</f>
        <v>16.418322843066022</v>
      </c>
      <c r="N43" s="588">
        <f>N42/'Income Statement'!N151</f>
        <v>11.999777678350741</v>
      </c>
      <c r="O43" s="588">
        <f>O42/'Income Statement'!O151</f>
        <v>16.381184888820513</v>
      </c>
      <c r="P43" s="588">
        <f>P42/'Income Statement'!P151</f>
        <v>61.407701377073025</v>
      </c>
      <c r="Q43" s="588">
        <f>Q42/'Income Statement'!Q151</f>
        <v>22.837202522210568</v>
      </c>
      <c r="R43" s="588">
        <f>R42/'Income Statement'!R151</f>
        <v>20.607515892984061</v>
      </c>
      <c r="S43" s="588">
        <f>S42/'Income Statement'!S151</f>
        <v>20.20359727558056</v>
      </c>
      <c r="T43" s="588">
        <f>T42/'Income Statement'!T151</f>
        <v>22.429987646824106</v>
      </c>
      <c r="U43" s="588">
        <f>U42/'Income Statement'!U151</f>
        <v>16.905933854775789</v>
      </c>
      <c r="V43" s="588">
        <f>V42/'Income Statement'!V151</f>
        <v>16.031101817816158</v>
      </c>
      <c r="W43" s="588">
        <f>W42/'Income Statement'!W151</f>
        <v>13.227472207357295</v>
      </c>
      <c r="X43" s="588">
        <f>X42/'Income Statement'!X151</f>
        <v>10.762176947390934</v>
      </c>
      <c r="Y43" s="588">
        <f>Y42/'Income Statement'!Y151</f>
        <v>9.9139972706810262</v>
      </c>
      <c r="Z43" s="588">
        <f>Z42/'Income Statement'!Z151</f>
        <v>9.8005321693388776</v>
      </c>
    </row>
    <row r="44" spans="1:26" s="1" customFormat="1" hidden="1" outlineLevel="1">
      <c r="A44" s="72" t="s">
        <v>346</v>
      </c>
      <c r="B44" s="588"/>
      <c r="C44" s="588"/>
      <c r="D44" s="588"/>
      <c r="E44" s="588"/>
      <c r="F44" s="588"/>
      <c r="G44" s="588"/>
      <c r="H44" s="588">
        <f>(H42-H30+H30/H27*H28)/'Income Statement'!H84</f>
        <v>-1.2946328730569512</v>
      </c>
      <c r="I44" s="588">
        <f>(I42-I30+I30/I27*I28)/'Income Statement'!I84</f>
        <v>13.818859137155775</v>
      </c>
      <c r="J44" s="588">
        <f>(J42-J30+J30/J27*J28)/'Income Statement'!J84</f>
        <v>8.4314677050696645</v>
      </c>
      <c r="K44" s="588">
        <f>(K42-K30+K30/K27*K28)/'Income Statement'!K84</f>
        <v>7.4818426322255007</v>
      </c>
      <c r="L44" s="588">
        <f>(L42-L30+L30/L27*L28)/'Income Statement'!L84</f>
        <v>7.2877994757747695</v>
      </c>
      <c r="M44" s="588">
        <f>(M42-M30+M30/M27*M28)/'Income Statement'!M84</f>
        <v>6.5380432267456934</v>
      </c>
      <c r="N44" s="588">
        <f>(N42-N30+N30/N27*N28)/'Income Statement'!N84</f>
        <v>4.8265610329614832</v>
      </c>
      <c r="O44" s="588">
        <f>(O42-O30+O30/O27*O28)/'Income Statement'!O84</f>
        <v>7.2855423698905311</v>
      </c>
      <c r="P44" s="588">
        <f>(P42-P30+P30/P27*P28)/'Income Statement'!P84</f>
        <v>24.082133470755803</v>
      </c>
      <c r="Q44" s="588">
        <f>(Q42-Q30+Q30/Q27*Q28)/'Income Statement'!Q84</f>
        <v>9.7124223503245535</v>
      </c>
      <c r="R44" s="588">
        <f>(R42-R30+R30/R27*R28)/'Income Statement'!R84</f>
        <v>9.2347225634265584</v>
      </c>
      <c r="S44" s="588">
        <f>(S42-S30+S30/S27*S28)/'Income Statement'!S84</f>
        <v>9.2190020608314871</v>
      </c>
      <c r="T44" s="588">
        <f>(T42-T30+T30/T27*T28)/'Income Statement'!T84</f>
        <v>10.433543986750108</v>
      </c>
      <c r="U44" s="588">
        <f>(U42-U30+U30/U27*U28)/'Income Statement'!U84</f>
        <v>7.8995680824983596</v>
      </c>
      <c r="V44" s="588">
        <f>(V42-V30+V30/V27*V28)/'Income Statement'!V84</f>
        <v>7.6542976225418453</v>
      </c>
      <c r="W44" s="588">
        <f>(W42-W30+W30/W27*W28)/'Income Statement'!W84</f>
        <v>6.4490086185331954</v>
      </c>
      <c r="X44" s="588">
        <f>(X42-X30+X30/X27*X28)/'Income Statement'!X84</f>
        <v>5.4095377346392688</v>
      </c>
      <c r="Y44" s="588">
        <f>(Y42-Y30+Y30/Y27*Y28)/'Income Statement'!Y84</f>
        <v>5.2320394980043545</v>
      </c>
      <c r="Z44" s="588">
        <f>(Z42-Z30+Z30/Z27*Z28)/'Income Statement'!Z84</f>
        <v>5.4078265388053746</v>
      </c>
    </row>
    <row r="45" spans="1:26" s="1" customFormat="1" hidden="1" outlineLevel="1">
      <c r="A45" s="72" t="s">
        <v>347</v>
      </c>
      <c r="B45" s="588" t="e">
        <f>B27/'Income Statement'!B201</f>
        <v>#DIV/0!</v>
      </c>
      <c r="C45" s="588" t="e">
        <f>C27/'Income Statement'!C201</f>
        <v>#DIV/0!</v>
      </c>
      <c r="D45" s="588" t="e">
        <f>D27/'Income Statement'!D201</f>
        <v>#DIV/0!</v>
      </c>
      <c r="E45" s="588" t="e">
        <f>E27/'Income Statement'!E201</f>
        <v>#DIV/0!</v>
      </c>
      <c r="F45" s="588" t="e">
        <f>F27/'Income Statement'!F201</f>
        <v>#DIV/0!</v>
      </c>
      <c r="G45" s="588" t="e">
        <f>G27/'Income Statement'!G201</f>
        <v>#DIV/0!</v>
      </c>
      <c r="H45" s="588" t="e">
        <f>H27/'Income Statement'!H201</f>
        <v>#DIV/0!</v>
      </c>
      <c r="I45" s="588" t="e">
        <f>I28/'Income Statement'!I201</f>
        <v>#DIV/0!</v>
      </c>
      <c r="J45" s="588" t="e">
        <f>J28/'Income Statement'!J201</f>
        <v>#DIV/0!</v>
      </c>
      <c r="K45" s="588" t="e">
        <f>K28/'Income Statement'!K201</f>
        <v>#DIV/0!</v>
      </c>
      <c r="L45" s="588" t="e">
        <f>L28/'Income Statement'!L201</f>
        <v>#DIV/0!</v>
      </c>
      <c r="M45" s="588" t="e">
        <f>M28/'Income Statement'!M201</f>
        <v>#DIV/0!</v>
      </c>
      <c r="N45" s="588" t="e">
        <f>N28/'Income Statement'!N201</f>
        <v>#DIV/0!</v>
      </c>
      <c r="O45" s="588" t="e">
        <f>O28/'Income Statement'!O201</f>
        <v>#DIV/0!</v>
      </c>
      <c r="P45" s="588" t="e">
        <f>P28/'Income Statement'!P201</f>
        <v>#DIV/0!</v>
      </c>
      <c r="Q45" s="588" t="e">
        <f>Q28/'Income Statement'!Q201</f>
        <v>#DIV/0!</v>
      </c>
      <c r="R45" s="588" t="e">
        <f>R28/'Income Statement'!R201</f>
        <v>#DIV/0!</v>
      </c>
      <c r="S45" s="588" t="e">
        <f>S28/'Income Statement'!S201</f>
        <v>#DIV/0!</v>
      </c>
      <c r="T45" s="588" t="e">
        <f>T28/'Income Statement'!T201</f>
        <v>#DIV/0!</v>
      </c>
      <c r="U45" s="588" t="e">
        <f>U28/'Income Statement'!U201</f>
        <v>#DIV/0!</v>
      </c>
      <c r="V45" s="588" t="e">
        <f>V28/'Income Statement'!V201</f>
        <v>#DIV/0!</v>
      </c>
      <c r="W45" s="588" t="e">
        <f>W28/'Income Statement'!W201</f>
        <v>#DIV/0!</v>
      </c>
      <c r="X45" s="588" t="e">
        <f>X28/'Income Statement'!X201</f>
        <v>#DIV/0!</v>
      </c>
      <c r="Y45" s="588" t="e">
        <f>Y28/'Income Statement'!Y201</f>
        <v>#DIV/0!</v>
      </c>
      <c r="Z45" s="588" t="e">
        <f>Z28/'Income Statement'!Z201</f>
        <v>#DIV/0!</v>
      </c>
    </row>
    <row r="46" spans="1:26" s="1" customFormat="1" hidden="1" outlineLevel="1"/>
    <row r="47" spans="1:26" s="1" customFormat="1" hidden="1" outlineLevel="1"/>
    <row r="48" spans="1:26" s="1" customFormat="1" hidden="1" outlineLevel="1"/>
    <row r="49" spans="1:28" s="1" customFormat="1" hidden="1" outlineLevel="1"/>
    <row r="50" spans="1:28" s="1" customFormat="1" hidden="1" outlineLevel="1"/>
    <row r="51" spans="1:28" s="1" customFormat="1" hidden="1" outlineLevel="1"/>
    <row r="52" spans="1:28" s="1" customFormat="1" hidden="1" outlineLevel="1"/>
    <row r="53" spans="1:28" s="1" customFormat="1" hidden="1" outlineLevel="1"/>
    <row r="54" spans="1:28" s="1" customFormat="1" hidden="1" outlineLevel="1"/>
    <row r="55" spans="1:28" s="1" customFormat="1" hidden="1" outlineLevel="1"/>
    <row r="56" spans="1:28" s="1" customFormat="1" hidden="1" outlineLevel="1"/>
    <row r="57" spans="1:28" s="1" customFormat="1" hidden="1" outlineLevel="1"/>
    <row r="58" spans="1:28" s="1" customFormat="1" hidden="1" outlineLevel="1"/>
    <row r="59" spans="1:28" s="1" customFormat="1" hidden="1" outlineLevel="1">
      <c r="B59" s="271"/>
      <c r="C59" s="271"/>
      <c r="D59" s="271"/>
      <c r="E59" s="271"/>
      <c r="F59" s="271"/>
      <c r="G59" s="271"/>
      <c r="H59" s="271"/>
      <c r="I59" s="271"/>
      <c r="J59" s="271"/>
      <c r="K59" s="271"/>
      <c r="L59" s="271"/>
      <c r="M59" s="271"/>
      <c r="N59" s="271"/>
      <c r="O59" s="544"/>
      <c r="P59" s="544"/>
      <c r="Q59" s="544"/>
      <c r="R59" s="544"/>
      <c r="S59" s="544"/>
      <c r="T59" s="544"/>
      <c r="U59" s="544"/>
      <c r="V59" s="544"/>
      <c r="W59" s="544"/>
      <c r="X59" s="544"/>
      <c r="Y59" s="544"/>
      <c r="Z59" s="544"/>
    </row>
    <row r="60" spans="1:28" s="1" customFormat="1" hidden="1" outlineLevel="1">
      <c r="A60" s="267" t="s">
        <v>349</v>
      </c>
      <c r="B60" s="579">
        <f t="shared" ref="B60:Z60" si="10">B61</f>
        <v>526</v>
      </c>
      <c r="C60" s="579">
        <f t="shared" si="10"/>
        <v>440</v>
      </c>
      <c r="D60" s="579">
        <f t="shared" si="10"/>
        <v>415</v>
      </c>
      <c r="E60" s="579">
        <f t="shared" si="10"/>
        <v>429</v>
      </c>
      <c r="F60" s="579">
        <f t="shared" si="10"/>
        <v>427</v>
      </c>
      <c r="G60" s="579">
        <f t="shared" si="10"/>
        <v>363</v>
      </c>
      <c r="H60" s="579">
        <f t="shared" si="10"/>
        <v>181</v>
      </c>
      <c r="I60" s="579">
        <f t="shared" si="10"/>
        <v>181</v>
      </c>
      <c r="J60" s="579">
        <f t="shared" si="10"/>
        <v>80</v>
      </c>
      <c r="K60" s="579">
        <f t="shared" si="10"/>
        <v>68</v>
      </c>
      <c r="L60" s="579">
        <f t="shared" si="10"/>
        <v>203</v>
      </c>
      <c r="M60" s="579">
        <f t="shared" si="10"/>
        <v>148</v>
      </c>
      <c r="N60" s="579">
        <f t="shared" si="10"/>
        <v>38</v>
      </c>
      <c r="O60" s="570">
        <f t="shared" si="10"/>
        <v>104</v>
      </c>
      <c r="P60" s="570">
        <f t="shared" si="10"/>
        <v>14</v>
      </c>
      <c r="Q60" s="570">
        <f t="shared" si="10"/>
        <v>67</v>
      </c>
      <c r="R60" s="570">
        <f t="shared" si="10"/>
        <v>8</v>
      </c>
      <c r="S60" s="570">
        <f t="shared" si="10"/>
        <v>8</v>
      </c>
      <c r="T60" s="570">
        <f t="shared" si="10"/>
        <v>4</v>
      </c>
      <c r="U60" s="570">
        <f t="shared" si="10"/>
        <v>4</v>
      </c>
      <c r="V60" s="570">
        <f t="shared" si="10"/>
        <v>4</v>
      </c>
      <c r="W60" s="570">
        <f t="shared" si="10"/>
        <v>4</v>
      </c>
      <c r="X60" s="570">
        <f t="shared" si="10"/>
        <v>4</v>
      </c>
      <c r="Y60" s="570">
        <f t="shared" si="10"/>
        <v>4</v>
      </c>
      <c r="Z60" s="570">
        <f t="shared" si="10"/>
        <v>4</v>
      </c>
    </row>
    <row r="61" spans="1:28" s="1" customFormat="1" hidden="1" outlineLevel="1">
      <c r="A61" s="8" t="s">
        <v>22</v>
      </c>
      <c r="B61" s="271">
        <v>526</v>
      </c>
      <c r="C61" s="271">
        <v>440</v>
      </c>
      <c r="D61" s="271">
        <v>415</v>
      </c>
      <c r="E61" s="271">
        <v>429</v>
      </c>
      <c r="F61" s="271">
        <v>427</v>
      </c>
      <c r="G61" s="271">
        <f>267+56+40</f>
        <v>363</v>
      </c>
      <c r="H61" s="271">
        <f>124+45+12</f>
        <v>181</v>
      </c>
      <c r="I61" s="271">
        <f>H61</f>
        <v>181</v>
      </c>
      <c r="J61" s="271">
        <f>71+9</f>
        <v>80</v>
      </c>
      <c r="K61" s="271">
        <f>60+8</f>
        <v>68</v>
      </c>
      <c r="L61" s="568">
        <f>182+21</f>
        <v>203</v>
      </c>
      <c r="M61" s="271">
        <f>144+4</f>
        <v>148</v>
      </c>
      <c r="N61" s="545">
        <v>38</v>
      </c>
      <c r="O61" s="546">
        <v>104</v>
      </c>
      <c r="P61" s="546">
        <v>14</v>
      </c>
      <c r="Q61" s="546">
        <v>67</v>
      </c>
      <c r="R61" s="546">
        <v>8</v>
      </c>
      <c r="S61" s="546">
        <v>8</v>
      </c>
      <c r="T61" s="546">
        <v>4</v>
      </c>
      <c r="U61" s="544">
        <f t="shared" ref="U61:Z62" si="11">T61</f>
        <v>4</v>
      </c>
      <c r="V61" s="544">
        <f t="shared" si="11"/>
        <v>4</v>
      </c>
      <c r="W61" s="544">
        <f t="shared" si="11"/>
        <v>4</v>
      </c>
      <c r="X61" s="544">
        <f t="shared" si="11"/>
        <v>4</v>
      </c>
      <c r="Y61" s="544">
        <f t="shared" si="11"/>
        <v>4</v>
      </c>
      <c r="Z61" s="544">
        <f t="shared" si="11"/>
        <v>4</v>
      </c>
      <c r="AB61" s="1" t="s">
        <v>343</v>
      </c>
    </row>
    <row r="62" spans="1:28" s="1" customFormat="1" hidden="1" outlineLevel="1">
      <c r="A62" s="8" t="s">
        <v>21</v>
      </c>
      <c r="B62" s="271">
        <v>-791</v>
      </c>
      <c r="C62" s="271">
        <v>-622</v>
      </c>
      <c r="D62" s="271">
        <v>-697</v>
      </c>
      <c r="E62" s="271">
        <v>-972</v>
      </c>
      <c r="F62" s="271">
        <v>-926</v>
      </c>
      <c r="G62" s="271">
        <f>-627-86-53</f>
        <v>-766</v>
      </c>
      <c r="H62" s="271">
        <f>-741-61-48</f>
        <v>-850</v>
      </c>
      <c r="I62" s="271">
        <f>H62</f>
        <v>-850</v>
      </c>
      <c r="J62" s="271">
        <f>-743-20</f>
        <v>-763</v>
      </c>
      <c r="K62" s="271">
        <f>-922-20</f>
        <v>-942</v>
      </c>
      <c r="L62" s="271">
        <f>-1157-60</f>
        <v>-1217</v>
      </c>
      <c r="M62" s="271">
        <f>-953-64</f>
        <v>-1017</v>
      </c>
      <c r="N62" s="545">
        <v>-597</v>
      </c>
      <c r="O62" s="546">
        <v>-560</v>
      </c>
      <c r="P62" s="546">
        <v>-279</v>
      </c>
      <c r="Q62" s="544">
        <f>P62</f>
        <v>-279</v>
      </c>
      <c r="R62" s="544">
        <f>Q62</f>
        <v>-279</v>
      </c>
      <c r="S62" s="544">
        <f>R62</f>
        <v>-279</v>
      </c>
      <c r="T62" s="544">
        <f>S62</f>
        <v>-279</v>
      </c>
      <c r="U62" s="544">
        <f t="shared" si="11"/>
        <v>-279</v>
      </c>
      <c r="V62" s="544">
        <f t="shared" si="11"/>
        <v>-279</v>
      </c>
      <c r="W62" s="544">
        <f t="shared" si="11"/>
        <v>-279</v>
      </c>
      <c r="X62" s="544">
        <f t="shared" si="11"/>
        <v>-279</v>
      </c>
      <c r="Y62" s="544">
        <f t="shared" si="11"/>
        <v>-279</v>
      </c>
      <c r="Z62" s="544">
        <f t="shared" si="11"/>
        <v>-279</v>
      </c>
      <c r="AB62" s="1" t="s">
        <v>377</v>
      </c>
    </row>
    <row r="63" spans="1:28" s="1" customFormat="1" hidden="1" outlineLevel="1">
      <c r="B63" s="271"/>
      <c r="C63" s="271"/>
      <c r="D63" s="271"/>
      <c r="E63" s="271"/>
      <c r="F63" s="271"/>
      <c r="G63" s="271"/>
      <c r="H63" s="271"/>
      <c r="I63" s="271"/>
      <c r="J63" s="271"/>
      <c r="K63" s="271"/>
      <c r="L63" s="271"/>
      <c r="M63" s="271"/>
      <c r="N63" s="271"/>
      <c r="O63" s="544"/>
      <c r="P63" s="544"/>
      <c r="Q63" s="544"/>
      <c r="R63" s="544"/>
      <c r="S63" s="544"/>
      <c r="T63" s="544"/>
      <c r="U63" s="544"/>
      <c r="V63" s="544"/>
      <c r="W63" s="544"/>
      <c r="X63" s="544"/>
      <c r="Y63" s="544"/>
      <c r="Z63" s="544"/>
    </row>
    <row r="64" spans="1:28" s="1" customFormat="1" hidden="1" outlineLevel="1">
      <c r="A64" s="232" t="s">
        <v>314</v>
      </c>
      <c r="B64" s="570">
        <f t="shared" ref="B64:Z64" si="12">B65+B67</f>
        <v>-3900.4282831310002</v>
      </c>
      <c r="C64" s="570">
        <f t="shared" si="12"/>
        <v>-3309.7938648300001</v>
      </c>
      <c r="D64" s="570">
        <f t="shared" si="12"/>
        <v>-3150.2226714090002</v>
      </c>
      <c r="E64" s="570">
        <f t="shared" si="12"/>
        <v>-2836.2638984430005</v>
      </c>
      <c r="F64" s="570">
        <f t="shared" si="12"/>
        <v>-4148.6498319349994</v>
      </c>
      <c r="G64" s="570">
        <f t="shared" si="12"/>
        <v>-4575.3887021500004</v>
      </c>
      <c r="H64" s="570">
        <f t="shared" si="12"/>
        <v>-1518</v>
      </c>
      <c r="I64" s="570">
        <f t="shared" si="12"/>
        <v>-1354</v>
      </c>
      <c r="J64" s="570">
        <f t="shared" si="12"/>
        <v>-2288</v>
      </c>
      <c r="K64" s="570">
        <f t="shared" si="12"/>
        <v>-4178.0734663727644</v>
      </c>
      <c r="L64" s="570">
        <f t="shared" si="12"/>
        <v>-4300</v>
      </c>
      <c r="M64" s="570">
        <f t="shared" si="12"/>
        <v>-5107</v>
      </c>
      <c r="N64" s="570">
        <f t="shared" si="12"/>
        <v>-4993</v>
      </c>
      <c r="O64" s="570">
        <f t="shared" si="12"/>
        <v>-5721</v>
      </c>
      <c r="P64" s="570">
        <f t="shared" si="12"/>
        <v>-5196</v>
      </c>
      <c r="Q64" s="570">
        <f t="shared" si="12"/>
        <v>-5531</v>
      </c>
      <c r="R64" s="570">
        <f t="shared" si="12"/>
        <v>-6146</v>
      </c>
      <c r="S64" s="570">
        <f t="shared" si="12"/>
        <v>-6788.873781554611</v>
      </c>
      <c r="T64" s="570">
        <f t="shared" si="12"/>
        <v>-7324.3933625185591</v>
      </c>
      <c r="U64" s="570">
        <f t="shared" si="12"/>
        <v>-7614.8552008850429</v>
      </c>
      <c r="V64" s="570">
        <f t="shared" si="12"/>
        <v>-7918.45128990372</v>
      </c>
      <c r="W64" s="570">
        <f t="shared" si="12"/>
        <v>-8254.7137899037189</v>
      </c>
      <c r="X64" s="570">
        <f t="shared" si="12"/>
        <v>-8607.7894149037202</v>
      </c>
      <c r="Y64" s="570">
        <f t="shared" si="12"/>
        <v>-8978.5188211537206</v>
      </c>
      <c r="Z64" s="570">
        <f t="shared" si="12"/>
        <v>-9367.7846977162189</v>
      </c>
    </row>
    <row r="65" spans="1:28" s="1" customFormat="1" hidden="1" outlineLevel="1">
      <c r="A65" s="8" t="s">
        <v>20</v>
      </c>
      <c r="B65" s="552">
        <v>-2911.4282831310002</v>
      </c>
      <c r="C65" s="552">
        <v>-2484.7938648300001</v>
      </c>
      <c r="D65" s="552">
        <v>-2433.2226714090002</v>
      </c>
      <c r="E65" s="552">
        <v>-1936.2638984430002</v>
      </c>
      <c r="F65" s="552">
        <v>-2742.6498319349998</v>
      </c>
      <c r="G65" s="552">
        <v>-3047.3887021500004</v>
      </c>
      <c r="H65" s="552"/>
      <c r="I65" s="552"/>
      <c r="J65" s="552"/>
      <c r="K65" s="589">
        <v>-2188.8009341839229</v>
      </c>
      <c r="L65" s="589">
        <v>0</v>
      </c>
      <c r="M65" s="589">
        <f t="shared" ref="M65:Z65" si="13">L65</f>
        <v>0</v>
      </c>
      <c r="N65" s="589">
        <f t="shared" si="13"/>
        <v>0</v>
      </c>
      <c r="O65" s="547">
        <f t="shared" si="13"/>
        <v>0</v>
      </c>
      <c r="P65" s="547">
        <f t="shared" si="13"/>
        <v>0</v>
      </c>
      <c r="Q65" s="547">
        <f t="shared" si="13"/>
        <v>0</v>
      </c>
      <c r="R65" s="547">
        <f t="shared" si="13"/>
        <v>0</v>
      </c>
      <c r="S65" s="547">
        <f t="shared" si="13"/>
        <v>0</v>
      </c>
      <c r="T65" s="547">
        <f t="shared" si="13"/>
        <v>0</v>
      </c>
      <c r="U65" s="547">
        <f t="shared" si="13"/>
        <v>0</v>
      </c>
      <c r="V65" s="547">
        <f t="shared" si="13"/>
        <v>0</v>
      </c>
      <c r="W65" s="547">
        <f t="shared" si="13"/>
        <v>0</v>
      </c>
      <c r="X65" s="547">
        <f t="shared" si="13"/>
        <v>0</v>
      </c>
      <c r="Y65" s="547">
        <f t="shared" si="13"/>
        <v>0</v>
      </c>
      <c r="Z65" s="547">
        <f t="shared" si="13"/>
        <v>0</v>
      </c>
      <c r="AB65" s="71"/>
    </row>
    <row r="66" spans="1:28" s="1" customFormat="1" hidden="1" outlineLevel="1">
      <c r="A66" s="8" t="s">
        <v>337</v>
      </c>
      <c r="B66" s="552"/>
      <c r="C66" s="552"/>
      <c r="D66" s="552"/>
      <c r="E66" s="552"/>
      <c r="F66" s="552"/>
      <c r="G66" s="552"/>
      <c r="H66" s="573">
        <v>744.1</v>
      </c>
      <c r="I66" s="573">
        <v>872</v>
      </c>
      <c r="J66" s="573">
        <v>1280.5</v>
      </c>
      <c r="K66" s="552"/>
      <c r="L66" s="552"/>
      <c r="M66" s="552"/>
      <c r="N66" s="552"/>
      <c r="O66" s="544"/>
      <c r="P66" s="544"/>
      <c r="Q66" s="544"/>
      <c r="R66" s="544"/>
      <c r="S66" s="544"/>
      <c r="T66" s="544"/>
      <c r="U66" s="544"/>
      <c r="V66" s="544"/>
      <c r="W66" s="544"/>
      <c r="X66" s="544"/>
      <c r="Y66" s="544"/>
      <c r="Z66" s="544"/>
    </row>
    <row r="67" spans="1:28" s="1" customFormat="1" hidden="1" outlineLevel="1">
      <c r="A67" s="8" t="s">
        <v>19</v>
      </c>
      <c r="B67" s="552">
        <f t="shared" ref="B67:Z67" si="14">-(B68-B69)-(B70-B71-B72)</f>
        <v>-989</v>
      </c>
      <c r="C67" s="552">
        <f t="shared" si="14"/>
        <v>-825</v>
      </c>
      <c r="D67" s="552">
        <f t="shared" si="14"/>
        <v>-717</v>
      </c>
      <c r="E67" s="552">
        <f t="shared" si="14"/>
        <v>-900</v>
      </c>
      <c r="F67" s="552">
        <f t="shared" si="14"/>
        <v>-1406</v>
      </c>
      <c r="G67" s="552">
        <f t="shared" si="14"/>
        <v>-1528</v>
      </c>
      <c r="H67" s="552">
        <f t="shared" si="14"/>
        <v>-1518</v>
      </c>
      <c r="I67" s="552">
        <f t="shared" si="14"/>
        <v>-1354</v>
      </c>
      <c r="J67" s="552">
        <f t="shared" si="14"/>
        <v>-2288</v>
      </c>
      <c r="K67" s="552">
        <f t="shared" si="14"/>
        <v>-1989.2725321888413</v>
      </c>
      <c r="L67" s="552">
        <f t="shared" si="14"/>
        <v>-4300</v>
      </c>
      <c r="M67" s="552">
        <f t="shared" si="14"/>
        <v>-5107</v>
      </c>
      <c r="N67" s="552">
        <f t="shared" si="14"/>
        <v>-4993</v>
      </c>
      <c r="O67" s="544">
        <f t="shared" si="14"/>
        <v>-5721</v>
      </c>
      <c r="P67" s="544">
        <f t="shared" si="14"/>
        <v>-5196</v>
      </c>
      <c r="Q67" s="544">
        <f t="shared" si="14"/>
        <v>-5531</v>
      </c>
      <c r="R67" s="544">
        <f t="shared" si="14"/>
        <v>-6146</v>
      </c>
      <c r="S67" s="544">
        <f t="shared" si="14"/>
        <v>-6788.873781554611</v>
      </c>
      <c r="T67" s="544">
        <f t="shared" si="14"/>
        <v>-7324.3933625185591</v>
      </c>
      <c r="U67" s="544">
        <f t="shared" si="14"/>
        <v>-7614.8552008850429</v>
      </c>
      <c r="V67" s="544">
        <f t="shared" si="14"/>
        <v>-7918.45128990372</v>
      </c>
      <c r="W67" s="544">
        <f t="shared" si="14"/>
        <v>-8254.7137899037189</v>
      </c>
      <c r="X67" s="544">
        <f t="shared" si="14"/>
        <v>-8607.7894149037202</v>
      </c>
      <c r="Y67" s="544">
        <f t="shared" si="14"/>
        <v>-8978.5188211537206</v>
      </c>
      <c r="Z67" s="544">
        <f t="shared" si="14"/>
        <v>-9367.7846977162189</v>
      </c>
    </row>
    <row r="68" spans="1:28" s="1" customFormat="1" hidden="1" outlineLevel="1">
      <c r="A68" s="1" t="s">
        <v>196</v>
      </c>
      <c r="B68" s="271">
        <f>'Balance Sheet'!B7</f>
        <v>2095</v>
      </c>
      <c r="C68" s="271">
        <f>'Balance Sheet'!C7</f>
        <v>2238</v>
      </c>
      <c r="D68" s="271">
        <f>'Balance Sheet'!D7</f>
        <v>2356</v>
      </c>
      <c r="E68" s="271">
        <f>'Balance Sheet'!E7</f>
        <v>2514</v>
      </c>
      <c r="F68" s="271">
        <f>'Balance Sheet'!F7</f>
        <v>2451</v>
      </c>
      <c r="G68" s="271">
        <f>'Balance Sheet'!G7</f>
        <v>2677</v>
      </c>
      <c r="H68" s="271">
        <f>'Balance Sheet'!H7</f>
        <v>2662</v>
      </c>
      <c r="I68" s="552">
        <f>'Balance Sheet'!I7</f>
        <v>2902</v>
      </c>
      <c r="J68" s="552">
        <f>'Balance Sheet'!J7</f>
        <v>3391</v>
      </c>
      <c r="K68" s="552">
        <f>'Balance Sheet'!K7</f>
        <v>1326</v>
      </c>
      <c r="L68" s="552">
        <f>'Balance Sheet'!L7</f>
        <v>1608</v>
      </c>
      <c r="M68" s="552">
        <f>'Balance Sheet'!M7</f>
        <v>1678</v>
      </c>
      <c r="N68" s="552">
        <f>'Balance Sheet'!N7</f>
        <v>1693</v>
      </c>
      <c r="O68" s="544">
        <f>'Balance Sheet'!O7</f>
        <v>1626</v>
      </c>
      <c r="P68" s="544">
        <f>'Balance Sheet'!P7</f>
        <v>1578</v>
      </c>
      <c r="Q68" s="544">
        <f>'Balance Sheet'!Q7</f>
        <v>1672</v>
      </c>
      <c r="R68" s="544">
        <f>'Balance Sheet'!R7</f>
        <v>2067</v>
      </c>
      <c r="S68" s="544">
        <f>'Balance Sheet'!S7</f>
        <v>2228</v>
      </c>
      <c r="T68" s="544">
        <f>'Balance Sheet'!T7</f>
        <v>2433</v>
      </c>
      <c r="U68" s="544">
        <f>'Balance Sheet'!U7</f>
        <v>2360</v>
      </c>
      <c r="V68" s="544">
        <f>'Balance Sheet'!V7</f>
        <v>2680.25</v>
      </c>
      <c r="W68" s="544">
        <f>'Balance Sheet'!W7</f>
        <v>3016.5124999999998</v>
      </c>
      <c r="X68" s="544">
        <f>'Balance Sheet'!X7</f>
        <v>3369.5881249999998</v>
      </c>
      <c r="Y68" s="544">
        <f>'Balance Sheet'!Y7</f>
        <v>3740.3175312499998</v>
      </c>
      <c r="Z68" s="544">
        <f>'Balance Sheet'!Z7</f>
        <v>4129.5834078124999</v>
      </c>
      <c r="AB68" s="1" t="s">
        <v>338</v>
      </c>
    </row>
    <row r="69" spans="1:28" s="1" customFormat="1" hidden="1" outlineLevel="1">
      <c r="A69" s="8" t="s">
        <v>195</v>
      </c>
      <c r="B69" s="271">
        <v>1985</v>
      </c>
      <c r="C69" s="271">
        <v>2121</v>
      </c>
      <c r="D69" s="271">
        <v>2243</v>
      </c>
      <c r="E69" s="271">
        <v>2380</v>
      </c>
      <c r="F69" s="271">
        <v>2318</v>
      </c>
      <c r="G69" s="271">
        <v>2552</v>
      </c>
      <c r="H69" s="545">
        <v>2519</v>
      </c>
      <c r="I69" s="545">
        <v>2747</v>
      </c>
      <c r="J69" s="545">
        <v>2429</v>
      </c>
      <c r="K69" s="545">
        <v>1253</v>
      </c>
      <c r="L69" s="573">
        <v>12</v>
      </c>
      <c r="M69" s="580">
        <v>0</v>
      </c>
      <c r="N69" s="580">
        <v>0</v>
      </c>
      <c r="O69" s="547">
        <f t="shared" ref="O69:Z69" si="15">N69</f>
        <v>0</v>
      </c>
      <c r="P69" s="547">
        <f t="shared" si="15"/>
        <v>0</v>
      </c>
      <c r="Q69" s="547">
        <f t="shared" si="15"/>
        <v>0</v>
      </c>
      <c r="R69" s="547">
        <f t="shared" si="15"/>
        <v>0</v>
      </c>
      <c r="S69" s="547">
        <f t="shared" si="15"/>
        <v>0</v>
      </c>
      <c r="T69" s="547">
        <f t="shared" si="15"/>
        <v>0</v>
      </c>
      <c r="U69" s="547">
        <f t="shared" si="15"/>
        <v>0</v>
      </c>
      <c r="V69" s="547">
        <f t="shared" si="15"/>
        <v>0</v>
      </c>
      <c r="W69" s="547">
        <f t="shared" si="15"/>
        <v>0</v>
      </c>
      <c r="X69" s="547">
        <f t="shared" si="15"/>
        <v>0</v>
      </c>
      <c r="Y69" s="547">
        <f t="shared" si="15"/>
        <v>0</v>
      </c>
      <c r="Z69" s="547">
        <f t="shared" si="15"/>
        <v>0</v>
      </c>
      <c r="AB69" s="1" t="s">
        <v>339</v>
      </c>
    </row>
    <row r="70" spans="1:28" s="1" customFormat="1" hidden="1" outlineLevel="1">
      <c r="A70" s="1" t="s">
        <v>194</v>
      </c>
      <c r="B70" s="271">
        <f>'Balance Sheet'!B8</f>
        <v>1666</v>
      </c>
      <c r="C70" s="271">
        <f>'Balance Sheet'!C8</f>
        <v>1553</v>
      </c>
      <c r="D70" s="271">
        <f>'Balance Sheet'!D8</f>
        <v>1712</v>
      </c>
      <c r="E70" s="271">
        <f>'Balance Sheet'!E8</f>
        <v>2210</v>
      </c>
      <c r="F70" s="271">
        <f>'Balance Sheet'!F8</f>
        <v>2386</v>
      </c>
      <c r="G70" s="271">
        <f>'Balance Sheet'!G8</f>
        <v>2352</v>
      </c>
      <c r="H70" s="271">
        <f>'Balance Sheet'!H8</f>
        <v>2115</v>
      </c>
      <c r="I70" s="271">
        <f>'Balance Sheet'!I8</f>
        <v>1864</v>
      </c>
      <c r="J70" s="271">
        <f>'Balance Sheet'!J8</f>
        <v>1769</v>
      </c>
      <c r="K70" s="552">
        <f>'Balance Sheet'!K8</f>
        <v>2492</v>
      </c>
      <c r="L70" s="552">
        <f>'Balance Sheet'!L8</f>
        <v>3655</v>
      </c>
      <c r="M70" s="552">
        <f>'Balance Sheet'!M8</f>
        <v>4204</v>
      </c>
      <c r="N70" s="552">
        <f>'Balance Sheet'!N8</f>
        <v>3811</v>
      </c>
      <c r="O70" s="544">
        <f>'Balance Sheet'!O8</f>
        <v>4453</v>
      </c>
      <c r="P70" s="544">
        <f>'Balance Sheet'!P8</f>
        <v>3855</v>
      </c>
      <c r="Q70" s="544">
        <f>'Balance Sheet'!Q8</f>
        <v>4001</v>
      </c>
      <c r="R70" s="544">
        <f>'Balance Sheet'!R8</f>
        <v>4190</v>
      </c>
      <c r="S70" s="544">
        <f>'Balance Sheet'!S8</f>
        <v>4719</v>
      </c>
      <c r="T70" s="544">
        <f>'Balance Sheet'!T8</f>
        <v>5077</v>
      </c>
      <c r="U70" s="544">
        <f>'Balance Sheet'!U8</f>
        <v>5470</v>
      </c>
      <c r="V70" s="544">
        <f>'Balance Sheet'!V8</f>
        <v>5470</v>
      </c>
      <c r="W70" s="544">
        <f>'Balance Sheet'!W8</f>
        <v>5470</v>
      </c>
      <c r="X70" s="544">
        <f>'Balance Sheet'!X8</f>
        <v>5470</v>
      </c>
      <c r="Y70" s="544">
        <f>'Balance Sheet'!Y8</f>
        <v>5470</v>
      </c>
      <c r="Z70" s="544">
        <f>'Balance Sheet'!Z8</f>
        <v>5470</v>
      </c>
      <c r="AB70" s="1" t="s">
        <v>340</v>
      </c>
    </row>
    <row r="71" spans="1:28" s="1" customFormat="1" hidden="1" outlineLevel="1">
      <c r="A71" s="8" t="s">
        <v>341</v>
      </c>
      <c r="B71" s="271">
        <v>157</v>
      </c>
      <c r="C71" s="271">
        <v>267</v>
      </c>
      <c r="D71" s="271">
        <v>406</v>
      </c>
      <c r="E71" s="271">
        <v>690</v>
      </c>
      <c r="F71" s="271">
        <v>486</v>
      </c>
      <c r="G71" s="545">
        <v>421</v>
      </c>
      <c r="H71" s="545">
        <v>364</v>
      </c>
      <c r="I71" s="573">
        <v>335</v>
      </c>
      <c r="J71" s="573">
        <v>426</v>
      </c>
      <c r="K71" s="573">
        <v>553</v>
      </c>
      <c r="L71" s="573">
        <v>732</v>
      </c>
      <c r="M71" s="573">
        <v>695</v>
      </c>
      <c r="N71" s="573">
        <v>502</v>
      </c>
      <c r="O71" s="546">
        <v>349</v>
      </c>
      <c r="P71" s="546">
        <v>224</v>
      </c>
      <c r="Q71" s="546">
        <v>77</v>
      </c>
      <c r="R71" s="546">
        <v>49</v>
      </c>
      <c r="S71" s="546">
        <v>85</v>
      </c>
      <c r="T71" s="546">
        <v>97</v>
      </c>
      <c r="U71" s="544">
        <f t="shared" ref="U71:Z71" si="16">AVERAGE(T71)/AVERAGE(S70)*U$70</f>
        <v>112.43695698241153</v>
      </c>
      <c r="V71" s="544">
        <f t="shared" si="16"/>
        <v>121.14046773562951</v>
      </c>
      <c r="W71" s="544">
        <f t="shared" si="16"/>
        <v>121.14046773562951</v>
      </c>
      <c r="X71" s="544">
        <f t="shared" si="16"/>
        <v>121.14046773562951</v>
      </c>
      <c r="Y71" s="544">
        <f t="shared" si="16"/>
        <v>121.14046773562951</v>
      </c>
      <c r="Z71" s="544">
        <f t="shared" si="16"/>
        <v>121.14046773562951</v>
      </c>
      <c r="AB71" s="1" t="s">
        <v>350</v>
      </c>
    </row>
    <row r="72" spans="1:28" s="1" customFormat="1" hidden="1" outlineLevel="1">
      <c r="A72" s="8" t="s">
        <v>193</v>
      </c>
      <c r="B72" s="271">
        <v>630</v>
      </c>
      <c r="C72" s="271">
        <v>578</v>
      </c>
      <c r="D72" s="271">
        <v>702</v>
      </c>
      <c r="E72" s="271">
        <v>754</v>
      </c>
      <c r="F72" s="271">
        <v>627</v>
      </c>
      <c r="G72" s="545">
        <v>528</v>
      </c>
      <c r="H72" s="545">
        <v>376</v>
      </c>
      <c r="I72" s="573">
        <v>330</v>
      </c>
      <c r="J72" s="573">
        <v>17</v>
      </c>
      <c r="K72" s="581">
        <f>AVERAGE(J72)/AVERAGE(I70)*K$70</f>
        <v>22.7274678111588</v>
      </c>
      <c r="L72" s="573">
        <v>219</v>
      </c>
      <c r="M72" s="573">
        <v>80</v>
      </c>
      <c r="N72" s="573">
        <v>9</v>
      </c>
      <c r="O72" s="546">
        <v>9</v>
      </c>
      <c r="P72" s="546">
        <v>13</v>
      </c>
      <c r="Q72" s="546">
        <v>65</v>
      </c>
      <c r="R72" s="546">
        <v>62</v>
      </c>
      <c r="S72" s="544">
        <f t="shared" ref="S72:Z72" si="17">AVERAGE(R72)/AVERAGE(Q70)*S$70</f>
        <v>73.126218445388645</v>
      </c>
      <c r="T72" s="544">
        <f t="shared" si="17"/>
        <v>88.606637481441084</v>
      </c>
      <c r="U72" s="544">
        <f t="shared" si="17"/>
        <v>102.70784213254562</v>
      </c>
      <c r="V72" s="544">
        <f t="shared" si="17"/>
        <v>110.65824236065089</v>
      </c>
      <c r="W72" s="544">
        <f t="shared" si="17"/>
        <v>110.65824236065089</v>
      </c>
      <c r="X72" s="544">
        <f t="shared" si="17"/>
        <v>110.65824236065089</v>
      </c>
      <c r="Y72" s="544">
        <f t="shared" si="17"/>
        <v>110.65824236065089</v>
      </c>
      <c r="Z72" s="544">
        <f t="shared" si="17"/>
        <v>110.65824236065089</v>
      </c>
      <c r="AB72" s="1" t="s">
        <v>427</v>
      </c>
    </row>
    <row r="73" spans="1:28" s="1" customFormat="1" hidden="1" outlineLevel="1">
      <c r="B73" s="271"/>
      <c r="C73" s="271"/>
      <c r="D73" s="271"/>
      <c r="E73" s="271"/>
      <c r="F73" s="271"/>
      <c r="G73" s="271"/>
      <c r="H73" s="271"/>
      <c r="I73" s="271"/>
      <c r="J73" s="271"/>
      <c r="K73" s="271"/>
      <c r="L73" s="271"/>
      <c r="M73" s="271"/>
      <c r="N73" s="271"/>
      <c r="O73" s="544"/>
      <c r="P73" s="544"/>
      <c r="Q73" s="544"/>
      <c r="R73" s="544"/>
      <c r="S73" s="544"/>
      <c r="T73" s="544"/>
      <c r="U73" s="544"/>
      <c r="V73" s="544"/>
      <c r="W73" s="544"/>
      <c r="X73" s="544"/>
      <c r="Y73" s="544"/>
      <c r="Z73" s="544"/>
    </row>
    <row r="74" spans="1:28" s="1" customFormat="1" hidden="1" outlineLevel="1">
      <c r="A74" s="232" t="s">
        <v>18</v>
      </c>
      <c r="B74" s="570">
        <v>1990</v>
      </c>
      <c r="C74" s="570">
        <v>4258</v>
      </c>
      <c r="D74" s="570">
        <v>4220</v>
      </c>
      <c r="E74" s="570">
        <v>5100</v>
      </c>
      <c r="F74" s="570">
        <v>5478</v>
      </c>
      <c r="G74" s="570">
        <v>4000</v>
      </c>
      <c r="H74" s="590">
        <v>4250</v>
      </c>
      <c r="I74" s="570">
        <f>$H74</f>
        <v>4250</v>
      </c>
      <c r="J74" s="590">
        <v>4900</v>
      </c>
      <c r="K74" s="570">
        <f t="shared" ref="K74:Z74" si="18">$H74</f>
        <v>4250</v>
      </c>
      <c r="L74" s="570">
        <f t="shared" si="18"/>
        <v>4250</v>
      </c>
      <c r="M74" s="570">
        <f t="shared" si="18"/>
        <v>4250</v>
      </c>
      <c r="N74" s="570">
        <f t="shared" si="18"/>
        <v>4250</v>
      </c>
      <c r="O74" s="570">
        <f t="shared" si="18"/>
        <v>4250</v>
      </c>
      <c r="P74" s="570">
        <f t="shared" si="18"/>
        <v>4250</v>
      </c>
      <c r="Q74" s="570">
        <f t="shared" si="18"/>
        <v>4250</v>
      </c>
      <c r="R74" s="570">
        <f t="shared" si="18"/>
        <v>4250</v>
      </c>
      <c r="S74" s="570">
        <f t="shared" si="18"/>
        <v>4250</v>
      </c>
      <c r="T74" s="570">
        <f t="shared" si="18"/>
        <v>4250</v>
      </c>
      <c r="U74" s="570">
        <f t="shared" si="18"/>
        <v>4250</v>
      </c>
      <c r="V74" s="570">
        <f t="shared" si="18"/>
        <v>4250</v>
      </c>
      <c r="W74" s="570">
        <f t="shared" si="18"/>
        <v>4250</v>
      </c>
      <c r="X74" s="570">
        <f t="shared" si="18"/>
        <v>4250</v>
      </c>
      <c r="Y74" s="570">
        <f t="shared" si="18"/>
        <v>4250</v>
      </c>
      <c r="Z74" s="570">
        <f t="shared" si="18"/>
        <v>4250</v>
      </c>
    </row>
    <row r="75" spans="1:28" s="1" customFormat="1" hidden="1" outlineLevel="1">
      <c r="A75" s="8" t="s">
        <v>198</v>
      </c>
      <c r="B75" s="271"/>
      <c r="C75" s="271"/>
      <c r="D75" s="271"/>
      <c r="E75" s="271"/>
      <c r="F75" s="271"/>
      <c r="G75" s="271"/>
      <c r="H75" s="552">
        <f>-(H77-G77)</f>
        <v>419</v>
      </c>
      <c r="I75" s="552">
        <f t="shared" ref="I75:Z75" si="19">H75</f>
        <v>419</v>
      </c>
      <c r="J75" s="552">
        <f t="shared" si="19"/>
        <v>419</v>
      </c>
      <c r="K75" s="552">
        <f t="shared" si="19"/>
        <v>419</v>
      </c>
      <c r="L75" s="552">
        <f t="shared" si="19"/>
        <v>419</v>
      </c>
      <c r="M75" s="552">
        <f t="shared" si="19"/>
        <v>419</v>
      </c>
      <c r="N75" s="552">
        <f t="shared" si="19"/>
        <v>419</v>
      </c>
      <c r="O75" s="544">
        <f t="shared" si="19"/>
        <v>419</v>
      </c>
      <c r="P75" s="544">
        <f t="shared" si="19"/>
        <v>419</v>
      </c>
      <c r="Q75" s="544">
        <f t="shared" si="19"/>
        <v>419</v>
      </c>
      <c r="R75" s="544">
        <f t="shared" si="19"/>
        <v>419</v>
      </c>
      <c r="S75" s="544">
        <f t="shared" si="19"/>
        <v>419</v>
      </c>
      <c r="T75" s="544">
        <f t="shared" si="19"/>
        <v>419</v>
      </c>
      <c r="U75" s="544">
        <f t="shared" si="19"/>
        <v>419</v>
      </c>
      <c r="V75" s="544">
        <f t="shared" si="19"/>
        <v>419</v>
      </c>
      <c r="W75" s="544">
        <f t="shared" si="19"/>
        <v>419</v>
      </c>
      <c r="X75" s="544">
        <f t="shared" si="19"/>
        <v>419</v>
      </c>
      <c r="Y75" s="544">
        <f t="shared" si="19"/>
        <v>419</v>
      </c>
      <c r="Z75" s="544">
        <f t="shared" si="19"/>
        <v>419</v>
      </c>
    </row>
    <row r="76" spans="1:28" s="1" customFormat="1" hidden="1" outlineLevel="1">
      <c r="A76" s="1" t="s">
        <v>190</v>
      </c>
      <c r="B76" s="271"/>
      <c r="C76" s="271"/>
      <c r="D76" s="271"/>
      <c r="E76" s="271"/>
      <c r="F76" s="271"/>
      <c r="G76" s="271"/>
      <c r="H76" s="271"/>
      <c r="I76" s="271"/>
      <c r="J76" s="271"/>
      <c r="K76" s="271"/>
      <c r="L76" s="271"/>
      <c r="M76" s="271"/>
      <c r="N76" s="271"/>
      <c r="O76" s="544"/>
      <c r="P76" s="544"/>
      <c r="Q76" s="544"/>
      <c r="R76" s="544"/>
      <c r="S76" s="544"/>
      <c r="T76" s="544"/>
      <c r="U76" s="544"/>
      <c r="V76" s="544"/>
      <c r="W76" s="544"/>
      <c r="X76" s="544"/>
      <c r="Y76" s="544"/>
      <c r="Z76" s="544"/>
    </row>
    <row r="77" spans="1:28" s="1" customFormat="1" hidden="1" outlineLevel="1">
      <c r="A77" s="8" t="s">
        <v>348</v>
      </c>
      <c r="B77" s="271">
        <v>-5747</v>
      </c>
      <c r="C77" s="271">
        <v>-6953</v>
      </c>
      <c r="D77" s="271">
        <v>-6611</v>
      </c>
      <c r="E77" s="271">
        <v>-7762</v>
      </c>
      <c r="F77" s="271">
        <v>-7782</v>
      </c>
      <c r="G77" s="271">
        <f>-(9164+G78)</f>
        <v>-8205</v>
      </c>
      <c r="H77" s="271">
        <f>-(9428+H78)</f>
        <v>-8624</v>
      </c>
      <c r="I77" s="271">
        <f>H77</f>
        <v>-8624</v>
      </c>
      <c r="J77" s="271">
        <f>-(7862+J78)</f>
        <v>-7175</v>
      </c>
      <c r="K77" s="271">
        <f>-(7465+K78)</f>
        <v>-6847</v>
      </c>
      <c r="L77" s="271">
        <f>-(8313+L78)</f>
        <v>-7719</v>
      </c>
      <c r="M77" s="271">
        <f>-(8367+M78)</f>
        <v>-7838</v>
      </c>
      <c r="N77" s="271">
        <f>-(11816+N78)</f>
        <v>-11517</v>
      </c>
      <c r="O77" s="544">
        <f>-(10561+O78)</f>
        <v>-10405</v>
      </c>
      <c r="P77" s="544">
        <f>-(10563+P78)</f>
        <v>-10469</v>
      </c>
      <c r="Q77" s="544">
        <f>-(8209+Q78)</f>
        <v>-8115</v>
      </c>
      <c r="R77" s="544">
        <f>'Balance Sheet'!R29+'Balance Sheet'!R38-'Balance Sheet'!R120</f>
        <v>-7514</v>
      </c>
      <c r="S77" s="544">
        <f>'Balance Sheet'!S29+'Balance Sheet'!S38-'Balance Sheet'!S120</f>
        <v>-7113</v>
      </c>
      <c r="T77" s="544">
        <f>'Balance Sheet'!T29+'Balance Sheet'!T38-'Balance Sheet'!T120</f>
        <v>-7116</v>
      </c>
      <c r="U77" s="544">
        <f>'Balance Sheet'!U29+'Balance Sheet'!U38-'Balance Sheet'!U120</f>
        <v>-7024</v>
      </c>
      <c r="V77" s="544">
        <f>'Balance Sheet'!V29+'Balance Sheet'!V38-'Balance Sheet'!V120</f>
        <v>-7524</v>
      </c>
      <c r="W77" s="544">
        <f>'Balance Sheet'!W29+'Balance Sheet'!W38-'Balance Sheet'!W120</f>
        <v>-8024</v>
      </c>
      <c r="X77" s="544">
        <f>'Balance Sheet'!X29+'Balance Sheet'!X38-'Balance Sheet'!X120</f>
        <v>-8524</v>
      </c>
      <c r="Y77" s="544">
        <f>'Balance Sheet'!Y29+'Balance Sheet'!Y38-'Balance Sheet'!Y120</f>
        <v>-9024</v>
      </c>
      <c r="Z77" s="544">
        <f>'Balance Sheet'!Z29+'Balance Sheet'!Z38-'Balance Sheet'!Z120</f>
        <v>-9524</v>
      </c>
      <c r="AB77" s="1" t="s">
        <v>327</v>
      </c>
    </row>
    <row r="78" spans="1:28" s="1" customFormat="1" hidden="1" outlineLevel="1">
      <c r="A78" s="7" t="s">
        <v>326</v>
      </c>
      <c r="B78" s="271">
        <v>-1064</v>
      </c>
      <c r="C78" s="271">
        <v>-812</v>
      </c>
      <c r="D78" s="271">
        <v>-905</v>
      </c>
      <c r="E78" s="271">
        <v>-952</v>
      </c>
      <c r="F78" s="545">
        <v>-976</v>
      </c>
      <c r="G78" s="545">
        <v>-959</v>
      </c>
      <c r="H78" s="545">
        <v>-804</v>
      </c>
      <c r="I78" s="271">
        <f>H78</f>
        <v>-804</v>
      </c>
      <c r="J78" s="545">
        <v>-687</v>
      </c>
      <c r="K78" s="545">
        <v>-618</v>
      </c>
      <c r="L78" s="545">
        <v>-594</v>
      </c>
      <c r="M78" s="545">
        <v>-529</v>
      </c>
      <c r="N78" s="545">
        <v>-299</v>
      </c>
      <c r="O78" s="546">
        <v>-156</v>
      </c>
      <c r="P78" s="546">
        <v>-94</v>
      </c>
      <c r="Q78" s="544">
        <f t="shared" ref="Q78:Z78" si="20">P78</f>
        <v>-94</v>
      </c>
      <c r="R78" s="544">
        <f t="shared" si="20"/>
        <v>-94</v>
      </c>
      <c r="S78" s="544">
        <f t="shared" si="20"/>
        <v>-94</v>
      </c>
      <c r="T78" s="544">
        <f t="shared" si="20"/>
        <v>-94</v>
      </c>
      <c r="U78" s="544">
        <f t="shared" si="20"/>
        <v>-94</v>
      </c>
      <c r="V78" s="544">
        <f t="shared" si="20"/>
        <v>-94</v>
      </c>
      <c r="W78" s="544">
        <f t="shared" si="20"/>
        <v>-94</v>
      </c>
      <c r="X78" s="544">
        <f t="shared" si="20"/>
        <v>-94</v>
      </c>
      <c r="Y78" s="544">
        <f t="shared" si="20"/>
        <v>-94</v>
      </c>
      <c r="Z78" s="544">
        <f t="shared" si="20"/>
        <v>-94</v>
      </c>
      <c r="AB78" s="1" t="s">
        <v>328</v>
      </c>
    </row>
    <row r="79" spans="1:28" s="1" customFormat="1" hidden="1" outlineLevel="1">
      <c r="B79" s="271"/>
      <c r="C79" s="271"/>
      <c r="D79" s="271"/>
      <c r="E79" s="271"/>
      <c r="F79" s="271"/>
      <c r="G79" s="271"/>
      <c r="H79" s="271"/>
      <c r="I79" s="271"/>
      <c r="J79" s="271"/>
      <c r="K79" s="271"/>
      <c r="L79" s="271"/>
      <c r="M79" s="271"/>
      <c r="N79" s="271"/>
      <c r="O79" s="544"/>
      <c r="P79" s="544"/>
      <c r="Q79" s="544"/>
      <c r="R79" s="544"/>
      <c r="S79" s="544"/>
      <c r="T79" s="544"/>
      <c r="U79" s="544"/>
      <c r="V79" s="544"/>
      <c r="W79" s="544"/>
      <c r="X79" s="544"/>
      <c r="Y79" s="544"/>
      <c r="Z79" s="544"/>
    </row>
    <row r="80" spans="1:28" s="1" customFormat="1" hidden="1" outlineLevel="1">
      <c r="A80" s="232" t="s">
        <v>312</v>
      </c>
      <c r="B80" s="570">
        <f t="shared" ref="B80:Z80" si="21">SUM(B81)</f>
        <v>-1058</v>
      </c>
      <c r="C80" s="570">
        <f t="shared" si="21"/>
        <v>-859</v>
      </c>
      <c r="D80" s="570">
        <f t="shared" si="21"/>
        <v>-737</v>
      </c>
      <c r="E80" s="570">
        <f t="shared" si="21"/>
        <v>-652</v>
      </c>
      <c r="F80" s="570">
        <f t="shared" si="21"/>
        <v>-532</v>
      </c>
      <c r="G80" s="570">
        <f t="shared" si="21"/>
        <v>-455</v>
      </c>
      <c r="H80" s="570">
        <f t="shared" si="21"/>
        <v>-345</v>
      </c>
      <c r="I80" s="570">
        <f t="shared" si="21"/>
        <v>-229</v>
      </c>
      <c r="J80" s="570">
        <f t="shared" si="21"/>
        <v>-46</v>
      </c>
      <c r="K80" s="570">
        <f t="shared" si="21"/>
        <v>-94</v>
      </c>
      <c r="L80" s="570">
        <f t="shared" si="21"/>
        <v>-45</v>
      </c>
      <c r="M80" s="570">
        <f t="shared" si="21"/>
        <v>-29</v>
      </c>
      <c r="N80" s="570">
        <f t="shared" si="21"/>
        <v>-29</v>
      </c>
      <c r="O80" s="570">
        <f t="shared" si="21"/>
        <v>-29</v>
      </c>
      <c r="P80" s="570">
        <f t="shared" si="21"/>
        <v>-29</v>
      </c>
      <c r="Q80" s="570">
        <f t="shared" si="21"/>
        <v>-29</v>
      </c>
      <c r="R80" s="570">
        <f t="shared" si="21"/>
        <v>-29</v>
      </c>
      <c r="S80" s="570">
        <f t="shared" si="21"/>
        <v>-29</v>
      </c>
      <c r="T80" s="570">
        <f t="shared" si="21"/>
        <v>-29</v>
      </c>
      <c r="U80" s="570">
        <f t="shared" si="21"/>
        <v>-29</v>
      </c>
      <c r="V80" s="570">
        <f t="shared" si="21"/>
        <v>-29</v>
      </c>
      <c r="W80" s="570">
        <f t="shared" si="21"/>
        <v>-29</v>
      </c>
      <c r="X80" s="570">
        <f t="shared" si="21"/>
        <v>-29</v>
      </c>
      <c r="Y80" s="570">
        <f t="shared" si="21"/>
        <v>-29</v>
      </c>
      <c r="Z80" s="570">
        <f t="shared" si="21"/>
        <v>-29</v>
      </c>
    </row>
    <row r="81" spans="1:35" s="1" customFormat="1" hidden="1" outlineLevel="1">
      <c r="A81" s="8" t="s">
        <v>315</v>
      </c>
      <c r="B81" s="581">
        <v>-1058</v>
      </c>
      <c r="C81" s="581">
        <v>-859</v>
      </c>
      <c r="D81" s="581">
        <v>-737</v>
      </c>
      <c r="E81" s="581">
        <v>-652</v>
      </c>
      <c r="F81" s="581">
        <v>-532</v>
      </c>
      <c r="G81" s="580">
        <v>-455</v>
      </c>
      <c r="H81" s="580">
        <v>-345</v>
      </c>
      <c r="I81" s="580">
        <v>-229</v>
      </c>
      <c r="J81" s="580">
        <v>-46</v>
      </c>
      <c r="K81" s="580">
        <v>-94</v>
      </c>
      <c r="L81" s="573">
        <v>-45</v>
      </c>
      <c r="M81" s="580">
        <v>-29</v>
      </c>
      <c r="N81" s="581">
        <f t="shared" ref="N81:Z81" si="22">M81</f>
        <v>-29</v>
      </c>
      <c r="O81" s="562">
        <f t="shared" si="22"/>
        <v>-29</v>
      </c>
      <c r="P81" s="562">
        <f t="shared" si="22"/>
        <v>-29</v>
      </c>
      <c r="Q81" s="562">
        <f t="shared" si="22"/>
        <v>-29</v>
      </c>
      <c r="R81" s="562">
        <f t="shared" si="22"/>
        <v>-29</v>
      </c>
      <c r="S81" s="562">
        <f t="shared" si="22"/>
        <v>-29</v>
      </c>
      <c r="T81" s="562">
        <f t="shared" si="22"/>
        <v>-29</v>
      </c>
      <c r="U81" s="562">
        <f t="shared" si="22"/>
        <v>-29</v>
      </c>
      <c r="V81" s="562">
        <f t="shared" si="22"/>
        <v>-29</v>
      </c>
      <c r="W81" s="562">
        <f t="shared" si="22"/>
        <v>-29</v>
      </c>
      <c r="X81" s="562">
        <f t="shared" si="22"/>
        <v>-29</v>
      </c>
      <c r="Y81" s="562">
        <f t="shared" si="22"/>
        <v>-29</v>
      </c>
      <c r="Z81" s="562">
        <f t="shared" si="22"/>
        <v>-29</v>
      </c>
      <c r="AB81" s="1" t="s">
        <v>428</v>
      </c>
    </row>
    <row r="82" spans="1:35" s="1" customFormat="1" hidden="1" outlineLevel="1">
      <c r="B82" s="271"/>
      <c r="C82" s="271"/>
      <c r="D82" s="271"/>
      <c r="E82" s="271"/>
      <c r="F82" s="271"/>
      <c r="G82" s="271"/>
      <c r="H82" s="271"/>
      <c r="I82" s="271"/>
      <c r="J82" s="271"/>
      <c r="K82" s="271"/>
      <c r="L82" s="271"/>
      <c r="M82" s="271"/>
      <c r="N82" s="271"/>
      <c r="O82" s="544"/>
      <c r="P82" s="544"/>
      <c r="Q82" s="544"/>
      <c r="R82" s="544"/>
      <c r="S82" s="544"/>
      <c r="T82" s="544"/>
      <c r="U82" s="544"/>
      <c r="V82" s="544"/>
      <c r="W82" s="544"/>
      <c r="X82" s="544"/>
      <c r="Y82" s="544"/>
      <c r="Z82" s="544"/>
    </row>
    <row r="83" spans="1:35" s="1" customFormat="1" hidden="1" outlineLevel="1">
      <c r="A83" s="1" t="s">
        <v>316</v>
      </c>
      <c r="B83" s="552">
        <f t="shared" ref="B83:Z83" si="23">B85-B84</f>
        <v>86.600237650414783</v>
      </c>
      <c r="C83" s="552">
        <f t="shared" si="23"/>
        <v>35.260628417272713</v>
      </c>
      <c r="D83" s="552">
        <f t="shared" si="23"/>
        <v>5.1903379295372929</v>
      </c>
      <c r="E83" s="552">
        <f t="shared" si="23"/>
        <v>-4.3261390624318636</v>
      </c>
      <c r="F83" s="552">
        <f t="shared" si="23"/>
        <v>49.519085729097384</v>
      </c>
      <c r="G83" s="552">
        <f t="shared" si="23"/>
        <v>14.604185034128811</v>
      </c>
      <c r="H83" s="552">
        <f t="shared" si="23"/>
        <v>20.307120165894688</v>
      </c>
      <c r="I83" s="552">
        <f t="shared" si="23"/>
        <v>84.671550159867138</v>
      </c>
      <c r="J83" s="552">
        <f t="shared" si="23"/>
        <v>93.373377636878615</v>
      </c>
      <c r="K83" s="552">
        <f t="shared" si="23"/>
        <v>44.435400816191752</v>
      </c>
      <c r="L83" s="552">
        <f t="shared" si="23"/>
        <v>-111.37663668307357</v>
      </c>
      <c r="M83" s="552">
        <f t="shared" si="23"/>
        <v>16.12983155978424</v>
      </c>
      <c r="N83" s="552">
        <f t="shared" si="23"/>
        <v>-38.716793381777052</v>
      </c>
      <c r="O83" s="544">
        <f t="shared" si="23"/>
        <v>252.24969174728034</v>
      </c>
      <c r="P83" s="544">
        <f t="shared" si="23"/>
        <v>172.12638228657875</v>
      </c>
      <c r="Q83" s="544">
        <f t="shared" si="23"/>
        <v>207.31813255440525</v>
      </c>
      <c r="R83" s="544">
        <f t="shared" si="23"/>
        <v>234.45260682131277</v>
      </c>
      <c r="S83" s="544">
        <f t="shared" si="23"/>
        <v>178.72795339389657</v>
      </c>
      <c r="T83" s="544">
        <f t="shared" si="23"/>
        <v>406.79829661481187</v>
      </c>
      <c r="U83" s="544">
        <f t="shared" si="23"/>
        <v>251.50943972111554</v>
      </c>
      <c r="V83" s="544">
        <f t="shared" si="23"/>
        <v>223.8263843513069</v>
      </c>
      <c r="W83" s="544">
        <f t="shared" si="23"/>
        <v>197.25500507097848</v>
      </c>
      <c r="X83" s="544">
        <f t="shared" si="23"/>
        <v>165.77856527790229</v>
      </c>
      <c r="Y83" s="544">
        <f t="shared" si="23"/>
        <v>129.28707370158153</v>
      </c>
      <c r="Z83" s="544">
        <f t="shared" si="23"/>
        <v>101.2095331741003</v>
      </c>
    </row>
    <row r="84" spans="1:35" s="1" customFormat="1" hidden="1" outlineLevel="1">
      <c r="A84" s="1" t="s">
        <v>317</v>
      </c>
      <c r="B84" s="552">
        <f>'Balance Sheet'!B$54+2750</f>
        <v>2890</v>
      </c>
      <c r="C84" s="544">
        <f>'Balance Sheet'!C$54</f>
        <v>85</v>
      </c>
      <c r="D84" s="544">
        <f>'Balance Sheet'!D$54</f>
        <v>104</v>
      </c>
      <c r="E84" s="544">
        <f>'Balance Sheet'!E$54</f>
        <v>106</v>
      </c>
      <c r="F84" s="544">
        <f>'Balance Sheet'!F$54</f>
        <v>95</v>
      </c>
      <c r="G84" s="544">
        <f>'Balance Sheet'!G$54</f>
        <v>15</v>
      </c>
      <c r="H84" s="544">
        <f>'Balance Sheet'!H$54</f>
        <v>17</v>
      </c>
      <c r="I84" s="544">
        <f>'Balance Sheet'!I$54</f>
        <v>43</v>
      </c>
      <c r="J84" s="544">
        <f>'Balance Sheet'!J$54</f>
        <v>18</v>
      </c>
      <c r="K84" s="544">
        <f>'Balance Sheet'!K$54</f>
        <v>7</v>
      </c>
      <c r="L84" s="544">
        <f>'Balance Sheet'!L$54</f>
        <v>-5</v>
      </c>
      <c r="M84" s="544">
        <f>'Balance Sheet'!M$54</f>
        <v>3</v>
      </c>
      <c r="N84" s="544">
        <f>'Balance Sheet'!N$54</f>
        <v>-5</v>
      </c>
      <c r="O84" s="544">
        <f>'Balance Sheet'!O$54</f>
        <v>15</v>
      </c>
      <c r="P84" s="544">
        <f>'Balance Sheet'!P$54</f>
        <v>11</v>
      </c>
      <c r="Q84" s="544">
        <f>'Balance Sheet'!Q$54</f>
        <v>20</v>
      </c>
      <c r="R84" s="544">
        <f>'Balance Sheet'!R$54</f>
        <v>32</v>
      </c>
      <c r="S84" s="544">
        <f>'Balance Sheet'!S$54</f>
        <v>35</v>
      </c>
      <c r="T84" s="544">
        <f>'Balance Sheet'!T$54</f>
        <v>90</v>
      </c>
      <c r="U84" s="544">
        <f>'Balance Sheet'!U$54</f>
        <v>80</v>
      </c>
      <c r="V84" s="544">
        <f>'Balance Sheet'!V$54</f>
        <v>80</v>
      </c>
      <c r="W84" s="544">
        <f>'Balance Sheet'!W$54</f>
        <v>80</v>
      </c>
      <c r="X84" s="544">
        <f>'Balance Sheet'!X$54</f>
        <v>80</v>
      </c>
      <c r="Y84" s="544">
        <f>'Balance Sheet'!Y$54</f>
        <v>80</v>
      </c>
      <c r="Z84" s="544">
        <f>'Balance Sheet'!Z$54</f>
        <v>80</v>
      </c>
    </row>
    <row r="85" spans="1:35" s="1" customFormat="1" hidden="1" outlineLevel="1">
      <c r="A85" s="1" t="s">
        <v>318</v>
      </c>
      <c r="B85" s="552">
        <f t="shared" ref="B85:Z85" si="24">B31</f>
        <v>2976.6002376504148</v>
      </c>
      <c r="C85" s="552">
        <f t="shared" si="24"/>
        <v>120.26062841727271</v>
      </c>
      <c r="D85" s="552">
        <f t="shared" si="24"/>
        <v>109.19033792953729</v>
      </c>
      <c r="E85" s="552">
        <f t="shared" si="24"/>
        <v>101.67386093756814</v>
      </c>
      <c r="F85" s="552">
        <f t="shared" si="24"/>
        <v>144.51908572909738</v>
      </c>
      <c r="G85" s="552">
        <f t="shared" si="24"/>
        <v>29.604185034128811</v>
      </c>
      <c r="H85" s="552">
        <f t="shared" si="24"/>
        <v>37.307120165894688</v>
      </c>
      <c r="I85" s="552">
        <f t="shared" si="24"/>
        <v>127.67155015986714</v>
      </c>
      <c r="J85" s="552">
        <f t="shared" si="24"/>
        <v>111.37337763687862</v>
      </c>
      <c r="K85" s="552">
        <f t="shared" si="24"/>
        <v>51.435400816191752</v>
      </c>
      <c r="L85" s="552">
        <f t="shared" si="24"/>
        <v>-116.37663668307357</v>
      </c>
      <c r="M85" s="552">
        <f t="shared" si="24"/>
        <v>19.12983155978424</v>
      </c>
      <c r="N85" s="552">
        <f t="shared" si="24"/>
        <v>-43.716793381777052</v>
      </c>
      <c r="O85" s="544">
        <f t="shared" si="24"/>
        <v>267.24969174728034</v>
      </c>
      <c r="P85" s="544">
        <f t="shared" si="24"/>
        <v>183.12638228657875</v>
      </c>
      <c r="Q85" s="544">
        <f t="shared" si="24"/>
        <v>227.31813255440525</v>
      </c>
      <c r="R85" s="544">
        <f t="shared" si="24"/>
        <v>266.45260682131277</v>
      </c>
      <c r="S85" s="544">
        <f t="shared" si="24"/>
        <v>213.72795339389657</v>
      </c>
      <c r="T85" s="544">
        <f t="shared" si="24"/>
        <v>496.79829661481187</v>
      </c>
      <c r="U85" s="544">
        <f t="shared" si="24"/>
        <v>331.50943972111554</v>
      </c>
      <c r="V85" s="544">
        <f t="shared" si="24"/>
        <v>303.8263843513069</v>
      </c>
      <c r="W85" s="544">
        <f t="shared" si="24"/>
        <v>277.25500507097848</v>
      </c>
      <c r="X85" s="544">
        <f t="shared" si="24"/>
        <v>245.77856527790229</v>
      </c>
      <c r="Y85" s="544">
        <f t="shared" si="24"/>
        <v>209.28707370158153</v>
      </c>
      <c r="Z85" s="544">
        <f t="shared" si="24"/>
        <v>181.2095331741003</v>
      </c>
    </row>
    <row r="86" spans="1:35" s="1" customFormat="1" hidden="1" outlineLevel="1">
      <c r="B86" s="271"/>
      <c r="C86" s="271"/>
      <c r="D86" s="271"/>
      <c r="E86" s="271"/>
      <c r="F86" s="271"/>
      <c r="G86" s="271"/>
      <c r="H86" s="271"/>
      <c r="I86" s="271"/>
      <c r="J86" s="271"/>
      <c r="K86" s="271"/>
      <c r="L86" s="271"/>
      <c r="M86" s="271"/>
      <c r="N86" s="271"/>
      <c r="O86" s="544"/>
      <c r="P86" s="544"/>
      <c r="Q86" s="544"/>
      <c r="R86" s="544"/>
      <c r="S86" s="544"/>
      <c r="T86" s="544"/>
      <c r="U86" s="544"/>
      <c r="V86" s="544"/>
      <c r="W86" s="544"/>
      <c r="X86" s="544"/>
      <c r="Y86" s="544"/>
      <c r="Z86" s="544"/>
    </row>
    <row r="87" spans="1:35" s="1" customFormat="1" hidden="1" outlineLevel="1">
      <c r="A87" s="267" t="s">
        <v>336</v>
      </c>
      <c r="B87" s="591">
        <f>-SUM(B91:B92)</f>
        <v>-12484</v>
      </c>
      <c r="C87" s="591">
        <f t="shared" ref="C87:N87" si="25">-SUM(C91:C92)</f>
        <v>-13470</v>
      </c>
      <c r="D87" s="591">
        <f t="shared" si="25"/>
        <v>-14082</v>
      </c>
      <c r="E87" s="591">
        <f t="shared" si="25"/>
        <v>-15703</v>
      </c>
      <c r="F87" s="591">
        <f t="shared" si="25"/>
        <v>-15249</v>
      </c>
      <c r="G87" s="591">
        <f t="shared" si="25"/>
        <v>-16522</v>
      </c>
      <c r="H87" s="591">
        <f t="shared" si="25"/>
        <v>-17352</v>
      </c>
      <c r="I87" s="591">
        <f t="shared" si="25"/>
        <v>-18890</v>
      </c>
      <c r="J87" s="591">
        <f t="shared" si="25"/>
        <v>-19451</v>
      </c>
      <c r="K87" s="591">
        <f t="shared" si="25"/>
        <v>-22790</v>
      </c>
      <c r="L87" s="591">
        <f t="shared" si="25"/>
        <v>-23808</v>
      </c>
      <c r="M87" s="591">
        <f t="shared" si="25"/>
        <v>-25505</v>
      </c>
      <c r="N87" s="591">
        <f t="shared" si="25"/>
        <v>-25037</v>
      </c>
      <c r="O87" s="570">
        <f>MAX(-SUM(O91:O92),0)</f>
        <v>0</v>
      </c>
      <c r="P87" s="570">
        <f t="shared" ref="P87:Z87" si="26">MAX(-SUM(P91:P92),0)</f>
        <v>0</v>
      </c>
      <c r="Q87" s="570">
        <f t="shared" si="26"/>
        <v>0</v>
      </c>
      <c r="R87" s="570">
        <f t="shared" si="26"/>
        <v>0</v>
      </c>
      <c r="S87" s="570">
        <f t="shared" si="26"/>
        <v>0</v>
      </c>
      <c r="T87" s="570">
        <f t="shared" si="26"/>
        <v>0</v>
      </c>
      <c r="U87" s="570">
        <f t="shared" si="26"/>
        <v>0</v>
      </c>
      <c r="V87" s="570">
        <f t="shared" si="26"/>
        <v>0</v>
      </c>
      <c r="W87" s="570">
        <f t="shared" si="26"/>
        <v>0</v>
      </c>
      <c r="X87" s="570">
        <f t="shared" si="26"/>
        <v>0</v>
      </c>
      <c r="Y87" s="570">
        <f t="shared" si="26"/>
        <v>0</v>
      </c>
      <c r="Z87" s="570">
        <f t="shared" si="26"/>
        <v>0</v>
      </c>
    </row>
    <row r="88" spans="1:35" s="1" customFormat="1" hidden="1" outlineLevel="1">
      <c r="A88" s="1" t="s">
        <v>335</v>
      </c>
      <c r="B88" s="550" t="e">
        <f>#REF!</f>
        <v>#REF!</v>
      </c>
      <c r="C88" s="550" t="e">
        <f>#REF!</f>
        <v>#REF!</v>
      </c>
      <c r="D88" s="550" t="e">
        <f>#REF!</f>
        <v>#REF!</v>
      </c>
      <c r="E88" s="550" t="e">
        <f>#REF!</f>
        <v>#REF!</v>
      </c>
      <c r="F88" s="550" t="e">
        <f>#REF!</f>
        <v>#REF!</v>
      </c>
      <c r="G88" s="550" t="e">
        <f>#REF!</f>
        <v>#REF!</v>
      </c>
      <c r="H88" s="592">
        <v>0.1</v>
      </c>
      <c r="I88" s="592">
        <v>0.1</v>
      </c>
      <c r="J88" s="550">
        <f t="shared" ref="J88:Z88" si="27">$I88</f>
        <v>0.1</v>
      </c>
      <c r="K88" s="550">
        <f t="shared" si="27"/>
        <v>0.1</v>
      </c>
      <c r="L88" s="550">
        <f t="shared" si="27"/>
        <v>0.1</v>
      </c>
      <c r="M88" s="550">
        <f t="shared" si="27"/>
        <v>0.1</v>
      </c>
      <c r="N88" s="550">
        <f t="shared" si="27"/>
        <v>0.1</v>
      </c>
      <c r="O88" s="550">
        <f t="shared" si="27"/>
        <v>0.1</v>
      </c>
      <c r="P88" s="550">
        <f t="shared" si="27"/>
        <v>0.1</v>
      </c>
      <c r="Q88" s="550">
        <f t="shared" si="27"/>
        <v>0.1</v>
      </c>
      <c r="R88" s="550">
        <f t="shared" si="27"/>
        <v>0.1</v>
      </c>
      <c r="S88" s="550">
        <f t="shared" si="27"/>
        <v>0.1</v>
      </c>
      <c r="T88" s="550">
        <f t="shared" si="27"/>
        <v>0.1</v>
      </c>
      <c r="U88" s="550">
        <f t="shared" si="27"/>
        <v>0.1</v>
      </c>
      <c r="V88" s="550">
        <f t="shared" si="27"/>
        <v>0.1</v>
      </c>
      <c r="W88" s="550">
        <f t="shared" si="27"/>
        <v>0.1</v>
      </c>
      <c r="X88" s="550">
        <f t="shared" si="27"/>
        <v>0.1</v>
      </c>
      <c r="Y88" s="550">
        <f t="shared" si="27"/>
        <v>0.1</v>
      </c>
      <c r="Z88" s="550">
        <f t="shared" si="27"/>
        <v>0.1</v>
      </c>
      <c r="AB88" s="1" t="s">
        <v>352</v>
      </c>
    </row>
    <row r="89" spans="1:35" s="1" customFormat="1" hidden="1" outlineLevel="1">
      <c r="A89" s="8" t="s">
        <v>7</v>
      </c>
      <c r="B89" s="544">
        <f>'Balance Sheet'!B16</f>
        <v>16892</v>
      </c>
      <c r="C89" s="544">
        <f>'Balance Sheet'!C16</f>
        <v>18906</v>
      </c>
      <c r="D89" s="544">
        <f>'Balance Sheet'!D16</f>
        <v>19452</v>
      </c>
      <c r="E89" s="544">
        <f>'Balance Sheet'!E16</f>
        <v>21577</v>
      </c>
      <c r="F89" s="544">
        <f>'Balance Sheet'!F16</f>
        <v>20862</v>
      </c>
      <c r="G89" s="544">
        <f>'Balance Sheet'!G16</f>
        <v>22563</v>
      </c>
      <c r="H89" s="544">
        <f>'Balance Sheet'!H16</f>
        <v>23216</v>
      </c>
      <c r="I89" s="544">
        <f>'Balance Sheet'!I16</f>
        <v>25060</v>
      </c>
      <c r="J89" s="544">
        <f>'Balance Sheet'!J16</f>
        <v>25355</v>
      </c>
      <c r="K89" s="544">
        <f>'Balance Sheet'!K16</f>
        <v>29051</v>
      </c>
      <c r="L89" s="544">
        <f>'Balance Sheet'!L16</f>
        <v>29688</v>
      </c>
      <c r="M89" s="544">
        <f>'Balance Sheet'!M16</f>
        <v>31464</v>
      </c>
      <c r="N89" s="544">
        <f>'Balance Sheet'!N16</f>
        <v>31891</v>
      </c>
      <c r="O89" s="544">
        <f>'Balance Sheet'!O16</f>
        <v>31550</v>
      </c>
      <c r="P89" s="544">
        <f>'Balance Sheet'!P16</f>
        <v>30401</v>
      </c>
      <c r="Q89" s="544">
        <f>'Balance Sheet'!Q16</f>
        <v>28538</v>
      </c>
      <c r="R89" s="544">
        <f>'Balance Sheet'!R16</f>
        <v>32202</v>
      </c>
      <c r="S89" s="544">
        <f>'Balance Sheet'!S16</f>
        <v>33741</v>
      </c>
      <c r="T89" s="544">
        <f>'Balance Sheet'!T16</f>
        <v>37745</v>
      </c>
      <c r="U89" s="544">
        <f>'Balance Sheet'!U16</f>
        <v>41676</v>
      </c>
      <c r="V89" s="544">
        <f>'Balance Sheet'!V16</f>
        <v>43714.457570335915</v>
      </c>
      <c r="W89" s="544">
        <f>'Balance Sheet'!W16</f>
        <v>49522.580472262714</v>
      </c>
      <c r="X89" s="544">
        <f>'Balance Sheet'!X16</f>
        <v>54643.847217315393</v>
      </c>
      <c r="Y89" s="544">
        <f>'Balance Sheet'!Y16</f>
        <v>57572.166811330593</v>
      </c>
      <c r="Z89" s="544">
        <f>'Balance Sheet'!Z16</f>
        <v>58522.854342803257</v>
      </c>
    </row>
    <row r="90" spans="1:35" s="1" customFormat="1" hidden="1" outlineLevel="1">
      <c r="A90" s="7" t="s">
        <v>330</v>
      </c>
      <c r="B90" s="545">
        <v>1283</v>
      </c>
      <c r="C90" s="545">
        <v>1596</v>
      </c>
      <c r="D90" s="545">
        <v>1706</v>
      </c>
      <c r="E90" s="545">
        <v>1736</v>
      </c>
      <c r="F90" s="545">
        <v>1654</v>
      </c>
      <c r="G90" s="545">
        <v>1980</v>
      </c>
      <c r="H90" s="545">
        <v>2397</v>
      </c>
      <c r="I90" s="545">
        <v>2650</v>
      </c>
      <c r="J90" s="545">
        <v>2717</v>
      </c>
      <c r="K90" s="545">
        <v>2753</v>
      </c>
      <c r="L90" s="573">
        <v>2780</v>
      </c>
      <c r="M90" s="573">
        <v>2651</v>
      </c>
      <c r="N90" s="573">
        <v>3273</v>
      </c>
      <c r="O90" s="546">
        <v>3279</v>
      </c>
      <c r="P90" s="546">
        <v>3328</v>
      </c>
      <c r="Q90" s="546">
        <v>3068</v>
      </c>
      <c r="R90" s="546">
        <v>3744</v>
      </c>
      <c r="S90" s="546">
        <v>4286</v>
      </c>
      <c r="T90" s="546">
        <v>5067</v>
      </c>
      <c r="U90" s="544">
        <f t="shared" ref="U90:Z93" si="28">SUM($F90:$H90)/SUM($F$89:$H$89)*U$89</f>
        <v>3771.6714335018983</v>
      </c>
      <c r="V90" s="544">
        <f t="shared" si="28"/>
        <v>3956.1515224365767</v>
      </c>
      <c r="W90" s="544">
        <f t="shared" si="28"/>
        <v>4481.7857299292691</v>
      </c>
      <c r="X90" s="544">
        <f t="shared" si="28"/>
        <v>4945.2595634463642</v>
      </c>
      <c r="Y90" s="544">
        <f t="shared" si="28"/>
        <v>5210.272025316769</v>
      </c>
      <c r="Z90" s="544">
        <f t="shared" si="28"/>
        <v>5296.309097124089</v>
      </c>
    </row>
    <row r="91" spans="1:35" s="1" customFormat="1" hidden="1" outlineLevel="1">
      <c r="A91" s="7" t="s">
        <v>331</v>
      </c>
      <c r="B91" s="545">
        <v>11260</v>
      </c>
      <c r="C91" s="545">
        <v>12253</v>
      </c>
      <c r="D91" s="545">
        <v>12253</v>
      </c>
      <c r="E91" s="545">
        <v>13899</v>
      </c>
      <c r="F91" s="545">
        <v>13631</v>
      </c>
      <c r="G91" s="545">
        <v>14803</v>
      </c>
      <c r="H91" s="545">
        <v>15464</v>
      </c>
      <c r="I91" s="545">
        <v>16771</v>
      </c>
      <c r="J91" s="545">
        <v>17255</v>
      </c>
      <c r="K91" s="545">
        <v>20435</v>
      </c>
      <c r="L91" s="573">
        <v>21058</v>
      </c>
      <c r="M91" s="573">
        <v>22652</v>
      </c>
      <c r="N91" s="573">
        <v>21643</v>
      </c>
      <c r="O91" s="546">
        <v>20519</v>
      </c>
      <c r="P91" s="546">
        <v>18730</v>
      </c>
      <c r="Q91" s="546">
        <v>17542</v>
      </c>
      <c r="R91" s="546">
        <v>19255</v>
      </c>
      <c r="S91" s="546">
        <v>19558</v>
      </c>
      <c r="T91" s="546">
        <v>20925</v>
      </c>
      <c r="U91" s="544">
        <f t="shared" si="28"/>
        <v>27452.965111567955</v>
      </c>
      <c r="V91" s="544">
        <f t="shared" si="28"/>
        <v>28795.745238255819</v>
      </c>
      <c r="W91" s="544">
        <f t="shared" si="28"/>
        <v>32621.692915343236</v>
      </c>
      <c r="X91" s="544">
        <f t="shared" si="28"/>
        <v>35995.192226192754</v>
      </c>
      <c r="Y91" s="544">
        <f t="shared" si="28"/>
        <v>37924.145476265221</v>
      </c>
      <c r="Z91" s="544">
        <f t="shared" si="28"/>
        <v>38550.385797637755</v>
      </c>
      <c r="AD91" s="4" t="e">
        <f>'Balance Sheet'!#REF!-'Balance Sheet'!#REF!</f>
        <v>#REF!</v>
      </c>
      <c r="AE91" s="4" t="e">
        <f>'Balance Sheet'!#REF!-'Balance Sheet'!#REF!</f>
        <v>#REF!</v>
      </c>
      <c r="AF91" s="4" t="e">
        <f>'Balance Sheet'!#REF!-'Balance Sheet'!#REF!</f>
        <v>#REF!</v>
      </c>
      <c r="AG91" s="4" t="e">
        <f>'Balance Sheet'!#REF!-'Balance Sheet'!#REF!</f>
        <v>#REF!</v>
      </c>
      <c r="AH91" s="4" t="e">
        <f>'Balance Sheet'!#REF!-'Balance Sheet'!#REF!</f>
        <v>#REF!</v>
      </c>
      <c r="AI91" s="4" t="e">
        <f>'Balance Sheet'!#REF!-'Balance Sheet'!#REF!</f>
        <v>#REF!</v>
      </c>
    </row>
    <row r="92" spans="1:35" s="1" customFormat="1" hidden="1" outlineLevel="1">
      <c r="A92" s="7" t="s">
        <v>332</v>
      </c>
      <c r="B92" s="545">
        <v>1224</v>
      </c>
      <c r="C92" s="545">
        <v>1217</v>
      </c>
      <c r="D92" s="545">
        <v>1829</v>
      </c>
      <c r="E92" s="545">
        <v>1804</v>
      </c>
      <c r="F92" s="545">
        <v>1618</v>
      </c>
      <c r="G92" s="545">
        <v>1719</v>
      </c>
      <c r="H92" s="545">
        <v>1888</v>
      </c>
      <c r="I92" s="545">
        <v>2119</v>
      </c>
      <c r="J92" s="545">
        <v>2196</v>
      </c>
      <c r="K92" s="545">
        <v>2355</v>
      </c>
      <c r="L92" s="573">
        <v>2750</v>
      </c>
      <c r="M92" s="573">
        <v>2853</v>
      </c>
      <c r="N92" s="573">
        <v>3394</v>
      </c>
      <c r="O92" s="546">
        <v>4112</v>
      </c>
      <c r="P92" s="546">
        <v>5228</v>
      </c>
      <c r="Q92" s="546">
        <v>4556</v>
      </c>
      <c r="R92" s="546">
        <v>4158</v>
      </c>
      <c r="S92" s="546">
        <v>3896</v>
      </c>
      <c r="T92" s="546">
        <v>5054</v>
      </c>
      <c r="U92" s="544">
        <f t="shared" si="28"/>
        <v>3267.6145315946642</v>
      </c>
      <c r="V92" s="544">
        <f t="shared" si="28"/>
        <v>3427.4401765430466</v>
      </c>
      <c r="W92" s="544">
        <f t="shared" si="28"/>
        <v>3882.8271329597801</v>
      </c>
      <c r="X92" s="544">
        <f t="shared" si="28"/>
        <v>4284.3610046438826</v>
      </c>
      <c r="Y92" s="544">
        <f t="shared" si="28"/>
        <v>4513.956447070158</v>
      </c>
      <c r="Z92" s="544">
        <f t="shared" si="28"/>
        <v>4588.4952797999285</v>
      </c>
      <c r="AC92" s="1" t="s">
        <v>447</v>
      </c>
      <c r="AD92" s="1">
        <v>1700.3</v>
      </c>
      <c r="AE92" s="1">
        <v>3066.1</v>
      </c>
      <c r="AF92" s="1">
        <v>3355.1</v>
      </c>
      <c r="AG92" s="1">
        <v>2739.1</v>
      </c>
      <c r="AH92" s="1">
        <v>2426.4</v>
      </c>
      <c r="AI92" s="1">
        <v>2613</v>
      </c>
    </row>
    <row r="93" spans="1:35" s="1" customFormat="1" hidden="1" outlineLevel="1">
      <c r="A93" s="7" t="s">
        <v>333</v>
      </c>
      <c r="B93" s="545">
        <v>3125</v>
      </c>
      <c r="C93" s="545">
        <v>3840</v>
      </c>
      <c r="D93" s="545">
        <v>3664</v>
      </c>
      <c r="E93" s="545">
        <v>4138</v>
      </c>
      <c r="F93" s="545">
        <v>3959</v>
      </c>
      <c r="G93" s="545">
        <v>4061</v>
      </c>
      <c r="H93" s="545">
        <v>3467</v>
      </c>
      <c r="I93" s="545">
        <v>3520</v>
      </c>
      <c r="J93" s="545">
        <v>3187</v>
      </c>
      <c r="K93" s="545">
        <v>3508</v>
      </c>
      <c r="L93" s="573">
        <v>3100</v>
      </c>
      <c r="M93" s="573">
        <v>3308</v>
      </c>
      <c r="N93" s="573">
        <v>3581</v>
      </c>
      <c r="O93" s="546">
        <v>3640</v>
      </c>
      <c r="P93" s="546">
        <v>3115</v>
      </c>
      <c r="Q93" s="546">
        <v>3372</v>
      </c>
      <c r="R93" s="546">
        <v>5045</v>
      </c>
      <c r="S93" s="546">
        <v>6001</v>
      </c>
      <c r="T93" s="546">
        <v>6699</v>
      </c>
      <c r="U93" s="544">
        <f t="shared" si="28"/>
        <v>7183.7489233354845</v>
      </c>
      <c r="V93" s="544">
        <f t="shared" si="28"/>
        <v>7535.1206331004742</v>
      </c>
      <c r="W93" s="544">
        <f t="shared" si="28"/>
        <v>8536.2746940304296</v>
      </c>
      <c r="X93" s="544">
        <f t="shared" si="28"/>
        <v>9419.0344230323972</v>
      </c>
      <c r="Y93" s="544">
        <f t="shared" si="28"/>
        <v>9923.7928626784487</v>
      </c>
      <c r="Z93" s="544">
        <f t="shared" si="28"/>
        <v>10087.664168241488</v>
      </c>
    </row>
    <row r="94" spans="1:35" s="1" customFormat="1" hidden="1" outlineLevel="1">
      <c r="B94" s="271"/>
      <c r="C94" s="271"/>
      <c r="D94" s="271"/>
      <c r="E94" s="271"/>
      <c r="F94" s="271"/>
      <c r="G94" s="271"/>
      <c r="H94" s="271"/>
      <c r="I94" s="271"/>
      <c r="J94" s="271"/>
      <c r="K94" s="271"/>
      <c r="L94" s="271"/>
      <c r="M94" s="271"/>
      <c r="N94" s="271"/>
      <c r="O94" s="544"/>
      <c r="P94" s="544"/>
      <c r="Q94" s="544"/>
      <c r="R94" s="544"/>
      <c r="S94" s="544"/>
      <c r="T94" s="544"/>
      <c r="U94" s="544"/>
      <c r="V94" s="544"/>
      <c r="W94" s="544"/>
      <c r="X94" s="544"/>
      <c r="Y94" s="544"/>
      <c r="Z94" s="544"/>
    </row>
    <row r="95" spans="1:35" s="1" customFormat="1" hidden="1" outlineLevel="1">
      <c r="A95" s="1" t="s">
        <v>334</v>
      </c>
      <c r="B95" s="271"/>
      <c r="C95" s="271"/>
      <c r="D95" s="271"/>
      <c r="E95" s="271"/>
      <c r="F95" s="271"/>
      <c r="G95" s="271"/>
      <c r="H95" s="271"/>
      <c r="I95" s="271"/>
      <c r="J95" s="271"/>
      <c r="K95" s="271"/>
      <c r="L95" s="544"/>
      <c r="M95" s="271"/>
      <c r="N95" s="271"/>
      <c r="O95" s="544"/>
      <c r="P95" s="544"/>
      <c r="Q95" s="544"/>
      <c r="R95" s="549">
        <v>0.43</v>
      </c>
      <c r="S95" s="549">
        <v>0.42</v>
      </c>
      <c r="T95" s="549">
        <v>0.42</v>
      </c>
      <c r="U95" s="549">
        <v>0.42</v>
      </c>
      <c r="V95" s="549">
        <v>0.42</v>
      </c>
      <c r="W95" s="549">
        <v>0.42</v>
      </c>
      <c r="X95" s="549">
        <v>0.42</v>
      </c>
      <c r="Y95" s="549">
        <v>0.42</v>
      </c>
      <c r="Z95" s="549">
        <v>0.42</v>
      </c>
    </row>
    <row r="96" spans="1:35" s="1" customFormat="1" collapsed="1">
      <c r="AB96" s="71"/>
    </row>
    <row r="97" s="1" customFormat="1"/>
    <row r="98" s="1" customFormat="1"/>
  </sheetData>
  <pageMargins left="0.7" right="0.7" top="0.75" bottom="0.75" header="0.3" footer="0.3"/>
  <customProperties>
    <customPr name="Qube.Worksheet.Visibility" r:id="rId1"/>
  </customPropertie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355F"/>
    <pageSetUpPr autoPageBreaks="0" fitToPage="1"/>
  </sheetPr>
  <dimension ref="A1:AN202"/>
  <sheetViews>
    <sheetView showGridLines="0" zoomScaleNormal="100" workbookViewId="0">
      <pane xSplit="1" ySplit="2" topLeftCell="Q3" activePane="bottomRight" state="frozen"/>
      <selection pane="topRight" activeCell="B1" sqref="B1"/>
      <selection pane="bottomLeft" activeCell="A3" sqref="A3"/>
      <selection pane="bottomRight"/>
    </sheetView>
  </sheetViews>
  <sheetFormatPr defaultColWidth="0" defaultRowHeight="12.75" zeroHeight="1" outlineLevelRow="1" outlineLevelCol="1"/>
  <cols>
    <col min="1" max="1" width="56.875" style="1" customWidth="1"/>
    <col min="2" max="2" width="8.75" style="271" hidden="1" customWidth="1" outlineLevel="1"/>
    <col min="3" max="3" width="8.25" style="271" hidden="1" customWidth="1" outlineLevel="1"/>
    <col min="4" max="5" width="9" style="271" hidden="1" customWidth="1" outlineLevel="1"/>
    <col min="6" max="8" width="8.875" style="271" hidden="1" customWidth="1" outlineLevel="1"/>
    <col min="9" max="10" width="8.5" style="271" hidden="1" customWidth="1" outlineLevel="1"/>
    <col min="11" max="11" width="9.75" style="271" hidden="1" customWidth="1" outlineLevel="1"/>
    <col min="12" max="13" width="8.5" style="271" hidden="1" customWidth="1" outlineLevel="1"/>
    <col min="14" max="14" width="8.875" style="271" hidden="1" customWidth="1" outlineLevel="1"/>
    <col min="15" max="16" width="9" style="271" hidden="1" customWidth="1" outlineLevel="1"/>
    <col min="17" max="17" width="10.125" style="271" customWidth="1" collapsed="1"/>
    <col min="18" max="18" width="9" style="271" customWidth="1"/>
    <col min="19" max="27" width="9.25" style="568" customWidth="1"/>
    <col min="28" max="28" width="8.125" style="1" customWidth="1"/>
    <col min="29" max="29" width="8.125" style="1" hidden="1"/>
    <col min="30" max="35" width="9" style="1" hidden="1"/>
    <col min="36" max="40" width="0" style="1" hidden="1"/>
    <col min="41" max="16384" width="9" style="1" hidden="1"/>
  </cols>
  <sheetData>
    <row r="1" spans="1:40" ht="15">
      <c r="A1" s="912">
        <f>'DCF Valuation'!D51</f>
        <v>240</v>
      </c>
      <c r="B1" s="578"/>
      <c r="C1" s="578"/>
      <c r="D1" s="578"/>
      <c r="E1" s="578"/>
      <c r="F1" s="578"/>
      <c r="G1" s="578"/>
      <c r="H1" s="578"/>
      <c r="I1" s="578"/>
      <c r="J1" s="578"/>
      <c r="K1" s="578"/>
      <c r="L1" s="578"/>
      <c r="M1" s="578"/>
      <c r="N1" s="578"/>
      <c r="O1" s="578"/>
      <c r="P1" s="578"/>
      <c r="Q1" s="578"/>
      <c r="R1" s="578"/>
      <c r="S1" s="578"/>
      <c r="T1" s="578"/>
      <c r="U1" s="578"/>
      <c r="V1" s="614"/>
      <c r="W1" s="614"/>
      <c r="X1" s="614"/>
      <c r="Y1" s="614"/>
      <c r="Z1" s="614"/>
      <c r="AA1" s="614"/>
      <c r="AB1" s="12"/>
      <c r="AC1" s="12"/>
    </row>
    <row r="2" spans="1:40" ht="15.75">
      <c r="A2" s="911" t="s">
        <v>538</v>
      </c>
      <c r="B2" s="626">
        <v>2006</v>
      </c>
      <c r="C2" s="626">
        <v>2007</v>
      </c>
      <c r="D2" s="626">
        <v>2008</v>
      </c>
      <c r="E2" s="626">
        <v>2009</v>
      </c>
      <c r="F2" s="626">
        <v>2010</v>
      </c>
      <c r="G2" s="626">
        <v>2011</v>
      </c>
      <c r="H2" s="626">
        <v>2012</v>
      </c>
      <c r="I2" s="626">
        <v>2013</v>
      </c>
      <c r="J2" s="626">
        <v>2014</v>
      </c>
      <c r="K2" s="626">
        <v>2015</v>
      </c>
      <c r="L2" s="626">
        <v>2016</v>
      </c>
      <c r="M2" s="626">
        <v>2017</v>
      </c>
      <c r="N2" s="626">
        <v>2018</v>
      </c>
      <c r="O2" s="626">
        <v>2019</v>
      </c>
      <c r="P2" s="626">
        <v>2020</v>
      </c>
      <c r="Q2" s="626">
        <v>2021</v>
      </c>
      <c r="R2" s="626">
        <v>2022</v>
      </c>
      <c r="S2" s="626">
        <v>2023</v>
      </c>
      <c r="T2" s="626">
        <v>2024</v>
      </c>
      <c r="U2" s="626">
        <v>2025</v>
      </c>
      <c r="V2" s="617">
        <f t="shared" ref="V2:AA2" si="0">U2+1</f>
        <v>2026</v>
      </c>
      <c r="W2" s="617">
        <f t="shared" si="0"/>
        <v>2027</v>
      </c>
      <c r="X2" s="617">
        <f t="shared" si="0"/>
        <v>2028</v>
      </c>
      <c r="Y2" s="617">
        <f t="shared" si="0"/>
        <v>2029</v>
      </c>
      <c r="Z2" s="617">
        <f t="shared" si="0"/>
        <v>2030</v>
      </c>
      <c r="AA2" s="617">
        <f t="shared" si="0"/>
        <v>2031</v>
      </c>
      <c r="AB2" s="12"/>
      <c r="AC2" s="12"/>
    </row>
    <row r="3" spans="1:40">
      <c r="S3" s="271"/>
      <c r="T3" s="271"/>
      <c r="U3" s="271"/>
      <c r="V3" s="271"/>
      <c r="W3" s="271"/>
      <c r="X3" s="271"/>
      <c r="Y3" s="271"/>
      <c r="Z3" s="271"/>
      <c r="AA3" s="271"/>
    </row>
    <row r="4" spans="1:40">
      <c r="A4" s="196" t="s">
        <v>222</v>
      </c>
      <c r="B4" s="626">
        <f>B2</f>
        <v>2006</v>
      </c>
      <c r="C4" s="626">
        <f t="shared" ref="C4:T4" si="1">C2</f>
        <v>2007</v>
      </c>
      <c r="D4" s="626">
        <f t="shared" si="1"/>
        <v>2008</v>
      </c>
      <c r="E4" s="626">
        <f t="shared" si="1"/>
        <v>2009</v>
      </c>
      <c r="F4" s="626">
        <f t="shared" si="1"/>
        <v>2010</v>
      </c>
      <c r="G4" s="626">
        <f t="shared" si="1"/>
        <v>2011</v>
      </c>
      <c r="H4" s="626">
        <f t="shared" si="1"/>
        <v>2012</v>
      </c>
      <c r="I4" s="626">
        <f t="shared" si="1"/>
        <v>2013</v>
      </c>
      <c r="J4" s="626">
        <f t="shared" si="1"/>
        <v>2014</v>
      </c>
      <c r="K4" s="626">
        <f t="shared" si="1"/>
        <v>2015</v>
      </c>
      <c r="L4" s="626">
        <f t="shared" si="1"/>
        <v>2016</v>
      </c>
      <c r="M4" s="626">
        <f t="shared" si="1"/>
        <v>2017</v>
      </c>
      <c r="N4" s="626">
        <f t="shared" si="1"/>
        <v>2018</v>
      </c>
      <c r="O4" s="626">
        <f t="shared" si="1"/>
        <v>2019</v>
      </c>
      <c r="P4" s="626">
        <f t="shared" si="1"/>
        <v>2020</v>
      </c>
      <c r="Q4" s="626">
        <f t="shared" si="1"/>
        <v>2021</v>
      </c>
      <c r="R4" s="626">
        <f t="shared" si="1"/>
        <v>2022</v>
      </c>
      <c r="S4" s="626">
        <f t="shared" si="1"/>
        <v>2023</v>
      </c>
      <c r="T4" s="626">
        <f t="shared" si="1"/>
        <v>2024</v>
      </c>
      <c r="U4" s="626">
        <f t="shared" ref="U4:AA4" si="2">U$2</f>
        <v>2025</v>
      </c>
      <c r="V4" s="532">
        <f t="shared" si="2"/>
        <v>2026</v>
      </c>
      <c r="W4" s="532">
        <f t="shared" si="2"/>
        <v>2027</v>
      </c>
      <c r="X4" s="532">
        <f t="shared" si="2"/>
        <v>2028</v>
      </c>
      <c r="Y4" s="532">
        <f t="shared" si="2"/>
        <v>2029</v>
      </c>
      <c r="Z4" s="532">
        <f t="shared" si="2"/>
        <v>2030</v>
      </c>
      <c r="AA4" s="532">
        <f t="shared" si="2"/>
        <v>2031</v>
      </c>
    </row>
    <row r="5" spans="1:40">
      <c r="A5" s="12" t="s">
        <v>16</v>
      </c>
      <c r="S5" s="271"/>
      <c r="T5" s="271"/>
      <c r="U5" s="271"/>
      <c r="V5" s="271"/>
      <c r="W5" s="271"/>
      <c r="X5" s="271"/>
      <c r="Y5" s="271"/>
      <c r="Z5" s="271"/>
      <c r="AA5" s="271"/>
      <c r="AB5" s="271"/>
      <c r="AC5" s="271"/>
      <c r="AD5" s="4"/>
      <c r="AE5" s="4"/>
      <c r="AF5" s="4"/>
    </row>
    <row r="6" spans="1:40" hidden="1">
      <c r="A6" s="1" t="s">
        <v>247</v>
      </c>
      <c r="B6" s="544" t="e">
        <f>#REF!</f>
        <v>#REF!</v>
      </c>
      <c r="C6" s="544" t="e">
        <f>#REF!</f>
        <v>#REF!</v>
      </c>
      <c r="D6" s="544" t="e">
        <f>#REF!</f>
        <v>#REF!</v>
      </c>
      <c r="E6" s="544" t="e">
        <f>#REF!</f>
        <v>#REF!</v>
      </c>
      <c r="F6" s="544" t="e">
        <f>#REF!</f>
        <v>#REF!</v>
      </c>
      <c r="G6" s="544" t="e">
        <f>#REF!</f>
        <v>#REF!</v>
      </c>
      <c r="H6" s="544" t="e">
        <f>#REF!</f>
        <v>#REF!</v>
      </c>
      <c r="I6" s="544" t="e">
        <f>#REF!</f>
        <v>#REF!</v>
      </c>
      <c r="J6" s="544"/>
      <c r="K6" s="544"/>
      <c r="L6" s="544"/>
      <c r="M6" s="544"/>
      <c r="N6" s="544"/>
      <c r="O6" s="544"/>
      <c r="P6" s="544"/>
      <c r="S6" s="271"/>
      <c r="T6" s="271"/>
      <c r="U6" s="271"/>
      <c r="V6" s="271"/>
      <c r="W6" s="271"/>
      <c r="X6" s="271"/>
      <c r="Y6" s="271"/>
      <c r="Z6" s="271"/>
      <c r="AA6" s="271"/>
      <c r="AB6" s="271"/>
      <c r="AC6" s="271"/>
      <c r="AD6" s="4"/>
      <c r="AE6" s="4"/>
      <c r="AF6" s="4"/>
    </row>
    <row r="7" spans="1:40">
      <c r="A7" s="41" t="s">
        <v>201</v>
      </c>
      <c r="B7" s="544" t="str">
        <f>'Airbus Commercial'!B2</f>
        <v>work</v>
      </c>
      <c r="C7" s="544">
        <f>'Airbus Commercial'!C2</f>
        <v>25216</v>
      </c>
      <c r="D7" s="544">
        <f>'Airbus Commercial'!D2</f>
        <v>26524</v>
      </c>
      <c r="E7" s="544">
        <f>'Airbus Commercial'!E2</f>
        <v>26370</v>
      </c>
      <c r="F7" s="544">
        <f>'Airbus Commercial'!F2</f>
        <v>27673</v>
      </c>
      <c r="G7" s="544">
        <f>'Airbus Commercial'!G2</f>
        <v>31159</v>
      </c>
      <c r="H7" s="544">
        <f>'Airbus Commercial'!H2</f>
        <v>37624</v>
      </c>
      <c r="I7" s="544">
        <f>'Airbus Commercial'!I2</f>
        <v>39889</v>
      </c>
      <c r="J7" s="544">
        <f>'Airbus Commercial'!J2</f>
        <v>42280</v>
      </c>
      <c r="K7" s="544">
        <f>'Airbus Commercial'!K2</f>
        <v>45854</v>
      </c>
      <c r="L7" s="544">
        <f>'Airbus Commercial'!L2</f>
        <v>49237</v>
      </c>
      <c r="M7" s="544">
        <f>'Airbus Commercial'!M2</f>
        <v>50958</v>
      </c>
      <c r="N7" s="544">
        <f>'Airbus Commercial'!N2</f>
        <v>47970</v>
      </c>
      <c r="O7" s="544">
        <f>'Airbus Commercial'!O2</f>
        <v>54775</v>
      </c>
      <c r="P7" s="544">
        <f>'Airbus Commercial'!P2</f>
        <v>34250</v>
      </c>
      <c r="Q7" s="544">
        <f>'Airbus Commercial'!Q2</f>
        <v>36164</v>
      </c>
      <c r="R7" s="544">
        <f>'Airbus Commercial'!R2</f>
        <v>41428</v>
      </c>
      <c r="S7" s="544">
        <f>'Airbus Commercial'!S2</f>
        <v>47763</v>
      </c>
      <c r="T7" s="544">
        <f>'Airbus Commercial'!T2</f>
        <v>50646</v>
      </c>
      <c r="U7" s="544">
        <f>'Airbus Commercial'!U2</f>
        <v>52577</v>
      </c>
      <c r="V7" s="544">
        <f t="shared" ref="V7:AA7" si="3">U7*(1+V17)</f>
        <v>57945.621953392132</v>
      </c>
      <c r="W7" s="544">
        <f t="shared" si="3"/>
        <v>67784.665554718507</v>
      </c>
      <c r="X7" s="544">
        <f t="shared" si="3"/>
        <v>77835.508024025097</v>
      </c>
      <c r="Y7" s="544">
        <f t="shared" si="3"/>
        <v>84850.404332822189</v>
      </c>
      <c r="Z7" s="544">
        <f t="shared" si="3"/>
        <v>88711.40073420557</v>
      </c>
      <c r="AA7" s="544">
        <f t="shared" si="3"/>
        <v>91335.261084432976</v>
      </c>
      <c r="AB7" s="551"/>
      <c r="AC7" s="551"/>
      <c r="AE7" s="73"/>
      <c r="AF7" s="4"/>
    </row>
    <row r="8" spans="1:40" hidden="1">
      <c r="A8" s="8" t="s">
        <v>200</v>
      </c>
      <c r="B8" s="271">
        <f>'Airbus Defence &amp; Space'!B39</f>
        <v>0</v>
      </c>
      <c r="C8" s="271">
        <f>'Airbus Defence &amp; Space'!C39</f>
        <v>0</v>
      </c>
      <c r="D8" s="271">
        <f>'Airbus Defence &amp; Space'!D39</f>
        <v>0</v>
      </c>
      <c r="E8" s="271">
        <f>'Airbus Defence &amp; Space'!E39</f>
        <v>0</v>
      </c>
      <c r="F8" s="271">
        <f>'Airbus Defence &amp; Space'!F39</f>
        <v>0</v>
      </c>
      <c r="G8" s="271">
        <f>'Airbus Defence &amp; Space'!G39</f>
        <v>0</v>
      </c>
      <c r="H8" s="271">
        <f>'Airbus Defence &amp; Space'!H39</f>
        <v>5632.4</v>
      </c>
      <c r="I8" s="544" t="e">
        <f>#REF!</f>
        <v>#REF!</v>
      </c>
      <c r="J8" s="544"/>
      <c r="K8" s="544"/>
      <c r="L8" s="544"/>
      <c r="M8" s="544"/>
      <c r="N8" s="544"/>
      <c r="O8" s="544"/>
      <c r="P8" s="544"/>
      <c r="Q8" s="544"/>
      <c r="R8" s="544"/>
      <c r="S8" s="544"/>
      <c r="T8" s="544"/>
      <c r="U8" s="544"/>
      <c r="V8" s="544">
        <f t="shared" ref="V8:AA8" si="4">U8*(1+V18)</f>
        <v>0</v>
      </c>
      <c r="W8" s="544">
        <f t="shared" si="4"/>
        <v>0</v>
      </c>
      <c r="X8" s="544">
        <f t="shared" si="4"/>
        <v>0</v>
      </c>
      <c r="Y8" s="544">
        <f t="shared" si="4"/>
        <v>0</v>
      </c>
      <c r="Z8" s="544">
        <f t="shared" si="4"/>
        <v>0</v>
      </c>
      <c r="AA8" s="544">
        <f t="shared" si="4"/>
        <v>0</v>
      </c>
      <c r="AB8" s="271"/>
      <c r="AC8" s="271"/>
      <c r="AE8" s="4"/>
      <c r="AF8" s="4"/>
    </row>
    <row r="9" spans="1:40">
      <c r="A9" s="1" t="s">
        <v>385</v>
      </c>
      <c r="B9" s="271">
        <f>'Airbus Helicopters'!B2</f>
        <v>3803</v>
      </c>
      <c r="C9" s="271">
        <f>'Airbus Helicopters'!C2</f>
        <v>4172</v>
      </c>
      <c r="D9" s="271">
        <f>'Airbus Helicopters'!D2</f>
        <v>4486</v>
      </c>
      <c r="E9" s="271">
        <f>'Airbus Helicopters'!E2</f>
        <v>4570</v>
      </c>
      <c r="F9" s="271">
        <f>'Airbus Helicopters'!F2</f>
        <v>4830</v>
      </c>
      <c r="G9" s="271">
        <f>'Airbus Helicopters'!G2</f>
        <v>5415</v>
      </c>
      <c r="H9" s="271">
        <f>'Airbus Helicopters'!H2</f>
        <v>6264</v>
      </c>
      <c r="I9" s="544">
        <f>'Airbus Helicopters'!I2</f>
        <v>6297</v>
      </c>
      <c r="J9" s="544">
        <f>'Airbus Helicopters'!J2</f>
        <v>6524</v>
      </c>
      <c r="K9" s="544">
        <f>'Airbus Helicopters'!K2</f>
        <v>6786</v>
      </c>
      <c r="L9" s="544">
        <f>'Airbus Helicopters'!L2</f>
        <v>6652</v>
      </c>
      <c r="M9" s="544">
        <f>'Airbus Helicopters'!M2</f>
        <v>6450</v>
      </c>
      <c r="N9" s="544">
        <f>'Airbus Helicopters'!N2</f>
        <v>5934</v>
      </c>
      <c r="O9" s="544">
        <f>'Airbus Helicopters'!O2</f>
        <v>6007</v>
      </c>
      <c r="P9" s="544">
        <f>'Airbus Helicopters'!P2</f>
        <v>6251</v>
      </c>
      <c r="Q9" s="544">
        <f>'Airbus Helicopters'!Q2</f>
        <v>6509</v>
      </c>
      <c r="R9" s="544">
        <f>'Airbus Helicopters'!R2</f>
        <v>7048</v>
      </c>
      <c r="S9" s="544">
        <f>'Airbus Helicopters'!S2</f>
        <v>7337</v>
      </c>
      <c r="T9" s="544">
        <f>'Airbus Helicopters'!T2</f>
        <v>7941</v>
      </c>
      <c r="U9" s="544">
        <f>'Airbus Helicopters'!U2</f>
        <v>8972</v>
      </c>
      <c r="V9" s="544">
        <f t="shared" ref="V9:AA9" si="5">U9*(1+V19)</f>
        <v>9641.0962065306121</v>
      </c>
      <c r="W9" s="544">
        <f t="shared" si="5"/>
        <v>10139.801119293157</v>
      </c>
      <c r="X9" s="544">
        <f t="shared" si="5"/>
        <v>10619.326728714517</v>
      </c>
      <c r="Y9" s="544">
        <f t="shared" si="5"/>
        <v>11105.227715264322</v>
      </c>
      <c r="Z9" s="544">
        <f t="shared" si="5"/>
        <v>11598.105176396979</v>
      </c>
      <c r="AA9" s="544">
        <f t="shared" si="5"/>
        <v>12098.143771234956</v>
      </c>
      <c r="AB9" s="551"/>
      <c r="AC9" s="551"/>
      <c r="AE9" s="3"/>
    </row>
    <row r="10" spans="1:40" hidden="1">
      <c r="A10" s="1" t="s">
        <v>223</v>
      </c>
      <c r="B10" s="271">
        <f>'Airbus Defence &amp; Space'!B53</f>
        <v>0</v>
      </c>
      <c r="C10" s="271">
        <f>'Airbus Defence &amp; Space'!C53</f>
        <v>0</v>
      </c>
      <c r="D10" s="271">
        <f>'Airbus Defence &amp; Space'!D53</f>
        <v>0</v>
      </c>
      <c r="E10" s="271">
        <f>'Airbus Defence &amp; Space'!E53</f>
        <v>0</v>
      </c>
      <c r="F10" s="271">
        <f>'Airbus Defence &amp; Space'!F53</f>
        <v>0</v>
      </c>
      <c r="G10" s="271">
        <f>'Airbus Defence &amp; Space'!G53</f>
        <v>0</v>
      </c>
      <c r="H10" s="271">
        <f>'Airbus Defence &amp; Space'!H53</f>
        <v>5817</v>
      </c>
      <c r="I10" s="544">
        <f>'Airbus Defence &amp; Space'!I53</f>
        <v>5784</v>
      </c>
      <c r="J10" s="544"/>
      <c r="K10" s="544"/>
      <c r="L10" s="544"/>
      <c r="M10" s="544"/>
      <c r="N10" s="544"/>
      <c r="O10" s="544"/>
      <c r="P10" s="544"/>
      <c r="Q10" s="544"/>
      <c r="R10" s="544"/>
      <c r="S10" s="544"/>
      <c r="T10" s="544"/>
      <c r="U10" s="544"/>
      <c r="V10" s="544">
        <f t="shared" ref="V10:AA10" si="6">U10*(1+V20)</f>
        <v>0</v>
      </c>
      <c r="W10" s="544">
        <f t="shared" si="6"/>
        <v>0</v>
      </c>
      <c r="X10" s="544">
        <f t="shared" si="6"/>
        <v>0</v>
      </c>
      <c r="Y10" s="544">
        <f t="shared" si="6"/>
        <v>0</v>
      </c>
      <c r="Z10" s="544">
        <f t="shared" si="6"/>
        <v>0</v>
      </c>
      <c r="AA10" s="544">
        <f t="shared" si="6"/>
        <v>0</v>
      </c>
      <c r="AB10" s="551"/>
      <c r="AC10" s="551"/>
      <c r="AE10" s="4"/>
      <c r="AF10" s="4"/>
      <c r="AJ10" s="4"/>
      <c r="AK10" s="4"/>
      <c r="AL10" s="4"/>
      <c r="AM10" s="4"/>
      <c r="AN10" s="4"/>
    </row>
    <row r="11" spans="1:40" hidden="1">
      <c r="A11" s="1" t="s">
        <v>224</v>
      </c>
      <c r="B11" s="271">
        <f>'Airbus Defence &amp; Space'!B46</f>
        <v>0</v>
      </c>
      <c r="C11" s="271">
        <f>'Airbus Defence &amp; Space'!C46</f>
        <v>0</v>
      </c>
      <c r="D11" s="271">
        <f>'Airbus Defence &amp; Space'!D46</f>
        <v>0</v>
      </c>
      <c r="E11" s="271">
        <f>'Airbus Defence &amp; Space'!E46</f>
        <v>0</v>
      </c>
      <c r="F11" s="271">
        <f>'Airbus Defence &amp; Space'!F46</f>
        <v>0</v>
      </c>
      <c r="G11" s="271">
        <f>'Airbus Defence &amp; Space'!G46</f>
        <v>0</v>
      </c>
      <c r="H11" s="271">
        <f>'Airbus Defence &amp; Space'!H46</f>
        <v>5740</v>
      </c>
      <c r="I11" s="544">
        <f>'Airbus Defence &amp; Space'!I46</f>
        <v>5976</v>
      </c>
      <c r="J11" s="544"/>
      <c r="K11" s="544"/>
      <c r="L11" s="544"/>
      <c r="M11" s="544"/>
      <c r="N11" s="544"/>
      <c r="O11" s="544"/>
      <c r="P11" s="544"/>
      <c r="Q11" s="544"/>
      <c r="R11" s="544"/>
      <c r="S11" s="544"/>
      <c r="T11" s="544"/>
      <c r="U11" s="544"/>
      <c r="V11" s="544">
        <f t="shared" ref="V11:AA11" si="7">U11*(1+V21)</f>
        <v>0</v>
      </c>
      <c r="W11" s="544">
        <f t="shared" si="7"/>
        <v>0</v>
      </c>
      <c r="X11" s="544">
        <f t="shared" si="7"/>
        <v>0</v>
      </c>
      <c r="Y11" s="544">
        <f t="shared" si="7"/>
        <v>0</v>
      </c>
      <c r="Z11" s="544">
        <f t="shared" si="7"/>
        <v>0</v>
      </c>
      <c r="AA11" s="544">
        <f t="shared" si="7"/>
        <v>0</v>
      </c>
      <c r="AB11" s="551"/>
      <c r="AC11" s="551"/>
      <c r="AJ11" s="4"/>
      <c r="AK11" s="4"/>
      <c r="AL11" s="4"/>
      <c r="AM11" s="4"/>
      <c r="AN11" s="4"/>
    </row>
    <row r="12" spans="1:40">
      <c r="A12" s="1" t="s">
        <v>384</v>
      </c>
      <c r="H12" s="544">
        <f>'Airbus Defence &amp; Space'!H2</f>
        <v>13520</v>
      </c>
      <c r="I12" s="544">
        <f>'Airbus Defence &amp; Space'!I2</f>
        <v>17982</v>
      </c>
      <c r="J12" s="544">
        <f>'Airbus Defence &amp; Space'!J2</f>
        <v>13025</v>
      </c>
      <c r="K12" s="544">
        <f>'Airbus Defence &amp; Space'!K2</f>
        <v>13080</v>
      </c>
      <c r="L12" s="544">
        <f>'Airbus Defence &amp; Space'!L2</f>
        <v>11854</v>
      </c>
      <c r="M12" s="544">
        <f>'Airbus Defence &amp; Space'!M2</f>
        <v>10804</v>
      </c>
      <c r="N12" s="544">
        <f>'Airbus Defence &amp; Space'!N2</f>
        <v>11063</v>
      </c>
      <c r="O12" s="544">
        <f>'Airbus Defence &amp; Space'!O2</f>
        <v>10907</v>
      </c>
      <c r="P12" s="544">
        <f>'Airbus Defence &amp; Space'!P2</f>
        <v>10446</v>
      </c>
      <c r="Q12" s="544">
        <f>'Airbus Defence &amp; Space'!Q2</f>
        <v>10186</v>
      </c>
      <c r="R12" s="544">
        <f>'Airbus Defence &amp; Space'!R2</f>
        <v>11259</v>
      </c>
      <c r="S12" s="544">
        <f>'Airbus Defence &amp; Space'!S2</f>
        <v>11495</v>
      </c>
      <c r="T12" s="544">
        <f>'Airbus Defence &amp; Space'!T2</f>
        <v>12082</v>
      </c>
      <c r="U12" s="544">
        <f>'Airbus Defence &amp; Space'!U2</f>
        <v>13405</v>
      </c>
      <c r="V12" s="544">
        <f t="shared" ref="V12:AA12" si="8">U12*(1+V22)</f>
        <v>14277.665500000003</v>
      </c>
      <c r="W12" s="544">
        <f t="shared" si="8"/>
        <v>15207.697697500005</v>
      </c>
      <c r="X12" s="544">
        <f t="shared" si="8"/>
        <v>16198.901233112503</v>
      </c>
      <c r="Y12" s="544">
        <f t="shared" si="8"/>
        <v>17492.739223364129</v>
      </c>
      <c r="Z12" s="544">
        <f t="shared" si="8"/>
        <v>18894.053129366937</v>
      </c>
      <c r="AA12" s="544">
        <f t="shared" si="8"/>
        <v>20412.006000583158</v>
      </c>
      <c r="AB12" s="551"/>
      <c r="AC12" s="551"/>
      <c r="AE12" s="3"/>
      <c r="AJ12" s="4"/>
      <c r="AK12" s="4"/>
      <c r="AL12" s="4"/>
      <c r="AM12" s="4"/>
      <c r="AN12" s="4"/>
    </row>
    <row r="13" spans="1:40">
      <c r="A13" s="1" t="s">
        <v>226</v>
      </c>
      <c r="B13" s="271" t="e">
        <f>#REF!</f>
        <v>#REF!</v>
      </c>
      <c r="C13" s="271" t="e">
        <f>#REF!</f>
        <v>#REF!</v>
      </c>
      <c r="D13" s="271" t="e">
        <f>#REF!</f>
        <v>#REF!</v>
      </c>
      <c r="E13" s="271" t="e">
        <f>#REF!</f>
        <v>#REF!</v>
      </c>
      <c r="F13" s="271" t="e">
        <f>#REF!</f>
        <v>#REF!</v>
      </c>
      <c r="G13" s="271" t="e">
        <f>#REF!</f>
        <v>#REF!</v>
      </c>
      <c r="H13" s="545">
        <v>-614</v>
      </c>
      <c r="I13" s="546">
        <v>-1352</v>
      </c>
      <c r="J13" s="546">
        <v>-1116</v>
      </c>
      <c r="K13" s="546">
        <v>-1270</v>
      </c>
      <c r="L13" s="546">
        <v>-1162</v>
      </c>
      <c r="M13" s="546">
        <v>-1445</v>
      </c>
      <c r="N13" s="546">
        <v>-1260</v>
      </c>
      <c r="O13" s="546">
        <v>-1211</v>
      </c>
      <c r="P13" s="546">
        <v>-1035</v>
      </c>
      <c r="Q13" s="546">
        <v>-710</v>
      </c>
      <c r="R13" s="546">
        <v>-972</v>
      </c>
      <c r="S13" s="546">
        <v>-1149</v>
      </c>
      <c r="T13" s="546">
        <v>-1439</v>
      </c>
      <c r="U13" s="546">
        <v>-1439</v>
      </c>
      <c r="V13" s="562">
        <f t="shared" ref="V13:AA13" si="9">U13/SUM(U7:U12)*SUM(V7:V12)</f>
        <v>-1571.6685978950934</v>
      </c>
      <c r="W13" s="562">
        <f t="shared" si="9"/>
        <v>-1787.9924290979172</v>
      </c>
      <c r="X13" s="562">
        <f t="shared" si="9"/>
        <v>-2009.1886501539768</v>
      </c>
      <c r="Y13" s="562">
        <f t="shared" si="9"/>
        <v>-2178.0319430533054</v>
      </c>
      <c r="Z13" s="562">
        <f t="shared" si="9"/>
        <v>-2288.5225799625914</v>
      </c>
      <c r="AA13" s="562">
        <f t="shared" si="9"/>
        <v>-2377.6389014881838</v>
      </c>
      <c r="AB13" s="3"/>
      <c r="AC13" s="3"/>
    </row>
    <row r="14" spans="1:40" s="12" customFormat="1">
      <c r="A14" s="633" t="s">
        <v>225</v>
      </c>
      <c r="B14" s="634" t="e">
        <f>SUM(B7:B13)</f>
        <v>#REF!</v>
      </c>
      <c r="C14" s="634" t="e">
        <f>SUM(C7:C13)</f>
        <v>#REF!</v>
      </c>
      <c r="D14" s="634" t="e">
        <f>SUM(D7:D13)</f>
        <v>#REF!</v>
      </c>
      <c r="E14" s="634" t="e">
        <f>SUM(E7:E13)</f>
        <v>#REF!</v>
      </c>
      <c r="F14" s="634" t="e">
        <f>SUM(F7:F13)</f>
        <v>#REF!</v>
      </c>
      <c r="G14" s="634" t="e">
        <f>SUM(G7:G13)-2000+31</f>
        <v>#REF!</v>
      </c>
      <c r="H14" s="635">
        <v>56480</v>
      </c>
      <c r="I14" s="636">
        <f t="shared" ref="I14:Z14" si="10">I7+I9+I12+I13</f>
        <v>62816</v>
      </c>
      <c r="J14" s="636">
        <f t="shared" si="10"/>
        <v>60713</v>
      </c>
      <c r="K14" s="636">
        <f t="shared" si="10"/>
        <v>64450</v>
      </c>
      <c r="L14" s="636">
        <f t="shared" si="10"/>
        <v>66581</v>
      </c>
      <c r="M14" s="636">
        <f t="shared" si="10"/>
        <v>66767</v>
      </c>
      <c r="N14" s="636">
        <f t="shared" si="10"/>
        <v>63707</v>
      </c>
      <c r="O14" s="636">
        <f t="shared" si="10"/>
        <v>70478</v>
      </c>
      <c r="P14" s="636">
        <f t="shared" si="10"/>
        <v>49912</v>
      </c>
      <c r="Q14" s="636">
        <f t="shared" si="10"/>
        <v>52149</v>
      </c>
      <c r="R14" s="637">
        <f t="shared" si="10"/>
        <v>58763</v>
      </c>
      <c r="S14" s="637">
        <f t="shared" si="10"/>
        <v>65446</v>
      </c>
      <c r="T14" s="637">
        <f t="shared" si="10"/>
        <v>69230</v>
      </c>
      <c r="U14" s="637">
        <f t="shared" ref="U14" si="11">U7+U9+U12+U13</f>
        <v>73515</v>
      </c>
      <c r="V14" s="637">
        <f t="shared" si="10"/>
        <v>80292.715062027652</v>
      </c>
      <c r="W14" s="637">
        <f t="shared" si="10"/>
        <v>91344.171942413755</v>
      </c>
      <c r="X14" s="637">
        <f t="shared" si="10"/>
        <v>102644.54733569814</v>
      </c>
      <c r="Y14" s="637">
        <f t="shared" si="10"/>
        <v>111270.33932839733</v>
      </c>
      <c r="Z14" s="637">
        <f t="shared" si="10"/>
        <v>116915.03646000689</v>
      </c>
      <c r="AA14" s="637">
        <f t="shared" ref="AA14" si="12">AA7+AA9+AA12+AA13</f>
        <v>121467.77195476291</v>
      </c>
      <c r="AJ14" s="106"/>
      <c r="AK14" s="106"/>
      <c r="AL14" s="106"/>
      <c r="AM14" s="106"/>
      <c r="AN14" s="106"/>
    </row>
    <row r="15" spans="1:40">
      <c r="H15" s="549"/>
      <c r="I15" s="73"/>
      <c r="J15" s="73"/>
      <c r="K15" s="550"/>
      <c r="L15" s="73"/>
      <c r="M15" s="73"/>
      <c r="N15" s="73"/>
      <c r="Q15" s="551"/>
      <c r="S15" s="271"/>
      <c r="T15" s="271"/>
      <c r="U15" s="271"/>
      <c r="V15" s="271"/>
      <c r="W15" s="271"/>
      <c r="X15" s="271"/>
      <c r="Y15" s="271"/>
      <c r="Z15" s="271"/>
      <c r="AA15" s="271"/>
      <c r="AD15" s="12"/>
      <c r="AE15" s="859"/>
      <c r="AK15" s="6"/>
      <c r="AL15" s="6"/>
      <c r="AM15" s="6"/>
      <c r="AN15" s="6"/>
    </row>
    <row r="16" spans="1:40">
      <c r="A16" s="12" t="s">
        <v>227</v>
      </c>
      <c r="I16" s="544"/>
      <c r="K16" s="73"/>
      <c r="S16" s="271"/>
      <c r="T16" s="271"/>
      <c r="U16" s="271"/>
      <c r="V16" s="271"/>
      <c r="W16" s="271"/>
      <c r="X16" s="271"/>
      <c r="Y16" s="271"/>
      <c r="Z16" s="271"/>
      <c r="AA16" s="271"/>
      <c r="AE16" s="859"/>
      <c r="AK16" s="3"/>
      <c r="AL16" s="3"/>
      <c r="AM16" s="3"/>
      <c r="AN16" s="3"/>
    </row>
    <row r="17" spans="1:40">
      <c r="A17" s="41" t="s">
        <v>201</v>
      </c>
      <c r="B17" s="550"/>
      <c r="C17" s="550" t="e">
        <f t="shared" ref="C17:U17" si="13">C7/B7-1</f>
        <v>#VALUE!</v>
      </c>
      <c r="D17" s="550">
        <f t="shared" si="13"/>
        <v>5.1871827411167581E-2</v>
      </c>
      <c r="E17" s="550">
        <f t="shared" si="13"/>
        <v>-5.8060624340220413E-3</v>
      </c>
      <c r="F17" s="550">
        <f t="shared" si="13"/>
        <v>4.9412210845658056E-2</v>
      </c>
      <c r="G17" s="550">
        <f t="shared" si="13"/>
        <v>0.12597116322769497</v>
      </c>
      <c r="H17" s="550">
        <f t="shared" si="13"/>
        <v>0.2074841939728489</v>
      </c>
      <c r="I17" s="550">
        <f t="shared" si="13"/>
        <v>6.0200935573038405E-2</v>
      </c>
      <c r="J17" s="550">
        <f t="shared" si="13"/>
        <v>5.9941337210759782E-2</v>
      </c>
      <c r="K17" s="550">
        <f t="shared" si="13"/>
        <v>8.4531693472090774E-2</v>
      </c>
      <c r="L17" s="550">
        <f t="shared" si="13"/>
        <v>7.3777642081388706E-2</v>
      </c>
      <c r="M17" s="550">
        <f t="shared" si="13"/>
        <v>3.4953388711741251E-2</v>
      </c>
      <c r="N17" s="550">
        <f t="shared" si="13"/>
        <v>-5.8636524196396977E-2</v>
      </c>
      <c r="O17" s="550">
        <f t="shared" si="13"/>
        <v>0.14185949551803212</v>
      </c>
      <c r="P17" s="550">
        <f t="shared" si="13"/>
        <v>-0.37471474212688272</v>
      </c>
      <c r="Q17" s="550">
        <f t="shared" si="13"/>
        <v>5.5883211678832145E-2</v>
      </c>
      <c r="R17" s="550">
        <f t="shared" si="13"/>
        <v>0.14555911956641965</v>
      </c>
      <c r="S17" s="550">
        <f t="shared" si="13"/>
        <v>0.15291590228830731</v>
      </c>
      <c r="T17" s="550">
        <f t="shared" si="13"/>
        <v>6.0360530117455014E-2</v>
      </c>
      <c r="U17" s="550">
        <f t="shared" si="13"/>
        <v>3.8127394068633302E-2</v>
      </c>
      <c r="V17" s="542">
        <f>'Airbus Commercial'!V3</f>
        <v>0.10210970487840942</v>
      </c>
      <c r="W17" s="542">
        <f>'Airbus Commercial'!W3</f>
        <v>0.16979787721046979</v>
      </c>
      <c r="X17" s="542">
        <f>'Airbus Commercial'!X3</f>
        <v>0.14827605015168421</v>
      </c>
      <c r="Y17" s="542">
        <f>'Airbus Commercial'!Y3</f>
        <v>9.0124629322543059E-2</v>
      </c>
      <c r="Z17" s="542">
        <f>'Airbus Commercial'!Z3</f>
        <v>4.5503571040613755E-2</v>
      </c>
      <c r="AA17" s="542">
        <f>'Airbus Commercial'!AA3</f>
        <v>2.9577487544007353E-2</v>
      </c>
      <c r="AE17" s="859"/>
      <c r="AK17" s="3"/>
      <c r="AL17" s="3"/>
      <c r="AM17" s="3"/>
      <c r="AN17" s="3"/>
    </row>
    <row r="18" spans="1:40" hidden="1">
      <c r="A18" s="1" t="s">
        <v>200</v>
      </c>
      <c r="B18" s="550"/>
      <c r="C18" s="550" t="e">
        <f t="shared" ref="C18:I21" si="14">C8/B8-1</f>
        <v>#DIV/0!</v>
      </c>
      <c r="D18" s="550" t="e">
        <f t="shared" si="14"/>
        <v>#DIV/0!</v>
      </c>
      <c r="E18" s="550" t="e">
        <f t="shared" si="14"/>
        <v>#DIV/0!</v>
      </c>
      <c r="F18" s="550" t="e">
        <f t="shared" si="14"/>
        <v>#DIV/0!</v>
      </c>
      <c r="G18" s="550" t="e">
        <f t="shared" si="14"/>
        <v>#DIV/0!</v>
      </c>
      <c r="H18" s="550" t="e">
        <f t="shared" si="14"/>
        <v>#DIV/0!</v>
      </c>
      <c r="I18" s="550" t="e">
        <f t="shared" si="14"/>
        <v>#REF!</v>
      </c>
      <c r="J18" s="550"/>
      <c r="K18" s="550"/>
      <c r="L18" s="550"/>
      <c r="M18" s="550"/>
      <c r="N18" s="550"/>
      <c r="O18" s="550"/>
      <c r="P18" s="550"/>
      <c r="Q18" s="550"/>
      <c r="R18" s="550"/>
      <c r="S18" s="550"/>
      <c r="T18" s="550"/>
      <c r="U18" s="550"/>
      <c r="V18" s="550"/>
      <c r="W18" s="550"/>
      <c r="X18" s="550"/>
      <c r="Y18" s="550"/>
      <c r="Z18" s="550"/>
      <c r="AA18" s="550"/>
      <c r="AE18" s="859"/>
      <c r="AN18" s="3"/>
    </row>
    <row r="19" spans="1:40">
      <c r="A19" s="1" t="s">
        <v>385</v>
      </c>
      <c r="B19" s="550"/>
      <c r="C19" s="550">
        <f t="shared" si="14"/>
        <v>9.7028661582960751E-2</v>
      </c>
      <c r="D19" s="550">
        <f t="shared" si="14"/>
        <v>7.5263662511984686E-2</v>
      </c>
      <c r="E19" s="550">
        <f t="shared" si="14"/>
        <v>1.8724921979491826E-2</v>
      </c>
      <c r="F19" s="550">
        <f t="shared" si="14"/>
        <v>5.6892778993435478E-2</v>
      </c>
      <c r="G19" s="550">
        <f t="shared" si="14"/>
        <v>0.12111801242236031</v>
      </c>
      <c r="H19" s="550">
        <f t="shared" si="14"/>
        <v>0.15678670360110813</v>
      </c>
      <c r="I19" s="550">
        <f t="shared" si="14"/>
        <v>5.268199233716464E-3</v>
      </c>
      <c r="J19" s="550">
        <f t="shared" ref="J19:U19" si="15">J9/I9-1</f>
        <v>3.6048912180403292E-2</v>
      </c>
      <c r="K19" s="550">
        <f t="shared" si="15"/>
        <v>4.0159411404046663E-2</v>
      </c>
      <c r="L19" s="550">
        <f t="shared" si="15"/>
        <v>-1.9746536987916286E-2</v>
      </c>
      <c r="M19" s="550">
        <f t="shared" si="15"/>
        <v>-3.0366806975345773E-2</v>
      </c>
      <c r="N19" s="550">
        <f t="shared" si="15"/>
        <v>-7.999999999999996E-2</v>
      </c>
      <c r="O19" s="550">
        <f t="shared" si="15"/>
        <v>1.2301988540613484E-2</v>
      </c>
      <c r="P19" s="550">
        <f t="shared" si="15"/>
        <v>4.0619277509572171E-2</v>
      </c>
      <c r="Q19" s="550">
        <f t="shared" si="15"/>
        <v>4.1273396256598982E-2</v>
      </c>
      <c r="R19" s="550">
        <f t="shared" si="15"/>
        <v>8.2808419111998877E-2</v>
      </c>
      <c r="S19" s="550">
        <f t="shared" si="15"/>
        <v>4.100454029511913E-2</v>
      </c>
      <c r="T19" s="550">
        <f t="shared" si="15"/>
        <v>8.232247512607338E-2</v>
      </c>
      <c r="U19" s="550">
        <f t="shared" si="15"/>
        <v>0.12983251479662505</v>
      </c>
      <c r="V19" s="542">
        <f>'Airbus Helicopters'!V3</f>
        <v>7.4576037286069097E-2</v>
      </c>
      <c r="W19" s="542">
        <f>'Airbus Helicopters'!W3</f>
        <v>5.1726992665495519E-2</v>
      </c>
      <c r="X19" s="542">
        <f>'Airbus Helicopters'!X3</f>
        <v>4.729142157521804E-2</v>
      </c>
      <c r="Y19" s="542">
        <f>'Airbus Helicopters'!Y3</f>
        <v>4.575628935457221E-2</v>
      </c>
      <c r="Z19" s="542">
        <f>'Airbus Helicopters'!Z3</f>
        <v>4.438247227071157E-2</v>
      </c>
      <c r="AA19" s="542">
        <f>'Airbus Helicopters'!AA3</f>
        <v>4.3113817923947861E-2</v>
      </c>
      <c r="AE19" s="859"/>
    </row>
    <row r="20" spans="1:40" hidden="1">
      <c r="A20" s="1" t="s">
        <v>223</v>
      </c>
      <c r="B20" s="550"/>
      <c r="C20" s="550" t="e">
        <f t="shared" si="14"/>
        <v>#DIV/0!</v>
      </c>
      <c r="D20" s="550" t="e">
        <f t="shared" si="14"/>
        <v>#DIV/0!</v>
      </c>
      <c r="E20" s="550" t="e">
        <f t="shared" si="14"/>
        <v>#DIV/0!</v>
      </c>
      <c r="F20" s="550" t="e">
        <f t="shared" si="14"/>
        <v>#DIV/0!</v>
      </c>
      <c r="G20" s="550" t="e">
        <f t="shared" si="14"/>
        <v>#DIV/0!</v>
      </c>
      <c r="H20" s="550" t="e">
        <f t="shared" si="14"/>
        <v>#DIV/0!</v>
      </c>
      <c r="I20" s="550">
        <f t="shared" si="14"/>
        <v>-5.6730273336771386E-3</v>
      </c>
      <c r="J20" s="550"/>
      <c r="K20" s="550"/>
      <c r="L20" s="550"/>
      <c r="M20" s="550"/>
      <c r="N20" s="550"/>
      <c r="O20" s="550"/>
      <c r="P20" s="550"/>
      <c r="Q20" s="550"/>
      <c r="R20" s="550"/>
      <c r="S20" s="550"/>
      <c r="T20" s="550"/>
      <c r="U20" s="550"/>
      <c r="V20" s="550"/>
      <c r="W20" s="550"/>
      <c r="X20" s="550"/>
      <c r="Y20" s="550"/>
      <c r="Z20" s="550"/>
      <c r="AA20" s="550"/>
      <c r="AE20" s="859"/>
    </row>
    <row r="21" spans="1:40" hidden="1">
      <c r="A21" s="1" t="s">
        <v>224</v>
      </c>
      <c r="B21" s="550"/>
      <c r="C21" s="550" t="e">
        <f t="shared" si="14"/>
        <v>#DIV/0!</v>
      </c>
      <c r="D21" s="550" t="e">
        <f t="shared" si="14"/>
        <v>#DIV/0!</v>
      </c>
      <c r="E21" s="550" t="e">
        <f t="shared" si="14"/>
        <v>#DIV/0!</v>
      </c>
      <c r="F21" s="550" t="e">
        <f t="shared" si="14"/>
        <v>#DIV/0!</v>
      </c>
      <c r="G21" s="550" t="e">
        <f t="shared" si="14"/>
        <v>#DIV/0!</v>
      </c>
      <c r="H21" s="550" t="e">
        <f t="shared" si="14"/>
        <v>#DIV/0!</v>
      </c>
      <c r="I21" s="550">
        <f t="shared" si="14"/>
        <v>4.1114982578397186E-2</v>
      </c>
      <c r="J21" s="550"/>
      <c r="K21" s="550"/>
      <c r="L21" s="550"/>
      <c r="M21" s="550"/>
      <c r="N21" s="550"/>
      <c r="O21" s="550"/>
      <c r="P21" s="550"/>
      <c r="Q21" s="550"/>
      <c r="R21" s="550"/>
      <c r="S21" s="550"/>
      <c r="T21" s="550"/>
      <c r="U21" s="550"/>
      <c r="V21" s="550"/>
      <c r="W21" s="550"/>
      <c r="X21" s="550"/>
      <c r="Y21" s="550"/>
      <c r="Z21" s="550"/>
      <c r="AA21" s="550"/>
      <c r="AE21" s="859"/>
    </row>
    <row r="22" spans="1:40">
      <c r="A22" s="1" t="s">
        <v>384</v>
      </c>
      <c r="B22" s="550"/>
      <c r="C22" s="550"/>
      <c r="D22" s="550"/>
      <c r="E22" s="550"/>
      <c r="F22" s="550"/>
      <c r="G22" s="550"/>
      <c r="H22" s="550"/>
      <c r="I22" s="550">
        <f t="shared" ref="I22:U22" si="16">I12/H12-1</f>
        <v>0.33002958579881647</v>
      </c>
      <c r="J22" s="550">
        <f t="shared" si="16"/>
        <v>-0.27566455344233121</v>
      </c>
      <c r="K22" s="550">
        <f t="shared" si="16"/>
        <v>4.222648752399305E-3</v>
      </c>
      <c r="L22" s="550">
        <f t="shared" si="16"/>
        <v>-9.373088685015285E-2</v>
      </c>
      <c r="M22" s="550">
        <f t="shared" si="16"/>
        <v>-8.8577695292728187E-2</v>
      </c>
      <c r="N22" s="550">
        <f t="shared" si="16"/>
        <v>2.3972602739726012E-2</v>
      </c>
      <c r="O22" s="550">
        <f t="shared" si="16"/>
        <v>-1.4101057579318454E-2</v>
      </c>
      <c r="P22" s="550">
        <f t="shared" si="16"/>
        <v>-4.2266434399926611E-2</v>
      </c>
      <c r="Q22" s="550">
        <f t="shared" si="16"/>
        <v>-2.4889910013402239E-2</v>
      </c>
      <c r="R22" s="550">
        <f t="shared" si="16"/>
        <v>0.10534066365599837</v>
      </c>
      <c r="S22" s="550">
        <f t="shared" si="16"/>
        <v>2.096100897060138E-2</v>
      </c>
      <c r="T22" s="550">
        <f t="shared" si="16"/>
        <v>5.1065680730752572E-2</v>
      </c>
      <c r="U22" s="550">
        <f t="shared" si="16"/>
        <v>0.10950173812282737</v>
      </c>
      <c r="V22" s="542">
        <f>'Airbus Defence &amp; Space'!V3</f>
        <v>6.5100000000000158E-2</v>
      </c>
      <c r="W22" s="542">
        <f>'Airbus Defence &amp; Space'!W3</f>
        <v>6.5138954088818091E-2</v>
      </c>
      <c r="X22" s="542">
        <f>'Airbus Defence &amp; Space'!X3</f>
        <v>6.5177751118464355E-2</v>
      </c>
      <c r="Y22" s="542">
        <f>'Airbus Defence &amp; Space'!Y3</f>
        <v>7.987195993311369E-2</v>
      </c>
      <c r="Z22" s="542">
        <f>'Airbus Defence &amp; Space'!Z3</f>
        <v>8.0108317405838125E-2</v>
      </c>
      <c r="AA22" s="542">
        <f>'Airbus Defence &amp; Space'!AA3</f>
        <v>8.0340245728264259E-2</v>
      </c>
      <c r="AE22" s="859"/>
    </row>
    <row r="23" spans="1:40">
      <c r="A23" s="1" t="s">
        <v>226</v>
      </c>
      <c r="B23" s="550"/>
      <c r="C23" s="550" t="e">
        <f t="shared" ref="C23:H24" si="17">C13/B13-1</f>
        <v>#REF!</v>
      </c>
      <c r="D23" s="550" t="e">
        <f t="shared" si="17"/>
        <v>#REF!</v>
      </c>
      <c r="E23" s="550" t="e">
        <f t="shared" si="17"/>
        <v>#REF!</v>
      </c>
      <c r="F23" s="550" t="e">
        <f t="shared" si="17"/>
        <v>#REF!</v>
      </c>
      <c r="G23" s="550" t="e">
        <f t="shared" si="17"/>
        <v>#REF!</v>
      </c>
      <c r="H23" s="550" t="e">
        <f t="shared" si="17"/>
        <v>#REF!</v>
      </c>
      <c r="I23" s="550">
        <f t="shared" ref="I23:AA23" si="18">I13/H13-1</f>
        <v>1.2019543973941369</v>
      </c>
      <c r="J23" s="550">
        <f t="shared" si="18"/>
        <v>-0.17455621301775148</v>
      </c>
      <c r="K23" s="550">
        <f t="shared" si="18"/>
        <v>0.13799283154121866</v>
      </c>
      <c r="L23" s="550">
        <f t="shared" si="18"/>
        <v>-8.5039370078740184E-2</v>
      </c>
      <c r="M23" s="550">
        <f t="shared" si="18"/>
        <v>0.24354561101549055</v>
      </c>
      <c r="N23" s="550">
        <f t="shared" si="18"/>
        <v>-0.12802768166089962</v>
      </c>
      <c r="O23" s="550">
        <f t="shared" si="18"/>
        <v>-3.8888888888888862E-2</v>
      </c>
      <c r="P23" s="550">
        <f t="shared" si="18"/>
        <v>-0.1453344343517754</v>
      </c>
      <c r="Q23" s="550">
        <f t="shared" si="18"/>
        <v>-0.31400966183574874</v>
      </c>
      <c r="R23" s="550">
        <f t="shared" si="18"/>
        <v>0.36901408450704221</v>
      </c>
      <c r="S23" s="550">
        <f t="shared" si="18"/>
        <v>0.18209876543209869</v>
      </c>
      <c r="T23" s="550">
        <f t="shared" si="18"/>
        <v>0.25239338555265456</v>
      </c>
      <c r="U23" s="550">
        <f t="shared" si="18"/>
        <v>0</v>
      </c>
      <c r="V23" s="550">
        <f>-(V13/U13-1)</f>
        <v>-9.219499506260842E-2</v>
      </c>
      <c r="W23" s="550">
        <f t="shared" ref="W23:AA23" si="19">-(W13/V13-1)</f>
        <v>-0.13763959621802102</v>
      </c>
      <c r="X23" s="550">
        <f t="shared" si="19"/>
        <v>-0.12371205686125752</v>
      </c>
      <c r="Y23" s="550">
        <f t="shared" si="19"/>
        <v>-8.4035559770053947E-2</v>
      </c>
      <c r="Z23" s="550">
        <f t="shared" si="19"/>
        <v>-5.0729575964984841E-2</v>
      </c>
      <c r="AA23" s="550">
        <f t="shared" si="19"/>
        <v>-3.8940547192262809E-2</v>
      </c>
      <c r="AE23" s="859"/>
    </row>
    <row r="24" spans="1:40" s="12" customFormat="1">
      <c r="A24" s="638" t="s">
        <v>225</v>
      </c>
      <c r="B24" s="639"/>
      <c r="C24" s="639" t="e">
        <f t="shared" si="17"/>
        <v>#REF!</v>
      </c>
      <c r="D24" s="639" t="e">
        <f t="shared" si="17"/>
        <v>#REF!</v>
      </c>
      <c r="E24" s="639" t="e">
        <f t="shared" si="17"/>
        <v>#REF!</v>
      </c>
      <c r="F24" s="639" t="e">
        <f t="shared" si="17"/>
        <v>#REF!</v>
      </c>
      <c r="G24" s="639" t="e">
        <f t="shared" si="17"/>
        <v>#REF!</v>
      </c>
      <c r="H24" s="639" t="e">
        <f t="shared" si="17"/>
        <v>#REF!</v>
      </c>
      <c r="I24" s="639">
        <f t="shared" ref="I24:AA24" si="20">I14/H14-1</f>
        <v>0.11218130311614738</v>
      </c>
      <c r="J24" s="639">
        <f t="shared" si="20"/>
        <v>-3.3478731533367334E-2</v>
      </c>
      <c r="K24" s="639">
        <f t="shared" si="20"/>
        <v>6.1551891687118054E-2</v>
      </c>
      <c r="L24" s="639">
        <f t="shared" si="20"/>
        <v>3.3064391000775739E-2</v>
      </c>
      <c r="M24" s="639">
        <f t="shared" si="20"/>
        <v>2.7935897628452722E-3</v>
      </c>
      <c r="N24" s="639">
        <f t="shared" si="20"/>
        <v>-4.5831024308415791E-2</v>
      </c>
      <c r="O24" s="639">
        <f t="shared" si="20"/>
        <v>0.10628345393755789</v>
      </c>
      <c r="P24" s="639">
        <f t="shared" si="20"/>
        <v>-0.29180737251340849</v>
      </c>
      <c r="Q24" s="639">
        <f t="shared" si="20"/>
        <v>4.4818881230966445E-2</v>
      </c>
      <c r="R24" s="639">
        <f t="shared" si="20"/>
        <v>0.12682889413028064</v>
      </c>
      <c r="S24" s="639">
        <f t="shared" si="20"/>
        <v>0.11372802613889688</v>
      </c>
      <c r="T24" s="639">
        <f t="shared" si="20"/>
        <v>5.7818659658344318E-2</v>
      </c>
      <c r="U24" s="639">
        <f t="shared" si="20"/>
        <v>6.1895132168135136E-2</v>
      </c>
      <c r="V24" s="639">
        <f t="shared" si="20"/>
        <v>9.219499506260842E-2</v>
      </c>
      <c r="W24" s="639">
        <f t="shared" si="20"/>
        <v>0.13763959621802102</v>
      </c>
      <c r="X24" s="639">
        <f t="shared" si="20"/>
        <v>0.12371205686125752</v>
      </c>
      <c r="Y24" s="639">
        <f t="shared" si="20"/>
        <v>8.4035559770053947E-2</v>
      </c>
      <c r="Z24" s="639">
        <f t="shared" si="20"/>
        <v>5.0729575964984619E-2</v>
      </c>
      <c r="AA24" s="639">
        <f t="shared" si="20"/>
        <v>3.8940547192262809E-2</v>
      </c>
    </row>
    <row r="25" spans="1:40">
      <c r="B25" s="558"/>
      <c r="C25" s="558"/>
      <c r="D25" s="558"/>
      <c r="E25" s="558"/>
      <c r="F25" s="558"/>
      <c r="G25" s="558"/>
      <c r="H25" s="558"/>
      <c r="I25" s="558"/>
      <c r="J25" s="558"/>
      <c r="K25" s="558"/>
      <c r="L25" s="558"/>
      <c r="M25" s="558"/>
      <c r="N25" s="558"/>
      <c r="O25" s="558"/>
      <c r="P25" s="558"/>
      <c r="Q25" s="558"/>
      <c r="R25" s="558"/>
      <c r="S25" s="558"/>
      <c r="T25" s="550"/>
      <c r="U25" s="550"/>
      <c r="V25" s="550"/>
      <c r="W25" s="550"/>
      <c r="X25" s="550"/>
      <c r="Y25" s="550"/>
      <c r="Z25" s="550"/>
      <c r="AA25" s="550"/>
    </row>
    <row r="26" spans="1:40">
      <c r="A26" s="12" t="s">
        <v>436</v>
      </c>
      <c r="K26" s="544"/>
      <c r="S26" s="271"/>
      <c r="T26" s="271"/>
      <c r="U26" s="271"/>
      <c r="V26" s="271"/>
      <c r="W26" s="271"/>
      <c r="X26" s="271"/>
      <c r="Y26" s="271"/>
      <c r="Z26" s="271"/>
      <c r="AA26" s="271"/>
    </row>
    <row r="27" spans="1:40">
      <c r="A27" s="41" t="s">
        <v>201</v>
      </c>
      <c r="D27" s="545">
        <v>2100</v>
      </c>
      <c r="E27" s="545">
        <v>1070</v>
      </c>
      <c r="F27" s="545">
        <v>295</v>
      </c>
      <c r="G27" s="544">
        <f>'Airbus Commercial'!G7</f>
        <v>485</v>
      </c>
      <c r="H27" s="544">
        <f>'Airbus Commercial'!H7</f>
        <v>1669</v>
      </c>
      <c r="I27" s="544">
        <f>'Airbus Commercial'!I7</f>
        <v>2216</v>
      </c>
      <c r="J27" s="544">
        <f>'Airbus Commercial'!J7</f>
        <v>2529</v>
      </c>
      <c r="K27" s="544">
        <f>'Airbus Commercial'!K7</f>
        <v>2766</v>
      </c>
      <c r="L27" s="544">
        <f>'Airbus Commercial'!L7</f>
        <v>2811</v>
      </c>
      <c r="M27" s="544">
        <f>'Airbus Commercial'!M7</f>
        <v>3554</v>
      </c>
      <c r="N27" s="544">
        <f>'Airbus Commercial'!N7</f>
        <v>4808</v>
      </c>
      <c r="O27" s="544">
        <f>'Airbus Commercial'!O7</f>
        <v>6358</v>
      </c>
      <c r="P27" s="544">
        <f>'Airbus Commercial'!P7</f>
        <v>618</v>
      </c>
      <c r="Q27" s="544">
        <f>'Airbus Commercial'!Q7</f>
        <v>3570</v>
      </c>
      <c r="R27" s="544">
        <f>'Airbus Commercial'!R7</f>
        <v>4600</v>
      </c>
      <c r="S27" s="544">
        <f>'Airbus Commercial'!S7</f>
        <v>4818</v>
      </c>
      <c r="T27" s="544">
        <f>'Airbus Commercial'!T7</f>
        <v>5093</v>
      </c>
      <c r="U27" s="544">
        <f>'Airbus Commercial'!U7</f>
        <v>5470</v>
      </c>
      <c r="V27" s="544">
        <f t="shared" ref="V27:Z27" si="21">V7*V35</f>
        <v>5757.7435507349028</v>
      </c>
      <c r="W27" s="544">
        <f t="shared" si="21"/>
        <v>7168.2228363870645</v>
      </c>
      <c r="X27" s="544">
        <f t="shared" si="21"/>
        <v>9291.9897591018344</v>
      </c>
      <c r="Y27" s="544">
        <f t="shared" si="21"/>
        <v>10716.436544962027</v>
      </c>
      <c r="Z27" s="544">
        <f t="shared" si="21"/>
        <v>11317.254931022628</v>
      </c>
      <c r="AA27" s="544">
        <f t="shared" ref="AA27" si="22">AA7*AA35</f>
        <v>11676.605790540303</v>
      </c>
      <c r="AE27" s="3"/>
      <c r="AF27" s="3"/>
      <c r="AG27" s="3"/>
      <c r="AH27" s="3"/>
      <c r="AI27" s="3"/>
      <c r="AJ27" s="3"/>
    </row>
    <row r="28" spans="1:40">
      <c r="A28" s="1" t="s">
        <v>385</v>
      </c>
      <c r="D28" s="545">
        <v>293</v>
      </c>
      <c r="E28" s="545">
        <v>263</v>
      </c>
      <c r="F28" s="545">
        <v>303</v>
      </c>
      <c r="G28" s="271">
        <f>'Airbus Helicopters'!G4</f>
        <v>259</v>
      </c>
      <c r="H28" s="271">
        <f>'Airbus Helicopters'!H4</f>
        <v>309</v>
      </c>
      <c r="I28" s="544">
        <f>'Airbus Helicopters'!I4</f>
        <v>397</v>
      </c>
      <c r="J28" s="544">
        <f>'Airbus Helicopters'!J4</f>
        <v>413</v>
      </c>
      <c r="K28" s="544">
        <f>'Airbus Helicopters'!K4</f>
        <v>427</v>
      </c>
      <c r="L28" s="544">
        <f>'Airbus Helicopters'!L4</f>
        <v>350</v>
      </c>
      <c r="M28" s="544">
        <f>'Airbus Helicopters'!M4</f>
        <v>337</v>
      </c>
      <c r="N28" s="544">
        <f>'Airbus Helicopters'!N4</f>
        <v>380</v>
      </c>
      <c r="O28" s="544">
        <f>'Airbus Helicopters'!O4</f>
        <v>422</v>
      </c>
      <c r="P28" s="544">
        <f>'Airbus Helicopters'!P4</f>
        <v>471</v>
      </c>
      <c r="Q28" s="544">
        <f>'Airbus Helicopters'!Q4</f>
        <v>535</v>
      </c>
      <c r="R28" s="544">
        <f>'Airbus Helicopters'!R4</f>
        <v>639</v>
      </c>
      <c r="S28" s="544">
        <f>'Airbus Helicopters'!S4</f>
        <v>735</v>
      </c>
      <c r="T28" s="544">
        <f>'Airbus Helicopters'!T4</f>
        <v>818</v>
      </c>
      <c r="U28" s="544">
        <f>'Airbus Helicopters'!U4</f>
        <v>925</v>
      </c>
      <c r="V28" s="544">
        <f t="shared" ref="V28:Z28" si="23">V37*V9</f>
        <v>989.36564340584482</v>
      </c>
      <c r="W28" s="544">
        <f t="shared" si="23"/>
        <v>1055.2531396200588</v>
      </c>
      <c r="X28" s="544">
        <f t="shared" si="23"/>
        <v>1124.5583199477455</v>
      </c>
      <c r="Y28" s="544">
        <f t="shared" si="23"/>
        <v>1197.5088926983633</v>
      </c>
      <c r="Z28" s="544">
        <f t="shared" si="23"/>
        <v>1290.4172921133061</v>
      </c>
      <c r="AA28" s="544">
        <f t="shared" ref="AA28" si="24">AA37*AA9</f>
        <v>1341.8892613130272</v>
      </c>
      <c r="AD28" s="3"/>
      <c r="AE28" s="3"/>
      <c r="AF28" s="3"/>
      <c r="AG28" s="3"/>
      <c r="AH28" s="3"/>
      <c r="AI28" s="3"/>
      <c r="AJ28" s="3"/>
    </row>
    <row r="29" spans="1:40">
      <c r="A29" s="1" t="s">
        <v>384</v>
      </c>
      <c r="H29" s="552">
        <f>'Airbus Defence &amp; Space'!H4</f>
        <v>720</v>
      </c>
      <c r="I29" s="552">
        <f>'Airbus Defence &amp; Space'!I4</f>
        <v>942</v>
      </c>
      <c r="J29" s="552">
        <f>'Airbus Defence &amp; Space'!J4</f>
        <v>920</v>
      </c>
      <c r="K29" s="552">
        <f>'Airbus Defence &amp; Space'!K4</f>
        <v>1051</v>
      </c>
      <c r="L29" s="552">
        <f>'Airbus Defence &amp; Space'!L4</f>
        <v>1002</v>
      </c>
      <c r="M29" s="552">
        <f>'Airbus Defence &amp; Space'!M4</f>
        <v>872</v>
      </c>
      <c r="N29" s="552">
        <f>'Airbus Defence &amp; Space'!N4</f>
        <v>935</v>
      </c>
      <c r="O29" s="544">
        <f>'Airbus Defence &amp; Space'!O4</f>
        <v>565</v>
      </c>
      <c r="P29" s="544">
        <f>'Airbus Defence &amp; Space'!P4</f>
        <v>660</v>
      </c>
      <c r="Q29" s="544">
        <f>'Airbus Defence &amp; Space'!Q4</f>
        <v>696</v>
      </c>
      <c r="R29" s="544">
        <f>'Airbus Defence &amp; Space'!R4</f>
        <v>384</v>
      </c>
      <c r="S29" s="544">
        <f>'Airbus Defence &amp; Space'!S4</f>
        <v>229</v>
      </c>
      <c r="T29" s="544">
        <f>'Airbus Defence &amp; Space'!T4</f>
        <v>-566</v>
      </c>
      <c r="U29" s="544">
        <f>'Airbus Defence &amp; Space'!U4</f>
        <v>798</v>
      </c>
      <c r="V29" s="544">
        <f t="shared" ref="V29:Z29" si="25">V12*V40</f>
        <v>930.51313600000015</v>
      </c>
      <c r="W29" s="544">
        <f t="shared" si="25"/>
        <v>1092.9177708925001</v>
      </c>
      <c r="X29" s="544">
        <f t="shared" si="25"/>
        <v>1212.3087072988501</v>
      </c>
      <c r="Y29" s="544">
        <f t="shared" si="25"/>
        <v>1375.709019882333</v>
      </c>
      <c r="Z29" s="544">
        <f t="shared" si="25"/>
        <v>1554.7785284635097</v>
      </c>
      <c r="AA29" s="544">
        <f t="shared" ref="AA29" si="26">AA12*AA40</f>
        <v>1769.2296345177924</v>
      </c>
      <c r="AD29" s="3"/>
      <c r="AE29" s="3"/>
      <c r="AF29" s="3"/>
      <c r="AG29" s="3"/>
      <c r="AH29" s="3"/>
      <c r="AI29" s="3"/>
      <c r="AJ29" s="3"/>
    </row>
    <row r="30" spans="1:40">
      <c r="A30" s="1" t="s">
        <v>226</v>
      </c>
      <c r="D30" s="544">
        <f t="shared" ref="D30:K30" si="27">D31-SUM(D29,D28,D27)</f>
        <v>937</v>
      </c>
      <c r="E30" s="544">
        <f t="shared" si="27"/>
        <v>815</v>
      </c>
      <c r="F30" s="544">
        <f t="shared" si="27"/>
        <v>743</v>
      </c>
      <c r="G30" s="544">
        <f t="shared" si="27"/>
        <v>1050</v>
      </c>
      <c r="H30" s="544">
        <f t="shared" si="27"/>
        <v>266</v>
      </c>
      <c r="I30" s="544">
        <f t="shared" si="27"/>
        <v>19</v>
      </c>
      <c r="J30" s="544">
        <f t="shared" si="27"/>
        <v>204</v>
      </c>
      <c r="K30" s="544">
        <f t="shared" si="27"/>
        <v>-136</v>
      </c>
      <c r="L30" s="546">
        <v>-208</v>
      </c>
      <c r="M30" s="546">
        <v>-510</v>
      </c>
      <c r="N30" s="546">
        <v>-289</v>
      </c>
      <c r="O30" s="546">
        <v>-399</v>
      </c>
      <c r="P30" s="546">
        <v>-43</v>
      </c>
      <c r="Q30" s="546">
        <v>64</v>
      </c>
      <c r="R30" s="546">
        <v>4</v>
      </c>
      <c r="S30" s="546">
        <v>56</v>
      </c>
      <c r="T30" s="546">
        <v>9</v>
      </c>
      <c r="U30" s="546">
        <v>-65</v>
      </c>
      <c r="V30" s="544">
        <f>U30</f>
        <v>-65</v>
      </c>
      <c r="W30" s="544">
        <f>V30+30</f>
        <v>-35</v>
      </c>
      <c r="X30" s="544">
        <f t="shared" ref="X30:AA30" si="28">W30</f>
        <v>-35</v>
      </c>
      <c r="Y30" s="544">
        <f t="shared" si="28"/>
        <v>-35</v>
      </c>
      <c r="Z30" s="544">
        <f t="shared" si="28"/>
        <v>-35</v>
      </c>
      <c r="AA30" s="544">
        <f t="shared" si="28"/>
        <v>-35</v>
      </c>
      <c r="AD30" s="3"/>
      <c r="AE30" s="3"/>
      <c r="AF30" s="3"/>
      <c r="AG30" s="3"/>
      <c r="AH30" s="3"/>
      <c r="AI30" s="3"/>
      <c r="AJ30" s="3"/>
    </row>
    <row r="31" spans="1:40" s="12" customFormat="1">
      <c r="A31" s="633" t="s">
        <v>225</v>
      </c>
      <c r="B31" s="640">
        <v>3556</v>
      </c>
      <c r="C31" s="640">
        <v>3614</v>
      </c>
      <c r="D31" s="640">
        <v>3330</v>
      </c>
      <c r="E31" s="640">
        <v>2148</v>
      </c>
      <c r="F31" s="640">
        <v>1341</v>
      </c>
      <c r="G31" s="640">
        <v>1794</v>
      </c>
      <c r="H31" s="635">
        <v>2964</v>
      </c>
      <c r="I31" s="635">
        <v>3574</v>
      </c>
      <c r="J31" s="635">
        <v>4066</v>
      </c>
      <c r="K31" s="635">
        <v>4108</v>
      </c>
      <c r="L31" s="636">
        <f t="shared" ref="L31:Z31" si="29">SUM(L27,L28,L29,L30)</f>
        <v>3955</v>
      </c>
      <c r="M31" s="636">
        <f t="shared" si="29"/>
        <v>4253</v>
      </c>
      <c r="N31" s="636">
        <f t="shared" si="29"/>
        <v>5834</v>
      </c>
      <c r="O31" s="636">
        <f t="shared" si="29"/>
        <v>6946</v>
      </c>
      <c r="P31" s="636">
        <f t="shared" si="29"/>
        <v>1706</v>
      </c>
      <c r="Q31" s="636">
        <f t="shared" si="29"/>
        <v>4865</v>
      </c>
      <c r="R31" s="637">
        <f t="shared" si="29"/>
        <v>5627</v>
      </c>
      <c r="S31" s="637">
        <f t="shared" si="29"/>
        <v>5838</v>
      </c>
      <c r="T31" s="637">
        <f t="shared" si="29"/>
        <v>5354</v>
      </c>
      <c r="U31" s="637">
        <f t="shared" ref="U31" si="30">SUM(U27,U28,U29,U30)</f>
        <v>7128</v>
      </c>
      <c r="V31" s="637">
        <f t="shared" si="29"/>
        <v>7612.6223301407481</v>
      </c>
      <c r="W31" s="637">
        <f t="shared" si="29"/>
        <v>9281.3937468996228</v>
      </c>
      <c r="X31" s="637">
        <f t="shared" si="29"/>
        <v>11593.856786348431</v>
      </c>
      <c r="Y31" s="637">
        <f t="shared" si="29"/>
        <v>13254.654457542723</v>
      </c>
      <c r="Z31" s="637">
        <f t="shared" si="29"/>
        <v>14127.450751599445</v>
      </c>
      <c r="AA31" s="637">
        <f t="shared" ref="AA31" si="31">SUM(AA27,AA28,AA29,AA30)</f>
        <v>14752.724686371123</v>
      </c>
      <c r="AB31" s="641"/>
      <c r="AC31" s="641"/>
      <c r="AD31" s="641"/>
      <c r="AE31" s="641"/>
      <c r="AF31" s="641"/>
      <c r="AG31" s="641"/>
      <c r="AH31" s="641"/>
      <c r="AI31" s="642"/>
      <c r="AJ31" s="642"/>
    </row>
    <row r="32" spans="1:40">
      <c r="C32" s="551"/>
      <c r="D32" s="551"/>
      <c r="E32" s="551"/>
      <c r="F32" s="551"/>
      <c r="G32" s="551"/>
      <c r="H32" s="551"/>
      <c r="I32" s="551"/>
      <c r="J32" s="551"/>
      <c r="K32" s="551"/>
      <c r="L32" s="551"/>
      <c r="M32" s="551"/>
      <c r="N32" s="551"/>
      <c r="O32" s="551"/>
      <c r="P32" s="551"/>
      <c r="Q32" s="551"/>
      <c r="R32" s="551"/>
      <c r="S32" s="551"/>
      <c r="T32" s="551"/>
      <c r="U32" s="551"/>
      <c r="V32" s="551"/>
      <c r="W32" s="551"/>
      <c r="X32" s="551"/>
      <c r="Y32" s="551"/>
      <c r="Z32" s="551"/>
      <c r="AA32" s="551"/>
      <c r="AE32" s="4"/>
      <c r="AF32" s="4"/>
      <c r="AG32" s="4"/>
      <c r="AH32" s="4"/>
    </row>
    <row r="33" spans="1:36">
      <c r="A33" s="12" t="s">
        <v>437</v>
      </c>
      <c r="E33" s="549"/>
      <c r="F33" s="549"/>
      <c r="G33" s="549"/>
      <c r="H33" s="549"/>
      <c r="I33" s="549"/>
      <c r="J33" s="549"/>
      <c r="K33" s="549"/>
      <c r="L33" s="549"/>
      <c r="M33" s="549"/>
      <c r="S33" s="271"/>
      <c r="T33" s="271"/>
      <c r="U33" s="271"/>
      <c r="V33" s="271"/>
      <c r="W33" s="271"/>
      <c r="X33" s="271"/>
      <c r="Y33" s="271"/>
      <c r="Z33" s="271"/>
      <c r="AA33" s="271"/>
      <c r="AE33" s="3"/>
      <c r="AF33" s="3"/>
      <c r="AG33" s="3"/>
      <c r="AH33" s="3"/>
    </row>
    <row r="34" spans="1:36" hidden="1">
      <c r="A34" s="1" t="s">
        <v>247</v>
      </c>
      <c r="F34" s="550" t="e">
        <f>#REF!/F6</f>
        <v>#REF!</v>
      </c>
      <c r="G34" s="550" t="e">
        <f>#REF!/G6</f>
        <v>#REF!</v>
      </c>
      <c r="H34" s="550" t="e">
        <f>#REF!/H6</f>
        <v>#REF!</v>
      </c>
      <c r="I34" s="550" t="e">
        <f>#REF!/I6</f>
        <v>#REF!</v>
      </c>
      <c r="J34" s="550"/>
      <c r="K34" s="550"/>
      <c r="L34" s="550"/>
      <c r="M34" s="550"/>
      <c r="N34" s="550"/>
      <c r="O34" s="550"/>
      <c r="P34" s="550"/>
      <c r="Q34" s="550"/>
      <c r="R34" s="550"/>
      <c r="S34" s="550"/>
      <c r="T34" s="550"/>
      <c r="U34" s="550"/>
      <c r="V34" s="550"/>
      <c r="W34" s="550"/>
      <c r="X34" s="550"/>
      <c r="Y34" s="550"/>
      <c r="Z34" s="550"/>
      <c r="AA34" s="550"/>
      <c r="AE34" s="3"/>
      <c r="AF34" s="3"/>
      <c r="AG34" s="3"/>
      <c r="AH34" s="3"/>
    </row>
    <row r="35" spans="1:36">
      <c r="A35" s="41" t="s">
        <v>201</v>
      </c>
      <c r="B35" s="550"/>
      <c r="C35" s="550"/>
      <c r="D35" s="550">
        <f t="shared" ref="D35:T35" si="32">D27/D7</f>
        <v>7.9173578645754791E-2</v>
      </c>
      <c r="E35" s="550">
        <f t="shared" si="32"/>
        <v>4.0576412590064469E-2</v>
      </c>
      <c r="F35" s="550">
        <f t="shared" si="32"/>
        <v>1.0660210313301775E-2</v>
      </c>
      <c r="G35" s="550">
        <f t="shared" si="32"/>
        <v>1.5565326229981706E-2</v>
      </c>
      <c r="H35" s="550">
        <f t="shared" si="32"/>
        <v>4.4359982989581118E-2</v>
      </c>
      <c r="I35" s="550">
        <f t="shared" si="32"/>
        <v>5.5554162801774928E-2</v>
      </c>
      <c r="J35" s="550">
        <f t="shared" si="32"/>
        <v>5.9815515610217598E-2</v>
      </c>
      <c r="K35" s="550">
        <f t="shared" si="32"/>
        <v>6.0321891219958998E-2</v>
      </c>
      <c r="L35" s="550">
        <f t="shared" si="32"/>
        <v>5.7091211893494732E-2</v>
      </c>
      <c r="M35" s="550">
        <f t="shared" si="32"/>
        <v>6.9743710506691786E-2</v>
      </c>
      <c r="N35" s="550">
        <f t="shared" si="32"/>
        <v>0.10022930998540755</v>
      </c>
      <c r="O35" s="550">
        <f t="shared" si="32"/>
        <v>0.11607485166590598</v>
      </c>
      <c r="P35" s="550">
        <f t="shared" si="32"/>
        <v>1.8043795620437956E-2</v>
      </c>
      <c r="Q35" s="550">
        <f t="shared" si="32"/>
        <v>9.871695608892822E-2</v>
      </c>
      <c r="R35" s="550">
        <f t="shared" si="32"/>
        <v>0.11103601428985227</v>
      </c>
      <c r="S35" s="550">
        <f t="shared" si="32"/>
        <v>0.10087306073739087</v>
      </c>
      <c r="T35" s="550">
        <f t="shared" si="32"/>
        <v>0.10056075504482091</v>
      </c>
      <c r="U35" s="550">
        <f t="shared" ref="U35" si="33">U27/U7</f>
        <v>0.10403788728911882</v>
      </c>
      <c r="V35" s="542">
        <f>'Airbus Commercial'!V5</f>
        <v>9.936460006186619E-2</v>
      </c>
      <c r="W35" s="542">
        <f>'Airbus Commercial'!W5</f>
        <v>0.10574991818172484</v>
      </c>
      <c r="X35" s="542">
        <f>'Airbus Commercial'!X5</f>
        <v>0.1193798305554031</v>
      </c>
      <c r="Y35" s="542">
        <f>'Airbus Commercial'!Y5</f>
        <v>0.12629800210411785</v>
      </c>
      <c r="Z35" s="542">
        <f>'Airbus Commercial'!Z5</f>
        <v>0.12757385000526647</v>
      </c>
      <c r="AA35" s="542">
        <f>'Airbus Commercial'!AA5</f>
        <v>0.12784335044212672</v>
      </c>
    </row>
    <row r="36" spans="1:36" hidden="1">
      <c r="A36" s="8" t="s">
        <v>200</v>
      </c>
      <c r="B36" s="550"/>
      <c r="C36" s="550"/>
      <c r="D36" s="550" t="e">
        <f>#REF!/D8</f>
        <v>#REF!</v>
      </c>
      <c r="E36" s="550" t="e">
        <f>#REF!/E8</f>
        <v>#REF!</v>
      </c>
      <c r="F36" s="550" t="e">
        <f>#REF!/F8</f>
        <v>#REF!</v>
      </c>
      <c r="G36" s="550" t="e">
        <f>#REF!/G8</f>
        <v>#REF!</v>
      </c>
      <c r="H36" s="550" t="e">
        <f>#REF!/H8</f>
        <v>#REF!</v>
      </c>
      <c r="I36" s="550" t="e">
        <f>#REF!/I8</f>
        <v>#REF!</v>
      </c>
      <c r="J36" s="550" t="e">
        <f>#REF!/J8</f>
        <v>#REF!</v>
      </c>
      <c r="K36" s="550" t="e">
        <f>#REF!/K8</f>
        <v>#REF!</v>
      </c>
      <c r="L36" s="550" t="e">
        <f>#REF!/L8</f>
        <v>#REF!</v>
      </c>
      <c r="M36" s="550" t="e">
        <f>#REF!/M8</f>
        <v>#REF!</v>
      </c>
      <c r="N36" s="550" t="e">
        <f>#REF!/N8</f>
        <v>#REF!</v>
      </c>
      <c r="O36" s="550" t="e">
        <f>#REF!/O8</f>
        <v>#REF!</v>
      </c>
      <c r="P36" s="550" t="e">
        <f>#REF!/P8</f>
        <v>#REF!</v>
      </c>
      <c r="Q36" s="550" t="e">
        <f>#REF!/Q8</f>
        <v>#REF!</v>
      </c>
      <c r="R36" s="550" t="e">
        <f>#REF!/R8</f>
        <v>#REF!</v>
      </c>
      <c r="S36" s="550" t="e">
        <f>#REF!/S8</f>
        <v>#REF!</v>
      </c>
      <c r="T36" s="550" t="e">
        <f>#REF!/T8</f>
        <v>#REF!</v>
      </c>
      <c r="U36" s="550" t="e">
        <f>#REF!/U8</f>
        <v>#REF!</v>
      </c>
      <c r="V36" s="550" t="e">
        <f>#REF!/V8</f>
        <v>#REF!</v>
      </c>
      <c r="W36" s="550" t="e">
        <f>#REF!/W8</f>
        <v>#REF!</v>
      </c>
      <c r="X36" s="550" t="e">
        <f>#REF!/X8</f>
        <v>#REF!</v>
      </c>
      <c r="Y36" s="550" t="e">
        <f>#REF!/Y8</f>
        <v>#REF!</v>
      </c>
      <c r="Z36" s="550" t="e">
        <f>#REF!/Z8</f>
        <v>#REF!</v>
      </c>
      <c r="AA36" s="550" t="e">
        <f>#REF!/AA8</f>
        <v>#REF!</v>
      </c>
      <c r="AD36" s="6"/>
      <c r="AE36" s="6"/>
      <c r="AF36" s="6"/>
      <c r="AG36" s="6"/>
      <c r="AH36" s="6"/>
    </row>
    <row r="37" spans="1:36">
      <c r="A37" s="1" t="s">
        <v>385</v>
      </c>
      <c r="B37" s="550"/>
      <c r="C37" s="550"/>
      <c r="D37" s="550">
        <f t="shared" ref="D37:T37" si="34">D28/D9</f>
        <v>6.5314311190370039E-2</v>
      </c>
      <c r="E37" s="550">
        <f t="shared" si="34"/>
        <v>5.7549234135667399E-2</v>
      </c>
      <c r="F37" s="550">
        <f t="shared" si="34"/>
        <v>6.273291925465839E-2</v>
      </c>
      <c r="G37" s="550">
        <f t="shared" si="34"/>
        <v>4.7830101569713755E-2</v>
      </c>
      <c r="H37" s="550">
        <f t="shared" si="34"/>
        <v>4.9329501915708812E-2</v>
      </c>
      <c r="I37" s="550">
        <f t="shared" si="34"/>
        <v>6.3045894870573285E-2</v>
      </c>
      <c r="J37" s="550">
        <f t="shared" si="34"/>
        <v>6.3304721030042921E-2</v>
      </c>
      <c r="K37" s="550">
        <f t="shared" si="34"/>
        <v>6.292366637194223E-2</v>
      </c>
      <c r="L37" s="550">
        <f t="shared" si="34"/>
        <v>5.2615754660252555E-2</v>
      </c>
      <c r="M37" s="550">
        <f t="shared" si="34"/>
        <v>5.2248062015503874E-2</v>
      </c>
      <c r="N37" s="550">
        <f t="shared" si="34"/>
        <v>6.4037748567576672E-2</v>
      </c>
      <c r="O37" s="550">
        <f t="shared" si="34"/>
        <v>7.0251373397702682E-2</v>
      </c>
      <c r="P37" s="550">
        <f t="shared" si="34"/>
        <v>7.5347944328907374E-2</v>
      </c>
      <c r="Q37" s="550">
        <f t="shared" si="34"/>
        <v>8.219388538946075E-2</v>
      </c>
      <c r="R37" s="550">
        <f t="shared" si="34"/>
        <v>9.0664018161180471E-2</v>
      </c>
      <c r="S37" s="550">
        <f t="shared" si="34"/>
        <v>0.10017718413520513</v>
      </c>
      <c r="T37" s="550">
        <f t="shared" si="34"/>
        <v>0.10300969651177433</v>
      </c>
      <c r="U37" s="550">
        <f t="shared" ref="U37" si="35">U28/U9</f>
        <v>0.10309852875613018</v>
      </c>
      <c r="V37" s="542">
        <f>'Airbus Helicopters'!V5</f>
        <v>0.10261962148408765</v>
      </c>
      <c r="W37" s="542">
        <f>'Airbus Helicopters'!W5</f>
        <v>0.10407039814737711</v>
      </c>
      <c r="X37" s="542">
        <f>'Airbus Helicopters'!X5</f>
        <v>0.10589732745551136</v>
      </c>
      <c r="Y37" s="542">
        <f>'Airbus Helicopters'!Y5</f>
        <v>0.10783289846928283</v>
      </c>
      <c r="Z37" s="542">
        <f>'Airbus Helicopters'!Z5</f>
        <v>0.11126104415222952</v>
      </c>
      <c r="AA37" s="542">
        <f>'Airbus Helicopters'!AA5</f>
        <v>0.11091695442598047</v>
      </c>
      <c r="AD37" s="6"/>
      <c r="AE37" s="6"/>
      <c r="AF37" s="6"/>
      <c r="AG37" s="6"/>
      <c r="AH37" s="6"/>
    </row>
    <row r="38" spans="1:36" hidden="1">
      <c r="A38" s="1" t="s">
        <v>223</v>
      </c>
      <c r="B38" s="550"/>
      <c r="C38" s="550"/>
      <c r="D38" s="550" t="e">
        <f>#REF!/D10</f>
        <v>#REF!</v>
      </c>
      <c r="E38" s="550" t="e">
        <f>#REF!/E10</f>
        <v>#REF!</v>
      </c>
      <c r="F38" s="550" t="e">
        <f>#REF!/F10</f>
        <v>#REF!</v>
      </c>
      <c r="G38" s="550" t="e">
        <f>#REF!/G10</f>
        <v>#REF!</v>
      </c>
      <c r="H38" s="550" t="e">
        <f>#REF!/H10</f>
        <v>#REF!</v>
      </c>
      <c r="I38" s="550" t="e">
        <f>#REF!/I10</f>
        <v>#REF!</v>
      </c>
      <c r="J38" s="550" t="e">
        <f>#REF!/J10</f>
        <v>#REF!</v>
      </c>
      <c r="K38" s="550" t="e">
        <f>#REF!/K10</f>
        <v>#REF!</v>
      </c>
      <c r="L38" s="550" t="e">
        <f>#REF!/L10</f>
        <v>#REF!</v>
      </c>
      <c r="M38" s="550" t="e">
        <f>#REF!/M10</f>
        <v>#REF!</v>
      </c>
      <c r="N38" s="550" t="e">
        <f>#REF!/N10</f>
        <v>#REF!</v>
      </c>
      <c r="O38" s="550" t="e">
        <f>#REF!/O10</f>
        <v>#REF!</v>
      </c>
      <c r="P38" s="550" t="e">
        <f>#REF!/P10</f>
        <v>#REF!</v>
      </c>
      <c r="Q38" s="550" t="e">
        <f>#REF!/Q10</f>
        <v>#REF!</v>
      </c>
      <c r="R38" s="550" t="e">
        <f>#REF!/R10</f>
        <v>#REF!</v>
      </c>
      <c r="S38" s="550" t="e">
        <f>#REF!/S10</f>
        <v>#REF!</v>
      </c>
      <c r="T38" s="73" t="e">
        <f>#REF!/T10</f>
        <v>#REF!</v>
      </c>
      <c r="U38" s="73" t="e">
        <f>#REF!/U10</f>
        <v>#REF!</v>
      </c>
      <c r="V38" s="550" t="e">
        <f>#REF!/V10</f>
        <v>#REF!</v>
      </c>
      <c r="W38" s="550" t="e">
        <f>#REF!/W10</f>
        <v>#REF!</v>
      </c>
      <c r="X38" s="550" t="e">
        <f>#REF!/X10</f>
        <v>#REF!</v>
      </c>
      <c r="Y38" s="550" t="e">
        <f>#REF!/Y10</f>
        <v>#REF!</v>
      </c>
      <c r="Z38" s="550" t="e">
        <f>#REF!/Z10</f>
        <v>#REF!</v>
      </c>
      <c r="AA38" s="550" t="e">
        <f>#REF!/AA10</f>
        <v>#REF!</v>
      </c>
    </row>
    <row r="39" spans="1:36" hidden="1">
      <c r="A39" s="1" t="s">
        <v>224</v>
      </c>
      <c r="B39" s="550"/>
      <c r="C39" s="550"/>
      <c r="D39" s="550" t="e">
        <f>#REF!/D11</f>
        <v>#REF!</v>
      </c>
      <c r="E39" s="550" t="e">
        <f>#REF!/E11</f>
        <v>#REF!</v>
      </c>
      <c r="F39" s="550" t="e">
        <f>#REF!/F11</f>
        <v>#REF!</v>
      </c>
      <c r="G39" s="550" t="e">
        <f>#REF!/G11</f>
        <v>#REF!</v>
      </c>
      <c r="H39" s="550" t="e">
        <f>#REF!/H11</f>
        <v>#REF!</v>
      </c>
      <c r="I39" s="550" t="e">
        <f>#REF!/I11</f>
        <v>#REF!</v>
      </c>
      <c r="J39" s="550" t="e">
        <f>#REF!/J11</f>
        <v>#REF!</v>
      </c>
      <c r="K39" s="550" t="e">
        <f>#REF!/K11</f>
        <v>#REF!</v>
      </c>
      <c r="L39" s="550" t="e">
        <f>#REF!/L11</f>
        <v>#REF!</v>
      </c>
      <c r="M39" s="550" t="e">
        <f>#REF!/M11</f>
        <v>#REF!</v>
      </c>
      <c r="N39" s="550" t="e">
        <f>#REF!/N11</f>
        <v>#REF!</v>
      </c>
      <c r="O39" s="550" t="e">
        <f>#REF!/O11</f>
        <v>#REF!</v>
      </c>
      <c r="P39" s="550" t="e">
        <f>#REF!/P11</f>
        <v>#REF!</v>
      </c>
      <c r="Q39" s="550" t="e">
        <f>#REF!/Q11</f>
        <v>#REF!</v>
      </c>
      <c r="R39" s="550" t="e">
        <f>#REF!/R11</f>
        <v>#REF!</v>
      </c>
      <c r="S39" s="550" t="e">
        <f>#REF!/S11</f>
        <v>#REF!</v>
      </c>
      <c r="T39" s="73" t="e">
        <f>#REF!/T11</f>
        <v>#REF!</v>
      </c>
      <c r="U39" s="73" t="e">
        <f>#REF!/U11</f>
        <v>#REF!</v>
      </c>
      <c r="V39" s="550" t="e">
        <f>#REF!/V11</f>
        <v>#REF!</v>
      </c>
      <c r="W39" s="550" t="e">
        <f>#REF!/W11</f>
        <v>#REF!</v>
      </c>
      <c r="X39" s="550" t="e">
        <f>#REF!/X11</f>
        <v>#REF!</v>
      </c>
      <c r="Y39" s="550" t="e">
        <f>#REF!/Y11</f>
        <v>#REF!</v>
      </c>
      <c r="Z39" s="550" t="e">
        <f>#REF!/Z11</f>
        <v>#REF!</v>
      </c>
      <c r="AA39" s="550" t="e">
        <f>#REF!/AA11</f>
        <v>#REF!</v>
      </c>
    </row>
    <row r="40" spans="1:36">
      <c r="A40" s="1" t="s">
        <v>384</v>
      </c>
      <c r="B40" s="550"/>
      <c r="C40" s="550"/>
      <c r="D40" s="550"/>
      <c r="E40" s="550"/>
      <c r="F40" s="550"/>
      <c r="G40" s="550"/>
      <c r="H40" s="550">
        <f t="shared" ref="H40:T40" si="36">H29/H12</f>
        <v>5.3254437869822487E-2</v>
      </c>
      <c r="I40" s="550">
        <f t="shared" si="36"/>
        <v>5.2385719052385718E-2</v>
      </c>
      <c r="J40" s="550">
        <f t="shared" si="36"/>
        <v>7.0633397312859891E-2</v>
      </c>
      <c r="K40" s="550">
        <f t="shared" si="36"/>
        <v>8.0351681957186546E-2</v>
      </c>
      <c r="L40" s="550">
        <f t="shared" si="36"/>
        <v>8.452842922220348E-2</v>
      </c>
      <c r="M40" s="550">
        <f t="shared" si="36"/>
        <v>8.0710847834135499E-2</v>
      </c>
      <c r="N40" s="550">
        <f t="shared" si="36"/>
        <v>8.4515954081171477E-2</v>
      </c>
      <c r="O40" s="550">
        <f t="shared" si="36"/>
        <v>5.1801595305766938E-2</v>
      </c>
      <c r="P40" s="550">
        <f t="shared" si="36"/>
        <v>6.3182079264790345E-2</v>
      </c>
      <c r="Q40" s="550">
        <f t="shared" si="36"/>
        <v>6.8329079128215203E-2</v>
      </c>
      <c r="R40" s="550">
        <f t="shared" si="36"/>
        <v>3.4106048494537702E-2</v>
      </c>
      <c r="S40" s="550">
        <f t="shared" si="36"/>
        <v>1.9921705089169205E-2</v>
      </c>
      <c r="T40" s="73">
        <f t="shared" si="36"/>
        <v>-4.684654858467141E-2</v>
      </c>
      <c r="U40" s="73">
        <f t="shared" ref="U40" si="37">U29/U12</f>
        <v>5.9530026109660572E-2</v>
      </c>
      <c r="V40" s="542">
        <f>'Airbus Defence &amp; Space'!V6</f>
        <v>6.517263876226824E-2</v>
      </c>
      <c r="W40" s="542">
        <f>'Airbus Defence &amp; Space'!W6</f>
        <v>7.1866089965226296E-2</v>
      </c>
      <c r="X40" s="542">
        <f>'Airbus Defence &amp; Space'!X6</f>
        <v>7.4838946781201759E-2</v>
      </c>
      <c r="Y40" s="542">
        <f>'Airbus Defence &amp; Space'!Y6</f>
        <v>7.8644573746624605E-2</v>
      </c>
      <c r="Z40" s="542">
        <f>'Airbus Defence &amp; Space'!Z6</f>
        <v>8.22893064721473E-2</v>
      </c>
      <c r="AA40" s="542">
        <f>'Airbus Defence &amp; Space'!AA6</f>
        <v>8.6675931531043374E-2</v>
      </c>
    </row>
    <row r="41" spans="1:36">
      <c r="A41" s="1" t="s">
        <v>226</v>
      </c>
      <c r="B41" s="550"/>
      <c r="C41" s="550"/>
      <c r="D41" s="550" t="e">
        <f t="shared" ref="D41:G42" si="38">D30/D13</f>
        <v>#REF!</v>
      </c>
      <c r="E41" s="550" t="e">
        <f t="shared" si="38"/>
        <v>#REF!</v>
      </c>
      <c r="F41" s="550" t="e">
        <f t="shared" si="38"/>
        <v>#REF!</v>
      </c>
      <c r="G41" s="550" t="e">
        <f t="shared" si="38"/>
        <v>#REF!</v>
      </c>
      <c r="H41" s="550">
        <f t="shared" ref="H41:Z41" si="39">H30/H13</f>
        <v>-0.43322475570032576</v>
      </c>
      <c r="I41" s="550">
        <f t="shared" si="39"/>
        <v>-1.4053254437869823E-2</v>
      </c>
      <c r="J41" s="550">
        <f t="shared" si="39"/>
        <v>-0.18279569892473119</v>
      </c>
      <c r="K41" s="550">
        <f t="shared" si="39"/>
        <v>0.10708661417322834</v>
      </c>
      <c r="L41" s="550">
        <f t="shared" si="39"/>
        <v>0.17900172117039587</v>
      </c>
      <c r="M41" s="550">
        <f t="shared" si="39"/>
        <v>0.35294117647058826</v>
      </c>
      <c r="N41" s="550">
        <f t="shared" si="39"/>
        <v>0.22936507936507936</v>
      </c>
      <c r="O41" s="550">
        <f t="shared" si="39"/>
        <v>0.32947976878612717</v>
      </c>
      <c r="P41" s="550">
        <f t="shared" si="39"/>
        <v>4.1545893719806763E-2</v>
      </c>
      <c r="Q41" s="550">
        <f t="shared" si="39"/>
        <v>-9.014084507042254E-2</v>
      </c>
      <c r="R41" s="550">
        <f t="shared" si="39"/>
        <v>-4.11522633744856E-3</v>
      </c>
      <c r="S41" s="550">
        <f t="shared" si="39"/>
        <v>-4.8738033072236731E-2</v>
      </c>
      <c r="T41" s="73">
        <f t="shared" si="39"/>
        <v>-6.2543432939541352E-3</v>
      </c>
      <c r="U41" s="73">
        <f t="shared" ref="U41" si="40">U30/U13</f>
        <v>4.5170257123002086E-2</v>
      </c>
      <c r="V41" s="550">
        <f t="shared" si="39"/>
        <v>4.1357319276502241E-2</v>
      </c>
      <c r="W41" s="550">
        <f t="shared" si="39"/>
        <v>1.9575026957836892E-2</v>
      </c>
      <c r="X41" s="550">
        <f t="shared" si="39"/>
        <v>1.7419967008731475E-2</v>
      </c>
      <c r="Y41" s="550">
        <f t="shared" si="39"/>
        <v>1.60695531172673E-2</v>
      </c>
      <c r="Z41" s="550">
        <f t="shared" si="39"/>
        <v>1.5293709708807906E-2</v>
      </c>
      <c r="AA41" s="550">
        <f t="shared" ref="AA41" si="41">AA30/AA13</f>
        <v>1.4720485931691819E-2</v>
      </c>
    </row>
    <row r="42" spans="1:36" s="12" customFormat="1">
      <c r="A42" s="633" t="s">
        <v>225</v>
      </c>
      <c r="B42" s="643" t="e">
        <f>B31/B14</f>
        <v>#REF!</v>
      </c>
      <c r="C42" s="643" t="e">
        <f>C31/C14</f>
        <v>#REF!</v>
      </c>
      <c r="D42" s="643" t="e">
        <f t="shared" si="38"/>
        <v>#REF!</v>
      </c>
      <c r="E42" s="643" t="e">
        <f t="shared" si="38"/>
        <v>#REF!</v>
      </c>
      <c r="F42" s="643" t="e">
        <f t="shared" si="38"/>
        <v>#REF!</v>
      </c>
      <c r="G42" s="643" t="e">
        <f t="shared" si="38"/>
        <v>#REF!</v>
      </c>
      <c r="H42" s="643">
        <f t="shared" ref="H42:Z42" si="42">H31/H14</f>
        <v>5.2478753541076485E-2</v>
      </c>
      <c r="I42" s="643">
        <f t="shared" si="42"/>
        <v>5.6896332144676515E-2</v>
      </c>
      <c r="J42" s="643">
        <f t="shared" si="42"/>
        <v>6.6970829970517023E-2</v>
      </c>
      <c r="K42" s="643">
        <f t="shared" si="42"/>
        <v>6.3739332816136543E-2</v>
      </c>
      <c r="L42" s="643">
        <f t="shared" si="42"/>
        <v>5.9401330709962299E-2</v>
      </c>
      <c r="M42" s="643">
        <f t="shared" si="42"/>
        <v>6.3699132805128275E-2</v>
      </c>
      <c r="N42" s="643">
        <f t="shared" si="42"/>
        <v>9.1575494058737661E-2</v>
      </c>
      <c r="O42" s="643">
        <f t="shared" si="42"/>
        <v>9.8555577627060922E-2</v>
      </c>
      <c r="P42" s="643">
        <f t="shared" si="42"/>
        <v>3.4180157076454561E-2</v>
      </c>
      <c r="Q42" s="643">
        <f t="shared" si="42"/>
        <v>9.3290379489539582E-2</v>
      </c>
      <c r="R42" s="639">
        <f t="shared" si="42"/>
        <v>9.5757534503003588E-2</v>
      </c>
      <c r="S42" s="639">
        <f t="shared" si="42"/>
        <v>8.9203312654707698E-2</v>
      </c>
      <c r="T42" s="639">
        <f t="shared" si="42"/>
        <v>7.7336414849053875E-2</v>
      </c>
      <c r="U42" s="639">
        <f t="shared" ref="U42" si="43">U31/U14</f>
        <v>9.6959804121607832E-2</v>
      </c>
      <c r="V42" s="639">
        <f t="shared" si="42"/>
        <v>9.4810871998285931E-2</v>
      </c>
      <c r="W42" s="639">
        <f t="shared" si="42"/>
        <v>0.10160904138198226</v>
      </c>
      <c r="X42" s="639">
        <f t="shared" si="42"/>
        <v>0.1129515116709592</v>
      </c>
      <c r="Y42" s="639">
        <f t="shared" si="42"/>
        <v>0.11912118303534283</v>
      </c>
      <c r="Z42" s="639">
        <f t="shared" si="42"/>
        <v>0.12083519091602918</v>
      </c>
      <c r="AA42" s="639">
        <f t="shared" ref="AA42" si="44">AA31/AA14</f>
        <v>0.12145381815240128</v>
      </c>
      <c r="AB42" s="1"/>
      <c r="AC42" s="1"/>
      <c r="AD42" s="1"/>
      <c r="AE42" s="1"/>
      <c r="AF42" s="1"/>
      <c r="AG42" s="1"/>
      <c r="AH42" s="1"/>
    </row>
    <row r="43" spans="1:36">
      <c r="B43" s="550"/>
      <c r="C43" s="550"/>
      <c r="D43" s="550"/>
      <c r="E43" s="550"/>
      <c r="F43" s="550"/>
      <c r="G43" s="550"/>
      <c r="H43" s="550"/>
      <c r="I43" s="550"/>
      <c r="J43" s="550"/>
      <c r="K43" s="550"/>
      <c r="L43" s="550"/>
      <c r="M43" s="550"/>
      <c r="N43" s="550"/>
      <c r="O43" s="550"/>
      <c r="P43" s="550"/>
      <c r="Q43" s="550"/>
      <c r="R43" s="550"/>
      <c r="S43" s="550"/>
      <c r="T43" s="550"/>
      <c r="U43" s="550"/>
      <c r="V43" s="550"/>
      <c r="W43" s="550"/>
      <c r="X43" s="550"/>
      <c r="Y43" s="550"/>
      <c r="Z43" s="550"/>
      <c r="AA43" s="550"/>
    </row>
    <row r="44" spans="1:36">
      <c r="A44" s="12" t="s">
        <v>555</v>
      </c>
      <c r="B44" s="550"/>
      <c r="C44" s="550"/>
      <c r="D44" s="550"/>
      <c r="E44" s="550"/>
      <c r="F44" s="550"/>
      <c r="G44" s="550"/>
      <c r="H44" s="550"/>
      <c r="I44" s="550"/>
      <c r="J44" s="550"/>
      <c r="K44" s="550"/>
      <c r="L44" s="550"/>
      <c r="M44" s="550"/>
      <c r="N44" s="550"/>
      <c r="O44" s="550"/>
      <c r="P44" s="550"/>
      <c r="Q44" s="550"/>
      <c r="R44" s="554"/>
      <c r="S44" s="554"/>
      <c r="T44" s="550"/>
      <c r="U44" s="550"/>
      <c r="V44" s="550"/>
      <c r="W44" s="550"/>
      <c r="X44" s="550"/>
      <c r="Y44" s="550"/>
      <c r="Z44" s="550"/>
      <c r="AA44" s="550"/>
    </row>
    <row r="45" spans="1:36">
      <c r="A45" s="41" t="s">
        <v>201</v>
      </c>
      <c r="B45" s="550"/>
      <c r="C45" s="550" t="str">
        <f t="shared" ref="C45:AA45" si="45">IFERROR(C27/B27-1,"")</f>
        <v/>
      </c>
      <c r="D45" s="550" t="str">
        <f t="shared" si="45"/>
        <v/>
      </c>
      <c r="E45" s="550">
        <f t="shared" si="45"/>
        <v>-0.49047619047619051</v>
      </c>
      <c r="F45" s="550">
        <f t="shared" si="45"/>
        <v>-0.72429906542056077</v>
      </c>
      <c r="G45" s="550">
        <f t="shared" si="45"/>
        <v>0.64406779661016955</v>
      </c>
      <c r="H45" s="550">
        <f t="shared" si="45"/>
        <v>2.4412371134020621</v>
      </c>
      <c r="I45" s="550">
        <f t="shared" si="45"/>
        <v>0.32774116237267825</v>
      </c>
      <c r="J45" s="550">
        <f t="shared" si="45"/>
        <v>0.14124548736462095</v>
      </c>
      <c r="K45" s="550">
        <f t="shared" si="45"/>
        <v>9.3712930011862428E-2</v>
      </c>
      <c r="L45" s="550">
        <f t="shared" si="45"/>
        <v>1.626898047722336E-2</v>
      </c>
      <c r="M45" s="550">
        <f t="shared" si="45"/>
        <v>0.26431874777659203</v>
      </c>
      <c r="N45" s="550">
        <f t="shared" si="45"/>
        <v>0.35284186831738884</v>
      </c>
      <c r="O45" s="550">
        <f t="shared" si="45"/>
        <v>0.32237936772046583</v>
      </c>
      <c r="P45" s="550">
        <f t="shared" si="45"/>
        <v>-0.90279962252280588</v>
      </c>
      <c r="Q45" s="550">
        <f t="shared" si="45"/>
        <v>4.7766990291262132</v>
      </c>
      <c r="R45" s="550">
        <f t="shared" si="45"/>
        <v>0.28851540616246507</v>
      </c>
      <c r="S45" s="550">
        <f t="shared" si="45"/>
        <v>4.7391304347826013E-2</v>
      </c>
      <c r="T45" s="550">
        <f t="shared" si="45"/>
        <v>5.7077625570776336E-2</v>
      </c>
      <c r="U45" s="550">
        <f t="shared" si="45"/>
        <v>7.4023169055566385E-2</v>
      </c>
      <c r="V45" s="550">
        <f t="shared" si="45"/>
        <v>5.2603939805283773E-2</v>
      </c>
      <c r="W45" s="550">
        <f t="shared" si="45"/>
        <v>0.24497084200148711</v>
      </c>
      <c r="X45" s="550">
        <f t="shared" si="45"/>
        <v>0.29627523741786921</v>
      </c>
      <c r="Y45" s="550">
        <f t="shared" si="45"/>
        <v>0.15329835942456738</v>
      </c>
      <c r="Z45" s="550">
        <f t="shared" si="45"/>
        <v>5.6065127949929794E-2</v>
      </c>
      <c r="AA45" s="550">
        <f t="shared" si="45"/>
        <v>3.1752475464048358E-2</v>
      </c>
      <c r="AI45" s="6"/>
      <c r="AJ45" s="6"/>
    </row>
    <row r="46" spans="1:36">
      <c r="A46" s="1" t="s">
        <v>385</v>
      </c>
      <c r="B46" s="550"/>
      <c r="C46" s="550" t="str">
        <f t="shared" ref="C46:AA46" si="46">IFERROR(C28/B28-1,"")</f>
        <v/>
      </c>
      <c r="D46" s="550" t="str">
        <f t="shared" si="46"/>
        <v/>
      </c>
      <c r="E46" s="550">
        <f t="shared" si="46"/>
        <v>-0.10238907849829348</v>
      </c>
      <c r="F46" s="550">
        <f t="shared" si="46"/>
        <v>0.15209125475285168</v>
      </c>
      <c r="G46" s="550">
        <f t="shared" si="46"/>
        <v>-0.1452145214521452</v>
      </c>
      <c r="H46" s="550">
        <f t="shared" si="46"/>
        <v>0.19305019305019311</v>
      </c>
      <c r="I46" s="550">
        <f t="shared" si="46"/>
        <v>0.28478964401294493</v>
      </c>
      <c r="J46" s="550">
        <f t="shared" si="46"/>
        <v>4.0302267002518821E-2</v>
      </c>
      <c r="K46" s="550">
        <f t="shared" si="46"/>
        <v>3.3898305084745672E-2</v>
      </c>
      <c r="L46" s="550">
        <f t="shared" si="46"/>
        <v>-0.18032786885245899</v>
      </c>
      <c r="M46" s="550">
        <f t="shared" si="46"/>
        <v>-3.7142857142857144E-2</v>
      </c>
      <c r="N46" s="550">
        <f t="shared" si="46"/>
        <v>0.12759643916913954</v>
      </c>
      <c r="O46" s="550">
        <f t="shared" si="46"/>
        <v>0.11052631578947358</v>
      </c>
      <c r="P46" s="550">
        <f t="shared" si="46"/>
        <v>0.11611374407582931</v>
      </c>
      <c r="Q46" s="550">
        <f t="shared" si="46"/>
        <v>0.13588110403397025</v>
      </c>
      <c r="R46" s="550">
        <f t="shared" si="46"/>
        <v>0.19439252336448609</v>
      </c>
      <c r="S46" s="550">
        <f t="shared" si="46"/>
        <v>0.15023474178403751</v>
      </c>
      <c r="T46" s="550">
        <f t="shared" si="46"/>
        <v>0.11292517006802716</v>
      </c>
      <c r="U46" s="550">
        <f t="shared" si="46"/>
        <v>0.13080684596577008</v>
      </c>
      <c r="V46" s="550">
        <f t="shared" si="46"/>
        <v>6.9584479357670093E-2</v>
      </c>
      <c r="W46" s="550">
        <f t="shared" si="46"/>
        <v>6.6595698620986576E-2</v>
      </c>
      <c r="X46" s="550">
        <f t="shared" si="46"/>
        <v>6.567635548816253E-2</v>
      </c>
      <c r="Y46" s="550">
        <f t="shared" si="46"/>
        <v>6.487042197509818E-2</v>
      </c>
      <c r="Z46" s="550">
        <f t="shared" si="46"/>
        <v>7.7584726077140953E-2</v>
      </c>
      <c r="AA46" s="550">
        <f t="shared" si="46"/>
        <v>3.9887848306361384E-2</v>
      </c>
    </row>
    <row r="47" spans="1:36" hidden="1">
      <c r="A47" s="1" t="s">
        <v>223</v>
      </c>
      <c r="B47" s="550"/>
      <c r="C47" s="550" t="str">
        <f>IFERROR(#REF!/#REF!-1,"")</f>
        <v/>
      </c>
      <c r="D47" s="550" t="str">
        <f>IFERROR(#REF!/#REF!-1,"")</f>
        <v/>
      </c>
      <c r="E47" s="550" t="str">
        <f>IFERROR(#REF!/#REF!-1,"")</f>
        <v/>
      </c>
      <c r="F47" s="550" t="str">
        <f>IFERROR(#REF!/#REF!-1,"")</f>
        <v/>
      </c>
      <c r="G47" s="550" t="str">
        <f>IFERROR(#REF!/#REF!-1,"")</f>
        <v/>
      </c>
      <c r="H47" s="550" t="str">
        <f>IFERROR(#REF!/#REF!-1,"")</f>
        <v/>
      </c>
      <c r="I47" s="550" t="str">
        <f>IFERROR(#REF!/#REF!-1,"")</f>
        <v/>
      </c>
      <c r="J47" s="550" t="str">
        <f>IFERROR(#REF!/#REF!-1,"")</f>
        <v/>
      </c>
      <c r="K47" s="550" t="str">
        <f>IFERROR(#REF!/#REF!-1,"")</f>
        <v/>
      </c>
      <c r="L47" s="550" t="str">
        <f>IFERROR(#REF!/#REF!-1,"")</f>
        <v/>
      </c>
      <c r="M47" s="550" t="str">
        <f>IFERROR(#REF!/#REF!-1,"")</f>
        <v/>
      </c>
      <c r="N47" s="550" t="str">
        <f>IFERROR(#REF!/#REF!-1,"")</f>
        <v/>
      </c>
      <c r="O47" s="550" t="str">
        <f>IFERROR(#REF!/#REF!-1,"")</f>
        <v/>
      </c>
      <c r="P47" s="550" t="str">
        <f>IFERROR(#REF!/#REF!-1,"")</f>
        <v/>
      </c>
      <c r="Q47" s="550" t="str">
        <f>IFERROR(#REF!/#REF!-1,"")</f>
        <v/>
      </c>
      <c r="R47" s="550" t="str">
        <f>IFERROR(#REF!/#REF!-1,"")</f>
        <v/>
      </c>
      <c r="S47" s="550" t="str">
        <f>IFERROR(#REF!/#REF!-1,"")</f>
        <v/>
      </c>
      <c r="T47" s="550" t="str">
        <f>IFERROR(#REF!/#REF!-1,"")</f>
        <v/>
      </c>
      <c r="U47" s="550" t="str">
        <f>IFERROR(#REF!/#REF!-1,"")</f>
        <v/>
      </c>
      <c r="V47" s="550" t="str">
        <f>IFERROR(#REF!/#REF!-1,"")</f>
        <v/>
      </c>
      <c r="W47" s="550" t="str">
        <f>IFERROR(#REF!/#REF!-1,"")</f>
        <v/>
      </c>
      <c r="X47" s="550" t="str">
        <f>IFERROR(#REF!/#REF!-1,"")</f>
        <v/>
      </c>
      <c r="Y47" s="550" t="str">
        <f>IFERROR(#REF!/#REF!-1,"")</f>
        <v/>
      </c>
      <c r="Z47" s="550" t="str">
        <f>IFERROR(#REF!/#REF!-1,"")</f>
        <v/>
      </c>
      <c r="AA47" s="550" t="str">
        <f>IFERROR(#REF!/#REF!-1,"")</f>
        <v/>
      </c>
    </row>
    <row r="48" spans="1:36" hidden="1">
      <c r="A48" s="1" t="s">
        <v>224</v>
      </c>
      <c r="B48" s="550"/>
      <c r="C48" s="550" t="str">
        <f>IFERROR(#REF!/#REF!-1,"")</f>
        <v/>
      </c>
      <c r="D48" s="550" t="str">
        <f>IFERROR(#REF!/#REF!-1,"")</f>
        <v/>
      </c>
      <c r="E48" s="550" t="str">
        <f>IFERROR(#REF!/#REF!-1,"")</f>
        <v/>
      </c>
      <c r="F48" s="550" t="str">
        <f>IFERROR(#REF!/#REF!-1,"")</f>
        <v/>
      </c>
      <c r="G48" s="550" t="str">
        <f>IFERROR(#REF!/#REF!-1,"")</f>
        <v/>
      </c>
      <c r="H48" s="550" t="str">
        <f>IFERROR(#REF!/#REF!-1,"")</f>
        <v/>
      </c>
      <c r="I48" s="550" t="str">
        <f>IFERROR(#REF!/#REF!-1,"")</f>
        <v/>
      </c>
      <c r="J48" s="550" t="str">
        <f>IFERROR(#REF!/#REF!-1,"")</f>
        <v/>
      </c>
      <c r="K48" s="550" t="str">
        <f>IFERROR(#REF!/#REF!-1,"")</f>
        <v/>
      </c>
      <c r="L48" s="550" t="str">
        <f>IFERROR(#REF!/#REF!-1,"")</f>
        <v/>
      </c>
      <c r="M48" s="550" t="str">
        <f>IFERROR(#REF!/#REF!-1,"")</f>
        <v/>
      </c>
      <c r="N48" s="550" t="str">
        <f>IFERROR(#REF!/#REF!-1,"")</f>
        <v/>
      </c>
      <c r="O48" s="550" t="str">
        <f>IFERROR(#REF!/#REF!-1,"")</f>
        <v/>
      </c>
      <c r="P48" s="550" t="str">
        <f>IFERROR(#REF!/#REF!-1,"")</f>
        <v/>
      </c>
      <c r="Q48" s="550" t="str">
        <f>IFERROR(#REF!/#REF!-1,"")</f>
        <v/>
      </c>
      <c r="R48" s="550" t="str">
        <f>IFERROR(#REF!/#REF!-1,"")</f>
        <v/>
      </c>
      <c r="S48" s="550" t="str">
        <f>IFERROR(#REF!/#REF!-1,"")</f>
        <v/>
      </c>
      <c r="T48" s="550" t="str">
        <f>IFERROR(#REF!/#REF!-1,"")</f>
        <v/>
      </c>
      <c r="U48" s="550" t="str">
        <f>IFERROR(#REF!/#REF!-1,"")</f>
        <v/>
      </c>
      <c r="V48" s="550" t="str">
        <f>IFERROR(#REF!/#REF!-1,"")</f>
        <v/>
      </c>
      <c r="W48" s="550" t="str">
        <f>IFERROR(#REF!/#REF!-1,"")</f>
        <v/>
      </c>
      <c r="X48" s="550" t="str">
        <f>IFERROR(#REF!/#REF!-1,"")</f>
        <v/>
      </c>
      <c r="Y48" s="550" t="str">
        <f>IFERROR(#REF!/#REF!-1,"")</f>
        <v/>
      </c>
      <c r="Z48" s="550" t="str">
        <f>IFERROR(#REF!/#REF!-1,"")</f>
        <v/>
      </c>
      <c r="AA48" s="550" t="str">
        <f>IFERROR(#REF!/#REF!-1,"")</f>
        <v/>
      </c>
    </row>
    <row r="49" spans="1:27">
      <c r="A49" s="1" t="s">
        <v>384</v>
      </c>
      <c r="B49" s="550"/>
      <c r="C49" s="550"/>
      <c r="D49" s="550"/>
      <c r="E49" s="550"/>
      <c r="F49" s="550"/>
      <c r="G49" s="550"/>
      <c r="H49" s="550"/>
      <c r="I49" s="550">
        <f t="shared" ref="I49:AA49" si="47">I29/H29-1</f>
        <v>0.30833333333333335</v>
      </c>
      <c r="J49" s="550">
        <f t="shared" si="47"/>
        <v>-2.3354564755838636E-2</v>
      </c>
      <c r="K49" s="550">
        <f t="shared" si="47"/>
        <v>0.14239130434782599</v>
      </c>
      <c r="L49" s="550">
        <f t="shared" si="47"/>
        <v>-4.6622264509990519E-2</v>
      </c>
      <c r="M49" s="550">
        <f t="shared" si="47"/>
        <v>-0.12974051896207583</v>
      </c>
      <c r="N49" s="550">
        <f t="shared" si="47"/>
        <v>7.2247706422018387E-2</v>
      </c>
      <c r="O49" s="550">
        <f t="shared" si="47"/>
        <v>-0.39572192513368987</v>
      </c>
      <c r="P49" s="550">
        <f t="shared" si="47"/>
        <v>0.16814159292035402</v>
      </c>
      <c r="Q49" s="550">
        <f t="shared" si="47"/>
        <v>5.4545454545454453E-2</v>
      </c>
      <c r="R49" s="550">
        <f t="shared" si="47"/>
        <v>-0.44827586206896552</v>
      </c>
      <c r="S49" s="550">
        <f t="shared" si="47"/>
        <v>-0.40364583333333337</v>
      </c>
      <c r="T49" s="550">
        <f t="shared" si="47"/>
        <v>-3.4716157205240177</v>
      </c>
      <c r="U49" s="550">
        <f t="shared" si="47"/>
        <v>-2.4098939929328624</v>
      </c>
      <c r="V49" s="550">
        <f t="shared" si="47"/>
        <v>0.166056561403509</v>
      </c>
      <c r="W49" s="550">
        <f t="shared" si="47"/>
        <v>0.17453233985565131</v>
      </c>
      <c r="X49" s="550">
        <f t="shared" si="47"/>
        <v>0.10924054817852658</v>
      </c>
      <c r="Y49" s="550">
        <f t="shared" si="47"/>
        <v>0.13478440895434618</v>
      </c>
      <c r="Z49" s="550">
        <f t="shared" si="47"/>
        <v>0.1301652500588335</v>
      </c>
      <c r="AA49" s="550">
        <f t="shared" si="47"/>
        <v>0.1379303239196461</v>
      </c>
    </row>
    <row r="50" spans="1:27">
      <c r="A50" s="1" t="s">
        <v>226</v>
      </c>
      <c r="B50" s="550"/>
      <c r="C50" s="550" t="str">
        <f t="shared" ref="C50:AA50" si="48">IFERROR(C30/B30-1,"")</f>
        <v/>
      </c>
      <c r="D50" s="550" t="str">
        <f t="shared" si="48"/>
        <v/>
      </c>
      <c r="E50" s="550">
        <f t="shared" si="48"/>
        <v>-0.13020277481323372</v>
      </c>
      <c r="F50" s="550">
        <f t="shared" si="48"/>
        <v>-8.8343558282208634E-2</v>
      </c>
      <c r="G50" s="550">
        <f t="shared" si="48"/>
        <v>0.4131897711978465</v>
      </c>
      <c r="H50" s="550">
        <f t="shared" si="48"/>
        <v>-0.74666666666666659</v>
      </c>
      <c r="I50" s="550">
        <f t="shared" si="48"/>
        <v>-0.9285714285714286</v>
      </c>
      <c r="J50" s="550">
        <f t="shared" si="48"/>
        <v>9.7368421052631575</v>
      </c>
      <c r="K50" s="550">
        <f t="shared" si="48"/>
        <v>-1.6666666666666665</v>
      </c>
      <c r="L50" s="550">
        <f t="shared" si="48"/>
        <v>0.52941176470588225</v>
      </c>
      <c r="M50" s="550">
        <f t="shared" si="48"/>
        <v>1.4519230769230771</v>
      </c>
      <c r="N50" s="550">
        <f t="shared" si="48"/>
        <v>-0.43333333333333335</v>
      </c>
      <c r="O50" s="550">
        <f t="shared" si="48"/>
        <v>0.38062283737024227</v>
      </c>
      <c r="P50" s="550">
        <f t="shared" si="48"/>
        <v>-0.89223057644110271</v>
      </c>
      <c r="Q50" s="550">
        <f t="shared" si="48"/>
        <v>-2.4883720930232558</v>
      </c>
      <c r="R50" s="550">
        <f t="shared" si="48"/>
        <v>-0.9375</v>
      </c>
      <c r="S50" s="550">
        <f t="shared" si="48"/>
        <v>13</v>
      </c>
      <c r="T50" s="550">
        <f t="shared" si="48"/>
        <v>-0.8392857142857143</v>
      </c>
      <c r="U50" s="550">
        <f t="shared" si="48"/>
        <v>-8.2222222222222214</v>
      </c>
      <c r="V50" s="550">
        <f t="shared" si="48"/>
        <v>0</v>
      </c>
      <c r="W50" s="550">
        <f t="shared" si="48"/>
        <v>-0.46153846153846156</v>
      </c>
      <c r="X50" s="550">
        <f t="shared" si="48"/>
        <v>0</v>
      </c>
      <c r="Y50" s="550">
        <f t="shared" si="48"/>
        <v>0</v>
      </c>
      <c r="Z50" s="550">
        <f t="shared" si="48"/>
        <v>0</v>
      </c>
      <c r="AA50" s="550">
        <f t="shared" si="48"/>
        <v>0</v>
      </c>
    </row>
    <row r="51" spans="1:27" s="12" customFormat="1">
      <c r="A51" s="633" t="s">
        <v>225</v>
      </c>
      <c r="B51" s="643"/>
      <c r="C51" s="643">
        <f t="shared" ref="C51:AA51" si="49">IFERROR(C31/B31-1,"")</f>
        <v>1.6310461192351022E-2</v>
      </c>
      <c r="D51" s="643">
        <f t="shared" si="49"/>
        <v>-7.8583287216380748E-2</v>
      </c>
      <c r="E51" s="643">
        <f t="shared" si="49"/>
        <v>-0.35495495495495499</v>
      </c>
      <c r="F51" s="643">
        <f t="shared" si="49"/>
        <v>-0.37569832402234637</v>
      </c>
      <c r="G51" s="643">
        <f t="shared" si="49"/>
        <v>0.3378076062639821</v>
      </c>
      <c r="H51" s="643">
        <f t="shared" si="49"/>
        <v>0.65217391304347827</v>
      </c>
      <c r="I51" s="643">
        <f t="shared" si="49"/>
        <v>0.20580296896086381</v>
      </c>
      <c r="J51" s="643">
        <f t="shared" si="49"/>
        <v>0.13766088416340239</v>
      </c>
      <c r="K51" s="643">
        <f t="shared" si="49"/>
        <v>1.032956222331527E-2</v>
      </c>
      <c r="L51" s="643">
        <f t="shared" si="49"/>
        <v>-3.7244401168451846E-2</v>
      </c>
      <c r="M51" s="643">
        <f t="shared" si="49"/>
        <v>7.5347661188369219E-2</v>
      </c>
      <c r="N51" s="643">
        <f t="shared" si="49"/>
        <v>0.3717375969903598</v>
      </c>
      <c r="O51" s="643">
        <f t="shared" si="49"/>
        <v>0.19060678779568052</v>
      </c>
      <c r="P51" s="643">
        <f t="shared" si="49"/>
        <v>-0.75439101641232365</v>
      </c>
      <c r="Q51" s="644">
        <f t="shared" si="49"/>
        <v>1.8516998827667059</v>
      </c>
      <c r="R51" s="645">
        <f t="shared" si="49"/>
        <v>0.15662898252826318</v>
      </c>
      <c r="S51" s="645">
        <f t="shared" si="49"/>
        <v>3.7497778567620488E-2</v>
      </c>
      <c r="T51" s="645">
        <f t="shared" si="49"/>
        <v>-8.2905104487838277E-2</v>
      </c>
      <c r="U51" s="645">
        <f t="shared" si="49"/>
        <v>0.33134105341800524</v>
      </c>
      <c r="V51" s="645">
        <f t="shared" si="49"/>
        <v>6.7988542387871442E-2</v>
      </c>
      <c r="W51" s="645">
        <f t="shared" si="49"/>
        <v>0.21921111338358235</v>
      </c>
      <c r="X51" s="645">
        <f t="shared" si="49"/>
        <v>0.24915040806465827</v>
      </c>
      <c r="Y51" s="645">
        <f t="shared" si="49"/>
        <v>0.14324807540747386</v>
      </c>
      <c r="Z51" s="645">
        <f t="shared" si="49"/>
        <v>6.5848287245243498E-2</v>
      </c>
      <c r="AA51" s="645">
        <f t="shared" si="49"/>
        <v>4.4259501998326733E-2</v>
      </c>
    </row>
    <row r="52" spans="1:27">
      <c r="S52" s="271"/>
      <c r="T52" s="271"/>
      <c r="U52" s="271"/>
      <c r="V52" s="271"/>
      <c r="W52" s="271"/>
      <c r="X52" s="271"/>
      <c r="Y52" s="271"/>
      <c r="Z52" s="271"/>
      <c r="AA52" s="271"/>
    </row>
    <row r="53" spans="1:27" hidden="1" outlineLevel="1">
      <c r="A53" s="1" t="s">
        <v>370</v>
      </c>
      <c r="I53" s="544" t="e">
        <f>'Airbus Commercial'!#REF!</f>
        <v>#REF!</v>
      </c>
      <c r="J53" s="544" t="e">
        <f>'Airbus Commercial'!#REF!</f>
        <v>#REF!</v>
      </c>
      <c r="K53" s="544" t="e">
        <f>'Airbus Commercial'!#REF!</f>
        <v>#REF!</v>
      </c>
      <c r="L53" s="544" t="e">
        <f>'Airbus Commercial'!#REF!</f>
        <v>#REF!</v>
      </c>
      <c r="M53" s="544" t="e">
        <f>'Airbus Commercial'!#REF!</f>
        <v>#REF!</v>
      </c>
      <c r="N53" s="544" t="e">
        <f>'Airbus Commercial'!#REF!</f>
        <v>#REF!</v>
      </c>
      <c r="O53" s="544" t="e">
        <f>'Airbus Commercial'!#REF!</f>
        <v>#REF!</v>
      </c>
      <c r="P53" s="544" t="e">
        <f>'Airbus Commercial'!#REF!</f>
        <v>#REF!</v>
      </c>
      <c r="Q53" s="544" t="e">
        <f>'Airbus Commercial'!#REF!</f>
        <v>#REF!</v>
      </c>
      <c r="R53" s="544"/>
      <c r="S53" s="544"/>
      <c r="T53" s="544"/>
      <c r="U53" s="544"/>
      <c r="V53" s="544"/>
      <c r="W53" s="544"/>
      <c r="X53" s="544"/>
      <c r="Y53" s="544"/>
      <c r="Z53" s="544"/>
      <c r="AA53" s="544"/>
    </row>
    <row r="54" spans="1:27" hidden="1" outlineLevel="1">
      <c r="A54" s="1" t="s">
        <v>378</v>
      </c>
      <c r="I54" s="544" t="e">
        <f>'Airbus Commercial'!#REF!</f>
        <v>#REF!</v>
      </c>
      <c r="J54" s="544" t="e">
        <f>'Airbus Commercial'!#REF!</f>
        <v>#REF!</v>
      </c>
      <c r="K54" s="544" t="e">
        <f>'Airbus Commercial'!#REF!</f>
        <v>#REF!</v>
      </c>
      <c r="L54" s="544" t="e">
        <f>'Airbus Commercial'!#REF!</f>
        <v>#REF!</v>
      </c>
      <c r="M54" s="544" t="e">
        <f>'Airbus Commercial'!#REF!</f>
        <v>#REF!</v>
      </c>
      <c r="N54" s="544" t="e">
        <f>'Airbus Commercial'!#REF!</f>
        <v>#REF!</v>
      </c>
      <c r="O54" s="544" t="e">
        <f>'Airbus Commercial'!#REF!</f>
        <v>#REF!</v>
      </c>
      <c r="P54" s="544" t="e">
        <f>'Airbus Commercial'!#REF!</f>
        <v>#REF!</v>
      </c>
      <c r="Q54" s="544" t="e">
        <f>'Airbus Commercial'!#REF!</f>
        <v>#REF!</v>
      </c>
      <c r="R54" s="544"/>
      <c r="S54" s="544"/>
      <c r="T54" s="544"/>
      <c r="U54" s="544"/>
      <c r="V54" s="544"/>
      <c r="W54" s="544"/>
      <c r="X54" s="544"/>
      <c r="Y54" s="544"/>
      <c r="Z54" s="544"/>
      <c r="AA54" s="544"/>
    </row>
    <row r="55" spans="1:27" hidden="1" outlineLevel="1">
      <c r="A55" s="1" t="s">
        <v>231</v>
      </c>
      <c r="I55" s="550" t="e">
        <f t="shared" ref="I55:Q55" si="50">I54/I53</f>
        <v>#REF!</v>
      </c>
      <c r="J55" s="550" t="e">
        <f t="shared" si="50"/>
        <v>#REF!</v>
      </c>
      <c r="K55" s="550" t="e">
        <f t="shared" si="50"/>
        <v>#REF!</v>
      </c>
      <c r="L55" s="550" t="e">
        <f t="shared" si="50"/>
        <v>#REF!</v>
      </c>
      <c r="M55" s="550" t="e">
        <f t="shared" si="50"/>
        <v>#REF!</v>
      </c>
      <c r="N55" s="550" t="e">
        <f t="shared" si="50"/>
        <v>#REF!</v>
      </c>
      <c r="O55" s="550" t="e">
        <f t="shared" si="50"/>
        <v>#REF!</v>
      </c>
      <c r="P55" s="550" t="e">
        <f t="shared" si="50"/>
        <v>#REF!</v>
      </c>
      <c r="Q55" s="550" t="e">
        <f t="shared" si="50"/>
        <v>#REF!</v>
      </c>
      <c r="R55" s="550"/>
      <c r="S55" s="550"/>
      <c r="T55" s="550"/>
      <c r="U55" s="550"/>
      <c r="V55" s="550"/>
      <c r="W55" s="550"/>
      <c r="X55" s="550"/>
      <c r="Y55" s="550"/>
      <c r="Z55" s="550"/>
      <c r="AA55" s="550"/>
    </row>
    <row r="56" spans="1:27" hidden="1" outlineLevel="1">
      <c r="A56" s="1" t="s">
        <v>230</v>
      </c>
      <c r="I56" s="550"/>
      <c r="J56" s="73" t="e">
        <f t="shared" ref="J56:Q56" si="51">J54/I54-1</f>
        <v>#REF!</v>
      </c>
      <c r="K56" s="73" t="e">
        <f t="shared" si="51"/>
        <v>#REF!</v>
      </c>
      <c r="L56" s="73" t="e">
        <f t="shared" si="51"/>
        <v>#REF!</v>
      </c>
      <c r="M56" s="73" t="e">
        <f t="shared" si="51"/>
        <v>#REF!</v>
      </c>
      <c r="N56" s="73" t="e">
        <f t="shared" si="51"/>
        <v>#REF!</v>
      </c>
      <c r="O56" s="73" t="e">
        <f t="shared" si="51"/>
        <v>#REF!</v>
      </c>
      <c r="P56" s="73" t="e">
        <f t="shared" si="51"/>
        <v>#REF!</v>
      </c>
      <c r="Q56" s="73" t="e">
        <f t="shared" si="51"/>
        <v>#REF!</v>
      </c>
      <c r="R56" s="73"/>
      <c r="S56" s="73"/>
      <c r="T56" s="73"/>
      <c r="U56" s="73"/>
      <c r="V56" s="73"/>
      <c r="W56" s="73"/>
      <c r="X56" s="73"/>
      <c r="Y56" s="73"/>
      <c r="Z56" s="73"/>
      <c r="AA56" s="73"/>
    </row>
    <row r="57" spans="1:27" collapsed="1">
      <c r="A57" s="196" t="s">
        <v>13</v>
      </c>
      <c r="B57" s="626">
        <f t="shared" ref="B57:P57" si="52">B$2</f>
        <v>2006</v>
      </c>
      <c r="C57" s="626">
        <f t="shared" si="52"/>
        <v>2007</v>
      </c>
      <c r="D57" s="626">
        <f t="shared" si="52"/>
        <v>2008</v>
      </c>
      <c r="E57" s="626">
        <f t="shared" si="52"/>
        <v>2009</v>
      </c>
      <c r="F57" s="626">
        <f t="shared" si="52"/>
        <v>2010</v>
      </c>
      <c r="G57" s="626">
        <f t="shared" si="52"/>
        <v>2011</v>
      </c>
      <c r="H57" s="626">
        <f t="shared" si="52"/>
        <v>2012</v>
      </c>
      <c r="I57" s="626">
        <f t="shared" si="52"/>
        <v>2013</v>
      </c>
      <c r="J57" s="626">
        <f t="shared" si="52"/>
        <v>2014</v>
      </c>
      <c r="K57" s="626">
        <f t="shared" si="52"/>
        <v>2015</v>
      </c>
      <c r="L57" s="626">
        <f t="shared" si="52"/>
        <v>2016</v>
      </c>
      <c r="M57" s="626">
        <f t="shared" si="52"/>
        <v>2017</v>
      </c>
      <c r="N57" s="626">
        <f t="shared" si="52"/>
        <v>2018</v>
      </c>
      <c r="O57" s="626">
        <f t="shared" si="52"/>
        <v>2019</v>
      </c>
      <c r="P57" s="626">
        <f t="shared" si="52"/>
        <v>2020</v>
      </c>
      <c r="Q57" s="626">
        <f t="shared" ref="Q57:AA57" si="53">Q$2</f>
        <v>2021</v>
      </c>
      <c r="R57" s="626">
        <f t="shared" si="53"/>
        <v>2022</v>
      </c>
      <c r="S57" s="626">
        <f t="shared" si="53"/>
        <v>2023</v>
      </c>
      <c r="T57" s="626">
        <f t="shared" si="53"/>
        <v>2024</v>
      </c>
      <c r="U57" s="626">
        <f t="shared" si="53"/>
        <v>2025</v>
      </c>
      <c r="V57" s="532">
        <f t="shared" si="53"/>
        <v>2026</v>
      </c>
      <c r="W57" s="532">
        <f t="shared" si="53"/>
        <v>2027</v>
      </c>
      <c r="X57" s="532">
        <f t="shared" si="53"/>
        <v>2028</v>
      </c>
      <c r="Y57" s="532">
        <f t="shared" si="53"/>
        <v>2029</v>
      </c>
      <c r="Z57" s="532">
        <f t="shared" si="53"/>
        <v>2030</v>
      </c>
      <c r="AA57" s="532">
        <f t="shared" si="53"/>
        <v>2031</v>
      </c>
    </row>
    <row r="58" spans="1:27">
      <c r="A58" s="12" t="s">
        <v>16</v>
      </c>
      <c r="B58" s="555">
        <v>39434</v>
      </c>
      <c r="C58" s="555">
        <v>39123</v>
      </c>
      <c r="D58" s="555">
        <v>43265</v>
      </c>
      <c r="E58" s="555">
        <v>42822</v>
      </c>
      <c r="F58" s="555">
        <v>45752</v>
      </c>
      <c r="G58" s="555">
        <v>49128</v>
      </c>
      <c r="H58" s="555">
        <v>56480</v>
      </c>
      <c r="I58" s="553">
        <f>I14</f>
        <v>62816</v>
      </c>
      <c r="J58" s="555">
        <v>60713</v>
      </c>
      <c r="K58" s="555">
        <v>64450</v>
      </c>
      <c r="L58" s="553">
        <f t="shared" ref="L58:Y58" si="54">L14</f>
        <v>66581</v>
      </c>
      <c r="M58" s="553">
        <f t="shared" si="54"/>
        <v>66767</v>
      </c>
      <c r="N58" s="553">
        <f t="shared" si="54"/>
        <v>63707</v>
      </c>
      <c r="O58" s="544">
        <f t="shared" si="54"/>
        <v>70478</v>
      </c>
      <c r="P58" s="544">
        <f t="shared" si="54"/>
        <v>49912</v>
      </c>
      <c r="Q58" s="544">
        <f t="shared" si="54"/>
        <v>52149</v>
      </c>
      <c r="R58" s="544">
        <f t="shared" si="54"/>
        <v>58763</v>
      </c>
      <c r="S58" s="544">
        <f t="shared" si="54"/>
        <v>65446</v>
      </c>
      <c r="T58" s="544">
        <f t="shared" si="54"/>
        <v>69230</v>
      </c>
      <c r="U58" s="544">
        <f t="shared" si="54"/>
        <v>73515</v>
      </c>
      <c r="V58" s="544">
        <f t="shared" si="54"/>
        <v>80292.715062027652</v>
      </c>
      <c r="W58" s="544">
        <f t="shared" si="54"/>
        <v>91344.171942413755</v>
      </c>
      <c r="X58" s="544">
        <f t="shared" si="54"/>
        <v>102644.54733569814</v>
      </c>
      <c r="Y58" s="544">
        <f t="shared" si="54"/>
        <v>111270.33932839733</v>
      </c>
      <c r="Z58" s="544">
        <f>Z14</f>
        <v>116915.03646000689</v>
      </c>
      <c r="AA58" s="544">
        <f t="shared" ref="AA58" si="55">AA14</f>
        <v>121467.77195476291</v>
      </c>
    </row>
    <row r="59" spans="1:27">
      <c r="A59" s="72" t="s">
        <v>596</v>
      </c>
      <c r="B59" s="664"/>
      <c r="C59" s="664">
        <f t="shared" ref="C59:AA59" si="56">C58/B58-1</f>
        <v>-7.8865953238321795E-3</v>
      </c>
      <c r="D59" s="664">
        <f t="shared" si="56"/>
        <v>0.10587122664417348</v>
      </c>
      <c r="E59" s="664">
        <f t="shared" si="56"/>
        <v>-1.0239223390731578E-2</v>
      </c>
      <c r="F59" s="664">
        <f t="shared" si="56"/>
        <v>6.8422773340806042E-2</v>
      </c>
      <c r="G59" s="664">
        <f t="shared" si="56"/>
        <v>7.3789123972722415E-2</v>
      </c>
      <c r="H59" s="664">
        <f t="shared" si="56"/>
        <v>0.1496498941540465</v>
      </c>
      <c r="I59" s="664">
        <f t="shared" si="56"/>
        <v>0.11218130311614738</v>
      </c>
      <c r="J59" s="664">
        <f t="shared" si="56"/>
        <v>-3.3478731533367334E-2</v>
      </c>
      <c r="K59" s="664">
        <f t="shared" si="56"/>
        <v>6.1551891687118054E-2</v>
      </c>
      <c r="L59" s="664">
        <f t="shared" si="56"/>
        <v>3.3064391000775739E-2</v>
      </c>
      <c r="M59" s="664">
        <f t="shared" si="56"/>
        <v>2.7935897628452722E-3</v>
      </c>
      <c r="N59" s="664">
        <f t="shared" si="56"/>
        <v>-4.5831024308415791E-2</v>
      </c>
      <c r="O59" s="664">
        <f t="shared" si="56"/>
        <v>0.10628345393755789</v>
      </c>
      <c r="P59" s="664">
        <f t="shared" si="56"/>
        <v>-0.29180737251340849</v>
      </c>
      <c r="Q59" s="664">
        <f t="shared" si="56"/>
        <v>4.4818881230966445E-2</v>
      </c>
      <c r="R59" s="664">
        <f t="shared" si="56"/>
        <v>0.12682889413028064</v>
      </c>
      <c r="S59" s="664">
        <f t="shared" si="56"/>
        <v>0.11372802613889688</v>
      </c>
      <c r="T59" s="664">
        <f t="shared" si="56"/>
        <v>5.7818659658344318E-2</v>
      </c>
      <c r="U59" s="664">
        <f t="shared" si="56"/>
        <v>6.1895132168135136E-2</v>
      </c>
      <c r="V59" s="664">
        <f t="shared" si="56"/>
        <v>9.219499506260842E-2</v>
      </c>
      <c r="W59" s="664">
        <f t="shared" si="56"/>
        <v>0.13763959621802102</v>
      </c>
      <c r="X59" s="664">
        <f t="shared" si="56"/>
        <v>0.12371205686125752</v>
      </c>
      <c r="Y59" s="664">
        <f t="shared" si="56"/>
        <v>8.4035559770053947E-2</v>
      </c>
      <c r="Z59" s="664">
        <f t="shared" si="56"/>
        <v>5.0729575964984619E-2</v>
      </c>
      <c r="AA59" s="664">
        <f t="shared" si="56"/>
        <v>3.8940547192262809E-2</v>
      </c>
    </row>
    <row r="60" spans="1:27">
      <c r="A60" s="12" t="s">
        <v>182</v>
      </c>
      <c r="B60" s="555">
        <v>-34722</v>
      </c>
      <c r="C60" s="555">
        <v>-34802</v>
      </c>
      <c r="D60" s="555">
        <v>-35907</v>
      </c>
      <c r="E60" s="555">
        <v>-38383</v>
      </c>
      <c r="F60" s="555">
        <v>-39528</v>
      </c>
      <c r="G60" s="555">
        <v>-42285</v>
      </c>
      <c r="H60" s="555">
        <v>-48582</v>
      </c>
      <c r="I60" s="555">
        <v>-50895</v>
      </c>
      <c r="J60" s="555">
        <v>-51776</v>
      </c>
      <c r="K60" s="555">
        <v>-55599</v>
      </c>
      <c r="L60" s="556">
        <v>-61317</v>
      </c>
      <c r="M60" s="555">
        <v>-59160</v>
      </c>
      <c r="N60" s="555">
        <v>-54920</v>
      </c>
      <c r="O60" s="546">
        <f>-59973</f>
        <v>-59973</v>
      </c>
      <c r="P60" s="546">
        <v>-44250</v>
      </c>
      <c r="Q60" s="546">
        <v>-42518</v>
      </c>
      <c r="R60" s="546">
        <v>-48192</v>
      </c>
      <c r="S60" s="546">
        <v>-55402</v>
      </c>
      <c r="T60" s="546">
        <v>-58555</v>
      </c>
      <c r="U60" s="546">
        <v>-62453</v>
      </c>
      <c r="V60" s="544">
        <f t="shared" ref="V60:Z60" si="57">V62-V58</f>
        <v>-67352.372364595227</v>
      </c>
      <c r="W60" s="544">
        <f t="shared" si="57"/>
        <v>-76285.046939758991</v>
      </c>
      <c r="X60" s="544">
        <f t="shared" si="57"/>
        <v>-84800.188071088938</v>
      </c>
      <c r="Y60" s="544">
        <f t="shared" si="57"/>
        <v>-91245.509709664198</v>
      </c>
      <c r="Z60" s="544">
        <f t="shared" si="57"/>
        <v>-95982.214491679115</v>
      </c>
      <c r="AA60" s="544">
        <f t="shared" ref="AA60" si="58">AA62-AA58</f>
        <v>-99647.029212869485</v>
      </c>
    </row>
    <row r="61" spans="1:27">
      <c r="A61" s="72" t="s">
        <v>597</v>
      </c>
      <c r="B61" s="555"/>
      <c r="C61" s="555"/>
      <c r="D61" s="555"/>
      <c r="E61" s="555"/>
      <c r="F61" s="555"/>
      <c r="G61" s="555"/>
      <c r="H61" s="555"/>
      <c r="I61" s="555"/>
      <c r="J61" s="555"/>
      <c r="K61" s="555"/>
      <c r="L61" s="556"/>
      <c r="M61" s="555"/>
      <c r="N61" s="555"/>
      <c r="O61" s="546"/>
      <c r="P61" s="546"/>
      <c r="Q61" s="670">
        <f>-Q60/Q58</f>
        <v>0.81531764751001934</v>
      </c>
      <c r="R61" s="670">
        <f t="shared" ref="R61:Z61" si="59">-R60/R58</f>
        <v>0.82010789101985948</v>
      </c>
      <c r="S61" s="670">
        <f t="shared" si="59"/>
        <v>0.84652996363414112</v>
      </c>
      <c r="T61" s="670">
        <f t="shared" si="59"/>
        <v>0.84580384226491401</v>
      </c>
      <c r="U61" s="670">
        <f t="shared" si="59"/>
        <v>0.84952730735224102</v>
      </c>
      <c r="V61" s="670">
        <f t="shared" si="59"/>
        <v>0.83883540757793829</v>
      </c>
      <c r="W61" s="670">
        <f t="shared" si="59"/>
        <v>0.83513863356111528</v>
      </c>
      <c r="X61" s="670">
        <f t="shared" si="59"/>
        <v>0.82615385105407135</v>
      </c>
      <c r="Y61" s="670">
        <f t="shared" si="59"/>
        <v>0.82003443379791519</v>
      </c>
      <c r="Z61" s="670">
        <f t="shared" si="59"/>
        <v>0.82095697352420316</v>
      </c>
      <c r="AA61" s="670">
        <f t="shared" ref="AA61" si="60">-AA60/AA58</f>
        <v>0.82035775917566089</v>
      </c>
    </row>
    <row r="62" spans="1:27">
      <c r="A62" s="12" t="s">
        <v>181</v>
      </c>
      <c r="B62" s="553">
        <f t="shared" ref="B62:L62" si="61">B58+B60</f>
        <v>4712</v>
      </c>
      <c r="C62" s="553">
        <f t="shared" si="61"/>
        <v>4321</v>
      </c>
      <c r="D62" s="553">
        <f t="shared" si="61"/>
        <v>7358</v>
      </c>
      <c r="E62" s="553">
        <f t="shared" si="61"/>
        <v>4439</v>
      </c>
      <c r="F62" s="553">
        <f t="shared" si="61"/>
        <v>6224</v>
      </c>
      <c r="G62" s="553">
        <f t="shared" si="61"/>
        <v>6843</v>
      </c>
      <c r="H62" s="553">
        <f t="shared" si="61"/>
        <v>7898</v>
      </c>
      <c r="I62" s="553">
        <f t="shared" si="61"/>
        <v>11921</v>
      </c>
      <c r="J62" s="553">
        <f t="shared" si="61"/>
        <v>8937</v>
      </c>
      <c r="K62" s="553">
        <f t="shared" si="61"/>
        <v>8851</v>
      </c>
      <c r="L62" s="553">
        <f t="shared" si="61"/>
        <v>5264</v>
      </c>
      <c r="M62" s="555">
        <v>7607</v>
      </c>
      <c r="N62" s="555">
        <v>8787</v>
      </c>
      <c r="O62" s="546">
        <f>10505</f>
        <v>10505</v>
      </c>
      <c r="P62" s="546">
        <v>5662</v>
      </c>
      <c r="Q62" s="546">
        <v>9631</v>
      </c>
      <c r="R62" s="546">
        <f>10571</f>
        <v>10571</v>
      </c>
      <c r="S62" s="546">
        <v>10044</v>
      </c>
      <c r="T62" s="546">
        <v>10675</v>
      </c>
      <c r="U62" s="546">
        <v>10967</v>
      </c>
      <c r="V62" s="544">
        <f t="shared" ref="V62:Z62" si="62">V76-V64-V66-V68-V70-V72-V74-V75</f>
        <v>12940.342697432425</v>
      </c>
      <c r="W62" s="544">
        <f t="shared" si="62"/>
        <v>15059.12500265476</v>
      </c>
      <c r="X62" s="544">
        <f t="shared" si="62"/>
        <v>17844.359264609204</v>
      </c>
      <c r="Y62" s="544">
        <f t="shared" si="62"/>
        <v>20024.829618733133</v>
      </c>
      <c r="Z62" s="544">
        <f t="shared" si="62"/>
        <v>20932.821968327771</v>
      </c>
      <c r="AA62" s="544">
        <f t="shared" ref="AA62" si="63">AA76-AA64-AA66-AA68-AA70-AA72-AA74-AA75</f>
        <v>21820.742741893428</v>
      </c>
    </row>
    <row r="63" spans="1:27">
      <c r="A63" s="671" t="s">
        <v>598</v>
      </c>
      <c r="B63" s="664">
        <f t="shared" ref="B63:Z63" si="64">B62/B$58</f>
        <v>0.11949079474565096</v>
      </c>
      <c r="C63" s="664">
        <f t="shared" si="64"/>
        <v>0.11044654039823122</v>
      </c>
      <c r="D63" s="664">
        <f t="shared" si="64"/>
        <v>0.17006818444470126</v>
      </c>
      <c r="E63" s="664">
        <f t="shared" si="64"/>
        <v>0.10366166923543972</v>
      </c>
      <c r="F63" s="664">
        <f t="shared" si="64"/>
        <v>0.13603776884070642</v>
      </c>
      <c r="G63" s="664">
        <f t="shared" si="64"/>
        <v>0.13928920371275036</v>
      </c>
      <c r="H63" s="664">
        <f t="shared" si="64"/>
        <v>0.1398371104815864</v>
      </c>
      <c r="I63" s="664">
        <f t="shared" si="64"/>
        <v>0.18977649006622516</v>
      </c>
      <c r="J63" s="664">
        <f t="shared" si="64"/>
        <v>0.14720076425147827</v>
      </c>
      <c r="K63" s="664">
        <f t="shared" si="64"/>
        <v>0.13733126454615982</v>
      </c>
      <c r="L63" s="664">
        <f t="shared" si="64"/>
        <v>7.9061594148480796E-2</v>
      </c>
      <c r="M63" s="664">
        <f t="shared" si="64"/>
        <v>0.11393353003729387</v>
      </c>
      <c r="N63" s="664">
        <f t="shared" si="64"/>
        <v>0.13792832812720737</v>
      </c>
      <c r="O63" s="664">
        <f t="shared" si="64"/>
        <v>0.14905360538040238</v>
      </c>
      <c r="P63" s="664">
        <f t="shared" si="64"/>
        <v>0.11343965379067159</v>
      </c>
      <c r="Q63" s="664">
        <f t="shared" si="64"/>
        <v>0.18468235248998063</v>
      </c>
      <c r="R63" s="664">
        <f t="shared" si="64"/>
        <v>0.17989210898014057</v>
      </c>
      <c r="S63" s="664">
        <f t="shared" si="64"/>
        <v>0.15347003636585888</v>
      </c>
      <c r="T63" s="664">
        <f t="shared" si="64"/>
        <v>0.15419615773508594</v>
      </c>
      <c r="U63" s="664">
        <f t="shared" si="64"/>
        <v>0.14918043936611575</v>
      </c>
      <c r="V63" s="664">
        <f t="shared" si="64"/>
        <v>0.16116459242206174</v>
      </c>
      <c r="W63" s="664">
        <f t="shared" si="64"/>
        <v>0.16486136643888466</v>
      </c>
      <c r="X63" s="664">
        <f t="shared" si="64"/>
        <v>0.17384614894592867</v>
      </c>
      <c r="Y63" s="664">
        <f t="shared" si="64"/>
        <v>0.17996556620208484</v>
      </c>
      <c r="Z63" s="664">
        <f t="shared" si="64"/>
        <v>0.1790430264757969</v>
      </c>
      <c r="AA63" s="664">
        <f t="shared" ref="AA63" si="65">AA62/AA$58</f>
        <v>0.17964224082433916</v>
      </c>
    </row>
    <row r="64" spans="1:27">
      <c r="A64" s="1" t="s">
        <v>180</v>
      </c>
      <c r="B64" s="555">
        <v>-914</v>
      </c>
      <c r="C64" s="555">
        <v>-864</v>
      </c>
      <c r="D64" s="555">
        <v>-933</v>
      </c>
      <c r="E64" s="555">
        <v>-924</v>
      </c>
      <c r="F64" s="555">
        <v>-1024</v>
      </c>
      <c r="G64" s="555">
        <v>-981</v>
      </c>
      <c r="H64" s="555">
        <v>-1197</v>
      </c>
      <c r="I64" s="555">
        <v>-1217</v>
      </c>
      <c r="J64" s="555">
        <v>-1063</v>
      </c>
      <c r="K64" s="555">
        <v>-1065</v>
      </c>
      <c r="L64" s="555">
        <v>-997</v>
      </c>
      <c r="M64" s="556">
        <v>-872</v>
      </c>
      <c r="N64" s="555">
        <v>-861</v>
      </c>
      <c r="O64" s="546">
        <v>-908</v>
      </c>
      <c r="P64" s="546">
        <v>-717</v>
      </c>
      <c r="Q64" s="546">
        <v>-713</v>
      </c>
      <c r="R64" s="546">
        <v>-788</v>
      </c>
      <c r="S64" s="546">
        <v>-867</v>
      </c>
      <c r="T64" s="546">
        <v>-877</v>
      </c>
      <c r="U64" s="546">
        <v>-856</v>
      </c>
      <c r="V64" s="544">
        <f t="shared" ref="V64:AA64" si="66">V65*V$58</f>
        <v>-934.91891577359274</v>
      </c>
      <c r="W64" s="544">
        <f t="shared" si="66"/>
        <v>-1063.60077783726</v>
      </c>
      <c r="X64" s="544">
        <f t="shared" si="66"/>
        <v>-1195.181017742741</v>
      </c>
      <c r="Y64" s="544">
        <f t="shared" si="66"/>
        <v>-1295.618723595295</v>
      </c>
      <c r="Z64" s="544">
        <f t="shared" si="66"/>
        <v>-1361.344912055579</v>
      </c>
      <c r="AA64" s="544">
        <f t="shared" si="66"/>
        <v>-1414.3564278484262</v>
      </c>
    </row>
    <row r="65" spans="1:27">
      <c r="A65" s="8" t="s">
        <v>47</v>
      </c>
      <c r="B65" s="550">
        <f t="shared" ref="B65:U65" si="67">B64/B$58</f>
        <v>-2.3177968250748086E-2</v>
      </c>
      <c r="C65" s="550">
        <f t="shared" si="67"/>
        <v>-2.2084195997239476E-2</v>
      </c>
      <c r="D65" s="550">
        <f t="shared" si="67"/>
        <v>-2.1564775222466196E-2</v>
      </c>
      <c r="E65" s="550">
        <f t="shared" si="67"/>
        <v>-2.1577693708841252E-2</v>
      </c>
      <c r="F65" s="550">
        <f t="shared" si="67"/>
        <v>-2.2381535233432417E-2</v>
      </c>
      <c r="G65" s="550">
        <f t="shared" si="67"/>
        <v>-1.9968246213971665E-2</v>
      </c>
      <c r="H65" s="550">
        <f t="shared" si="67"/>
        <v>-2.1193342776203966E-2</v>
      </c>
      <c r="I65" s="550">
        <f t="shared" si="67"/>
        <v>-1.9374044829342841E-2</v>
      </c>
      <c r="J65" s="550">
        <f t="shared" si="67"/>
        <v>-1.7508606064599017E-2</v>
      </c>
      <c r="K65" s="550">
        <f t="shared" si="67"/>
        <v>-1.65244375484872E-2</v>
      </c>
      <c r="L65" s="550">
        <f t="shared" si="67"/>
        <v>-1.4974241900842582E-2</v>
      </c>
      <c r="M65" s="550">
        <f t="shared" si="67"/>
        <v>-1.306034418200608E-2</v>
      </c>
      <c r="N65" s="550">
        <f t="shared" si="67"/>
        <v>-1.3514998351829469E-2</v>
      </c>
      <c r="O65" s="550">
        <f t="shared" si="67"/>
        <v>-1.2883452992423168E-2</v>
      </c>
      <c r="P65" s="550">
        <f t="shared" si="67"/>
        <v>-1.4365282897900305E-2</v>
      </c>
      <c r="Q65" s="550">
        <f t="shared" si="67"/>
        <v>-1.3672361886133962E-2</v>
      </c>
      <c r="R65" s="550">
        <f t="shared" si="67"/>
        <v>-1.3409798682844648E-2</v>
      </c>
      <c r="S65" s="550">
        <f t="shared" si="67"/>
        <v>-1.3247562876264401E-2</v>
      </c>
      <c r="T65" s="550">
        <f t="shared" si="67"/>
        <v>-1.2667918532428138E-2</v>
      </c>
      <c r="U65" s="550">
        <f t="shared" si="67"/>
        <v>-1.1643882200911379E-2</v>
      </c>
      <c r="V65" s="616">
        <f t="shared" ref="V65:AA65" si="68">U65</f>
        <v>-1.1643882200911379E-2</v>
      </c>
      <c r="W65" s="616">
        <f t="shared" si="68"/>
        <v>-1.1643882200911379E-2</v>
      </c>
      <c r="X65" s="616">
        <f t="shared" si="68"/>
        <v>-1.1643882200911379E-2</v>
      </c>
      <c r="Y65" s="616">
        <f t="shared" si="68"/>
        <v>-1.1643882200911379E-2</v>
      </c>
      <c r="Z65" s="616">
        <f t="shared" si="68"/>
        <v>-1.1643882200911379E-2</v>
      </c>
      <c r="AA65" s="616">
        <f t="shared" si="68"/>
        <v>-1.1643882200911379E-2</v>
      </c>
    </row>
    <row r="66" spans="1:27">
      <c r="A66" s="1" t="s">
        <v>179</v>
      </c>
      <c r="B66" s="555">
        <v>-1360</v>
      </c>
      <c r="C66" s="555">
        <v>-1314</v>
      </c>
      <c r="D66" s="555">
        <v>-1253</v>
      </c>
      <c r="E66" s="555">
        <v>-1272</v>
      </c>
      <c r="F66" s="555">
        <v>-1288</v>
      </c>
      <c r="G66" s="555">
        <v>-1427</v>
      </c>
      <c r="H66" s="555">
        <v>-1672</v>
      </c>
      <c r="I66" s="555">
        <v>-1696</v>
      </c>
      <c r="J66" s="555">
        <v>-1538</v>
      </c>
      <c r="K66" s="555">
        <v>-1586</v>
      </c>
      <c r="L66" s="555">
        <v>-1726</v>
      </c>
      <c r="M66" s="556">
        <v>-1567</v>
      </c>
      <c r="N66" s="555">
        <v>-1574</v>
      </c>
      <c r="O66" s="546">
        <v>-5217</v>
      </c>
      <c r="P66" s="546">
        <v>-1423</v>
      </c>
      <c r="Q66" s="546">
        <v>-1339</v>
      </c>
      <c r="R66" s="546">
        <v>-1452</v>
      </c>
      <c r="S66" s="546">
        <v>-1654</v>
      </c>
      <c r="T66" s="546">
        <v>-1744</v>
      </c>
      <c r="U66" s="546">
        <v>-1722</v>
      </c>
      <c r="V66" s="544">
        <f t="shared" ref="V66:Z66" si="69">V58*V67</f>
        <v>-1766.4397313646082</v>
      </c>
      <c r="W66" s="544">
        <f t="shared" si="69"/>
        <v>-2009.5717827331025</v>
      </c>
      <c r="X66" s="544">
        <f t="shared" si="69"/>
        <v>-2258.1800413853589</v>
      </c>
      <c r="Y66" s="544">
        <f t="shared" si="69"/>
        <v>-2447.9474652247409</v>
      </c>
      <c r="Z66" s="544">
        <f t="shared" si="69"/>
        <v>-2572.1308021201512</v>
      </c>
      <c r="AA66" s="544">
        <f t="shared" ref="AA66" si="70">AA58*AA67</f>
        <v>-2672.2909830047838</v>
      </c>
    </row>
    <row r="67" spans="1:27">
      <c r="A67" s="8" t="s">
        <v>47</v>
      </c>
      <c r="B67" s="550">
        <f t="shared" ref="B67:H67" si="71">B66/B$58</f>
        <v>-3.4488005274636101E-2</v>
      </c>
      <c r="C67" s="550">
        <f t="shared" si="71"/>
        <v>-3.358638141246837E-2</v>
      </c>
      <c r="D67" s="550">
        <f t="shared" si="71"/>
        <v>-2.8961053969721484E-2</v>
      </c>
      <c r="E67" s="550">
        <f t="shared" si="71"/>
        <v>-2.9704357573210032E-2</v>
      </c>
      <c r="F67" s="550">
        <f t="shared" si="71"/>
        <v>-2.8151774785801713E-2</v>
      </c>
      <c r="G67" s="550">
        <f t="shared" si="71"/>
        <v>-2.9046572219508224E-2</v>
      </c>
      <c r="H67" s="550">
        <f t="shared" si="71"/>
        <v>-2.9603399433427761E-2</v>
      </c>
      <c r="I67" s="550">
        <f t="shared" ref="I67:U67" si="72">I66/I58</f>
        <v>-2.6999490575649515E-2</v>
      </c>
      <c r="J67" s="550">
        <f t="shared" si="72"/>
        <v>-2.5332301154612685E-2</v>
      </c>
      <c r="K67" s="550">
        <f t="shared" si="72"/>
        <v>-2.4608223429014739E-2</v>
      </c>
      <c r="L67" s="550">
        <f t="shared" si="72"/>
        <v>-2.5923311455219956E-2</v>
      </c>
      <c r="M67" s="558">
        <f t="shared" si="72"/>
        <v>-2.3469678134407715E-2</v>
      </c>
      <c r="N67" s="550">
        <f t="shared" si="72"/>
        <v>-2.4706861098466416E-2</v>
      </c>
      <c r="O67" s="550">
        <f t="shared" si="72"/>
        <v>-7.4023099406907114E-2</v>
      </c>
      <c r="P67" s="550">
        <f t="shared" si="72"/>
        <v>-2.8510177913127103E-2</v>
      </c>
      <c r="Q67" s="550">
        <f t="shared" si="72"/>
        <v>-2.5676427160635871E-2</v>
      </c>
      <c r="R67" s="550">
        <f t="shared" si="72"/>
        <v>-2.4709425999353333E-2</v>
      </c>
      <c r="S67" s="550">
        <f t="shared" si="72"/>
        <v>-2.5272743941570149E-2</v>
      </c>
      <c r="T67" s="550">
        <f t="shared" si="72"/>
        <v>-2.5191391015455727E-2</v>
      </c>
      <c r="U67" s="550">
        <f t="shared" si="72"/>
        <v>-2.3423791063048358E-2</v>
      </c>
      <c r="V67" s="616">
        <v>-2.1999999999999999E-2</v>
      </c>
      <c r="W67" s="616">
        <f t="shared" ref="W67:AA67" si="73">V67</f>
        <v>-2.1999999999999999E-2</v>
      </c>
      <c r="X67" s="616">
        <f t="shared" si="73"/>
        <v>-2.1999999999999999E-2</v>
      </c>
      <c r="Y67" s="616">
        <f t="shared" si="73"/>
        <v>-2.1999999999999999E-2</v>
      </c>
      <c r="Z67" s="616">
        <f t="shared" si="73"/>
        <v>-2.1999999999999999E-2</v>
      </c>
      <c r="AA67" s="616">
        <f t="shared" si="73"/>
        <v>-2.1999999999999999E-2</v>
      </c>
    </row>
    <row r="68" spans="1:27">
      <c r="A68" s="1" t="s">
        <v>178</v>
      </c>
      <c r="B68" s="553">
        <f>-2458</f>
        <v>-2458</v>
      </c>
      <c r="C68" s="555">
        <v>-2608</v>
      </c>
      <c r="D68" s="555">
        <v>-2669</v>
      </c>
      <c r="E68" s="555">
        <v>-2825</v>
      </c>
      <c r="F68" s="555">
        <v>-2939</v>
      </c>
      <c r="G68" s="555">
        <v>-3152</v>
      </c>
      <c r="H68" s="555">
        <v>-3142</v>
      </c>
      <c r="I68" s="555">
        <v>-3160</v>
      </c>
      <c r="J68" s="555">
        <v>-3391</v>
      </c>
      <c r="K68" s="555">
        <v>-3460</v>
      </c>
      <c r="L68" s="555">
        <v>-2970</v>
      </c>
      <c r="M68" s="556">
        <v>-2807</v>
      </c>
      <c r="N68" s="555">
        <v>-3217</v>
      </c>
      <c r="O68" s="546">
        <v>-3358</v>
      </c>
      <c r="P68" s="546">
        <v>-2858</v>
      </c>
      <c r="Q68" s="546">
        <v>-2746</v>
      </c>
      <c r="R68" s="546">
        <v>-3079</v>
      </c>
      <c r="S68" s="546">
        <v>-3257</v>
      </c>
      <c r="T68" s="546">
        <v>-3250</v>
      </c>
      <c r="U68" s="546">
        <v>-3153</v>
      </c>
      <c r="V68" s="544">
        <f t="shared" ref="V68:Z68" si="74">V58*V69</f>
        <v>-3532.8794627292164</v>
      </c>
      <c r="W68" s="544">
        <f t="shared" si="74"/>
        <v>-3700.9006133133898</v>
      </c>
      <c r="X68" s="544">
        <f t="shared" si="74"/>
        <v>-3885.7706419266992</v>
      </c>
      <c r="Y68" s="544">
        <f t="shared" si="74"/>
        <v>-4190.5028567573936</v>
      </c>
      <c r="Z68" s="544">
        <f t="shared" si="74"/>
        <v>-4092.0262761002414</v>
      </c>
      <c r="AA68" s="544">
        <f t="shared" ref="AA68" si="75">AA58*AA69</f>
        <v>-4251.3720184167023</v>
      </c>
    </row>
    <row r="69" spans="1:27">
      <c r="A69" s="8" t="s">
        <v>47</v>
      </c>
      <c r="B69" s="550">
        <f t="shared" ref="B69:U69" si="76">B68/B$58</f>
        <v>-6.2331997768423186E-2</v>
      </c>
      <c r="C69" s="550">
        <f t="shared" si="76"/>
        <v>-6.6661554584259902E-2</v>
      </c>
      <c r="D69" s="550">
        <f t="shared" si="76"/>
        <v>-6.1689587426326131E-2</v>
      </c>
      <c r="E69" s="550">
        <f t="shared" si="76"/>
        <v>-6.5970762692074164E-2</v>
      </c>
      <c r="F69" s="550">
        <f t="shared" si="76"/>
        <v>-6.4237628956111209E-2</v>
      </c>
      <c r="G69" s="550">
        <f t="shared" si="76"/>
        <v>-6.4158931770070024E-2</v>
      </c>
      <c r="H69" s="550">
        <f t="shared" si="76"/>
        <v>-5.5630311614730879E-2</v>
      </c>
      <c r="I69" s="550">
        <f t="shared" si="76"/>
        <v>-5.0305654610290372E-2</v>
      </c>
      <c r="J69" s="550">
        <f t="shared" si="76"/>
        <v>-5.5852947474181805E-2</v>
      </c>
      <c r="K69" s="550">
        <f t="shared" si="76"/>
        <v>-5.3685027152831653E-2</v>
      </c>
      <c r="L69" s="550">
        <f t="shared" si="76"/>
        <v>-4.4607320406722641E-2</v>
      </c>
      <c r="M69" s="558">
        <f t="shared" si="76"/>
        <v>-4.204172720056315E-2</v>
      </c>
      <c r="N69" s="550">
        <f t="shared" si="76"/>
        <v>-5.049680568854286E-2</v>
      </c>
      <c r="O69" s="550">
        <f t="shared" si="76"/>
        <v>-4.7646073952155282E-2</v>
      </c>
      <c r="P69" s="550">
        <f t="shared" si="76"/>
        <v>-5.726077897098894E-2</v>
      </c>
      <c r="Q69" s="550">
        <f t="shared" si="76"/>
        <v>-5.2656810293581852E-2</v>
      </c>
      <c r="R69" s="550">
        <f t="shared" si="76"/>
        <v>-5.2396916427003386E-2</v>
      </c>
      <c r="S69" s="550">
        <f t="shared" si="76"/>
        <v>-4.9766219478654158E-2</v>
      </c>
      <c r="T69" s="550">
        <f t="shared" si="76"/>
        <v>-4.6944966055178394E-2</v>
      </c>
      <c r="U69" s="550">
        <f t="shared" si="76"/>
        <v>-4.2889206284431748E-2</v>
      </c>
      <c r="V69" s="616">
        <v>-4.3999999999999997E-2</v>
      </c>
      <c r="W69" s="616">
        <v>-4.0516001564353268E-2</v>
      </c>
      <c r="X69" s="616">
        <v>-3.7856571467145925E-2</v>
      </c>
      <c r="Y69" s="616">
        <v>-3.7660556101925487E-2</v>
      </c>
      <c r="Z69" s="616">
        <v>-3.5000000000000003E-2</v>
      </c>
      <c r="AA69" s="616">
        <v>-3.5000000000000003E-2</v>
      </c>
    </row>
    <row r="70" spans="1:27">
      <c r="A70" s="1" t="s">
        <v>177</v>
      </c>
      <c r="B70" s="555">
        <v>297</v>
      </c>
      <c r="C70" s="555">
        <v>233</v>
      </c>
      <c r="D70" s="555">
        <v>189</v>
      </c>
      <c r="E70" s="555">
        <v>170</v>
      </c>
      <c r="F70" s="555">
        <v>171</v>
      </c>
      <c r="G70" s="555">
        <v>359</v>
      </c>
      <c r="H70" s="555">
        <v>184</v>
      </c>
      <c r="I70" s="555">
        <v>236</v>
      </c>
      <c r="J70" s="555">
        <v>330</v>
      </c>
      <c r="K70" s="555">
        <v>474</v>
      </c>
      <c r="L70" s="555">
        <v>2689</v>
      </c>
      <c r="M70" s="556">
        <v>981</v>
      </c>
      <c r="N70" s="555">
        <v>1656</v>
      </c>
      <c r="O70" s="546">
        <v>370</v>
      </c>
      <c r="P70" s="546">
        <v>132</v>
      </c>
      <c r="Q70" s="546">
        <v>594</v>
      </c>
      <c r="R70" s="546">
        <v>471</v>
      </c>
      <c r="S70" s="546">
        <v>243</v>
      </c>
      <c r="T70" s="546">
        <v>303</v>
      </c>
      <c r="U70" s="546">
        <v>979</v>
      </c>
      <c r="V70" s="544">
        <f t="shared" ref="V70:AA70" si="77">V71*V$58</f>
        <v>1069.2589001662936</v>
      </c>
      <c r="W70" s="544">
        <f t="shared" si="77"/>
        <v>1216.4312634377075</v>
      </c>
      <c r="X70" s="544">
        <f t="shared" si="77"/>
        <v>1366.9184770679246</v>
      </c>
      <c r="Y70" s="544">
        <f t="shared" si="77"/>
        <v>1481.7882364483573</v>
      </c>
      <c r="Z70" s="544">
        <f t="shared" si="77"/>
        <v>1556.958725353285</v>
      </c>
      <c r="AA70" s="544">
        <f t="shared" si="77"/>
        <v>1617.58755007431</v>
      </c>
    </row>
    <row r="71" spans="1:27">
      <c r="A71" s="8" t="s">
        <v>47</v>
      </c>
      <c r="B71" s="550">
        <f t="shared" ref="B71:U71" si="78">B70/B$58</f>
        <v>7.5315717401227365E-3</v>
      </c>
      <c r="C71" s="550">
        <f t="shared" si="78"/>
        <v>5.9555760038851827E-3</v>
      </c>
      <c r="D71" s="550">
        <f t="shared" si="78"/>
        <v>4.3684271350976538E-3</v>
      </c>
      <c r="E71" s="550">
        <f t="shared" si="78"/>
        <v>3.9699220027088877E-3</v>
      </c>
      <c r="F71" s="550">
        <f t="shared" si="78"/>
        <v>3.7375415282392029E-3</v>
      </c>
      <c r="G71" s="550">
        <f t="shared" si="78"/>
        <v>7.3074417847256148E-3</v>
      </c>
      <c r="H71" s="550">
        <f t="shared" si="78"/>
        <v>3.2577903682719546E-3</v>
      </c>
      <c r="I71" s="550">
        <f t="shared" si="78"/>
        <v>3.7570045848191545E-3</v>
      </c>
      <c r="J71" s="550">
        <f t="shared" si="78"/>
        <v>5.4354092204305501E-3</v>
      </c>
      <c r="K71" s="550">
        <f t="shared" si="78"/>
        <v>7.3545384018619082E-3</v>
      </c>
      <c r="L71" s="550">
        <f t="shared" si="78"/>
        <v>4.038689716285427E-2</v>
      </c>
      <c r="M71" s="550">
        <f t="shared" si="78"/>
        <v>1.4692887204756842E-2</v>
      </c>
      <c r="N71" s="550">
        <f t="shared" si="78"/>
        <v>2.5994003798640652E-2</v>
      </c>
      <c r="O71" s="550">
        <f t="shared" si="78"/>
        <v>5.2498652061636255E-3</v>
      </c>
      <c r="P71" s="550">
        <f t="shared" si="78"/>
        <v>2.6446545920820646E-3</v>
      </c>
      <c r="Q71" s="550">
        <f t="shared" si="78"/>
        <v>1.1390438934591266E-2</v>
      </c>
      <c r="R71" s="550">
        <f t="shared" si="78"/>
        <v>8.015247689872879E-3</v>
      </c>
      <c r="S71" s="550">
        <f t="shared" si="78"/>
        <v>3.7129847507869082E-3</v>
      </c>
      <c r="T71" s="550">
        <f t="shared" si="78"/>
        <v>4.3767152968366314E-3</v>
      </c>
      <c r="U71" s="550">
        <f t="shared" si="78"/>
        <v>1.3317010133986262E-2</v>
      </c>
      <c r="V71" s="616">
        <f t="shared" ref="V71:AA71" si="79">U71</f>
        <v>1.3317010133986262E-2</v>
      </c>
      <c r="W71" s="616">
        <f t="shared" si="79"/>
        <v>1.3317010133986262E-2</v>
      </c>
      <c r="X71" s="616">
        <f t="shared" si="79"/>
        <v>1.3317010133986262E-2</v>
      </c>
      <c r="Y71" s="616">
        <f t="shared" si="79"/>
        <v>1.3317010133986262E-2</v>
      </c>
      <c r="Z71" s="616">
        <f t="shared" si="79"/>
        <v>1.3317010133986262E-2</v>
      </c>
      <c r="AA71" s="616">
        <f t="shared" si="79"/>
        <v>1.3317010133986262E-2</v>
      </c>
    </row>
    <row r="72" spans="1:27">
      <c r="A72" s="1" t="s">
        <v>176</v>
      </c>
      <c r="B72" s="555">
        <v>-188</v>
      </c>
      <c r="C72" s="555">
        <v>-97</v>
      </c>
      <c r="D72" s="555">
        <v>-131</v>
      </c>
      <c r="E72" s="555">
        <v>-102</v>
      </c>
      <c r="F72" s="555">
        <v>-102</v>
      </c>
      <c r="G72" s="555">
        <v>-221</v>
      </c>
      <c r="H72" s="555">
        <v>-229</v>
      </c>
      <c r="I72" s="555">
        <v>-263</v>
      </c>
      <c r="J72" s="555">
        <v>-179</v>
      </c>
      <c r="K72" s="555">
        <v>-222</v>
      </c>
      <c r="L72" s="555">
        <v>-254</v>
      </c>
      <c r="M72" s="556">
        <v>-336</v>
      </c>
      <c r="N72" s="555">
        <v>-182</v>
      </c>
      <c r="O72" s="546">
        <v>-356</v>
      </c>
      <c r="P72" s="546">
        <v>-1458</v>
      </c>
      <c r="Q72" s="546">
        <v>-201</v>
      </c>
      <c r="R72" s="546">
        <v>-590</v>
      </c>
      <c r="S72" s="546">
        <v>-209</v>
      </c>
      <c r="T72" s="546">
        <v>-197</v>
      </c>
      <c r="U72" s="546">
        <v>-488</v>
      </c>
      <c r="V72" s="544">
        <f t="shared" ref="V72:AA72" si="80">V73*V$58</f>
        <v>-532.99115759055292</v>
      </c>
      <c r="W72" s="544">
        <f t="shared" si="80"/>
        <v>-606.35184530909225</v>
      </c>
      <c r="X72" s="544">
        <f t="shared" si="80"/>
        <v>-681.36487927389908</v>
      </c>
      <c r="Y72" s="544">
        <f t="shared" si="80"/>
        <v>-738.62375831133636</v>
      </c>
      <c r="Z72" s="544">
        <f t="shared" si="80"/>
        <v>-776.09382836813381</v>
      </c>
      <c r="AA72" s="544">
        <f t="shared" si="80"/>
        <v>-806.31534671732709</v>
      </c>
    </row>
    <row r="73" spans="1:27">
      <c r="A73" s="8" t="s">
        <v>47</v>
      </c>
      <c r="B73" s="550">
        <f t="shared" ref="B73:U73" si="81">B72/B$58</f>
        <v>-4.7674595526702845E-3</v>
      </c>
      <c r="C73" s="550">
        <f t="shared" si="81"/>
        <v>-2.4793599672826728E-3</v>
      </c>
      <c r="D73" s="550">
        <f t="shared" si="81"/>
        <v>-3.027851612157633E-3</v>
      </c>
      <c r="E73" s="550">
        <f t="shared" si="81"/>
        <v>-2.3819532016253328E-3</v>
      </c>
      <c r="F73" s="550">
        <f t="shared" si="81"/>
        <v>-2.2294107361426822E-3</v>
      </c>
      <c r="G73" s="550">
        <f t="shared" si="81"/>
        <v>-4.4984530206806711E-3</v>
      </c>
      <c r="H73" s="550">
        <f t="shared" si="81"/>
        <v>-4.0545325779036828E-3</v>
      </c>
      <c r="I73" s="550">
        <f t="shared" si="81"/>
        <v>-4.1868313805399895E-3</v>
      </c>
      <c r="J73" s="550">
        <f t="shared" si="81"/>
        <v>-2.9482977286577833E-3</v>
      </c>
      <c r="K73" s="550">
        <f t="shared" si="81"/>
        <v>-3.4445306439100077E-3</v>
      </c>
      <c r="L73" s="550">
        <f t="shared" si="81"/>
        <v>-3.8149021492618015E-3</v>
      </c>
      <c r="M73" s="550">
        <f t="shared" si="81"/>
        <v>-5.0324261985711504E-3</v>
      </c>
      <c r="N73" s="550">
        <f t="shared" si="81"/>
        <v>-2.8568289198989123E-3</v>
      </c>
      <c r="O73" s="550">
        <f t="shared" si="81"/>
        <v>-5.0512216578222991E-3</v>
      </c>
      <c r="P73" s="550">
        <f t="shared" si="81"/>
        <v>-2.9211412085270075E-2</v>
      </c>
      <c r="Q73" s="550">
        <f t="shared" si="81"/>
        <v>-3.8543404475637117E-3</v>
      </c>
      <c r="R73" s="550">
        <f t="shared" si="81"/>
        <v>-1.0040331501114648E-2</v>
      </c>
      <c r="S73" s="550">
        <f t="shared" si="81"/>
        <v>-3.1934724811294806E-3</v>
      </c>
      <c r="T73" s="550">
        <f t="shared" si="81"/>
        <v>-2.8455871731908134E-3</v>
      </c>
      <c r="U73" s="550">
        <f t="shared" si="81"/>
        <v>-6.6381010678092907E-3</v>
      </c>
      <c r="V73" s="616">
        <f t="shared" ref="V73:AA73" si="82">U73</f>
        <v>-6.6381010678092907E-3</v>
      </c>
      <c r="W73" s="616">
        <f t="shared" si="82"/>
        <v>-6.6381010678092907E-3</v>
      </c>
      <c r="X73" s="616">
        <f t="shared" si="82"/>
        <v>-6.6381010678092907E-3</v>
      </c>
      <c r="Y73" s="616">
        <f t="shared" si="82"/>
        <v>-6.6381010678092907E-3</v>
      </c>
      <c r="Z73" s="616">
        <f t="shared" si="82"/>
        <v>-6.6381010678092907E-3</v>
      </c>
      <c r="AA73" s="616">
        <f t="shared" si="82"/>
        <v>-6.6381010678092907E-3</v>
      </c>
    </row>
    <row r="74" spans="1:27">
      <c r="A74" s="1" t="s">
        <v>175</v>
      </c>
      <c r="B74" s="555">
        <v>152</v>
      </c>
      <c r="C74" s="555">
        <v>210</v>
      </c>
      <c r="D74" s="555">
        <v>188</v>
      </c>
      <c r="E74" s="555">
        <v>115</v>
      </c>
      <c r="F74" s="555">
        <v>127</v>
      </c>
      <c r="G74" s="555">
        <v>164</v>
      </c>
      <c r="H74" s="555">
        <v>247</v>
      </c>
      <c r="I74" s="555">
        <v>346</v>
      </c>
      <c r="J74" s="553">
        <f>895-J75</f>
        <v>840</v>
      </c>
      <c r="K74" s="553">
        <f>1070-K75</f>
        <v>1016</v>
      </c>
      <c r="L74" s="555">
        <v>231</v>
      </c>
      <c r="M74" s="556">
        <v>333</v>
      </c>
      <c r="N74" s="556">
        <v>330</v>
      </c>
      <c r="O74" s="559">
        <v>299</v>
      </c>
      <c r="P74" s="559">
        <v>39</v>
      </c>
      <c r="Q74" s="559">
        <v>40</v>
      </c>
      <c r="R74" s="559">
        <v>134</v>
      </c>
      <c r="S74" s="559">
        <v>267</v>
      </c>
      <c r="T74" s="559">
        <v>350</v>
      </c>
      <c r="U74" s="559">
        <v>305</v>
      </c>
      <c r="V74" s="562">
        <f t="shared" ref="V74:AA74" si="83">U74*(1.05)</f>
        <v>320.25</v>
      </c>
      <c r="W74" s="562">
        <f t="shared" si="83"/>
        <v>336.26249999999999</v>
      </c>
      <c r="X74" s="562">
        <f t="shared" si="83"/>
        <v>353.075625</v>
      </c>
      <c r="Y74" s="562">
        <f t="shared" si="83"/>
        <v>370.72940625000001</v>
      </c>
      <c r="Z74" s="562">
        <f t="shared" si="83"/>
        <v>389.26587656250001</v>
      </c>
      <c r="AA74" s="562">
        <f t="shared" si="83"/>
        <v>408.72917039062503</v>
      </c>
    </row>
    <row r="75" spans="1:27">
      <c r="A75" s="1" t="s">
        <v>174</v>
      </c>
      <c r="B75" s="555">
        <v>37</v>
      </c>
      <c r="C75" s="555">
        <v>86</v>
      </c>
      <c r="D75" s="555">
        <v>23</v>
      </c>
      <c r="E75" s="555">
        <v>19</v>
      </c>
      <c r="F75" s="555">
        <v>18</v>
      </c>
      <c r="G75" s="555">
        <v>28</v>
      </c>
      <c r="H75" s="555">
        <v>0</v>
      </c>
      <c r="I75" s="555">
        <v>0</v>
      </c>
      <c r="J75" s="555">
        <v>55</v>
      </c>
      <c r="K75" s="555">
        <v>54</v>
      </c>
      <c r="L75" s="555">
        <v>21</v>
      </c>
      <c r="M75" s="556">
        <v>82</v>
      </c>
      <c r="N75" s="556">
        <v>109</v>
      </c>
      <c r="O75" s="559">
        <v>4</v>
      </c>
      <c r="P75" s="559">
        <v>113</v>
      </c>
      <c r="Q75" s="559">
        <v>76</v>
      </c>
      <c r="R75" s="559">
        <v>58</v>
      </c>
      <c r="S75" s="559">
        <v>36</v>
      </c>
      <c r="T75" s="559">
        <v>44</v>
      </c>
      <c r="U75" s="559">
        <v>50</v>
      </c>
      <c r="V75" s="559">
        <v>50</v>
      </c>
      <c r="W75" s="559">
        <v>50</v>
      </c>
      <c r="X75" s="559">
        <v>50</v>
      </c>
      <c r="Y75" s="559">
        <v>50</v>
      </c>
      <c r="Z75" s="559">
        <v>50</v>
      </c>
      <c r="AA75" s="559">
        <v>50</v>
      </c>
    </row>
    <row r="76" spans="1:27">
      <c r="A76" s="660" t="s">
        <v>434</v>
      </c>
      <c r="B76" s="672">
        <f t="shared" ref="B76:U76" si="84">B62+B64+B66+B68+B70+B72+B74+B75</f>
        <v>278</v>
      </c>
      <c r="C76" s="672">
        <f t="shared" si="84"/>
        <v>-33</v>
      </c>
      <c r="D76" s="672">
        <f t="shared" si="84"/>
        <v>2772</v>
      </c>
      <c r="E76" s="672">
        <f t="shared" si="84"/>
        <v>-380</v>
      </c>
      <c r="F76" s="672">
        <f t="shared" si="84"/>
        <v>1187</v>
      </c>
      <c r="G76" s="672">
        <f t="shared" si="84"/>
        <v>1613</v>
      </c>
      <c r="H76" s="672">
        <f t="shared" si="84"/>
        <v>2089</v>
      </c>
      <c r="I76" s="672">
        <f t="shared" si="84"/>
        <v>6167</v>
      </c>
      <c r="J76" s="672">
        <f t="shared" si="84"/>
        <v>3991</v>
      </c>
      <c r="K76" s="672">
        <f t="shared" si="84"/>
        <v>4062</v>
      </c>
      <c r="L76" s="672">
        <f t="shared" si="84"/>
        <v>2258</v>
      </c>
      <c r="M76" s="672">
        <f t="shared" si="84"/>
        <v>3421</v>
      </c>
      <c r="N76" s="672">
        <f t="shared" si="84"/>
        <v>5048</v>
      </c>
      <c r="O76" s="663">
        <f t="shared" si="84"/>
        <v>1339</v>
      </c>
      <c r="P76" s="663">
        <f t="shared" si="84"/>
        <v>-510</v>
      </c>
      <c r="Q76" s="663">
        <f t="shared" si="84"/>
        <v>5342</v>
      </c>
      <c r="R76" s="663">
        <f t="shared" si="84"/>
        <v>5325</v>
      </c>
      <c r="S76" s="663">
        <f t="shared" si="84"/>
        <v>4603</v>
      </c>
      <c r="T76" s="663">
        <f t="shared" si="84"/>
        <v>5304</v>
      </c>
      <c r="U76" s="663">
        <f t="shared" si="84"/>
        <v>6082</v>
      </c>
      <c r="V76" s="663">
        <f t="shared" ref="V76:Z76" si="85">V31</f>
        <v>7612.6223301407481</v>
      </c>
      <c r="W76" s="663">
        <f t="shared" si="85"/>
        <v>9281.3937468996228</v>
      </c>
      <c r="X76" s="663">
        <f t="shared" si="85"/>
        <v>11593.856786348431</v>
      </c>
      <c r="Y76" s="663">
        <f t="shared" si="85"/>
        <v>13254.654457542723</v>
      </c>
      <c r="Z76" s="663">
        <f t="shared" si="85"/>
        <v>14127.450751599445</v>
      </c>
      <c r="AA76" s="663">
        <f t="shared" ref="AA76" si="86">AA31</f>
        <v>14752.724686371123</v>
      </c>
    </row>
    <row r="77" spans="1:27">
      <c r="A77" s="8" t="s">
        <v>54</v>
      </c>
      <c r="B77" s="271">
        <f t="shared" ref="B77:Z77" si="87">SUM(B78:B83)</f>
        <v>3157</v>
      </c>
      <c r="C77" s="271">
        <f t="shared" si="87"/>
        <v>3562</v>
      </c>
      <c r="D77" s="271">
        <f t="shared" si="87"/>
        <v>500</v>
      </c>
      <c r="E77" s="271">
        <f t="shared" si="87"/>
        <v>2470</v>
      </c>
      <c r="F77" s="271">
        <f t="shared" si="87"/>
        <v>110</v>
      </c>
      <c r="G77" s="271">
        <f t="shared" si="87"/>
        <v>98</v>
      </c>
      <c r="H77" s="271">
        <f t="shared" si="87"/>
        <v>820</v>
      </c>
      <c r="I77" s="271">
        <f t="shared" si="87"/>
        <v>913</v>
      </c>
      <c r="J77" s="271">
        <f t="shared" si="87"/>
        <v>75</v>
      </c>
      <c r="K77" s="271">
        <f t="shared" si="87"/>
        <v>46</v>
      </c>
      <c r="L77" s="271">
        <f t="shared" si="87"/>
        <v>1697</v>
      </c>
      <c r="M77" s="271">
        <f t="shared" si="87"/>
        <v>832</v>
      </c>
      <c r="N77" s="271">
        <f t="shared" si="87"/>
        <v>786</v>
      </c>
      <c r="O77" s="544">
        <f t="shared" si="87"/>
        <v>5607</v>
      </c>
      <c r="P77" s="544">
        <f t="shared" si="87"/>
        <v>2216</v>
      </c>
      <c r="Q77" s="544">
        <f t="shared" si="87"/>
        <v>-477</v>
      </c>
      <c r="R77" s="544">
        <f t="shared" si="87"/>
        <v>302</v>
      </c>
      <c r="S77" s="544">
        <f t="shared" si="87"/>
        <v>1235</v>
      </c>
      <c r="T77" s="544">
        <f t="shared" si="87"/>
        <v>50</v>
      </c>
      <c r="U77" s="544">
        <f t="shared" si="87"/>
        <v>1046</v>
      </c>
      <c r="V77" s="544">
        <f t="shared" si="87"/>
        <v>0</v>
      </c>
      <c r="W77" s="544">
        <f t="shared" si="87"/>
        <v>0</v>
      </c>
      <c r="X77" s="544">
        <f t="shared" si="87"/>
        <v>0</v>
      </c>
      <c r="Y77" s="544">
        <f t="shared" si="87"/>
        <v>0</v>
      </c>
      <c r="Z77" s="544">
        <f t="shared" si="87"/>
        <v>0</v>
      </c>
      <c r="AA77" s="544">
        <f t="shared" ref="AA77" si="88">SUM(AA78:AA83)</f>
        <v>0</v>
      </c>
    </row>
    <row r="78" spans="1:27" outlineLevel="1">
      <c r="A78" s="7" t="s">
        <v>53</v>
      </c>
      <c r="B78" s="545">
        <v>352</v>
      </c>
      <c r="C78" s="545">
        <v>1088</v>
      </c>
      <c r="D78" s="545">
        <v>800</v>
      </c>
      <c r="E78" s="545">
        <v>1820</v>
      </c>
      <c r="F78" s="545"/>
      <c r="G78" s="545"/>
      <c r="H78" s="545"/>
      <c r="I78" s="545"/>
      <c r="J78" s="545">
        <v>560</v>
      </c>
      <c r="K78" s="545">
        <v>290</v>
      </c>
      <c r="L78" s="545">
        <v>2210</v>
      </c>
      <c r="M78" s="545">
        <v>1299</v>
      </c>
      <c r="N78" s="545">
        <v>436</v>
      </c>
      <c r="O78" s="545">
        <v>1212</v>
      </c>
      <c r="P78" s="545"/>
      <c r="Q78" s="545">
        <v>212</v>
      </c>
      <c r="R78" s="545">
        <v>477</v>
      </c>
      <c r="S78" s="545">
        <v>41</v>
      </c>
      <c r="T78" s="545">
        <v>121</v>
      </c>
      <c r="U78" s="545"/>
      <c r="V78" s="544"/>
      <c r="W78" s="544"/>
      <c r="X78" s="544"/>
      <c r="Y78" s="544"/>
      <c r="Z78" s="544" t="s">
        <v>678</v>
      </c>
      <c r="AA78" s="544"/>
    </row>
    <row r="79" spans="1:27" outlineLevel="1">
      <c r="A79" s="7" t="s">
        <v>52</v>
      </c>
      <c r="B79" s="545">
        <v>2300</v>
      </c>
      <c r="C79" s="545">
        <v>1000</v>
      </c>
      <c r="D79" s="545">
        <v>1000</v>
      </c>
      <c r="E79" s="545">
        <v>240</v>
      </c>
      <c r="F79" s="545"/>
      <c r="G79" s="545">
        <v>200</v>
      </c>
      <c r="H79" s="545">
        <v>251</v>
      </c>
      <c r="I79" s="545">
        <v>85</v>
      </c>
      <c r="J79" s="545"/>
      <c r="K79" s="545"/>
      <c r="L79" s="545">
        <v>0</v>
      </c>
      <c r="M79" s="545">
        <v>0</v>
      </c>
      <c r="N79" s="545">
        <v>463</v>
      </c>
      <c r="O79" s="545">
        <v>202</v>
      </c>
      <c r="P79" s="545">
        <v>385</v>
      </c>
      <c r="Q79" s="545">
        <v>-274</v>
      </c>
      <c r="R79" s="545">
        <v>-28</v>
      </c>
      <c r="S79" s="545">
        <v>0</v>
      </c>
      <c r="T79" s="545">
        <v>0</v>
      </c>
      <c r="U79" s="545">
        <v>0</v>
      </c>
      <c r="V79" s="544">
        <v>0</v>
      </c>
      <c r="W79" s="544">
        <v>0</v>
      </c>
      <c r="X79" s="544">
        <v>0</v>
      </c>
      <c r="Y79" s="544">
        <v>0</v>
      </c>
      <c r="Z79" s="544">
        <v>0</v>
      </c>
      <c r="AA79" s="544">
        <v>0</v>
      </c>
    </row>
    <row r="80" spans="1:27" outlineLevel="1">
      <c r="A80" s="7" t="s">
        <v>51</v>
      </c>
      <c r="B80" s="545">
        <v>505</v>
      </c>
      <c r="C80" s="545">
        <v>850</v>
      </c>
      <c r="E80" s="545"/>
      <c r="F80" s="545"/>
      <c r="G80" s="545"/>
      <c r="H80" s="545">
        <v>124</v>
      </c>
      <c r="I80" s="545">
        <v>434</v>
      </c>
      <c r="J80" s="545"/>
      <c r="K80" s="545"/>
      <c r="L80" s="545">
        <v>385</v>
      </c>
      <c r="M80" s="545">
        <v>0</v>
      </c>
      <c r="N80" s="545">
        <v>0</v>
      </c>
      <c r="O80" s="545">
        <v>0</v>
      </c>
      <c r="P80" s="545">
        <v>0</v>
      </c>
      <c r="Q80" s="545">
        <v>0</v>
      </c>
      <c r="R80" s="545">
        <v>0</v>
      </c>
      <c r="S80" s="545">
        <v>0</v>
      </c>
      <c r="T80" s="545">
        <v>0</v>
      </c>
      <c r="U80" s="545">
        <v>0</v>
      </c>
      <c r="V80" s="544">
        <v>0</v>
      </c>
      <c r="W80" s="544">
        <v>0</v>
      </c>
      <c r="X80" s="544">
        <v>0</v>
      </c>
      <c r="Y80" s="544">
        <v>0</v>
      </c>
      <c r="Z80" s="544">
        <v>0</v>
      </c>
      <c r="AA80" s="544">
        <v>0</v>
      </c>
    </row>
    <row r="81" spans="1:36" outlineLevel="1">
      <c r="A81" s="7" t="s">
        <v>676</v>
      </c>
      <c r="B81" s="545"/>
      <c r="C81" s="545"/>
      <c r="E81" s="545"/>
      <c r="F81" s="545"/>
      <c r="G81" s="545"/>
      <c r="H81" s="545"/>
      <c r="I81" s="545"/>
      <c r="J81" s="545"/>
      <c r="K81" s="545"/>
      <c r="L81" s="545"/>
      <c r="M81" s="545"/>
      <c r="N81" s="545"/>
      <c r="O81" s="545"/>
      <c r="P81" s="545"/>
      <c r="Q81" s="545"/>
      <c r="R81" s="545"/>
      <c r="S81" s="545"/>
      <c r="T81" s="545"/>
      <c r="U81" s="545">
        <f>296+154-28</f>
        <v>422</v>
      </c>
      <c r="V81" s="544"/>
      <c r="W81" s="544"/>
      <c r="X81" s="544"/>
      <c r="Y81" s="544"/>
      <c r="Z81" s="544"/>
      <c r="AA81" s="544"/>
    </row>
    <row r="82" spans="1:36" outlineLevel="1">
      <c r="A82" s="7" t="s">
        <v>50</v>
      </c>
      <c r="D82" s="545">
        <v>-900</v>
      </c>
      <c r="E82" s="545">
        <v>50</v>
      </c>
      <c r="F82" s="545">
        <v>-30</v>
      </c>
      <c r="G82" s="545"/>
      <c r="H82" s="545"/>
      <c r="I82" s="545"/>
      <c r="J82" s="545"/>
      <c r="K82" s="545"/>
      <c r="L82" s="545"/>
      <c r="M82" s="545"/>
      <c r="N82" s="545"/>
      <c r="O82" s="545"/>
      <c r="P82" s="545"/>
      <c r="Q82" s="545"/>
      <c r="R82" s="545"/>
      <c r="S82" s="545"/>
      <c r="T82" s="545"/>
      <c r="U82" s="545"/>
      <c r="V82" s="544"/>
      <c r="W82" s="544"/>
      <c r="X82" s="544"/>
      <c r="Y82" s="544"/>
      <c r="Z82" s="544"/>
      <c r="AA82" s="544"/>
    </row>
    <row r="83" spans="1:36" outlineLevel="1">
      <c r="A83" s="7" t="s">
        <v>675</v>
      </c>
      <c r="C83" s="545">
        <v>624</v>
      </c>
      <c r="D83" s="545">
        <v>-400</v>
      </c>
      <c r="E83" s="545">
        <v>360</v>
      </c>
      <c r="F83" s="545">
        <v>140</v>
      </c>
      <c r="G83" s="545">
        <v>-102</v>
      </c>
      <c r="H83" s="545">
        <v>445</v>
      </c>
      <c r="I83" s="271">
        <f>102+292</f>
        <v>394</v>
      </c>
      <c r="J83" s="271">
        <f>-142-343</f>
        <v>-485</v>
      </c>
      <c r="K83" s="271">
        <f>635-748-41-90</f>
        <v>-244</v>
      </c>
      <c r="L83" s="568">
        <f>930+33+182-1175-868</f>
        <v>-898</v>
      </c>
      <c r="M83" s="271">
        <f>117+7-7+20-604</f>
        <v>-467</v>
      </c>
      <c r="N83" s="271">
        <f>123-188-129+81</f>
        <v>-113</v>
      </c>
      <c r="O83" s="546">
        <f>3598+221+170+103+101</f>
        <v>4193</v>
      </c>
      <c r="P83" s="546">
        <f>1202+480+149</f>
        <v>1831</v>
      </c>
      <c r="Q83" s="546">
        <f>-(331-38+122)</f>
        <v>-415</v>
      </c>
      <c r="R83" s="546">
        <f>-(-79-82+308)</f>
        <v>-147</v>
      </c>
      <c r="S83" s="546">
        <f>1030+75+89</f>
        <v>1194</v>
      </c>
      <c r="T83" s="546">
        <f>-101-51+40+41</f>
        <v>-71</v>
      </c>
      <c r="U83" s="546">
        <v>624</v>
      </c>
      <c r="V83" s="544"/>
      <c r="W83" s="544"/>
      <c r="X83" s="544"/>
      <c r="Y83" s="544"/>
      <c r="Z83" s="544"/>
      <c r="AA83" s="544"/>
    </row>
    <row r="84" spans="1:36">
      <c r="A84" s="660" t="s">
        <v>435</v>
      </c>
      <c r="B84" s="672">
        <f t="shared" ref="B84:I84" si="89">B151-B77</f>
        <v>399</v>
      </c>
      <c r="C84" s="672">
        <f t="shared" si="89"/>
        <v>52</v>
      </c>
      <c r="D84" s="672">
        <f t="shared" si="89"/>
        <v>2830</v>
      </c>
      <c r="E84" s="672">
        <f t="shared" si="89"/>
        <v>-322</v>
      </c>
      <c r="F84" s="672">
        <f t="shared" si="89"/>
        <v>1231</v>
      </c>
      <c r="G84" s="672">
        <f t="shared" si="89"/>
        <v>1696</v>
      </c>
      <c r="H84" s="672">
        <f t="shared" si="89"/>
        <v>2144</v>
      </c>
      <c r="I84" s="672">
        <f t="shared" si="89"/>
        <v>2661</v>
      </c>
      <c r="J84" s="663">
        <f t="shared" ref="J84:Z84" si="90">J76+J77</f>
        <v>4066</v>
      </c>
      <c r="K84" s="663">
        <f t="shared" si="90"/>
        <v>4108</v>
      </c>
      <c r="L84" s="663">
        <f t="shared" si="90"/>
        <v>3955</v>
      </c>
      <c r="M84" s="663">
        <f>M76+M77</f>
        <v>4253</v>
      </c>
      <c r="N84" s="663">
        <f t="shared" si="90"/>
        <v>5834</v>
      </c>
      <c r="O84" s="663">
        <f t="shared" si="90"/>
        <v>6946</v>
      </c>
      <c r="P84" s="663">
        <f t="shared" si="90"/>
        <v>1706</v>
      </c>
      <c r="Q84" s="663">
        <f t="shared" si="90"/>
        <v>4865</v>
      </c>
      <c r="R84" s="663">
        <f t="shared" si="90"/>
        <v>5627</v>
      </c>
      <c r="S84" s="663">
        <f t="shared" si="90"/>
        <v>5838</v>
      </c>
      <c r="T84" s="663">
        <f t="shared" si="90"/>
        <v>5354</v>
      </c>
      <c r="U84" s="663">
        <f t="shared" si="90"/>
        <v>7128</v>
      </c>
      <c r="V84" s="663">
        <f t="shared" si="90"/>
        <v>7612.6223301407481</v>
      </c>
      <c r="W84" s="663">
        <f t="shared" si="90"/>
        <v>9281.3937468996228</v>
      </c>
      <c r="X84" s="663">
        <f t="shared" si="90"/>
        <v>11593.856786348431</v>
      </c>
      <c r="Y84" s="663">
        <f t="shared" si="90"/>
        <v>13254.654457542723</v>
      </c>
      <c r="Z84" s="663">
        <f t="shared" si="90"/>
        <v>14127.450751599445</v>
      </c>
      <c r="AA84" s="663">
        <f t="shared" ref="AA84" si="91">AA76+AA77</f>
        <v>14752.724686371123</v>
      </c>
    </row>
    <row r="85" spans="1:36">
      <c r="A85" s="671" t="s">
        <v>599</v>
      </c>
      <c r="B85" s="664">
        <f t="shared" ref="B85:Z85" si="92">B76/B$58</f>
        <v>7.0497540193741439E-3</v>
      </c>
      <c r="C85" s="664">
        <f t="shared" si="92"/>
        <v>-8.4349359711678555E-4</v>
      </c>
      <c r="D85" s="664">
        <f t="shared" si="92"/>
        <v>6.4070264648098924E-2</v>
      </c>
      <c r="E85" s="664">
        <f t="shared" si="92"/>
        <v>-8.8739433001728089E-3</v>
      </c>
      <c r="F85" s="664">
        <f t="shared" si="92"/>
        <v>2.5944221017660429E-2</v>
      </c>
      <c r="G85" s="664">
        <f t="shared" si="92"/>
        <v>3.2832600553655757E-2</v>
      </c>
      <c r="H85" s="664">
        <f t="shared" si="92"/>
        <v>3.698654390934844E-2</v>
      </c>
      <c r="I85" s="664">
        <f t="shared" si="92"/>
        <v>9.8175624044829338E-2</v>
      </c>
      <c r="J85" s="664">
        <f t="shared" si="92"/>
        <v>6.5735509693146441E-2</v>
      </c>
      <c r="K85" s="664">
        <f t="shared" si="92"/>
        <v>6.3025601241272308E-2</v>
      </c>
      <c r="L85" s="664">
        <f t="shared" si="92"/>
        <v>3.3913578948949398E-2</v>
      </c>
      <c r="M85" s="673">
        <f t="shared" si="92"/>
        <v>5.123788698009496E-2</v>
      </c>
      <c r="N85" s="664">
        <f t="shared" si="92"/>
        <v>7.9237760371701702E-2</v>
      </c>
      <c r="O85" s="664">
        <f t="shared" si="92"/>
        <v>1.8998836516359714E-2</v>
      </c>
      <c r="P85" s="664">
        <f t="shared" si="92"/>
        <v>-1.0217983651226158E-2</v>
      </c>
      <c r="Q85" s="664">
        <f t="shared" si="92"/>
        <v>0.10243724711883258</v>
      </c>
      <c r="R85" s="664">
        <f t="shared" si="92"/>
        <v>9.0618246175314401E-2</v>
      </c>
      <c r="S85" s="664">
        <f t="shared" si="92"/>
        <v>7.033279344803349E-2</v>
      </c>
      <c r="T85" s="664">
        <f t="shared" si="92"/>
        <v>7.6614184602051133E-2</v>
      </c>
      <c r="U85" s="664">
        <f t="shared" si="92"/>
        <v>8.2731415357410049E-2</v>
      </c>
      <c r="V85" s="664">
        <f t="shared" si="92"/>
        <v>9.4810871998285931E-2</v>
      </c>
      <c r="W85" s="664">
        <f t="shared" si="92"/>
        <v>0.10160904138198226</v>
      </c>
      <c r="X85" s="664">
        <f t="shared" si="92"/>
        <v>0.1129515116709592</v>
      </c>
      <c r="Y85" s="664">
        <f t="shared" si="92"/>
        <v>0.11912118303534283</v>
      </c>
      <c r="Z85" s="664">
        <f t="shared" si="92"/>
        <v>0.12083519091602918</v>
      </c>
      <c r="AA85" s="664">
        <f t="shared" ref="AA85" si="93">AA76/AA$58</f>
        <v>0.12145381815240128</v>
      </c>
    </row>
    <row r="86" spans="1:36" s="12" customFormat="1">
      <c r="A86" s="12" t="s">
        <v>619</v>
      </c>
      <c r="B86" s="794">
        <f t="shared" ref="B86:L86" si="94">SUM(B87:B89)</f>
        <v>-244</v>
      </c>
      <c r="C86" s="794">
        <f t="shared" si="94"/>
        <v>-737</v>
      </c>
      <c r="D86" s="794">
        <f t="shared" si="94"/>
        <v>-472</v>
      </c>
      <c r="E86" s="794">
        <f t="shared" si="94"/>
        <v>-592</v>
      </c>
      <c r="F86" s="794">
        <f t="shared" si="94"/>
        <v>-371</v>
      </c>
      <c r="G86" s="794">
        <f t="shared" si="94"/>
        <v>-220</v>
      </c>
      <c r="H86" s="794">
        <f t="shared" si="94"/>
        <v>-453</v>
      </c>
      <c r="I86" s="794">
        <f t="shared" si="94"/>
        <v>-630</v>
      </c>
      <c r="J86" s="794">
        <f t="shared" si="94"/>
        <v>-778</v>
      </c>
      <c r="K86" s="794">
        <f t="shared" si="94"/>
        <v>-687</v>
      </c>
      <c r="L86" s="794">
        <f t="shared" si="94"/>
        <v>-967</v>
      </c>
      <c r="M86" s="795">
        <v>1149</v>
      </c>
      <c r="N86" s="794">
        <f t="shared" ref="N86:T86" si="95">SUM(N87:N89)</f>
        <v>-763</v>
      </c>
      <c r="O86" s="599">
        <f t="shared" si="95"/>
        <v>-275</v>
      </c>
      <c r="P86" s="599">
        <f t="shared" si="95"/>
        <v>-620</v>
      </c>
      <c r="Q86" s="599">
        <f t="shared" si="95"/>
        <v>-315</v>
      </c>
      <c r="R86" s="599">
        <f t="shared" si="95"/>
        <v>-250</v>
      </c>
      <c r="S86" s="599">
        <f t="shared" si="95"/>
        <v>166</v>
      </c>
      <c r="T86" s="599">
        <f t="shared" si="95"/>
        <v>121</v>
      </c>
      <c r="U86" s="599">
        <f>SUM(U87:U89)</f>
        <v>268</v>
      </c>
      <c r="V86" s="599">
        <f t="shared" ref="V86:Z86" si="96">SUM(V87:V89)</f>
        <v>-91.059999999999945</v>
      </c>
      <c r="W86" s="599">
        <f t="shared" si="96"/>
        <v>-16.914826230514223</v>
      </c>
      <c r="X86" s="599">
        <f t="shared" si="96"/>
        <v>52.446264611360562</v>
      </c>
      <c r="Y86" s="599">
        <f t="shared" si="96"/>
        <v>160.69668504411959</v>
      </c>
      <c r="Z86" s="599">
        <f t="shared" si="96"/>
        <v>455.93357478289079</v>
      </c>
      <c r="AA86" s="599">
        <f t="shared" ref="AA86" si="97">SUM(AA87:AA89)</f>
        <v>753.47343827729469</v>
      </c>
    </row>
    <row r="87" spans="1:36">
      <c r="A87" s="8" t="s">
        <v>173</v>
      </c>
      <c r="B87" s="555">
        <v>454</v>
      </c>
      <c r="C87" s="555">
        <v>502</v>
      </c>
      <c r="D87" s="555">
        <v>617</v>
      </c>
      <c r="E87" s="555">
        <v>356</v>
      </c>
      <c r="F87" s="555">
        <v>316</v>
      </c>
      <c r="G87" s="555">
        <v>377</v>
      </c>
      <c r="H87" s="555">
        <v>237</v>
      </c>
      <c r="I87" s="555">
        <v>168</v>
      </c>
      <c r="J87" s="555">
        <v>142</v>
      </c>
      <c r="K87" s="555">
        <v>183</v>
      </c>
      <c r="L87" s="556">
        <v>247</v>
      </c>
      <c r="M87" s="556">
        <v>189</v>
      </c>
      <c r="N87" s="556">
        <v>208</v>
      </c>
      <c r="O87" s="559">
        <v>228</v>
      </c>
      <c r="P87" s="559">
        <v>140</v>
      </c>
      <c r="Q87" s="559">
        <v>88</v>
      </c>
      <c r="R87" s="559">
        <v>180</v>
      </c>
      <c r="S87" s="559">
        <v>728</v>
      </c>
      <c r="T87" s="559">
        <v>802</v>
      </c>
      <c r="U87" s="559">
        <v>710</v>
      </c>
      <c r="V87" s="659">
        <f t="shared" ref="V87:Z87" si="98">V134</f>
        <v>649.88800000000003</v>
      </c>
      <c r="W87" s="659">
        <f t="shared" si="98"/>
        <v>673.03517376948571</v>
      </c>
      <c r="X87" s="659">
        <f t="shared" si="98"/>
        <v>701.7422646113605</v>
      </c>
      <c r="Y87" s="659">
        <f t="shared" si="98"/>
        <v>770.42668504411949</v>
      </c>
      <c r="Z87" s="659">
        <f t="shared" si="98"/>
        <v>1014.2025747828907</v>
      </c>
      <c r="AA87" s="659">
        <f t="shared" ref="AA87" si="99">AA134</f>
        <v>1274.6244382772945</v>
      </c>
    </row>
    <row r="88" spans="1:36">
      <c r="A88" s="8" t="s">
        <v>172</v>
      </c>
      <c r="B88" s="555">
        <v>-575</v>
      </c>
      <c r="C88" s="555">
        <v>-701</v>
      </c>
      <c r="D88" s="555">
        <v>-581</v>
      </c>
      <c r="E88" s="555">
        <v>-503</v>
      </c>
      <c r="F88" s="555">
        <v>-415</v>
      </c>
      <c r="G88" s="555">
        <v>-364</v>
      </c>
      <c r="H88" s="555">
        <v>-522</v>
      </c>
      <c r="I88" s="555">
        <v>-497</v>
      </c>
      <c r="J88" s="555">
        <v>-462</v>
      </c>
      <c r="K88" s="555">
        <v>-551</v>
      </c>
      <c r="L88" s="556">
        <v>-522</v>
      </c>
      <c r="M88" s="556">
        <v>-517</v>
      </c>
      <c r="N88" s="556">
        <v>-440</v>
      </c>
      <c r="O88" s="559">
        <v>-339</v>
      </c>
      <c r="P88" s="559">
        <v>-411</v>
      </c>
      <c r="Q88" s="559">
        <v>-334</v>
      </c>
      <c r="R88" s="559">
        <v>-412</v>
      </c>
      <c r="S88" s="559">
        <v>-753</v>
      </c>
      <c r="T88" s="559">
        <v>-900</v>
      </c>
      <c r="U88" s="559">
        <v>-770</v>
      </c>
      <c r="V88" s="659">
        <f>V133</f>
        <v>-740.94799999999998</v>
      </c>
      <c r="W88" s="659">
        <f t="shared" ref="W88:Z88" si="100">W133</f>
        <v>-689.94999999999993</v>
      </c>
      <c r="X88" s="659">
        <f t="shared" si="100"/>
        <v>-649.29599999999994</v>
      </c>
      <c r="Y88" s="659">
        <f t="shared" si="100"/>
        <v>-609.7299999999999</v>
      </c>
      <c r="Z88" s="659">
        <f t="shared" si="100"/>
        <v>-558.26899999999989</v>
      </c>
      <c r="AA88" s="659">
        <f t="shared" ref="AA88" si="101">AA133</f>
        <v>-521.15099999999984</v>
      </c>
    </row>
    <row r="89" spans="1:36">
      <c r="A89" s="8" t="s">
        <v>171</v>
      </c>
      <c r="B89" s="555">
        <v>-123</v>
      </c>
      <c r="C89" s="555">
        <v>-538</v>
      </c>
      <c r="D89" s="555">
        <v>-508</v>
      </c>
      <c r="E89" s="555">
        <v>-445</v>
      </c>
      <c r="F89" s="555">
        <v>-272</v>
      </c>
      <c r="G89" s="555">
        <v>-233</v>
      </c>
      <c r="H89" s="555">
        <v>-168</v>
      </c>
      <c r="I89" s="555">
        <v>-301</v>
      </c>
      <c r="J89" s="555">
        <v>-458</v>
      </c>
      <c r="K89" s="555">
        <v>-319</v>
      </c>
      <c r="L89" s="555">
        <v>-692</v>
      </c>
      <c r="M89" s="555">
        <v>1477</v>
      </c>
      <c r="N89" s="556">
        <v>-531</v>
      </c>
      <c r="O89" s="546">
        <v>-164</v>
      </c>
      <c r="P89" s="546">
        <v>-349</v>
      </c>
      <c r="Q89" s="546">
        <v>-69</v>
      </c>
      <c r="R89" s="546">
        <v>-18</v>
      </c>
      <c r="S89" s="546">
        <v>191</v>
      </c>
      <c r="T89" s="546">
        <v>219</v>
      </c>
      <c r="U89" s="546">
        <v>328</v>
      </c>
      <c r="V89" s="544"/>
      <c r="W89" s="544"/>
      <c r="X89" s="544"/>
      <c r="Y89" s="544"/>
      <c r="Z89" s="544"/>
      <c r="AA89" s="544"/>
    </row>
    <row r="90" spans="1:36">
      <c r="A90" s="660" t="s">
        <v>581</v>
      </c>
      <c r="B90" s="663">
        <f t="shared" ref="B90:Z90" si="102">B76+B86</f>
        <v>34</v>
      </c>
      <c r="C90" s="663">
        <f t="shared" si="102"/>
        <v>-770</v>
      </c>
      <c r="D90" s="663">
        <f t="shared" si="102"/>
        <v>2300</v>
      </c>
      <c r="E90" s="663">
        <f t="shared" si="102"/>
        <v>-972</v>
      </c>
      <c r="F90" s="663">
        <f t="shared" si="102"/>
        <v>816</v>
      </c>
      <c r="G90" s="663">
        <f t="shared" si="102"/>
        <v>1393</v>
      </c>
      <c r="H90" s="663">
        <f t="shared" si="102"/>
        <v>1636</v>
      </c>
      <c r="I90" s="663">
        <f t="shared" si="102"/>
        <v>5537</v>
      </c>
      <c r="J90" s="663">
        <f t="shared" si="102"/>
        <v>3213</v>
      </c>
      <c r="K90" s="663">
        <f t="shared" si="102"/>
        <v>3375</v>
      </c>
      <c r="L90" s="663">
        <f t="shared" si="102"/>
        <v>1291</v>
      </c>
      <c r="M90" s="663">
        <f t="shared" si="102"/>
        <v>4570</v>
      </c>
      <c r="N90" s="663">
        <f t="shared" si="102"/>
        <v>4285</v>
      </c>
      <c r="O90" s="663">
        <f t="shared" si="102"/>
        <v>1064</v>
      </c>
      <c r="P90" s="663">
        <f t="shared" si="102"/>
        <v>-1130</v>
      </c>
      <c r="Q90" s="663">
        <f t="shared" si="102"/>
        <v>5027</v>
      </c>
      <c r="R90" s="663">
        <f t="shared" si="102"/>
        <v>5075</v>
      </c>
      <c r="S90" s="663">
        <f t="shared" si="102"/>
        <v>4769</v>
      </c>
      <c r="T90" s="663">
        <f t="shared" si="102"/>
        <v>5425</v>
      </c>
      <c r="U90" s="663">
        <f t="shared" si="102"/>
        <v>6350</v>
      </c>
      <c r="V90" s="663">
        <f t="shared" si="102"/>
        <v>7521.5623301407486</v>
      </c>
      <c r="W90" s="663">
        <f t="shared" si="102"/>
        <v>9264.4789206691094</v>
      </c>
      <c r="X90" s="663">
        <f t="shared" si="102"/>
        <v>11646.303050959792</v>
      </c>
      <c r="Y90" s="663">
        <f t="shared" si="102"/>
        <v>13415.351142586844</v>
      </c>
      <c r="Z90" s="663">
        <f t="shared" si="102"/>
        <v>14583.384326382335</v>
      </c>
      <c r="AA90" s="663">
        <f>AA76+AA86</f>
        <v>15506.198124648417</v>
      </c>
    </row>
    <row r="91" spans="1:36">
      <c r="A91" s="671" t="s">
        <v>47</v>
      </c>
      <c r="B91" s="664">
        <f t="shared" ref="B91:Z91" si="103">B90/B$58</f>
        <v>8.6220013186590256E-4</v>
      </c>
      <c r="C91" s="664">
        <f t="shared" si="103"/>
        <v>-1.9681517266058327E-2</v>
      </c>
      <c r="D91" s="664">
        <f t="shared" si="103"/>
        <v>5.3160753495897377E-2</v>
      </c>
      <c r="E91" s="664">
        <f t="shared" si="103"/>
        <v>-2.269861286254729E-2</v>
      </c>
      <c r="F91" s="664">
        <f t="shared" si="103"/>
        <v>1.7835285889141458E-2</v>
      </c>
      <c r="G91" s="664">
        <f t="shared" si="103"/>
        <v>2.8354502524018891E-2</v>
      </c>
      <c r="H91" s="664">
        <f t="shared" si="103"/>
        <v>2.896600566572238E-2</v>
      </c>
      <c r="I91" s="664">
        <f t="shared" si="103"/>
        <v>8.8146332144676515E-2</v>
      </c>
      <c r="J91" s="664">
        <f t="shared" si="103"/>
        <v>5.2921120682555632E-2</v>
      </c>
      <c r="K91" s="664">
        <f t="shared" si="103"/>
        <v>5.2366175329712959E-2</v>
      </c>
      <c r="L91" s="664">
        <f t="shared" si="103"/>
        <v>1.9389916042114118E-2</v>
      </c>
      <c r="M91" s="664">
        <f t="shared" si="103"/>
        <v>6.8446987284137367E-2</v>
      </c>
      <c r="N91" s="664">
        <f t="shared" si="103"/>
        <v>6.7261054515202409E-2</v>
      </c>
      <c r="O91" s="664">
        <f t="shared" si="103"/>
        <v>1.5096909673940805E-2</v>
      </c>
      <c r="P91" s="664">
        <f t="shared" si="103"/>
        <v>-2.2639846129187371E-2</v>
      </c>
      <c r="Q91" s="664">
        <f t="shared" si="103"/>
        <v>9.6396862835337202E-2</v>
      </c>
      <c r="R91" s="664">
        <f t="shared" si="103"/>
        <v>8.6363868420604797E-2</v>
      </c>
      <c r="S91" s="664">
        <f t="shared" si="103"/>
        <v>7.2869235705772695E-2</v>
      </c>
      <c r="T91" s="664">
        <f t="shared" si="103"/>
        <v>7.8361981799797781E-2</v>
      </c>
      <c r="U91" s="664">
        <f t="shared" si="103"/>
        <v>8.637692987825614E-2</v>
      </c>
      <c r="V91" s="664">
        <f t="shared" si="103"/>
        <v>9.3676771601635317E-2</v>
      </c>
      <c r="W91" s="664">
        <f t="shared" si="103"/>
        <v>0.10142386452974503</v>
      </c>
      <c r="X91" s="664">
        <f t="shared" si="103"/>
        <v>0.1134624619939202</v>
      </c>
      <c r="Y91" s="664">
        <f t="shared" si="103"/>
        <v>0.12056538358343183</v>
      </c>
      <c r="Z91" s="664">
        <f t="shared" si="103"/>
        <v>0.12473489097675534</v>
      </c>
      <c r="AA91" s="664">
        <f t="shared" ref="AA91" si="104">AA90/AA$58</f>
        <v>0.12765689100169914</v>
      </c>
      <c r="AE91" s="6"/>
      <c r="AF91" s="6"/>
      <c r="AG91" s="6"/>
      <c r="AH91" s="6"/>
      <c r="AI91" s="6"/>
      <c r="AJ91" s="6"/>
    </row>
    <row r="92" spans="1:36">
      <c r="A92" s="8" t="s">
        <v>582</v>
      </c>
      <c r="B92" s="550"/>
      <c r="C92" s="550"/>
      <c r="D92" s="550"/>
      <c r="E92" s="550"/>
      <c r="F92" s="550"/>
      <c r="G92" s="550"/>
      <c r="H92" s="550"/>
      <c r="I92" s="550"/>
      <c r="J92" s="271">
        <v>-437</v>
      </c>
      <c r="K92" s="271">
        <v>-469</v>
      </c>
      <c r="L92" s="271">
        <v>-340</v>
      </c>
      <c r="M92" s="271">
        <v>-377</v>
      </c>
      <c r="N92" s="271">
        <v>-276</v>
      </c>
      <c r="O92" s="271">
        <v>-157</v>
      </c>
      <c r="P92" s="271">
        <v>-296</v>
      </c>
      <c r="Q92" s="545">
        <v>-265</v>
      </c>
      <c r="R92" s="546">
        <v>-224</v>
      </c>
      <c r="S92" s="546">
        <v>-28</v>
      </c>
      <c r="T92" s="545">
        <v>-97</v>
      </c>
      <c r="U92" s="545">
        <f>710-770+22</f>
        <v>-38</v>
      </c>
      <c r="V92" s="552">
        <f t="shared" ref="V92:Z92" si="105">V86</f>
        <v>-91.059999999999945</v>
      </c>
      <c r="W92" s="552">
        <f t="shared" si="105"/>
        <v>-16.914826230514223</v>
      </c>
      <c r="X92" s="552">
        <f t="shared" si="105"/>
        <v>52.446264611360562</v>
      </c>
      <c r="Y92" s="552">
        <f t="shared" si="105"/>
        <v>160.69668504411959</v>
      </c>
      <c r="Z92" s="552">
        <f t="shared" si="105"/>
        <v>455.93357478289079</v>
      </c>
      <c r="AA92" s="552">
        <f t="shared" ref="AA92" si="106">AA86</f>
        <v>753.47343827729469</v>
      </c>
      <c r="AE92" s="6"/>
      <c r="AF92" s="6"/>
      <c r="AG92" s="6"/>
      <c r="AH92" s="6"/>
      <c r="AI92" s="6"/>
      <c r="AJ92" s="6"/>
    </row>
    <row r="93" spans="1:36">
      <c r="A93" s="660" t="s">
        <v>583</v>
      </c>
      <c r="B93" s="661"/>
      <c r="C93" s="661"/>
      <c r="D93" s="661"/>
      <c r="E93" s="661"/>
      <c r="F93" s="661"/>
      <c r="G93" s="661"/>
      <c r="H93" s="661"/>
      <c r="I93" s="661"/>
      <c r="J93" s="663">
        <f t="shared" ref="J93:Z93" si="107">J84+J92</f>
        <v>3629</v>
      </c>
      <c r="K93" s="663">
        <f t="shared" si="107"/>
        <v>3639</v>
      </c>
      <c r="L93" s="663">
        <f t="shared" si="107"/>
        <v>3615</v>
      </c>
      <c r="M93" s="663">
        <f t="shared" si="107"/>
        <v>3876</v>
      </c>
      <c r="N93" s="663">
        <f t="shared" si="107"/>
        <v>5558</v>
      </c>
      <c r="O93" s="663">
        <f t="shared" si="107"/>
        <v>6789</v>
      </c>
      <c r="P93" s="663">
        <f t="shared" si="107"/>
        <v>1410</v>
      </c>
      <c r="Q93" s="663">
        <f t="shared" si="107"/>
        <v>4600</v>
      </c>
      <c r="R93" s="663">
        <f t="shared" si="107"/>
        <v>5403</v>
      </c>
      <c r="S93" s="663">
        <f t="shared" si="107"/>
        <v>5810</v>
      </c>
      <c r="T93" s="663">
        <f t="shared" si="107"/>
        <v>5257</v>
      </c>
      <c r="U93" s="663">
        <f t="shared" si="107"/>
        <v>7090</v>
      </c>
      <c r="V93" s="663">
        <f t="shared" si="107"/>
        <v>7521.5623301407486</v>
      </c>
      <c r="W93" s="663">
        <f t="shared" si="107"/>
        <v>9264.4789206691094</v>
      </c>
      <c r="X93" s="663">
        <f t="shared" si="107"/>
        <v>11646.303050959792</v>
      </c>
      <c r="Y93" s="663">
        <f t="shared" si="107"/>
        <v>13415.351142586844</v>
      </c>
      <c r="Z93" s="663">
        <f t="shared" si="107"/>
        <v>14583.384326382335</v>
      </c>
      <c r="AA93" s="663">
        <f t="shared" ref="AA93" si="108">AA84+AA92</f>
        <v>15506.198124648417</v>
      </c>
      <c r="AE93" s="6"/>
      <c r="AF93" s="6"/>
      <c r="AG93" s="6"/>
      <c r="AH93" s="6"/>
      <c r="AI93" s="6"/>
      <c r="AJ93" s="6"/>
    </row>
    <row r="94" spans="1:36">
      <c r="A94" s="1" t="s">
        <v>170</v>
      </c>
      <c r="B94" s="555">
        <v>81</v>
      </c>
      <c r="C94" s="555">
        <v>333</v>
      </c>
      <c r="D94" s="555">
        <v>-703</v>
      </c>
      <c r="E94" s="555">
        <v>220</v>
      </c>
      <c r="F94" s="555">
        <v>-244</v>
      </c>
      <c r="G94" s="555">
        <v>-356</v>
      </c>
      <c r="H94" s="555">
        <v>-438</v>
      </c>
      <c r="I94" s="555">
        <v>-502</v>
      </c>
      <c r="J94" s="555">
        <v>-863</v>
      </c>
      <c r="K94" s="555">
        <v>-677</v>
      </c>
      <c r="L94" s="555">
        <v>-291</v>
      </c>
      <c r="M94" s="555">
        <v>-1693</v>
      </c>
      <c r="N94" s="555">
        <v>-1274</v>
      </c>
      <c r="O94" s="546">
        <v>-2389</v>
      </c>
      <c r="P94" s="546">
        <v>-39</v>
      </c>
      <c r="Q94" s="546">
        <v>-853</v>
      </c>
      <c r="R94" s="546">
        <v>-939</v>
      </c>
      <c r="S94" s="546">
        <v>-1156</v>
      </c>
      <c r="T94" s="546">
        <v>-1347</v>
      </c>
      <c r="U94" s="546">
        <v>-1390</v>
      </c>
      <c r="V94" s="544">
        <f t="shared" ref="V94:Z94" si="109">V97*V90</f>
        <v>-2030.5035683906053</v>
      </c>
      <c r="W94" s="544">
        <f t="shared" si="109"/>
        <v>-2501.0172995995308</v>
      </c>
      <c r="X94" s="544">
        <f t="shared" si="109"/>
        <v>-3144.009032374759</v>
      </c>
      <c r="Y94" s="544">
        <f t="shared" si="109"/>
        <v>-3621.5771631750658</v>
      </c>
      <c r="Z94" s="544">
        <f t="shared" si="109"/>
        <v>-3936.8966996750055</v>
      </c>
      <c r="AA94" s="544">
        <f t="shared" ref="AA94" si="110">AA97*AA90</f>
        <v>-4186.0173780785708</v>
      </c>
    </row>
    <row r="95" spans="1:36">
      <c r="A95" s="1" t="s">
        <v>584</v>
      </c>
      <c r="B95" s="555"/>
      <c r="C95" s="555"/>
      <c r="D95" s="555"/>
      <c r="E95" s="555"/>
      <c r="F95" s="555"/>
      <c r="G95" s="555"/>
      <c r="H95" s="555"/>
      <c r="I95" s="555"/>
      <c r="J95" s="555">
        <v>-988</v>
      </c>
      <c r="K95" s="555">
        <v>-975</v>
      </c>
      <c r="L95" s="555">
        <v>-1048</v>
      </c>
      <c r="M95" s="555">
        <v>-1276.7</v>
      </c>
      <c r="N95" s="555">
        <v>-1556</v>
      </c>
      <c r="O95" s="546">
        <v>-2037</v>
      </c>
      <c r="P95" s="546">
        <v>-381</v>
      </c>
      <c r="Q95" s="546">
        <v>-1242</v>
      </c>
      <c r="R95" s="546">
        <v>-1459</v>
      </c>
      <c r="S95" s="546">
        <v>-1569</v>
      </c>
      <c r="T95" s="546">
        <v>-1419</v>
      </c>
      <c r="U95" s="546">
        <v>-1914</v>
      </c>
      <c r="V95" s="544">
        <f t="shared" ref="V95:Z95" si="111">V93*V97</f>
        <v>-2030.5035683906053</v>
      </c>
      <c r="W95" s="544">
        <f t="shared" si="111"/>
        <v>-2501.0172995995308</v>
      </c>
      <c r="X95" s="544">
        <f t="shared" si="111"/>
        <v>-3144.009032374759</v>
      </c>
      <c r="Y95" s="544">
        <f t="shared" si="111"/>
        <v>-3621.5771631750658</v>
      </c>
      <c r="Z95" s="544">
        <f t="shared" si="111"/>
        <v>-3936.8966996750055</v>
      </c>
      <c r="AA95" s="544">
        <f t="shared" ref="AA95" si="112">AA93*AA97</f>
        <v>-4186.0173780785708</v>
      </c>
    </row>
    <row r="96" spans="1:36">
      <c r="A96" s="72" t="s">
        <v>578</v>
      </c>
      <c r="B96" s="550">
        <f t="shared" ref="B96:U96" si="113">B94/B90</f>
        <v>2.3823529411764706</v>
      </c>
      <c r="C96" s="550">
        <f t="shared" si="113"/>
        <v>-0.43246753246753245</v>
      </c>
      <c r="D96" s="550">
        <f t="shared" si="113"/>
        <v>-0.3056521739130435</v>
      </c>
      <c r="E96" s="550">
        <f t="shared" si="113"/>
        <v>-0.22633744855967078</v>
      </c>
      <c r="F96" s="550">
        <f t="shared" si="113"/>
        <v>-0.29901960784313725</v>
      </c>
      <c r="G96" s="550">
        <f t="shared" si="113"/>
        <v>-0.25556353194544151</v>
      </c>
      <c r="H96" s="550">
        <f t="shared" si="113"/>
        <v>-0.26772616136919314</v>
      </c>
      <c r="I96" s="550">
        <f t="shared" si="113"/>
        <v>-9.0662813798085606E-2</v>
      </c>
      <c r="J96" s="550">
        <f t="shared" si="113"/>
        <v>-0.26859632741985684</v>
      </c>
      <c r="K96" s="550">
        <f t="shared" si="113"/>
        <v>-0.2005925925925926</v>
      </c>
      <c r="L96" s="550">
        <f t="shared" si="113"/>
        <v>-0.22540666150271108</v>
      </c>
      <c r="M96" s="550">
        <f t="shared" si="113"/>
        <v>-0.37045951859956239</v>
      </c>
      <c r="N96" s="550">
        <f t="shared" si="113"/>
        <v>-0.297316219369895</v>
      </c>
      <c r="O96" s="550">
        <f t="shared" si="113"/>
        <v>-2.2453007518796992</v>
      </c>
      <c r="P96" s="550">
        <f t="shared" si="113"/>
        <v>3.4513274336283185E-2</v>
      </c>
      <c r="Q96" s="664">
        <f t="shared" si="113"/>
        <v>-0.16968370797692461</v>
      </c>
      <c r="R96" s="664">
        <f t="shared" si="113"/>
        <v>-0.18502463054187193</v>
      </c>
      <c r="S96" s="664">
        <f t="shared" si="113"/>
        <v>-0.24239882574963303</v>
      </c>
      <c r="T96" s="664">
        <f t="shared" si="113"/>
        <v>-0.24829493087557603</v>
      </c>
      <c r="U96" s="664">
        <f t="shared" si="113"/>
        <v>-0.2188976377952756</v>
      </c>
      <c r="V96" s="550"/>
      <c r="W96" s="550"/>
      <c r="X96" s="550"/>
      <c r="Y96" s="550"/>
      <c r="Z96" s="550"/>
      <c r="AA96" s="550"/>
    </row>
    <row r="97" spans="1:27">
      <c r="A97" s="72" t="s">
        <v>591</v>
      </c>
      <c r="B97" s="553"/>
      <c r="C97" s="553"/>
      <c r="D97" s="553"/>
      <c r="E97" s="553"/>
      <c r="F97" s="553"/>
      <c r="G97" s="553"/>
      <c r="H97" s="553"/>
      <c r="I97" s="553"/>
      <c r="J97" s="550">
        <f>J95/J93</f>
        <v>-0.27225130890052357</v>
      </c>
      <c r="K97" s="550">
        <f>K95/K93</f>
        <v>-0.26793075020610058</v>
      </c>
      <c r="L97" s="550">
        <f>L95/L93</f>
        <v>-0.28990318118948827</v>
      </c>
      <c r="M97" s="550">
        <f>M95/M93</f>
        <v>-0.32938596491228073</v>
      </c>
      <c r="N97" s="550">
        <f>N95/N93</f>
        <v>-0.27995681899964014</v>
      </c>
      <c r="O97" s="550">
        <f t="shared" ref="O97:U97" si="114">O95/O93</f>
        <v>-0.30004418912947417</v>
      </c>
      <c r="P97" s="550">
        <f t="shared" si="114"/>
        <v>-0.27021276595744681</v>
      </c>
      <c r="Q97" s="550">
        <f t="shared" si="114"/>
        <v>-0.27</v>
      </c>
      <c r="R97" s="550">
        <f t="shared" si="114"/>
        <v>-0.27003516564871366</v>
      </c>
      <c r="S97" s="550">
        <f t="shared" si="114"/>
        <v>-0.27005163511187608</v>
      </c>
      <c r="T97" s="550">
        <f t="shared" si="114"/>
        <v>-0.26992581320144571</v>
      </c>
      <c r="U97" s="550">
        <f t="shared" si="114"/>
        <v>-0.2699576868829337</v>
      </c>
      <c r="V97" s="796">
        <f>U97</f>
        <v>-0.2699576868829337</v>
      </c>
      <c r="W97" s="796">
        <f t="shared" ref="W97" si="115">V97</f>
        <v>-0.2699576868829337</v>
      </c>
      <c r="X97" s="796">
        <f>W97</f>
        <v>-0.2699576868829337</v>
      </c>
      <c r="Y97" s="796">
        <f t="shared" ref="Y97:AA97" si="116">X97</f>
        <v>-0.2699576868829337</v>
      </c>
      <c r="Z97" s="796">
        <f t="shared" si="116"/>
        <v>-0.2699576868829337</v>
      </c>
      <c r="AA97" s="796">
        <f t="shared" si="116"/>
        <v>-0.2699576868829337</v>
      </c>
    </row>
    <row r="98" spans="1:27">
      <c r="A98" s="660" t="s">
        <v>593</v>
      </c>
      <c r="B98" s="663">
        <f t="shared" ref="B98:Z98" si="117">B94+B90</f>
        <v>115</v>
      </c>
      <c r="C98" s="663">
        <f t="shared" si="117"/>
        <v>-437</v>
      </c>
      <c r="D98" s="663">
        <f t="shared" si="117"/>
        <v>1597</v>
      </c>
      <c r="E98" s="663">
        <f t="shared" si="117"/>
        <v>-752</v>
      </c>
      <c r="F98" s="663">
        <f t="shared" si="117"/>
        <v>572</v>
      </c>
      <c r="G98" s="663">
        <f t="shared" si="117"/>
        <v>1037</v>
      </c>
      <c r="H98" s="663">
        <f t="shared" si="117"/>
        <v>1198</v>
      </c>
      <c r="I98" s="663">
        <f t="shared" si="117"/>
        <v>5035</v>
      </c>
      <c r="J98" s="663">
        <f t="shared" si="117"/>
        <v>2350</v>
      </c>
      <c r="K98" s="663">
        <f t="shared" si="117"/>
        <v>2698</v>
      </c>
      <c r="L98" s="663">
        <f t="shared" si="117"/>
        <v>1000</v>
      </c>
      <c r="M98" s="663">
        <f t="shared" si="117"/>
        <v>2877</v>
      </c>
      <c r="N98" s="663">
        <f t="shared" si="117"/>
        <v>3011</v>
      </c>
      <c r="O98" s="663">
        <f t="shared" si="117"/>
        <v>-1325</v>
      </c>
      <c r="P98" s="663">
        <f t="shared" si="117"/>
        <v>-1169</v>
      </c>
      <c r="Q98" s="663">
        <f t="shared" si="117"/>
        <v>4174</v>
      </c>
      <c r="R98" s="663">
        <f t="shared" si="117"/>
        <v>4136</v>
      </c>
      <c r="S98" s="663">
        <f t="shared" si="117"/>
        <v>3613</v>
      </c>
      <c r="T98" s="663">
        <f t="shared" si="117"/>
        <v>4078</v>
      </c>
      <c r="U98" s="663">
        <f t="shared" si="117"/>
        <v>4960</v>
      </c>
      <c r="V98" s="663">
        <f t="shared" si="117"/>
        <v>5491.0587617501433</v>
      </c>
      <c r="W98" s="663">
        <f t="shared" si="117"/>
        <v>6763.4616210695785</v>
      </c>
      <c r="X98" s="663">
        <f t="shared" si="117"/>
        <v>8502.294018585033</v>
      </c>
      <c r="Y98" s="663">
        <f t="shared" si="117"/>
        <v>9793.773979411777</v>
      </c>
      <c r="Z98" s="663">
        <f t="shared" si="117"/>
        <v>10646.487626707329</v>
      </c>
      <c r="AA98" s="663">
        <f t="shared" ref="AA98" si="118">AA94+AA90</f>
        <v>11320.180746569848</v>
      </c>
    </row>
    <row r="99" spans="1:27">
      <c r="A99" s="660" t="s">
        <v>585</v>
      </c>
      <c r="B99" s="663"/>
      <c r="C99" s="663"/>
      <c r="D99" s="663"/>
      <c r="E99" s="663"/>
      <c r="F99" s="663"/>
      <c r="G99" s="663"/>
      <c r="H99" s="663"/>
      <c r="I99" s="663"/>
      <c r="J99" s="663">
        <f t="shared" ref="J99:P99" si="119">J93+J95</f>
        <v>2641</v>
      </c>
      <c r="K99" s="663">
        <f t="shared" si="119"/>
        <v>2664</v>
      </c>
      <c r="L99" s="663">
        <f t="shared" si="119"/>
        <v>2567</v>
      </c>
      <c r="M99" s="663">
        <f t="shared" si="119"/>
        <v>2599.3000000000002</v>
      </c>
      <c r="N99" s="663">
        <f t="shared" si="119"/>
        <v>4002</v>
      </c>
      <c r="O99" s="663">
        <f t="shared" si="119"/>
        <v>4752</v>
      </c>
      <c r="P99" s="663">
        <f t="shared" si="119"/>
        <v>1029</v>
      </c>
      <c r="Q99" s="663">
        <f>Q93+Q95</f>
        <v>3358</v>
      </c>
      <c r="R99" s="663">
        <f t="shared" ref="R99:Z99" si="120">R93+R95</f>
        <v>3944</v>
      </c>
      <c r="S99" s="663">
        <f t="shared" si="120"/>
        <v>4241</v>
      </c>
      <c r="T99" s="663">
        <f t="shared" si="120"/>
        <v>3838</v>
      </c>
      <c r="U99" s="663">
        <f t="shared" si="120"/>
        <v>5176</v>
      </c>
      <c r="V99" s="663">
        <f t="shared" si="120"/>
        <v>5491.0587617501433</v>
      </c>
      <c r="W99" s="663">
        <f t="shared" si="120"/>
        <v>6763.4616210695785</v>
      </c>
      <c r="X99" s="663">
        <f t="shared" si="120"/>
        <v>8502.294018585033</v>
      </c>
      <c r="Y99" s="663">
        <f t="shared" si="120"/>
        <v>9793.773979411777</v>
      </c>
      <c r="Z99" s="663">
        <f t="shared" si="120"/>
        <v>10646.487626707329</v>
      </c>
      <c r="AA99" s="663">
        <f t="shared" ref="AA99" si="121">AA93+AA95</f>
        <v>11320.180746569848</v>
      </c>
    </row>
    <row r="100" spans="1:27">
      <c r="A100" s="665"/>
      <c r="B100" s="653"/>
      <c r="C100" s="653"/>
      <c r="D100" s="653"/>
      <c r="E100" s="653"/>
      <c r="F100" s="653"/>
      <c r="G100" s="653"/>
      <c r="H100" s="653"/>
      <c r="I100" s="653"/>
      <c r="J100" s="653"/>
      <c r="K100" s="653"/>
      <c r="L100" s="653"/>
      <c r="M100" s="653"/>
      <c r="N100" s="653"/>
      <c r="O100" s="653"/>
      <c r="P100" s="653"/>
      <c r="Q100" s="653"/>
      <c r="R100" s="653"/>
      <c r="S100" s="653"/>
      <c r="T100" s="653"/>
      <c r="U100" s="653"/>
      <c r="V100" s="653"/>
      <c r="W100" s="653"/>
      <c r="X100" s="653"/>
      <c r="Y100" s="653"/>
      <c r="Z100" s="653"/>
      <c r="AA100" s="653"/>
    </row>
    <row r="101" spans="1:27">
      <c r="A101" s="660" t="s">
        <v>592</v>
      </c>
      <c r="B101" s="662">
        <f t="shared" ref="B101:L101" si="122">B98-B103</f>
        <v>99</v>
      </c>
      <c r="C101" s="662">
        <f t="shared" si="122"/>
        <v>-446</v>
      </c>
      <c r="D101" s="662">
        <f t="shared" si="122"/>
        <v>1572</v>
      </c>
      <c r="E101" s="662">
        <f t="shared" si="122"/>
        <v>-763</v>
      </c>
      <c r="F101" s="662">
        <f t="shared" si="122"/>
        <v>553</v>
      </c>
      <c r="G101" s="662">
        <f t="shared" si="122"/>
        <v>1033</v>
      </c>
      <c r="H101" s="662">
        <f t="shared" si="122"/>
        <v>1197</v>
      </c>
      <c r="I101" s="662">
        <f t="shared" si="122"/>
        <v>5025</v>
      </c>
      <c r="J101" s="662">
        <f t="shared" si="122"/>
        <v>2343</v>
      </c>
      <c r="K101" s="662">
        <f t="shared" si="122"/>
        <v>2696</v>
      </c>
      <c r="L101" s="662">
        <f t="shared" si="122"/>
        <v>995</v>
      </c>
      <c r="M101" s="666">
        <v>2873</v>
      </c>
      <c r="N101" s="666">
        <v>3054</v>
      </c>
      <c r="O101" s="666">
        <v>-1362</v>
      </c>
      <c r="P101" s="666">
        <v>-1133</v>
      </c>
      <c r="Q101" s="663">
        <f t="shared" ref="Q101:Z101" si="123">Q98-Q103</f>
        <v>4213</v>
      </c>
      <c r="R101" s="663">
        <f t="shared" si="123"/>
        <v>4247</v>
      </c>
      <c r="S101" s="663">
        <f t="shared" si="123"/>
        <v>3788.5</v>
      </c>
      <c r="T101" s="663">
        <f t="shared" si="123"/>
        <v>4232</v>
      </c>
      <c r="U101" s="663">
        <f t="shared" si="123"/>
        <v>5221</v>
      </c>
      <c r="V101" s="663">
        <f t="shared" si="123"/>
        <v>5752.0587617501433</v>
      </c>
      <c r="W101" s="663">
        <f t="shared" si="123"/>
        <v>7024.4616210695785</v>
      </c>
      <c r="X101" s="663">
        <f t="shared" si="123"/>
        <v>8763.294018585033</v>
      </c>
      <c r="Y101" s="663">
        <f t="shared" si="123"/>
        <v>10054.773979411777</v>
      </c>
      <c r="Z101" s="663">
        <f t="shared" si="123"/>
        <v>10907.487626707329</v>
      </c>
      <c r="AA101" s="663">
        <f>AA98-AA103</f>
        <v>11581.180746569848</v>
      </c>
    </row>
    <row r="102" spans="1:27">
      <c r="A102" s="660" t="s">
        <v>594</v>
      </c>
      <c r="B102" s="662"/>
      <c r="C102" s="662"/>
      <c r="D102" s="662"/>
      <c r="E102" s="662"/>
      <c r="F102" s="662"/>
      <c r="G102" s="662"/>
      <c r="H102" s="662"/>
      <c r="I102" s="662"/>
      <c r="J102" s="663">
        <f t="shared" ref="J102:P102" si="124">J99-J103</f>
        <v>2634</v>
      </c>
      <c r="K102" s="663">
        <f t="shared" si="124"/>
        <v>2662</v>
      </c>
      <c r="L102" s="663">
        <f t="shared" si="124"/>
        <v>2562</v>
      </c>
      <c r="M102" s="663">
        <f t="shared" si="124"/>
        <v>2595.3000000000002</v>
      </c>
      <c r="N102" s="663">
        <f t="shared" si="124"/>
        <v>4045</v>
      </c>
      <c r="O102" s="663">
        <f t="shared" si="124"/>
        <v>4715</v>
      </c>
      <c r="P102" s="663">
        <f t="shared" si="124"/>
        <v>1065</v>
      </c>
      <c r="Q102" s="663">
        <f t="shared" ref="Q102:Z102" si="125">Q99-Q103</f>
        <v>3397</v>
      </c>
      <c r="R102" s="663">
        <f t="shared" si="125"/>
        <v>4055</v>
      </c>
      <c r="S102" s="663">
        <f t="shared" si="125"/>
        <v>4416.5</v>
      </c>
      <c r="T102" s="663">
        <f t="shared" si="125"/>
        <v>3992</v>
      </c>
      <c r="U102" s="663">
        <f t="shared" si="125"/>
        <v>5437</v>
      </c>
      <c r="V102" s="663">
        <f t="shared" si="125"/>
        <v>5752.0587617501433</v>
      </c>
      <c r="W102" s="663">
        <f t="shared" si="125"/>
        <v>7024.4616210695785</v>
      </c>
      <c r="X102" s="663">
        <f t="shared" si="125"/>
        <v>8763.294018585033</v>
      </c>
      <c r="Y102" s="663">
        <f t="shared" si="125"/>
        <v>10054.773979411777</v>
      </c>
      <c r="Z102" s="663">
        <f t="shared" si="125"/>
        <v>10907.487626707329</v>
      </c>
      <c r="AA102" s="663">
        <f t="shared" ref="AA102" si="126">AA99-AA103</f>
        <v>11581.180746569848</v>
      </c>
    </row>
    <row r="103" spans="1:27">
      <c r="A103" s="660" t="s">
        <v>169</v>
      </c>
      <c r="B103" s="667">
        <v>16</v>
      </c>
      <c r="C103" s="667">
        <v>9</v>
      </c>
      <c r="D103" s="667">
        <v>25</v>
      </c>
      <c r="E103" s="667">
        <v>11</v>
      </c>
      <c r="F103" s="667">
        <v>19</v>
      </c>
      <c r="G103" s="667">
        <v>4</v>
      </c>
      <c r="H103" s="667">
        <v>1</v>
      </c>
      <c r="I103" s="667">
        <v>10</v>
      </c>
      <c r="J103" s="667">
        <v>7</v>
      </c>
      <c r="K103" s="667">
        <v>2</v>
      </c>
      <c r="L103" s="668">
        <v>5</v>
      </c>
      <c r="M103" s="668">
        <v>4</v>
      </c>
      <c r="N103" s="668">
        <v>-43</v>
      </c>
      <c r="O103" s="666">
        <v>37</v>
      </c>
      <c r="P103" s="666">
        <v>-36</v>
      </c>
      <c r="Q103" s="669">
        <v>-39</v>
      </c>
      <c r="R103" s="669">
        <v>-111</v>
      </c>
      <c r="S103" s="669">
        <v>-175.5</v>
      </c>
      <c r="T103" s="669">
        <v>-154</v>
      </c>
      <c r="U103" s="669">
        <v>-261</v>
      </c>
      <c r="V103" s="663">
        <f>U103</f>
        <v>-261</v>
      </c>
      <c r="W103" s="663">
        <f t="shared" ref="W103:AA103" si="127">V103</f>
        <v>-261</v>
      </c>
      <c r="X103" s="663">
        <f t="shared" si="127"/>
        <v>-261</v>
      </c>
      <c r="Y103" s="663">
        <f t="shared" si="127"/>
        <v>-261</v>
      </c>
      <c r="Z103" s="663">
        <f t="shared" si="127"/>
        <v>-261</v>
      </c>
      <c r="AA103" s="663">
        <f t="shared" si="127"/>
        <v>-261</v>
      </c>
    </row>
    <row r="104" spans="1:27">
      <c r="S104" s="271"/>
      <c r="T104" s="271"/>
      <c r="U104" s="544"/>
      <c r="V104" s="271"/>
      <c r="W104" s="271"/>
      <c r="X104" s="271"/>
      <c r="Y104" s="271"/>
      <c r="Z104" s="271"/>
      <c r="AA104" s="271"/>
    </row>
    <row r="105" spans="1:27">
      <c r="A105" s="12" t="s">
        <v>586</v>
      </c>
      <c r="Q105" s="73"/>
      <c r="R105" s="73"/>
      <c r="S105" s="73"/>
      <c r="T105" s="73"/>
      <c r="U105" s="73"/>
      <c r="V105" s="73"/>
      <c r="W105" s="73"/>
      <c r="X105" s="73"/>
      <c r="Y105" s="73"/>
      <c r="Z105" s="73"/>
      <c r="AA105" s="73"/>
    </row>
    <row r="106" spans="1:27">
      <c r="A106" s="1" t="s">
        <v>587</v>
      </c>
      <c r="B106" s="549">
        <f t="shared" ref="B106:G106" si="128">B101/B113*1000</f>
        <v>0.12372136407167879</v>
      </c>
      <c r="C106" s="549">
        <f t="shared" si="128"/>
        <v>-0.55532851210815559</v>
      </c>
      <c r="D106" s="549">
        <f t="shared" si="128"/>
        <v>1.9480065623186056</v>
      </c>
      <c r="E106" s="549">
        <f t="shared" si="128"/>
        <v>-0.94232591088572548</v>
      </c>
      <c r="F106" s="549">
        <f t="shared" si="128"/>
        <v>0.68213216193700577</v>
      </c>
      <c r="G106" s="549">
        <f t="shared" si="128"/>
        <v>1.2713732113625056</v>
      </c>
      <c r="H106" s="549">
        <f t="shared" ref="H106:Z106" si="129">H101/H113*1000</f>
        <v>1.460863745831559</v>
      </c>
      <c r="I106" s="549">
        <f t="shared" si="129"/>
        <v>6.3409591504155545</v>
      </c>
      <c r="J106" s="549">
        <f t="shared" si="129"/>
        <v>2.992480922311485</v>
      </c>
      <c r="K106" s="549">
        <f t="shared" si="129"/>
        <v>3.4316797288561616</v>
      </c>
      <c r="L106" s="549">
        <f t="shared" si="129"/>
        <v>1.2858639124576505</v>
      </c>
      <c r="M106" s="549">
        <f t="shared" si="129"/>
        <v>3.7129766823952908</v>
      </c>
      <c r="N106" s="561">
        <f t="shared" si="129"/>
        <v>3.9397914161158534</v>
      </c>
      <c r="O106" s="561">
        <f t="shared" si="129"/>
        <v>-1.752805838693541</v>
      </c>
      <c r="P106" s="561">
        <f t="shared" si="129"/>
        <v>-1.4466694974656158</v>
      </c>
      <c r="Q106" s="561">
        <f t="shared" si="129"/>
        <v>5.3646506075385956</v>
      </c>
      <c r="R106" s="561">
        <f t="shared" si="129"/>
        <v>5.3958897135994501</v>
      </c>
      <c r="S106" s="561">
        <f t="shared" si="129"/>
        <v>4.8033475228119986</v>
      </c>
      <c r="T106" s="561">
        <f t="shared" si="129"/>
        <v>5.3572219455189245</v>
      </c>
      <c r="U106" s="561">
        <f t="shared" si="129"/>
        <v>6.6124330385559826</v>
      </c>
      <c r="V106" s="549">
        <f t="shared" si="129"/>
        <v>7.3339092420256593</v>
      </c>
      <c r="W106" s="549">
        <f t="shared" si="129"/>
        <v>9.0780682820769645</v>
      </c>
      <c r="X106" s="549">
        <f t="shared" si="129"/>
        <v>11.48143961456392</v>
      </c>
      <c r="Y106" s="549">
        <f t="shared" si="129"/>
        <v>13.173503027272039</v>
      </c>
      <c r="Z106" s="549">
        <f t="shared" si="129"/>
        <v>14.290706242087744</v>
      </c>
      <c r="AA106" s="549">
        <f t="shared" ref="AA106" si="130">AA101/AA113*1000</f>
        <v>15.173361423808739</v>
      </c>
    </row>
    <row r="107" spans="1:27">
      <c r="A107" s="1" t="s">
        <v>588</v>
      </c>
      <c r="B107" s="549">
        <f t="shared" ref="B107:G107" si="131">B101/B114*1000</f>
        <v>0.12308600286452459</v>
      </c>
      <c r="C107" s="549">
        <f t="shared" si="131"/>
        <v>-0.55366008975542613</v>
      </c>
      <c r="D107" s="549">
        <f t="shared" si="131"/>
        <v>1.9465155428981302</v>
      </c>
      <c r="E107" s="549">
        <f t="shared" si="131"/>
        <v>-0.9405933181042111</v>
      </c>
      <c r="F107" s="549">
        <f t="shared" si="131"/>
        <v>0.6819281025074323</v>
      </c>
      <c r="G107" s="549">
        <f t="shared" si="131"/>
        <v>1.2695066642537274</v>
      </c>
      <c r="H107" s="549">
        <f t="shared" ref="H107:Z107" si="132">H101/H114*1000</f>
        <v>1.4587742162049706</v>
      </c>
      <c r="I107" s="549">
        <f t="shared" si="132"/>
        <v>6.3276967813841027</v>
      </c>
      <c r="J107" s="549">
        <f t="shared" si="132"/>
        <v>2.9879268282964535</v>
      </c>
      <c r="K107" s="549">
        <f t="shared" si="132"/>
        <v>3.4191852837595751</v>
      </c>
      <c r="L107" s="549">
        <f t="shared" si="132"/>
        <v>1.2770988274032817</v>
      </c>
      <c r="M107" s="549">
        <f t="shared" si="132"/>
        <v>3.7000000000000308</v>
      </c>
      <c r="N107" s="561">
        <f t="shared" si="132"/>
        <v>3.9129829568784493</v>
      </c>
      <c r="O107" s="561">
        <f t="shared" si="132"/>
        <v>-1.7534125132555887</v>
      </c>
      <c r="P107" s="561">
        <f t="shared" si="132"/>
        <v>-1.4471662874500777</v>
      </c>
      <c r="Q107" s="561">
        <f t="shared" si="132"/>
        <v>5.3600000000000492</v>
      </c>
      <c r="R107" s="561">
        <f t="shared" si="132"/>
        <v>5.3900000000000245</v>
      </c>
      <c r="S107" s="561">
        <f t="shared" si="132"/>
        <v>4.7970233065526733</v>
      </c>
      <c r="T107" s="561">
        <f t="shared" si="132"/>
        <v>5.3502499877125667</v>
      </c>
      <c r="U107" s="561">
        <f t="shared" si="132"/>
        <v>6.6014059505217384</v>
      </c>
      <c r="V107" s="549">
        <f t="shared" si="132"/>
        <v>7.3215970650617033</v>
      </c>
      <c r="W107" s="549">
        <f t="shared" si="132"/>
        <v>9.0626210373003033</v>
      </c>
      <c r="X107" s="549">
        <f t="shared" si="132"/>
        <v>11.461633818639827</v>
      </c>
      <c r="Y107" s="549">
        <f t="shared" si="132"/>
        <v>13.1507783758936</v>
      </c>
      <c r="Z107" s="549">
        <f t="shared" si="132"/>
        <v>14.266054384747228</v>
      </c>
      <c r="AA107" s="549">
        <f t="shared" ref="AA107" si="133">AA101/AA114*1000</f>
        <v>15.147186962248947</v>
      </c>
    </row>
    <row r="108" spans="1:27">
      <c r="A108" s="1" t="s">
        <v>589</v>
      </c>
      <c r="J108" s="549">
        <f t="shared" ref="J108:P108" si="134">J$102/J113*1000</f>
        <v>3.3641462865422329</v>
      </c>
      <c r="K108" s="549">
        <f t="shared" si="134"/>
        <v>3.3884018687741477</v>
      </c>
      <c r="L108" s="549">
        <f t="shared" si="134"/>
        <v>3.3109380338859307</v>
      </c>
      <c r="M108" s="549">
        <f t="shared" si="134"/>
        <v>3.3540857583781754</v>
      </c>
      <c r="N108" s="561">
        <f t="shared" si="134"/>
        <v>5.2182240596557383</v>
      </c>
      <c r="O108" s="561">
        <f t="shared" si="134"/>
        <v>6.0678998013509879</v>
      </c>
      <c r="P108" s="561">
        <f t="shared" si="134"/>
        <v>1.3598437906450844</v>
      </c>
      <c r="Q108" s="561">
        <f>Q$102/Q113*1000</f>
        <v>4.3255917668665109</v>
      </c>
      <c r="R108" s="561">
        <f t="shared" ref="R108:Z108" si="135">R$102/R113*1000</f>
        <v>5.151950268105904</v>
      </c>
      <c r="S108" s="561">
        <f t="shared" si="135"/>
        <v>5.5995735342481705</v>
      </c>
      <c r="T108" s="561">
        <f t="shared" si="135"/>
        <v>5.0534097368883613</v>
      </c>
      <c r="U108" s="561">
        <f t="shared" si="135"/>
        <v>6.8859985502066428</v>
      </c>
      <c r="V108" s="549">
        <f t="shared" si="135"/>
        <v>7.3339092420256593</v>
      </c>
      <c r="W108" s="549">
        <f t="shared" si="135"/>
        <v>9.0780682820769645</v>
      </c>
      <c r="X108" s="549">
        <f t="shared" si="135"/>
        <v>11.48143961456392</v>
      </c>
      <c r="Y108" s="549">
        <f t="shared" si="135"/>
        <v>13.173503027272039</v>
      </c>
      <c r="Z108" s="549">
        <f t="shared" si="135"/>
        <v>14.290706242087744</v>
      </c>
      <c r="AA108" s="549">
        <f t="shared" ref="AA108" si="136">AA$102/AA113*1000</f>
        <v>15.173361423808739</v>
      </c>
    </row>
    <row r="109" spans="1:27">
      <c r="A109" s="1" t="s">
        <v>590</v>
      </c>
      <c r="J109" s="549">
        <f t="shared" ref="J109:O109" si="137">J$102/J114*1000</f>
        <v>3.3590265752167561</v>
      </c>
      <c r="K109" s="549">
        <f t="shared" si="137"/>
        <v>3.3760649945726966</v>
      </c>
      <c r="L109" s="549">
        <f t="shared" si="137"/>
        <v>3.2883690410122695</v>
      </c>
      <c r="M109" s="549">
        <f t="shared" si="137"/>
        <v>3.3423633832231401</v>
      </c>
      <c r="N109" s="561">
        <f t="shared" si="137"/>
        <v>5.1827164572931652</v>
      </c>
      <c r="O109" s="561">
        <f t="shared" si="137"/>
        <v>6.070000000000074</v>
      </c>
      <c r="P109" s="561">
        <f>(P$102/P114*1000)+0.01</f>
        <v>1.3703107644610177</v>
      </c>
      <c r="Q109" s="561">
        <f>Q$102/Q114*1000</f>
        <v>4.3218419178732885</v>
      </c>
      <c r="R109" s="561">
        <f t="shared" ref="R109:Z109" si="138">R$102/R114*1000</f>
        <v>5.1463268189310334</v>
      </c>
      <c r="S109" s="561">
        <f>(S$102/S114*1000)+0.01</f>
        <v>5.6022009854533135</v>
      </c>
      <c r="T109" s="561">
        <f t="shared" si="138"/>
        <v>5.0468331642127993</v>
      </c>
      <c r="U109" s="561">
        <f t="shared" si="138"/>
        <v>6.874515256270195</v>
      </c>
      <c r="V109" s="549">
        <f t="shared" si="138"/>
        <v>7.3215970650617033</v>
      </c>
      <c r="W109" s="549">
        <f t="shared" si="138"/>
        <v>9.0626210373003033</v>
      </c>
      <c r="X109" s="549">
        <f t="shared" si="138"/>
        <v>11.461633818639827</v>
      </c>
      <c r="Y109" s="549">
        <f t="shared" si="138"/>
        <v>13.1507783758936</v>
      </c>
      <c r="Z109" s="549">
        <f t="shared" si="138"/>
        <v>14.266054384747228</v>
      </c>
      <c r="AA109" s="549">
        <f t="shared" ref="AA109" si="139">AA$102/AA114*1000</f>
        <v>15.147186962248947</v>
      </c>
    </row>
    <row r="110" spans="1:27">
      <c r="J110" s="549"/>
      <c r="K110" s="549"/>
      <c r="L110" s="549"/>
      <c r="M110" s="549"/>
      <c r="N110" s="549"/>
      <c r="O110" s="549"/>
      <c r="P110" s="549"/>
      <c r="Q110" s="549"/>
      <c r="R110" s="549"/>
      <c r="S110" s="549"/>
      <c r="T110" s="549"/>
      <c r="U110" s="549"/>
      <c r="V110" s="549"/>
      <c r="W110" s="549"/>
      <c r="X110" s="549"/>
      <c r="Y110" s="549"/>
      <c r="Z110" s="549"/>
      <c r="AA110" s="549"/>
    </row>
    <row r="111" spans="1:27">
      <c r="A111" s="1" t="s">
        <v>686</v>
      </c>
      <c r="S111" s="271"/>
      <c r="T111" s="271"/>
      <c r="U111" s="271">
        <v>182</v>
      </c>
      <c r="V111" s="871">
        <v>190</v>
      </c>
      <c r="W111" s="871">
        <f>V111</f>
        <v>190</v>
      </c>
      <c r="X111" s="871">
        <f t="shared" ref="X111:AA111" si="140">W111</f>
        <v>190</v>
      </c>
      <c r="Y111" s="871">
        <f t="shared" si="140"/>
        <v>190</v>
      </c>
      <c r="Z111" s="871">
        <f t="shared" si="140"/>
        <v>190</v>
      </c>
      <c r="AA111" s="871">
        <f t="shared" si="140"/>
        <v>190</v>
      </c>
    </row>
    <row r="112" spans="1:27">
      <c r="S112" s="271"/>
      <c r="T112" s="271"/>
      <c r="U112" s="271"/>
      <c r="V112" s="271"/>
      <c r="W112" s="271"/>
      <c r="X112" s="271"/>
      <c r="Y112" s="271"/>
      <c r="Z112" s="271"/>
      <c r="AA112" s="271"/>
    </row>
    <row r="113" spans="1:27">
      <c r="A113" s="1" t="s">
        <v>446</v>
      </c>
      <c r="B113" s="546">
        <v>800185.16399999999</v>
      </c>
      <c r="C113" s="546">
        <v>803128.22100000002</v>
      </c>
      <c r="D113" s="546">
        <v>806978.80099999998</v>
      </c>
      <c r="E113" s="546">
        <v>809698.63100000005</v>
      </c>
      <c r="F113" s="546">
        <v>810693.33900000004</v>
      </c>
      <c r="G113" s="546">
        <v>812507.28799999994</v>
      </c>
      <c r="H113" s="546">
        <v>819378.26399999997</v>
      </c>
      <c r="I113" s="546">
        <v>792466.86199999996</v>
      </c>
      <c r="J113" s="546">
        <v>782962.38500000001</v>
      </c>
      <c r="K113" s="546">
        <v>785621.09900000005</v>
      </c>
      <c r="L113" s="559">
        <v>773798.83700000006</v>
      </c>
      <c r="M113" s="559">
        <v>773772.70200000005</v>
      </c>
      <c r="N113" s="559">
        <v>775167.94099999999</v>
      </c>
      <c r="O113" s="559">
        <v>777039.85800000001</v>
      </c>
      <c r="P113" s="559">
        <v>783178.19099999999</v>
      </c>
      <c r="Q113" s="559">
        <v>785326.07400000002</v>
      </c>
      <c r="R113" s="559">
        <v>787080.57900000003</v>
      </c>
      <c r="S113" s="559">
        <v>788720.77899999998</v>
      </c>
      <c r="T113" s="559">
        <v>789961.67099999997</v>
      </c>
      <c r="U113" s="559">
        <v>789573.21299999999</v>
      </c>
      <c r="V113" s="547">
        <f>U113+'Cash Flow Statement'!V42/'Income Statement'!V111*1000</f>
        <v>784310.05510526313</v>
      </c>
      <c r="W113" s="547">
        <f>V113+'Cash Flow Statement'!W42/'Income Statement'!W111*1000</f>
        <v>773783.73931578943</v>
      </c>
      <c r="X113" s="547">
        <f>W113+'Cash Flow Statement'!X42/'Income Statement'!X111*1000</f>
        <v>763257.42352631572</v>
      </c>
      <c r="Y113" s="547">
        <f>X113+'Cash Flow Statement'!Y42/'Income Statement'!Y111*1000</f>
        <v>763257.42352631572</v>
      </c>
      <c r="Z113" s="547">
        <f>Y113+'Cash Flow Statement'!Z42/'Income Statement'!Z111*1000</f>
        <v>763257.42352631572</v>
      </c>
      <c r="AA113" s="547">
        <f>Z113+'Cash Flow Statement'!AB42/'Income Statement'!AA111*1000</f>
        <v>763257.42352631572</v>
      </c>
    </row>
    <row r="114" spans="1:27">
      <c r="A114" s="1" t="s">
        <v>168</v>
      </c>
      <c r="B114" s="546">
        <v>804315.66299999994</v>
      </c>
      <c r="C114" s="546">
        <v>805548.40099999995</v>
      </c>
      <c r="D114" s="546">
        <v>807596.94200000004</v>
      </c>
      <c r="E114" s="546">
        <v>811190.11300000001</v>
      </c>
      <c r="F114" s="546">
        <v>810935.93</v>
      </c>
      <c r="G114" s="546">
        <v>813701.91200000001</v>
      </c>
      <c r="H114" s="546">
        <v>820551.93099999998</v>
      </c>
      <c r="I114" s="546">
        <v>794127.81200000003</v>
      </c>
      <c r="J114" s="546">
        <v>784155.74899999995</v>
      </c>
      <c r="K114" s="546">
        <v>788491.929</v>
      </c>
      <c r="L114" s="546">
        <v>779109.63399999996</v>
      </c>
      <c r="M114" s="546">
        <v>776486.48648647999</v>
      </c>
      <c r="N114" s="546">
        <v>780478.7379999999</v>
      </c>
      <c r="O114" s="546">
        <v>776771.00494232995</v>
      </c>
      <c r="P114" s="546">
        <v>782909.33794232993</v>
      </c>
      <c r="Q114" s="546">
        <v>786007.46268656</v>
      </c>
      <c r="R114" s="546">
        <v>787940.63079776999</v>
      </c>
      <c r="S114" s="546">
        <v>789760.59900000005</v>
      </c>
      <c r="T114" s="546">
        <v>790991.07700000005</v>
      </c>
      <c r="U114" s="546">
        <v>790892.12800000003</v>
      </c>
      <c r="V114" s="544">
        <f t="shared" ref="V114:AA114" si="141">U114+(V113-U113)</f>
        <v>785628.97010526317</v>
      </c>
      <c r="W114" s="544">
        <f t="shared" si="141"/>
        <v>775102.65431578946</v>
      </c>
      <c r="X114" s="544">
        <f t="shared" si="141"/>
        <v>764576.33852631575</v>
      </c>
      <c r="Y114" s="544">
        <f t="shared" si="141"/>
        <v>764576.33852631575</v>
      </c>
      <c r="Z114" s="544">
        <f t="shared" si="141"/>
        <v>764576.33852631575</v>
      </c>
      <c r="AA114" s="544">
        <f t="shared" si="141"/>
        <v>764576.33852631575</v>
      </c>
    </row>
    <row r="115" spans="1:27">
      <c r="S115" s="271"/>
      <c r="T115" s="271"/>
      <c r="U115" s="271"/>
      <c r="V115" s="271"/>
      <c r="W115" s="271"/>
      <c r="X115" s="271"/>
      <c r="Y115" s="271"/>
      <c r="Z115" s="271"/>
      <c r="AA115" s="271"/>
    </row>
    <row r="116" spans="1:27">
      <c r="A116" s="1" t="s">
        <v>38</v>
      </c>
      <c r="B116" s="553">
        <f>'Cash Flow Statement'!B45</f>
        <v>-520</v>
      </c>
      <c r="C116" s="553">
        <f>'Cash Flow Statement'!C45</f>
        <v>-97</v>
      </c>
      <c r="D116" s="553">
        <f>'Cash Flow Statement'!D45</f>
        <v>-97</v>
      </c>
      <c r="E116" s="553">
        <f>'Cash Flow Statement'!E45</f>
        <v>-162</v>
      </c>
      <c r="F116" s="553">
        <f>'Cash Flow Statement'!F45</f>
        <v>0</v>
      </c>
      <c r="G116" s="553">
        <f>'Cash Flow Statement'!G45</f>
        <v>-178</v>
      </c>
      <c r="H116" s="553">
        <f>'Cash Flow Statement'!H45</f>
        <v>-369</v>
      </c>
      <c r="I116" s="553">
        <f>'Cash Flow Statement'!I45</f>
        <v>-467</v>
      </c>
      <c r="J116" s="553">
        <f>'Cash Flow Statement'!J45</f>
        <v>-587</v>
      </c>
      <c r="K116" s="553">
        <f>'Cash Flow Statement'!K45</f>
        <v>-945</v>
      </c>
      <c r="L116" s="553">
        <f>'Cash Flow Statement'!L45</f>
        <v>-1008</v>
      </c>
      <c r="M116" s="553">
        <f>'Cash Flow Statement'!M45</f>
        <v>-1043</v>
      </c>
      <c r="N116" s="553">
        <f>'Cash Flow Statement'!N45</f>
        <v>-1161</v>
      </c>
      <c r="O116" s="553">
        <f>'Cash Flow Statement'!O45</f>
        <v>-1280</v>
      </c>
      <c r="P116" s="553">
        <f>'Cash Flow Statement'!P45</f>
        <v>0</v>
      </c>
      <c r="Q116" s="553">
        <f>'Cash Flow Statement'!R45</f>
        <v>-1181</v>
      </c>
      <c r="R116" s="553">
        <f>'Cash Flow Statement'!S45</f>
        <v>-1421</v>
      </c>
      <c r="S116" s="553">
        <f>'Cash Flow Statement'!T45</f>
        <v>-2215</v>
      </c>
      <c r="T116" s="553">
        <f>'Cash Flow Statement'!U45</f>
        <v>-2372</v>
      </c>
      <c r="U116" s="553">
        <f>-(U117*U113)/1000</f>
        <v>-2526.6342816000001</v>
      </c>
      <c r="V116" s="553">
        <f t="shared" ref="V116:W116" si="142">-(V102*V118)</f>
        <v>-2703.467618022567</v>
      </c>
      <c r="W116" s="553">
        <f t="shared" si="142"/>
        <v>-3301.4969619027015</v>
      </c>
      <c r="X116" s="553">
        <f>-(X102*X118)</f>
        <v>-4118.748188734965</v>
      </c>
      <c r="Y116" s="553">
        <f>-(Y102*Y118)</f>
        <v>-4725.7437703235346</v>
      </c>
      <c r="Z116" s="553">
        <f>-(Z102*Z118)</f>
        <v>-5453.7438133536643</v>
      </c>
      <c r="AA116" s="553">
        <f>-(AA102*AA118)</f>
        <v>-5790.5903732849238</v>
      </c>
    </row>
    <row r="117" spans="1:27">
      <c r="A117" s="1" t="s">
        <v>0</v>
      </c>
      <c r="B117" s="549">
        <f>-(B116/B113)*1000</f>
        <v>0.64984958906336343</v>
      </c>
      <c r="C117" s="549">
        <f t="shared" ref="C117:T117" si="143">-(C116/C113)*1000</f>
        <v>0.1207777257275585</v>
      </c>
      <c r="D117" s="549">
        <f t="shared" si="143"/>
        <v>0.12020142273848901</v>
      </c>
      <c r="E117" s="549">
        <f t="shared" si="143"/>
        <v>0.20007443979487227</v>
      </c>
      <c r="F117" s="549">
        <f t="shared" si="143"/>
        <v>0</v>
      </c>
      <c r="G117" s="549">
        <f t="shared" si="143"/>
        <v>0.21907495800825361</v>
      </c>
      <c r="H117" s="549">
        <f t="shared" si="143"/>
        <v>0.45034145548190918</v>
      </c>
      <c r="I117" s="549">
        <f t="shared" si="143"/>
        <v>0.58929908920279872</v>
      </c>
      <c r="J117" s="549">
        <f t="shared" si="143"/>
        <v>0.74971673128332983</v>
      </c>
      <c r="K117" s="549">
        <f t="shared" si="143"/>
        <v>1.2028699346324454</v>
      </c>
      <c r="L117" s="549">
        <f t="shared" si="143"/>
        <v>1.3026641444797105</v>
      </c>
      <c r="M117" s="549">
        <f t="shared" si="143"/>
        <v>1.3479410649976638</v>
      </c>
      <c r="N117" s="549">
        <f t="shared" si="143"/>
        <v>1.4977399587788165</v>
      </c>
      <c r="O117" s="549">
        <f t="shared" si="143"/>
        <v>1.6472771464961324</v>
      </c>
      <c r="P117" s="549">
        <f t="shared" si="143"/>
        <v>0</v>
      </c>
      <c r="Q117" s="549">
        <f t="shared" si="143"/>
        <v>1.5038339348452603</v>
      </c>
      <c r="R117" s="549">
        <f t="shared" si="143"/>
        <v>1.8054060002413042</v>
      </c>
      <c r="S117" s="549">
        <f t="shared" si="143"/>
        <v>2.8083449288712097</v>
      </c>
      <c r="T117" s="549">
        <f t="shared" si="143"/>
        <v>3.0026773286320623</v>
      </c>
      <c r="U117" s="563">
        <v>3.2</v>
      </c>
      <c r="V117" s="549">
        <f t="shared" ref="V117:Z117" si="144">V108*V118</f>
        <v>3.4469373437520598</v>
      </c>
      <c r="W117" s="549">
        <f t="shared" si="144"/>
        <v>4.2666920925761733</v>
      </c>
      <c r="X117" s="549">
        <f t="shared" si="144"/>
        <v>5.3962766188450422</v>
      </c>
      <c r="Y117" s="549">
        <f t="shared" si="144"/>
        <v>6.1915464228178578</v>
      </c>
      <c r="Z117" s="549">
        <f t="shared" si="144"/>
        <v>7.1453531210438719</v>
      </c>
      <c r="AA117" s="549">
        <f t="shared" ref="AA117" si="145">AA108*AA118</f>
        <v>7.5866807119043695</v>
      </c>
    </row>
    <row r="118" spans="1:27">
      <c r="A118" s="1" t="s">
        <v>167</v>
      </c>
      <c r="B118" s="73"/>
      <c r="C118" s="73"/>
      <c r="D118" s="73"/>
      <c r="E118" s="73"/>
      <c r="F118" s="73"/>
      <c r="G118" s="73"/>
      <c r="H118" s="73"/>
      <c r="I118" s="73"/>
      <c r="J118" s="73">
        <f>J117/J108</f>
        <v>0.22285497342444952</v>
      </c>
      <c r="K118" s="73">
        <f t="shared" ref="K118:T118" si="146">K117/K108</f>
        <v>0.35499624342599551</v>
      </c>
      <c r="L118" s="73">
        <f t="shared" si="146"/>
        <v>0.39344262295081966</v>
      </c>
      <c r="M118" s="73">
        <f t="shared" si="146"/>
        <v>0.40188032212075675</v>
      </c>
      <c r="N118" s="73">
        <f t="shared" si="146"/>
        <v>0.28702101359703341</v>
      </c>
      <c r="O118" s="73">
        <f t="shared" si="146"/>
        <v>0.27147401908801694</v>
      </c>
      <c r="P118" s="73">
        <f t="shared" si="146"/>
        <v>0</v>
      </c>
      <c r="Q118" s="73">
        <f t="shared" si="146"/>
        <v>0.34765969973506033</v>
      </c>
      <c r="R118" s="73">
        <f t="shared" si="146"/>
        <v>0.35043156596794078</v>
      </c>
      <c r="S118" s="73">
        <f t="shared" si="146"/>
        <v>0.50152835956073816</v>
      </c>
      <c r="T118" s="73">
        <f t="shared" si="146"/>
        <v>0.594188376753507</v>
      </c>
      <c r="U118" s="73">
        <f t="shared" ref="U118" si="147">U117/U108</f>
        <v>0.46471110568328117</v>
      </c>
      <c r="V118" s="872">
        <v>0.47</v>
      </c>
      <c r="W118" s="872">
        <f>V118</f>
        <v>0.47</v>
      </c>
      <c r="X118" s="872">
        <f>W118</f>
        <v>0.47</v>
      </c>
      <c r="Y118" s="872">
        <f>X118</f>
        <v>0.47</v>
      </c>
      <c r="Z118" s="872">
        <v>0.5</v>
      </c>
      <c r="AA118" s="872">
        <v>0.5</v>
      </c>
    </row>
    <row r="119" spans="1:27">
      <c r="A119" s="1" t="s">
        <v>166</v>
      </c>
      <c r="C119" s="73">
        <f t="shared" ref="C119:K119" si="148">C117/B117-1</f>
        <v>-0.81414510717528188</v>
      </c>
      <c r="D119" s="73">
        <f t="shared" si="148"/>
        <v>-4.7715999419418731E-3</v>
      </c>
      <c r="E119" s="73">
        <f t="shared" si="148"/>
        <v>0.66449310862281163</v>
      </c>
      <c r="F119" s="73">
        <f t="shared" si="148"/>
        <v>-1</v>
      </c>
      <c r="G119" s="73" t="e">
        <f t="shared" si="148"/>
        <v>#DIV/0!</v>
      </c>
      <c r="H119" s="73">
        <f t="shared" si="148"/>
        <v>1.0556500824021278</v>
      </c>
      <c r="I119" s="73">
        <f t="shared" si="148"/>
        <v>0.30856060890994663</v>
      </c>
      <c r="J119" s="73">
        <f t="shared" si="148"/>
        <v>0.27221769899142956</v>
      </c>
      <c r="K119" s="73">
        <f t="shared" si="148"/>
        <v>0.60443256024636027</v>
      </c>
      <c r="L119" s="566">
        <v>0.2</v>
      </c>
      <c r="M119" s="565">
        <f>M117/L117-1</f>
        <v>3.4757171071164272E-2</v>
      </c>
      <c r="N119" s="565">
        <f>N117/M117-1</f>
        <v>0.11113163451357</v>
      </c>
      <c r="O119" s="565">
        <f>O117/N117-1</f>
        <v>9.9841889669045836E-2</v>
      </c>
      <c r="P119" s="565"/>
      <c r="Q119" s="565"/>
      <c r="R119" s="565"/>
      <c r="S119" s="565">
        <f t="shared" ref="S119:AA119" si="149">S117/R117-1</f>
        <v>0.55551988222918069</v>
      </c>
      <c r="T119" s="565">
        <f t="shared" si="149"/>
        <v>6.9198194909399158E-2</v>
      </c>
      <c r="U119" s="565">
        <f t="shared" si="149"/>
        <v>6.5715576391231156E-2</v>
      </c>
      <c r="V119" s="565">
        <f t="shared" si="149"/>
        <v>7.7167919922518591E-2</v>
      </c>
      <c r="W119" s="565">
        <f t="shared" si="149"/>
        <v>0.23782119228537946</v>
      </c>
      <c r="X119" s="565">
        <f t="shared" si="149"/>
        <v>0.2647447956777309</v>
      </c>
      <c r="Y119" s="565">
        <f t="shared" si="149"/>
        <v>0.14737380237246356</v>
      </c>
      <c r="Z119" s="565">
        <f t="shared" si="149"/>
        <v>0.15404983393339777</v>
      </c>
      <c r="AA119" s="565">
        <f t="shared" si="149"/>
        <v>6.1764279999086069E-2</v>
      </c>
    </row>
    <row r="120" spans="1:27">
      <c r="A120" s="1" t="s">
        <v>165</v>
      </c>
      <c r="I120" s="545">
        <v>53.39</v>
      </c>
      <c r="J120" s="545">
        <v>55.8</v>
      </c>
      <c r="K120" s="271">
        <f>J120</f>
        <v>55.8</v>
      </c>
      <c r="L120" s="567">
        <v>110</v>
      </c>
      <c r="M120" s="568">
        <f>L120</f>
        <v>110</v>
      </c>
      <c r="N120" s="545">
        <v>109.68</v>
      </c>
      <c r="O120" s="563">
        <v>137</v>
      </c>
      <c r="P120" s="563">
        <v>80.26461832061068</v>
      </c>
      <c r="Q120" s="563">
        <v>105.22314176245212</v>
      </c>
      <c r="R120" s="563">
        <v>105.6770384615385</v>
      </c>
      <c r="S120" s="563">
        <v>127.16369230769233</v>
      </c>
      <c r="T120" s="563">
        <v>146.42625954198499</v>
      </c>
      <c r="U120" s="563">
        <f>U111</f>
        <v>182</v>
      </c>
      <c r="V120" s="549">
        <f t="shared" ref="V120:AA120" si="150">U120</f>
        <v>182</v>
      </c>
      <c r="W120" s="549">
        <f t="shared" si="150"/>
        <v>182</v>
      </c>
      <c r="X120" s="549">
        <f t="shared" si="150"/>
        <v>182</v>
      </c>
      <c r="Y120" s="549">
        <f t="shared" si="150"/>
        <v>182</v>
      </c>
      <c r="Z120" s="549">
        <f t="shared" si="150"/>
        <v>182</v>
      </c>
      <c r="AA120" s="549">
        <f t="shared" si="150"/>
        <v>182</v>
      </c>
    </row>
    <row r="121" spans="1:27">
      <c r="A121" s="1" t="s">
        <v>164</v>
      </c>
      <c r="I121" s="73">
        <f t="shared" ref="I121:Z121" si="151">I117/I120</f>
        <v>1.1037630440209754E-2</v>
      </c>
      <c r="J121" s="73">
        <f t="shared" si="151"/>
        <v>1.3435783714755015E-2</v>
      </c>
      <c r="K121" s="73">
        <f t="shared" si="151"/>
        <v>2.1556808864380744E-2</v>
      </c>
      <c r="L121" s="73">
        <f t="shared" si="151"/>
        <v>1.1842401313451913E-2</v>
      </c>
      <c r="M121" s="565">
        <f t="shared" si="151"/>
        <v>1.2254009681796943E-2</v>
      </c>
      <c r="N121" s="73">
        <f t="shared" si="151"/>
        <v>1.3655543023147487E-2</v>
      </c>
      <c r="O121" s="73">
        <f t="shared" si="151"/>
        <v>1.2023920777344032E-2</v>
      </c>
      <c r="P121" s="73">
        <f t="shared" si="151"/>
        <v>0</v>
      </c>
      <c r="Q121" s="73">
        <f t="shared" si="151"/>
        <v>1.4291855476433695E-2</v>
      </c>
      <c r="R121" s="73">
        <f t="shared" si="151"/>
        <v>1.7084184289460264E-2</v>
      </c>
      <c r="S121" s="73">
        <f t="shared" si="151"/>
        <v>2.2084487151222239E-2</v>
      </c>
      <c r="T121" s="73">
        <f t="shared" si="151"/>
        <v>2.0506412838955986E-2</v>
      </c>
      <c r="U121" s="73">
        <f t="shared" si="151"/>
        <v>1.7582417582417582E-2</v>
      </c>
      <c r="V121" s="73">
        <f t="shared" si="151"/>
        <v>1.8939216174461867E-2</v>
      </c>
      <c r="W121" s="73">
        <f t="shared" si="151"/>
        <v>2.3443363146022932E-2</v>
      </c>
      <c r="X121" s="73">
        <f t="shared" si="151"/>
        <v>2.9649871532115617E-2</v>
      </c>
      <c r="Y121" s="73">
        <f t="shared" si="151"/>
        <v>3.401948583965856E-2</v>
      </c>
      <c r="Z121" s="73">
        <f t="shared" si="151"/>
        <v>3.9260181983757539E-2</v>
      </c>
      <c r="AA121" s="73">
        <f t="shared" ref="AA121" si="152">AA117/AA120</f>
        <v>4.1685058856617413E-2</v>
      </c>
    </row>
    <row r="122" spans="1:27">
      <c r="A122" s="1" t="s">
        <v>445</v>
      </c>
      <c r="B122" s="73">
        <f>B117/B106</f>
        <v>5.2525252525252535</v>
      </c>
      <c r="C122" s="73">
        <f t="shared" ref="C122:Z122" si="153">C117/C106</f>
        <v>-0.21748878923766815</v>
      </c>
      <c r="D122" s="73">
        <f t="shared" si="153"/>
        <v>6.1704834605597961E-2</v>
      </c>
      <c r="E122" s="73">
        <f t="shared" si="153"/>
        <v>-0.21231979030144169</v>
      </c>
      <c r="F122" s="73">
        <f t="shared" si="153"/>
        <v>0</v>
      </c>
      <c r="G122" s="73">
        <f t="shared" si="153"/>
        <v>0.17231364956437559</v>
      </c>
      <c r="H122" s="73">
        <f t="shared" si="153"/>
        <v>0.30827067669172936</v>
      </c>
      <c r="I122" s="73">
        <f t="shared" si="153"/>
        <v>9.2935323383084564E-2</v>
      </c>
      <c r="J122" s="73">
        <f t="shared" si="153"/>
        <v>0.25053350405463082</v>
      </c>
      <c r="K122" s="73">
        <f t="shared" si="153"/>
        <v>0.35051928783382791</v>
      </c>
      <c r="L122" s="73">
        <f t="shared" si="153"/>
        <v>1.013065326633166</v>
      </c>
      <c r="M122" s="73">
        <f t="shared" si="153"/>
        <v>0.36303515489035848</v>
      </c>
      <c r="N122" s="73">
        <f t="shared" si="153"/>
        <v>0.38015717092337914</v>
      </c>
      <c r="O122" s="73">
        <f t="shared" si="153"/>
        <v>-0.9397944199706314</v>
      </c>
      <c r="P122" s="73">
        <f t="shared" si="153"/>
        <v>0</v>
      </c>
      <c r="Q122" s="73">
        <f t="shared" si="153"/>
        <v>0.28032281034892004</v>
      </c>
      <c r="R122" s="73">
        <f t="shared" si="153"/>
        <v>0.33458912173298799</v>
      </c>
      <c r="S122" s="73">
        <f t="shared" si="153"/>
        <v>0.58466411508512606</v>
      </c>
      <c r="T122" s="73">
        <f t="shared" si="153"/>
        <v>0.56049149338374282</v>
      </c>
      <c r="U122" s="73">
        <f t="shared" si="153"/>
        <v>0.4839368476537062</v>
      </c>
      <c r="V122" s="73">
        <f t="shared" si="153"/>
        <v>0.47</v>
      </c>
      <c r="W122" s="73">
        <f t="shared" si="153"/>
        <v>0.47000000000000003</v>
      </c>
      <c r="X122" s="73">
        <f t="shared" si="153"/>
        <v>0.47</v>
      </c>
      <c r="Y122" s="73">
        <f t="shared" si="153"/>
        <v>0.47</v>
      </c>
      <c r="Z122" s="73">
        <f t="shared" si="153"/>
        <v>0.5</v>
      </c>
      <c r="AA122" s="73">
        <f t="shared" ref="AA122" si="154">AA117/AA106</f>
        <v>0.5</v>
      </c>
    </row>
    <row r="123" spans="1:27">
      <c r="A123" s="266" t="s">
        <v>84</v>
      </c>
      <c r="B123" s="626">
        <f>B2</f>
        <v>2006</v>
      </c>
      <c r="C123" s="626">
        <f t="shared" ref="C123:T123" si="155">C2</f>
        <v>2007</v>
      </c>
      <c r="D123" s="626">
        <f t="shared" si="155"/>
        <v>2008</v>
      </c>
      <c r="E123" s="626">
        <f t="shared" si="155"/>
        <v>2009</v>
      </c>
      <c r="F123" s="626">
        <f t="shared" si="155"/>
        <v>2010</v>
      </c>
      <c r="G123" s="626">
        <f t="shared" si="155"/>
        <v>2011</v>
      </c>
      <c r="H123" s="626">
        <f t="shared" si="155"/>
        <v>2012</v>
      </c>
      <c r="I123" s="626">
        <f t="shared" si="155"/>
        <v>2013</v>
      </c>
      <c r="J123" s="626">
        <f t="shared" si="155"/>
        <v>2014</v>
      </c>
      <c r="K123" s="626">
        <f t="shared" si="155"/>
        <v>2015</v>
      </c>
      <c r="L123" s="626">
        <f t="shared" si="155"/>
        <v>2016</v>
      </c>
      <c r="M123" s="626">
        <f t="shared" si="155"/>
        <v>2017</v>
      </c>
      <c r="N123" s="626">
        <f t="shared" si="155"/>
        <v>2018</v>
      </c>
      <c r="O123" s="626">
        <f t="shared" si="155"/>
        <v>2019</v>
      </c>
      <c r="P123" s="626">
        <f t="shared" si="155"/>
        <v>2020</v>
      </c>
      <c r="Q123" s="626">
        <f t="shared" si="155"/>
        <v>2021</v>
      </c>
      <c r="R123" s="626">
        <f t="shared" si="155"/>
        <v>2022</v>
      </c>
      <c r="S123" s="626">
        <f t="shared" si="155"/>
        <v>2023</v>
      </c>
      <c r="T123" s="626">
        <f t="shared" si="155"/>
        <v>2024</v>
      </c>
      <c r="U123" s="626">
        <f t="shared" ref="U123:AA123" si="156">U$2</f>
        <v>2025</v>
      </c>
      <c r="V123" s="532">
        <f t="shared" si="156"/>
        <v>2026</v>
      </c>
      <c r="W123" s="532">
        <f t="shared" si="156"/>
        <v>2027</v>
      </c>
      <c r="X123" s="532">
        <f t="shared" si="156"/>
        <v>2028</v>
      </c>
      <c r="Y123" s="532">
        <f t="shared" si="156"/>
        <v>2029</v>
      </c>
      <c r="Z123" s="532">
        <f t="shared" si="156"/>
        <v>2030</v>
      </c>
      <c r="AA123" s="532">
        <f t="shared" si="156"/>
        <v>2031</v>
      </c>
    </row>
    <row r="124" spans="1:27">
      <c r="A124" s="1" t="s">
        <v>83</v>
      </c>
      <c r="B124" s="553">
        <f>'Balance Sheet'!B39+'Balance Sheet'!B30</f>
        <v>-5757</v>
      </c>
      <c r="C124" s="553">
        <f>'Balance Sheet'!C39+'Balance Sheet'!C30</f>
        <v>-4814</v>
      </c>
      <c r="D124" s="553">
        <f>'Balance Sheet'!D39+'Balance Sheet'!D30</f>
        <v>-4504</v>
      </c>
      <c r="E124" s="553">
        <f>'Balance Sheet'!E39+'Balance Sheet'!E30</f>
        <v>-5296</v>
      </c>
      <c r="F124" s="553">
        <f>'Balance Sheet'!F39+'Balance Sheet'!F30</f>
        <v>-4278</v>
      </c>
      <c r="G124" s="553">
        <f>'Balance Sheet'!G39+'Balance Sheet'!G30</f>
        <v>-5104</v>
      </c>
      <c r="H124" s="553">
        <f>'Balance Sheet'!H39+'Balance Sheet'!H30</f>
        <v>-4779</v>
      </c>
      <c r="I124" s="553">
        <f>'Balance Sheet'!I39+'Balance Sheet'!I30</f>
        <v>-5601</v>
      </c>
      <c r="J124" s="553">
        <f>'Balance Sheet'!J39+'Balance Sheet'!J30</f>
        <v>-7351</v>
      </c>
      <c r="K124" s="553">
        <f>'Balance Sheet'!K39+'Balance Sheet'!K30</f>
        <v>-9125</v>
      </c>
      <c r="L124" s="553">
        <f>'Balance Sheet'!L39+'Balance Sheet'!L30</f>
        <v>-10478</v>
      </c>
      <c r="M124" s="553">
        <f>'Balance Sheet'!M39+'Balance Sheet'!M30</f>
        <v>-11196</v>
      </c>
      <c r="N124" s="553">
        <f>'Balance Sheet'!N39+'Balance Sheet'!N30</f>
        <v>-8926</v>
      </c>
      <c r="O124" s="544">
        <f>'Balance Sheet'!O39+'Balance Sheet'!O30</f>
        <v>-10148</v>
      </c>
      <c r="P124" s="544">
        <f>'Balance Sheet'!P39+'Balance Sheet'!P30</f>
        <v>-17095</v>
      </c>
      <c r="Q124" s="544">
        <f>'Balance Sheet'!Q39+'Balance Sheet'!Q30</f>
        <v>-15040</v>
      </c>
      <c r="R124" s="544">
        <f>'Balance Sheet'!R39+'Balance Sheet'!R30</f>
        <v>-12773</v>
      </c>
      <c r="S124" s="544">
        <f>'Balance Sheet'!S39+'Balance Sheet'!S30</f>
        <v>-13591</v>
      </c>
      <c r="T124" s="544">
        <f>'Balance Sheet'!T39+'Balance Sheet'!T30</f>
        <v>-14279</v>
      </c>
      <c r="U124" s="544">
        <f>'Balance Sheet'!U39+'Balance Sheet'!U30</f>
        <v>-14249</v>
      </c>
      <c r="V124" s="544">
        <f>'Balance Sheet'!V39+'Balance Sheet'!V30</f>
        <v>-13799</v>
      </c>
      <c r="W124" s="544">
        <f>'Balance Sheet'!W39+'Balance Sheet'!W30</f>
        <v>-13527</v>
      </c>
      <c r="X124" s="544">
        <f>'Balance Sheet'!X39+'Balance Sheet'!X30</f>
        <v>-13255</v>
      </c>
      <c r="Y124" s="544">
        <f>'Balance Sheet'!Y39+'Balance Sheet'!Y30</f>
        <v>-12983</v>
      </c>
      <c r="Z124" s="544">
        <f>'Balance Sheet'!Z39+'Balance Sheet'!Z30</f>
        <v>-12711</v>
      </c>
      <c r="AA124" s="544">
        <f>'Balance Sheet'!AA39+'Balance Sheet'!AA30</f>
        <v>-12439</v>
      </c>
    </row>
    <row r="125" spans="1:27">
      <c r="A125" s="1" t="s">
        <v>46</v>
      </c>
      <c r="B125" s="553">
        <f>'Balance Sheet'!B25</f>
        <v>8143</v>
      </c>
      <c r="C125" s="553">
        <f>'Balance Sheet'!C25</f>
        <v>7549</v>
      </c>
      <c r="D125" s="553">
        <f>'Balance Sheet'!D25</f>
        <v>6745</v>
      </c>
      <c r="E125" s="553">
        <f>'Balance Sheet'!E25</f>
        <v>7038</v>
      </c>
      <c r="F125" s="553">
        <f>'Balance Sheet'!F25</f>
        <v>5030</v>
      </c>
      <c r="G125" s="553">
        <f>'Balance Sheet'!G25</f>
        <v>5284</v>
      </c>
      <c r="H125" s="553">
        <f>'Balance Sheet'!H25</f>
        <v>8756</v>
      </c>
      <c r="I125" s="553">
        <f>'Balance Sheet'!I25</f>
        <v>7765</v>
      </c>
      <c r="J125" s="553">
        <f>'Balance Sheet'!J25</f>
        <v>7271</v>
      </c>
      <c r="K125" s="553">
        <f>'Balance Sheet'!K25</f>
        <v>7489</v>
      </c>
      <c r="L125" s="553">
        <f>'Balance Sheet'!L25</f>
        <v>10160</v>
      </c>
      <c r="M125" s="553">
        <f>'Balance Sheet'!M25</f>
        <v>12021</v>
      </c>
      <c r="N125" s="553">
        <f>'Balance Sheet'!N25</f>
        <v>9428</v>
      </c>
      <c r="O125" s="544">
        <f>'Balance Sheet'!O25</f>
        <v>9314</v>
      </c>
      <c r="P125" s="544">
        <f>'Balance Sheet'!P25</f>
        <v>14439</v>
      </c>
      <c r="Q125" s="544">
        <f>'Balance Sheet'!Q25</f>
        <v>14572</v>
      </c>
      <c r="R125" s="544">
        <f>'Balance Sheet'!R25</f>
        <v>15823</v>
      </c>
      <c r="S125" s="544">
        <f>'Balance Sheet'!S25</f>
        <v>16469</v>
      </c>
      <c r="T125" s="544">
        <f>'Balance Sheet'!T25</f>
        <v>15003</v>
      </c>
      <c r="U125" s="544">
        <f>'Balance Sheet'!U25</f>
        <v>14128</v>
      </c>
      <c r="V125" s="544">
        <f>'Balance Sheet'!V25</f>
        <v>14956.33719487746</v>
      </c>
      <c r="W125" s="544">
        <f>'Balance Sheet'!W25</f>
        <v>16708.149157413347</v>
      </c>
      <c r="X125" s="544">
        <f>'Balance Sheet'!X25</f>
        <v>19754.530385746657</v>
      </c>
      <c r="Y125" s="544">
        <f>'Balance Sheet'!Y25</f>
        <v>26005.194225202329</v>
      </c>
      <c r="Z125" s="544">
        <f>'Balance Sheet'!Z25</f>
        <v>32682.677904546021</v>
      </c>
      <c r="AA125" s="544">
        <f>'Balance Sheet'!AA25</f>
        <v>37547.224953518686</v>
      </c>
    </row>
    <row r="126" spans="1:27">
      <c r="B126" s="553"/>
      <c r="C126" s="553"/>
      <c r="D126" s="553"/>
      <c r="E126" s="553"/>
      <c r="F126" s="553"/>
      <c r="G126" s="553"/>
      <c r="H126" s="553"/>
      <c r="I126" s="553"/>
      <c r="J126" s="553"/>
      <c r="K126" s="553"/>
      <c r="L126" s="553"/>
      <c r="M126" s="553"/>
      <c r="N126" s="553"/>
      <c r="O126" s="544"/>
      <c r="P126" s="544"/>
      <c r="Q126" s="544"/>
      <c r="R126" s="544"/>
      <c r="S126" s="544"/>
      <c r="T126" s="544"/>
      <c r="U126" s="544"/>
      <c r="V126" s="544"/>
      <c r="W126" s="544"/>
      <c r="X126" s="544"/>
      <c r="Y126" s="544"/>
      <c r="Z126" s="544"/>
      <c r="AA126" s="544"/>
    </row>
    <row r="127" spans="1:27">
      <c r="A127" s="1" t="s">
        <v>82</v>
      </c>
      <c r="B127" s="553">
        <f>B124</f>
        <v>-5757</v>
      </c>
      <c r="C127" s="553">
        <f t="shared" ref="C127:U127" si="157">AVERAGE(B124:C124)</f>
        <v>-5285.5</v>
      </c>
      <c r="D127" s="553">
        <f t="shared" si="157"/>
        <v>-4659</v>
      </c>
      <c r="E127" s="553">
        <f t="shared" si="157"/>
        <v>-4900</v>
      </c>
      <c r="F127" s="553">
        <f t="shared" si="157"/>
        <v>-4787</v>
      </c>
      <c r="G127" s="553">
        <f t="shared" si="157"/>
        <v>-4691</v>
      </c>
      <c r="H127" s="553">
        <f t="shared" si="157"/>
        <v>-4941.5</v>
      </c>
      <c r="I127" s="553">
        <f t="shared" si="157"/>
        <v>-5190</v>
      </c>
      <c r="J127" s="553">
        <f t="shared" si="157"/>
        <v>-6476</v>
      </c>
      <c r="K127" s="553">
        <f t="shared" si="157"/>
        <v>-8238</v>
      </c>
      <c r="L127" s="553">
        <f t="shared" si="157"/>
        <v>-9801.5</v>
      </c>
      <c r="M127" s="553">
        <f t="shared" si="157"/>
        <v>-10837</v>
      </c>
      <c r="N127" s="553">
        <f t="shared" si="157"/>
        <v>-10061</v>
      </c>
      <c r="O127" s="544">
        <f t="shared" si="157"/>
        <v>-9537</v>
      </c>
      <c r="P127" s="544">
        <f t="shared" si="157"/>
        <v>-13621.5</v>
      </c>
      <c r="Q127" s="544">
        <f t="shared" si="157"/>
        <v>-16067.5</v>
      </c>
      <c r="R127" s="544">
        <f t="shared" si="157"/>
        <v>-13906.5</v>
      </c>
      <c r="S127" s="544">
        <f t="shared" si="157"/>
        <v>-13182</v>
      </c>
      <c r="T127" s="544">
        <f t="shared" si="157"/>
        <v>-13935</v>
      </c>
      <c r="U127" s="544">
        <f t="shared" si="157"/>
        <v>-14264</v>
      </c>
      <c r="V127" s="544">
        <f t="shared" ref="V127:AA128" si="158">U124</f>
        <v>-14249</v>
      </c>
      <c r="W127" s="544">
        <f t="shared" si="158"/>
        <v>-13799</v>
      </c>
      <c r="X127" s="544">
        <f t="shared" si="158"/>
        <v>-13527</v>
      </c>
      <c r="Y127" s="544">
        <f t="shared" si="158"/>
        <v>-13255</v>
      </c>
      <c r="Z127" s="544">
        <f t="shared" si="158"/>
        <v>-12983</v>
      </c>
      <c r="AA127" s="544">
        <f t="shared" si="158"/>
        <v>-12711</v>
      </c>
    </row>
    <row r="128" spans="1:27">
      <c r="A128" s="1" t="s">
        <v>81</v>
      </c>
      <c r="B128" s="553">
        <f>B125</f>
        <v>8143</v>
      </c>
      <c r="C128" s="553">
        <f t="shared" ref="C128:U128" si="159">AVERAGE(B125:C125)</f>
        <v>7846</v>
      </c>
      <c r="D128" s="553">
        <f t="shared" si="159"/>
        <v>7147</v>
      </c>
      <c r="E128" s="553">
        <f t="shared" si="159"/>
        <v>6891.5</v>
      </c>
      <c r="F128" s="553">
        <f t="shared" si="159"/>
        <v>6034</v>
      </c>
      <c r="G128" s="553">
        <f t="shared" si="159"/>
        <v>5157</v>
      </c>
      <c r="H128" s="553">
        <f t="shared" si="159"/>
        <v>7020</v>
      </c>
      <c r="I128" s="553">
        <f t="shared" si="159"/>
        <v>8260.5</v>
      </c>
      <c r="J128" s="553">
        <f t="shared" si="159"/>
        <v>7518</v>
      </c>
      <c r="K128" s="553">
        <f t="shared" si="159"/>
        <v>7380</v>
      </c>
      <c r="L128" s="553">
        <f t="shared" si="159"/>
        <v>8824.5</v>
      </c>
      <c r="M128" s="553">
        <f t="shared" si="159"/>
        <v>11090.5</v>
      </c>
      <c r="N128" s="553">
        <f t="shared" si="159"/>
        <v>10724.5</v>
      </c>
      <c r="O128" s="544">
        <f t="shared" si="159"/>
        <v>9371</v>
      </c>
      <c r="P128" s="544">
        <f t="shared" si="159"/>
        <v>11876.5</v>
      </c>
      <c r="Q128" s="544">
        <f t="shared" si="159"/>
        <v>14505.5</v>
      </c>
      <c r="R128" s="544">
        <f t="shared" si="159"/>
        <v>15197.5</v>
      </c>
      <c r="S128" s="544">
        <f t="shared" si="159"/>
        <v>16146</v>
      </c>
      <c r="T128" s="544">
        <f t="shared" si="159"/>
        <v>15736</v>
      </c>
      <c r="U128" s="544">
        <f t="shared" si="159"/>
        <v>14565.5</v>
      </c>
      <c r="V128" s="544">
        <f t="shared" si="158"/>
        <v>14128</v>
      </c>
      <c r="W128" s="544">
        <f t="shared" si="158"/>
        <v>14956.33719487746</v>
      </c>
      <c r="X128" s="544">
        <f t="shared" si="158"/>
        <v>16708.149157413347</v>
      </c>
      <c r="Y128" s="544">
        <f t="shared" si="158"/>
        <v>19754.530385746657</v>
      </c>
      <c r="Z128" s="544">
        <f t="shared" si="158"/>
        <v>26005.194225202329</v>
      </c>
      <c r="AA128" s="544">
        <f t="shared" si="158"/>
        <v>32682.677904546021</v>
      </c>
    </row>
    <row r="129" spans="1:27">
      <c r="O129" s="544"/>
      <c r="P129" s="544"/>
      <c r="Q129" s="544"/>
      <c r="R129" s="544"/>
      <c r="S129" s="544"/>
      <c r="T129" s="544"/>
      <c r="U129" s="544"/>
      <c r="V129" s="544"/>
      <c r="W129" s="544"/>
      <c r="X129" s="544"/>
      <c r="Y129" s="544"/>
      <c r="Z129" s="544"/>
      <c r="AA129" s="544"/>
    </row>
    <row r="130" spans="1:27">
      <c r="A130" s="1" t="s">
        <v>80</v>
      </c>
      <c r="B130" s="550">
        <f t="shared" ref="B130:T130" si="160">B133/B127</f>
        <v>0.14608302935556713</v>
      </c>
      <c r="C130" s="550">
        <f t="shared" si="160"/>
        <v>0.18730489073881373</v>
      </c>
      <c r="D130" s="550">
        <f t="shared" si="160"/>
        <v>0.17943764756385491</v>
      </c>
      <c r="E130" s="550">
        <f t="shared" si="160"/>
        <v>0.15061224489795919</v>
      </c>
      <c r="F130" s="550">
        <f t="shared" si="160"/>
        <v>5.9118445790683101E-2</v>
      </c>
      <c r="G130" s="550">
        <f t="shared" si="160"/>
        <v>5.7983372415263273E-2</v>
      </c>
      <c r="H130" s="550">
        <f t="shared" si="160"/>
        <v>5.0591925528685619E-2</v>
      </c>
      <c r="I130" s="550">
        <f t="shared" si="160"/>
        <v>4.3352601156069363E-2</v>
      </c>
      <c r="J130" s="550">
        <f t="shared" si="160"/>
        <v>3.9684990735021616E-2</v>
      </c>
      <c r="K130" s="550">
        <f t="shared" si="160"/>
        <v>3.289633406166545E-2</v>
      </c>
      <c r="L130" s="550">
        <f t="shared" si="160"/>
        <v>3.1627812069581186E-2</v>
      </c>
      <c r="M130" s="550">
        <f t="shared" si="160"/>
        <v>2.2792285687921011E-2</v>
      </c>
      <c r="N130" s="550">
        <f t="shared" si="160"/>
        <v>2.5742967895835404E-2</v>
      </c>
      <c r="O130" s="550">
        <f t="shared" si="160"/>
        <v>2.5479710600817867E-2</v>
      </c>
      <c r="P130" s="550">
        <f t="shared" si="160"/>
        <v>2.2244246228388945E-2</v>
      </c>
      <c r="Q130" s="550">
        <f t="shared" si="160"/>
        <v>2.0787303563093201E-2</v>
      </c>
      <c r="R130" s="550">
        <f t="shared" si="160"/>
        <v>2.962643368209111E-2</v>
      </c>
      <c r="S130" s="550">
        <f t="shared" si="160"/>
        <v>5.7123350022758305E-2</v>
      </c>
      <c r="T130" s="550">
        <f t="shared" si="160"/>
        <v>6.4585575888051666E-2</v>
      </c>
      <c r="U130" s="550">
        <f t="shared" ref="U130" si="161">U133/U127</f>
        <v>5.3982052720134607E-2</v>
      </c>
      <c r="V130" s="796">
        <v>5.1999999999999998E-2</v>
      </c>
      <c r="W130" s="796">
        <f>V130-0.2%</f>
        <v>4.9999999999999996E-2</v>
      </c>
      <c r="X130" s="796">
        <f t="shared" ref="X130:AA130" si="162">W130-0.2%</f>
        <v>4.7999999999999994E-2</v>
      </c>
      <c r="Y130" s="796">
        <f t="shared" si="162"/>
        <v>4.5999999999999992E-2</v>
      </c>
      <c r="Z130" s="796">
        <f>Y130-0.3%</f>
        <v>4.299999999999999E-2</v>
      </c>
      <c r="AA130" s="796">
        <f t="shared" si="162"/>
        <v>4.0999999999999988E-2</v>
      </c>
    </row>
    <row r="131" spans="1:27">
      <c r="A131" s="1" t="s">
        <v>79</v>
      </c>
      <c r="B131" s="550"/>
      <c r="C131" s="550">
        <f t="shared" ref="C131:T131" si="163">C134/C128</f>
        <v>6.3981646698954883E-2</v>
      </c>
      <c r="D131" s="550">
        <f t="shared" si="163"/>
        <v>8.6329928641387998E-2</v>
      </c>
      <c r="E131" s="550">
        <f t="shared" si="163"/>
        <v>5.1657839367336575E-2</v>
      </c>
      <c r="F131" s="550">
        <f t="shared" si="163"/>
        <v>5.236990387802453E-2</v>
      </c>
      <c r="G131" s="550">
        <f t="shared" si="163"/>
        <v>7.3104518130696142E-2</v>
      </c>
      <c r="H131" s="550">
        <f t="shared" si="163"/>
        <v>3.3760683760683759E-2</v>
      </c>
      <c r="I131" s="550">
        <f t="shared" si="163"/>
        <v>2.0337751952061014E-2</v>
      </c>
      <c r="J131" s="550">
        <f t="shared" si="163"/>
        <v>1.8888002128225591E-2</v>
      </c>
      <c r="K131" s="550">
        <f t="shared" si="163"/>
        <v>2.4796747967479674E-2</v>
      </c>
      <c r="L131" s="550">
        <f t="shared" si="163"/>
        <v>2.7990254405348743E-2</v>
      </c>
      <c r="M131" s="550">
        <f t="shared" si="163"/>
        <v>1.7041612190613589E-2</v>
      </c>
      <c r="N131" s="550">
        <f t="shared" si="163"/>
        <v>1.9394843582451398E-2</v>
      </c>
      <c r="O131" s="550">
        <f t="shared" si="163"/>
        <v>2.4330380962544019E-2</v>
      </c>
      <c r="P131" s="550">
        <f t="shared" si="163"/>
        <v>1.1787984675619922E-2</v>
      </c>
      <c r="Q131" s="550">
        <f t="shared" si="163"/>
        <v>6.0666643686877395E-3</v>
      </c>
      <c r="R131" s="550">
        <f t="shared" si="163"/>
        <v>1.1844053298239843E-2</v>
      </c>
      <c r="S131" s="550">
        <f t="shared" si="163"/>
        <v>4.5088566827697261E-2</v>
      </c>
      <c r="T131" s="550">
        <f t="shared" si="163"/>
        <v>5.0965937976614133E-2</v>
      </c>
      <c r="U131" s="550">
        <f t="shared" ref="U131" si="164">U134/U128</f>
        <v>4.8745322851944661E-2</v>
      </c>
      <c r="V131" s="796">
        <v>4.5999999999999999E-2</v>
      </c>
      <c r="W131" s="796">
        <f>V131-0.1%</f>
        <v>4.4999999999999998E-2</v>
      </c>
      <c r="X131" s="796">
        <f>W131-0.3%</f>
        <v>4.1999999999999996E-2</v>
      </c>
      <c r="Y131" s="796">
        <f t="shared" ref="Y131" si="165">X131-0.3%</f>
        <v>3.8999999999999993E-2</v>
      </c>
      <c r="Z131" s="796">
        <f>Y131</f>
        <v>3.8999999999999993E-2</v>
      </c>
      <c r="AA131" s="796">
        <f>Z131</f>
        <v>3.8999999999999993E-2</v>
      </c>
    </row>
    <row r="132" spans="1:27">
      <c r="S132" s="271"/>
      <c r="T132" s="271"/>
      <c r="U132" s="271"/>
      <c r="V132" s="271"/>
      <c r="W132" s="271"/>
      <c r="X132" s="271"/>
      <c r="Y132" s="271"/>
      <c r="Z132" s="271"/>
      <c r="AA132" s="271"/>
    </row>
    <row r="133" spans="1:27">
      <c r="A133" s="1" t="s">
        <v>9</v>
      </c>
      <c r="B133" s="553">
        <f>'Income Statement'!B88-B136</f>
        <v>-841</v>
      </c>
      <c r="C133" s="553">
        <f>'Income Statement'!C88-C136</f>
        <v>-990</v>
      </c>
      <c r="D133" s="553">
        <f>'Income Statement'!D88-D136</f>
        <v>-836</v>
      </c>
      <c r="E133" s="553">
        <f>'Income Statement'!E88-E136</f>
        <v>-738</v>
      </c>
      <c r="F133" s="553">
        <f>'Income Statement'!F88-F136</f>
        <v>-283</v>
      </c>
      <c r="G133" s="553">
        <f>'Income Statement'!G88-G136</f>
        <v>-272</v>
      </c>
      <c r="H133" s="553">
        <f>'Income Statement'!H88-H136</f>
        <v>-250</v>
      </c>
      <c r="I133" s="553">
        <f>'Income Statement'!I88-I136</f>
        <v>-225</v>
      </c>
      <c r="J133" s="553">
        <f>'Income Statement'!J88-J136</f>
        <v>-257</v>
      </c>
      <c r="K133" s="553">
        <f>'Income Statement'!K88-K136</f>
        <v>-271</v>
      </c>
      <c r="L133" s="553">
        <f>'Income Statement'!L88-L136</f>
        <v>-310</v>
      </c>
      <c r="M133" s="553">
        <f>'Income Statement'!M88-M136</f>
        <v>-247</v>
      </c>
      <c r="N133" s="553">
        <f>'Income Statement'!N88-N136</f>
        <v>-259</v>
      </c>
      <c r="O133" s="544">
        <f>'Income Statement'!O88-O136</f>
        <v>-243</v>
      </c>
      <c r="P133" s="544">
        <f>'Income Statement'!P88-P136</f>
        <v>-303</v>
      </c>
      <c r="Q133" s="544">
        <f t="shared" ref="Q133:T133" si="166">Q88</f>
        <v>-334</v>
      </c>
      <c r="R133" s="544">
        <f t="shared" si="166"/>
        <v>-412</v>
      </c>
      <c r="S133" s="544">
        <f t="shared" si="166"/>
        <v>-753</v>
      </c>
      <c r="T133" s="544">
        <f t="shared" si="166"/>
        <v>-900</v>
      </c>
      <c r="U133" s="544">
        <f>U88</f>
        <v>-770</v>
      </c>
      <c r="V133" s="544">
        <f t="shared" ref="V133:AA133" si="167">V130*U124</f>
        <v>-740.94799999999998</v>
      </c>
      <c r="W133" s="544">
        <f t="shared" si="167"/>
        <v>-689.94999999999993</v>
      </c>
      <c r="X133" s="544">
        <f t="shared" si="167"/>
        <v>-649.29599999999994</v>
      </c>
      <c r="Y133" s="544">
        <f t="shared" si="167"/>
        <v>-609.7299999999999</v>
      </c>
      <c r="Z133" s="544">
        <f t="shared" si="167"/>
        <v>-558.26899999999989</v>
      </c>
      <c r="AA133" s="544">
        <f t="shared" si="167"/>
        <v>-521.15099999999984</v>
      </c>
    </row>
    <row r="134" spans="1:27">
      <c r="A134" s="1" t="s">
        <v>78</v>
      </c>
      <c r="B134" s="553">
        <f>'Income Statement'!B87</f>
        <v>454</v>
      </c>
      <c r="C134" s="553">
        <f>'Income Statement'!C87</f>
        <v>502</v>
      </c>
      <c r="D134" s="553">
        <f>'Income Statement'!D87</f>
        <v>617</v>
      </c>
      <c r="E134" s="553">
        <f>'Income Statement'!E87</f>
        <v>356</v>
      </c>
      <c r="F134" s="553">
        <f>'Income Statement'!F87</f>
        <v>316</v>
      </c>
      <c r="G134" s="553">
        <f>'Income Statement'!G87</f>
        <v>377</v>
      </c>
      <c r="H134" s="553">
        <f>'Income Statement'!H87</f>
        <v>237</v>
      </c>
      <c r="I134" s="553">
        <f>'Income Statement'!I87</f>
        <v>168</v>
      </c>
      <c r="J134" s="553">
        <f>'Income Statement'!J87</f>
        <v>142</v>
      </c>
      <c r="K134" s="553">
        <f>'Income Statement'!K87</f>
        <v>183</v>
      </c>
      <c r="L134" s="553">
        <f>'Income Statement'!L87</f>
        <v>247</v>
      </c>
      <c r="M134" s="553">
        <f>'Income Statement'!M87</f>
        <v>189</v>
      </c>
      <c r="N134" s="553">
        <f>'Income Statement'!N87</f>
        <v>208</v>
      </c>
      <c r="O134" s="544">
        <f>'Income Statement'!O87</f>
        <v>228</v>
      </c>
      <c r="P134" s="544">
        <f>'Income Statement'!P87</f>
        <v>140</v>
      </c>
      <c r="Q134" s="544">
        <f t="shared" ref="Q134:T134" si="168">Q87</f>
        <v>88</v>
      </c>
      <c r="R134" s="544">
        <f t="shared" si="168"/>
        <v>180</v>
      </c>
      <c r="S134" s="544">
        <f t="shared" si="168"/>
        <v>728</v>
      </c>
      <c r="T134" s="544">
        <f t="shared" si="168"/>
        <v>802</v>
      </c>
      <c r="U134" s="544">
        <f>U87</f>
        <v>710</v>
      </c>
      <c r="V134" s="544">
        <f t="shared" ref="V134:AA134" si="169">V131*U125</f>
        <v>649.88800000000003</v>
      </c>
      <c r="W134" s="544">
        <f t="shared" si="169"/>
        <v>673.03517376948571</v>
      </c>
      <c r="X134" s="544">
        <f t="shared" si="169"/>
        <v>701.7422646113605</v>
      </c>
      <c r="Y134" s="544">
        <f t="shared" si="169"/>
        <v>770.42668504411949</v>
      </c>
      <c r="Z134" s="544">
        <f t="shared" si="169"/>
        <v>1014.2025747828907</v>
      </c>
      <c r="AA134" s="544">
        <f t="shared" si="169"/>
        <v>1274.6244382772945</v>
      </c>
    </row>
    <row r="135" spans="1:27">
      <c r="O135" s="544"/>
      <c r="P135" s="544"/>
      <c r="Q135" s="544"/>
      <c r="R135" s="544"/>
      <c r="S135" s="544"/>
      <c r="T135" s="544"/>
      <c r="U135" s="544"/>
      <c r="V135" s="544"/>
      <c r="W135" s="544"/>
      <c r="X135" s="544"/>
      <c r="Y135" s="544"/>
      <c r="Z135" s="544"/>
      <c r="AA135" s="544"/>
    </row>
    <row r="136" spans="1:27">
      <c r="A136" s="1" t="s">
        <v>77</v>
      </c>
      <c r="B136" s="545">
        <v>266</v>
      </c>
      <c r="C136" s="545">
        <v>289</v>
      </c>
      <c r="D136" s="545">
        <v>255</v>
      </c>
      <c r="E136" s="545">
        <v>235</v>
      </c>
      <c r="F136" s="555">
        <v>-132</v>
      </c>
      <c r="G136" s="555">
        <v>-92</v>
      </c>
      <c r="H136" s="555">
        <v>-272</v>
      </c>
      <c r="I136" s="553">
        <f>H136</f>
        <v>-272</v>
      </c>
      <c r="J136" s="555">
        <v>-205</v>
      </c>
      <c r="K136" s="555">
        <v>-280</v>
      </c>
      <c r="L136" s="555">
        <v>-212</v>
      </c>
      <c r="M136" s="556">
        <v>-270</v>
      </c>
      <c r="N136" s="556">
        <v>-181</v>
      </c>
      <c r="O136" s="559">
        <v>-96</v>
      </c>
      <c r="P136" s="559">
        <v>-108</v>
      </c>
      <c r="Q136" s="544">
        <f t="shared" ref="Q136:AA136" si="170">P136</f>
        <v>-108</v>
      </c>
      <c r="R136" s="544">
        <f t="shared" si="170"/>
        <v>-108</v>
      </c>
      <c r="S136" s="544">
        <f t="shared" si="170"/>
        <v>-108</v>
      </c>
      <c r="T136" s="544">
        <f t="shared" si="170"/>
        <v>-108</v>
      </c>
      <c r="U136" s="544">
        <f t="shared" si="170"/>
        <v>-108</v>
      </c>
      <c r="V136" s="544">
        <f t="shared" si="170"/>
        <v>-108</v>
      </c>
      <c r="W136" s="544">
        <f t="shared" si="170"/>
        <v>-108</v>
      </c>
      <c r="X136" s="544">
        <f t="shared" si="170"/>
        <v>-108</v>
      </c>
      <c r="Y136" s="544">
        <f t="shared" si="170"/>
        <v>-108</v>
      </c>
      <c r="Z136" s="544">
        <f t="shared" si="170"/>
        <v>-108</v>
      </c>
      <c r="AA136" s="544">
        <f t="shared" si="170"/>
        <v>-108</v>
      </c>
    </row>
    <row r="137" spans="1:27">
      <c r="A137" s="1" t="s">
        <v>76</v>
      </c>
      <c r="B137" s="553">
        <f t="shared" ref="B137:Z137" si="171">B133+B136</f>
        <v>-575</v>
      </c>
      <c r="C137" s="553">
        <f t="shared" si="171"/>
        <v>-701</v>
      </c>
      <c r="D137" s="553">
        <f t="shared" si="171"/>
        <v>-581</v>
      </c>
      <c r="E137" s="553">
        <f t="shared" si="171"/>
        <v>-503</v>
      </c>
      <c r="F137" s="553">
        <f t="shared" si="171"/>
        <v>-415</v>
      </c>
      <c r="G137" s="553">
        <f t="shared" si="171"/>
        <v>-364</v>
      </c>
      <c r="H137" s="553">
        <f t="shared" si="171"/>
        <v>-522</v>
      </c>
      <c r="I137" s="553">
        <f t="shared" si="171"/>
        <v>-497</v>
      </c>
      <c r="J137" s="553">
        <f t="shared" si="171"/>
        <v>-462</v>
      </c>
      <c r="K137" s="553">
        <f t="shared" si="171"/>
        <v>-551</v>
      </c>
      <c r="L137" s="553">
        <f t="shared" si="171"/>
        <v>-522</v>
      </c>
      <c r="M137" s="553">
        <f t="shared" si="171"/>
        <v>-517</v>
      </c>
      <c r="N137" s="557">
        <f t="shared" si="171"/>
        <v>-440</v>
      </c>
      <c r="O137" s="562">
        <f t="shared" si="171"/>
        <v>-339</v>
      </c>
      <c r="P137" s="562">
        <f t="shared" si="171"/>
        <v>-411</v>
      </c>
      <c r="Q137" s="544">
        <f t="shared" si="171"/>
        <v>-442</v>
      </c>
      <c r="R137" s="544">
        <f t="shared" si="171"/>
        <v>-520</v>
      </c>
      <c r="S137" s="544">
        <f t="shared" si="171"/>
        <v>-861</v>
      </c>
      <c r="T137" s="544">
        <f t="shared" si="171"/>
        <v>-1008</v>
      </c>
      <c r="U137" s="544">
        <f t="shared" ref="U137" si="172">U133+U136</f>
        <v>-878</v>
      </c>
      <c r="V137" s="547">
        <f t="shared" si="171"/>
        <v>-848.94799999999998</v>
      </c>
      <c r="W137" s="547">
        <f t="shared" si="171"/>
        <v>-797.94999999999993</v>
      </c>
      <c r="X137" s="547">
        <f t="shared" si="171"/>
        <v>-757.29599999999994</v>
      </c>
      <c r="Y137" s="547">
        <f t="shared" si="171"/>
        <v>-717.7299999999999</v>
      </c>
      <c r="Z137" s="547">
        <f t="shared" si="171"/>
        <v>-666.26899999999989</v>
      </c>
      <c r="AA137" s="547">
        <f t="shared" ref="AA137" si="173">AA133+AA136</f>
        <v>-629.15099999999984</v>
      </c>
    </row>
    <row r="138" spans="1:27"/>
    <row r="139" spans="1:27">
      <c r="A139" s="196" t="s">
        <v>73</v>
      </c>
      <c r="B139" s="626">
        <f>B2</f>
        <v>2006</v>
      </c>
      <c r="C139" s="626">
        <f t="shared" ref="C139:T139" si="174">C2</f>
        <v>2007</v>
      </c>
      <c r="D139" s="626">
        <f t="shared" si="174"/>
        <v>2008</v>
      </c>
      <c r="E139" s="626">
        <f t="shared" si="174"/>
        <v>2009</v>
      </c>
      <c r="F139" s="626">
        <f t="shared" si="174"/>
        <v>2010</v>
      </c>
      <c r="G139" s="626">
        <f t="shared" si="174"/>
        <v>2011</v>
      </c>
      <c r="H139" s="626">
        <f t="shared" si="174"/>
        <v>2012</v>
      </c>
      <c r="I139" s="626">
        <f t="shared" si="174"/>
        <v>2013</v>
      </c>
      <c r="J139" s="626">
        <f t="shared" si="174"/>
        <v>2014</v>
      </c>
      <c r="K139" s="626">
        <f t="shared" si="174"/>
        <v>2015</v>
      </c>
      <c r="L139" s="626">
        <f t="shared" si="174"/>
        <v>2016</v>
      </c>
      <c r="M139" s="626">
        <f t="shared" si="174"/>
        <v>2017</v>
      </c>
      <c r="N139" s="626">
        <f t="shared" si="174"/>
        <v>2018</v>
      </c>
      <c r="O139" s="626">
        <f t="shared" si="174"/>
        <v>2019</v>
      </c>
      <c r="P139" s="626">
        <f t="shared" si="174"/>
        <v>2020</v>
      </c>
      <c r="Q139" s="626">
        <f t="shared" si="174"/>
        <v>2021</v>
      </c>
      <c r="R139" s="626">
        <f t="shared" si="174"/>
        <v>2022</v>
      </c>
      <c r="S139" s="626">
        <f t="shared" si="174"/>
        <v>2023</v>
      </c>
      <c r="T139" s="626">
        <f t="shared" si="174"/>
        <v>2024</v>
      </c>
      <c r="U139" s="626">
        <f t="shared" ref="U139:AA139" si="175">U$2</f>
        <v>2025</v>
      </c>
      <c r="V139" s="532">
        <f t="shared" si="175"/>
        <v>2026</v>
      </c>
      <c r="W139" s="532">
        <f t="shared" si="175"/>
        <v>2027</v>
      </c>
      <c r="X139" s="532">
        <f t="shared" si="175"/>
        <v>2028</v>
      </c>
      <c r="Y139" s="532">
        <f t="shared" si="175"/>
        <v>2029</v>
      </c>
      <c r="Z139" s="532">
        <f t="shared" si="175"/>
        <v>2030</v>
      </c>
      <c r="AA139" s="532">
        <f t="shared" si="175"/>
        <v>2031</v>
      </c>
    </row>
    <row r="140" spans="1:27">
      <c r="A140" s="1" t="s">
        <v>72</v>
      </c>
      <c r="B140" s="545">
        <v>2458</v>
      </c>
      <c r="C140" s="545">
        <v>2608</v>
      </c>
      <c r="D140" s="545">
        <v>2669</v>
      </c>
      <c r="E140" s="545">
        <v>2825</v>
      </c>
      <c r="F140" s="545">
        <v>2939</v>
      </c>
      <c r="G140" s="545">
        <v>3152</v>
      </c>
      <c r="H140" s="546">
        <v>3142</v>
      </c>
      <c r="I140" s="544">
        <f t="shared" ref="I140:Z140" si="176">-I68</f>
        <v>3160</v>
      </c>
      <c r="J140" s="544">
        <f t="shared" si="176"/>
        <v>3391</v>
      </c>
      <c r="K140" s="544">
        <f t="shared" si="176"/>
        <v>3460</v>
      </c>
      <c r="L140" s="544">
        <f t="shared" si="176"/>
        <v>2970</v>
      </c>
      <c r="M140" s="544">
        <f t="shared" si="176"/>
        <v>2807</v>
      </c>
      <c r="N140" s="544">
        <f t="shared" si="176"/>
        <v>3217</v>
      </c>
      <c r="O140" s="544">
        <f t="shared" si="176"/>
        <v>3358</v>
      </c>
      <c r="P140" s="544">
        <f t="shared" si="176"/>
        <v>2858</v>
      </c>
      <c r="Q140" s="544">
        <f t="shared" si="176"/>
        <v>2746</v>
      </c>
      <c r="R140" s="544">
        <f t="shared" si="176"/>
        <v>3079</v>
      </c>
      <c r="S140" s="544">
        <f t="shared" si="176"/>
        <v>3257</v>
      </c>
      <c r="T140" s="544">
        <f t="shared" si="176"/>
        <v>3250</v>
      </c>
      <c r="U140" s="544">
        <f t="shared" si="176"/>
        <v>3153</v>
      </c>
      <c r="V140" s="544">
        <f t="shared" si="176"/>
        <v>3532.8794627292164</v>
      </c>
      <c r="W140" s="544">
        <f t="shared" si="176"/>
        <v>3700.9006133133898</v>
      </c>
      <c r="X140" s="544">
        <f t="shared" si="176"/>
        <v>3885.7706419266992</v>
      </c>
      <c r="Y140" s="544">
        <f t="shared" si="176"/>
        <v>4190.5028567573936</v>
      </c>
      <c r="Z140" s="544">
        <f t="shared" si="176"/>
        <v>4092.0262761002414</v>
      </c>
      <c r="AA140" s="544">
        <f t="shared" ref="AA140" si="177">-AA68</f>
        <v>4251.3720184167023</v>
      </c>
    </row>
    <row r="141" spans="1:27">
      <c r="A141" s="1" t="s">
        <v>71</v>
      </c>
      <c r="B141" s="545">
        <v>7</v>
      </c>
      <c r="C141" s="545">
        <v>46</v>
      </c>
      <c r="D141" s="545">
        <v>56</v>
      </c>
      <c r="E141" s="545">
        <v>146</v>
      </c>
      <c r="F141" s="545">
        <v>34</v>
      </c>
      <c r="G141" s="545">
        <v>116</v>
      </c>
      <c r="H141" s="546">
        <v>171</v>
      </c>
      <c r="I141" s="544">
        <f>I146*H58</f>
        <v>171</v>
      </c>
      <c r="J141" s="546">
        <v>137</v>
      </c>
      <c r="K141" s="546">
        <v>203</v>
      </c>
      <c r="L141" s="546">
        <v>209</v>
      </c>
      <c r="M141" s="559">
        <v>185</v>
      </c>
      <c r="N141" s="559">
        <v>259</v>
      </c>
      <c r="O141" s="559">
        <v>333</v>
      </c>
      <c r="P141" s="559">
        <v>222</v>
      </c>
      <c r="Q141" s="559">
        <v>106</v>
      </c>
      <c r="R141" s="559">
        <v>110</v>
      </c>
      <c r="S141" s="559">
        <v>164</v>
      </c>
      <c r="T141" s="559">
        <v>556</v>
      </c>
      <c r="U141" s="559">
        <v>168</v>
      </c>
      <c r="V141" s="544">
        <f t="shared" ref="V141:Z141" si="178">V146*V58</f>
        <v>183.48875917051819</v>
      </c>
      <c r="W141" s="544">
        <f t="shared" si="178"/>
        <v>208.74407789329402</v>
      </c>
      <c r="X141" s="544">
        <f t="shared" si="178"/>
        <v>234.56823712708001</v>
      </c>
      <c r="Y141" s="544">
        <f t="shared" si="178"/>
        <v>254.28031023832892</v>
      </c>
      <c r="Z141" s="544">
        <f t="shared" si="178"/>
        <v>267.17984255296409</v>
      </c>
      <c r="AA141" s="544">
        <f t="shared" ref="AA141" si="179">AA146*AA58</f>
        <v>277.58397182071917</v>
      </c>
    </row>
    <row r="142" spans="1:27">
      <c r="A142" s="1" t="s">
        <v>70</v>
      </c>
      <c r="B142" s="545">
        <v>411</v>
      </c>
      <c r="C142" s="545">
        <v>93</v>
      </c>
      <c r="D142" s="545">
        <v>87</v>
      </c>
      <c r="E142" s="545">
        <v>53</v>
      </c>
      <c r="F142" s="545">
        <v>145</v>
      </c>
      <c r="G142" s="545">
        <v>97</v>
      </c>
      <c r="H142" s="546">
        <v>488</v>
      </c>
      <c r="I142" s="546">
        <v>421</v>
      </c>
      <c r="J142" s="546">
        <v>225</v>
      </c>
      <c r="K142" s="546">
        <v>154</v>
      </c>
      <c r="L142" s="546">
        <v>311</v>
      </c>
      <c r="M142" s="559">
        <v>219</v>
      </c>
      <c r="N142" s="559">
        <v>91</v>
      </c>
      <c r="O142" s="559">
        <v>133</v>
      </c>
      <c r="P142" s="559">
        <v>101</v>
      </c>
      <c r="Q142" s="559">
        <v>152</v>
      </c>
      <c r="R142" s="559">
        <v>319</v>
      </c>
      <c r="S142" s="559">
        <v>377</v>
      </c>
      <c r="T142" s="559">
        <v>450</v>
      </c>
      <c r="U142" s="559">
        <v>356</v>
      </c>
      <c r="V142" s="544">
        <f t="shared" ref="V142:Z142" si="180">V147*V58</f>
        <v>388.82141824228859</v>
      </c>
      <c r="W142" s="544">
        <f t="shared" si="180"/>
        <v>442.33864125007545</v>
      </c>
      <c r="X142" s="544">
        <f t="shared" si="180"/>
        <v>497.06126438833621</v>
      </c>
      <c r="Y142" s="544">
        <f t="shared" si="180"/>
        <v>538.83208598122087</v>
      </c>
      <c r="Z142" s="544">
        <f t="shared" si="180"/>
        <v>566.16680921937632</v>
      </c>
      <c r="AA142" s="544">
        <f t="shared" ref="AA142" si="181">AA147*AA58</f>
        <v>588.21365457247634</v>
      </c>
    </row>
    <row r="143" spans="1:27">
      <c r="A143" s="1" t="s">
        <v>69</v>
      </c>
      <c r="B143" s="271">
        <f t="shared" ref="B143:Z143" si="182">B140-B141+B142</f>
        <v>2862</v>
      </c>
      <c r="C143" s="271">
        <f t="shared" si="182"/>
        <v>2655</v>
      </c>
      <c r="D143" s="271">
        <f t="shared" si="182"/>
        <v>2700</v>
      </c>
      <c r="E143" s="271">
        <f t="shared" si="182"/>
        <v>2732</v>
      </c>
      <c r="F143" s="271">
        <f t="shared" si="182"/>
        <v>3050</v>
      </c>
      <c r="G143" s="271">
        <f t="shared" si="182"/>
        <v>3133</v>
      </c>
      <c r="H143" s="544">
        <f t="shared" si="182"/>
        <v>3459</v>
      </c>
      <c r="I143" s="544">
        <f t="shared" si="182"/>
        <v>3410</v>
      </c>
      <c r="J143" s="544">
        <f t="shared" si="182"/>
        <v>3479</v>
      </c>
      <c r="K143" s="544">
        <f t="shared" si="182"/>
        <v>3411</v>
      </c>
      <c r="L143" s="544">
        <f t="shared" si="182"/>
        <v>3072</v>
      </c>
      <c r="M143" s="544">
        <f t="shared" si="182"/>
        <v>2841</v>
      </c>
      <c r="N143" s="544">
        <f t="shared" si="182"/>
        <v>3049</v>
      </c>
      <c r="O143" s="544">
        <f t="shared" si="182"/>
        <v>3158</v>
      </c>
      <c r="P143" s="544">
        <f t="shared" si="182"/>
        <v>2737</v>
      </c>
      <c r="Q143" s="544">
        <f t="shared" si="182"/>
        <v>2792</v>
      </c>
      <c r="R143" s="544">
        <f t="shared" si="182"/>
        <v>3288</v>
      </c>
      <c r="S143" s="544">
        <f t="shared" si="182"/>
        <v>3470</v>
      </c>
      <c r="T143" s="544">
        <f t="shared" si="182"/>
        <v>3144</v>
      </c>
      <c r="U143" s="544">
        <f t="shared" si="182"/>
        <v>3341</v>
      </c>
      <c r="V143" s="544">
        <f t="shared" si="182"/>
        <v>3738.2121218009866</v>
      </c>
      <c r="W143" s="544">
        <f t="shared" si="182"/>
        <v>3934.4951766701711</v>
      </c>
      <c r="X143" s="544">
        <f t="shared" si="182"/>
        <v>4148.2636691879552</v>
      </c>
      <c r="Y143" s="544">
        <f t="shared" si="182"/>
        <v>4475.0546325002852</v>
      </c>
      <c r="Z143" s="544">
        <f t="shared" si="182"/>
        <v>4391.013242766654</v>
      </c>
      <c r="AA143" s="544">
        <f t="shared" ref="AA143" si="183">AA140-AA141+AA142</f>
        <v>4562.0017011684595</v>
      </c>
    </row>
    <row r="144" spans="1:27">
      <c r="O144" s="544"/>
      <c r="P144" s="544"/>
      <c r="Q144" s="544"/>
      <c r="R144" s="544"/>
      <c r="S144" s="544"/>
      <c r="T144" s="544"/>
      <c r="U144" s="544"/>
      <c r="V144" s="544"/>
      <c r="W144" s="544"/>
      <c r="X144" s="544"/>
      <c r="Y144" s="544"/>
      <c r="Z144" s="544"/>
      <c r="AA144" s="544"/>
    </row>
    <row r="145" spans="1:34">
      <c r="A145" s="1" t="s">
        <v>68</v>
      </c>
      <c r="B145" s="550">
        <f t="shared" ref="B145:Z145" si="184">B140/B$58</f>
        <v>6.2331997768423186E-2</v>
      </c>
      <c r="C145" s="550">
        <f t="shared" si="184"/>
        <v>6.6661554584259902E-2</v>
      </c>
      <c r="D145" s="550">
        <f t="shared" si="184"/>
        <v>6.1689587426326131E-2</v>
      </c>
      <c r="E145" s="550">
        <f t="shared" si="184"/>
        <v>6.5970762692074164E-2</v>
      </c>
      <c r="F145" s="550">
        <f t="shared" si="184"/>
        <v>6.4237628956111209E-2</v>
      </c>
      <c r="G145" s="550">
        <f t="shared" si="184"/>
        <v>6.4158931770070024E-2</v>
      </c>
      <c r="H145" s="550">
        <f t="shared" si="184"/>
        <v>5.5630311614730879E-2</v>
      </c>
      <c r="I145" s="550">
        <f t="shared" si="184"/>
        <v>5.0305654610290372E-2</v>
      </c>
      <c r="J145" s="550">
        <f t="shared" si="184"/>
        <v>5.5852947474181805E-2</v>
      </c>
      <c r="K145" s="550">
        <f t="shared" si="184"/>
        <v>5.3685027152831653E-2</v>
      </c>
      <c r="L145" s="550">
        <f t="shared" si="184"/>
        <v>4.4607320406722641E-2</v>
      </c>
      <c r="M145" s="550">
        <f t="shared" si="184"/>
        <v>4.204172720056315E-2</v>
      </c>
      <c r="N145" s="550">
        <f t="shared" si="184"/>
        <v>5.049680568854286E-2</v>
      </c>
      <c r="O145" s="550">
        <f t="shared" si="184"/>
        <v>4.7646073952155282E-2</v>
      </c>
      <c r="P145" s="550">
        <f t="shared" si="184"/>
        <v>5.726077897098894E-2</v>
      </c>
      <c r="Q145" s="550">
        <f t="shared" si="184"/>
        <v>5.2656810293581852E-2</v>
      </c>
      <c r="R145" s="550">
        <f t="shared" si="184"/>
        <v>5.2396916427003386E-2</v>
      </c>
      <c r="S145" s="550">
        <f t="shared" si="184"/>
        <v>4.9766219478654158E-2</v>
      </c>
      <c r="T145" s="550">
        <f t="shared" si="184"/>
        <v>4.6944966055178394E-2</v>
      </c>
      <c r="U145" s="550">
        <f t="shared" si="184"/>
        <v>4.2889206284431748E-2</v>
      </c>
      <c r="V145" s="550">
        <f t="shared" si="184"/>
        <v>4.3999999999999997E-2</v>
      </c>
      <c r="W145" s="550">
        <f t="shared" si="184"/>
        <v>4.0516001564353268E-2</v>
      </c>
      <c r="X145" s="550">
        <f t="shared" si="184"/>
        <v>3.7856571467145925E-2</v>
      </c>
      <c r="Y145" s="550">
        <f t="shared" si="184"/>
        <v>3.7660556101925487E-2</v>
      </c>
      <c r="Z145" s="550">
        <f t="shared" si="184"/>
        <v>3.5000000000000003E-2</v>
      </c>
      <c r="AA145" s="550">
        <f t="shared" ref="AA145" si="185">AA140/AA$58</f>
        <v>3.5000000000000003E-2</v>
      </c>
    </row>
    <row r="146" spans="1:34">
      <c r="A146" s="1" t="s">
        <v>67</v>
      </c>
      <c r="B146" s="550">
        <f t="shared" ref="B146:H148" si="186">B141/B$58</f>
        <v>1.7751179185474463E-4</v>
      </c>
      <c r="C146" s="550">
        <f t="shared" si="186"/>
        <v>1.1757789535567313E-3</v>
      </c>
      <c r="D146" s="550">
        <f t="shared" si="186"/>
        <v>1.2943487807696753E-3</v>
      </c>
      <c r="E146" s="550">
        <f t="shared" si="186"/>
        <v>3.4094624258558686E-3</v>
      </c>
      <c r="F146" s="550">
        <f t="shared" si="186"/>
        <v>7.4313691204756077E-4</v>
      </c>
      <c r="G146" s="550">
        <f t="shared" si="186"/>
        <v>2.3611789610812569E-3</v>
      </c>
      <c r="H146" s="550">
        <f t="shared" si="186"/>
        <v>3.0276203966005666E-3</v>
      </c>
      <c r="I146" s="550">
        <f>H146</f>
        <v>3.0276203966005666E-3</v>
      </c>
      <c r="J146" s="550">
        <f t="shared" ref="J146:U148" si="187">J141/J$58</f>
        <v>2.256518373330259E-3</v>
      </c>
      <c r="K146" s="550">
        <f t="shared" si="187"/>
        <v>3.1497284716834758E-3</v>
      </c>
      <c r="L146" s="550">
        <f t="shared" si="187"/>
        <v>3.1390336582508525E-3</v>
      </c>
      <c r="M146" s="550">
        <f t="shared" si="187"/>
        <v>2.7708299009989966E-3</v>
      </c>
      <c r="N146" s="550">
        <f t="shared" si="187"/>
        <v>4.0654873090869136E-3</v>
      </c>
      <c r="O146" s="550">
        <f t="shared" si="187"/>
        <v>4.7248786855472631E-3</v>
      </c>
      <c r="P146" s="550">
        <f t="shared" si="187"/>
        <v>4.4478281775925631E-3</v>
      </c>
      <c r="Q146" s="550">
        <f t="shared" si="187"/>
        <v>2.0326372509539971E-3</v>
      </c>
      <c r="R146" s="550">
        <f t="shared" si="187"/>
        <v>1.8719262120722223E-3</v>
      </c>
      <c r="S146" s="550">
        <f t="shared" si="187"/>
        <v>2.5058827124652384E-3</v>
      </c>
      <c r="T146" s="550">
        <f t="shared" si="187"/>
        <v>8.0312003466705192E-3</v>
      </c>
      <c r="U146" s="550">
        <f t="shared" si="187"/>
        <v>2.2852479085900836E-3</v>
      </c>
      <c r="V146" s="550">
        <f t="shared" ref="V146:AA146" si="188">U146</f>
        <v>2.2852479085900836E-3</v>
      </c>
      <c r="W146" s="550">
        <f t="shared" si="188"/>
        <v>2.2852479085900836E-3</v>
      </c>
      <c r="X146" s="550">
        <f t="shared" si="188"/>
        <v>2.2852479085900836E-3</v>
      </c>
      <c r="Y146" s="550">
        <f t="shared" si="188"/>
        <v>2.2852479085900836E-3</v>
      </c>
      <c r="Z146" s="550">
        <f t="shared" si="188"/>
        <v>2.2852479085900836E-3</v>
      </c>
      <c r="AA146" s="550">
        <f t="shared" si="188"/>
        <v>2.2852479085900836E-3</v>
      </c>
    </row>
    <row r="147" spans="1:34">
      <c r="A147" s="1" t="s">
        <v>66</v>
      </c>
      <c r="B147" s="550">
        <f t="shared" si="186"/>
        <v>1.0422478064614292E-2</v>
      </c>
      <c r="C147" s="550">
        <f t="shared" si="186"/>
        <v>2.3771183191473046E-3</v>
      </c>
      <c r="D147" s="550">
        <f t="shared" si="186"/>
        <v>2.010863284410031E-3</v>
      </c>
      <c r="E147" s="550">
        <f t="shared" si="186"/>
        <v>1.2376815655504179E-3</v>
      </c>
      <c r="F147" s="550">
        <f t="shared" si="186"/>
        <v>3.1692603602028325E-3</v>
      </c>
      <c r="G147" s="550">
        <f t="shared" si="186"/>
        <v>1.9744341312489823E-3</v>
      </c>
      <c r="H147" s="550">
        <f t="shared" si="186"/>
        <v>8.6402266288951833E-3</v>
      </c>
      <c r="I147" s="550">
        <f>I142/I$58</f>
        <v>6.7021141110545088E-3</v>
      </c>
      <c r="J147" s="550">
        <f t="shared" si="187"/>
        <v>3.7059608321117388E-3</v>
      </c>
      <c r="K147" s="550">
        <f t="shared" si="187"/>
        <v>2.3894491854150506E-3</v>
      </c>
      <c r="L147" s="550">
        <f t="shared" si="187"/>
        <v>4.6710022378756702E-3</v>
      </c>
      <c r="M147" s="550">
        <f t="shared" si="187"/>
        <v>3.2800635044258389E-3</v>
      </c>
      <c r="N147" s="550">
        <f t="shared" si="187"/>
        <v>1.4284144599494562E-3</v>
      </c>
      <c r="O147" s="550">
        <f t="shared" ref="O147:U148" si="189">O142/O$58</f>
        <v>1.8871137092426006E-3</v>
      </c>
      <c r="P147" s="550">
        <f t="shared" si="189"/>
        <v>2.0235614681840038E-3</v>
      </c>
      <c r="Q147" s="550">
        <f t="shared" si="189"/>
        <v>2.914725114575543E-3</v>
      </c>
      <c r="R147" s="550">
        <f t="shared" si="189"/>
        <v>5.4285860150094451E-3</v>
      </c>
      <c r="S147" s="550">
        <f t="shared" si="189"/>
        <v>5.7604742841426519E-3</v>
      </c>
      <c r="T147" s="550">
        <f t="shared" si="189"/>
        <v>6.5000722230247002E-3</v>
      </c>
      <c r="U147" s="550">
        <f t="shared" si="189"/>
        <v>4.8425491396313679E-3</v>
      </c>
      <c r="V147" s="550">
        <f t="shared" ref="V147:AA147" si="190">U147</f>
        <v>4.8425491396313679E-3</v>
      </c>
      <c r="W147" s="550">
        <f t="shared" si="190"/>
        <v>4.8425491396313679E-3</v>
      </c>
      <c r="X147" s="550">
        <f t="shared" si="190"/>
        <v>4.8425491396313679E-3</v>
      </c>
      <c r="Y147" s="550">
        <f t="shared" si="190"/>
        <v>4.8425491396313679E-3</v>
      </c>
      <c r="Z147" s="550">
        <f t="shared" si="190"/>
        <v>4.8425491396313679E-3</v>
      </c>
      <c r="AA147" s="550">
        <f t="shared" si="190"/>
        <v>4.8425491396313679E-3</v>
      </c>
    </row>
    <row r="148" spans="1:34">
      <c r="A148" s="12" t="s">
        <v>65</v>
      </c>
      <c r="B148" s="632">
        <f t="shared" si="186"/>
        <v>7.2576964041182732E-2</v>
      </c>
      <c r="C148" s="632">
        <f t="shared" si="186"/>
        <v>6.786289394985047E-2</v>
      </c>
      <c r="D148" s="632">
        <f t="shared" si="186"/>
        <v>6.2406101929966484E-2</v>
      </c>
      <c r="E148" s="632">
        <f t="shared" si="186"/>
        <v>6.3798981831768714E-2</v>
      </c>
      <c r="F148" s="632">
        <f t="shared" si="186"/>
        <v>6.6663752404266474E-2</v>
      </c>
      <c r="G148" s="632">
        <f t="shared" si="186"/>
        <v>6.3772186940237743E-2</v>
      </c>
      <c r="H148" s="632">
        <f t="shared" si="186"/>
        <v>6.1242917847025492E-2</v>
      </c>
      <c r="I148" s="632">
        <f>I143/I$58</f>
        <v>5.4285532348446255E-2</v>
      </c>
      <c r="J148" s="632">
        <f t="shared" si="187"/>
        <v>5.7302389932963285E-2</v>
      </c>
      <c r="K148" s="632">
        <f t="shared" si="187"/>
        <v>5.2924747866563225E-2</v>
      </c>
      <c r="L148" s="632">
        <f t="shared" si="187"/>
        <v>4.6139288986347456E-2</v>
      </c>
      <c r="M148" s="632">
        <f t="shared" si="187"/>
        <v>4.2550960803989998E-2</v>
      </c>
      <c r="N148" s="632">
        <f t="shared" si="187"/>
        <v>4.7859732839405401E-2</v>
      </c>
      <c r="O148" s="632">
        <f t="shared" si="189"/>
        <v>4.4808308975850621E-2</v>
      </c>
      <c r="P148" s="632">
        <f t="shared" si="189"/>
        <v>5.4836512261580379E-2</v>
      </c>
      <c r="Q148" s="632">
        <f t="shared" si="189"/>
        <v>5.3538898157203398E-2</v>
      </c>
      <c r="R148" s="632">
        <f t="shared" si="189"/>
        <v>5.5953576229940606E-2</v>
      </c>
      <c r="S148" s="632">
        <f t="shared" si="189"/>
        <v>5.3020811050331573E-2</v>
      </c>
      <c r="T148" s="632">
        <f t="shared" si="189"/>
        <v>4.5413837931532572E-2</v>
      </c>
      <c r="U148" s="632">
        <f t="shared" ref="U148:Z148" si="191">U143/U$58</f>
        <v>4.5446507515473029E-2</v>
      </c>
      <c r="V148" s="632">
        <f t="shared" si="191"/>
        <v>4.6557301231041279E-2</v>
      </c>
      <c r="W148" s="632">
        <f t="shared" si="191"/>
        <v>4.307330279539455E-2</v>
      </c>
      <c r="X148" s="632">
        <f t="shared" si="191"/>
        <v>4.0413872698187206E-2</v>
      </c>
      <c r="Y148" s="632">
        <f t="shared" si="191"/>
        <v>4.0217857332966768E-2</v>
      </c>
      <c r="Z148" s="632">
        <f t="shared" si="191"/>
        <v>3.7557301231041292E-2</v>
      </c>
      <c r="AA148" s="632">
        <f t="shared" ref="AA148" si="192">AA143/AA$58</f>
        <v>3.7557301231041292E-2</v>
      </c>
    </row>
    <row r="149" spans="1:34">
      <c r="S149" s="271"/>
      <c r="T149" s="271"/>
      <c r="U149" s="271"/>
      <c r="V149" s="271"/>
      <c r="W149" s="271"/>
      <c r="X149" s="271"/>
      <c r="Y149" s="271"/>
      <c r="Z149" s="271"/>
      <c r="AA149" s="271"/>
    </row>
    <row r="150" spans="1:34">
      <c r="A150" s="269" t="s">
        <v>655</v>
      </c>
      <c r="B150" s="615">
        <f t="shared" ref="B150:T150" si="193">B2</f>
        <v>2006</v>
      </c>
      <c r="C150" s="615">
        <f t="shared" si="193"/>
        <v>2007</v>
      </c>
      <c r="D150" s="615">
        <f t="shared" si="193"/>
        <v>2008</v>
      </c>
      <c r="E150" s="615">
        <f t="shared" si="193"/>
        <v>2009</v>
      </c>
      <c r="F150" s="615">
        <f t="shared" si="193"/>
        <v>2010</v>
      </c>
      <c r="G150" s="615">
        <f t="shared" si="193"/>
        <v>2011</v>
      </c>
      <c r="H150" s="615">
        <f t="shared" si="193"/>
        <v>2012</v>
      </c>
      <c r="I150" s="615">
        <f t="shared" si="193"/>
        <v>2013</v>
      </c>
      <c r="J150" s="615">
        <f t="shared" si="193"/>
        <v>2014</v>
      </c>
      <c r="K150" s="615">
        <f t="shared" si="193"/>
        <v>2015</v>
      </c>
      <c r="L150" s="615">
        <f t="shared" si="193"/>
        <v>2016</v>
      </c>
      <c r="M150" s="615">
        <f t="shared" si="193"/>
        <v>2017</v>
      </c>
      <c r="N150" s="615">
        <f t="shared" si="193"/>
        <v>2018</v>
      </c>
      <c r="O150" s="615">
        <f t="shared" si="193"/>
        <v>2019</v>
      </c>
      <c r="P150" s="615">
        <f t="shared" si="193"/>
        <v>2020</v>
      </c>
      <c r="Q150" s="615">
        <f t="shared" si="193"/>
        <v>2021</v>
      </c>
      <c r="R150" s="615">
        <f t="shared" si="193"/>
        <v>2022</v>
      </c>
      <c r="S150" s="615">
        <f t="shared" si="193"/>
        <v>2023</v>
      </c>
      <c r="T150" s="615">
        <f t="shared" si="193"/>
        <v>2024</v>
      </c>
      <c r="U150" s="615">
        <f t="shared" ref="U150:AA150" si="194">U$2</f>
        <v>2025</v>
      </c>
      <c r="V150" s="532">
        <f t="shared" si="194"/>
        <v>2026</v>
      </c>
      <c r="W150" s="532">
        <f t="shared" si="194"/>
        <v>2027</v>
      </c>
      <c r="X150" s="532">
        <f t="shared" si="194"/>
        <v>2028</v>
      </c>
      <c r="Y150" s="532">
        <f t="shared" si="194"/>
        <v>2029</v>
      </c>
      <c r="Z150" s="532">
        <f t="shared" si="194"/>
        <v>2030</v>
      </c>
      <c r="AA150" s="532">
        <f t="shared" si="194"/>
        <v>2031</v>
      </c>
    </row>
    <row r="151" spans="1:34">
      <c r="A151" s="267" t="s">
        <v>657</v>
      </c>
      <c r="B151" s="569">
        <f t="shared" ref="B151:Z151" si="195">B31</f>
        <v>3556</v>
      </c>
      <c r="C151" s="569">
        <f t="shared" si="195"/>
        <v>3614</v>
      </c>
      <c r="D151" s="569">
        <f t="shared" si="195"/>
        <v>3330</v>
      </c>
      <c r="E151" s="569">
        <f t="shared" si="195"/>
        <v>2148</v>
      </c>
      <c r="F151" s="569">
        <f t="shared" si="195"/>
        <v>1341</v>
      </c>
      <c r="G151" s="569">
        <f t="shared" si="195"/>
        <v>1794</v>
      </c>
      <c r="H151" s="569">
        <f t="shared" si="195"/>
        <v>2964</v>
      </c>
      <c r="I151" s="569">
        <f t="shared" si="195"/>
        <v>3574</v>
      </c>
      <c r="J151" s="569">
        <f t="shared" si="195"/>
        <v>4066</v>
      </c>
      <c r="K151" s="569">
        <f t="shared" si="195"/>
        <v>4108</v>
      </c>
      <c r="L151" s="569">
        <f t="shared" si="195"/>
        <v>3955</v>
      </c>
      <c r="M151" s="569">
        <f t="shared" si="195"/>
        <v>4253</v>
      </c>
      <c r="N151" s="569">
        <f t="shared" si="195"/>
        <v>5834</v>
      </c>
      <c r="O151" s="570">
        <f t="shared" si="195"/>
        <v>6946</v>
      </c>
      <c r="P151" s="570">
        <f t="shared" si="195"/>
        <v>1706</v>
      </c>
      <c r="Q151" s="570">
        <f t="shared" si="195"/>
        <v>4865</v>
      </c>
      <c r="R151" s="570">
        <f t="shared" si="195"/>
        <v>5627</v>
      </c>
      <c r="S151" s="570">
        <f t="shared" si="195"/>
        <v>5838</v>
      </c>
      <c r="T151" s="570">
        <f t="shared" si="195"/>
        <v>5354</v>
      </c>
      <c r="U151" s="570">
        <f t="shared" si="195"/>
        <v>7128</v>
      </c>
      <c r="V151" s="570">
        <f t="shared" si="195"/>
        <v>7612.6223301407481</v>
      </c>
      <c r="W151" s="570">
        <f t="shared" si="195"/>
        <v>9281.3937468996228</v>
      </c>
      <c r="X151" s="570">
        <f t="shared" si="195"/>
        <v>11593.856786348431</v>
      </c>
      <c r="Y151" s="570">
        <f t="shared" si="195"/>
        <v>13254.654457542723</v>
      </c>
      <c r="Z151" s="570">
        <f t="shared" si="195"/>
        <v>14127.450751599445</v>
      </c>
      <c r="AA151" s="570">
        <f t="shared" ref="AA151" si="196">AA31</f>
        <v>14752.724686371123</v>
      </c>
    </row>
    <row r="152" spans="1:34">
      <c r="A152" s="1" t="s">
        <v>47</v>
      </c>
      <c r="B152" s="550">
        <f t="shared" ref="B152:Z152" si="197">B151/B58</f>
        <v>9.0175990262210279E-2</v>
      </c>
      <c r="C152" s="550">
        <f t="shared" si="197"/>
        <v>9.2375329090304936E-2</v>
      </c>
      <c r="D152" s="550">
        <f t="shared" si="197"/>
        <v>7.6967525713625334E-2</v>
      </c>
      <c r="E152" s="550">
        <f t="shared" si="197"/>
        <v>5.0161132128345241E-2</v>
      </c>
      <c r="F152" s="550">
        <f t="shared" si="197"/>
        <v>2.9310194089875851E-2</v>
      </c>
      <c r="G152" s="550">
        <f t="shared" si="197"/>
        <v>3.6516853932584269E-2</v>
      </c>
      <c r="H152" s="550">
        <f t="shared" si="197"/>
        <v>5.2478753541076485E-2</v>
      </c>
      <c r="I152" s="550">
        <f t="shared" si="197"/>
        <v>5.6896332144676515E-2</v>
      </c>
      <c r="J152" s="550">
        <f t="shared" si="197"/>
        <v>6.6970829970517023E-2</v>
      </c>
      <c r="K152" s="550">
        <f t="shared" si="197"/>
        <v>6.3739332816136543E-2</v>
      </c>
      <c r="L152" s="550">
        <f t="shared" si="197"/>
        <v>5.9401330709962299E-2</v>
      </c>
      <c r="M152" s="550">
        <f t="shared" si="197"/>
        <v>6.3699132805128275E-2</v>
      </c>
      <c r="N152" s="550">
        <f t="shared" si="197"/>
        <v>9.1575494058737661E-2</v>
      </c>
      <c r="O152" s="550">
        <f t="shared" si="197"/>
        <v>9.8555577627060922E-2</v>
      </c>
      <c r="P152" s="550">
        <f t="shared" si="197"/>
        <v>3.4180157076454561E-2</v>
      </c>
      <c r="Q152" s="550">
        <f t="shared" si="197"/>
        <v>9.3290379489539582E-2</v>
      </c>
      <c r="R152" s="550">
        <f t="shared" si="197"/>
        <v>9.5757534503003588E-2</v>
      </c>
      <c r="S152" s="550">
        <f t="shared" si="197"/>
        <v>8.9203312654707698E-2</v>
      </c>
      <c r="T152" s="550">
        <f t="shared" si="197"/>
        <v>7.7336414849053875E-2</v>
      </c>
      <c r="U152" s="550">
        <f t="shared" si="197"/>
        <v>9.6959804121607832E-2</v>
      </c>
      <c r="V152" s="550">
        <f t="shared" si="197"/>
        <v>9.4810871998285931E-2</v>
      </c>
      <c r="W152" s="550">
        <f t="shared" si="197"/>
        <v>0.10160904138198226</v>
      </c>
      <c r="X152" s="550">
        <f t="shared" si="197"/>
        <v>0.1129515116709592</v>
      </c>
      <c r="Y152" s="550">
        <f t="shared" si="197"/>
        <v>0.11912118303534283</v>
      </c>
      <c r="Z152" s="550">
        <f t="shared" si="197"/>
        <v>0.12083519091602918</v>
      </c>
      <c r="AA152" s="550">
        <f t="shared" ref="AA152" si="198">AA151/AA58</f>
        <v>0.12145381815240128</v>
      </c>
      <c r="AF152" s="3"/>
      <c r="AG152" s="3"/>
      <c r="AH152" s="3"/>
    </row>
    <row r="153" spans="1:34">
      <c r="A153" s="1" t="s">
        <v>49</v>
      </c>
      <c r="B153" s="544">
        <v>1570</v>
      </c>
      <c r="C153" s="544">
        <v>1711</v>
      </c>
      <c r="D153" s="544">
        <v>1615</v>
      </c>
      <c r="E153" s="544">
        <v>1770</v>
      </c>
      <c r="F153" s="544">
        <v>1538</v>
      </c>
      <c r="G153" s="544">
        <v>1802</v>
      </c>
      <c r="H153" s="544">
        <v>1998</v>
      </c>
      <c r="I153" s="544">
        <v>1914</v>
      </c>
      <c r="J153" s="544">
        <f>'Cash Flow Statement'!J12+'Cash Flow Statement'!J14</f>
        <v>2150</v>
      </c>
      <c r="K153" s="544">
        <f>'Cash Flow Statement'!K12+'Cash Flow Statement'!K14</f>
        <v>2466</v>
      </c>
      <c r="L153" s="544">
        <f>'Cash Flow Statement'!L12+'Cash Flow Statement'!L14</f>
        <v>2294</v>
      </c>
      <c r="M153" s="544">
        <f>'Cash Flow Statement'!M12+'Cash Flow Statement'!M14</f>
        <v>2298</v>
      </c>
      <c r="N153" s="544">
        <f>'Cash Flow Statement'!N12+'Cash Flow Statement'!N14</f>
        <v>2444</v>
      </c>
      <c r="O153" s="544">
        <f>'Cash Flow Statement'!O12+'Cash Flow Statement'!O14</f>
        <v>2927</v>
      </c>
      <c r="P153" s="544">
        <f>'Cash Flow Statement'!P12+'Cash Flow Statement'!P14</f>
        <v>2831</v>
      </c>
      <c r="Q153" s="544">
        <f>'Cash Flow Statement'!Q12+'Cash Flow Statement'!Q14</f>
        <v>2325</v>
      </c>
      <c r="R153" s="544">
        <f>'Cash Flow Statement'!R12+'Cash Flow Statement'!R14</f>
        <v>2716</v>
      </c>
      <c r="S153" s="544">
        <f>'Cash Flow Statement'!S12+'Cash Flow Statement'!S14</f>
        <v>2242</v>
      </c>
      <c r="T153" s="544">
        <f>'Cash Flow Statement'!T12+'Cash Flow Statement'!T14</f>
        <v>2853</v>
      </c>
      <c r="U153" s="544">
        <f>'Cash Flow Statement'!U12+'Cash Flow Statement'!U14</f>
        <v>3133</v>
      </c>
      <c r="V153" s="544">
        <f>'Cash Flow Statement'!V12+'Cash Flow Statement'!V14</f>
        <v>3211.5501357933422</v>
      </c>
      <c r="W153" s="544">
        <f>'Cash Flow Statement'!W12+'Cash Flow Statement'!W14</f>
        <v>3469.6347494203442</v>
      </c>
      <c r="X153" s="544">
        <f>'Cash Flow Statement'!X12+'Cash Flow Statement'!X14</f>
        <v>3062.0877125687011</v>
      </c>
      <c r="Y153" s="544">
        <f>'Cash Flow Statement'!Y12+'Cash Flow Statement'!Y14</f>
        <v>3424.6145774449874</v>
      </c>
      <c r="Z153" s="544">
        <f>'Cash Flow Statement'!Z12+'Cash Flow Statement'!Z14</f>
        <v>3697.5801079786388</v>
      </c>
      <c r="AA153" s="544">
        <f>'Cash Flow Statement'!AA12+'Cash Flow Statement'!AA14</f>
        <v>3879.6435200377946</v>
      </c>
    </row>
    <row r="154" spans="1:34">
      <c r="A154" s="12" t="s">
        <v>656</v>
      </c>
      <c r="B154" s="599">
        <f t="shared" ref="B154:Z154" si="199">B151+B153</f>
        <v>5126</v>
      </c>
      <c r="C154" s="599">
        <f t="shared" si="199"/>
        <v>5325</v>
      </c>
      <c r="D154" s="599">
        <f t="shared" si="199"/>
        <v>4945</v>
      </c>
      <c r="E154" s="599">
        <f t="shared" si="199"/>
        <v>3918</v>
      </c>
      <c r="F154" s="599">
        <f t="shared" si="199"/>
        <v>2879</v>
      </c>
      <c r="G154" s="599">
        <f t="shared" si="199"/>
        <v>3596</v>
      </c>
      <c r="H154" s="599">
        <f t="shared" si="199"/>
        <v>4962</v>
      </c>
      <c r="I154" s="599">
        <f t="shared" si="199"/>
        <v>5488</v>
      </c>
      <c r="J154" s="599">
        <f t="shared" si="199"/>
        <v>6216</v>
      </c>
      <c r="K154" s="599">
        <f t="shared" si="199"/>
        <v>6574</v>
      </c>
      <c r="L154" s="599">
        <f t="shared" si="199"/>
        <v>6249</v>
      </c>
      <c r="M154" s="599">
        <f t="shared" si="199"/>
        <v>6551</v>
      </c>
      <c r="N154" s="599">
        <f t="shared" si="199"/>
        <v>8278</v>
      </c>
      <c r="O154" s="599">
        <f t="shared" si="199"/>
        <v>9873</v>
      </c>
      <c r="P154" s="599">
        <f t="shared" si="199"/>
        <v>4537</v>
      </c>
      <c r="Q154" s="599">
        <f t="shared" si="199"/>
        <v>7190</v>
      </c>
      <c r="R154" s="599">
        <f t="shared" si="199"/>
        <v>8343</v>
      </c>
      <c r="S154" s="599">
        <f t="shared" si="199"/>
        <v>8080</v>
      </c>
      <c r="T154" s="599">
        <f t="shared" si="199"/>
        <v>8207</v>
      </c>
      <c r="U154" s="599">
        <f t="shared" si="199"/>
        <v>10261</v>
      </c>
      <c r="V154" s="599">
        <f t="shared" si="199"/>
        <v>10824.172465934091</v>
      </c>
      <c r="W154" s="599">
        <f t="shared" si="199"/>
        <v>12751.028496319967</v>
      </c>
      <c r="X154" s="599">
        <f t="shared" si="199"/>
        <v>14655.944498917132</v>
      </c>
      <c r="Y154" s="599">
        <f t="shared" si="199"/>
        <v>16679.269034987712</v>
      </c>
      <c r="Z154" s="599">
        <f t="shared" si="199"/>
        <v>17825.030859578084</v>
      </c>
      <c r="AA154" s="599">
        <f t="shared" ref="AA154" si="200">AA151+AA153</f>
        <v>18632.368206408915</v>
      </c>
    </row>
    <row r="155" spans="1:34">
      <c r="A155" s="1" t="s">
        <v>47</v>
      </c>
      <c r="B155" s="550">
        <f t="shared" ref="B155:Z155" si="201">B154/B58</f>
        <v>0.1299893492924887</v>
      </c>
      <c r="C155" s="550">
        <f t="shared" si="201"/>
        <v>0.13610919408020858</v>
      </c>
      <c r="D155" s="550">
        <f t="shared" si="201"/>
        <v>0.11429562001617936</v>
      </c>
      <c r="E155" s="550">
        <f t="shared" si="201"/>
        <v>9.1495025921255427E-2</v>
      </c>
      <c r="F155" s="550">
        <f t="shared" si="201"/>
        <v>6.2926210876027275E-2</v>
      </c>
      <c r="G155" s="550">
        <f t="shared" si="201"/>
        <v>7.3196547793518973E-2</v>
      </c>
      <c r="H155" s="550">
        <f t="shared" si="201"/>
        <v>8.7854107648725213E-2</v>
      </c>
      <c r="I155" s="550">
        <f t="shared" si="201"/>
        <v>8.7366276107997964E-2</v>
      </c>
      <c r="J155" s="550">
        <f t="shared" si="201"/>
        <v>0.10238334458847363</v>
      </c>
      <c r="K155" s="550">
        <f t="shared" si="201"/>
        <v>0.10200155159038014</v>
      </c>
      <c r="L155" s="550">
        <f t="shared" si="201"/>
        <v>9.3855604451720462E-2</v>
      </c>
      <c r="M155" s="550">
        <f t="shared" si="201"/>
        <v>9.8117333413213118E-2</v>
      </c>
      <c r="N155" s="550">
        <f t="shared" si="201"/>
        <v>0.12993862526880876</v>
      </c>
      <c r="O155" s="550">
        <f t="shared" si="201"/>
        <v>0.14008626805527966</v>
      </c>
      <c r="P155" s="550">
        <f t="shared" si="201"/>
        <v>9.0899983971790346E-2</v>
      </c>
      <c r="Q155" s="550">
        <f t="shared" si="201"/>
        <v>0.13787416824867207</v>
      </c>
      <c r="R155" s="550">
        <f t="shared" si="201"/>
        <v>0.14197709443016865</v>
      </c>
      <c r="S155" s="550">
        <f t="shared" si="201"/>
        <v>0.12346056290682395</v>
      </c>
      <c r="T155" s="550">
        <f t="shared" si="201"/>
        <v>0.11854687274303048</v>
      </c>
      <c r="U155" s="550">
        <f t="shared" si="201"/>
        <v>0.13957695708358839</v>
      </c>
      <c r="V155" s="550">
        <f t="shared" si="201"/>
        <v>0.13480889838601437</v>
      </c>
      <c r="W155" s="550">
        <f t="shared" si="201"/>
        <v>0.13959323539939272</v>
      </c>
      <c r="X155" s="550">
        <f t="shared" si="201"/>
        <v>0.14278346857514981</v>
      </c>
      <c r="Y155" s="550">
        <f t="shared" si="201"/>
        <v>0.14989860852101303</v>
      </c>
      <c r="Z155" s="550">
        <f t="shared" si="201"/>
        <v>0.15246140615690174</v>
      </c>
      <c r="AA155" s="550">
        <f t="shared" ref="AA155" si="202">AA154/AA58</f>
        <v>0.15339351258824432</v>
      </c>
    </row>
    <row r="156" spans="1:34">
      <c r="O156" s="544"/>
      <c r="P156" s="544"/>
      <c r="Q156" s="544"/>
      <c r="R156" s="544"/>
      <c r="S156" s="562"/>
      <c r="T156" s="562"/>
      <c r="U156" s="562"/>
      <c r="V156" s="562"/>
      <c r="W156" s="562"/>
      <c r="X156" s="562"/>
      <c r="Y156" s="562"/>
      <c r="Z156" s="562"/>
      <c r="AA156" s="562"/>
    </row>
    <row r="157" spans="1:34">
      <c r="A157" s="269" t="s">
        <v>572</v>
      </c>
      <c r="B157" s="626">
        <f>B2</f>
        <v>2006</v>
      </c>
      <c r="C157" s="626">
        <f t="shared" ref="C157:T157" si="203">C2</f>
        <v>2007</v>
      </c>
      <c r="D157" s="626">
        <f t="shared" si="203"/>
        <v>2008</v>
      </c>
      <c r="E157" s="626">
        <f t="shared" si="203"/>
        <v>2009</v>
      </c>
      <c r="F157" s="626">
        <f t="shared" si="203"/>
        <v>2010</v>
      </c>
      <c r="G157" s="626">
        <f t="shared" si="203"/>
        <v>2011</v>
      </c>
      <c r="H157" s="626">
        <f t="shared" si="203"/>
        <v>2012</v>
      </c>
      <c r="I157" s="626">
        <f t="shared" si="203"/>
        <v>2013</v>
      </c>
      <c r="J157" s="626">
        <f t="shared" si="203"/>
        <v>2014</v>
      </c>
      <c r="K157" s="626">
        <f t="shared" si="203"/>
        <v>2015</v>
      </c>
      <c r="L157" s="626">
        <f t="shared" si="203"/>
        <v>2016</v>
      </c>
      <c r="M157" s="626">
        <f t="shared" si="203"/>
        <v>2017</v>
      </c>
      <c r="N157" s="626">
        <f t="shared" si="203"/>
        <v>2018</v>
      </c>
      <c r="O157" s="626">
        <f t="shared" si="203"/>
        <v>2019</v>
      </c>
      <c r="P157" s="626">
        <f t="shared" si="203"/>
        <v>2020</v>
      </c>
      <c r="Q157" s="626">
        <f t="shared" si="203"/>
        <v>2021</v>
      </c>
      <c r="R157" s="626">
        <f t="shared" si="203"/>
        <v>2022</v>
      </c>
      <c r="S157" s="626">
        <f t="shared" si="203"/>
        <v>2023</v>
      </c>
      <c r="T157" s="626">
        <f t="shared" si="203"/>
        <v>2024</v>
      </c>
      <c r="U157" s="626">
        <f t="shared" ref="U157:AA157" si="204">U$2</f>
        <v>2025</v>
      </c>
      <c r="V157" s="532">
        <f t="shared" si="204"/>
        <v>2026</v>
      </c>
      <c r="W157" s="532">
        <f t="shared" si="204"/>
        <v>2027</v>
      </c>
      <c r="X157" s="532">
        <f t="shared" si="204"/>
        <v>2028</v>
      </c>
      <c r="Y157" s="532">
        <f t="shared" si="204"/>
        <v>2029</v>
      </c>
      <c r="Z157" s="532">
        <f t="shared" si="204"/>
        <v>2030</v>
      </c>
      <c r="AA157" s="532">
        <f t="shared" si="204"/>
        <v>2031</v>
      </c>
    </row>
    <row r="158" spans="1:34">
      <c r="A158" s="1" t="s">
        <v>533</v>
      </c>
      <c r="B158" s="600">
        <v>116805</v>
      </c>
      <c r="C158" s="600">
        <v>116493</v>
      </c>
      <c r="D158" s="600">
        <v>118349</v>
      </c>
      <c r="E158" s="600">
        <v>119506</v>
      </c>
      <c r="F158" s="600">
        <v>121691</v>
      </c>
      <c r="G158" s="600">
        <v>133115</v>
      </c>
      <c r="H158" s="600">
        <v>140405</v>
      </c>
      <c r="I158" s="600">
        <v>138404</v>
      </c>
      <c r="J158" s="600">
        <v>138622</v>
      </c>
      <c r="K158" s="600">
        <v>136574</v>
      </c>
      <c r="L158" s="601">
        <v>133782</v>
      </c>
      <c r="M158" s="601">
        <v>129442</v>
      </c>
      <c r="N158" s="601">
        <v>133671</v>
      </c>
      <c r="O158" s="602">
        <v>134931</v>
      </c>
      <c r="P158" s="602">
        <v>131349</v>
      </c>
      <c r="Q158" s="602">
        <v>126495</v>
      </c>
      <c r="R158" s="602">
        <v>134267</v>
      </c>
      <c r="S158" s="602">
        <v>147893</v>
      </c>
      <c r="T158" s="602">
        <v>156921</v>
      </c>
      <c r="U158" s="602">
        <v>165294</v>
      </c>
      <c r="V158" s="602"/>
      <c r="W158" s="602"/>
      <c r="X158" s="602"/>
      <c r="Y158" s="602"/>
      <c r="Z158" s="602"/>
      <c r="AA158" s="602"/>
    </row>
    <row r="159" spans="1:34">
      <c r="A159" s="8" t="s">
        <v>187</v>
      </c>
      <c r="O159" s="544"/>
      <c r="P159" s="544"/>
      <c r="Q159" s="544"/>
      <c r="R159" s="544"/>
      <c r="S159" s="602">
        <v>52621</v>
      </c>
      <c r="T159" s="602"/>
      <c r="U159" s="602"/>
      <c r="V159" s="602"/>
      <c r="W159" s="602"/>
      <c r="X159" s="602"/>
      <c r="Y159" s="602"/>
      <c r="Z159" s="602"/>
      <c r="AA159" s="602"/>
    </row>
    <row r="160" spans="1:34">
      <c r="A160" s="8" t="s">
        <v>186</v>
      </c>
      <c r="O160" s="544"/>
      <c r="P160" s="544"/>
      <c r="Q160" s="544"/>
      <c r="R160" s="544"/>
      <c r="S160" s="602">
        <v>50418</v>
      </c>
      <c r="T160" s="602"/>
      <c r="U160" s="602"/>
      <c r="V160" s="602"/>
      <c r="W160" s="602"/>
      <c r="X160" s="602"/>
      <c r="Y160" s="602"/>
      <c r="Z160" s="602"/>
      <c r="AA160" s="602"/>
    </row>
    <row r="161" spans="1:27">
      <c r="A161" s="8" t="s">
        <v>407</v>
      </c>
      <c r="O161" s="544"/>
      <c r="P161" s="544"/>
      <c r="Q161" s="544"/>
      <c r="R161" s="544"/>
      <c r="S161" s="602">
        <v>13741</v>
      </c>
      <c r="T161" s="602"/>
      <c r="U161" s="602"/>
      <c r="V161" s="602"/>
      <c r="W161" s="602"/>
      <c r="X161" s="602"/>
      <c r="Y161" s="602"/>
      <c r="Z161" s="602"/>
      <c r="AA161" s="602"/>
    </row>
    <row r="162" spans="1:27">
      <c r="A162" s="8" t="s">
        <v>185</v>
      </c>
      <c r="O162" s="544"/>
      <c r="P162" s="544"/>
      <c r="Q162" s="544"/>
      <c r="R162" s="544"/>
      <c r="S162" s="602">
        <v>10298</v>
      </c>
      <c r="T162" s="602"/>
      <c r="U162" s="602"/>
      <c r="V162" s="602"/>
      <c r="W162" s="602"/>
      <c r="X162" s="602"/>
      <c r="Y162" s="602"/>
      <c r="Z162" s="602"/>
      <c r="AA162" s="602"/>
    </row>
    <row r="163" spans="1:27">
      <c r="A163" s="8" t="s">
        <v>529</v>
      </c>
      <c r="O163" s="544"/>
      <c r="P163" s="544"/>
      <c r="Q163" s="544"/>
      <c r="R163" s="544"/>
      <c r="S163" s="602">
        <v>4546</v>
      </c>
      <c r="T163" s="602"/>
      <c r="U163" s="602"/>
      <c r="V163" s="602"/>
      <c r="W163" s="602"/>
      <c r="X163" s="602"/>
      <c r="Y163" s="602"/>
      <c r="Z163" s="602"/>
      <c r="AA163" s="602"/>
    </row>
    <row r="164" spans="1:27">
      <c r="A164" s="8" t="s">
        <v>530</v>
      </c>
      <c r="O164" s="544"/>
      <c r="P164" s="544"/>
      <c r="Q164" s="544"/>
      <c r="R164" s="544"/>
      <c r="S164" s="602">
        <v>4818</v>
      </c>
      <c r="T164" s="602"/>
      <c r="U164" s="602"/>
      <c r="V164" s="602"/>
      <c r="W164" s="602"/>
      <c r="X164" s="602"/>
      <c r="Y164" s="602"/>
      <c r="Z164" s="602"/>
      <c r="AA164" s="602"/>
    </row>
    <row r="165" spans="1:27">
      <c r="A165" s="8" t="s">
        <v>531</v>
      </c>
      <c r="O165" s="544"/>
      <c r="P165" s="544"/>
      <c r="Q165" s="544"/>
      <c r="R165" s="544"/>
      <c r="S165" s="602">
        <v>799</v>
      </c>
      <c r="T165" s="602"/>
      <c r="U165" s="602"/>
      <c r="V165" s="602"/>
      <c r="W165" s="602"/>
      <c r="X165" s="602"/>
      <c r="Y165" s="602"/>
      <c r="Z165" s="602"/>
      <c r="AA165" s="602"/>
    </row>
    <row r="166" spans="1:27">
      <c r="A166" s="8" t="s">
        <v>532</v>
      </c>
      <c r="O166" s="544"/>
      <c r="P166" s="544"/>
      <c r="Q166" s="544"/>
      <c r="R166" s="544"/>
      <c r="S166" s="602">
        <v>10652</v>
      </c>
      <c r="T166" s="602"/>
      <c r="U166" s="602"/>
      <c r="V166" s="602"/>
      <c r="W166" s="602"/>
      <c r="X166" s="602"/>
      <c r="Y166" s="602"/>
      <c r="Z166" s="602"/>
      <c r="AA166" s="602"/>
    </row>
    <row r="167" spans="1:27">
      <c r="O167" s="544"/>
      <c r="P167" s="544"/>
      <c r="Q167" s="544"/>
      <c r="R167" s="544"/>
      <c r="S167" s="562"/>
      <c r="T167" s="562"/>
      <c r="U167" s="562"/>
      <c r="V167" s="562"/>
      <c r="W167" s="562"/>
      <c r="X167" s="562"/>
      <c r="Y167" s="562"/>
      <c r="Z167" s="562"/>
      <c r="AA167" s="562"/>
    </row>
    <row r="168" spans="1:27">
      <c r="A168" s="1" t="s">
        <v>534</v>
      </c>
      <c r="J168" s="601">
        <v>16108</v>
      </c>
      <c r="K168" s="601">
        <v>17009</v>
      </c>
      <c r="L168" s="601">
        <v>16797</v>
      </c>
      <c r="M168" s="601">
        <v>16558</v>
      </c>
      <c r="N168" s="601">
        <v>16728</v>
      </c>
      <c r="O168" s="602">
        <v>17294</v>
      </c>
      <c r="P168" s="602">
        <v>16674</v>
      </c>
      <c r="Q168" s="602">
        <v>16536</v>
      </c>
      <c r="R168" s="602">
        <v>16505</v>
      </c>
      <c r="S168" s="602">
        <v>17201</v>
      </c>
      <c r="T168" s="602">
        <v>19112</v>
      </c>
      <c r="U168" s="602">
        <v>20893</v>
      </c>
      <c r="V168" s="562"/>
      <c r="W168" s="562"/>
      <c r="X168" s="562"/>
      <c r="Y168" s="562"/>
      <c r="Z168" s="562"/>
      <c r="AA168" s="562"/>
    </row>
    <row r="169" spans="1:27">
      <c r="A169" s="8" t="s">
        <v>187</v>
      </c>
      <c r="J169" s="601">
        <v>6438</v>
      </c>
      <c r="K169" s="601">
        <v>7035</v>
      </c>
      <c r="L169" s="601">
        <v>7263</v>
      </c>
      <c r="M169" s="601">
        <v>7222</v>
      </c>
      <c r="N169" s="601">
        <v>7630</v>
      </c>
      <c r="O169" s="602">
        <v>7912</v>
      </c>
      <c r="P169" s="602">
        <v>7736</v>
      </c>
      <c r="Q169" s="602">
        <v>7570</v>
      </c>
      <c r="R169" s="602">
        <v>7423</v>
      </c>
      <c r="S169" s="602">
        <v>7919</v>
      </c>
      <c r="T169" s="602">
        <v>8654</v>
      </c>
      <c r="U169" s="602">
        <v>8673</v>
      </c>
      <c r="V169" s="562"/>
      <c r="W169" s="562"/>
      <c r="X169" s="562"/>
      <c r="Y169" s="562"/>
      <c r="Z169" s="562"/>
      <c r="AA169" s="562"/>
    </row>
    <row r="170" spans="1:27">
      <c r="A170" s="8" t="s">
        <v>186</v>
      </c>
      <c r="J170" s="601">
        <v>4428</v>
      </c>
      <c r="K170" s="601">
        <v>4294</v>
      </c>
      <c r="L170" s="601">
        <v>4348</v>
      </c>
      <c r="M170" s="601">
        <v>4649</v>
      </c>
      <c r="N170" s="601">
        <v>4281</v>
      </c>
      <c r="O170" s="602">
        <v>4322</v>
      </c>
      <c r="P170" s="602">
        <v>4350</v>
      </c>
      <c r="Q170" s="602">
        <v>4185</v>
      </c>
      <c r="R170" s="602">
        <v>4124</v>
      </c>
      <c r="S170" s="602">
        <v>4286</v>
      </c>
      <c r="T170" s="602">
        <v>4700</v>
      </c>
      <c r="U170" s="602">
        <v>5621</v>
      </c>
      <c r="V170" s="562"/>
      <c r="W170" s="562"/>
      <c r="X170" s="562"/>
      <c r="Y170" s="562"/>
      <c r="Z170" s="562"/>
      <c r="AA170" s="562"/>
    </row>
    <row r="171" spans="1:27">
      <c r="A171" s="8" t="s">
        <v>535</v>
      </c>
      <c r="J171" s="601">
        <v>2891</v>
      </c>
      <c r="K171" s="601">
        <v>3015</v>
      </c>
      <c r="L171" s="601">
        <v>2472</v>
      </c>
      <c r="M171" s="601">
        <v>2193</v>
      </c>
      <c r="N171" s="601">
        <v>2141</v>
      </c>
      <c r="O171" s="602">
        <v>1991</v>
      </c>
      <c r="P171" s="602">
        <v>1615</v>
      </c>
      <c r="Q171" s="602">
        <v>1604</v>
      </c>
      <c r="R171" s="602">
        <v>1433</v>
      </c>
      <c r="S171" s="602">
        <v>1478</v>
      </c>
      <c r="T171" s="602">
        <v>1692</v>
      </c>
      <c r="U171" s="602">
        <v>1778</v>
      </c>
      <c r="V171" s="562"/>
      <c r="W171" s="562"/>
      <c r="X171" s="562"/>
      <c r="Y171" s="562"/>
      <c r="Z171" s="562"/>
      <c r="AA171" s="562"/>
    </row>
    <row r="172" spans="1:27">
      <c r="A172" s="8" t="s">
        <v>407</v>
      </c>
      <c r="J172" s="601">
        <v>1534</v>
      </c>
      <c r="K172" s="601">
        <v>1560</v>
      </c>
      <c r="L172" s="601">
        <v>1636</v>
      </c>
      <c r="M172" s="601">
        <v>1613</v>
      </c>
      <c r="N172" s="601">
        <v>1500</v>
      </c>
      <c r="O172" s="602">
        <v>1405</v>
      </c>
      <c r="P172" s="602">
        <v>1350</v>
      </c>
      <c r="Q172" s="602">
        <v>1273</v>
      </c>
      <c r="R172" s="602">
        <v>1267</v>
      </c>
      <c r="S172" s="602">
        <v>1285</v>
      </c>
      <c r="T172" s="602">
        <v>1337</v>
      </c>
      <c r="U172" s="602">
        <v>1384</v>
      </c>
      <c r="V172" s="562"/>
      <c r="W172" s="562"/>
      <c r="X172" s="562"/>
      <c r="Y172" s="562"/>
      <c r="Z172" s="562"/>
      <c r="AA172" s="562"/>
    </row>
    <row r="173" spans="1:27">
      <c r="A173" s="8" t="s">
        <v>536</v>
      </c>
      <c r="J173" s="601">
        <v>817</v>
      </c>
      <c r="K173" s="601">
        <v>1105</v>
      </c>
      <c r="L173" s="601">
        <v>1078</v>
      </c>
      <c r="M173" s="601">
        <v>881</v>
      </c>
      <c r="N173" s="601">
        <v>1176</v>
      </c>
      <c r="O173" s="602">
        <v>1664</v>
      </c>
      <c r="P173" s="602">
        <v>1623</v>
      </c>
      <c r="Q173" s="602">
        <v>1904</v>
      </c>
      <c r="R173" s="602">
        <v>2258</v>
      </c>
      <c r="S173" s="602">
        <v>927</v>
      </c>
      <c r="T173" s="602">
        <v>855</v>
      </c>
      <c r="U173" s="602">
        <v>1003</v>
      </c>
      <c r="V173" s="562"/>
      <c r="W173" s="562"/>
      <c r="X173" s="562"/>
      <c r="Y173" s="562"/>
      <c r="Z173" s="562"/>
      <c r="AA173" s="562"/>
    </row>
    <row r="174" spans="1:27">
      <c r="A174" s="8" t="s">
        <v>537</v>
      </c>
      <c r="J174" s="601"/>
      <c r="K174" s="601"/>
      <c r="L174" s="601"/>
      <c r="M174" s="601"/>
      <c r="N174" s="601"/>
      <c r="O174" s="602"/>
      <c r="P174" s="602"/>
      <c r="Q174" s="602"/>
      <c r="R174" s="602"/>
      <c r="S174" s="602">
        <v>868</v>
      </c>
      <c r="T174" s="602">
        <v>1370</v>
      </c>
      <c r="U174" s="602">
        <v>1968</v>
      </c>
      <c r="V174" s="562"/>
      <c r="W174" s="562"/>
      <c r="X174" s="562"/>
      <c r="Y174" s="562"/>
      <c r="Z174" s="562"/>
      <c r="AA174" s="562"/>
    </row>
    <row r="175" spans="1:27">
      <c r="A175" s="8" t="s">
        <v>530</v>
      </c>
      <c r="J175" s="601"/>
      <c r="K175" s="601"/>
      <c r="L175" s="601"/>
      <c r="M175" s="601"/>
      <c r="N175" s="601"/>
      <c r="O175" s="602"/>
      <c r="P175" s="602"/>
      <c r="Q175" s="602"/>
      <c r="R175" s="602"/>
      <c r="S175" s="602">
        <v>438</v>
      </c>
      <c r="T175" s="602">
        <v>504</v>
      </c>
      <c r="U175" s="602">
        <v>466</v>
      </c>
      <c r="V175" s="562"/>
      <c r="W175" s="562"/>
      <c r="X175" s="562"/>
      <c r="Y175" s="562"/>
      <c r="Z175" s="562"/>
      <c r="AA175" s="562"/>
    </row>
    <row r="176" spans="1:27">
      <c r="O176" s="544"/>
      <c r="P176" s="544"/>
      <c r="Q176" s="544"/>
      <c r="R176" s="544"/>
      <c r="S176" s="562"/>
      <c r="T176" s="562"/>
      <c r="U176" s="562"/>
      <c r="V176" s="562"/>
      <c r="W176" s="562"/>
      <c r="X176" s="562"/>
      <c r="Y176" s="562"/>
      <c r="Z176" s="562"/>
      <c r="AA176" s="562"/>
    </row>
    <row r="178" spans="1:40" hidden="1">
      <c r="B178" s="553"/>
      <c r="C178" s="553"/>
      <c r="D178" s="553"/>
      <c r="E178" s="553"/>
      <c r="F178" s="553"/>
      <c r="G178" s="553"/>
      <c r="H178" s="553"/>
      <c r="I178" s="553"/>
      <c r="J178" s="553"/>
      <c r="K178" s="553"/>
      <c r="L178" s="553"/>
      <c r="M178" s="553"/>
      <c r="N178" s="553"/>
      <c r="O178" s="544"/>
      <c r="P178" s="544"/>
      <c r="Q178" s="544"/>
      <c r="R178" s="544"/>
      <c r="S178" s="544"/>
      <c r="T178" s="544"/>
      <c r="U178" s="544"/>
      <c r="V178" s="544"/>
      <c r="W178" s="544"/>
      <c r="X178" s="544"/>
      <c r="Y178" s="544"/>
      <c r="Z178" s="544"/>
      <c r="AA178" s="544"/>
    </row>
    <row r="179" spans="1:40" hidden="1">
      <c r="F179" s="545"/>
      <c r="G179" s="545"/>
      <c r="H179" s="545"/>
      <c r="I179" s="545"/>
      <c r="J179" s="545"/>
      <c r="K179" s="545"/>
      <c r="L179" s="567"/>
      <c r="N179" s="568"/>
      <c r="O179" s="544"/>
      <c r="P179" s="544"/>
      <c r="Q179" s="544"/>
      <c r="R179" s="544"/>
      <c r="S179" s="544"/>
      <c r="T179" s="544"/>
      <c r="U179" s="544"/>
      <c r="V179" s="544"/>
      <c r="W179" s="544"/>
      <c r="X179" s="544"/>
      <c r="Y179" s="544"/>
      <c r="Z179" s="544"/>
      <c r="AA179" s="544"/>
    </row>
    <row r="180" spans="1:40" hidden="1">
      <c r="A180" s="69"/>
      <c r="B180" s="557"/>
      <c r="C180" s="557"/>
      <c r="D180" s="557"/>
      <c r="E180" s="557"/>
      <c r="F180" s="557"/>
      <c r="G180" s="557"/>
      <c r="H180" s="557"/>
      <c r="I180" s="557"/>
      <c r="J180" s="557"/>
      <c r="K180" s="557"/>
      <c r="L180" s="557"/>
      <c r="M180" s="556"/>
      <c r="N180" s="556"/>
      <c r="O180" s="559"/>
      <c r="P180" s="559"/>
      <c r="Q180" s="559"/>
      <c r="R180" s="559"/>
      <c r="S180" s="559"/>
      <c r="T180" s="559"/>
      <c r="U180" s="562"/>
      <c r="V180" s="562"/>
      <c r="W180" s="562"/>
      <c r="X180" s="562"/>
      <c r="Y180" s="562"/>
      <c r="Z180" s="562"/>
      <c r="AA180" s="562"/>
      <c r="AB180" s="69"/>
      <c r="AC180" s="69"/>
      <c r="AD180" s="69"/>
      <c r="AE180" s="69"/>
      <c r="AF180" s="69"/>
      <c r="AG180" s="69"/>
      <c r="AH180" s="69"/>
      <c r="AI180" s="69"/>
      <c r="AJ180" s="69"/>
      <c r="AK180" s="69"/>
      <c r="AL180" s="69"/>
      <c r="AM180" s="69"/>
      <c r="AN180" s="69"/>
    </row>
    <row r="181" spans="1:40" hidden="1">
      <c r="A181" s="69"/>
      <c r="B181" s="568"/>
      <c r="C181" s="568"/>
      <c r="D181" s="568"/>
      <c r="E181" s="568"/>
      <c r="F181" s="568"/>
      <c r="G181" s="568"/>
      <c r="H181" s="568"/>
      <c r="I181" s="568"/>
      <c r="J181" s="568"/>
      <c r="K181" s="568"/>
      <c r="L181" s="568"/>
      <c r="M181" s="568"/>
      <c r="N181" s="568"/>
      <c r="O181" s="562"/>
      <c r="P181" s="562"/>
      <c r="Q181" s="562"/>
      <c r="R181" s="562"/>
      <c r="S181" s="562"/>
      <c r="T181" s="562"/>
      <c r="U181" s="562"/>
      <c r="V181" s="562"/>
      <c r="W181" s="562"/>
      <c r="X181" s="562"/>
      <c r="Y181" s="562"/>
      <c r="Z181" s="562"/>
      <c r="AA181" s="562"/>
      <c r="AB181" s="69"/>
      <c r="AC181" s="69"/>
      <c r="AD181" s="69"/>
      <c r="AE181" s="69"/>
      <c r="AF181" s="69"/>
      <c r="AG181" s="69"/>
      <c r="AH181" s="69"/>
      <c r="AI181" s="69"/>
      <c r="AJ181" s="69"/>
      <c r="AK181" s="69"/>
      <c r="AL181" s="69"/>
      <c r="AM181" s="69"/>
      <c r="AN181" s="69"/>
    </row>
    <row r="182" spans="1:40" hidden="1">
      <c r="A182" s="69"/>
      <c r="B182" s="562"/>
      <c r="C182" s="562"/>
      <c r="D182" s="562"/>
      <c r="E182" s="562"/>
      <c r="F182" s="562"/>
      <c r="G182" s="562"/>
      <c r="H182" s="562"/>
      <c r="I182" s="562"/>
      <c r="J182" s="562"/>
      <c r="K182" s="562"/>
      <c r="L182" s="562"/>
      <c r="M182" s="562"/>
      <c r="N182" s="562"/>
      <c r="O182" s="562"/>
      <c r="P182" s="562"/>
      <c r="Q182" s="562"/>
      <c r="R182" s="562"/>
      <c r="S182" s="562"/>
      <c r="T182" s="562"/>
      <c r="U182" s="562"/>
      <c r="V182" s="562"/>
      <c r="W182" s="562"/>
      <c r="X182" s="562"/>
      <c r="Y182" s="562"/>
      <c r="Z182" s="562"/>
      <c r="AA182" s="562"/>
      <c r="AB182" s="69"/>
      <c r="AC182" s="69"/>
      <c r="AD182" s="69"/>
      <c r="AE182" s="69"/>
      <c r="AF182" s="69"/>
      <c r="AG182" s="69"/>
      <c r="AH182" s="69"/>
      <c r="AI182" s="69"/>
      <c r="AJ182" s="69"/>
      <c r="AK182" s="69"/>
      <c r="AL182" s="69"/>
      <c r="AM182" s="69"/>
      <c r="AN182" s="69"/>
    </row>
    <row r="183" spans="1:40" hidden="1">
      <c r="A183" s="69"/>
      <c r="B183" s="557"/>
      <c r="C183" s="557"/>
      <c r="D183" s="557"/>
      <c r="E183" s="557"/>
      <c r="F183" s="557"/>
      <c r="G183" s="557"/>
      <c r="H183" s="557"/>
      <c r="I183" s="557"/>
      <c r="J183" s="557"/>
      <c r="K183" s="557"/>
      <c r="L183" s="557"/>
      <c r="M183" s="557"/>
      <c r="N183" s="557"/>
      <c r="O183" s="562"/>
      <c r="P183" s="562"/>
      <c r="Q183" s="562"/>
      <c r="R183" s="562"/>
      <c r="S183" s="562"/>
      <c r="T183" s="562"/>
      <c r="U183" s="562"/>
      <c r="V183" s="562"/>
      <c r="W183" s="562"/>
      <c r="X183" s="562"/>
      <c r="Y183" s="562"/>
      <c r="Z183" s="562"/>
      <c r="AA183" s="562"/>
      <c r="AB183" s="69"/>
      <c r="AC183" s="69"/>
      <c r="AD183" s="69"/>
      <c r="AE183" s="69"/>
      <c r="AF183" s="69"/>
      <c r="AG183" s="69"/>
      <c r="AH183" s="69"/>
      <c r="AI183" s="69"/>
      <c r="AJ183" s="69"/>
      <c r="AK183" s="69"/>
      <c r="AL183" s="69"/>
      <c r="AM183" s="69"/>
      <c r="AN183" s="69"/>
    </row>
    <row r="184" spans="1:40" hidden="1">
      <c r="A184" s="69"/>
      <c r="B184" s="568"/>
      <c r="C184" s="568"/>
      <c r="D184" s="568"/>
      <c r="E184" s="568"/>
      <c r="F184" s="568"/>
      <c r="G184" s="568"/>
      <c r="H184" s="568"/>
      <c r="I184" s="568"/>
      <c r="J184" s="568"/>
      <c r="K184" s="568"/>
      <c r="L184" s="568"/>
      <c r="M184" s="568"/>
      <c r="N184" s="568"/>
      <c r="O184" s="562"/>
      <c r="P184" s="562"/>
      <c r="Q184" s="562"/>
      <c r="R184" s="562"/>
      <c r="S184" s="562"/>
      <c r="T184" s="562"/>
      <c r="U184" s="562"/>
      <c r="V184" s="562"/>
      <c r="W184" s="562"/>
      <c r="X184" s="562"/>
      <c r="Y184" s="562"/>
      <c r="Z184" s="562"/>
      <c r="AA184" s="562"/>
      <c r="AB184" s="69"/>
      <c r="AC184" s="69"/>
      <c r="AD184" s="69"/>
      <c r="AE184" s="69"/>
      <c r="AF184" s="69"/>
      <c r="AG184" s="69"/>
      <c r="AH184" s="69"/>
      <c r="AI184" s="69"/>
      <c r="AJ184" s="69"/>
      <c r="AK184" s="69"/>
      <c r="AL184" s="69"/>
      <c r="AM184" s="69"/>
      <c r="AN184" s="69"/>
    </row>
    <row r="185" spans="1:40" hidden="1">
      <c r="A185" s="69"/>
      <c r="B185" s="557"/>
      <c r="C185" s="557"/>
      <c r="D185" s="557"/>
      <c r="E185" s="557"/>
      <c r="F185" s="557"/>
      <c r="G185" s="557"/>
      <c r="H185" s="557"/>
      <c r="I185" s="557"/>
      <c r="J185" s="557"/>
      <c r="K185" s="557"/>
      <c r="L185" s="557"/>
      <c r="M185" s="557"/>
      <c r="N185" s="557"/>
      <c r="O185" s="562"/>
      <c r="P185" s="562"/>
      <c r="Q185" s="562"/>
      <c r="R185" s="562"/>
      <c r="S185" s="562"/>
      <c r="T185" s="562"/>
      <c r="U185" s="562"/>
      <c r="V185" s="562"/>
      <c r="W185" s="562"/>
      <c r="X185" s="562"/>
      <c r="Y185" s="562"/>
      <c r="Z185" s="562"/>
      <c r="AA185" s="562"/>
      <c r="AB185" s="69"/>
      <c r="AC185" s="69"/>
      <c r="AD185" s="69"/>
      <c r="AE185" s="69"/>
      <c r="AF185" s="69"/>
      <c r="AG185" s="69"/>
      <c r="AH185" s="69"/>
      <c r="AI185" s="69"/>
      <c r="AJ185" s="69"/>
      <c r="AK185" s="69"/>
      <c r="AL185" s="69"/>
      <c r="AM185" s="69"/>
      <c r="AN185" s="69"/>
    </row>
    <row r="186" spans="1:40" hidden="1">
      <c r="A186" s="69"/>
      <c r="B186" s="556"/>
      <c r="C186" s="556"/>
      <c r="D186" s="556"/>
      <c r="E186" s="556"/>
      <c r="F186" s="567"/>
      <c r="G186" s="567"/>
      <c r="H186" s="567"/>
      <c r="I186" s="556"/>
      <c r="J186" s="581"/>
      <c r="K186" s="581"/>
      <c r="L186" s="580"/>
      <c r="M186" s="581"/>
      <c r="N186" s="581"/>
      <c r="O186" s="562"/>
      <c r="P186" s="562"/>
      <c r="Q186" s="562"/>
      <c r="R186" s="562"/>
      <c r="S186" s="562"/>
      <c r="T186" s="562"/>
      <c r="U186" s="562"/>
      <c r="V186" s="562"/>
      <c r="W186" s="562"/>
      <c r="X186" s="562"/>
      <c r="Y186" s="562"/>
      <c r="Z186" s="562"/>
      <c r="AA186" s="562"/>
      <c r="AB186" s="69"/>
      <c r="AC186" s="69"/>
      <c r="AD186" s="69"/>
      <c r="AE186" s="69"/>
      <c r="AF186" s="69"/>
      <c r="AG186" s="69"/>
      <c r="AH186" s="69"/>
      <c r="AI186" s="69"/>
      <c r="AJ186" s="69"/>
      <c r="AK186" s="69"/>
      <c r="AL186" s="69"/>
      <c r="AM186" s="69"/>
      <c r="AN186" s="69"/>
    </row>
    <row r="187" spans="1:40" hidden="1">
      <c r="A187" s="69"/>
      <c r="B187" s="557"/>
      <c r="C187" s="557"/>
      <c r="D187" s="557"/>
      <c r="E187" s="557"/>
      <c r="F187" s="557"/>
      <c r="G187" s="557"/>
      <c r="H187" s="557"/>
      <c r="I187" s="557"/>
      <c r="J187" s="557"/>
      <c r="K187" s="557"/>
      <c r="L187" s="557"/>
      <c r="M187" s="557"/>
      <c r="N187" s="557"/>
      <c r="O187" s="562"/>
      <c r="P187" s="562"/>
      <c r="Q187" s="562"/>
      <c r="R187" s="562"/>
      <c r="S187" s="562"/>
      <c r="T187" s="562"/>
      <c r="U187" s="562"/>
      <c r="V187" s="562"/>
      <c r="W187" s="562"/>
      <c r="X187" s="562"/>
      <c r="Y187" s="562"/>
      <c r="Z187" s="562"/>
      <c r="AA187" s="562"/>
      <c r="AB187" s="69"/>
      <c r="AC187" s="69"/>
      <c r="AD187" s="69"/>
      <c r="AE187" s="69"/>
      <c r="AF187" s="69"/>
      <c r="AG187" s="69"/>
      <c r="AH187" s="69"/>
      <c r="AI187" s="69"/>
      <c r="AJ187" s="69"/>
      <c r="AK187" s="69"/>
      <c r="AL187" s="69"/>
      <c r="AM187" s="69"/>
      <c r="AN187" s="69"/>
    </row>
    <row r="188" spans="1:40" hidden="1">
      <c r="A188" s="69"/>
      <c r="B188" s="565"/>
      <c r="C188" s="565"/>
      <c r="D188" s="565"/>
      <c r="E188" s="565"/>
      <c r="F188" s="565"/>
      <c r="G188" s="565"/>
      <c r="H188" s="565"/>
      <c r="I188" s="565"/>
      <c r="J188" s="565"/>
      <c r="K188" s="565"/>
      <c r="L188" s="565"/>
      <c r="M188" s="565"/>
      <c r="N188" s="565"/>
      <c r="O188" s="565"/>
      <c r="P188" s="565"/>
      <c r="Q188" s="565"/>
      <c r="R188" s="565"/>
      <c r="S188" s="565"/>
      <c r="T188" s="565"/>
      <c r="U188" s="565"/>
      <c r="V188" s="565"/>
      <c r="W188" s="565"/>
      <c r="X188" s="565"/>
      <c r="Y188" s="565"/>
      <c r="Z188" s="565"/>
      <c r="AA188" s="565"/>
      <c r="AB188" s="69"/>
      <c r="AC188" s="69"/>
      <c r="AD188" s="69"/>
      <c r="AE188" s="69"/>
      <c r="AF188" s="69"/>
      <c r="AG188" s="69"/>
      <c r="AH188" s="69"/>
      <c r="AI188" s="69"/>
      <c r="AJ188" s="69"/>
      <c r="AK188" s="69"/>
      <c r="AL188" s="69"/>
      <c r="AM188" s="69"/>
      <c r="AN188" s="69"/>
    </row>
    <row r="189" spans="1:40" hidden="1">
      <c r="A189" s="69"/>
      <c r="B189" s="562"/>
      <c r="C189" s="562"/>
      <c r="D189" s="562"/>
      <c r="E189" s="562"/>
      <c r="F189" s="562"/>
      <c r="G189" s="562"/>
      <c r="H189" s="562"/>
      <c r="I189" s="564"/>
      <c r="J189" s="562"/>
      <c r="K189" s="562"/>
      <c r="L189" s="562"/>
      <c r="M189" s="562"/>
      <c r="N189" s="562"/>
      <c r="O189" s="562"/>
      <c r="P189" s="562"/>
      <c r="Q189" s="562"/>
      <c r="R189" s="562"/>
      <c r="S189" s="562"/>
      <c r="T189" s="562"/>
      <c r="U189" s="562"/>
      <c r="V189" s="562"/>
      <c r="W189" s="562"/>
      <c r="X189" s="562"/>
      <c r="Y189" s="562"/>
      <c r="Z189" s="562"/>
      <c r="AA189" s="562"/>
      <c r="AB189" s="69"/>
      <c r="AC189" s="69"/>
      <c r="AD189" s="69"/>
      <c r="AE189" s="69"/>
      <c r="AF189" s="69"/>
      <c r="AG189" s="69"/>
      <c r="AH189" s="69"/>
      <c r="AI189" s="69"/>
      <c r="AJ189" s="69"/>
      <c r="AK189" s="69"/>
      <c r="AL189" s="69"/>
      <c r="AM189" s="69"/>
      <c r="AN189" s="69"/>
    </row>
    <row r="190" spans="1:40" hidden="1">
      <c r="A190" s="69"/>
      <c r="B190" s="565"/>
      <c r="C190" s="565"/>
      <c r="D190" s="565"/>
      <c r="E190" s="565"/>
      <c r="F190" s="565"/>
      <c r="G190" s="565"/>
      <c r="H190" s="565"/>
      <c r="I190" s="565"/>
      <c r="J190" s="565"/>
      <c r="K190" s="565"/>
      <c r="L190" s="565"/>
      <c r="M190" s="565"/>
      <c r="N190" s="565"/>
      <c r="O190" s="565"/>
      <c r="P190" s="565"/>
      <c r="Q190" s="565"/>
      <c r="R190" s="565"/>
      <c r="S190" s="565"/>
      <c r="T190" s="565"/>
      <c r="U190" s="565"/>
      <c r="V190" s="565"/>
      <c r="W190" s="565"/>
      <c r="X190" s="565"/>
      <c r="Y190" s="565"/>
      <c r="Z190" s="565"/>
      <c r="AA190" s="565"/>
      <c r="AB190" s="69"/>
      <c r="AC190" s="69"/>
      <c r="AD190" s="69"/>
      <c r="AE190" s="69"/>
      <c r="AF190" s="69"/>
      <c r="AG190" s="69"/>
      <c r="AH190" s="69"/>
      <c r="AI190" s="69"/>
      <c r="AJ190" s="69"/>
      <c r="AK190" s="69"/>
      <c r="AL190" s="69"/>
      <c r="AM190" s="69"/>
      <c r="AN190" s="69"/>
    </row>
    <row r="191" spans="1:40" hidden="1">
      <c r="A191" s="69"/>
      <c r="B191" s="565"/>
      <c r="C191" s="565"/>
      <c r="D191" s="565"/>
      <c r="E191" s="565"/>
      <c r="F191" s="565"/>
      <c r="G191" s="565"/>
      <c r="H191" s="565"/>
      <c r="I191" s="568"/>
      <c r="J191" s="568"/>
      <c r="K191" s="568"/>
      <c r="L191" s="568"/>
      <c r="M191" s="562"/>
      <c r="N191" s="562"/>
      <c r="O191" s="562"/>
      <c r="P191" s="562"/>
      <c r="Q191" s="562"/>
      <c r="R191" s="562"/>
      <c r="S191" s="562"/>
      <c r="T191" s="562"/>
      <c r="U191" s="562"/>
      <c r="V191" s="562"/>
      <c r="W191" s="562"/>
      <c r="X191" s="562"/>
      <c r="Y191" s="562"/>
      <c r="Z191" s="562"/>
      <c r="AA191" s="562"/>
      <c r="AB191" s="69"/>
      <c r="AC191" s="69"/>
      <c r="AD191" s="69"/>
      <c r="AE191" s="69"/>
      <c r="AF191" s="69"/>
      <c r="AG191" s="69"/>
      <c r="AH191" s="69"/>
      <c r="AI191" s="69"/>
      <c r="AJ191" s="69"/>
      <c r="AK191" s="69"/>
      <c r="AL191" s="69"/>
      <c r="AM191" s="69"/>
      <c r="AN191" s="69"/>
    </row>
    <row r="192" spans="1:40" hidden="1">
      <c r="A192" s="69"/>
      <c r="B192" s="568"/>
      <c r="C192" s="568"/>
      <c r="D192" s="568"/>
      <c r="E192" s="568"/>
      <c r="F192" s="568"/>
      <c r="G192" s="568"/>
      <c r="H192" s="568"/>
      <c r="I192" s="568"/>
      <c r="J192" s="568"/>
      <c r="K192" s="568"/>
      <c r="L192" s="568"/>
      <c r="M192" s="568"/>
      <c r="N192" s="568"/>
      <c r="O192" s="562"/>
      <c r="P192" s="562"/>
      <c r="Q192" s="562"/>
      <c r="R192" s="562"/>
      <c r="S192" s="562"/>
      <c r="T192" s="562"/>
      <c r="U192" s="674"/>
      <c r="V192" s="674"/>
      <c r="W192" s="674"/>
      <c r="X192" s="674"/>
      <c r="Y192" s="674"/>
      <c r="Z192" s="674"/>
      <c r="AA192" s="674"/>
      <c r="AB192" s="69"/>
      <c r="AC192" s="69"/>
      <c r="AD192" s="69"/>
      <c r="AE192" s="69"/>
      <c r="AF192" s="69"/>
      <c r="AG192" s="69"/>
      <c r="AH192" s="69"/>
      <c r="AI192" s="69"/>
      <c r="AJ192" s="69"/>
      <c r="AK192" s="69"/>
      <c r="AL192" s="69"/>
      <c r="AM192" s="69"/>
      <c r="AN192" s="69"/>
    </row>
    <row r="193" spans="1:40" hidden="1">
      <c r="A193" s="69"/>
      <c r="B193" s="568"/>
      <c r="C193" s="568"/>
      <c r="D193" s="568"/>
      <c r="E193" s="568"/>
      <c r="F193" s="568"/>
      <c r="G193" s="568"/>
      <c r="H193" s="568"/>
      <c r="I193" s="568"/>
      <c r="J193" s="568"/>
      <c r="K193" s="568"/>
      <c r="L193" s="568"/>
      <c r="M193" s="568"/>
      <c r="N193" s="568"/>
      <c r="O193" s="562"/>
      <c r="P193" s="562"/>
      <c r="Q193" s="562"/>
      <c r="R193" s="562"/>
      <c r="S193" s="562"/>
      <c r="T193" s="562"/>
      <c r="U193" s="562"/>
      <c r="V193" s="562"/>
      <c r="W193" s="562"/>
      <c r="X193" s="562"/>
      <c r="Y193" s="562"/>
      <c r="Z193" s="562"/>
      <c r="AA193" s="562"/>
      <c r="AB193" s="69"/>
      <c r="AC193" s="69"/>
      <c r="AD193" s="69"/>
      <c r="AE193" s="69"/>
      <c r="AF193" s="69"/>
      <c r="AG193" s="69"/>
      <c r="AH193" s="69"/>
      <c r="AI193" s="69"/>
      <c r="AJ193" s="69"/>
      <c r="AK193" s="69"/>
      <c r="AL193" s="69"/>
      <c r="AM193" s="69"/>
      <c r="AN193" s="69"/>
    </row>
    <row r="194" spans="1:40" hidden="1">
      <c r="A194" s="69"/>
      <c r="B194" s="557"/>
      <c r="C194" s="557"/>
      <c r="D194" s="557"/>
      <c r="E194" s="557"/>
      <c r="F194" s="557"/>
      <c r="G194" s="557"/>
      <c r="H194" s="557"/>
      <c r="I194" s="557"/>
      <c r="J194" s="557"/>
      <c r="K194" s="557"/>
      <c r="L194" s="557"/>
      <c r="M194" s="557"/>
      <c r="N194" s="557"/>
      <c r="O194" s="562"/>
      <c r="P194" s="562"/>
      <c r="Q194" s="562"/>
      <c r="R194" s="562"/>
      <c r="S194" s="562"/>
      <c r="T194" s="562"/>
      <c r="U194" s="562"/>
      <c r="V194" s="562"/>
      <c r="W194" s="562"/>
      <c r="X194" s="562"/>
      <c r="Y194" s="562"/>
      <c r="Z194" s="562"/>
      <c r="AA194" s="562"/>
      <c r="AB194" s="69"/>
      <c r="AC194" s="69"/>
      <c r="AD194" s="69"/>
      <c r="AE194" s="69"/>
      <c r="AF194" s="69"/>
      <c r="AG194" s="69"/>
      <c r="AH194" s="69"/>
      <c r="AI194" s="69"/>
      <c r="AJ194" s="69"/>
      <c r="AK194" s="69"/>
      <c r="AL194" s="69"/>
      <c r="AM194" s="69"/>
      <c r="AN194" s="69"/>
    </row>
    <row r="195" spans="1:40" hidden="1">
      <c r="A195" s="69"/>
      <c r="B195" s="557"/>
      <c r="C195" s="557"/>
      <c r="D195" s="557"/>
      <c r="E195" s="557"/>
      <c r="F195" s="557"/>
      <c r="G195" s="557"/>
      <c r="H195" s="557"/>
      <c r="I195" s="557"/>
      <c r="J195" s="557"/>
      <c r="K195" s="557"/>
      <c r="L195" s="557"/>
      <c r="M195" s="556"/>
      <c r="N195" s="557"/>
      <c r="O195" s="562"/>
      <c r="P195" s="562"/>
      <c r="Q195" s="562"/>
      <c r="R195" s="562"/>
      <c r="S195" s="562"/>
      <c r="T195" s="562"/>
      <c r="U195" s="562"/>
      <c r="V195" s="562"/>
      <c r="W195" s="562"/>
      <c r="X195" s="562"/>
      <c r="Y195" s="562"/>
      <c r="Z195" s="562"/>
      <c r="AA195" s="562"/>
      <c r="AB195" s="69"/>
      <c r="AC195" s="69"/>
      <c r="AD195" s="69"/>
      <c r="AE195" s="69"/>
      <c r="AF195" s="69"/>
      <c r="AG195" s="69"/>
      <c r="AH195" s="69"/>
      <c r="AI195" s="69"/>
      <c r="AJ195" s="69"/>
      <c r="AK195" s="69"/>
      <c r="AL195" s="69"/>
      <c r="AM195" s="69"/>
      <c r="AN195" s="69"/>
    </row>
    <row r="196" spans="1:40" hidden="1">
      <c r="A196" s="69"/>
      <c r="B196" s="565"/>
      <c r="C196" s="565"/>
      <c r="D196" s="565"/>
      <c r="E196" s="565"/>
      <c r="F196" s="565"/>
      <c r="G196" s="565"/>
      <c r="H196" s="565"/>
      <c r="I196" s="565"/>
      <c r="J196" s="565"/>
      <c r="K196" s="565"/>
      <c r="L196" s="565"/>
      <c r="M196" s="565"/>
      <c r="N196" s="565"/>
      <c r="O196" s="558"/>
      <c r="P196" s="558"/>
      <c r="Q196" s="558"/>
      <c r="R196" s="558"/>
      <c r="S196" s="558"/>
      <c r="T196" s="558"/>
      <c r="U196" s="565"/>
      <c r="V196" s="565"/>
      <c r="W196" s="565"/>
      <c r="X196" s="565"/>
      <c r="Y196" s="565"/>
      <c r="Z196" s="565"/>
      <c r="AA196" s="565"/>
      <c r="AB196" s="69"/>
      <c r="AC196" s="69"/>
      <c r="AD196" s="69"/>
      <c r="AE196" s="69"/>
      <c r="AF196" s="70"/>
      <c r="AG196" s="70"/>
      <c r="AH196" s="70"/>
      <c r="AI196" s="69"/>
      <c r="AJ196" s="69"/>
      <c r="AK196" s="69"/>
      <c r="AL196" s="69"/>
      <c r="AM196" s="69"/>
      <c r="AN196" s="69"/>
    </row>
    <row r="197" spans="1:40" hidden="1">
      <c r="A197" s="69"/>
      <c r="B197" s="568"/>
      <c r="C197" s="568"/>
      <c r="D197" s="568"/>
      <c r="E197" s="568"/>
      <c r="F197" s="568"/>
      <c r="G197" s="568"/>
      <c r="H197" s="568"/>
      <c r="I197" s="568"/>
      <c r="J197" s="568"/>
      <c r="K197" s="568"/>
      <c r="L197" s="568"/>
      <c r="M197" s="568"/>
      <c r="N197" s="568"/>
      <c r="O197" s="568"/>
      <c r="P197" s="561"/>
      <c r="Q197" s="561"/>
      <c r="R197" s="561"/>
      <c r="S197" s="561"/>
      <c r="T197" s="561"/>
      <c r="U197" s="561"/>
      <c r="V197" s="561"/>
      <c r="W197" s="561"/>
      <c r="X197" s="561"/>
      <c r="Y197" s="561"/>
      <c r="Z197" s="561"/>
      <c r="AA197" s="561"/>
      <c r="AB197" s="69"/>
      <c r="AC197" s="69"/>
      <c r="AD197" s="69"/>
      <c r="AE197" s="69"/>
      <c r="AF197" s="69"/>
      <c r="AG197" s="69"/>
      <c r="AH197" s="69"/>
      <c r="AI197" s="69"/>
      <c r="AJ197" s="69"/>
      <c r="AK197" s="69"/>
      <c r="AL197" s="69"/>
      <c r="AM197" s="69"/>
      <c r="AN197" s="69"/>
    </row>
    <row r="198" spans="1:40" hidden="1">
      <c r="A198" s="69"/>
      <c r="B198" s="562"/>
      <c r="C198" s="562"/>
      <c r="D198" s="562"/>
      <c r="E198" s="562"/>
      <c r="F198" s="562"/>
      <c r="G198" s="562"/>
      <c r="H198" s="562"/>
      <c r="I198" s="562"/>
      <c r="J198" s="562"/>
      <c r="K198" s="562"/>
      <c r="L198" s="562"/>
      <c r="M198" s="562"/>
      <c r="N198" s="562"/>
      <c r="O198" s="562"/>
      <c r="P198" s="562"/>
      <c r="Q198" s="562"/>
      <c r="R198" s="562"/>
      <c r="S198" s="562"/>
      <c r="T198" s="562"/>
      <c r="U198" s="562"/>
      <c r="V198" s="562"/>
      <c r="W198" s="562"/>
      <c r="X198" s="562"/>
      <c r="Y198" s="562"/>
      <c r="Z198" s="562"/>
      <c r="AA198" s="562"/>
      <c r="AB198" s="675"/>
      <c r="AC198" s="675"/>
      <c r="AD198" s="69"/>
      <c r="AE198" s="69"/>
      <c r="AF198" s="69"/>
      <c r="AG198" s="69"/>
      <c r="AH198" s="69"/>
      <c r="AI198" s="69"/>
      <c r="AJ198" s="69"/>
      <c r="AK198" s="69"/>
      <c r="AL198" s="69"/>
      <c r="AM198" s="69"/>
      <c r="AN198" s="69"/>
    </row>
    <row r="199" spans="1:40" hidden="1">
      <c r="A199" s="69"/>
      <c r="B199" s="568"/>
      <c r="C199" s="568"/>
      <c r="D199" s="568"/>
      <c r="E199" s="568"/>
      <c r="F199" s="568"/>
      <c r="G199" s="568"/>
      <c r="H199" s="568"/>
      <c r="I199" s="568"/>
      <c r="J199" s="568"/>
      <c r="K199" s="568"/>
      <c r="L199" s="565"/>
      <c r="M199" s="565"/>
      <c r="N199" s="565"/>
      <c r="O199" s="565"/>
      <c r="P199" s="565"/>
      <c r="Q199" s="565"/>
      <c r="R199" s="565"/>
      <c r="S199" s="565"/>
      <c r="T199" s="565"/>
      <c r="U199" s="565"/>
      <c r="V199" s="565"/>
      <c r="W199" s="565"/>
      <c r="X199" s="565"/>
      <c r="Y199" s="565"/>
      <c r="Z199" s="565"/>
      <c r="AA199" s="565"/>
      <c r="AB199" s="69"/>
      <c r="AC199" s="69"/>
      <c r="AD199" s="69"/>
      <c r="AE199" s="69"/>
      <c r="AF199" s="69"/>
      <c r="AG199" s="69"/>
      <c r="AH199" s="69"/>
      <c r="AI199" s="69"/>
      <c r="AJ199" s="69"/>
      <c r="AK199" s="69"/>
      <c r="AL199" s="69"/>
      <c r="AM199" s="69"/>
      <c r="AN199" s="69"/>
    </row>
    <row r="200" spans="1:40" hidden="1">
      <c r="A200" s="69"/>
      <c r="B200" s="568"/>
      <c r="C200" s="568"/>
      <c r="D200" s="568"/>
      <c r="E200" s="568"/>
      <c r="F200" s="568"/>
      <c r="G200" s="568"/>
      <c r="H200" s="561"/>
      <c r="I200" s="561"/>
      <c r="J200" s="561"/>
      <c r="K200" s="561"/>
      <c r="L200" s="561"/>
      <c r="M200" s="561"/>
      <c r="N200" s="561"/>
      <c r="O200" s="561"/>
      <c r="P200" s="561"/>
      <c r="Q200" s="561"/>
      <c r="R200" s="561"/>
      <c r="S200" s="561"/>
      <c r="T200" s="561"/>
      <c r="U200" s="561"/>
      <c r="V200" s="561"/>
      <c r="W200" s="561"/>
      <c r="X200" s="561"/>
      <c r="Y200" s="561"/>
      <c r="Z200" s="561"/>
      <c r="AA200" s="561"/>
      <c r="AB200" s="69"/>
      <c r="AC200" s="69"/>
      <c r="AD200" s="69"/>
      <c r="AE200" s="69"/>
      <c r="AF200" s="69"/>
      <c r="AG200" s="69"/>
      <c r="AH200" s="69"/>
      <c r="AI200" s="69"/>
      <c r="AJ200" s="69"/>
      <c r="AK200" s="69"/>
      <c r="AL200" s="69"/>
      <c r="AM200" s="69"/>
      <c r="AN200" s="69"/>
    </row>
    <row r="201" spans="1:40" hidden="1">
      <c r="A201" s="69"/>
      <c r="B201" s="561"/>
      <c r="C201" s="561"/>
      <c r="D201" s="561"/>
      <c r="E201" s="561"/>
      <c r="F201" s="561"/>
      <c r="G201" s="561"/>
      <c r="H201" s="561"/>
      <c r="I201" s="561"/>
      <c r="J201" s="561"/>
      <c r="K201" s="561"/>
      <c r="L201" s="561"/>
      <c r="M201" s="561"/>
      <c r="N201" s="564"/>
      <c r="O201" s="564"/>
      <c r="P201" s="564"/>
      <c r="Q201" s="564"/>
      <c r="R201" s="564"/>
      <c r="S201" s="564"/>
      <c r="T201" s="564"/>
      <c r="U201" s="561"/>
      <c r="V201" s="561"/>
      <c r="W201" s="561"/>
      <c r="X201" s="561"/>
      <c r="Y201" s="561"/>
      <c r="Z201" s="561"/>
      <c r="AA201" s="561"/>
      <c r="AB201" s="69"/>
      <c r="AC201" s="69"/>
      <c r="AD201" s="69"/>
      <c r="AE201" s="69"/>
      <c r="AF201" s="69"/>
      <c r="AG201" s="69"/>
      <c r="AH201" s="69"/>
      <c r="AI201" s="69"/>
      <c r="AJ201" s="69"/>
      <c r="AK201" s="69"/>
      <c r="AL201" s="69"/>
      <c r="AM201" s="69"/>
      <c r="AN201" s="69"/>
    </row>
    <row r="202" spans="1:40" hidden="1">
      <c r="A202" s="69"/>
      <c r="B202" s="568"/>
      <c r="C202" s="565"/>
      <c r="D202" s="565"/>
      <c r="E202" s="565"/>
      <c r="F202" s="565"/>
      <c r="G202" s="565"/>
      <c r="H202" s="565"/>
      <c r="I202" s="565"/>
      <c r="J202" s="565"/>
      <c r="K202" s="565"/>
      <c r="L202" s="565"/>
      <c r="M202" s="565"/>
      <c r="N202" s="565"/>
      <c r="O202" s="565"/>
      <c r="P202" s="565"/>
      <c r="Q202" s="565"/>
      <c r="R202" s="565"/>
      <c r="S202" s="565"/>
      <c r="T202" s="565"/>
      <c r="U202" s="565"/>
      <c r="V202" s="565"/>
      <c r="W202" s="565"/>
      <c r="X202" s="565"/>
      <c r="Y202" s="565"/>
      <c r="Z202" s="565"/>
      <c r="AA202" s="565"/>
      <c r="AB202" s="69"/>
      <c r="AC202" s="69"/>
      <c r="AD202" s="69"/>
      <c r="AE202" s="69"/>
      <c r="AF202" s="70"/>
      <c r="AG202" s="70"/>
      <c r="AH202" s="70"/>
      <c r="AI202" s="69"/>
      <c r="AJ202" s="69"/>
      <c r="AK202" s="69"/>
      <c r="AL202" s="69"/>
      <c r="AM202" s="69"/>
      <c r="AN202" s="69"/>
    </row>
  </sheetData>
  <phoneticPr fontId="117" type="noConversion"/>
  <pageMargins left="0.70866141732283472" right="0.70866141732283472" top="0.74803149606299213" bottom="0.74803149606299213" header="0.31496062992125984" footer="0.31496062992125984"/>
  <pageSetup paperSize="9" scale="27" fitToHeight="4" orientation="portrait" r:id="rId1"/>
  <customProperties>
    <customPr name="Qube.Worksheet.ID" r:id="rId2"/>
    <customPr name="Qube.Worksheet.Visibility" r:id="rId3"/>
    <customPr name="QXL_SHEET_ID" r:id="rId4"/>
  </customProperties>
  <ignoredErrors>
    <ignoredError sqref="B6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A098-4FAE-4949-A718-2D09694981AC}">
  <sheetPr codeName="Sheet15">
    <tabColor theme="4"/>
  </sheetPr>
  <dimension ref="A1:AQ113"/>
  <sheetViews>
    <sheetView showGridLines="0" zoomScaleNormal="100" workbookViewId="0">
      <pane ySplit="2" topLeftCell="A3" activePane="bottomLeft" state="frozen"/>
      <selection pane="bottomLeft"/>
    </sheetView>
  </sheetViews>
  <sheetFormatPr defaultColWidth="0" defaultRowHeight="12.75" zeroHeight="1" outlineLevelCol="1"/>
  <cols>
    <col min="1" max="1" width="56" style="114" customWidth="1"/>
    <col min="2" max="16" width="9" style="114" hidden="1" customWidth="1" outlineLevel="1"/>
    <col min="17" max="17" width="9" style="114" customWidth="1" collapsed="1"/>
    <col min="18" max="27" width="9" style="114" customWidth="1"/>
    <col min="28" max="28" width="9" style="113" customWidth="1"/>
    <col min="29" max="37" width="9" style="113" hidden="1"/>
    <col min="38" max="43" width="0" style="113" hidden="1"/>
    <col min="44" max="16384" width="9" style="114" hidden="1"/>
  </cols>
  <sheetData>
    <row r="1" spans="1:43">
      <c r="A1" s="741">
        <f>'DCF Valuation'!D51</f>
        <v>240</v>
      </c>
    </row>
    <row r="2" spans="1:43" s="1" customFormat="1">
      <c r="A2" s="196" t="s">
        <v>4</v>
      </c>
      <c r="B2" s="538">
        <f>'Income Statement'!B2</f>
        <v>2006</v>
      </c>
      <c r="C2" s="538">
        <f>'Income Statement'!C2</f>
        <v>2007</v>
      </c>
      <c r="D2" s="538">
        <f>'Income Statement'!D2</f>
        <v>2008</v>
      </c>
      <c r="E2" s="538">
        <f>'Income Statement'!E2</f>
        <v>2009</v>
      </c>
      <c r="F2" s="538">
        <f>'Income Statement'!F2</f>
        <v>2010</v>
      </c>
      <c r="G2" s="538">
        <f>'Income Statement'!G2</f>
        <v>2011</v>
      </c>
      <c r="H2" s="538">
        <f>'Income Statement'!H2</f>
        <v>2012</v>
      </c>
      <c r="I2" s="538">
        <f>'Income Statement'!I2</f>
        <v>2013</v>
      </c>
      <c r="J2" s="538">
        <f>'Income Statement'!J2</f>
        <v>2014</v>
      </c>
      <c r="K2" s="538">
        <f>'Income Statement'!K2</f>
        <v>2015</v>
      </c>
      <c r="L2" s="538">
        <f>'Income Statement'!L2</f>
        <v>2016</v>
      </c>
      <c r="M2" s="538">
        <f>'Income Statement'!M2</f>
        <v>2017</v>
      </c>
      <c r="N2" s="538">
        <f>'Income Statement'!N2</f>
        <v>2018</v>
      </c>
      <c r="O2" s="538">
        <f>'Income Statement'!O2</f>
        <v>2019</v>
      </c>
      <c r="P2" s="538">
        <f>'Income Statement'!P2</f>
        <v>2020</v>
      </c>
      <c r="Q2" s="538">
        <f>'Income Statement'!Q2</f>
        <v>2021</v>
      </c>
      <c r="R2" s="538">
        <f>'Income Statement'!R2</f>
        <v>2022</v>
      </c>
      <c r="S2" s="538">
        <f>'Income Statement'!S2</f>
        <v>2023</v>
      </c>
      <c r="T2" s="538">
        <f>'Income Statement'!T2</f>
        <v>2024</v>
      </c>
      <c r="U2" s="538">
        <f>T2+1</f>
        <v>2025</v>
      </c>
      <c r="V2" s="617">
        <f t="shared" ref="V2:AA2" si="0">U2+1</f>
        <v>2026</v>
      </c>
      <c r="W2" s="617">
        <f t="shared" si="0"/>
        <v>2027</v>
      </c>
      <c r="X2" s="617">
        <f t="shared" si="0"/>
        <v>2028</v>
      </c>
      <c r="Y2" s="617">
        <f t="shared" si="0"/>
        <v>2029</v>
      </c>
      <c r="Z2" s="617">
        <f t="shared" si="0"/>
        <v>2030</v>
      </c>
      <c r="AA2" s="617">
        <f t="shared" si="0"/>
        <v>2031</v>
      </c>
    </row>
    <row r="3" spans="1:43" s="1" customFormat="1">
      <c r="B3" s="271"/>
      <c r="C3" s="271"/>
      <c r="D3" s="271"/>
      <c r="E3" s="271"/>
      <c r="F3" s="271"/>
      <c r="G3" s="271"/>
      <c r="H3" s="271"/>
      <c r="I3" s="271"/>
      <c r="J3" s="271"/>
      <c r="K3" s="271"/>
      <c r="L3" s="271"/>
      <c r="M3" s="271"/>
      <c r="N3" s="553"/>
      <c r="O3" s="271"/>
      <c r="P3" s="271"/>
      <c r="Q3" s="271"/>
      <c r="R3" s="271"/>
      <c r="S3" s="271"/>
      <c r="T3" s="271"/>
      <c r="U3" s="271"/>
      <c r="V3" s="271"/>
      <c r="W3" s="271"/>
      <c r="X3" s="271"/>
      <c r="Y3" s="271"/>
      <c r="Z3" s="271"/>
      <c r="AA3" s="271"/>
    </row>
    <row r="4" spans="1:43" s="1" customFormat="1">
      <c r="A4" s="677" t="s">
        <v>163</v>
      </c>
      <c r="B4" s="557">
        <f>'Income Statement'!B101</f>
        <v>99</v>
      </c>
      <c r="C4" s="557">
        <f>'Income Statement'!C101</f>
        <v>-446</v>
      </c>
      <c r="D4" s="557">
        <f>'Income Statement'!D101</f>
        <v>1572</v>
      </c>
      <c r="E4" s="557">
        <f>'Income Statement'!E101</f>
        <v>-763</v>
      </c>
      <c r="F4" s="557">
        <f>'Income Statement'!F101</f>
        <v>553</v>
      </c>
      <c r="G4" s="557">
        <f>'Income Statement'!G101</f>
        <v>1033</v>
      </c>
      <c r="H4" s="557">
        <f>'Income Statement'!H101</f>
        <v>1197</v>
      </c>
      <c r="I4" s="557">
        <f>'Income Statement'!I101</f>
        <v>5025</v>
      </c>
      <c r="J4" s="557">
        <f>'Income Statement'!J101</f>
        <v>2343</v>
      </c>
      <c r="K4" s="557">
        <f>'Income Statement'!K101</f>
        <v>2696</v>
      </c>
      <c r="L4" s="557">
        <f>'Income Statement'!L101</f>
        <v>995</v>
      </c>
      <c r="M4" s="557">
        <f>'Income Statement'!M101</f>
        <v>2873</v>
      </c>
      <c r="N4" s="557">
        <f>'Income Statement'!N101</f>
        <v>3054</v>
      </c>
      <c r="O4" s="562">
        <f>'Income Statement'!O101</f>
        <v>-1362</v>
      </c>
      <c r="P4" s="562">
        <f>'Income Statement'!P101</f>
        <v>-1133</v>
      </c>
      <c r="Q4" s="562">
        <f>'Income Statement'!Q101</f>
        <v>4213</v>
      </c>
      <c r="R4" s="562">
        <f>'Income Statement'!R101</f>
        <v>4247</v>
      </c>
      <c r="S4" s="562">
        <f>'Income Statement'!S101</f>
        <v>3788.5</v>
      </c>
      <c r="T4" s="562">
        <f>'Income Statement'!T101</f>
        <v>4232</v>
      </c>
      <c r="U4" s="562">
        <f>'Income Statement'!U101</f>
        <v>5221</v>
      </c>
      <c r="V4" s="547">
        <f>'Income Statement'!V101</f>
        <v>5752.0587617501433</v>
      </c>
      <c r="W4" s="547">
        <f>'Income Statement'!W101</f>
        <v>7024.4616210695785</v>
      </c>
      <c r="X4" s="547">
        <f>'Income Statement'!X101</f>
        <v>8763.294018585033</v>
      </c>
      <c r="Y4" s="547">
        <f>'Income Statement'!Y101</f>
        <v>10054.773979411777</v>
      </c>
      <c r="Z4" s="547">
        <f>'Income Statement'!Z101</f>
        <v>10907.487626707329</v>
      </c>
      <c r="AA4" s="547">
        <f>'Income Statement'!AA101</f>
        <v>11581.180746569848</v>
      </c>
      <c r="AB4" s="272"/>
      <c r="AC4" s="272"/>
      <c r="AD4" s="272"/>
      <c r="AE4" s="272"/>
      <c r="AF4" s="272"/>
      <c r="AG4" s="272"/>
      <c r="AH4" s="272"/>
      <c r="AI4" s="272"/>
      <c r="AJ4" s="272"/>
      <c r="AK4" s="272"/>
      <c r="AL4" s="272"/>
      <c r="AM4" s="272"/>
      <c r="AN4" s="272"/>
      <c r="AO4" s="272"/>
      <c r="AP4" s="272"/>
      <c r="AQ4" s="272"/>
    </row>
    <row r="5" spans="1:43" s="1" customFormat="1">
      <c r="A5" s="1" t="s">
        <v>162</v>
      </c>
      <c r="B5" s="545">
        <v>16</v>
      </c>
      <c r="C5" s="545">
        <v>9</v>
      </c>
      <c r="D5" s="545">
        <v>25</v>
      </c>
      <c r="E5" s="545">
        <v>11</v>
      </c>
      <c r="F5" s="545">
        <v>19</v>
      </c>
      <c r="G5" s="545">
        <v>4</v>
      </c>
      <c r="H5" s="545">
        <v>1</v>
      </c>
      <c r="I5" s="553">
        <f>'Income Statement'!I103</f>
        <v>10</v>
      </c>
      <c r="J5" s="553">
        <f>'Income Statement'!J103</f>
        <v>7</v>
      </c>
      <c r="K5" s="553">
        <f>'Income Statement'!K103</f>
        <v>2</v>
      </c>
      <c r="L5" s="557">
        <f>'Income Statement'!L103</f>
        <v>5</v>
      </c>
      <c r="M5" s="553">
        <f>'Income Statement'!M103</f>
        <v>4</v>
      </c>
      <c r="N5" s="553">
        <f>'Income Statement'!N103</f>
        <v>-43</v>
      </c>
      <c r="O5" s="544">
        <f>'Income Statement'!O103</f>
        <v>37</v>
      </c>
      <c r="P5" s="544">
        <f>'Income Statement'!P103</f>
        <v>-36</v>
      </c>
      <c r="Q5" s="544">
        <f>'Income Statement'!Q103</f>
        <v>-39</v>
      </c>
      <c r="R5" s="544">
        <f>'Income Statement'!R103</f>
        <v>-111</v>
      </c>
      <c r="S5" s="544">
        <f>'Income Statement'!S103</f>
        <v>-175.5</v>
      </c>
      <c r="T5" s="544">
        <f>'Income Statement'!T103</f>
        <v>-154</v>
      </c>
      <c r="U5" s="544">
        <f>'Income Statement'!U103</f>
        <v>-261</v>
      </c>
      <c r="V5" s="547">
        <f>'Income Statement'!V103</f>
        <v>-261</v>
      </c>
      <c r="W5" s="547">
        <f>'Income Statement'!W103</f>
        <v>-261</v>
      </c>
      <c r="X5" s="547">
        <f>'Income Statement'!X103</f>
        <v>-261</v>
      </c>
      <c r="Y5" s="547">
        <f>'Income Statement'!Y103</f>
        <v>-261</v>
      </c>
      <c r="Z5" s="547">
        <f>'Income Statement'!Z103</f>
        <v>-261</v>
      </c>
      <c r="AA5" s="547">
        <f>'Income Statement'!AA103</f>
        <v>-261</v>
      </c>
      <c r="AB5" s="272"/>
      <c r="AC5" s="272"/>
      <c r="AD5" s="272"/>
      <c r="AE5" s="272"/>
      <c r="AF5" s="272"/>
      <c r="AG5" s="272"/>
      <c r="AH5" s="272"/>
      <c r="AI5" s="272"/>
      <c r="AJ5" s="272"/>
      <c r="AK5" s="272"/>
      <c r="AL5" s="272"/>
      <c r="AM5" s="272"/>
      <c r="AN5" s="272"/>
      <c r="AO5" s="272"/>
      <c r="AP5" s="272"/>
      <c r="AQ5" s="272"/>
    </row>
    <row r="6" spans="1:43" s="1" customFormat="1">
      <c r="A6" s="1" t="s">
        <v>10</v>
      </c>
      <c r="B6" s="545">
        <v>-454</v>
      </c>
      <c r="C6" s="545">
        <v>-502</v>
      </c>
      <c r="D6" s="545">
        <v>-617</v>
      </c>
      <c r="E6" s="545">
        <v>-356</v>
      </c>
      <c r="F6" s="545">
        <v>-316</v>
      </c>
      <c r="G6" s="545">
        <v>-377</v>
      </c>
      <c r="H6" s="545">
        <v>-237</v>
      </c>
      <c r="I6" s="553">
        <f>-'Income Statement'!I87</f>
        <v>-168</v>
      </c>
      <c r="J6" s="553">
        <f>-'Income Statement'!J87</f>
        <v>-142</v>
      </c>
      <c r="K6" s="553">
        <f>-'Income Statement'!K87</f>
        <v>-183</v>
      </c>
      <c r="L6" s="557">
        <f>-'Income Statement'!L87</f>
        <v>-247</v>
      </c>
      <c r="M6" s="553">
        <f>-'Income Statement'!M87</f>
        <v>-189</v>
      </c>
      <c r="N6" s="553">
        <f>-'Income Statement'!N87</f>
        <v>-208</v>
      </c>
      <c r="O6" s="544">
        <f>-'Income Statement'!O87</f>
        <v>-228</v>
      </c>
      <c r="P6" s="544">
        <f>-'Income Statement'!P87</f>
        <v>-140</v>
      </c>
      <c r="Q6" s="544">
        <f>-'Income Statement'!Q87</f>
        <v>-88</v>
      </c>
      <c r="R6" s="544">
        <f>-'Income Statement'!R87</f>
        <v>-180</v>
      </c>
      <c r="S6" s="544">
        <f>-'Income Statement'!S87</f>
        <v>-728</v>
      </c>
      <c r="T6" s="544">
        <f>-'Income Statement'!T87</f>
        <v>-802</v>
      </c>
      <c r="U6" s="544">
        <f>-'Income Statement'!U87</f>
        <v>-710</v>
      </c>
      <c r="V6" s="547">
        <f>-'Income Statement'!V87</f>
        <v>-649.88800000000003</v>
      </c>
      <c r="W6" s="547">
        <f>-'Income Statement'!W87</f>
        <v>-673.03517376948571</v>
      </c>
      <c r="X6" s="547">
        <f>-'Income Statement'!X87</f>
        <v>-701.7422646113605</v>
      </c>
      <c r="Y6" s="547">
        <f>-'Income Statement'!Y87</f>
        <v>-770.42668504411949</v>
      </c>
      <c r="Z6" s="547">
        <f>-'Income Statement'!Z87</f>
        <v>-1014.2025747828907</v>
      </c>
      <c r="AA6" s="547">
        <f>-'Income Statement'!AA87</f>
        <v>-1274.6244382772945</v>
      </c>
      <c r="AB6" s="272"/>
      <c r="AC6" s="272"/>
      <c r="AD6" s="272"/>
      <c r="AE6" s="272"/>
      <c r="AF6" s="272"/>
      <c r="AG6" s="272"/>
      <c r="AH6" s="272"/>
      <c r="AI6" s="272"/>
      <c r="AJ6" s="272"/>
      <c r="AK6" s="272"/>
      <c r="AL6" s="272"/>
      <c r="AM6" s="272"/>
      <c r="AN6" s="272"/>
      <c r="AO6" s="272"/>
      <c r="AP6" s="272"/>
      <c r="AQ6" s="272"/>
    </row>
    <row r="7" spans="1:43" s="1" customFormat="1">
      <c r="A7" s="1" t="s">
        <v>9</v>
      </c>
      <c r="B7" s="545">
        <v>575</v>
      </c>
      <c r="C7" s="545">
        <v>701</v>
      </c>
      <c r="D7" s="545">
        <v>581</v>
      </c>
      <c r="E7" s="545">
        <v>503</v>
      </c>
      <c r="F7" s="545">
        <v>415</v>
      </c>
      <c r="G7" s="545">
        <v>364</v>
      </c>
      <c r="H7" s="545">
        <v>522</v>
      </c>
      <c r="I7" s="553">
        <f>-'Income Statement'!I88</f>
        <v>497</v>
      </c>
      <c r="J7" s="553">
        <f>-'Income Statement'!J88</f>
        <v>462</v>
      </c>
      <c r="K7" s="553">
        <f>-'Income Statement'!K88</f>
        <v>551</v>
      </c>
      <c r="L7" s="557">
        <f>-'Income Statement'!L88</f>
        <v>522</v>
      </c>
      <c r="M7" s="553">
        <f>-'Income Statement'!M88</f>
        <v>517</v>
      </c>
      <c r="N7" s="553">
        <f>-'Income Statement'!N88</f>
        <v>440</v>
      </c>
      <c r="O7" s="544">
        <f>-'Income Statement'!O88</f>
        <v>339</v>
      </c>
      <c r="P7" s="544">
        <f>-'Income Statement'!P88</f>
        <v>411</v>
      </c>
      <c r="Q7" s="544">
        <f>-'Income Statement'!Q88</f>
        <v>334</v>
      </c>
      <c r="R7" s="544">
        <f>-'Income Statement'!R88</f>
        <v>412</v>
      </c>
      <c r="S7" s="544">
        <f>-'Income Statement'!S88</f>
        <v>753</v>
      </c>
      <c r="T7" s="544">
        <f>-'Income Statement'!T88</f>
        <v>900</v>
      </c>
      <c r="U7" s="544">
        <f>-'Income Statement'!U88</f>
        <v>770</v>
      </c>
      <c r="V7" s="547">
        <f>-'Income Statement'!V88</f>
        <v>740.94799999999998</v>
      </c>
      <c r="W7" s="547">
        <f>-'Income Statement'!W88</f>
        <v>689.94999999999993</v>
      </c>
      <c r="X7" s="547">
        <f>-'Income Statement'!X88</f>
        <v>649.29599999999994</v>
      </c>
      <c r="Y7" s="547">
        <f>-'Income Statement'!Y88</f>
        <v>609.7299999999999</v>
      </c>
      <c r="Z7" s="547">
        <f>-'Income Statement'!Z88</f>
        <v>558.26899999999989</v>
      </c>
      <c r="AA7" s="547">
        <f>-'Income Statement'!AA88</f>
        <v>521.15099999999984</v>
      </c>
      <c r="AB7" s="272"/>
      <c r="AC7" s="272"/>
      <c r="AD7" s="272"/>
      <c r="AE7" s="272"/>
      <c r="AF7" s="272"/>
      <c r="AG7" s="272"/>
      <c r="AH7" s="272"/>
      <c r="AI7" s="272"/>
      <c r="AJ7" s="272"/>
      <c r="AK7" s="272"/>
      <c r="AL7" s="272"/>
      <c r="AM7" s="272"/>
      <c r="AN7" s="272"/>
      <c r="AO7" s="272"/>
      <c r="AP7" s="272"/>
      <c r="AQ7" s="272"/>
    </row>
    <row r="8" spans="1:43" s="1" customFormat="1">
      <c r="A8" s="1" t="s">
        <v>161</v>
      </c>
      <c r="B8" s="545">
        <v>380</v>
      </c>
      <c r="C8" s="545">
        <v>480</v>
      </c>
      <c r="D8" s="545">
        <v>657</v>
      </c>
      <c r="E8" s="545">
        <v>382</v>
      </c>
      <c r="F8" s="545">
        <v>332</v>
      </c>
      <c r="G8" s="545">
        <v>417</v>
      </c>
      <c r="H8" s="545">
        <v>198</v>
      </c>
      <c r="I8" s="555">
        <v>119</v>
      </c>
      <c r="J8" s="555">
        <v>99</v>
      </c>
      <c r="K8" s="555">
        <v>131</v>
      </c>
      <c r="L8" s="556">
        <v>139</v>
      </c>
      <c r="M8" s="555">
        <v>149</v>
      </c>
      <c r="N8" s="555">
        <v>186</v>
      </c>
      <c r="O8" s="546">
        <v>151</v>
      </c>
      <c r="P8" s="546">
        <v>82</v>
      </c>
      <c r="Q8" s="546">
        <v>111</v>
      </c>
      <c r="R8" s="546">
        <v>250</v>
      </c>
      <c r="S8" s="546">
        <v>690</v>
      </c>
      <c r="T8" s="546">
        <v>681</v>
      </c>
      <c r="U8" s="546">
        <v>607</v>
      </c>
      <c r="V8" s="547">
        <f>'Income Statement'!V87</f>
        <v>649.88800000000003</v>
      </c>
      <c r="W8" s="547">
        <f>'Income Statement'!W87</f>
        <v>673.03517376948571</v>
      </c>
      <c r="X8" s="547">
        <f>'Income Statement'!X87</f>
        <v>701.7422646113605</v>
      </c>
      <c r="Y8" s="547">
        <f>'Income Statement'!Y87</f>
        <v>770.42668504411949</v>
      </c>
      <c r="Z8" s="547">
        <f>'Income Statement'!Z87</f>
        <v>1014.2025747828907</v>
      </c>
      <c r="AA8" s="547">
        <f>'Income Statement'!AA87</f>
        <v>1274.6244382772945</v>
      </c>
      <c r="AB8" s="272"/>
      <c r="AC8" s="272"/>
      <c r="AD8" s="272"/>
      <c r="AE8" s="272"/>
      <c r="AF8" s="272"/>
      <c r="AG8" s="272"/>
      <c r="AH8" s="272"/>
      <c r="AI8" s="272"/>
      <c r="AJ8" s="272"/>
      <c r="AK8" s="272"/>
      <c r="AL8" s="272"/>
      <c r="AM8" s="272"/>
      <c r="AN8" s="272"/>
      <c r="AO8" s="272"/>
      <c r="AP8" s="272"/>
      <c r="AQ8" s="272"/>
    </row>
    <row r="9" spans="1:43" s="1" customFormat="1">
      <c r="A9" s="1" t="s">
        <v>160</v>
      </c>
      <c r="B9" s="545">
        <v>-271</v>
      </c>
      <c r="C9" s="545">
        <v>-370</v>
      </c>
      <c r="D9" s="545">
        <v>-471</v>
      </c>
      <c r="E9" s="545">
        <v>-331</v>
      </c>
      <c r="F9" s="545">
        <v>-278</v>
      </c>
      <c r="G9" s="545">
        <v>-307</v>
      </c>
      <c r="H9" s="545">
        <v>-351</v>
      </c>
      <c r="I9" s="555">
        <v>-323</v>
      </c>
      <c r="J9" s="555">
        <v>-303</v>
      </c>
      <c r="K9" s="555">
        <v>-388</v>
      </c>
      <c r="L9" s="556">
        <v>-378</v>
      </c>
      <c r="M9" s="555">
        <v>-501</v>
      </c>
      <c r="N9" s="555">
        <v>-292</v>
      </c>
      <c r="O9" s="546">
        <v>-187</v>
      </c>
      <c r="P9" s="546">
        <v>-205</v>
      </c>
      <c r="Q9" s="546">
        <v>-330</v>
      </c>
      <c r="R9" s="546">
        <v>-322</v>
      </c>
      <c r="S9" s="546">
        <v>-606</v>
      </c>
      <c r="T9" s="546">
        <v>-786</v>
      </c>
      <c r="U9" s="546">
        <v>-651</v>
      </c>
      <c r="V9" s="547">
        <f>'Income Statement'!V88</f>
        <v>-740.94799999999998</v>
      </c>
      <c r="W9" s="547">
        <f>'Income Statement'!W88</f>
        <v>-689.94999999999993</v>
      </c>
      <c r="X9" s="547">
        <f>'Income Statement'!X88</f>
        <v>-649.29599999999994</v>
      </c>
      <c r="Y9" s="547">
        <f>'Income Statement'!Y88</f>
        <v>-609.7299999999999</v>
      </c>
      <c r="Z9" s="547">
        <f>'Income Statement'!Z88</f>
        <v>-558.26899999999989</v>
      </c>
      <c r="AA9" s="547">
        <f>'Income Statement'!AA88</f>
        <v>-521.15099999999984</v>
      </c>
      <c r="AB9" s="272"/>
      <c r="AC9" s="272"/>
      <c r="AD9" s="272"/>
      <c r="AE9" s="272"/>
      <c r="AF9" s="272"/>
      <c r="AG9" s="272"/>
      <c r="AH9" s="272"/>
      <c r="AI9" s="272"/>
      <c r="AJ9" s="272"/>
      <c r="AK9" s="272"/>
      <c r="AL9" s="272"/>
      <c r="AM9" s="272"/>
      <c r="AN9" s="272"/>
      <c r="AO9" s="272"/>
      <c r="AP9" s="272"/>
      <c r="AQ9" s="272"/>
    </row>
    <row r="10" spans="1:43" s="1" customFormat="1">
      <c r="A10" s="1" t="s">
        <v>159</v>
      </c>
      <c r="B10" s="545">
        <v>-81</v>
      </c>
      <c r="C10" s="545">
        <v>-333</v>
      </c>
      <c r="D10" s="545">
        <v>703</v>
      </c>
      <c r="E10" s="545">
        <v>-220</v>
      </c>
      <c r="F10" s="545">
        <v>244</v>
      </c>
      <c r="G10" s="545">
        <v>356</v>
      </c>
      <c r="H10" s="545">
        <v>449</v>
      </c>
      <c r="I10" s="553">
        <f>-'Income Statement'!I94</f>
        <v>502</v>
      </c>
      <c r="J10" s="553">
        <f>-'Income Statement'!J94</f>
        <v>863</v>
      </c>
      <c r="K10" s="555">
        <v>677</v>
      </c>
      <c r="L10" s="557">
        <f>-'Income Statement'!L94</f>
        <v>291</v>
      </c>
      <c r="M10" s="553">
        <f>-'Income Statement'!M94</f>
        <v>1693</v>
      </c>
      <c r="N10" s="553">
        <f>-'Income Statement'!N94</f>
        <v>1274</v>
      </c>
      <c r="O10" s="544">
        <f>-'Income Statement'!O94</f>
        <v>2389</v>
      </c>
      <c r="P10" s="544">
        <f>-'Income Statement'!P94</f>
        <v>39</v>
      </c>
      <c r="Q10" s="544">
        <f>-'Income Statement'!Q94</f>
        <v>853</v>
      </c>
      <c r="R10" s="544">
        <f>-'Income Statement'!R94</f>
        <v>939</v>
      </c>
      <c r="S10" s="544">
        <f>-'Income Statement'!S94</f>
        <v>1156</v>
      </c>
      <c r="T10" s="544">
        <f>-'Income Statement'!T94</f>
        <v>1347</v>
      </c>
      <c r="U10" s="544">
        <f>-'Income Statement'!U94</f>
        <v>1390</v>
      </c>
      <c r="V10" s="547">
        <f>-'Income Statement'!V94</f>
        <v>2030.5035683906053</v>
      </c>
      <c r="W10" s="547">
        <f>-'Income Statement'!W94</f>
        <v>2501.0172995995308</v>
      </c>
      <c r="X10" s="547">
        <f>-'Income Statement'!X94</f>
        <v>3144.009032374759</v>
      </c>
      <c r="Y10" s="547">
        <f>-'Income Statement'!Y94</f>
        <v>3621.5771631750658</v>
      </c>
      <c r="Z10" s="547">
        <f>-'Income Statement'!Z94</f>
        <v>3936.8966996750055</v>
      </c>
      <c r="AA10" s="547">
        <f>-'Income Statement'!AA94</f>
        <v>4186.0173780785708</v>
      </c>
      <c r="AB10" s="272"/>
      <c r="AC10" s="272"/>
      <c r="AD10" s="272"/>
      <c r="AE10" s="272"/>
      <c r="AF10" s="272"/>
      <c r="AG10" s="272"/>
      <c r="AH10" s="272"/>
      <c r="AI10" s="272"/>
      <c r="AJ10" s="272"/>
      <c r="AK10" s="272"/>
      <c r="AL10" s="272"/>
      <c r="AM10" s="272"/>
      <c r="AN10" s="272"/>
      <c r="AO10" s="272"/>
      <c r="AP10" s="272"/>
      <c r="AQ10" s="272"/>
    </row>
    <row r="11" spans="1:43" s="1" customFormat="1">
      <c r="A11" s="1" t="s">
        <v>158</v>
      </c>
      <c r="B11" s="545">
        <v>-239</v>
      </c>
      <c r="C11" s="545">
        <v>36</v>
      </c>
      <c r="D11" s="545">
        <v>-252</v>
      </c>
      <c r="E11" s="545">
        <v>4</v>
      </c>
      <c r="F11" s="545">
        <v>-140</v>
      </c>
      <c r="G11" s="545">
        <v>-100</v>
      </c>
      <c r="H11" s="545">
        <v>-219</v>
      </c>
      <c r="I11" s="553">
        <f>'Income Statement'!I189</f>
        <v>0</v>
      </c>
      <c r="J11" s="555">
        <v>-115</v>
      </c>
      <c r="K11" s="555">
        <v>-595</v>
      </c>
      <c r="L11" s="556">
        <v>-559</v>
      </c>
      <c r="M11" s="555">
        <v>-152</v>
      </c>
      <c r="N11" s="555">
        <v>-897</v>
      </c>
      <c r="O11" s="546">
        <v>-1476</v>
      </c>
      <c r="P11" s="546">
        <v>79</v>
      </c>
      <c r="Q11" s="546">
        <v>-321</v>
      </c>
      <c r="R11" s="546">
        <v>-790</v>
      </c>
      <c r="S11" s="546">
        <v>-544</v>
      </c>
      <c r="T11" s="546">
        <v>-947</v>
      </c>
      <c r="U11" s="546">
        <v>-965</v>
      </c>
      <c r="V11" s="547">
        <f>'Income Statement'!V94</f>
        <v>-2030.5035683906053</v>
      </c>
      <c r="W11" s="547">
        <f>'Income Statement'!W94</f>
        <v>-2501.0172995995308</v>
      </c>
      <c r="X11" s="547">
        <f>'Income Statement'!X94</f>
        <v>-3144.009032374759</v>
      </c>
      <c r="Y11" s="547">
        <f>'Income Statement'!Y94</f>
        <v>-3621.5771631750658</v>
      </c>
      <c r="Z11" s="547">
        <f>'Income Statement'!Z94</f>
        <v>-3936.8966996750055</v>
      </c>
      <c r="AA11" s="547">
        <f>'Income Statement'!AA94</f>
        <v>-4186.0173780785708</v>
      </c>
      <c r="AB11" s="272"/>
      <c r="AC11" s="272"/>
      <c r="AD11" s="272"/>
      <c r="AE11" s="272"/>
      <c r="AF11" s="272"/>
      <c r="AG11" s="272"/>
      <c r="AH11" s="272"/>
      <c r="AI11" s="272"/>
      <c r="AJ11" s="272"/>
      <c r="AK11" s="272"/>
      <c r="AL11" s="272"/>
      <c r="AM11" s="272"/>
      <c r="AN11" s="272"/>
      <c r="AO11" s="272"/>
      <c r="AP11" s="272"/>
      <c r="AQ11" s="272"/>
    </row>
    <row r="12" spans="1:43" s="1" customFormat="1">
      <c r="A12" s="1" t="s">
        <v>11</v>
      </c>
      <c r="B12" s="271">
        <f>1691-B14</f>
        <v>1554</v>
      </c>
      <c r="C12" s="271">
        <f>1772-C14</f>
        <v>1574</v>
      </c>
      <c r="D12" s="271">
        <f>1667-D14</f>
        <v>1543</v>
      </c>
      <c r="E12" s="271">
        <f>1826-E14</f>
        <v>1483</v>
      </c>
      <c r="F12" s="271">
        <f>1582-F14</f>
        <v>1403</v>
      </c>
      <c r="G12" s="271">
        <f>1884-G14</f>
        <v>1493</v>
      </c>
      <c r="H12" s="271">
        <f>2053-H14</f>
        <v>1618</v>
      </c>
      <c r="I12" s="553">
        <f>1968-I14</f>
        <v>1484.201133144476</v>
      </c>
      <c r="J12" s="553">
        <f>2150-J14</f>
        <v>1682.3981055240793</v>
      </c>
      <c r="K12" s="553">
        <f>2466-K14</f>
        <v>1969.6163243626063</v>
      </c>
      <c r="L12" s="557">
        <f>2294-L14</f>
        <v>1781.2037004249291</v>
      </c>
      <c r="M12" s="557">
        <f>2298-M14</f>
        <v>1783.7711579320112</v>
      </c>
      <c r="N12" s="553">
        <f>2444-N14</f>
        <v>1899.4259029745042</v>
      </c>
      <c r="O12" s="544">
        <f>2927-O14</f>
        <v>2455</v>
      </c>
      <c r="P12" s="544">
        <f>2831-P14</f>
        <v>2439</v>
      </c>
      <c r="Q12" s="544">
        <f>2325-Q14</f>
        <v>2008</v>
      </c>
      <c r="R12" s="544">
        <f>2716-R14</f>
        <v>2410</v>
      </c>
      <c r="S12" s="544">
        <f>2242-S14</f>
        <v>2106</v>
      </c>
      <c r="T12" s="544">
        <f>2853-T14</f>
        <v>2001</v>
      </c>
      <c r="U12" s="544">
        <f>3133-U14</f>
        <v>2281</v>
      </c>
      <c r="V12" s="547">
        <f>V13*'Income Statement'!U$58</f>
        <v>2281</v>
      </c>
      <c r="W12" s="547">
        <f>W13*'Income Statement'!V$58</f>
        <v>2411.0040686757816</v>
      </c>
      <c r="X12" s="547">
        <f>X13*'Income Statement'!W$58</f>
        <v>2651.5095232259087</v>
      </c>
      <c r="Y12" s="547">
        <f>Y13*'Income Statement'!X$58</f>
        <v>2979.5332201313981</v>
      </c>
      <c r="Z12" s="547">
        <f>Z13*'Income Statement'!Y$58</f>
        <v>3229.9199621386115</v>
      </c>
      <c r="AA12" s="547">
        <f>AA13*'Income Statement'!Z$58</f>
        <v>3393.7724322187428</v>
      </c>
      <c r="AB12" s="272"/>
      <c r="AC12" s="272"/>
      <c r="AD12" s="272"/>
      <c r="AE12" s="272"/>
      <c r="AF12" s="272"/>
      <c r="AG12" s="272"/>
      <c r="AH12" s="272"/>
      <c r="AI12" s="272"/>
      <c r="AJ12" s="272"/>
      <c r="AK12" s="272"/>
      <c r="AL12" s="272"/>
      <c r="AM12" s="272"/>
      <c r="AN12" s="272"/>
      <c r="AO12" s="272"/>
      <c r="AP12" s="272"/>
      <c r="AQ12" s="272"/>
    </row>
    <row r="13" spans="1:43" s="1" customFormat="1">
      <c r="A13" s="678" t="s">
        <v>47</v>
      </c>
      <c r="B13" s="673">
        <f>B12/'Income Statement'!B$58</f>
        <v>3.9407617791753308E-2</v>
      </c>
      <c r="C13" s="673">
        <f>C12/'Income Statement'!C$58</f>
        <v>4.0232088541267287E-2</v>
      </c>
      <c r="D13" s="673">
        <f>D12/'Income Statement'!D$58</f>
        <v>3.566393158442159E-2</v>
      </c>
      <c r="E13" s="673">
        <f>E12/'Income Statement'!E$58</f>
        <v>3.463173135304283E-2</v>
      </c>
      <c r="F13" s="673">
        <f>F12/'Income Statement'!F$58</f>
        <v>3.0665326105962582E-2</v>
      </c>
      <c r="G13" s="673">
        <f>G12/'Income Statement'!G$58</f>
        <v>3.0390001628399284E-2</v>
      </c>
      <c r="H13" s="673">
        <f>H12/'Income Statement'!H$58</f>
        <v>2.8647308781869687E-2</v>
      </c>
      <c r="I13" s="673">
        <f>I12/'Income Statement'!I$58</f>
        <v>2.3627756194989746E-2</v>
      </c>
      <c r="J13" s="673">
        <f>J12/'Income Statement'!J$58</f>
        <v>2.7710673258183244E-2</v>
      </c>
      <c r="K13" s="673">
        <f>K12/'Income Statement'!K$58</f>
        <v>3.0560377414470229E-2</v>
      </c>
      <c r="L13" s="673">
        <f>L12/'Income Statement'!L$58</f>
        <v>2.6752432381984787E-2</v>
      </c>
      <c r="M13" s="673">
        <f>M12/'Income Statement'!M$58</f>
        <v>2.671635924831146E-2</v>
      </c>
      <c r="N13" s="673">
        <f>N12/'Income Statement'!N$58</f>
        <v>2.9815026652871807E-2</v>
      </c>
      <c r="O13" s="673">
        <f>O12/'Income Statement'!O$58</f>
        <v>3.4833565084139734E-2</v>
      </c>
      <c r="P13" s="673">
        <f>P12/'Income Statement'!P$58</f>
        <v>4.8866004167334512E-2</v>
      </c>
      <c r="Q13" s="673">
        <f>Q12/'Income Statement'!Q$58</f>
        <v>3.8505052829392698E-2</v>
      </c>
      <c r="R13" s="673">
        <f>R12/'Income Statement'!R$58</f>
        <v>4.1012201555400508E-2</v>
      </c>
      <c r="S13" s="673">
        <f>S12/'Income Statement'!S$58</f>
        <v>3.2179201173486535E-2</v>
      </c>
      <c r="T13" s="673">
        <f>T12/'Income Statement'!T$58</f>
        <v>2.8903654485049834E-2</v>
      </c>
      <c r="U13" s="673">
        <f>U12/'Income Statement'!U$58</f>
        <v>3.1027681425559409E-2</v>
      </c>
      <c r="V13" s="797">
        <f>U13</f>
        <v>3.1027681425559409E-2</v>
      </c>
      <c r="W13" s="797">
        <f>V13-0.1%</f>
        <v>3.0027681425559408E-2</v>
      </c>
      <c r="X13" s="797">
        <f>W13-0.1%</f>
        <v>2.9027681425559407E-2</v>
      </c>
      <c r="Y13" s="797">
        <f>X13</f>
        <v>2.9027681425559407E-2</v>
      </c>
      <c r="Z13" s="797">
        <f t="shared" ref="Z13:AA13" si="1">Y13</f>
        <v>2.9027681425559407E-2</v>
      </c>
      <c r="AA13" s="797">
        <f t="shared" si="1"/>
        <v>2.9027681425559407E-2</v>
      </c>
      <c r="AB13" s="272"/>
      <c r="AC13" s="272"/>
      <c r="AD13" s="272"/>
      <c r="AE13" s="272"/>
      <c r="AF13" s="272"/>
      <c r="AG13" s="272"/>
      <c r="AH13" s="272"/>
      <c r="AI13" s="272"/>
      <c r="AJ13" s="272"/>
      <c r="AK13" s="272"/>
      <c r="AL13" s="272"/>
      <c r="AM13" s="272"/>
      <c r="AN13" s="272"/>
      <c r="AO13" s="272"/>
      <c r="AP13" s="272"/>
      <c r="AQ13" s="272"/>
    </row>
    <row r="14" spans="1:43" s="1" customFormat="1">
      <c r="A14" s="69" t="s">
        <v>157</v>
      </c>
      <c r="B14" s="567">
        <v>137</v>
      </c>
      <c r="C14" s="567">
        <v>198</v>
      </c>
      <c r="D14" s="567">
        <v>124</v>
      </c>
      <c r="E14" s="567">
        <v>343</v>
      </c>
      <c r="F14" s="567">
        <v>179</v>
      </c>
      <c r="G14" s="567">
        <v>391</v>
      </c>
      <c r="H14" s="567">
        <v>435</v>
      </c>
      <c r="I14" s="557">
        <f>I15*'Income Statement'!I$58</f>
        <v>483.79886685552407</v>
      </c>
      <c r="J14" s="557">
        <f>J15*'Income Statement'!J$58</f>
        <v>467.60189447592069</v>
      </c>
      <c r="K14" s="557">
        <f>K15*'Income Statement'!K$58</f>
        <v>496.38367563739376</v>
      </c>
      <c r="L14" s="557">
        <f>L15*'Income Statement'!L$58</f>
        <v>512.79629957507086</v>
      </c>
      <c r="M14" s="557">
        <f>M15*'Income Statement'!M$58</f>
        <v>514.22884206798869</v>
      </c>
      <c r="N14" s="557">
        <f>N15*'Income Statement'!N$58</f>
        <v>544.5740970254958</v>
      </c>
      <c r="O14" s="562">
        <v>472</v>
      </c>
      <c r="P14" s="562">
        <v>392</v>
      </c>
      <c r="Q14" s="559">
        <v>317</v>
      </c>
      <c r="R14" s="559">
        <v>306</v>
      </c>
      <c r="S14" s="559">
        <v>136</v>
      </c>
      <c r="T14" s="559">
        <v>852</v>
      </c>
      <c r="U14" s="559">
        <v>852</v>
      </c>
      <c r="V14" s="547">
        <f>V15*'Income Statement'!V$58</f>
        <v>930.55013579334229</v>
      </c>
      <c r="W14" s="547">
        <f>W15*'Income Statement'!W$58</f>
        <v>1058.6306807445626</v>
      </c>
      <c r="X14" s="547">
        <f>X15*'Income Statement'!X$58</f>
        <v>410.57818934279254</v>
      </c>
      <c r="Y14" s="547">
        <f>Y15*'Income Statement'!Y$58</f>
        <v>445.08135731358931</v>
      </c>
      <c r="Z14" s="547">
        <f>Z15*'Income Statement'!Z$58</f>
        <v>467.66014584002755</v>
      </c>
      <c r="AA14" s="547">
        <f>AA15*'Income Statement'!AA$58</f>
        <v>485.87108781905164</v>
      </c>
      <c r="AB14" s="272"/>
      <c r="AC14" s="272"/>
      <c r="AD14" s="272"/>
      <c r="AE14" s="272"/>
      <c r="AF14" s="272"/>
      <c r="AG14" s="272"/>
      <c r="AH14" s="272"/>
      <c r="AI14" s="272"/>
      <c r="AJ14" s="272"/>
      <c r="AK14" s="272"/>
      <c r="AL14" s="272"/>
      <c r="AM14" s="272"/>
      <c r="AN14" s="272"/>
      <c r="AO14" s="272"/>
      <c r="AP14" s="272"/>
      <c r="AQ14" s="272"/>
    </row>
    <row r="15" spans="1:43" s="1" customFormat="1">
      <c r="A15" s="679" t="s">
        <v>47</v>
      </c>
      <c r="B15" s="558">
        <f>B14/'Income Statement'!B$58</f>
        <v>3.474159354871431E-3</v>
      </c>
      <c r="C15" s="558">
        <f>C14/'Income Statement'!C$58</f>
        <v>5.0609615827007133E-3</v>
      </c>
      <c r="D15" s="558">
        <f>D14/'Income Statement'!D$58</f>
        <v>2.8660580145614236E-3</v>
      </c>
      <c r="E15" s="558">
        <f>E14/'Income Statement'!E$58</f>
        <v>8.0099014525244032E-3</v>
      </c>
      <c r="F15" s="558">
        <f>F14/'Income Statement'!F$58</f>
        <v>3.9123972722503939E-3</v>
      </c>
      <c r="G15" s="558">
        <f>G14/'Income Statement'!G$58</f>
        <v>7.9588014981273412E-3</v>
      </c>
      <c r="H15" s="558">
        <f>H14/'Income Statement'!H$58</f>
        <v>7.7018413597733709E-3</v>
      </c>
      <c r="I15" s="558">
        <f>$H15</f>
        <v>7.7018413597733709E-3</v>
      </c>
      <c r="J15" s="558">
        <f>$H15</f>
        <v>7.7018413597733709E-3</v>
      </c>
      <c r="K15" s="558">
        <f>$H15</f>
        <v>7.7018413597733709E-3</v>
      </c>
      <c r="L15" s="558">
        <f>$H15</f>
        <v>7.7018413597733709E-3</v>
      </c>
      <c r="M15" s="558">
        <f>$H15</f>
        <v>7.7018413597733709E-3</v>
      </c>
      <c r="N15" s="558">
        <f>M15*(('Income Statement'!N14+7000)/'Income Statement'!N14)</f>
        <v>8.5481045571992997E-3</v>
      </c>
      <c r="O15" s="558">
        <f t="shared" ref="O15:P15" si="2">N15</f>
        <v>8.5481045571992997E-3</v>
      </c>
      <c r="P15" s="558">
        <f t="shared" si="2"/>
        <v>8.5481045571992997E-3</v>
      </c>
      <c r="Q15" s="558">
        <f>Q14/'Income Statement'!Q58</f>
        <v>6.0787359297397843E-3</v>
      </c>
      <c r="R15" s="558">
        <f>R14/'Income Statement'!R58</f>
        <v>5.2073583717645458E-3</v>
      </c>
      <c r="S15" s="558">
        <f>S14/'Income Statement'!S58</f>
        <v>2.0780490786297102E-3</v>
      </c>
      <c r="T15" s="558">
        <f>T14/'Income Statement'!T58</f>
        <v>1.2306803408926766E-2</v>
      </c>
      <c r="U15" s="558">
        <f>U14/'Income Statement'!U58</f>
        <v>1.1589471536421139E-2</v>
      </c>
      <c r="V15" s="796">
        <f>U15</f>
        <v>1.1589471536421139E-2</v>
      </c>
      <c r="W15" s="796">
        <f>V15</f>
        <v>1.1589471536421139E-2</v>
      </c>
      <c r="X15" s="796">
        <v>4.0000000000000001E-3</v>
      </c>
      <c r="Y15" s="796">
        <f>X15</f>
        <v>4.0000000000000001E-3</v>
      </c>
      <c r="Z15" s="796">
        <f>Y15</f>
        <v>4.0000000000000001E-3</v>
      </c>
      <c r="AA15" s="796">
        <f>Z15</f>
        <v>4.0000000000000001E-3</v>
      </c>
      <c r="AB15" s="272"/>
      <c r="AC15" s="272"/>
      <c r="AD15" s="272"/>
      <c r="AE15" s="272"/>
      <c r="AF15" s="272"/>
      <c r="AG15" s="272"/>
      <c r="AH15" s="272"/>
      <c r="AI15" s="272"/>
      <c r="AJ15" s="272"/>
      <c r="AK15" s="272"/>
      <c r="AL15" s="272"/>
      <c r="AM15" s="272"/>
      <c r="AN15" s="272"/>
      <c r="AO15" s="272"/>
      <c r="AP15" s="272"/>
      <c r="AQ15" s="272"/>
    </row>
    <row r="16" spans="1:43" s="1" customFormat="1">
      <c r="A16" s="1" t="s">
        <v>156</v>
      </c>
      <c r="B16" s="545">
        <v>163</v>
      </c>
      <c r="C16" s="545">
        <v>582</v>
      </c>
      <c r="D16" s="545">
        <v>924</v>
      </c>
      <c r="E16" s="545">
        <v>-254</v>
      </c>
      <c r="F16" s="545">
        <v>-366</v>
      </c>
      <c r="G16" s="545">
        <v>-408</v>
      </c>
      <c r="H16" s="545">
        <v>318</v>
      </c>
      <c r="I16" s="545">
        <v>16</v>
      </c>
      <c r="J16" s="545">
        <v>562</v>
      </c>
      <c r="K16" s="545">
        <v>487</v>
      </c>
      <c r="L16" s="567">
        <v>1132</v>
      </c>
      <c r="M16" s="545">
        <v>-1755</v>
      </c>
      <c r="N16" s="545">
        <v>-1849</v>
      </c>
      <c r="O16" s="546">
        <v>600</v>
      </c>
      <c r="P16" s="546">
        <v>95</v>
      </c>
      <c r="Q16" s="546">
        <v>-863</v>
      </c>
      <c r="R16" s="546">
        <v>-569</v>
      </c>
      <c r="S16" s="546">
        <v>-541</v>
      </c>
      <c r="T16" s="546">
        <v>-640</v>
      </c>
      <c r="U16" s="546">
        <v>-393</v>
      </c>
      <c r="V16" s="544"/>
      <c r="W16" s="544"/>
      <c r="X16" s="544"/>
      <c r="Y16" s="544"/>
      <c r="Z16" s="544"/>
      <c r="AA16" s="544"/>
      <c r="AB16" s="272"/>
      <c r="AC16" s="272"/>
      <c r="AD16" s="272"/>
      <c r="AE16" s="272"/>
      <c r="AF16" s="272"/>
      <c r="AG16" s="272"/>
      <c r="AH16" s="272"/>
      <c r="AI16" s="272"/>
      <c r="AJ16" s="272"/>
      <c r="AK16" s="272"/>
      <c r="AL16" s="272"/>
      <c r="AM16" s="272"/>
      <c r="AN16" s="272"/>
      <c r="AO16" s="272"/>
      <c r="AP16" s="272"/>
      <c r="AQ16" s="272"/>
    </row>
    <row r="17" spans="1:43" s="1" customFormat="1">
      <c r="A17" s="1" t="s">
        <v>155</v>
      </c>
      <c r="B17" s="545">
        <v>-336</v>
      </c>
      <c r="C17" s="545">
        <v>-125</v>
      </c>
      <c r="D17" s="545">
        <v>-31</v>
      </c>
      <c r="E17" s="545">
        <v>-31</v>
      </c>
      <c r="F17" s="545">
        <v>-75</v>
      </c>
      <c r="G17" s="545">
        <v>-29</v>
      </c>
      <c r="H17" s="545">
        <v>-21</v>
      </c>
      <c r="I17" s="545">
        <v>-58</v>
      </c>
      <c r="J17" s="545">
        <v>-93</v>
      </c>
      <c r="K17" s="545">
        <v>-234</v>
      </c>
      <c r="L17" s="567">
        <v>-1870</v>
      </c>
      <c r="M17" s="545">
        <v>-773</v>
      </c>
      <c r="N17" s="545">
        <v>-261</v>
      </c>
      <c r="O17" s="546">
        <v>-77</v>
      </c>
      <c r="P17" s="546">
        <v>9</v>
      </c>
      <c r="Q17" s="546">
        <v>-116</v>
      </c>
      <c r="R17" s="546">
        <v>25</v>
      </c>
      <c r="S17" s="546">
        <v>64</v>
      </c>
      <c r="T17" s="546">
        <v>70</v>
      </c>
      <c r="U17" s="546">
        <v>17</v>
      </c>
      <c r="V17" s="544"/>
      <c r="W17" s="544"/>
      <c r="X17" s="544"/>
      <c r="Y17" s="544"/>
      <c r="Z17" s="544"/>
      <c r="AA17" s="544"/>
      <c r="AB17" s="272"/>
      <c r="AC17" s="272"/>
      <c r="AD17" s="272"/>
      <c r="AE17" s="272"/>
      <c r="AF17" s="272"/>
      <c r="AG17" s="272"/>
      <c r="AH17" s="272"/>
      <c r="AI17" s="272"/>
      <c r="AJ17" s="272"/>
      <c r="AK17" s="272"/>
      <c r="AL17" s="272"/>
      <c r="AM17" s="272"/>
      <c r="AN17" s="272"/>
      <c r="AO17" s="272"/>
      <c r="AP17" s="272"/>
      <c r="AQ17" s="272"/>
    </row>
    <row r="18" spans="1:43" s="1" customFormat="1">
      <c r="A18" s="1" t="s">
        <v>551</v>
      </c>
      <c r="B18" s="545">
        <v>-152</v>
      </c>
      <c r="C18" s="545">
        <v>-210</v>
      </c>
      <c r="D18" s="545">
        <v>-188</v>
      </c>
      <c r="E18" s="545">
        <v>-115</v>
      </c>
      <c r="F18" s="545">
        <v>-127</v>
      </c>
      <c r="G18" s="545">
        <v>-164</v>
      </c>
      <c r="H18" s="545">
        <v>-241</v>
      </c>
      <c r="I18" s="555">
        <v>-295</v>
      </c>
      <c r="J18" s="555">
        <v>-840</v>
      </c>
      <c r="K18" s="555">
        <v>-1016</v>
      </c>
      <c r="L18" s="557">
        <f>-'Income Statement'!L74</f>
        <v>-231</v>
      </c>
      <c r="M18" s="553">
        <f>-'Income Statement'!M74</f>
        <v>-333</v>
      </c>
      <c r="N18" s="553">
        <f>-'Income Statement'!N74</f>
        <v>-330</v>
      </c>
      <c r="O18" s="544">
        <f>-'Income Statement'!O74</f>
        <v>-299</v>
      </c>
      <c r="P18" s="544">
        <f>-'Income Statement'!P74</f>
        <v>-39</v>
      </c>
      <c r="Q18" s="544">
        <f>-'Income Statement'!Q74</f>
        <v>-40</v>
      </c>
      <c r="R18" s="544">
        <f>-'Income Statement'!R74</f>
        <v>-134</v>
      </c>
      <c r="S18" s="544">
        <f>-'Income Statement'!S74</f>
        <v>-267</v>
      </c>
      <c r="T18" s="544">
        <f>-'Income Statement'!T74</f>
        <v>-350</v>
      </c>
      <c r="U18" s="544">
        <f>-'Income Statement'!U74</f>
        <v>-305</v>
      </c>
      <c r="V18" s="544">
        <f>-'Income Statement'!V74</f>
        <v>-320.25</v>
      </c>
      <c r="W18" s="544">
        <f>-'Income Statement'!W74</f>
        <v>-336.26249999999999</v>
      </c>
      <c r="X18" s="544">
        <f>-'Income Statement'!X74</f>
        <v>-353.075625</v>
      </c>
      <c r="Y18" s="544">
        <f>-'Income Statement'!Y74</f>
        <v>-370.72940625000001</v>
      </c>
      <c r="Z18" s="544">
        <f>-'Income Statement'!Z74</f>
        <v>-389.26587656250001</v>
      </c>
      <c r="AA18" s="544">
        <f>-'Income Statement'!AA74</f>
        <v>-408.72917039062503</v>
      </c>
      <c r="AB18" s="272"/>
      <c r="AC18" s="272"/>
      <c r="AD18" s="272"/>
      <c r="AE18" s="272"/>
      <c r="AF18" s="272"/>
      <c r="AG18" s="272"/>
      <c r="AH18" s="272"/>
      <c r="AI18" s="272"/>
      <c r="AJ18" s="272"/>
      <c r="AK18" s="272"/>
      <c r="AL18" s="272"/>
      <c r="AM18" s="272"/>
      <c r="AN18" s="272"/>
      <c r="AO18" s="272"/>
      <c r="AP18" s="272"/>
      <c r="AQ18" s="272"/>
    </row>
    <row r="19" spans="1:43" s="1" customFormat="1">
      <c r="A19" s="1" t="s">
        <v>552</v>
      </c>
      <c r="B19" s="545">
        <v>2150</v>
      </c>
      <c r="C19" s="545">
        <v>2268</v>
      </c>
      <c r="D19" s="545">
        <v>1</v>
      </c>
      <c r="E19" s="545">
        <v>1767</v>
      </c>
      <c r="F19" s="545">
        <v>-219</v>
      </c>
      <c r="G19" s="545">
        <v>230</v>
      </c>
      <c r="H19" s="545">
        <v>1114</v>
      </c>
      <c r="I19" s="545">
        <v>605</v>
      </c>
      <c r="J19" s="546">
        <v>415</v>
      </c>
      <c r="K19" s="546">
        <v>-54</v>
      </c>
      <c r="L19" s="559">
        <v>1321</v>
      </c>
      <c r="M19" s="546">
        <v>805</v>
      </c>
      <c r="N19" s="546">
        <v>1952</v>
      </c>
      <c r="O19" s="546">
        <v>475</v>
      </c>
      <c r="P19" s="546">
        <v>1138</v>
      </c>
      <c r="Q19" s="546">
        <v>-1934</v>
      </c>
      <c r="R19" s="546">
        <v>-1016</v>
      </c>
      <c r="S19" s="546">
        <v>-114</v>
      </c>
      <c r="T19" s="546">
        <v>166</v>
      </c>
      <c r="U19" s="546">
        <v>314</v>
      </c>
      <c r="V19" s="544"/>
      <c r="W19" s="544"/>
      <c r="X19" s="544"/>
      <c r="Y19" s="544"/>
      <c r="Z19" s="544"/>
      <c r="AA19" s="544"/>
      <c r="AB19" s="272"/>
      <c r="AC19" s="272"/>
      <c r="AD19" s="272"/>
      <c r="AE19" s="272"/>
      <c r="AF19" s="272"/>
      <c r="AG19" s="272"/>
      <c r="AH19" s="272"/>
      <c r="AI19" s="272"/>
      <c r="AJ19" s="272"/>
      <c r="AK19" s="272"/>
      <c r="AL19" s="272"/>
      <c r="AM19" s="272"/>
      <c r="AN19" s="272"/>
      <c r="AO19" s="272"/>
      <c r="AP19" s="272"/>
      <c r="AQ19" s="272"/>
    </row>
    <row r="20" spans="1:43" s="1" customFormat="1">
      <c r="A20" s="69" t="s">
        <v>152</v>
      </c>
      <c r="B20" s="567">
        <v>-1942</v>
      </c>
      <c r="C20" s="567">
        <v>-2998</v>
      </c>
      <c r="D20" s="567">
        <v>-1210</v>
      </c>
      <c r="E20" s="567">
        <v>-1961</v>
      </c>
      <c r="F20" s="567">
        <v>705</v>
      </c>
      <c r="G20" s="567">
        <v>-1640</v>
      </c>
      <c r="H20" s="567">
        <v>-1526</v>
      </c>
      <c r="I20" s="562">
        <f>'Balance Sheet'!H16-'Balance Sheet'!I16</f>
        <v>-1844</v>
      </c>
      <c r="J20" s="559">
        <v>-3252</v>
      </c>
      <c r="K20" s="559">
        <v>-4133</v>
      </c>
      <c r="L20" s="559">
        <v>-3477</v>
      </c>
      <c r="M20" s="559">
        <v>-2572</v>
      </c>
      <c r="N20" s="559">
        <v>-671</v>
      </c>
      <c r="O20" s="559">
        <v>117</v>
      </c>
      <c r="P20" s="559">
        <v>152</v>
      </c>
      <c r="Q20" s="559">
        <v>2405</v>
      </c>
      <c r="R20" s="559">
        <v>-3218</v>
      </c>
      <c r="S20" s="559">
        <v>-1854</v>
      </c>
      <c r="T20" s="559">
        <v>-3522</v>
      </c>
      <c r="U20" s="559">
        <v>-3989</v>
      </c>
      <c r="V20" s="547">
        <f>-('Balance Sheet'!V16-'Balance Sheet'!U16)</f>
        <v>-2038.4575703359151</v>
      </c>
      <c r="W20" s="547">
        <f>-('Balance Sheet'!W16-'Balance Sheet'!V16)</f>
        <v>-5808.1229019267994</v>
      </c>
      <c r="X20" s="547">
        <f>-('Balance Sheet'!X16-'Balance Sheet'!W16)</f>
        <v>-5121.2667450526787</v>
      </c>
      <c r="Y20" s="547">
        <f>-('Balance Sheet'!Y16-'Balance Sheet'!X16)</f>
        <v>-2928.3195940152</v>
      </c>
      <c r="Z20" s="547">
        <f>-('Balance Sheet'!Z16-'Balance Sheet'!Y16)</f>
        <v>-950.68753147266398</v>
      </c>
      <c r="AA20" s="547">
        <f>-('Balance Sheet'!AA16-'Balance Sheet'!Z16)</f>
        <v>-2098.0301413547422</v>
      </c>
      <c r="AB20" s="272"/>
      <c r="AC20" s="272"/>
      <c r="AD20" s="272"/>
      <c r="AE20" s="272"/>
      <c r="AF20" s="272"/>
      <c r="AG20" s="272"/>
      <c r="AH20" s="272"/>
      <c r="AI20" s="272"/>
      <c r="AJ20" s="272"/>
      <c r="AK20" s="272"/>
      <c r="AL20" s="272"/>
      <c r="AM20" s="272"/>
      <c r="AN20" s="272"/>
      <c r="AO20" s="272"/>
      <c r="AP20" s="272"/>
      <c r="AQ20" s="272"/>
    </row>
    <row r="21" spans="1:43" s="1" customFormat="1">
      <c r="A21" s="69" t="s">
        <v>151</v>
      </c>
      <c r="B21" s="567">
        <v>-7</v>
      </c>
      <c r="C21" s="567">
        <v>-148</v>
      </c>
      <c r="D21" s="567">
        <v>-845</v>
      </c>
      <c r="E21" s="567">
        <v>-478</v>
      </c>
      <c r="F21" s="567">
        <v>-345</v>
      </c>
      <c r="G21" s="567">
        <v>447</v>
      </c>
      <c r="H21" s="567">
        <v>-260</v>
      </c>
      <c r="I21" s="562">
        <f>'Balance Sheet'!H18-'Balance Sheet'!I18</f>
        <v>-451</v>
      </c>
      <c r="J21" s="559">
        <v>-700</v>
      </c>
      <c r="K21" s="559">
        <v>-1378</v>
      </c>
      <c r="L21" s="559">
        <v>-1215</v>
      </c>
      <c r="M21" s="559">
        <v>621</v>
      </c>
      <c r="N21" s="559">
        <v>-881</v>
      </c>
      <c r="O21" s="559">
        <v>29</v>
      </c>
      <c r="P21" s="559">
        <v>351</v>
      </c>
      <c r="Q21" s="559">
        <v>379</v>
      </c>
      <c r="R21" s="559">
        <v>-115</v>
      </c>
      <c r="S21" s="559">
        <v>258</v>
      </c>
      <c r="T21" s="559">
        <v>-105</v>
      </c>
      <c r="U21" s="559">
        <v>-707</v>
      </c>
      <c r="V21" s="547">
        <f>-('Balance Sheet'!V18-'Balance Sheet'!U18)</f>
        <v>-1145.4012379748747</v>
      </c>
      <c r="W21" s="547">
        <f>-('Balance Sheet'!W18-'Balance Sheet'!V18)</f>
        <v>-908.33892167557042</v>
      </c>
      <c r="X21" s="547">
        <f>-('Balance Sheet'!X18-'Balance Sheet'!W18)</f>
        <v>-647.58003962420207</v>
      </c>
      <c r="Y21" s="547">
        <f>-('Balance Sheet'!Y18-'Balance Sheet'!X18)</f>
        <v>-380.48665331473785</v>
      </c>
      <c r="Z21" s="547">
        <f>-('Balance Sheet'!Z18-'Balance Sheet'!Y18)</f>
        <v>-433.01786215086941</v>
      </c>
      <c r="AA21" s="547">
        <f>-('Balance Sheet'!AA18-'Balance Sheet'!Z18)</f>
        <v>-349.25094206347603</v>
      </c>
      <c r="AB21" s="272"/>
      <c r="AC21" s="272"/>
      <c r="AD21" s="272"/>
      <c r="AE21" s="272"/>
      <c r="AF21" s="272"/>
      <c r="AG21" s="272"/>
      <c r="AH21" s="272"/>
      <c r="AI21" s="272"/>
      <c r="AJ21" s="272"/>
      <c r="AK21" s="272"/>
      <c r="AL21" s="272"/>
      <c r="AM21" s="272"/>
      <c r="AN21" s="272"/>
      <c r="AO21" s="272"/>
      <c r="AP21" s="272"/>
      <c r="AQ21" s="272"/>
    </row>
    <row r="22" spans="1:43" s="1" customFormat="1">
      <c r="A22" s="69" t="s">
        <v>150</v>
      </c>
      <c r="B22" s="567">
        <v>686</v>
      </c>
      <c r="C22" s="567">
        <v>44</v>
      </c>
      <c r="D22" s="567">
        <v>757</v>
      </c>
      <c r="E22" s="567">
        <v>192</v>
      </c>
      <c r="F22" s="567">
        <v>-40</v>
      </c>
      <c r="G22" s="567">
        <v>806</v>
      </c>
      <c r="H22" s="567">
        <v>754</v>
      </c>
      <c r="I22" s="562">
        <f>-('Balance Sheet'!I40-'Balance Sheet'!H40)</f>
        <v>451</v>
      </c>
      <c r="J22" s="559">
        <v>130</v>
      </c>
      <c r="K22" s="559">
        <v>1603</v>
      </c>
      <c r="L22" s="559">
        <v>2398</v>
      </c>
      <c r="M22" s="559">
        <v>1419</v>
      </c>
      <c r="N22" s="559">
        <v>2294</v>
      </c>
      <c r="O22" s="559">
        <v>-1625</v>
      </c>
      <c r="P22" s="559">
        <v>-5523</v>
      </c>
      <c r="Q22" s="559">
        <v>194</v>
      </c>
      <c r="R22" s="559">
        <v>3309</v>
      </c>
      <c r="S22" s="559">
        <v>1421</v>
      </c>
      <c r="T22" s="559">
        <v>-1182</v>
      </c>
      <c r="U22" s="559">
        <v>2791</v>
      </c>
      <c r="V22" s="547">
        <f>-('Balance Sheet'!V40-'Balance Sheet'!U40)</f>
        <v>120.25097021100555</v>
      </c>
      <c r="W22" s="547">
        <f>-('Balance Sheet'!W40-'Balance Sheet'!V40)</f>
        <v>2330.7838857517254</v>
      </c>
      <c r="X22" s="547">
        <f>-('Balance Sheet'!X40-'Balance Sheet'!W40)</f>
        <v>2278.2652142715706</v>
      </c>
      <c r="Y22" s="547">
        <f>-('Balance Sheet'!Y40-'Balance Sheet'!X40)</f>
        <v>1816.2657931609647</v>
      </c>
      <c r="Z22" s="547">
        <f>-('Balance Sheet'!Z40-'Balance Sheet'!Y40)</f>
        <v>1427.0092293103917</v>
      </c>
      <c r="AA22" s="547">
        <f>-('Balance Sheet'!AA40-'Balance Sheet'!Z40)</f>
        <v>1183.6736366046789</v>
      </c>
      <c r="AB22" s="272"/>
      <c r="AC22" s="272"/>
      <c r="AD22" s="272"/>
      <c r="AE22" s="272"/>
      <c r="AF22" s="272"/>
      <c r="AG22" s="272"/>
      <c r="AH22" s="272"/>
      <c r="AI22" s="272"/>
      <c r="AJ22" s="272"/>
      <c r="AK22" s="272"/>
      <c r="AL22" s="272"/>
      <c r="AM22" s="272"/>
      <c r="AN22" s="272"/>
      <c r="AO22" s="272"/>
      <c r="AP22" s="272"/>
      <c r="AQ22" s="272"/>
    </row>
    <row r="23" spans="1:43" s="12" customFormat="1">
      <c r="A23" s="665" t="s">
        <v>624</v>
      </c>
      <c r="B23" s="844"/>
      <c r="C23" s="844"/>
      <c r="D23" s="844"/>
      <c r="E23" s="844"/>
      <c r="F23" s="844"/>
      <c r="G23" s="844"/>
      <c r="H23" s="844"/>
      <c r="I23" s="653"/>
      <c r="J23" s="845"/>
      <c r="K23" s="845"/>
      <c r="L23" s="845"/>
      <c r="M23" s="845"/>
      <c r="N23" s="845"/>
      <c r="O23" s="845"/>
      <c r="P23" s="845"/>
      <c r="Q23" s="653">
        <f t="shared" ref="Q23:S23" si="3">Q20+Q21+Q22+Q24+Q25</f>
        <v>1067</v>
      </c>
      <c r="R23" s="653">
        <f t="shared" si="3"/>
        <v>1421</v>
      </c>
      <c r="S23" s="653">
        <f t="shared" si="3"/>
        <v>1205</v>
      </c>
      <c r="T23" s="653">
        <f>T20+T21+T22+T24+T25</f>
        <v>1337</v>
      </c>
      <c r="U23" s="653">
        <f>U20+U21+U22+U24+U25</f>
        <v>100</v>
      </c>
      <c r="V23" s="846">
        <f t="shared" ref="V23:Z23" si="4">V20+V21+V22+V24+V25</f>
        <v>286.29730750009367</v>
      </c>
      <c r="W23" s="846">
        <f t="shared" si="4"/>
        <v>1076.5363823401885</v>
      </c>
      <c r="X23" s="846">
        <f t="shared" si="4"/>
        <v>2094.6614400685785</v>
      </c>
      <c r="Y23" s="846">
        <f t="shared" si="4"/>
        <v>2770.7820249812048</v>
      </c>
      <c r="Z23" s="846">
        <f t="shared" si="4"/>
        <v>2833.2116133789332</v>
      </c>
      <c r="AA23" s="846">
        <f t="shared" ref="AA23" si="5">AA20+AA21+AA22+AA24+AA25</f>
        <v>986.59515404288868</v>
      </c>
      <c r="AB23" s="847"/>
      <c r="AC23" s="847"/>
      <c r="AD23" s="847"/>
      <c r="AE23" s="847"/>
      <c r="AF23" s="847"/>
      <c r="AG23" s="847"/>
      <c r="AH23" s="847"/>
      <c r="AI23" s="847"/>
      <c r="AJ23" s="847"/>
      <c r="AK23" s="847"/>
      <c r="AL23" s="847"/>
      <c r="AM23" s="847"/>
      <c r="AN23" s="847"/>
      <c r="AO23" s="847"/>
      <c r="AP23" s="847"/>
      <c r="AQ23" s="847"/>
    </row>
    <row r="24" spans="1:43" s="1" customFormat="1">
      <c r="A24" s="1" t="s">
        <v>447</v>
      </c>
      <c r="B24" s="545">
        <v>1564</v>
      </c>
      <c r="C24" s="545">
        <v>4817</v>
      </c>
      <c r="D24" s="545">
        <v>2435</v>
      </c>
      <c r="E24" s="545">
        <v>2925</v>
      </c>
      <c r="F24" s="545">
        <v>1698</v>
      </c>
      <c r="G24" s="545">
        <v>1965</v>
      </c>
      <c r="H24" s="571">
        <v>1243</v>
      </c>
      <c r="I24" s="544" t="e">
        <f>'Balance Sheet'!#REF!-'Balance Sheet'!#REF!</f>
        <v>#REF!</v>
      </c>
      <c r="J24" s="546">
        <v>1715</v>
      </c>
      <c r="K24" s="546">
        <v>3752</v>
      </c>
      <c r="L24" s="559">
        <v>4628</v>
      </c>
      <c r="M24" s="559">
        <v>1268</v>
      </c>
      <c r="N24" s="559">
        <v>-684</v>
      </c>
      <c r="O24" s="546">
        <v>1297</v>
      </c>
      <c r="P24" s="546">
        <v>848</v>
      </c>
      <c r="Q24" s="546">
        <v>-2326</v>
      </c>
      <c r="R24" s="546">
        <v>3300</v>
      </c>
      <c r="S24" s="546">
        <v>2277</v>
      </c>
      <c r="T24" s="546">
        <v>7135</v>
      </c>
      <c r="U24" s="546">
        <v>3250</v>
      </c>
      <c r="V24" s="547">
        <f>'Balance Sheet'!U43-'Balance Sheet'!V43</f>
        <v>3349.9051455998779</v>
      </c>
      <c r="W24" s="547">
        <f>'Balance Sheet'!V43-'Balance Sheet'!W43</f>
        <v>5462.214320190833</v>
      </c>
      <c r="X24" s="547">
        <f>'Balance Sheet'!W43-'Balance Sheet'!X43</f>
        <v>5585.2430104738887</v>
      </c>
      <c r="Y24" s="547">
        <f>'Balance Sheet'!X43-'Balance Sheet'!Y43</f>
        <v>4263.322479150178</v>
      </c>
      <c r="Z24" s="547">
        <f>'Balance Sheet'!Y43-'Balance Sheet'!Z43</f>
        <v>2789.9077776920749</v>
      </c>
      <c r="AA24" s="547">
        <f>'Balance Sheet'!Z43-'Balance Sheet'!AA43</f>
        <v>2250.202600856428</v>
      </c>
      <c r="AB24" s="272"/>
      <c r="AC24" s="272"/>
      <c r="AD24" s="272"/>
      <c r="AE24" s="272"/>
      <c r="AF24" s="272"/>
      <c r="AG24" s="272"/>
      <c r="AH24" s="272"/>
      <c r="AI24" s="272"/>
      <c r="AJ24" s="272"/>
      <c r="AK24" s="272"/>
      <c r="AL24" s="272"/>
      <c r="AM24" s="272"/>
      <c r="AN24" s="272"/>
      <c r="AO24" s="272"/>
      <c r="AP24" s="272"/>
      <c r="AQ24" s="272"/>
    </row>
    <row r="25" spans="1:43" s="1" customFormat="1">
      <c r="A25" s="1" t="s">
        <v>149</v>
      </c>
      <c r="B25" s="545">
        <v>-444</v>
      </c>
      <c r="C25" s="545">
        <v>-540</v>
      </c>
      <c r="D25" s="545">
        <v>-982</v>
      </c>
      <c r="E25" s="545">
        <v>-257</v>
      </c>
      <c r="F25" s="545">
        <v>738</v>
      </c>
      <c r="G25" s="545">
        <v>-327</v>
      </c>
      <c r="H25" s="571">
        <v>-141</v>
      </c>
      <c r="I25" s="271"/>
      <c r="J25" s="545">
        <v>-387</v>
      </c>
      <c r="K25" s="545">
        <v>-417</v>
      </c>
      <c r="L25" s="567">
        <v>-837</v>
      </c>
      <c r="M25" s="545">
        <v>-470</v>
      </c>
      <c r="N25" s="545">
        <v>-691</v>
      </c>
      <c r="O25" s="546">
        <v>2398</v>
      </c>
      <c r="P25" s="546">
        <v>-4065</v>
      </c>
      <c r="Q25" s="546">
        <v>415</v>
      </c>
      <c r="R25" s="546">
        <v>-1855</v>
      </c>
      <c r="S25" s="546">
        <v>-897</v>
      </c>
      <c r="T25" s="546">
        <v>-989</v>
      </c>
      <c r="U25" s="546">
        <v>-1245</v>
      </c>
      <c r="V25" s="544"/>
      <c r="W25" s="544"/>
      <c r="X25" s="544"/>
      <c r="Y25" s="544"/>
      <c r="Z25" s="544"/>
      <c r="AA25" s="544"/>
      <c r="AB25" s="272"/>
      <c r="AC25" s="272"/>
      <c r="AD25" s="272"/>
      <c r="AE25" s="272"/>
      <c r="AF25" s="272"/>
      <c r="AG25" s="272"/>
      <c r="AH25" s="272"/>
      <c r="AI25" s="272"/>
      <c r="AJ25" s="272"/>
      <c r="AK25" s="272"/>
      <c r="AL25" s="272"/>
      <c r="AM25" s="272"/>
      <c r="AN25" s="272"/>
      <c r="AO25" s="272"/>
      <c r="AP25" s="272"/>
      <c r="AQ25" s="272"/>
    </row>
    <row r="26" spans="1:43" s="1" customFormat="1">
      <c r="A26" s="1" t="s">
        <v>148</v>
      </c>
      <c r="B26" s="553">
        <f t="shared" ref="B26:J26" si="6">B27-SUM(B4:B12,B14,B16:B25)</f>
        <v>1160</v>
      </c>
      <c r="C26" s="553">
        <f t="shared" si="6"/>
        <v>61</v>
      </c>
      <c r="D26" s="553">
        <f t="shared" si="6"/>
        <v>-327</v>
      </c>
      <c r="E26" s="553">
        <f t="shared" si="6"/>
        <v>-406</v>
      </c>
      <c r="F26" s="553">
        <f t="shared" si="6"/>
        <v>63</v>
      </c>
      <c r="G26" s="553">
        <f t="shared" si="6"/>
        <v>135</v>
      </c>
      <c r="H26" s="553">
        <f t="shared" si="6"/>
        <v>-1013</v>
      </c>
      <c r="I26" s="553" t="e">
        <f t="shared" si="6"/>
        <v>#REF!</v>
      </c>
      <c r="J26" s="553">
        <f t="shared" si="6"/>
        <v>-354</v>
      </c>
      <c r="K26" s="555">
        <v>-217</v>
      </c>
      <c r="L26" s="555">
        <v>-290</v>
      </c>
      <c r="M26" s="553">
        <f>-'Cash Flow Statement'!M83</f>
        <v>-458</v>
      </c>
      <c r="N26" s="553">
        <f>-2519</f>
        <v>-2519</v>
      </c>
      <c r="O26" s="546">
        <v>-1752</v>
      </c>
      <c r="P26" s="546">
        <v>-314</v>
      </c>
      <c r="Q26" s="546">
        <v>-533</v>
      </c>
      <c r="R26" s="546">
        <v>-600</v>
      </c>
      <c r="S26" s="546">
        <v>-668</v>
      </c>
      <c r="T26" s="546">
        <v>-505</v>
      </c>
      <c r="U26" s="546">
        <v>-272</v>
      </c>
      <c r="V26" s="544">
        <v>-450</v>
      </c>
      <c r="W26" s="544">
        <f>U26</f>
        <v>-272</v>
      </c>
      <c r="X26" s="544">
        <f t="shared" ref="X26:AA26" si="7">W26</f>
        <v>-272</v>
      </c>
      <c r="Y26" s="544">
        <f t="shared" si="7"/>
        <v>-272</v>
      </c>
      <c r="Z26" s="544">
        <f t="shared" si="7"/>
        <v>-272</v>
      </c>
      <c r="AA26" s="544">
        <f t="shared" si="7"/>
        <v>-272</v>
      </c>
      <c r="AB26" s="272"/>
      <c r="AC26" s="272"/>
      <c r="AD26" s="272"/>
      <c r="AE26" s="272"/>
      <c r="AF26" s="272"/>
      <c r="AG26" s="272"/>
      <c r="AH26" s="272"/>
      <c r="AI26" s="272"/>
      <c r="AJ26" s="272"/>
      <c r="AK26" s="272"/>
      <c r="AL26" s="272"/>
      <c r="AM26" s="272"/>
      <c r="AN26" s="272"/>
      <c r="AO26" s="272"/>
      <c r="AP26" s="272"/>
      <c r="AQ26" s="272"/>
    </row>
    <row r="27" spans="1:43" s="12" customFormat="1">
      <c r="A27" s="647" t="s">
        <v>147</v>
      </c>
      <c r="B27" s="648">
        <v>4558</v>
      </c>
      <c r="C27" s="648">
        <v>5098</v>
      </c>
      <c r="D27" s="648">
        <v>4399</v>
      </c>
      <c r="E27" s="648">
        <v>2438</v>
      </c>
      <c r="F27" s="648">
        <v>4443</v>
      </c>
      <c r="G27" s="648">
        <v>4289</v>
      </c>
      <c r="H27" s="648">
        <v>3840</v>
      </c>
      <c r="I27" s="648">
        <v>1931</v>
      </c>
      <c r="J27" s="648">
        <v>2560</v>
      </c>
      <c r="K27" s="649">
        <f t="shared" ref="K27:P27" si="8">SUM(K4:K12,K14,K16:K26)</f>
        <v>3750</v>
      </c>
      <c r="L27" s="649">
        <f t="shared" si="8"/>
        <v>4621</v>
      </c>
      <c r="M27" s="649">
        <f t="shared" si="8"/>
        <v>4444</v>
      </c>
      <c r="N27" s="649">
        <f t="shared" si="8"/>
        <v>2318</v>
      </c>
      <c r="O27" s="650">
        <f t="shared" si="8"/>
        <v>3753</v>
      </c>
      <c r="P27" s="650">
        <f t="shared" si="8"/>
        <v>-5420</v>
      </c>
      <c r="Q27" s="650">
        <f t="shared" ref="Q27:S27" si="9">SUM(Q4:Q12,Q14,Q16:Q19,Q23,Q26)</f>
        <v>4639</v>
      </c>
      <c r="R27" s="650">
        <f t="shared" si="9"/>
        <v>6288</v>
      </c>
      <c r="S27" s="650">
        <f t="shared" si="9"/>
        <v>6255</v>
      </c>
      <c r="T27" s="650">
        <f>SUM(T4:T12,T14,T16:T19,T23,T26)</f>
        <v>7402</v>
      </c>
      <c r="U27" s="650">
        <f t="shared" ref="U27:Z27" si="10">SUM(U4:U12,U14,U16:U19,U23,U26)</f>
        <v>7995</v>
      </c>
      <c r="V27" s="650">
        <f t="shared" si="10"/>
        <v>8218.6562050435787</v>
      </c>
      <c r="W27" s="650">
        <f t="shared" si="10"/>
        <v>10701.370252830111</v>
      </c>
      <c r="X27" s="650">
        <f t="shared" si="10"/>
        <v>13033.967546222313</v>
      </c>
      <c r="Y27" s="650">
        <f t="shared" si="10"/>
        <v>15346.441175587968</v>
      </c>
      <c r="Z27" s="650">
        <f t="shared" si="10"/>
        <v>16516.013471502403</v>
      </c>
      <c r="AA27" s="650">
        <f t="shared" ref="AA27" si="11">SUM(AA4:AA12,AA14,AA16:AA19,AA23,AA26)</f>
        <v>15505.690250259906</v>
      </c>
      <c r="AB27" s="651"/>
      <c r="AC27" s="651"/>
      <c r="AD27" s="651"/>
      <c r="AE27" s="651"/>
      <c r="AF27" s="651"/>
      <c r="AG27" s="651"/>
      <c r="AH27" s="651"/>
      <c r="AI27" s="651"/>
      <c r="AJ27" s="651"/>
      <c r="AK27" s="651"/>
      <c r="AL27" s="651"/>
      <c r="AM27" s="651"/>
      <c r="AN27" s="651"/>
      <c r="AO27" s="651"/>
      <c r="AP27" s="651"/>
      <c r="AQ27" s="651"/>
    </row>
    <row r="28" spans="1:43" s="1" customFormat="1">
      <c r="A28" s="1" t="s">
        <v>565</v>
      </c>
      <c r="B28" s="545">
        <v>-2708</v>
      </c>
      <c r="C28" s="545">
        <v>-2028</v>
      </c>
      <c r="D28" s="545">
        <v>-1837</v>
      </c>
      <c r="E28" s="545">
        <v>-1957</v>
      </c>
      <c r="F28" s="555">
        <v>-2250</v>
      </c>
      <c r="G28" s="555">
        <v>-2197</v>
      </c>
      <c r="H28" s="555">
        <v>-3270</v>
      </c>
      <c r="I28" s="555">
        <v>-2949</v>
      </c>
      <c r="J28" s="555">
        <v>-2548</v>
      </c>
      <c r="K28" s="555">
        <v>-2924</v>
      </c>
      <c r="L28" s="555">
        <v>-3060</v>
      </c>
      <c r="M28" s="555">
        <v>-2558</v>
      </c>
      <c r="N28" s="555">
        <v>-2285</v>
      </c>
      <c r="O28" s="546">
        <v>-2340</v>
      </c>
      <c r="P28" s="546">
        <v>-1759</v>
      </c>
      <c r="Q28" s="546">
        <v>-1928</v>
      </c>
      <c r="R28" s="546">
        <v>-2464</v>
      </c>
      <c r="S28" s="546">
        <v>-3051</v>
      </c>
      <c r="T28" s="546">
        <v>-3669</v>
      </c>
      <c r="U28" s="546">
        <v>-3964</v>
      </c>
      <c r="V28" s="547">
        <f>-V29*'Income Statement'!V$58</f>
        <v>-4175.2211832254379</v>
      </c>
      <c r="W28" s="547">
        <f>-W29*'Income Statement'!W$58</f>
        <v>-4567.208597120687</v>
      </c>
      <c r="X28" s="547">
        <f>-X29*'Income Statement'!X$58</f>
        <v>-5029.5828194492078</v>
      </c>
      <c r="Y28" s="547">
        <f>-Y29*'Income Statement'!Y$58</f>
        <v>-5340.976287763071</v>
      </c>
      <c r="Z28" s="547">
        <f>-Z29*'Income Statement'!Z$58</f>
        <v>-5495.0067136203224</v>
      </c>
      <c r="AA28" s="547">
        <f>-AA29*'Income Statement'!AA$58</f>
        <v>-5587.5175099190928</v>
      </c>
      <c r="AB28" s="4"/>
      <c r="AC28" s="4"/>
      <c r="AD28" s="4"/>
      <c r="AE28" s="4"/>
      <c r="AF28" s="4"/>
      <c r="AG28" s="4"/>
      <c r="AH28" s="4"/>
      <c r="AI28" s="4"/>
      <c r="AJ28" s="4"/>
      <c r="AK28" s="4"/>
      <c r="AL28" s="4"/>
      <c r="AM28" s="4"/>
      <c r="AN28" s="4"/>
      <c r="AO28" s="4"/>
      <c r="AP28" s="4"/>
      <c r="AQ28" s="4"/>
    </row>
    <row r="29" spans="1:43" s="1" customFormat="1">
      <c r="A29" s="679" t="s">
        <v>47</v>
      </c>
      <c r="B29" s="558">
        <f>-B28/'Income Statement'!B$58</f>
        <v>6.867170462037836E-2</v>
      </c>
      <c r="C29" s="558">
        <f>-C28/'Income Statement'!C$58</f>
        <v>5.1836515604631546E-2</v>
      </c>
      <c r="D29" s="558">
        <f>-D28/'Income Statement'!D$58</f>
        <v>4.2459262683462382E-2</v>
      </c>
      <c r="E29" s="558">
        <f>-E28/'Income Statement'!E$58</f>
        <v>4.5700807995889964E-2</v>
      </c>
      <c r="F29" s="558">
        <f>-F28/'Income Statement'!F$58</f>
        <v>4.9178178003147402E-2</v>
      </c>
      <c r="G29" s="558">
        <f>-G28/'Income Statement'!G$58</f>
        <v>4.4719915323237255E-2</v>
      </c>
      <c r="H29" s="558">
        <f>-H28/'Income Statement'!H$58</f>
        <v>5.789660056657224E-2</v>
      </c>
      <c r="I29" s="558">
        <f>-I28/'Income Statement'!I$58</f>
        <v>4.6946637799286803E-2</v>
      </c>
      <c r="J29" s="558">
        <f>-J28/'Income Statement'!J$58</f>
        <v>4.1967947556536489E-2</v>
      </c>
      <c r="K29" s="558">
        <f>-K28/'Income Statement'!K$58</f>
        <v>4.5368502715283164E-2</v>
      </c>
      <c r="L29" s="558">
        <f>-L28/'Income Statement'!L$58</f>
        <v>4.5959057388744534E-2</v>
      </c>
      <c r="M29" s="558">
        <f>-M28/'Income Statement'!M$58</f>
        <v>3.8312339928407747E-2</v>
      </c>
      <c r="N29" s="558">
        <f>-N28/'Income Statement'!N$58</f>
        <v>3.5867330120708869E-2</v>
      </c>
      <c r="O29" s="558">
        <f>-O28/'Income Statement'!O$58</f>
        <v>3.3201850222764548E-2</v>
      </c>
      <c r="P29" s="558">
        <f>-P28/'Income Statement'!P$58</f>
        <v>3.5242025965699635E-2</v>
      </c>
      <c r="Q29" s="558">
        <f>-Q28/'Income Statement'!Q$58</f>
        <v>3.6970986979616101E-2</v>
      </c>
      <c r="R29" s="558">
        <f>-R28/'Income Statement'!R$58</f>
        <v>4.1931147150417777E-2</v>
      </c>
      <c r="S29" s="558">
        <f>-S28/'Income Statement'!S$58</f>
        <v>4.6618586315435626E-2</v>
      </c>
      <c r="T29" s="558">
        <f>-T28/'Income Statement'!T$58</f>
        <v>5.299725552506139E-2</v>
      </c>
      <c r="U29" s="558">
        <f>-U28/'Income Statement'!U$58</f>
        <v>5.392096850982793E-2</v>
      </c>
      <c r="V29" s="796">
        <v>5.1999999999999998E-2</v>
      </c>
      <c r="W29" s="796">
        <f>V29-0.2%</f>
        <v>4.9999999999999996E-2</v>
      </c>
      <c r="X29" s="796">
        <f t="shared" ref="X29:AA29" si="12">W29-0.1%</f>
        <v>4.8999999999999995E-2</v>
      </c>
      <c r="Y29" s="796">
        <f t="shared" si="12"/>
        <v>4.7999999999999994E-2</v>
      </c>
      <c r="Z29" s="796">
        <f t="shared" si="12"/>
        <v>4.6999999999999993E-2</v>
      </c>
      <c r="AA29" s="796">
        <f t="shared" si="12"/>
        <v>4.5999999999999992E-2</v>
      </c>
    </row>
    <row r="30" spans="1:43" s="1" customFormat="1">
      <c r="A30" s="69" t="s">
        <v>566</v>
      </c>
      <c r="B30" s="567">
        <v>76</v>
      </c>
      <c r="C30" s="567">
        <v>162</v>
      </c>
      <c r="D30" s="567">
        <v>35</v>
      </c>
      <c r="E30" s="567">
        <v>75</v>
      </c>
      <c r="F30" s="556">
        <v>45</v>
      </c>
      <c r="G30" s="556">
        <v>79</v>
      </c>
      <c r="H30" s="556">
        <v>73</v>
      </c>
      <c r="I30" s="556">
        <v>60</v>
      </c>
      <c r="J30" s="556">
        <v>232</v>
      </c>
      <c r="K30" s="556">
        <v>78</v>
      </c>
      <c r="L30" s="556">
        <v>72</v>
      </c>
      <c r="M30" s="556">
        <v>177</v>
      </c>
      <c r="N30" s="556">
        <v>213</v>
      </c>
      <c r="O30" s="559">
        <v>112</v>
      </c>
      <c r="P30" s="559">
        <v>228</v>
      </c>
      <c r="Q30" s="559">
        <v>212</v>
      </c>
      <c r="R30" s="559">
        <v>101</v>
      </c>
      <c r="S30" s="559">
        <v>75</v>
      </c>
      <c r="T30" s="559">
        <v>98</v>
      </c>
      <c r="U30" s="559">
        <v>69</v>
      </c>
      <c r="V30" s="562">
        <f>V31*'Income Statement'!V14</f>
        <v>75.361454659319975</v>
      </c>
      <c r="W30" s="562">
        <f>W31*'Income Statement'!W14</f>
        <v>85.734174849031476</v>
      </c>
      <c r="X30" s="562">
        <f>X31*'Income Statement'!X14</f>
        <v>96.340525962907861</v>
      </c>
      <c r="Y30" s="562">
        <f>Y31*'Income Statement'!Y14</f>
        <v>104.43655599074224</v>
      </c>
      <c r="Z30" s="562">
        <f>Z31*'Income Statement'!Z14</f>
        <v>109.73457819139598</v>
      </c>
      <c r="AA30" s="562">
        <f>AA31*'Income Statement'!AA14</f>
        <v>114.00770271208108</v>
      </c>
    </row>
    <row r="31" spans="1:43" s="1" customFormat="1">
      <c r="A31" s="679" t="s">
        <v>47</v>
      </c>
      <c r="B31" s="558">
        <f>B30/'Income Statement'!B$58</f>
        <v>1.9272708829943704E-3</v>
      </c>
      <c r="C31" s="558">
        <f>C30/'Income Statement'!C$58</f>
        <v>4.140786749482402E-3</v>
      </c>
      <c r="D31" s="558">
        <f>D30/'Income Statement'!D$58</f>
        <v>8.0896798798104708E-4</v>
      </c>
      <c r="E31" s="558">
        <f>E30/'Income Statement'!E$58</f>
        <v>1.7514361776656859E-3</v>
      </c>
      <c r="F31" s="558">
        <f>F30/'Income Statement'!F$58</f>
        <v>9.8356356006294807E-4</v>
      </c>
      <c r="G31" s="558">
        <f>G30/'Income Statement'!G$58</f>
        <v>1.6080442924605114E-3</v>
      </c>
      <c r="H31" s="558">
        <f>H30/'Income Statement'!H$58</f>
        <v>1.2924929178470255E-3</v>
      </c>
      <c r="I31" s="558">
        <f>I30/'Income Statement'!I$58</f>
        <v>9.5517065715741212E-4</v>
      </c>
      <c r="J31" s="558">
        <f>J30/'Income Statement'!J$58</f>
        <v>3.8212573913329931E-3</v>
      </c>
      <c r="K31" s="558">
        <f>K30/'Income Statement'!K$58</f>
        <v>1.2102404965089217E-3</v>
      </c>
      <c r="L31" s="558">
        <f>L30/'Income Statement'!L$58</f>
        <v>1.0813895856175185E-3</v>
      </c>
      <c r="M31" s="558">
        <f>M30/'Income Statement'!M$58</f>
        <v>2.6510102296044454E-3</v>
      </c>
      <c r="N31" s="558">
        <f>N30/'Income Statement'!N$58</f>
        <v>3.3434316480135621E-3</v>
      </c>
      <c r="O31" s="558">
        <f>O30/'Income Statement'!O$58</f>
        <v>1.5891483867306109E-3</v>
      </c>
      <c r="P31" s="558">
        <f>P30/'Income Statement'!P$58</f>
        <v>4.5680397499599295E-3</v>
      </c>
      <c r="Q31" s="558">
        <f>Q30/'Income Statement'!Q$58</f>
        <v>4.0652745019079941E-3</v>
      </c>
      <c r="R31" s="558">
        <f>R30/'Income Statement'!R$58</f>
        <v>1.7187686129026768E-3</v>
      </c>
      <c r="S31" s="558">
        <f>S30/'Income Statement'!S$58</f>
        <v>1.1459829477737371E-3</v>
      </c>
      <c r="T31" s="558">
        <f>T30/'Income Statement'!T$58</f>
        <v>1.4155712841253793E-3</v>
      </c>
      <c r="U31" s="558">
        <f>U30/'Income Statement'!U$58</f>
        <v>9.3858396245664151E-4</v>
      </c>
      <c r="V31" s="796">
        <f>U31</f>
        <v>9.3858396245664151E-4</v>
      </c>
      <c r="W31" s="796">
        <f t="shared" ref="W31:AA31" si="13">V31</f>
        <v>9.3858396245664151E-4</v>
      </c>
      <c r="X31" s="796">
        <f t="shared" si="13"/>
        <v>9.3858396245664151E-4</v>
      </c>
      <c r="Y31" s="796">
        <f t="shared" si="13"/>
        <v>9.3858396245664151E-4</v>
      </c>
      <c r="Z31" s="796">
        <f t="shared" si="13"/>
        <v>9.3858396245664151E-4</v>
      </c>
      <c r="AA31" s="796">
        <f t="shared" si="13"/>
        <v>9.3858396245664151E-4</v>
      </c>
      <c r="AB31" s="6"/>
      <c r="AC31" s="6"/>
      <c r="AD31" s="6"/>
      <c r="AE31" s="6"/>
      <c r="AF31" s="6"/>
      <c r="AG31" s="6"/>
      <c r="AH31" s="6"/>
      <c r="AI31" s="6"/>
      <c r="AJ31" s="6"/>
      <c r="AK31" s="6"/>
      <c r="AL31" s="6"/>
      <c r="AM31" s="6"/>
      <c r="AN31" s="6"/>
      <c r="AO31" s="6"/>
      <c r="AP31" s="6"/>
      <c r="AQ31" s="6"/>
    </row>
    <row r="32" spans="1:43" s="1" customFormat="1">
      <c r="A32" s="1" t="s">
        <v>146</v>
      </c>
      <c r="B32" s="545">
        <v>-82</v>
      </c>
      <c r="C32" s="545">
        <v>0</v>
      </c>
      <c r="D32" s="545">
        <v>-265</v>
      </c>
      <c r="E32" s="545">
        <v>-21</v>
      </c>
      <c r="F32" s="555">
        <v>-38</v>
      </c>
      <c r="G32" s="555">
        <v>-1535</v>
      </c>
      <c r="H32" s="555">
        <v>-201</v>
      </c>
      <c r="I32" s="546">
        <v>-16</v>
      </c>
      <c r="J32" s="546">
        <v>-47</v>
      </c>
      <c r="K32" s="546">
        <v>-13</v>
      </c>
      <c r="L32" s="546">
        <v>-120</v>
      </c>
      <c r="M32" s="546">
        <v>-23</v>
      </c>
      <c r="N32" s="546">
        <v>129</v>
      </c>
      <c r="O32" s="546">
        <v>8</v>
      </c>
      <c r="P32" s="546">
        <v>-481</v>
      </c>
      <c r="Q32" s="546">
        <v>-25</v>
      </c>
      <c r="R32" s="546">
        <v>-188</v>
      </c>
      <c r="S32" s="546">
        <v>-65</v>
      </c>
      <c r="T32" s="546">
        <v>-246</v>
      </c>
      <c r="U32" s="546">
        <v>122</v>
      </c>
      <c r="V32" s="544"/>
      <c r="W32" s="544"/>
      <c r="X32" s="544"/>
      <c r="Y32" s="544"/>
      <c r="Z32" s="544"/>
      <c r="AA32" s="544"/>
    </row>
    <row r="33" spans="1:43" s="1" customFormat="1">
      <c r="A33" s="1" t="s">
        <v>145</v>
      </c>
      <c r="B33" s="545">
        <v>86</v>
      </c>
      <c r="C33" s="545">
        <v>29</v>
      </c>
      <c r="D33" s="545">
        <v>2</v>
      </c>
      <c r="E33" s="545">
        <v>13</v>
      </c>
      <c r="F33" s="555">
        <v>12</v>
      </c>
      <c r="G33" s="555">
        <v>18</v>
      </c>
      <c r="H33" s="555">
        <v>0</v>
      </c>
      <c r="I33" s="546">
        <v>0</v>
      </c>
      <c r="J33" s="546">
        <v>-34</v>
      </c>
      <c r="K33" s="546">
        <v>127</v>
      </c>
      <c r="L33" s="546">
        <v>731</v>
      </c>
      <c r="M33" s="546">
        <v>377</v>
      </c>
      <c r="N33" s="546">
        <v>0</v>
      </c>
      <c r="O33" s="546">
        <v>0</v>
      </c>
      <c r="P33" s="546">
        <v>0</v>
      </c>
      <c r="Q33" s="546">
        <v>0</v>
      </c>
      <c r="R33" s="546">
        <v>0</v>
      </c>
      <c r="S33" s="546">
        <v>0</v>
      </c>
      <c r="T33" s="546">
        <v>0</v>
      </c>
      <c r="U33" s="546">
        <v>27</v>
      </c>
      <c r="V33" s="544"/>
      <c r="W33" s="544"/>
      <c r="X33" s="544"/>
      <c r="Y33" s="544"/>
      <c r="Z33" s="544"/>
      <c r="AA33" s="544"/>
    </row>
    <row r="34" spans="1:43" s="1" customFormat="1">
      <c r="A34" s="1" t="s">
        <v>144</v>
      </c>
      <c r="B34" s="545">
        <v>-194</v>
      </c>
      <c r="C34" s="545">
        <v>-132</v>
      </c>
      <c r="D34" s="545">
        <v>-122</v>
      </c>
      <c r="E34" s="545">
        <v>-136</v>
      </c>
      <c r="F34" s="555">
        <v>-190</v>
      </c>
      <c r="G34" s="553">
        <f>-312</f>
        <v>-312</v>
      </c>
      <c r="H34" s="555">
        <v>-328</v>
      </c>
      <c r="I34" s="545">
        <v>-292</v>
      </c>
      <c r="J34" s="545">
        <v>-36</v>
      </c>
      <c r="K34" s="545">
        <v>-258</v>
      </c>
      <c r="L34" s="545">
        <v>-691</v>
      </c>
      <c r="M34" s="545">
        <v>-913</v>
      </c>
      <c r="N34" s="545">
        <v>-707</v>
      </c>
      <c r="O34" s="546">
        <v>-952</v>
      </c>
      <c r="P34" s="546">
        <v>-565</v>
      </c>
      <c r="Q34" s="546">
        <v>-577</v>
      </c>
      <c r="R34" s="546">
        <v>-777</v>
      </c>
      <c r="S34" s="546">
        <v>-960</v>
      </c>
      <c r="T34" s="546">
        <v>-871</v>
      </c>
      <c r="U34" s="546">
        <v>-879</v>
      </c>
      <c r="V34" s="544"/>
      <c r="W34" s="544"/>
      <c r="X34" s="544"/>
      <c r="Y34" s="544"/>
      <c r="Z34" s="544"/>
      <c r="AA34" s="544"/>
    </row>
    <row r="35" spans="1:43" s="1" customFormat="1">
      <c r="A35" s="1" t="s">
        <v>143</v>
      </c>
      <c r="B35" s="545">
        <v>116</v>
      </c>
      <c r="C35" s="545">
        <v>186</v>
      </c>
      <c r="D35" s="545">
        <v>180</v>
      </c>
      <c r="E35" s="545">
        <v>43</v>
      </c>
      <c r="F35" s="555">
        <v>91</v>
      </c>
      <c r="G35" s="555">
        <v>77</v>
      </c>
      <c r="H35" s="555">
        <v>232</v>
      </c>
      <c r="I35" s="545">
        <v>157</v>
      </c>
      <c r="J35" s="573">
        <v>1083</v>
      </c>
      <c r="K35" s="573">
        <v>1731</v>
      </c>
      <c r="L35" s="573">
        <v>182</v>
      </c>
      <c r="M35" s="573">
        <v>532</v>
      </c>
      <c r="N35" s="545">
        <v>597</v>
      </c>
      <c r="O35" s="546">
        <v>358</v>
      </c>
      <c r="P35" s="546">
        <v>408</v>
      </c>
      <c r="Q35" s="546">
        <v>396</v>
      </c>
      <c r="R35" s="546">
        <v>459</v>
      </c>
      <c r="S35" s="546">
        <v>509</v>
      </c>
      <c r="T35" s="546">
        <v>530</v>
      </c>
      <c r="U35" s="546">
        <v>1083</v>
      </c>
      <c r="V35" s="544"/>
      <c r="W35" s="544"/>
      <c r="X35" s="544"/>
      <c r="Y35" s="544"/>
      <c r="Z35" s="544"/>
      <c r="AA35" s="544"/>
    </row>
    <row r="36" spans="1:43" s="1" customFormat="1">
      <c r="A36" s="1" t="s">
        <v>142</v>
      </c>
      <c r="B36" s="545">
        <v>46</v>
      </c>
      <c r="C36" s="545">
        <v>39</v>
      </c>
      <c r="D36" s="545">
        <v>50</v>
      </c>
      <c r="E36" s="545">
        <v>27</v>
      </c>
      <c r="F36" s="555">
        <v>41</v>
      </c>
      <c r="G36" s="555">
        <v>50</v>
      </c>
      <c r="H36" s="555">
        <v>46</v>
      </c>
      <c r="I36" s="545">
        <v>52</v>
      </c>
      <c r="J36" s="545">
        <v>143</v>
      </c>
      <c r="K36" s="545">
        <v>34</v>
      </c>
      <c r="L36" s="567">
        <v>192</v>
      </c>
      <c r="M36" s="567">
        <v>218</v>
      </c>
      <c r="N36" s="559">
        <v>191</v>
      </c>
      <c r="O36" s="559">
        <v>210</v>
      </c>
      <c r="P36" s="559">
        <v>-8</v>
      </c>
      <c r="Q36" s="559">
        <v>79</v>
      </c>
      <c r="R36" s="559">
        <v>100</v>
      </c>
      <c r="S36" s="559">
        <v>150</v>
      </c>
      <c r="T36" s="559">
        <v>196</v>
      </c>
      <c r="U36" s="559">
        <v>387</v>
      </c>
      <c r="V36" s="574">
        <f>'Income Statement'!V74*0.7</f>
        <v>224.17499999999998</v>
      </c>
      <c r="W36" s="574">
        <f>'Income Statement'!W74*0.7</f>
        <v>235.38374999999996</v>
      </c>
      <c r="X36" s="574">
        <f>'Income Statement'!X74*0.7</f>
        <v>247.15293749999998</v>
      </c>
      <c r="Y36" s="574">
        <f>'Income Statement'!Y74*0.7</f>
        <v>259.51058437500001</v>
      </c>
      <c r="Z36" s="574">
        <f>'Income Statement'!Z74*0.7</f>
        <v>272.48611359374996</v>
      </c>
      <c r="AA36" s="574">
        <f>'Income Statement'!AA74*0.7</f>
        <v>286.11041927343751</v>
      </c>
      <c r="AB36" s="273"/>
      <c r="AC36" s="273"/>
      <c r="AD36" s="273"/>
      <c r="AE36" s="273"/>
      <c r="AF36" s="273"/>
      <c r="AG36" s="273"/>
      <c r="AH36" s="273"/>
      <c r="AI36" s="273"/>
      <c r="AJ36" s="273"/>
      <c r="AK36" s="273"/>
      <c r="AL36" s="273"/>
      <c r="AM36" s="273"/>
      <c r="AN36" s="273"/>
      <c r="AO36" s="273"/>
      <c r="AP36" s="273"/>
      <c r="AQ36" s="273"/>
    </row>
    <row r="37" spans="1:43" s="1" customFormat="1">
      <c r="A37" s="1" t="s">
        <v>141</v>
      </c>
      <c r="B37" s="545">
        <v>3357</v>
      </c>
      <c r="C37" s="545">
        <v>-2641</v>
      </c>
      <c r="D37" s="545">
        <v>-2676</v>
      </c>
      <c r="E37" s="545">
        <v>-821</v>
      </c>
      <c r="F37" s="555">
        <v>-10751</v>
      </c>
      <c r="G37" s="555">
        <v>-11091</v>
      </c>
      <c r="H37" s="555">
        <v>-3237</v>
      </c>
      <c r="I37" s="271"/>
      <c r="J37" s="545">
        <v>-5526</v>
      </c>
      <c r="K37" s="545">
        <v>-7151</v>
      </c>
      <c r="L37" s="545">
        <v>-2280</v>
      </c>
      <c r="M37" s="545">
        <v>-3767</v>
      </c>
      <c r="N37" s="545">
        <v>-2010</v>
      </c>
      <c r="O37" s="546">
        <v>-2861</v>
      </c>
      <c r="P37" s="546">
        <v>-337</v>
      </c>
      <c r="Q37" s="546">
        <v>-3049</v>
      </c>
      <c r="R37" s="546">
        <v>-1851</v>
      </c>
      <c r="S37" s="546">
        <v>-2700</v>
      </c>
      <c r="T37" s="546">
        <v>-4460</v>
      </c>
      <c r="U37" s="546">
        <v>-5205</v>
      </c>
      <c r="V37" s="544"/>
      <c r="W37" s="544"/>
      <c r="X37" s="544"/>
      <c r="Y37" s="544"/>
      <c r="Z37" s="544"/>
      <c r="AA37" s="544"/>
    </row>
    <row r="38" spans="1:43" s="1" customFormat="1">
      <c r="A38" s="1" t="s">
        <v>140</v>
      </c>
      <c r="B38" s="271"/>
      <c r="C38" s="271"/>
      <c r="D38" s="271"/>
      <c r="E38" s="545">
        <v>0</v>
      </c>
      <c r="F38" s="555">
        <v>7604</v>
      </c>
      <c r="G38" s="555">
        <v>10713</v>
      </c>
      <c r="H38" s="555">
        <v>6659</v>
      </c>
      <c r="I38" s="545">
        <v>1272</v>
      </c>
      <c r="J38" s="545">
        <v>3510</v>
      </c>
      <c r="K38" s="545">
        <v>4790</v>
      </c>
      <c r="L38" s="545">
        <v>2617</v>
      </c>
      <c r="M38" s="545">
        <v>2534</v>
      </c>
      <c r="N38" s="545">
        <v>1917</v>
      </c>
      <c r="O38" s="546">
        <v>2464</v>
      </c>
      <c r="P38" s="546">
        <v>6640</v>
      </c>
      <c r="Q38" s="546">
        <v>1863</v>
      </c>
      <c r="R38" s="546">
        <v>1507</v>
      </c>
      <c r="S38" s="546">
        <v>1914</v>
      </c>
      <c r="T38" s="546">
        <v>1769</v>
      </c>
      <c r="U38" s="546">
        <v>3678</v>
      </c>
      <c r="V38" s="544"/>
      <c r="W38" s="544"/>
      <c r="X38" s="544"/>
      <c r="Y38" s="544"/>
      <c r="Z38" s="544"/>
      <c r="AA38" s="544"/>
    </row>
    <row r="39" spans="1:43" s="1" customFormat="1">
      <c r="A39" s="1" t="s">
        <v>15</v>
      </c>
      <c r="B39" s="553">
        <f t="shared" ref="B39:H39" si="14">B40-SUM(B28:B38)</f>
        <v>69.929401024496656</v>
      </c>
      <c r="C39" s="553">
        <f t="shared" si="14"/>
        <v>-552.05597730235422</v>
      </c>
      <c r="D39" s="553">
        <f t="shared" si="14"/>
        <v>-319.04326823067095</v>
      </c>
      <c r="E39" s="553">
        <f t="shared" si="14"/>
        <v>-70.047452244173655</v>
      </c>
      <c r="F39" s="553">
        <f t="shared" si="14"/>
        <v>-5.0161741562988027E-2</v>
      </c>
      <c r="G39" s="553">
        <f t="shared" si="14"/>
        <v>-4.6327959615155123E-2</v>
      </c>
      <c r="H39" s="553">
        <f t="shared" si="14"/>
        <v>-5.9189093484746991E-2</v>
      </c>
      <c r="I39" s="553">
        <f>I40-SUM(I28,I30,I33:I38,I32)</f>
        <v>-26</v>
      </c>
      <c r="J39" s="553">
        <f>J40-SUM(J28,J30,J33:J38,J32)</f>
        <v>0</v>
      </c>
      <c r="K39" s="553">
        <f>K40-SUM(K28,K30,K33:K38,K32)</f>
        <v>127</v>
      </c>
      <c r="L39" s="555">
        <v>1527</v>
      </c>
      <c r="M39" s="555">
        <v>893</v>
      </c>
      <c r="N39" s="555">
        <v>320</v>
      </c>
      <c r="O39" s="546">
        <v>137</v>
      </c>
      <c r="P39" s="544"/>
      <c r="Q39" s="546">
        <v>310</v>
      </c>
      <c r="R39" s="546">
        <v>0</v>
      </c>
      <c r="S39" s="546"/>
      <c r="T39" s="544"/>
      <c r="U39" s="544"/>
      <c r="V39" s="544"/>
      <c r="W39" s="544"/>
      <c r="X39" s="544"/>
      <c r="Y39" s="544"/>
      <c r="Z39" s="544"/>
      <c r="AA39" s="544"/>
    </row>
    <row r="40" spans="1:43" s="12" customFormat="1">
      <c r="A40" s="647" t="s">
        <v>139</v>
      </c>
      <c r="B40" s="648">
        <v>767</v>
      </c>
      <c r="C40" s="648">
        <v>-4937</v>
      </c>
      <c r="D40" s="648">
        <v>-4952</v>
      </c>
      <c r="E40" s="648">
        <v>-2847</v>
      </c>
      <c r="F40" s="648">
        <v>-5436</v>
      </c>
      <c r="G40" s="648">
        <v>-4198</v>
      </c>
      <c r="H40" s="648">
        <v>-26</v>
      </c>
      <c r="I40" s="648">
        <v>-1742</v>
      </c>
      <c r="J40" s="648">
        <v>-3223</v>
      </c>
      <c r="K40" s="648">
        <v>-3459</v>
      </c>
      <c r="L40" s="649">
        <f t="shared" ref="L40:Z40" si="15">SUM(L28,L30,L33:L39,L32)</f>
        <v>-830</v>
      </c>
      <c r="M40" s="649">
        <f t="shared" si="15"/>
        <v>-2530</v>
      </c>
      <c r="N40" s="649">
        <f t="shared" si="15"/>
        <v>-1635</v>
      </c>
      <c r="O40" s="650">
        <f t="shared" si="15"/>
        <v>-2864</v>
      </c>
      <c r="P40" s="650">
        <f t="shared" si="15"/>
        <v>4126</v>
      </c>
      <c r="Q40" s="650">
        <f t="shared" si="15"/>
        <v>-2719</v>
      </c>
      <c r="R40" s="650">
        <f t="shared" si="15"/>
        <v>-3113</v>
      </c>
      <c r="S40" s="650">
        <f t="shared" si="15"/>
        <v>-4128</v>
      </c>
      <c r="T40" s="650">
        <f t="shared" si="15"/>
        <v>-6653</v>
      </c>
      <c r="U40" s="650">
        <f t="shared" si="15"/>
        <v>-4682</v>
      </c>
      <c r="V40" s="650">
        <f t="shared" si="15"/>
        <v>-3875.6847285661179</v>
      </c>
      <c r="W40" s="650">
        <f t="shared" si="15"/>
        <v>-4246.0906722716554</v>
      </c>
      <c r="X40" s="650">
        <f t="shared" si="15"/>
        <v>-4686.0893559862998</v>
      </c>
      <c r="Y40" s="650">
        <f t="shared" si="15"/>
        <v>-4977.0291473973293</v>
      </c>
      <c r="Z40" s="650">
        <f t="shared" si="15"/>
        <v>-5112.7860218351761</v>
      </c>
      <c r="AA40" s="650">
        <f t="shared" ref="AA40" si="16">SUM(AA28,AA30,AA33:AA39,AA32)</f>
        <v>-5187.399387933574</v>
      </c>
    </row>
    <row r="41" spans="1:43" s="1" customFormat="1">
      <c r="A41" s="1" t="s">
        <v>248</v>
      </c>
      <c r="B41" s="568"/>
      <c r="C41" s="568"/>
      <c r="D41" s="568"/>
      <c r="E41" s="568"/>
      <c r="F41" s="568"/>
      <c r="G41" s="568"/>
      <c r="H41" s="568"/>
      <c r="I41" s="567">
        <v>0</v>
      </c>
      <c r="J41" s="567">
        <v>0</v>
      </c>
      <c r="K41" s="568"/>
      <c r="L41" s="556">
        <v>0</v>
      </c>
      <c r="M41" s="556">
        <v>0</v>
      </c>
      <c r="N41" s="556">
        <v>0</v>
      </c>
      <c r="O41" s="559">
        <v>0</v>
      </c>
      <c r="P41" s="559">
        <v>0</v>
      </c>
      <c r="Q41" s="559">
        <v>0</v>
      </c>
      <c r="R41" s="559">
        <v>0</v>
      </c>
      <c r="S41" s="559">
        <v>0</v>
      </c>
      <c r="T41" s="559">
        <v>0</v>
      </c>
      <c r="U41" s="559">
        <v>0</v>
      </c>
      <c r="V41" s="559"/>
      <c r="W41" s="559"/>
      <c r="X41" s="559"/>
      <c r="Y41" s="559"/>
      <c r="Z41" s="559"/>
      <c r="AA41" s="559"/>
    </row>
    <row r="42" spans="1:43" s="1" customFormat="1">
      <c r="A42" s="1" t="s">
        <v>249</v>
      </c>
      <c r="B42" s="568"/>
      <c r="C42" s="568"/>
      <c r="D42" s="568"/>
      <c r="E42" s="568"/>
      <c r="F42" s="568"/>
      <c r="G42" s="568"/>
      <c r="H42" s="568"/>
      <c r="I42" s="567">
        <v>-1915</v>
      </c>
      <c r="J42" s="568"/>
      <c r="K42" s="545">
        <v>-264</v>
      </c>
      <c r="L42" s="556">
        <v>-736</v>
      </c>
      <c r="M42" s="556">
        <v>0</v>
      </c>
      <c r="N42" s="556">
        <v>0</v>
      </c>
      <c r="O42" s="559">
        <v>0</v>
      </c>
      <c r="P42" s="559">
        <v>0</v>
      </c>
      <c r="Q42" s="559">
        <v>0</v>
      </c>
      <c r="R42" s="559">
        <v>0</v>
      </c>
      <c r="S42" s="559">
        <v>0</v>
      </c>
      <c r="T42" s="559">
        <v>0</v>
      </c>
      <c r="U42" s="559">
        <v>0</v>
      </c>
      <c r="V42" s="559">
        <v>-1000</v>
      </c>
      <c r="W42" s="559">
        <v>-2000</v>
      </c>
      <c r="X42" s="559">
        <v>-2000</v>
      </c>
      <c r="Y42" s="562"/>
      <c r="Z42" s="562"/>
      <c r="AA42" s="562"/>
    </row>
    <row r="43" spans="1:43" s="1" customFormat="1">
      <c r="A43" s="1" t="s">
        <v>138</v>
      </c>
      <c r="B43" s="545">
        <v>1170</v>
      </c>
      <c r="C43" s="545">
        <v>206</v>
      </c>
      <c r="D43" s="545">
        <v>471</v>
      </c>
      <c r="E43" s="545">
        <v>1114</v>
      </c>
      <c r="F43" s="545">
        <v>99</v>
      </c>
      <c r="G43" s="545">
        <v>813</v>
      </c>
      <c r="H43" s="545">
        <v>380</v>
      </c>
      <c r="I43" s="545">
        <v>1679</v>
      </c>
      <c r="J43" s="545">
        <v>2038</v>
      </c>
      <c r="K43" s="545">
        <v>1254</v>
      </c>
      <c r="L43" s="559">
        <v>3297</v>
      </c>
      <c r="M43" s="559">
        <v>1703</v>
      </c>
      <c r="N43" s="559">
        <v>103</v>
      </c>
      <c r="O43" s="559">
        <v>402</v>
      </c>
      <c r="P43" s="559">
        <v>7102</v>
      </c>
      <c r="Q43" s="559">
        <v>0</v>
      </c>
      <c r="R43" s="559">
        <v>171</v>
      </c>
      <c r="S43" s="559">
        <v>247</v>
      </c>
      <c r="T43" s="559">
        <v>851</v>
      </c>
      <c r="U43" s="559">
        <v>244</v>
      </c>
      <c r="V43" s="562"/>
      <c r="W43" s="562"/>
      <c r="X43" s="562"/>
      <c r="Y43" s="562"/>
      <c r="Z43" s="562"/>
      <c r="AA43" s="562"/>
    </row>
    <row r="44" spans="1:43" s="1" customFormat="1">
      <c r="A44" s="1" t="s">
        <v>137</v>
      </c>
      <c r="B44" s="545">
        <v>-325</v>
      </c>
      <c r="C44" s="545">
        <v>-792</v>
      </c>
      <c r="D44" s="545">
        <v>-628</v>
      </c>
      <c r="E44" s="545">
        <v>-208</v>
      </c>
      <c r="F44" s="545">
        <v>-1160</v>
      </c>
      <c r="G44" s="545">
        <v>-399</v>
      </c>
      <c r="H44" s="545">
        <v>-505</v>
      </c>
      <c r="I44" s="545">
        <v>-534</v>
      </c>
      <c r="J44" s="545">
        <v>-1108</v>
      </c>
      <c r="K44" s="545">
        <v>-262</v>
      </c>
      <c r="L44" s="559">
        <v>-1725</v>
      </c>
      <c r="M44" s="559">
        <v>-419</v>
      </c>
      <c r="N44" s="559">
        <v>-2411</v>
      </c>
      <c r="O44" s="559">
        <v>-562</v>
      </c>
      <c r="P44" s="559">
        <v>-445</v>
      </c>
      <c r="Q44" s="559">
        <v>-2295</v>
      </c>
      <c r="R44" s="559">
        <v>-1348</v>
      </c>
      <c r="S44" s="559">
        <v>-52</v>
      </c>
      <c r="T44" s="559">
        <v>-1283</v>
      </c>
      <c r="U44" s="559">
        <v>-858</v>
      </c>
      <c r="V44" s="562"/>
      <c r="W44" s="562"/>
      <c r="X44" s="562"/>
      <c r="Y44" s="562"/>
      <c r="Z44" s="562"/>
      <c r="AA44" s="562"/>
    </row>
    <row r="45" spans="1:43" s="1" customFormat="1">
      <c r="A45" s="1" t="s">
        <v>423</v>
      </c>
      <c r="B45" s="545">
        <v>-520</v>
      </c>
      <c r="C45" s="545">
        <v>-97</v>
      </c>
      <c r="D45" s="545">
        <v>-97</v>
      </c>
      <c r="E45" s="545">
        <v>-162</v>
      </c>
      <c r="F45" s="545">
        <v>0</v>
      </c>
      <c r="G45" s="545">
        <v>-178</v>
      </c>
      <c r="H45" s="545">
        <v>-369</v>
      </c>
      <c r="I45" s="546">
        <v>-467</v>
      </c>
      <c r="J45" s="546">
        <v>-587</v>
      </c>
      <c r="K45" s="546">
        <v>-945</v>
      </c>
      <c r="L45" s="559">
        <v>-1008</v>
      </c>
      <c r="M45" s="546">
        <v>-1043</v>
      </c>
      <c r="N45" s="546">
        <v>-1161</v>
      </c>
      <c r="O45" s="546">
        <v>-1280</v>
      </c>
      <c r="P45" s="546">
        <v>0</v>
      </c>
      <c r="Q45" s="546">
        <v>0</v>
      </c>
      <c r="R45" s="559">
        <v>-1181</v>
      </c>
      <c r="S45" s="559">
        <v>-1421</v>
      </c>
      <c r="T45" s="559">
        <v>-2215</v>
      </c>
      <c r="U45" s="559">
        <v>-2372</v>
      </c>
      <c r="V45" s="547">
        <f>'Income Statement'!U116</f>
        <v>-2526.6342816000001</v>
      </c>
      <c r="W45" s="547">
        <f>'Income Statement'!V116</f>
        <v>-2703.467618022567</v>
      </c>
      <c r="X45" s="547">
        <f>'Income Statement'!W116</f>
        <v>-3301.4969619027015</v>
      </c>
      <c r="Y45" s="547">
        <f>'Income Statement'!X116</f>
        <v>-4118.748188734965</v>
      </c>
      <c r="Z45" s="547">
        <f>'Income Statement'!Y116</f>
        <v>-4725.7437703235346</v>
      </c>
      <c r="AA45" s="547">
        <f>'Income Statement'!Z116</f>
        <v>-5453.7438133536643</v>
      </c>
    </row>
    <row r="46" spans="1:43" s="1" customFormat="1">
      <c r="A46" s="1" t="s">
        <v>136</v>
      </c>
      <c r="B46" s="545">
        <v>0.65</v>
      </c>
      <c r="C46" s="545">
        <v>0.12</v>
      </c>
      <c r="D46" s="545">
        <v>0.12</v>
      </c>
      <c r="E46" s="545">
        <v>0.2</v>
      </c>
      <c r="F46" s="545">
        <v>0</v>
      </c>
      <c r="G46" s="545">
        <v>0.22</v>
      </c>
      <c r="H46" s="545">
        <v>0.45</v>
      </c>
      <c r="I46" s="549">
        <f>'Income Statement'!H117</f>
        <v>0.45034145548190918</v>
      </c>
      <c r="J46" s="549">
        <f>'Income Statement'!I117</f>
        <v>0.58929908920279872</v>
      </c>
      <c r="K46" s="553">
        <f>J46*(1+'Income Statement'!J119)</f>
        <v>0.74971673128332983</v>
      </c>
      <c r="L46" s="553">
        <f>K46*(1+'Income Statement'!K119)</f>
        <v>1.2028699346324454</v>
      </c>
      <c r="M46" s="557">
        <f>'Income Statement'!L117</f>
        <v>1.3026641444797105</v>
      </c>
      <c r="N46" s="553">
        <f>'Income Statement'!M117</f>
        <v>1.3479410649976638</v>
      </c>
      <c r="O46" s="553">
        <f>'Income Statement'!N117</f>
        <v>1.4977399587788165</v>
      </c>
      <c r="P46" s="553">
        <f>'Income Statement'!O117</f>
        <v>1.6472771464961324</v>
      </c>
      <c r="Q46" s="553">
        <f>'Income Statement'!P117</f>
        <v>0</v>
      </c>
      <c r="R46" s="553">
        <f>'Income Statement'!Q117</f>
        <v>1.5038339348452603</v>
      </c>
      <c r="S46" s="553">
        <f>'Income Statement'!R117</f>
        <v>1.8054060002413042</v>
      </c>
      <c r="T46" s="553">
        <f>'Income Statement'!S117</f>
        <v>2.8083449288712097</v>
      </c>
      <c r="U46" s="553">
        <f>'Income Statement'!T117</f>
        <v>3.0026773286320623</v>
      </c>
      <c r="V46" s="680">
        <f>'Income Statement'!U117</f>
        <v>3.2</v>
      </c>
      <c r="W46" s="680">
        <f>'Income Statement'!V117</f>
        <v>3.4469373437520598</v>
      </c>
      <c r="X46" s="680">
        <f>'Income Statement'!W117</f>
        <v>4.2666920925761733</v>
      </c>
      <c r="Y46" s="680">
        <f>'Income Statement'!X117</f>
        <v>5.3962766188450422</v>
      </c>
      <c r="Z46" s="680">
        <f>'Income Statement'!Y117</f>
        <v>6.1915464228178578</v>
      </c>
      <c r="AA46" s="680">
        <f>'Income Statement'!Z117</f>
        <v>7.1453531210438719</v>
      </c>
      <c r="AB46" s="4"/>
      <c r="AC46" s="4"/>
      <c r="AD46" s="4"/>
      <c r="AE46" s="4"/>
      <c r="AF46" s="4"/>
      <c r="AG46" s="4"/>
      <c r="AH46" s="4"/>
      <c r="AI46" s="4"/>
      <c r="AJ46" s="4"/>
      <c r="AK46" s="4"/>
      <c r="AL46" s="4"/>
      <c r="AM46" s="4"/>
      <c r="AN46" s="4"/>
      <c r="AO46" s="4"/>
      <c r="AP46" s="4"/>
      <c r="AQ46" s="4"/>
    </row>
    <row r="47" spans="1:43" s="1" customFormat="1">
      <c r="A47" s="1" t="s">
        <v>135</v>
      </c>
      <c r="B47" s="545">
        <v>-16</v>
      </c>
      <c r="C47" s="545">
        <v>-1</v>
      </c>
      <c r="D47" s="545">
        <v>-10</v>
      </c>
      <c r="E47" s="545">
        <v>-4</v>
      </c>
      <c r="F47" s="545">
        <v>-7</v>
      </c>
      <c r="G47" s="545">
        <v>-5</v>
      </c>
      <c r="H47" s="545">
        <v>-10</v>
      </c>
      <c r="I47" s="545">
        <v>-2</v>
      </c>
      <c r="J47" s="545">
        <v>-2</v>
      </c>
      <c r="K47" s="545">
        <v>-3</v>
      </c>
      <c r="L47" s="545">
        <v>-4</v>
      </c>
      <c r="M47" s="545">
        <v>-3</v>
      </c>
      <c r="N47" s="545">
        <v>0</v>
      </c>
      <c r="O47" s="546">
        <v>0</v>
      </c>
      <c r="P47" s="546">
        <v>0</v>
      </c>
      <c r="Q47" s="546">
        <v>0</v>
      </c>
      <c r="R47" s="546">
        <v>-1</v>
      </c>
      <c r="S47" s="546">
        <v>0</v>
      </c>
      <c r="T47" s="559">
        <v>-1</v>
      </c>
      <c r="U47" s="559">
        <v>-2</v>
      </c>
      <c r="V47" s="544"/>
      <c r="W47" s="544"/>
      <c r="X47" s="544"/>
      <c r="Y47" s="544"/>
      <c r="Z47" s="544"/>
      <c r="AA47" s="544"/>
    </row>
    <row r="48" spans="1:43" s="1" customFormat="1">
      <c r="A48" s="1" t="s">
        <v>134</v>
      </c>
      <c r="B48" s="545">
        <v>94</v>
      </c>
      <c r="C48" s="545">
        <v>46</v>
      </c>
      <c r="D48" s="545">
        <v>24</v>
      </c>
      <c r="E48" s="545">
        <v>17</v>
      </c>
      <c r="F48" s="545">
        <v>-48</v>
      </c>
      <c r="G48" s="545">
        <v>-65</v>
      </c>
      <c r="H48" s="545">
        <v>144</v>
      </c>
      <c r="I48" s="545">
        <v>171</v>
      </c>
      <c r="J48" s="545">
        <v>52</v>
      </c>
      <c r="K48" s="545">
        <v>195</v>
      </c>
      <c r="L48" s="545">
        <v>60</v>
      </c>
      <c r="M48" s="545">
        <v>83</v>
      </c>
      <c r="N48" s="545">
        <v>117</v>
      </c>
      <c r="O48" s="546">
        <v>194</v>
      </c>
      <c r="P48" s="546">
        <v>89</v>
      </c>
      <c r="Q48" s="546">
        <v>138</v>
      </c>
      <c r="R48" s="546">
        <v>145</v>
      </c>
      <c r="S48" s="546">
        <v>146</v>
      </c>
      <c r="T48" s="559">
        <v>126</v>
      </c>
      <c r="U48" s="559">
        <v>0</v>
      </c>
      <c r="V48" s="544"/>
      <c r="W48" s="544"/>
      <c r="X48" s="544"/>
      <c r="Y48" s="544"/>
      <c r="Z48" s="544"/>
      <c r="AA48" s="544"/>
    </row>
    <row r="49" spans="1:27" s="1" customFormat="1">
      <c r="A49" s="1" t="s">
        <v>133</v>
      </c>
      <c r="B49" s="545">
        <v>-35</v>
      </c>
      <c r="C49" s="545">
        <v>0</v>
      </c>
      <c r="D49" s="545">
        <v>39</v>
      </c>
      <c r="E49" s="545">
        <v>-5</v>
      </c>
      <c r="F49" s="545">
        <v>-3</v>
      </c>
      <c r="G49" s="545">
        <v>-1</v>
      </c>
      <c r="H49" s="545">
        <v>-5</v>
      </c>
      <c r="I49" s="271"/>
      <c r="J49" s="545">
        <v>102</v>
      </c>
      <c r="K49" s="545">
        <v>0</v>
      </c>
      <c r="L49" s="271"/>
      <c r="M49" s="271"/>
      <c r="N49" s="545">
        <v>-49</v>
      </c>
      <c r="O49" s="546">
        <v>-31</v>
      </c>
      <c r="P49" s="546">
        <v>-4</v>
      </c>
      <c r="Q49" s="546">
        <v>-22</v>
      </c>
      <c r="R49" s="546">
        <v>-36</v>
      </c>
      <c r="S49" s="546">
        <v>-334</v>
      </c>
      <c r="T49" s="559">
        <v>-276</v>
      </c>
      <c r="U49" s="559">
        <v>-565</v>
      </c>
      <c r="V49" s="544"/>
      <c r="W49" s="544"/>
      <c r="X49" s="544"/>
      <c r="Y49" s="544"/>
      <c r="Z49" s="544"/>
      <c r="AA49" s="544"/>
    </row>
    <row r="50" spans="1:27" s="1" customFormat="1">
      <c r="A50" s="1" t="s">
        <v>15</v>
      </c>
      <c r="B50" s="553">
        <f t="shared" ref="B50:H50" si="17">B51-SUM(B43:B45,B47:B49)</f>
        <v>-2879</v>
      </c>
      <c r="C50" s="553">
        <f t="shared" si="17"/>
        <v>0</v>
      </c>
      <c r="D50" s="553">
        <f t="shared" si="17"/>
        <v>0</v>
      </c>
      <c r="E50" s="553">
        <f t="shared" si="17"/>
        <v>0</v>
      </c>
      <c r="F50" s="553">
        <f t="shared" si="17"/>
        <v>0</v>
      </c>
      <c r="G50" s="553">
        <f t="shared" si="17"/>
        <v>0</v>
      </c>
      <c r="H50" s="553">
        <f t="shared" si="17"/>
        <v>0</v>
      </c>
      <c r="I50" s="553">
        <f>I51-SUM(I41:I45,I47:I49)</f>
        <v>0</v>
      </c>
      <c r="J50" s="553">
        <f>J51-SUM(J43:J45,J47:J49)</f>
        <v>0</v>
      </c>
      <c r="K50" s="553">
        <f>K51-SUM(K41:K45,K47:K49)</f>
        <v>0</v>
      </c>
      <c r="L50" s="553">
        <f>L51-SUM(L41:L45,L47:L49)</f>
        <v>0</v>
      </c>
      <c r="M50" s="553">
        <f>M51-SUM(M41:M45,M47:M49)</f>
        <v>0</v>
      </c>
      <c r="N50" s="555">
        <v>179</v>
      </c>
      <c r="O50" s="546">
        <v>319</v>
      </c>
      <c r="P50" s="546">
        <v>91</v>
      </c>
      <c r="Q50" s="544">
        <v>0</v>
      </c>
      <c r="R50" s="546">
        <v>135</v>
      </c>
      <c r="S50" s="546">
        <v>138</v>
      </c>
      <c r="T50" s="559">
        <v>228</v>
      </c>
      <c r="U50" s="559">
        <v>82</v>
      </c>
      <c r="V50" s="544">
        <f t="shared" ref="V50:Z50" si="18">V51-SUM(V41:V45,V47:V49)</f>
        <v>0</v>
      </c>
      <c r="W50" s="544">
        <f t="shared" si="18"/>
        <v>0</v>
      </c>
      <c r="X50" s="544">
        <f t="shared" si="18"/>
        <v>0</v>
      </c>
      <c r="Y50" s="544">
        <f t="shared" si="18"/>
        <v>0</v>
      </c>
      <c r="Z50" s="544">
        <f t="shared" si="18"/>
        <v>0</v>
      </c>
      <c r="AA50" s="544">
        <f t="shared" ref="AA50" si="19">AA51-SUM(AA41:AA45,AA47:AA49)</f>
        <v>0</v>
      </c>
    </row>
    <row r="51" spans="1:27" s="12" customFormat="1">
      <c r="A51" s="647" t="s">
        <v>132</v>
      </c>
      <c r="B51" s="648">
        <v>-2511</v>
      </c>
      <c r="C51" s="648">
        <v>-638</v>
      </c>
      <c r="D51" s="648">
        <v>-201</v>
      </c>
      <c r="E51" s="648">
        <v>752</v>
      </c>
      <c r="F51" s="648">
        <v>-1119</v>
      </c>
      <c r="G51" s="648">
        <v>165</v>
      </c>
      <c r="H51" s="648">
        <v>-365</v>
      </c>
      <c r="I51" s="648">
        <v>-1068</v>
      </c>
      <c r="J51" s="649">
        <f>SUM(J41:J45,J47:J49)</f>
        <v>495</v>
      </c>
      <c r="K51" s="649">
        <f>SUM(K41:K45,K47:K49)</f>
        <v>-25</v>
      </c>
      <c r="L51" s="649">
        <f>SUM(L41:L45,L47:L49)</f>
        <v>-116</v>
      </c>
      <c r="M51" s="649">
        <f>SUM(M41:M45,M47:M49)</f>
        <v>321</v>
      </c>
      <c r="N51" s="649">
        <f>SUM(N41:N45,N47:N50)</f>
        <v>-3222</v>
      </c>
      <c r="O51" s="650">
        <f>SUM(O41:O45,O47:O50)</f>
        <v>-958</v>
      </c>
      <c r="P51" s="650">
        <f>SUM(P41:P45,P47:P50)</f>
        <v>6833</v>
      </c>
      <c r="Q51" s="650">
        <f>SUM(Q41:Q45,Q47:Q49)</f>
        <v>-2179</v>
      </c>
      <c r="R51" s="650">
        <f>SUM(R41:R45,R47:R50)</f>
        <v>-2115</v>
      </c>
      <c r="S51" s="650">
        <f>SUM(S41:S45,S47:S50)</f>
        <v>-1276</v>
      </c>
      <c r="T51" s="650">
        <f>SUM(T41:T45,T47:T50)</f>
        <v>-2570</v>
      </c>
      <c r="U51" s="650">
        <f>SUM(U41:U45,U47:U50)</f>
        <v>-3471</v>
      </c>
      <c r="V51" s="650">
        <f t="shared" ref="V51:Z51" si="20">SUM(V41:V45,V47:V49)</f>
        <v>-3526.6342816000001</v>
      </c>
      <c r="W51" s="650">
        <f t="shared" si="20"/>
        <v>-4703.467618022567</v>
      </c>
      <c r="X51" s="650">
        <f t="shared" si="20"/>
        <v>-5301.4969619027015</v>
      </c>
      <c r="Y51" s="650">
        <f t="shared" si="20"/>
        <v>-4118.748188734965</v>
      </c>
      <c r="Z51" s="650">
        <f t="shared" si="20"/>
        <v>-4725.7437703235346</v>
      </c>
      <c r="AA51" s="650">
        <f t="shared" ref="AA51" si="21">SUM(AA41:AA45,AA47:AA49)</f>
        <v>-5453.7438133536643</v>
      </c>
    </row>
    <row r="52" spans="1:27" s="1" customFormat="1">
      <c r="A52" s="1" t="s">
        <v>131</v>
      </c>
      <c r="B52" s="553">
        <f t="shared" ref="B52:Z52" si="22">B51+B40+B27</f>
        <v>2814</v>
      </c>
      <c r="C52" s="553">
        <f t="shared" si="22"/>
        <v>-477</v>
      </c>
      <c r="D52" s="553">
        <f t="shared" si="22"/>
        <v>-754</v>
      </c>
      <c r="E52" s="553">
        <f t="shared" si="22"/>
        <v>343</v>
      </c>
      <c r="F52" s="553">
        <f t="shared" si="22"/>
        <v>-2112</v>
      </c>
      <c r="G52" s="553">
        <f t="shared" si="22"/>
        <v>256</v>
      </c>
      <c r="H52" s="553">
        <f t="shared" si="22"/>
        <v>3449</v>
      </c>
      <c r="I52" s="553">
        <f t="shared" si="22"/>
        <v>-879</v>
      </c>
      <c r="J52" s="553">
        <f t="shared" si="22"/>
        <v>-168</v>
      </c>
      <c r="K52" s="553">
        <f t="shared" si="22"/>
        <v>266</v>
      </c>
      <c r="L52" s="553">
        <f t="shared" si="22"/>
        <v>3675</v>
      </c>
      <c r="M52" s="553">
        <f t="shared" si="22"/>
        <v>2235</v>
      </c>
      <c r="N52" s="553">
        <f t="shared" si="22"/>
        <v>-2539</v>
      </c>
      <c r="O52" s="544">
        <f t="shared" si="22"/>
        <v>-69</v>
      </c>
      <c r="P52" s="544">
        <f t="shared" si="22"/>
        <v>5539</v>
      </c>
      <c r="Q52" s="544">
        <f t="shared" si="22"/>
        <v>-259</v>
      </c>
      <c r="R52" s="544">
        <f t="shared" si="22"/>
        <v>1060</v>
      </c>
      <c r="S52" s="544">
        <f t="shared" si="22"/>
        <v>851</v>
      </c>
      <c r="T52" s="544">
        <f t="shared" si="22"/>
        <v>-1821</v>
      </c>
      <c r="U52" s="544">
        <f t="shared" si="22"/>
        <v>-158</v>
      </c>
      <c r="V52" s="544">
        <f t="shared" si="22"/>
        <v>816.33719487746021</v>
      </c>
      <c r="W52" s="544">
        <f t="shared" si="22"/>
        <v>1751.8119625358886</v>
      </c>
      <c r="X52" s="544">
        <f t="shared" si="22"/>
        <v>3046.3812283333118</v>
      </c>
      <c r="Y52" s="544">
        <f t="shared" si="22"/>
        <v>6250.663839455674</v>
      </c>
      <c r="Z52" s="544">
        <f t="shared" si="22"/>
        <v>6677.4836793436916</v>
      </c>
      <c r="AA52" s="544">
        <f t="shared" ref="AA52" si="23">AA51+AA40+AA27</f>
        <v>4864.5470489726667</v>
      </c>
    </row>
    <row r="53" spans="1:27" s="1" customFormat="1">
      <c r="A53" s="1" t="s">
        <v>130</v>
      </c>
      <c r="B53" s="545">
        <v>-57</v>
      </c>
      <c r="C53" s="545">
        <v>-117</v>
      </c>
      <c r="D53" s="545">
        <v>-50</v>
      </c>
      <c r="E53" s="545">
        <v>-50</v>
      </c>
      <c r="F53" s="545">
        <v>104</v>
      </c>
      <c r="G53" s="545">
        <v>-2</v>
      </c>
      <c r="H53" s="545">
        <v>23</v>
      </c>
      <c r="I53" s="545">
        <v>-112</v>
      </c>
      <c r="J53" s="545">
        <v>256</v>
      </c>
      <c r="K53" s="545">
        <v>171</v>
      </c>
      <c r="L53" s="545">
        <v>60</v>
      </c>
      <c r="M53" s="545">
        <v>-374</v>
      </c>
      <c r="N53" s="545">
        <v>-54</v>
      </c>
      <c r="O53" s="546">
        <v>-45</v>
      </c>
      <c r="P53" s="546">
        <v>-414</v>
      </c>
      <c r="Q53" s="546">
        <v>392</v>
      </c>
      <c r="R53" s="546">
        <v>191</v>
      </c>
      <c r="S53" s="546">
        <v>-201</v>
      </c>
      <c r="T53" s="546">
        <v>358</v>
      </c>
      <c r="U53" s="546">
        <v>-712</v>
      </c>
      <c r="V53" s="544"/>
      <c r="W53" s="544"/>
      <c r="X53" s="544"/>
      <c r="Y53" s="544"/>
      <c r="Z53" s="544"/>
      <c r="AA53" s="544"/>
    </row>
    <row r="54" spans="1:27" s="1" customFormat="1">
      <c r="A54" s="1" t="s">
        <v>129</v>
      </c>
      <c r="B54" s="271"/>
      <c r="C54" s="271"/>
      <c r="D54" s="271"/>
      <c r="E54" s="271"/>
      <c r="F54" s="271"/>
      <c r="G54" s="271"/>
      <c r="H54" s="271"/>
      <c r="I54" s="271"/>
      <c r="J54" s="271"/>
      <c r="K54" s="271"/>
      <c r="L54" s="271"/>
      <c r="M54" s="271"/>
      <c r="N54" s="271"/>
      <c r="O54" s="544"/>
      <c r="P54" s="544"/>
      <c r="Q54" s="544"/>
      <c r="R54" s="544"/>
      <c r="S54" s="544"/>
      <c r="T54" s="544"/>
      <c r="U54" s="544"/>
      <c r="V54" s="544"/>
      <c r="W54" s="544"/>
      <c r="X54" s="544"/>
      <c r="Y54" s="544"/>
      <c r="Z54" s="544"/>
      <c r="AA54" s="544"/>
    </row>
    <row r="55" spans="1:27" s="1" customFormat="1">
      <c r="A55" s="1" t="s">
        <v>15</v>
      </c>
      <c r="B55" s="271"/>
      <c r="C55" s="271"/>
      <c r="D55" s="271"/>
      <c r="E55" s="271"/>
      <c r="F55" s="271"/>
      <c r="G55" s="271"/>
      <c r="H55" s="271"/>
      <c r="I55" s="271"/>
      <c r="J55" s="271"/>
      <c r="K55" s="271"/>
      <c r="L55" s="271"/>
      <c r="M55" s="271"/>
      <c r="N55" s="271"/>
      <c r="O55" s="544"/>
      <c r="P55" s="544"/>
      <c r="Q55" s="544"/>
      <c r="R55" s="544"/>
      <c r="S55" s="544"/>
      <c r="T55" s="544"/>
      <c r="U55" s="544"/>
      <c r="V55" s="544"/>
      <c r="W55" s="544"/>
      <c r="X55" s="544"/>
      <c r="Y55" s="544"/>
      <c r="Z55" s="544"/>
      <c r="AA55" s="544"/>
    </row>
    <row r="56" spans="1:27" s="1" customFormat="1">
      <c r="A56" s="1" t="s">
        <v>128</v>
      </c>
      <c r="B56" s="545">
        <v>5386</v>
      </c>
      <c r="C56" s="545">
        <v>8143</v>
      </c>
      <c r="D56" s="545">
        <v>7549</v>
      </c>
      <c r="E56" s="545">
        <v>6745</v>
      </c>
      <c r="F56" s="545">
        <v>7038</v>
      </c>
      <c r="G56" s="545">
        <v>5030</v>
      </c>
      <c r="H56" s="545">
        <v>5284</v>
      </c>
      <c r="I56" s="553">
        <f t="shared" ref="I56:T56" si="24">H57</f>
        <v>8756</v>
      </c>
      <c r="J56" s="553">
        <f t="shared" si="24"/>
        <v>7765</v>
      </c>
      <c r="K56" s="553">
        <f t="shared" si="24"/>
        <v>7271</v>
      </c>
      <c r="L56" s="553">
        <f t="shared" si="24"/>
        <v>7489</v>
      </c>
      <c r="M56" s="553">
        <f t="shared" si="24"/>
        <v>10160</v>
      </c>
      <c r="N56" s="553">
        <f t="shared" si="24"/>
        <v>12021</v>
      </c>
      <c r="O56" s="544">
        <f t="shared" si="24"/>
        <v>9428</v>
      </c>
      <c r="P56" s="544">
        <f t="shared" si="24"/>
        <v>9314</v>
      </c>
      <c r="Q56" s="544">
        <f t="shared" si="24"/>
        <v>14439</v>
      </c>
      <c r="R56" s="544">
        <f t="shared" si="24"/>
        <v>14572</v>
      </c>
      <c r="S56" s="544">
        <f>R57</f>
        <v>15823</v>
      </c>
      <c r="T56" s="544">
        <f t="shared" si="24"/>
        <v>16473</v>
      </c>
      <c r="U56" s="544">
        <f t="shared" ref="U56:AA56" si="25">T57</f>
        <v>15010</v>
      </c>
      <c r="V56" s="544">
        <f t="shared" si="25"/>
        <v>14140</v>
      </c>
      <c r="W56" s="544">
        <f t="shared" si="25"/>
        <v>14956.33719487746</v>
      </c>
      <c r="X56" s="544">
        <f t="shared" si="25"/>
        <v>16708.149157413347</v>
      </c>
      <c r="Y56" s="544">
        <f t="shared" si="25"/>
        <v>19754.530385746657</v>
      </c>
      <c r="Z56" s="544">
        <f t="shared" si="25"/>
        <v>26005.194225202329</v>
      </c>
      <c r="AA56" s="544">
        <f t="shared" si="25"/>
        <v>32682.677904546021</v>
      </c>
    </row>
    <row r="57" spans="1:27" s="1" customFormat="1">
      <c r="A57" s="1" t="s">
        <v>127</v>
      </c>
      <c r="B57" s="553">
        <f t="shared" ref="B57:I57" si="26">SUM(B52:B56)</f>
        <v>8143</v>
      </c>
      <c r="C57" s="553">
        <f t="shared" si="26"/>
        <v>7549</v>
      </c>
      <c r="D57" s="553">
        <f t="shared" si="26"/>
        <v>6745</v>
      </c>
      <c r="E57" s="553">
        <f t="shared" si="26"/>
        <v>7038</v>
      </c>
      <c r="F57" s="553">
        <f t="shared" si="26"/>
        <v>5030</v>
      </c>
      <c r="G57" s="553">
        <f t="shared" si="26"/>
        <v>5284</v>
      </c>
      <c r="H57" s="553">
        <f t="shared" si="26"/>
        <v>8756</v>
      </c>
      <c r="I57" s="553">
        <f t="shared" si="26"/>
        <v>7765</v>
      </c>
      <c r="J57" s="555">
        <v>7271</v>
      </c>
      <c r="K57" s="555">
        <v>7489</v>
      </c>
      <c r="L57" s="553">
        <f>10143+17</f>
        <v>10160</v>
      </c>
      <c r="M57" s="553">
        <f t="shared" ref="M57:Z57" si="27">SUM(M52:M56)</f>
        <v>12021</v>
      </c>
      <c r="N57" s="553">
        <f t="shared" si="27"/>
        <v>9428</v>
      </c>
      <c r="O57" s="544">
        <f t="shared" si="27"/>
        <v>9314</v>
      </c>
      <c r="P57" s="544">
        <f t="shared" si="27"/>
        <v>14439</v>
      </c>
      <c r="Q57" s="544">
        <f t="shared" si="27"/>
        <v>14572</v>
      </c>
      <c r="R57" s="544">
        <f t="shared" si="27"/>
        <v>15823</v>
      </c>
      <c r="S57" s="544">
        <f>SUM(S52:S56)</f>
        <v>16473</v>
      </c>
      <c r="T57" s="544">
        <f>SUM(T52:T56)</f>
        <v>15010</v>
      </c>
      <c r="U57" s="544">
        <f t="shared" si="27"/>
        <v>14140</v>
      </c>
      <c r="V57" s="544">
        <f t="shared" si="27"/>
        <v>14956.33719487746</v>
      </c>
      <c r="W57" s="544">
        <f t="shared" si="27"/>
        <v>16708.149157413347</v>
      </c>
      <c r="X57" s="544">
        <f t="shared" si="27"/>
        <v>19754.530385746657</v>
      </c>
      <c r="Y57" s="544">
        <f t="shared" si="27"/>
        <v>26005.194225202329</v>
      </c>
      <c r="Z57" s="544">
        <f t="shared" si="27"/>
        <v>32682.677904546021</v>
      </c>
      <c r="AA57" s="544">
        <f t="shared" ref="AA57" si="28">SUM(AA52:AA56)</f>
        <v>37547.224953518686</v>
      </c>
    </row>
    <row r="58" spans="1:27" s="1" customFormat="1">
      <c r="A58" s="1" t="s">
        <v>126</v>
      </c>
      <c r="B58" s="271"/>
      <c r="C58" s="271"/>
      <c r="D58" s="271"/>
      <c r="E58" s="271"/>
      <c r="F58" s="271"/>
      <c r="G58" s="271"/>
      <c r="H58" s="271"/>
      <c r="I58" s="271"/>
      <c r="J58" s="271"/>
      <c r="K58" s="271"/>
      <c r="L58" s="553"/>
      <c r="M58" s="553"/>
      <c r="N58" s="271"/>
      <c r="O58" s="544"/>
      <c r="P58" s="544"/>
      <c r="Q58" s="544"/>
      <c r="R58" s="544"/>
      <c r="S58" s="544"/>
      <c r="T58" s="544"/>
      <c r="U58" s="544"/>
      <c r="V58" s="544"/>
      <c r="W58" s="544"/>
      <c r="X58" s="544"/>
      <c r="Y58" s="544"/>
      <c r="Z58" s="544"/>
      <c r="AA58" s="544"/>
    </row>
    <row r="59" spans="1:27" s="1" customFormat="1">
      <c r="A59" s="1" t="s">
        <v>609</v>
      </c>
      <c r="B59" s="271"/>
      <c r="C59" s="271"/>
      <c r="D59" s="271"/>
      <c r="E59" s="271"/>
      <c r="F59" s="271"/>
      <c r="G59" s="271"/>
      <c r="H59" s="271"/>
      <c r="I59" s="271"/>
      <c r="J59" s="271"/>
      <c r="K59" s="271"/>
      <c r="L59" s="553"/>
      <c r="M59" s="553"/>
      <c r="N59" s="271"/>
      <c r="O59" s="544"/>
      <c r="P59" s="544"/>
      <c r="Q59" s="544"/>
      <c r="R59" s="544"/>
      <c r="S59" s="544"/>
      <c r="T59" s="544">
        <v>7</v>
      </c>
      <c r="U59" s="544"/>
      <c r="V59" s="544"/>
      <c r="W59" s="544"/>
      <c r="X59" s="544"/>
      <c r="Y59" s="544"/>
      <c r="Z59" s="544"/>
      <c r="AA59" s="544"/>
    </row>
    <row r="60" spans="1:27" s="1" customFormat="1">
      <c r="A60" s="1" t="s">
        <v>610</v>
      </c>
      <c r="B60" s="271"/>
      <c r="C60" s="271"/>
      <c r="D60" s="271"/>
      <c r="E60" s="271"/>
      <c r="F60" s="271"/>
      <c r="G60" s="271"/>
      <c r="H60" s="271"/>
      <c r="I60" s="271"/>
      <c r="J60" s="271"/>
      <c r="K60" s="271"/>
      <c r="L60" s="553"/>
      <c r="M60" s="553"/>
      <c r="N60" s="271"/>
      <c r="O60" s="544"/>
      <c r="P60" s="544"/>
      <c r="Q60" s="544"/>
      <c r="R60" s="544"/>
      <c r="S60" s="544"/>
      <c r="T60" s="544">
        <f>T57-T59</f>
        <v>15003</v>
      </c>
      <c r="U60" s="544"/>
      <c r="V60" s="551"/>
      <c r="W60" s="551"/>
      <c r="X60" s="551"/>
      <c r="Y60" s="551"/>
      <c r="Z60" s="551"/>
      <c r="AA60" s="551"/>
    </row>
    <row r="61" spans="1:27" s="12" customFormat="1">
      <c r="A61" s="12" t="str">
        <f>'Cash Flow Statement'!A89</f>
        <v>FCF excluding the impact of customer financing</v>
      </c>
      <c r="B61" s="598">
        <f>'Cash Flow Statement'!B89</f>
        <v>0</v>
      </c>
      <c r="C61" s="598">
        <f>'Cash Flow Statement'!C89</f>
        <v>0</v>
      </c>
      <c r="D61" s="598">
        <f>'Cash Flow Statement'!D89</f>
        <v>2824</v>
      </c>
      <c r="E61" s="598">
        <f>'Cash Flow Statement'!E89</f>
        <v>606</v>
      </c>
      <c r="F61" s="598">
        <f>'Cash Flow Statement'!F89</f>
        <v>2745</v>
      </c>
      <c r="G61" s="598">
        <f>'Cash Flow Statement'!G89</f>
        <v>2493</v>
      </c>
      <c r="H61" s="598">
        <f>'Cash Flow Statement'!H89</f>
        <v>1449</v>
      </c>
      <c r="I61" s="598">
        <f>'Cash Flow Statement'!I89</f>
        <v>-844</v>
      </c>
      <c r="J61" s="598">
        <f>'Cash Flow Statement'!J89</f>
        <v>1001</v>
      </c>
      <c r="K61" s="598">
        <f>'Cash Flow Statement'!K89</f>
        <v>1325</v>
      </c>
      <c r="L61" s="598">
        <f>'Cash Flow Statement'!L89</f>
        <v>1408</v>
      </c>
      <c r="M61" s="598">
        <f>'Cash Flow Statement'!M89</f>
        <v>2949</v>
      </c>
      <c r="N61" s="646">
        <f>'Cash Flow Statement'!N89</f>
        <v>2912</v>
      </c>
      <c r="O61" s="599">
        <f>'Cash Flow Statement'!O89</f>
        <v>3509</v>
      </c>
      <c r="P61" s="599">
        <f>'Cash Flow Statement'!P89</f>
        <v>-6935</v>
      </c>
      <c r="Q61" s="599">
        <f>'Cash Flow Statement'!Q89</f>
        <v>3515</v>
      </c>
      <c r="R61" s="599">
        <f>'Cash Flow Statement'!R89</f>
        <v>4680</v>
      </c>
      <c r="S61" s="599">
        <f>'Cash Flow Statement'!S89</f>
        <v>4532</v>
      </c>
      <c r="T61" s="599">
        <f>'Cash Flow Statement'!T89</f>
        <v>4463</v>
      </c>
      <c r="U61" s="599">
        <f>'Cash Flow Statement'!U89</f>
        <v>4812</v>
      </c>
      <c r="V61" s="599">
        <f>'Cash Flow Statement'!V89</f>
        <v>4717.6100218181409</v>
      </c>
      <c r="W61" s="599">
        <f>'Cash Flow Statement'!W89</f>
        <v>6641.5454057094239</v>
      </c>
      <c r="X61" s="599">
        <f>'Cash Flow Statement'!X89</f>
        <v>8523.5376642731062</v>
      </c>
      <c r="Y61" s="599">
        <f>'Cash Flow Statement'!Y89</f>
        <v>10536.975472199898</v>
      </c>
      <c r="Z61" s="599">
        <f>'Cash Flow Statement'!Z89</f>
        <v>11565.492871475832</v>
      </c>
      <c r="AA61" s="599">
        <f>'Cash Flow Statement'!AA89</f>
        <v>10476.283159614251</v>
      </c>
    </row>
    <row r="62" spans="1:27" s="1" customFormat="1">
      <c r="A62" s="1" t="s">
        <v>438</v>
      </c>
      <c r="B62" s="271"/>
      <c r="C62" s="271"/>
      <c r="D62" s="271"/>
      <c r="E62" s="271"/>
      <c r="F62" s="271"/>
      <c r="G62" s="553"/>
      <c r="H62" s="553"/>
      <c r="I62" s="553"/>
      <c r="J62" s="271"/>
      <c r="K62" s="271"/>
      <c r="L62" s="271"/>
      <c r="M62" s="271"/>
      <c r="N62" s="271"/>
      <c r="O62" s="575">
        <f>O61/'Income Statement'!O113*1000</f>
        <v>4.5158558648866629</v>
      </c>
      <c r="P62" s="575">
        <f>P61/'Income Statement'!P113*1000</f>
        <v>-8.8549452470644709</v>
      </c>
      <c r="Q62" s="575">
        <f>Q61/'Income Statement'!Q113*1000</f>
        <v>4.4758478247087972</v>
      </c>
      <c r="R62" s="575">
        <f>R61/'Income Statement'!R113*1000</f>
        <v>5.9460239839052109</v>
      </c>
      <c r="S62" s="575">
        <f>S61/'Income Statement'!S113*1000</f>
        <v>5.7460131908100776</v>
      </c>
      <c r="T62" s="575">
        <f>T61/'Income Statement'!T113*1000</f>
        <v>5.6496411963258408</v>
      </c>
      <c r="U62" s="575">
        <f>U61/'Income Statement'!U113*1000</f>
        <v>6.0944316762174653</v>
      </c>
      <c r="V62" s="681">
        <f>V61/'Income Statement'!V113*1000</f>
        <v>6.0149809263697191</v>
      </c>
      <c r="W62" s="681">
        <f>W61/'Income Statement'!W113*1000</f>
        <v>8.58320622191175</v>
      </c>
      <c r="X62" s="681">
        <f>X61/'Income Statement'!X113*1000</f>
        <v>11.167317082739427</v>
      </c>
      <c r="Y62" s="681">
        <f>Y61/'Income Statement'!Y113*1000</f>
        <v>13.805270865913304</v>
      </c>
      <c r="Z62" s="681">
        <f>Z61/'Income Statement'!Z113*1000</f>
        <v>15.152807578395043</v>
      </c>
      <c r="AA62" s="681">
        <f>AA61/'Income Statement'!AA113*1000</f>
        <v>13.725753378477357</v>
      </c>
    </row>
    <row r="63" spans="1:27" s="69" customFormat="1">
      <c r="B63" s="568"/>
      <c r="C63" s="568"/>
      <c r="D63" s="568"/>
      <c r="E63" s="568"/>
      <c r="F63" s="568"/>
      <c r="G63" s="557"/>
      <c r="H63" s="557"/>
      <c r="I63" s="557"/>
      <c r="J63" s="568"/>
      <c r="K63" s="568"/>
      <c r="L63" s="568"/>
      <c r="M63" s="568"/>
      <c r="N63" s="568"/>
      <c r="O63" s="798"/>
      <c r="P63" s="798"/>
      <c r="Q63" s="798"/>
      <c r="R63" s="798"/>
      <c r="S63" s="798"/>
      <c r="T63" s="798"/>
      <c r="U63" s="798"/>
      <c r="V63" s="798"/>
      <c r="W63" s="798"/>
      <c r="X63" s="798"/>
      <c r="Y63" s="798"/>
      <c r="Z63" s="798"/>
      <c r="AA63" s="798"/>
    </row>
    <row r="64" spans="1:27">
      <c r="A64" s="196" t="s">
        <v>576</v>
      </c>
      <c r="B64" s="196">
        <f t="shared" ref="B64:I64" si="29">B2</f>
        <v>2006</v>
      </c>
      <c r="C64" s="196">
        <f t="shared" si="29"/>
        <v>2007</v>
      </c>
      <c r="D64" s="196">
        <f t="shared" si="29"/>
        <v>2008</v>
      </c>
      <c r="E64" s="196">
        <f t="shared" si="29"/>
        <v>2009</v>
      </c>
      <c r="F64" s="196">
        <f t="shared" si="29"/>
        <v>2010</v>
      </c>
      <c r="G64" s="196">
        <f t="shared" si="29"/>
        <v>2011</v>
      </c>
      <c r="H64" s="196">
        <f t="shared" si="29"/>
        <v>2012</v>
      </c>
      <c r="I64" s="196">
        <f t="shared" si="29"/>
        <v>2013</v>
      </c>
      <c r="J64" s="196">
        <f t="shared" ref="J64:P64" si="30">J2</f>
        <v>2014</v>
      </c>
      <c r="K64" s="196">
        <f t="shared" si="30"/>
        <v>2015</v>
      </c>
      <c r="L64" s="196">
        <f t="shared" si="30"/>
        <v>2016</v>
      </c>
      <c r="M64" s="196">
        <f t="shared" si="30"/>
        <v>2017</v>
      </c>
      <c r="N64" s="196">
        <f t="shared" si="30"/>
        <v>2018</v>
      </c>
      <c r="O64" s="196">
        <f t="shared" si="30"/>
        <v>2019</v>
      </c>
      <c r="P64" s="196">
        <f t="shared" si="30"/>
        <v>2020</v>
      </c>
      <c r="Q64" s="196">
        <f t="shared" ref="Q64:Z64" si="31">Q2</f>
        <v>2021</v>
      </c>
      <c r="R64" s="196">
        <f t="shared" si="31"/>
        <v>2022</v>
      </c>
      <c r="S64" s="196">
        <f t="shared" si="31"/>
        <v>2023</v>
      </c>
      <c r="T64" s="196">
        <f t="shared" si="31"/>
        <v>2024</v>
      </c>
      <c r="U64" s="196">
        <f t="shared" si="31"/>
        <v>2025</v>
      </c>
      <c r="V64" s="617">
        <f t="shared" si="31"/>
        <v>2026</v>
      </c>
      <c r="W64" s="617">
        <f t="shared" si="31"/>
        <v>2027</v>
      </c>
      <c r="X64" s="617">
        <f t="shared" si="31"/>
        <v>2028</v>
      </c>
      <c r="Y64" s="617">
        <f t="shared" si="31"/>
        <v>2029</v>
      </c>
      <c r="Z64" s="617">
        <f t="shared" si="31"/>
        <v>2030</v>
      </c>
      <c r="AA64" s="617">
        <f t="shared" ref="AA64" si="32">AA2</f>
        <v>2031</v>
      </c>
    </row>
    <row r="65" spans="1:27">
      <c r="A65" s="12" t="s">
        <v>545</v>
      </c>
      <c r="Q65" s="544">
        <f t="shared" ref="Q65:Z65" si="33">Q27</f>
        <v>4639</v>
      </c>
      <c r="R65" s="544">
        <f t="shared" si="33"/>
        <v>6288</v>
      </c>
      <c r="S65" s="544">
        <f t="shared" si="33"/>
        <v>6255</v>
      </c>
      <c r="T65" s="544">
        <f t="shared" si="33"/>
        <v>7402</v>
      </c>
      <c r="U65" s="544">
        <f t="shared" si="33"/>
        <v>7995</v>
      </c>
      <c r="V65" s="544">
        <f t="shared" si="33"/>
        <v>8218.6562050435787</v>
      </c>
      <c r="W65" s="544">
        <f t="shared" si="33"/>
        <v>10701.370252830111</v>
      </c>
      <c r="X65" s="544">
        <f t="shared" si="33"/>
        <v>13033.967546222313</v>
      </c>
      <c r="Y65" s="544">
        <f t="shared" si="33"/>
        <v>15346.441175587968</v>
      </c>
      <c r="Z65" s="544">
        <f t="shared" si="33"/>
        <v>16516.013471502403</v>
      </c>
      <c r="AA65" s="544">
        <f t="shared" ref="AA65" si="34">AA27</f>
        <v>15505.690250259906</v>
      </c>
    </row>
    <row r="66" spans="1:27">
      <c r="A66" s="1" t="s">
        <v>544</v>
      </c>
    </row>
    <row r="67" spans="1:27">
      <c r="A67" s="1" t="s">
        <v>160</v>
      </c>
      <c r="Q67" s="544">
        <f t="shared" ref="Q67:Z67" si="35">-Q9</f>
        <v>330</v>
      </c>
      <c r="R67" s="544">
        <f t="shared" si="35"/>
        <v>322</v>
      </c>
      <c r="S67" s="544">
        <f t="shared" si="35"/>
        <v>606</v>
      </c>
      <c r="T67" s="544">
        <f t="shared" si="35"/>
        <v>786</v>
      </c>
      <c r="U67" s="544">
        <f t="shared" si="35"/>
        <v>651</v>
      </c>
      <c r="V67" s="544">
        <f t="shared" si="35"/>
        <v>740.94799999999998</v>
      </c>
      <c r="W67" s="544">
        <f t="shared" si="35"/>
        <v>689.94999999999993</v>
      </c>
      <c r="X67" s="544">
        <f t="shared" si="35"/>
        <v>649.29599999999994</v>
      </c>
      <c r="Y67" s="544">
        <f t="shared" si="35"/>
        <v>609.7299999999999</v>
      </c>
      <c r="Z67" s="544">
        <f t="shared" si="35"/>
        <v>558.26899999999989</v>
      </c>
      <c r="AA67" s="544">
        <f t="shared" ref="AA67" si="36">-AA9</f>
        <v>521.15099999999984</v>
      </c>
    </row>
    <row r="68" spans="1:27">
      <c r="A68" s="1" t="s">
        <v>546</v>
      </c>
      <c r="Q68" s="544">
        <f t="shared" ref="Q68:Z68" si="37">-Q11</f>
        <v>321</v>
      </c>
      <c r="R68" s="544">
        <f t="shared" si="37"/>
        <v>790</v>
      </c>
      <c r="S68" s="544">
        <f t="shared" si="37"/>
        <v>544</v>
      </c>
      <c r="T68" s="544">
        <f t="shared" si="37"/>
        <v>947</v>
      </c>
      <c r="U68" s="544">
        <f t="shared" si="37"/>
        <v>965</v>
      </c>
      <c r="V68" s="544">
        <f t="shared" si="37"/>
        <v>2030.5035683906053</v>
      </c>
      <c r="W68" s="544">
        <f t="shared" si="37"/>
        <v>2501.0172995995308</v>
      </c>
      <c r="X68" s="544">
        <f t="shared" si="37"/>
        <v>3144.009032374759</v>
      </c>
      <c r="Y68" s="544">
        <f t="shared" si="37"/>
        <v>3621.5771631750658</v>
      </c>
      <c r="Z68" s="544">
        <f t="shared" si="37"/>
        <v>3936.8966996750055</v>
      </c>
      <c r="AA68" s="544">
        <f t="shared" ref="AA68" si="38">-AA11</f>
        <v>4186.0173780785708</v>
      </c>
    </row>
    <row r="69" spans="1:27">
      <c r="A69" s="1"/>
      <c r="Q69" s="544"/>
      <c r="R69" s="544"/>
      <c r="S69" s="544"/>
      <c r="T69" s="544"/>
      <c r="U69" s="544"/>
      <c r="V69" s="544"/>
      <c r="W69" s="544"/>
      <c r="X69" s="544"/>
      <c r="Y69" s="544"/>
      <c r="Z69" s="544"/>
      <c r="AA69" s="544"/>
    </row>
    <row r="70" spans="1:27">
      <c r="A70" s="1" t="s">
        <v>620</v>
      </c>
      <c r="Q70" s="544">
        <f t="shared" ref="Q70:Z70" si="39">-Q8</f>
        <v>-111</v>
      </c>
      <c r="R70" s="544">
        <f t="shared" si="39"/>
        <v>-250</v>
      </c>
      <c r="S70" s="544">
        <f t="shared" si="39"/>
        <v>-690</v>
      </c>
      <c r="T70" s="544">
        <f t="shared" si="39"/>
        <v>-681</v>
      </c>
      <c r="U70" s="544">
        <f t="shared" si="39"/>
        <v>-607</v>
      </c>
      <c r="V70" s="544">
        <f t="shared" si="39"/>
        <v>-649.88800000000003</v>
      </c>
      <c r="W70" s="544">
        <f t="shared" si="39"/>
        <v>-673.03517376948571</v>
      </c>
      <c r="X70" s="544">
        <f t="shared" si="39"/>
        <v>-701.7422646113605</v>
      </c>
      <c r="Y70" s="544">
        <f t="shared" si="39"/>
        <v>-770.42668504411949</v>
      </c>
      <c r="Z70" s="544">
        <f t="shared" si="39"/>
        <v>-1014.2025747828907</v>
      </c>
      <c r="AA70" s="544">
        <f t="shared" ref="AA70" si="40">-AA8</f>
        <v>-1274.6244382772945</v>
      </c>
    </row>
    <row r="71" spans="1:27">
      <c r="A71" s="1"/>
      <c r="Q71" s="544"/>
      <c r="R71" s="544"/>
      <c r="S71" s="544"/>
      <c r="T71" s="544"/>
      <c r="U71" s="544"/>
      <c r="V71" s="544"/>
      <c r="W71" s="544"/>
      <c r="X71" s="544"/>
      <c r="Y71" s="544"/>
      <c r="Z71" s="544"/>
      <c r="AA71" s="544"/>
    </row>
    <row r="72" spans="1:27">
      <c r="A72" s="1" t="s">
        <v>547</v>
      </c>
      <c r="Q72" s="544"/>
      <c r="R72" s="544"/>
      <c r="S72" s="544"/>
      <c r="T72" s="544"/>
      <c r="U72" s="544"/>
      <c r="V72" s="544"/>
      <c r="W72" s="544"/>
      <c r="X72" s="544"/>
      <c r="Y72" s="544"/>
      <c r="Z72" s="544"/>
      <c r="AA72" s="544"/>
    </row>
    <row r="73" spans="1:27">
      <c r="A73" s="1" t="s">
        <v>548</v>
      </c>
      <c r="Q73" s="544">
        <f t="shared" ref="Q73:Z73" si="41">Q28</f>
        <v>-1928</v>
      </c>
      <c r="R73" s="544">
        <f t="shared" si="41"/>
        <v>-2464</v>
      </c>
      <c r="S73" s="544">
        <f t="shared" si="41"/>
        <v>-3051</v>
      </c>
      <c r="T73" s="544">
        <f t="shared" si="41"/>
        <v>-3669</v>
      </c>
      <c r="U73" s="544">
        <f t="shared" si="41"/>
        <v>-3964</v>
      </c>
      <c r="V73" s="544">
        <f t="shared" si="41"/>
        <v>-4175.2211832254379</v>
      </c>
      <c r="W73" s="544">
        <f t="shared" si="41"/>
        <v>-4567.208597120687</v>
      </c>
      <c r="X73" s="544">
        <f t="shared" si="41"/>
        <v>-5029.5828194492078</v>
      </c>
      <c r="Y73" s="544">
        <f t="shared" si="41"/>
        <v>-5340.976287763071</v>
      </c>
      <c r="Z73" s="544">
        <f t="shared" si="41"/>
        <v>-5495.0067136203224</v>
      </c>
      <c r="AA73" s="544">
        <f t="shared" ref="AA73" si="42">AA28</f>
        <v>-5587.5175099190928</v>
      </c>
    </row>
    <row r="74" spans="1:27">
      <c r="A74" s="1" t="s">
        <v>549</v>
      </c>
      <c r="Q74" s="544"/>
      <c r="R74" s="544"/>
      <c r="S74" s="544"/>
      <c r="T74" s="544"/>
      <c r="U74" s="544"/>
      <c r="V74" s="544"/>
      <c r="W74" s="544"/>
      <c r="X74" s="544"/>
      <c r="Y74" s="544"/>
      <c r="Z74" s="544"/>
      <c r="AA74" s="544"/>
    </row>
    <row r="75" spans="1:27">
      <c r="A75" s="12" t="s">
        <v>550</v>
      </c>
      <c r="Q75" s="544">
        <f t="shared" ref="Q75:Z75" si="43">SUM(Q65:Q74)</f>
        <v>3251</v>
      </c>
      <c r="R75" s="544">
        <f t="shared" si="43"/>
        <v>4686</v>
      </c>
      <c r="S75" s="544">
        <f t="shared" si="43"/>
        <v>3664</v>
      </c>
      <c r="T75" s="544">
        <f t="shared" si="43"/>
        <v>4785</v>
      </c>
      <c r="U75" s="544">
        <f t="shared" si="43"/>
        <v>5040</v>
      </c>
      <c r="V75" s="544">
        <f t="shared" si="43"/>
        <v>6164.9985902087465</v>
      </c>
      <c r="W75" s="544">
        <f t="shared" si="43"/>
        <v>8652.09378153947</v>
      </c>
      <c r="X75" s="544">
        <f t="shared" si="43"/>
        <v>11095.947494536504</v>
      </c>
      <c r="Y75" s="544">
        <f t="shared" si="43"/>
        <v>13466.345365955844</v>
      </c>
      <c r="Z75" s="544">
        <f t="shared" si="43"/>
        <v>14501.969882774196</v>
      </c>
      <c r="AA75" s="544">
        <f t="shared" ref="AA75" si="44">SUM(AA65:AA74)</f>
        <v>13350.71668014209</v>
      </c>
    </row>
    <row r="76" spans="1:27">
      <c r="A76" s="1" t="s">
        <v>553</v>
      </c>
      <c r="Q76" s="562">
        <f>'Income Statement'!Q31</f>
        <v>4865</v>
      </c>
      <c r="R76" s="562">
        <f>'Income Statement'!R31</f>
        <v>5627</v>
      </c>
      <c r="S76" s="562">
        <f>'Income Statement'!S31</f>
        <v>5838</v>
      </c>
      <c r="T76" s="562">
        <f>'Income Statement'!T31</f>
        <v>5354</v>
      </c>
      <c r="U76" s="562">
        <f>'Income Statement'!U31</f>
        <v>7128</v>
      </c>
      <c r="V76" s="547">
        <f>'Income Statement'!V31</f>
        <v>7612.6223301407481</v>
      </c>
      <c r="W76" s="547">
        <f>'Income Statement'!W31</f>
        <v>9281.3937468996228</v>
      </c>
      <c r="X76" s="547">
        <f>'Income Statement'!X31</f>
        <v>11593.856786348431</v>
      </c>
      <c r="Y76" s="547">
        <f>'Income Statement'!Y31</f>
        <v>13254.654457542723</v>
      </c>
      <c r="Z76" s="547">
        <f>'Income Statement'!Z31</f>
        <v>14127.450751599445</v>
      </c>
      <c r="AA76" s="547">
        <f>'Income Statement'!AA31</f>
        <v>14752.724686371123</v>
      </c>
    </row>
    <row r="77" spans="1:27">
      <c r="A77" s="12" t="s">
        <v>541</v>
      </c>
      <c r="Q77" s="73">
        <f t="shared" ref="Q77:S77" si="45">Q75/Q76</f>
        <v>0.66824254881808842</v>
      </c>
      <c r="R77" s="73">
        <f t="shared" si="45"/>
        <v>0.83277057046383507</v>
      </c>
      <c r="S77" s="73">
        <f t="shared" si="45"/>
        <v>0.62761219595751971</v>
      </c>
      <c r="T77" s="73">
        <f t="shared" ref="T77:Z77" si="46">T75/T76</f>
        <v>0.8937243182667165</v>
      </c>
      <c r="U77" s="73">
        <f t="shared" si="46"/>
        <v>0.70707070707070707</v>
      </c>
      <c r="V77" s="73">
        <f t="shared" si="46"/>
        <v>0.80983901773237754</v>
      </c>
      <c r="W77" s="73">
        <f t="shared" si="46"/>
        <v>0.93219768684306004</v>
      </c>
      <c r="X77" s="73">
        <f t="shared" si="46"/>
        <v>0.95705404155084894</v>
      </c>
      <c r="Y77" s="73">
        <f t="shared" si="46"/>
        <v>1.0159710620213607</v>
      </c>
      <c r="Z77" s="73">
        <f t="shared" si="46"/>
        <v>1.026510029145375</v>
      </c>
      <c r="AA77" s="73">
        <f t="shared" ref="AA77" si="47">AA75/AA76</f>
        <v>0.90496616482484504</v>
      </c>
    </row>
    <row r="78" spans="1:27">
      <c r="A78" s="12"/>
      <c r="Q78" s="73"/>
      <c r="R78" s="73"/>
      <c r="S78" s="73"/>
      <c r="T78" s="73"/>
      <c r="U78" s="73"/>
      <c r="V78" s="73"/>
      <c r="W78" s="73"/>
      <c r="X78" s="73"/>
      <c r="Y78" s="73"/>
      <c r="Z78" s="73"/>
      <c r="AA78" s="73"/>
    </row>
    <row r="79" spans="1:27">
      <c r="A79" s="196" t="s">
        <v>575</v>
      </c>
      <c r="B79" s="196">
        <f t="shared" ref="B79:Z79" si="48">B64</f>
        <v>2006</v>
      </c>
      <c r="C79" s="196">
        <f t="shared" si="48"/>
        <v>2007</v>
      </c>
      <c r="D79" s="196">
        <f t="shared" si="48"/>
        <v>2008</v>
      </c>
      <c r="E79" s="196">
        <f t="shared" si="48"/>
        <v>2009</v>
      </c>
      <c r="F79" s="196">
        <f t="shared" si="48"/>
        <v>2010</v>
      </c>
      <c r="G79" s="196">
        <f t="shared" si="48"/>
        <v>2011</v>
      </c>
      <c r="H79" s="196">
        <f t="shared" si="48"/>
        <v>2012</v>
      </c>
      <c r="I79" s="196">
        <f t="shared" si="48"/>
        <v>2013</v>
      </c>
      <c r="J79" s="196">
        <f t="shared" si="48"/>
        <v>2014</v>
      </c>
      <c r="K79" s="196">
        <f t="shared" si="48"/>
        <v>2015</v>
      </c>
      <c r="L79" s="196">
        <f t="shared" si="48"/>
        <v>2016</v>
      </c>
      <c r="M79" s="196">
        <f t="shared" si="48"/>
        <v>2017</v>
      </c>
      <c r="N79" s="196">
        <f t="shared" si="48"/>
        <v>2018</v>
      </c>
      <c r="O79" s="196">
        <f t="shared" si="48"/>
        <v>2019</v>
      </c>
      <c r="P79" s="196">
        <f t="shared" si="48"/>
        <v>2020</v>
      </c>
      <c r="Q79" s="196">
        <f t="shared" si="48"/>
        <v>2021</v>
      </c>
      <c r="R79" s="196">
        <f t="shared" si="48"/>
        <v>2022</v>
      </c>
      <c r="S79" s="196">
        <f t="shared" si="48"/>
        <v>2023</v>
      </c>
      <c r="T79" s="196">
        <f t="shared" si="48"/>
        <v>2024</v>
      </c>
      <c r="U79" s="196">
        <f t="shared" si="48"/>
        <v>2025</v>
      </c>
      <c r="V79" s="617">
        <f t="shared" si="48"/>
        <v>2026</v>
      </c>
      <c r="W79" s="617">
        <f t="shared" si="48"/>
        <v>2027</v>
      </c>
      <c r="X79" s="617">
        <f t="shared" si="48"/>
        <v>2028</v>
      </c>
      <c r="Y79" s="617">
        <f t="shared" si="48"/>
        <v>2029</v>
      </c>
      <c r="Z79" s="617">
        <f t="shared" si="48"/>
        <v>2030</v>
      </c>
      <c r="AA79" s="617">
        <f t="shared" ref="AA79" si="49">AA64</f>
        <v>2031</v>
      </c>
    </row>
    <row r="80" spans="1:27" s="1" customFormat="1">
      <c r="A80" s="1" t="s">
        <v>304</v>
      </c>
      <c r="B80" s="271"/>
      <c r="C80" s="73"/>
      <c r="D80" s="544">
        <f>'Cash Flow Statement'!D27</f>
        <v>4399</v>
      </c>
      <c r="E80" s="544">
        <f>'Cash Flow Statement'!E27</f>
        <v>2438</v>
      </c>
      <c r="F80" s="544">
        <f>'Cash Flow Statement'!F27</f>
        <v>4443</v>
      </c>
      <c r="G80" s="544">
        <f>'Cash Flow Statement'!G27</f>
        <v>4289</v>
      </c>
      <c r="H80" s="544">
        <f>'Cash Flow Statement'!H27</f>
        <v>3840</v>
      </c>
      <c r="I80" s="544">
        <f>'Cash Flow Statement'!I27</f>
        <v>1931</v>
      </c>
      <c r="J80" s="544">
        <f>'Cash Flow Statement'!J27+187</f>
        <v>2747</v>
      </c>
      <c r="K80" s="544">
        <f>'Cash Flow Statement'!K27+106</f>
        <v>3856</v>
      </c>
      <c r="L80" s="544">
        <f>'Cash Flow Statement'!L27-311</f>
        <v>4310</v>
      </c>
      <c r="M80" s="544">
        <f>'Cash Flow Statement'!M27+7</f>
        <v>4451</v>
      </c>
      <c r="N80" s="544">
        <f>'Cash Flow Statement'!N27</f>
        <v>2318</v>
      </c>
      <c r="O80" s="544">
        <f>'Cash Flow Statement'!O27</f>
        <v>3753</v>
      </c>
      <c r="P80" s="544">
        <f>'Cash Flow Statement'!P27</f>
        <v>-5420</v>
      </c>
      <c r="Q80" s="544">
        <f>'Cash Flow Statement'!Q27</f>
        <v>4639</v>
      </c>
      <c r="R80" s="544">
        <f>'Cash Flow Statement'!R27</f>
        <v>6288</v>
      </c>
      <c r="S80" s="544">
        <f>'Cash Flow Statement'!S27</f>
        <v>6255</v>
      </c>
      <c r="T80" s="544">
        <f>'Cash Flow Statement'!T27</f>
        <v>7402</v>
      </c>
      <c r="U80" s="544">
        <f>'Cash Flow Statement'!U27</f>
        <v>7995</v>
      </c>
      <c r="V80" s="544">
        <f>'Cash Flow Statement'!V27</f>
        <v>8218.6562050435787</v>
      </c>
      <c r="W80" s="544">
        <f>'Cash Flow Statement'!W27</f>
        <v>10701.370252830111</v>
      </c>
      <c r="X80" s="544">
        <f>'Cash Flow Statement'!X27</f>
        <v>13033.967546222313</v>
      </c>
      <c r="Y80" s="544">
        <f>'Cash Flow Statement'!Y27</f>
        <v>15346.441175587968</v>
      </c>
      <c r="Z80" s="544">
        <f>'Cash Flow Statement'!Z27</f>
        <v>16516.013471502403</v>
      </c>
      <c r="AA80" s="544">
        <f>'Cash Flow Statement'!AA27</f>
        <v>15505.690250259906</v>
      </c>
    </row>
    <row r="81" spans="1:43" s="1" customFormat="1">
      <c r="A81" s="1" t="s">
        <v>305</v>
      </c>
      <c r="B81" s="271"/>
      <c r="C81" s="73"/>
      <c r="D81" s="544">
        <f>'Cash Flow Statement'!D40</f>
        <v>-4952</v>
      </c>
      <c r="E81" s="544">
        <f>'Cash Flow Statement'!E40</f>
        <v>-2847</v>
      </c>
      <c r="F81" s="544">
        <f>'Cash Flow Statement'!F40</f>
        <v>-5436</v>
      </c>
      <c r="G81" s="544">
        <f>'Cash Flow Statement'!G40</f>
        <v>-4198</v>
      </c>
      <c r="H81" s="544">
        <f>'Cash Flow Statement'!H40</f>
        <v>-26</v>
      </c>
      <c r="I81" s="544">
        <f>'Cash Flow Statement'!I40</f>
        <v>-1742</v>
      </c>
      <c r="J81" s="544">
        <f>'Cash Flow Statement'!J40</f>
        <v>-3223</v>
      </c>
      <c r="K81" s="544">
        <f>'Cash Flow Statement'!K40</f>
        <v>-3459</v>
      </c>
      <c r="L81" s="544">
        <f>'Cash Flow Statement'!L40</f>
        <v>-830</v>
      </c>
      <c r="M81" s="544">
        <f>'Cash Flow Statement'!M40</f>
        <v>-2530</v>
      </c>
      <c r="N81" s="544">
        <f>'Cash Flow Statement'!N40</f>
        <v>-1635</v>
      </c>
      <c r="O81" s="544">
        <f>'Cash Flow Statement'!O40</f>
        <v>-2864</v>
      </c>
      <c r="P81" s="544">
        <f>'Cash Flow Statement'!P40</f>
        <v>4126</v>
      </c>
      <c r="Q81" s="544">
        <f>'Cash Flow Statement'!Q40</f>
        <v>-2719</v>
      </c>
      <c r="R81" s="544">
        <f>'Cash Flow Statement'!R40</f>
        <v>-3113</v>
      </c>
      <c r="S81" s="544">
        <f>'Cash Flow Statement'!S40</f>
        <v>-4128</v>
      </c>
      <c r="T81" s="544">
        <f>'Cash Flow Statement'!T40</f>
        <v>-6653</v>
      </c>
      <c r="U81" s="544">
        <f>'Cash Flow Statement'!U40</f>
        <v>-4682</v>
      </c>
      <c r="V81" s="544">
        <f>'Cash Flow Statement'!V40</f>
        <v>-3875.6847285661179</v>
      </c>
      <c r="W81" s="544">
        <f>'Cash Flow Statement'!W40</f>
        <v>-4246.0906722716554</v>
      </c>
      <c r="X81" s="544">
        <f>'Cash Flow Statement'!X40</f>
        <v>-4686.0893559862998</v>
      </c>
      <c r="Y81" s="544">
        <f>'Cash Flow Statement'!Y40</f>
        <v>-4977.0291473973293</v>
      </c>
      <c r="Z81" s="544">
        <f>'Cash Flow Statement'!Z40</f>
        <v>-5112.7860218351761</v>
      </c>
      <c r="AA81" s="544">
        <f>'Cash Flow Statement'!AA40</f>
        <v>-5187.399387933574</v>
      </c>
    </row>
    <row r="82" spans="1:43" s="1" customFormat="1">
      <c r="A82" s="8" t="s">
        <v>306</v>
      </c>
      <c r="B82" s="271"/>
      <c r="C82" s="73"/>
      <c r="D82" s="544">
        <f>-('Cash Flow Statement'!D37+'Cash Flow Statement'!D38)</f>
        <v>2676</v>
      </c>
      <c r="E82" s="544">
        <f>-('Cash Flow Statement'!E37+'Cash Flow Statement'!E38)</f>
        <v>821</v>
      </c>
      <c r="F82" s="544">
        <f>-('Cash Flow Statement'!F37+'Cash Flow Statement'!F38)</f>
        <v>3147</v>
      </c>
      <c r="G82" s="544">
        <f>-('Cash Flow Statement'!G37+'Cash Flow Statement'!G38)</f>
        <v>378</v>
      </c>
      <c r="H82" s="544">
        <f>-('Cash Flow Statement'!H37+'Cash Flow Statement'!H38)</f>
        <v>-3422</v>
      </c>
      <c r="I82" s="544">
        <f>-('Cash Flow Statement'!I37+'Cash Flow Statement'!I38)</f>
        <v>-1272</v>
      </c>
      <c r="J82" s="544">
        <f>-('Cash Flow Statement'!J37+'Cash Flow Statement'!J38)</f>
        <v>2016</v>
      </c>
      <c r="K82" s="544">
        <f>-('Cash Flow Statement'!K37+'Cash Flow Statement'!K38)</f>
        <v>2361</v>
      </c>
      <c r="L82" s="544">
        <f>-('Cash Flow Statement'!L37+'Cash Flow Statement'!L38)</f>
        <v>-337</v>
      </c>
      <c r="M82" s="544">
        <f>-('Cash Flow Statement'!M37+'Cash Flow Statement'!M38)+123</f>
        <v>1356</v>
      </c>
      <c r="N82" s="544">
        <f>-('Cash Flow Statement'!N37+'Cash Flow Statement'!N38)</f>
        <v>93</v>
      </c>
      <c r="O82" s="544">
        <f>-('Cash Flow Statement'!O37+'Cash Flow Statement'!O38)</f>
        <v>397</v>
      </c>
      <c r="P82" s="544">
        <f>-('Cash Flow Statement'!P37+'Cash Flow Statement'!P38)</f>
        <v>-6303</v>
      </c>
      <c r="Q82" s="544">
        <f>-('Cash Flow Statement'!Q37+'Cash Flow Statement'!Q38)</f>
        <v>1186</v>
      </c>
      <c r="R82" s="544">
        <f>-('Cash Flow Statement'!R37+'Cash Flow Statement'!R38)</f>
        <v>344</v>
      </c>
      <c r="S82" s="544">
        <f>-('Cash Flow Statement'!S37+'Cash Flow Statement'!S38)</f>
        <v>786</v>
      </c>
      <c r="T82" s="544">
        <f>-('Cash Flow Statement'!T37+'Cash Flow Statement'!T38)</f>
        <v>2691</v>
      </c>
      <c r="U82" s="544">
        <f>-('Cash Flow Statement'!U37+'Cash Flow Statement'!U38)</f>
        <v>1527</v>
      </c>
      <c r="V82" s="544">
        <f>-('Cash Flow Statement'!V37+'Cash Flow Statement'!V38)</f>
        <v>0</v>
      </c>
      <c r="W82" s="544">
        <f>-('Cash Flow Statement'!W37+'Cash Flow Statement'!W38)</f>
        <v>0</v>
      </c>
      <c r="X82" s="544">
        <f>-('Cash Flow Statement'!X37+'Cash Flow Statement'!X38)</f>
        <v>0</v>
      </c>
      <c r="Y82" s="544">
        <f>-('Cash Flow Statement'!Y37+'Cash Flow Statement'!Y38)</f>
        <v>0</v>
      </c>
      <c r="Z82" s="544">
        <f>-('Cash Flow Statement'!Z37+'Cash Flow Statement'!Z38)</f>
        <v>0</v>
      </c>
      <c r="AA82" s="544">
        <f>-('Cash Flow Statement'!AA37+'Cash Flow Statement'!AA38)</f>
        <v>0</v>
      </c>
    </row>
    <row r="83" spans="1:43" s="1" customFormat="1">
      <c r="A83" s="8" t="s">
        <v>307</v>
      </c>
      <c r="B83" s="563">
        <v>0</v>
      </c>
      <c r="C83" s="563">
        <v>303</v>
      </c>
      <c r="D83" s="563">
        <v>436</v>
      </c>
      <c r="E83" s="563">
        <v>173</v>
      </c>
      <c r="F83" s="563">
        <v>553</v>
      </c>
      <c r="G83" s="563">
        <v>489</v>
      </c>
      <c r="H83" s="563">
        <v>856</v>
      </c>
      <c r="I83" s="563">
        <v>223</v>
      </c>
      <c r="J83" s="563">
        <v>462</v>
      </c>
      <c r="K83" s="563">
        <v>217</v>
      </c>
      <c r="L83" s="564">
        <v>290</v>
      </c>
      <c r="M83" s="562">
        <v>458</v>
      </c>
      <c r="N83" s="562">
        <f t="shared" ref="N83:Z83" si="50">-N26</f>
        <v>2519</v>
      </c>
      <c r="O83" s="562">
        <f t="shared" si="50"/>
        <v>1752</v>
      </c>
      <c r="P83" s="562">
        <f t="shared" si="50"/>
        <v>314</v>
      </c>
      <c r="Q83" s="562">
        <f t="shared" si="50"/>
        <v>533</v>
      </c>
      <c r="R83" s="562">
        <f t="shared" si="50"/>
        <v>600</v>
      </c>
      <c r="S83" s="562">
        <f t="shared" si="50"/>
        <v>668</v>
      </c>
      <c r="T83" s="562">
        <f t="shared" si="50"/>
        <v>505</v>
      </c>
      <c r="U83" s="562">
        <f t="shared" si="50"/>
        <v>272</v>
      </c>
      <c r="V83" s="562">
        <f t="shared" si="50"/>
        <v>450</v>
      </c>
      <c r="W83" s="562">
        <f t="shared" si="50"/>
        <v>272</v>
      </c>
      <c r="X83" s="562">
        <f t="shared" si="50"/>
        <v>272</v>
      </c>
      <c r="Y83" s="562">
        <f t="shared" si="50"/>
        <v>272</v>
      </c>
      <c r="Z83" s="562">
        <f t="shared" si="50"/>
        <v>272</v>
      </c>
      <c r="AA83" s="562">
        <f t="shared" ref="AA83" si="51">-AA26</f>
        <v>272</v>
      </c>
    </row>
    <row r="84" spans="1:43" s="1" customFormat="1" ht="11.25" customHeight="1">
      <c r="A84" s="8" t="s">
        <v>308</v>
      </c>
      <c r="B84" s="549">
        <f>-'Cash Flow Statement'!B32</f>
        <v>82</v>
      </c>
      <c r="C84" s="549">
        <f>-'Cash Flow Statement'!C32</f>
        <v>0</v>
      </c>
      <c r="D84" s="549">
        <f>-'Cash Flow Statement'!D32</f>
        <v>265</v>
      </c>
      <c r="E84" s="549">
        <f>-'Cash Flow Statement'!E32</f>
        <v>21</v>
      </c>
      <c r="F84" s="549">
        <f>-'Cash Flow Statement'!F32</f>
        <v>38</v>
      </c>
      <c r="G84" s="549">
        <f>-'Cash Flow Statement'!G32</f>
        <v>1535</v>
      </c>
      <c r="H84" s="549">
        <f>-'Cash Flow Statement'!H32</f>
        <v>201</v>
      </c>
      <c r="I84" s="549">
        <f>-'Cash Flow Statement'!I32</f>
        <v>16</v>
      </c>
      <c r="J84" s="563">
        <v>-893</v>
      </c>
      <c r="K84" s="563">
        <v>-1650</v>
      </c>
      <c r="L84" s="564">
        <v>-2025</v>
      </c>
      <c r="M84" s="564">
        <v>-886</v>
      </c>
      <c r="N84" s="549">
        <f>2912-SUM(N80:N83)</f>
        <v>-383</v>
      </c>
      <c r="O84" s="559">
        <f>3509-SUM(O80:O83)</f>
        <v>471</v>
      </c>
      <c r="P84" s="559">
        <f>-6935-SUM(P80:P83)</f>
        <v>348</v>
      </c>
      <c r="Q84" s="559">
        <f>3515-SUM(Q80:Q83)</f>
        <v>-124</v>
      </c>
      <c r="R84" s="559">
        <f>4680-SUM(R80:R83)</f>
        <v>561</v>
      </c>
      <c r="S84" s="559">
        <f>4532-SUM(S80:S83)</f>
        <v>951</v>
      </c>
      <c r="T84" s="559">
        <f>4463-SUM(T80:T83)</f>
        <v>518</v>
      </c>
      <c r="U84" s="559">
        <f>-'Cash Flow Statement'!U35-'Cash Flow Statement'!U34-'Cash Flow Statement'!U33-'Cash Flow Statement'!U30</f>
        <v>-300</v>
      </c>
      <c r="V84" s="544">
        <f>-'Cash Flow Statement'!V35-'Cash Flow Statement'!V34-'Cash Flow Statement'!V33-'Cash Flow Statement'!V30</f>
        <v>-75.361454659319975</v>
      </c>
      <c r="W84" s="544">
        <f>-'Cash Flow Statement'!W35-'Cash Flow Statement'!W34-'Cash Flow Statement'!W33-'Cash Flow Statement'!W30</f>
        <v>-85.734174849031476</v>
      </c>
      <c r="X84" s="544">
        <f>-'Cash Flow Statement'!X35-'Cash Flow Statement'!X34-'Cash Flow Statement'!X33-'Cash Flow Statement'!X30</f>
        <v>-96.340525962907861</v>
      </c>
      <c r="Y84" s="544">
        <f>-'Cash Flow Statement'!Y35-'Cash Flow Statement'!Y34-'Cash Flow Statement'!Y33-'Cash Flow Statement'!Y30</f>
        <v>-104.43655599074224</v>
      </c>
      <c r="Z84" s="544">
        <f>-'Cash Flow Statement'!Z35-'Cash Flow Statement'!Z34-'Cash Flow Statement'!Z33-'Cash Flow Statement'!Z30</f>
        <v>-109.73457819139598</v>
      </c>
      <c r="AA84" s="544">
        <f>-'Cash Flow Statement'!AA35-'Cash Flow Statement'!AA34-'Cash Flow Statement'!AA33-'Cash Flow Statement'!AA30</f>
        <v>-114.00770271208108</v>
      </c>
    </row>
    <row r="85" spans="1:43" s="1" customFormat="1" ht="11.25" customHeight="1">
      <c r="A85" s="8" t="s">
        <v>525</v>
      </c>
      <c r="B85" s="549"/>
      <c r="C85" s="549"/>
      <c r="D85" s="549"/>
      <c r="E85" s="549"/>
      <c r="F85" s="549"/>
      <c r="G85" s="549"/>
      <c r="H85" s="549"/>
      <c r="I85" s="549"/>
      <c r="J85" s="563"/>
      <c r="K85" s="563"/>
      <c r="L85" s="564"/>
      <c r="M85" s="564"/>
      <c r="N85" s="549"/>
      <c r="O85" s="562"/>
      <c r="P85" s="562"/>
      <c r="Q85" s="562"/>
      <c r="R85" s="562"/>
      <c r="S85" s="559"/>
      <c r="T85" s="559"/>
      <c r="U85" s="559"/>
      <c r="V85" s="544"/>
      <c r="W85" s="544"/>
      <c r="X85" s="544"/>
      <c r="Y85" s="544"/>
      <c r="Z85" s="544"/>
      <c r="AA85" s="544"/>
    </row>
    <row r="86" spans="1:43" s="1" customFormat="1">
      <c r="A86" s="12" t="s">
        <v>303</v>
      </c>
      <c r="B86" s="598"/>
      <c r="C86" s="652"/>
      <c r="D86" s="599">
        <f t="shared" ref="D86:R86" si="52">SUM(D80:D84)</f>
        <v>2824</v>
      </c>
      <c r="E86" s="599">
        <f t="shared" si="52"/>
        <v>606</v>
      </c>
      <c r="F86" s="599">
        <f t="shared" si="52"/>
        <v>2745</v>
      </c>
      <c r="G86" s="599">
        <f t="shared" si="52"/>
        <v>2493</v>
      </c>
      <c r="H86" s="599">
        <f t="shared" si="52"/>
        <v>1449</v>
      </c>
      <c r="I86" s="599">
        <f t="shared" si="52"/>
        <v>-844</v>
      </c>
      <c r="J86" s="599">
        <f>SUM(J80:J84)-108</f>
        <v>1001</v>
      </c>
      <c r="K86" s="599">
        <f t="shared" si="52"/>
        <v>1325</v>
      </c>
      <c r="L86" s="599">
        <f t="shared" si="52"/>
        <v>1408</v>
      </c>
      <c r="M86" s="599">
        <f>SUM(M80:M84)+100</f>
        <v>2949</v>
      </c>
      <c r="N86" s="599">
        <f t="shared" si="52"/>
        <v>2912</v>
      </c>
      <c r="O86" s="599">
        <f t="shared" si="52"/>
        <v>3509</v>
      </c>
      <c r="P86" s="599">
        <f t="shared" si="52"/>
        <v>-6935</v>
      </c>
      <c r="Q86" s="599">
        <f t="shared" si="52"/>
        <v>3515</v>
      </c>
      <c r="R86" s="599">
        <f t="shared" si="52"/>
        <v>4680</v>
      </c>
      <c r="S86" s="599">
        <f>SUM(S80:S85)</f>
        <v>4532</v>
      </c>
      <c r="T86" s="599">
        <f>SUM(T80:T85)</f>
        <v>4463</v>
      </c>
      <c r="U86" s="599">
        <f t="shared" ref="U86:Z86" si="53">SUM(U80:U85)</f>
        <v>4812</v>
      </c>
      <c r="V86" s="599">
        <f t="shared" si="53"/>
        <v>4717.6100218181409</v>
      </c>
      <c r="W86" s="599">
        <f t="shared" si="53"/>
        <v>6641.5454057094239</v>
      </c>
      <c r="X86" s="599">
        <f t="shared" si="53"/>
        <v>8523.5376642731062</v>
      </c>
      <c r="Y86" s="599">
        <f>SUM(Y80:Y85)</f>
        <v>10536.975472199898</v>
      </c>
      <c r="Z86" s="599">
        <f t="shared" si="53"/>
        <v>11565.492871475832</v>
      </c>
      <c r="AA86" s="599">
        <f t="shared" ref="AA86" si="54">SUM(AA80:AA85)</f>
        <v>10476.283159614251</v>
      </c>
      <c r="AB86" s="4"/>
      <c r="AC86" s="4"/>
      <c r="AD86" s="4"/>
      <c r="AE86" s="4"/>
      <c r="AF86" s="4"/>
      <c r="AG86" s="4"/>
      <c r="AH86" s="4"/>
      <c r="AI86" s="4"/>
      <c r="AJ86" s="4"/>
      <c r="AK86" s="4"/>
      <c r="AL86" s="4"/>
      <c r="AM86" s="4"/>
      <c r="AN86" s="4"/>
      <c r="AO86" s="4"/>
      <c r="AP86" s="4"/>
      <c r="AQ86" s="4"/>
    </row>
    <row r="87" spans="1:43" s="1" customFormat="1">
      <c r="A87" s="1" t="s">
        <v>418</v>
      </c>
      <c r="B87" s="271"/>
      <c r="C87" s="271"/>
      <c r="D87" s="271"/>
      <c r="E87" s="271"/>
      <c r="F87" s="73"/>
      <c r="G87" s="73"/>
      <c r="H87" s="73"/>
      <c r="I87" s="73"/>
      <c r="J87" s="73">
        <f>J86/'Income Statement'!J102</f>
        <v>0.3800303720577069</v>
      </c>
      <c r="K87" s="73">
        <f>K86/'Income Statement'!K102</f>
        <v>0.49774605559729529</v>
      </c>
      <c r="L87" s="73">
        <f>L86/'Income Statement'!L102</f>
        <v>0.54957064793130372</v>
      </c>
      <c r="M87" s="73">
        <f>M86/'Income Statement'!M102</f>
        <v>1.1362848225638653</v>
      </c>
      <c r="N87" s="73">
        <f>N86/'Income Statement'!N102</f>
        <v>0.7199011124845488</v>
      </c>
      <c r="O87" s="73">
        <f>O86/'Income Statement'!O102</f>
        <v>0.744220572640509</v>
      </c>
      <c r="P87" s="73">
        <f>P86/'Income Statement'!P102</f>
        <v>-6.511737089201878</v>
      </c>
      <c r="Q87" s="73">
        <f>Q86/'Income Statement'!Q102</f>
        <v>1.0347365322343245</v>
      </c>
      <c r="R87" s="73">
        <f>R86/'Income Statement'!R102</f>
        <v>1.1541307028360048</v>
      </c>
      <c r="S87" s="73">
        <f>S86/'Income Statement'!S102</f>
        <v>1.0261519302615194</v>
      </c>
      <c r="T87" s="73">
        <f>T86/'Income Statement'!T102</f>
        <v>1.1179859719438878</v>
      </c>
      <c r="U87" s="73">
        <f>U86/'Income Statement'!U102</f>
        <v>0.88504690086444726</v>
      </c>
      <c r="V87" s="682">
        <f>V86/'Income Statement'!V102</f>
        <v>0.82016026212895343</v>
      </c>
      <c r="W87" s="682">
        <f>W86/'Income Statement'!W102</f>
        <v>0.94548817603165292</v>
      </c>
      <c r="X87" s="682">
        <f>X86/'Income Statement'!X102</f>
        <v>0.972640841012129</v>
      </c>
      <c r="Y87" s="682">
        <f>Y86/'Income Statement'!Y102</f>
        <v>1.0479574671469971</v>
      </c>
      <c r="Z87" s="682">
        <f>Z86/'Income Statement'!Z102</f>
        <v>1.0603260134036143</v>
      </c>
      <c r="AA87" s="682">
        <f>AA86/'Income Statement'!AA102</f>
        <v>0.90459542846847907</v>
      </c>
    </row>
    <row r="88" spans="1:43" s="1" customFormat="1">
      <c r="B88" s="544"/>
      <c r="C88" s="544"/>
      <c r="D88" s="544"/>
      <c r="E88" s="544"/>
      <c r="F88" s="544"/>
      <c r="G88" s="544"/>
      <c r="H88" s="544"/>
      <c r="I88" s="544"/>
      <c r="J88" s="544"/>
      <c r="K88" s="544"/>
      <c r="L88" s="544"/>
      <c r="M88" s="544"/>
      <c r="N88" s="544"/>
      <c r="O88" s="544"/>
      <c r="P88" s="544"/>
      <c r="Q88" s="544"/>
      <c r="R88" s="544"/>
      <c r="S88" s="544"/>
      <c r="T88" s="544"/>
      <c r="U88" s="544"/>
      <c r="V88" s="544"/>
      <c r="W88" s="544"/>
      <c r="X88" s="544"/>
      <c r="Y88" s="544"/>
      <c r="Z88" s="544"/>
      <c r="AA88" s="544"/>
    </row>
    <row r="89" spans="1:43" s="1" customFormat="1">
      <c r="A89" s="12" t="s">
        <v>422</v>
      </c>
      <c r="B89" s="599">
        <v>0</v>
      </c>
      <c r="C89" s="599">
        <v>0</v>
      </c>
      <c r="D89" s="599">
        <v>2824</v>
      </c>
      <c r="E89" s="599">
        <v>606</v>
      </c>
      <c r="F89" s="599">
        <v>2745</v>
      </c>
      <c r="G89" s="599">
        <v>2493</v>
      </c>
      <c r="H89" s="599">
        <v>1449</v>
      </c>
      <c r="I89" s="599">
        <v>-844</v>
      </c>
      <c r="J89" s="599">
        <f>J86</f>
        <v>1001</v>
      </c>
      <c r="K89" s="599">
        <v>1325</v>
      </c>
      <c r="L89" s="599">
        <v>1408</v>
      </c>
      <c r="M89" s="653">
        <f>M86</f>
        <v>2949</v>
      </c>
      <c r="N89" s="653">
        <f>N86</f>
        <v>2912</v>
      </c>
      <c r="O89" s="653">
        <f>O86</f>
        <v>3509</v>
      </c>
      <c r="P89" s="653">
        <f>P86</f>
        <v>-6935</v>
      </c>
      <c r="Q89" s="653">
        <f t="shared" ref="Q89:Z89" si="55">Q86</f>
        <v>3515</v>
      </c>
      <c r="R89" s="653">
        <f t="shared" si="55"/>
        <v>4680</v>
      </c>
      <c r="S89" s="653">
        <f t="shared" si="55"/>
        <v>4532</v>
      </c>
      <c r="T89" s="653">
        <f t="shared" si="55"/>
        <v>4463</v>
      </c>
      <c r="U89" s="653">
        <f t="shared" si="55"/>
        <v>4812</v>
      </c>
      <c r="V89" s="653">
        <f t="shared" si="55"/>
        <v>4717.6100218181409</v>
      </c>
      <c r="W89" s="653">
        <f t="shared" si="55"/>
        <v>6641.5454057094239</v>
      </c>
      <c r="X89" s="653">
        <f t="shared" si="55"/>
        <v>8523.5376642731062</v>
      </c>
      <c r="Y89" s="653">
        <f t="shared" si="55"/>
        <v>10536.975472199898</v>
      </c>
      <c r="Z89" s="653">
        <f t="shared" si="55"/>
        <v>11565.492871475832</v>
      </c>
      <c r="AA89" s="653">
        <f t="shared" ref="AA89" si="56">AA86</f>
        <v>10476.283159614251</v>
      </c>
    </row>
    <row r="90" spans="1:43" s="1" customFormat="1">
      <c r="A90" s="1" t="s">
        <v>448</v>
      </c>
      <c r="B90" s="544"/>
      <c r="C90" s="544"/>
      <c r="D90" s="544"/>
      <c r="E90" s="544"/>
      <c r="F90" s="544"/>
      <c r="G90" s="544"/>
      <c r="H90" s="544"/>
      <c r="I90" s="544"/>
      <c r="J90" s="544"/>
      <c r="K90" s="544"/>
      <c r="L90" s="544"/>
      <c r="M90" s="562"/>
      <c r="N90" s="562"/>
      <c r="O90" s="559">
        <v>-889</v>
      </c>
      <c r="P90" s="559">
        <v>-552.25</v>
      </c>
      <c r="Q90" s="559">
        <v>-530.25</v>
      </c>
      <c r="R90" s="559">
        <v>-217.25</v>
      </c>
      <c r="S90" s="559">
        <v>-530.25</v>
      </c>
      <c r="T90" s="559">
        <v>-330.25</v>
      </c>
      <c r="U90" s="559"/>
      <c r="V90" s="562"/>
      <c r="W90" s="562"/>
      <c r="X90" s="562"/>
      <c r="Y90" s="562"/>
      <c r="Z90" s="562"/>
      <c r="AA90" s="562"/>
    </row>
    <row r="91" spans="1:43" s="1" customFormat="1">
      <c r="A91" s="1" t="s">
        <v>449</v>
      </c>
      <c r="B91" s="544"/>
      <c r="C91" s="544"/>
      <c r="D91" s="544"/>
      <c r="E91" s="544"/>
      <c r="F91" s="544"/>
      <c r="G91" s="544"/>
      <c r="H91" s="544"/>
      <c r="I91" s="544"/>
      <c r="J91" s="544"/>
      <c r="K91" s="544"/>
      <c r="L91" s="544"/>
      <c r="M91" s="562"/>
      <c r="N91" s="562"/>
      <c r="O91" s="559">
        <v>-343.18946598390636</v>
      </c>
      <c r="P91" s="559">
        <v>-316.24125799939617</v>
      </c>
      <c r="Q91" s="559">
        <v>-347.69877797445525</v>
      </c>
      <c r="R91" s="559">
        <v>-262.32158116461108</v>
      </c>
      <c r="S91" s="559">
        <v>-183.27931290531927</v>
      </c>
      <c r="T91" s="559">
        <v>-77.42650837270179</v>
      </c>
      <c r="U91" s="559"/>
      <c r="V91" s="562"/>
      <c r="W91" s="562"/>
      <c r="X91" s="562"/>
      <c r="Y91" s="562"/>
      <c r="Z91" s="562"/>
      <c r="AA91" s="562"/>
    </row>
    <row r="92" spans="1:43" s="1" customFormat="1">
      <c r="A92" s="12" t="s">
        <v>450</v>
      </c>
      <c r="B92" s="599"/>
      <c r="C92" s="599"/>
      <c r="D92" s="599"/>
      <c r="E92" s="599"/>
      <c r="F92" s="599"/>
      <c r="G92" s="599"/>
      <c r="H92" s="599"/>
      <c r="I92" s="599"/>
      <c r="J92" s="599"/>
      <c r="K92" s="599"/>
      <c r="L92" s="599"/>
      <c r="M92" s="653"/>
      <c r="N92" s="653"/>
      <c r="O92" s="653">
        <f t="shared" ref="O92:Z92" si="57">O89-O90-O91</f>
        <v>4741.1894659839063</v>
      </c>
      <c r="P92" s="653">
        <f t="shared" si="57"/>
        <v>-6066.5087420006039</v>
      </c>
      <c r="Q92" s="653">
        <f t="shared" si="57"/>
        <v>4392.948777974455</v>
      </c>
      <c r="R92" s="653">
        <f t="shared" si="57"/>
        <v>5159.5715811646114</v>
      </c>
      <c r="S92" s="653">
        <f t="shared" si="57"/>
        <v>5245.5293129053189</v>
      </c>
      <c r="T92" s="653">
        <f t="shared" si="57"/>
        <v>4870.6765083727014</v>
      </c>
      <c r="U92" s="653">
        <f t="shared" si="57"/>
        <v>4812</v>
      </c>
      <c r="V92" s="653">
        <f t="shared" si="57"/>
        <v>4717.6100218181409</v>
      </c>
      <c r="W92" s="653">
        <f t="shared" si="57"/>
        <v>6641.5454057094239</v>
      </c>
      <c r="X92" s="653">
        <f t="shared" si="57"/>
        <v>8523.5376642731062</v>
      </c>
      <c r="Y92" s="653">
        <f t="shared" si="57"/>
        <v>10536.975472199898</v>
      </c>
      <c r="Z92" s="653">
        <f t="shared" si="57"/>
        <v>11565.492871475832</v>
      </c>
      <c r="AA92" s="653">
        <f t="shared" ref="AA92" si="58">AA89-AA90-AA91</f>
        <v>10476.283159614251</v>
      </c>
    </row>
    <row r="93" spans="1:43" s="1" customFormat="1">
      <c r="A93" s="1" t="s">
        <v>451</v>
      </c>
      <c r="B93" s="544"/>
      <c r="C93" s="544"/>
      <c r="D93" s="544"/>
      <c r="E93" s="544"/>
      <c r="F93" s="544"/>
      <c r="G93" s="544"/>
      <c r="H93" s="544"/>
      <c r="I93" s="544"/>
      <c r="J93" s="544"/>
      <c r="K93" s="544"/>
      <c r="L93" s="544"/>
      <c r="M93" s="562"/>
      <c r="N93" s="562"/>
      <c r="O93" s="565">
        <f>O92/'Income Statement'!O102</f>
        <v>1.0055544996784531</v>
      </c>
      <c r="P93" s="565">
        <f>P92/'Income Statement'!P102</f>
        <v>-5.6962523399066702</v>
      </c>
      <c r="Q93" s="565">
        <f>Q92/'Income Statement'!Q102</f>
        <v>1.2931848036427598</v>
      </c>
      <c r="R93" s="565">
        <f>R92/'Income Statement'!R102</f>
        <v>1.2723974306201262</v>
      </c>
      <c r="S93" s="565">
        <f>S92/'Income Statement'!S102</f>
        <v>1.1877118335571875</v>
      </c>
      <c r="T93" s="565">
        <f>T92/'Income Statement'!T102</f>
        <v>1.2201093457847449</v>
      </c>
      <c r="U93" s="565">
        <f>U92/'Income Statement'!U102</f>
        <v>0.88504690086444726</v>
      </c>
      <c r="V93" s="565">
        <f>V92/'Income Statement'!V102</f>
        <v>0.82016026212895343</v>
      </c>
      <c r="W93" s="565">
        <f>W92/'Income Statement'!W102</f>
        <v>0.94548817603165292</v>
      </c>
      <c r="X93" s="565">
        <f>X92/'Income Statement'!X102</f>
        <v>0.972640841012129</v>
      </c>
      <c r="Y93" s="565">
        <f>Y92/'Income Statement'!Y102</f>
        <v>1.0479574671469971</v>
      </c>
      <c r="Z93" s="565">
        <f>Z92/'Income Statement'!Z102</f>
        <v>1.0603260134036143</v>
      </c>
      <c r="AA93" s="565">
        <f>AA92/'Income Statement'!AA102</f>
        <v>0.90459542846847907</v>
      </c>
    </row>
    <row r="94" spans="1:43" s="1" customFormat="1">
      <c r="B94" s="544"/>
      <c r="C94" s="544"/>
      <c r="D94" s="544"/>
      <c r="E94" s="544"/>
      <c r="F94" s="544"/>
      <c r="G94" s="544"/>
      <c r="H94" s="544"/>
      <c r="I94" s="544"/>
      <c r="J94" s="544"/>
      <c r="K94" s="544"/>
      <c r="L94" s="544"/>
      <c r="M94" s="562"/>
      <c r="N94" s="562"/>
      <c r="O94" s="565"/>
      <c r="P94" s="565"/>
      <c r="Q94" s="565"/>
      <c r="R94" s="565"/>
      <c r="S94" s="565"/>
      <c r="T94" s="565"/>
      <c r="U94" s="565"/>
      <c r="V94" s="565"/>
      <c r="W94" s="565"/>
      <c r="X94" s="565"/>
      <c r="Y94" s="565"/>
      <c r="Z94" s="565"/>
      <c r="AA94" s="565"/>
    </row>
    <row r="95" spans="1:43" s="1" customFormat="1">
      <c r="A95" s="266" t="s">
        <v>679</v>
      </c>
      <c r="B95" s="196">
        <f>B79</f>
        <v>2006</v>
      </c>
      <c r="C95" s="196">
        <f t="shared" ref="C95:T95" si="59">C79</f>
        <v>2007</v>
      </c>
      <c r="D95" s="196">
        <f t="shared" si="59"/>
        <v>2008</v>
      </c>
      <c r="E95" s="196">
        <f t="shared" si="59"/>
        <v>2009</v>
      </c>
      <c r="F95" s="196">
        <f t="shared" si="59"/>
        <v>2010</v>
      </c>
      <c r="G95" s="196">
        <f t="shared" si="59"/>
        <v>2011</v>
      </c>
      <c r="H95" s="196">
        <f t="shared" si="59"/>
        <v>2012</v>
      </c>
      <c r="I95" s="196">
        <f t="shared" si="59"/>
        <v>2013</v>
      </c>
      <c r="J95" s="196">
        <f t="shared" si="59"/>
        <v>2014</v>
      </c>
      <c r="K95" s="196">
        <f t="shared" si="59"/>
        <v>2015</v>
      </c>
      <c r="L95" s="196">
        <f t="shared" si="59"/>
        <v>2016</v>
      </c>
      <c r="M95" s="196">
        <f t="shared" si="59"/>
        <v>2017</v>
      </c>
      <c r="N95" s="196">
        <f t="shared" si="59"/>
        <v>2018</v>
      </c>
      <c r="O95" s="196">
        <f t="shared" si="59"/>
        <v>2019</v>
      </c>
      <c r="P95" s="196">
        <f t="shared" si="59"/>
        <v>2020</v>
      </c>
      <c r="Q95" s="196">
        <f t="shared" si="59"/>
        <v>2021</v>
      </c>
      <c r="R95" s="196">
        <f t="shared" si="59"/>
        <v>2022</v>
      </c>
      <c r="S95" s="196">
        <f t="shared" si="59"/>
        <v>2023</v>
      </c>
      <c r="T95" s="196">
        <f t="shared" si="59"/>
        <v>2024</v>
      </c>
      <c r="U95" s="196">
        <f>'Income Statement'!U$2</f>
        <v>2025</v>
      </c>
      <c r="V95" s="532">
        <f>'Income Statement'!V$2</f>
        <v>2026</v>
      </c>
      <c r="W95" s="532">
        <f>'Income Statement'!W$2</f>
        <v>2027</v>
      </c>
      <c r="X95" s="532">
        <f>'Income Statement'!X$2</f>
        <v>2028</v>
      </c>
      <c r="Y95" s="532">
        <f>'Income Statement'!Y$2</f>
        <v>2029</v>
      </c>
      <c r="Z95" s="532">
        <f>'Income Statement'!Z$2</f>
        <v>2030</v>
      </c>
      <c r="AA95" s="532">
        <f>'Income Statement'!AA$2</f>
        <v>2031</v>
      </c>
    </row>
    <row r="96" spans="1:43" s="1" customFormat="1">
      <c r="A96" s="1" t="s">
        <v>41</v>
      </c>
      <c r="B96" s="553" t="e">
        <f>'Cash Flow Statement'!B27-B97+'Income Statement'!B140-'Income Statement'!B141</f>
        <v>#REF!</v>
      </c>
      <c r="C96" s="553" t="e">
        <f>'Cash Flow Statement'!C27-C97+'Income Statement'!C140-'Income Statement'!C141</f>
        <v>#REF!</v>
      </c>
      <c r="D96" s="553" t="e">
        <f>'Cash Flow Statement'!D27-D97+'Income Statement'!D140-'Income Statement'!D141</f>
        <v>#REF!</v>
      </c>
      <c r="E96" s="553" t="e">
        <f>'Cash Flow Statement'!E27-E97+'Income Statement'!E140-'Income Statement'!E141</f>
        <v>#REF!</v>
      </c>
      <c r="F96" s="553" t="e">
        <f>'Cash Flow Statement'!F27-F97+'Income Statement'!F140-'Income Statement'!F141</f>
        <v>#REF!</v>
      </c>
      <c r="G96" s="553" t="e">
        <f>'Cash Flow Statement'!G27-G97+'Income Statement'!G140-'Income Statement'!G141</f>
        <v>#REF!</v>
      </c>
      <c r="H96" s="553" t="e">
        <f>'Cash Flow Statement'!H27-H97+'Income Statement'!H140-'Income Statement'!H141</f>
        <v>#REF!</v>
      </c>
      <c r="I96" s="553" t="e">
        <f>'Cash Flow Statement'!I27-I97+'Income Statement'!I140-'Income Statement'!I141</f>
        <v>#REF!</v>
      </c>
      <c r="J96" s="553" t="e">
        <f>'Cash Flow Statement'!J27-J97+'Income Statement'!J140-'Income Statement'!J141</f>
        <v>#REF!</v>
      </c>
      <c r="K96" s="553" t="e">
        <f>'Cash Flow Statement'!K27-K97+'Income Statement'!K140-'Income Statement'!K141</f>
        <v>#REF!</v>
      </c>
      <c r="L96" s="553" t="e">
        <f>'Cash Flow Statement'!L27-L97+'Income Statement'!L140-'Income Statement'!L141</f>
        <v>#REF!</v>
      </c>
      <c r="M96" s="553" t="e">
        <f>'Cash Flow Statement'!M27-M97+'Income Statement'!M140-'Income Statement'!M141</f>
        <v>#REF!</v>
      </c>
      <c r="N96" s="553" t="e">
        <f>'Cash Flow Statement'!N27-N97+'Income Statement'!N140-'Income Statement'!N141</f>
        <v>#REF!</v>
      </c>
      <c r="O96" s="544" t="e">
        <f>'Cash Flow Statement'!O27-O97+'Income Statement'!O140-'Income Statement'!O141</f>
        <v>#REF!</v>
      </c>
      <c r="P96" s="544" t="e">
        <f>'Cash Flow Statement'!P27-P97+'Income Statement'!P140-'Income Statement'!P141</f>
        <v>#REF!</v>
      </c>
      <c r="Q96" s="544">
        <f>'Cash Flow Statement'!Q27-Q97+'Income Statement'!Q140-'Income Statement'!Q141</f>
        <v>8320</v>
      </c>
      <c r="R96" s="544">
        <f>'Cash Flow Statement'!R27-R97+'Income Statement'!R140-'Income Statement'!R141</f>
        <v>10053</v>
      </c>
      <c r="S96" s="544">
        <f>'Cash Flow Statement'!S27-S97+'Income Statement'!S140-'Income Statement'!S141</f>
        <v>9176</v>
      </c>
      <c r="T96" s="544">
        <f>'Cash Flow Statement'!T27-T97+'Income Statement'!T140-'Income Statement'!T141</f>
        <v>11019</v>
      </c>
      <c r="U96" s="544">
        <f>'Cash Flow Statement'!U27-U97+'Income Statement'!U140-'Income Statement'!U141</f>
        <v>8983</v>
      </c>
      <c r="V96" s="547">
        <f>'Cash Flow Statement'!V27-V97+'Income Statement'!V140-'Income Statement'!V141</f>
        <v>9857.3442161023686</v>
      </c>
      <c r="W96" s="547">
        <f>'Cash Flow Statement'!W27-W97+'Income Statement'!W140-'Income Statement'!W141</f>
        <v>13559.360478090492</v>
      </c>
      <c r="X96" s="547">
        <f>'Cash Flow Statement'!X27-X97+'Income Statement'!X140-'Income Statement'!X141</f>
        <v>18145.665080930801</v>
      </c>
      <c r="Y96" s="547">
        <f>'Cash Flow Statement'!Y27-Y97+'Income Statement'!Y140-'Income Statement'!Y141</f>
        <v>23513.940876997098</v>
      </c>
      <c r="Z96" s="547">
        <f>'Cash Flow Statement'!Z27-Z97+'Income Statement'!Z140-'Income Statement'!Z141</f>
        <v>27405.348673318669</v>
      </c>
      <c r="AA96" s="547">
        <f>'Cash Flow Statement'!AA27-AA97+'Income Statement'!AA140-'Income Statement'!AA141</f>
        <v>27530.562219167768</v>
      </c>
    </row>
    <row r="97" spans="1:27" s="1" customFormat="1">
      <c r="A97" s="1" t="s">
        <v>40</v>
      </c>
      <c r="B97" s="553" t="e">
        <f>-'Balance Sheet'!#REF!</f>
        <v>#REF!</v>
      </c>
      <c r="C97" s="553" t="e">
        <f>-'Balance Sheet'!#REF!</f>
        <v>#REF!</v>
      </c>
      <c r="D97" s="553" t="e">
        <f>-'Balance Sheet'!#REF!</f>
        <v>#REF!</v>
      </c>
      <c r="E97" s="553" t="e">
        <f>-'Balance Sheet'!#REF!</f>
        <v>#REF!</v>
      </c>
      <c r="F97" s="553" t="e">
        <f>-'Balance Sheet'!#REF!</f>
        <v>#REF!</v>
      </c>
      <c r="G97" s="553" t="e">
        <f>-'Balance Sheet'!#REF!</f>
        <v>#REF!</v>
      </c>
      <c r="H97" s="553" t="e">
        <f>-'Balance Sheet'!#REF!</f>
        <v>#REF!</v>
      </c>
      <c r="I97" s="553" t="e">
        <f>-'Balance Sheet'!#REF!</f>
        <v>#REF!</v>
      </c>
      <c r="J97" s="553" t="e">
        <f>-'Balance Sheet'!#REF!</f>
        <v>#REF!</v>
      </c>
      <c r="K97" s="553" t="e">
        <f>-'Balance Sheet'!#REF!</f>
        <v>#REF!</v>
      </c>
      <c r="L97" s="553" t="e">
        <f>-'Balance Sheet'!#REF!</f>
        <v>#REF!</v>
      </c>
      <c r="M97" s="553" t="e">
        <f>-'Balance Sheet'!#REF!</f>
        <v>#REF!</v>
      </c>
      <c r="N97" s="553" t="e">
        <f>-'Balance Sheet'!#REF!</f>
        <v>#REF!</v>
      </c>
      <c r="O97" s="544" t="e">
        <f>-'Balance Sheet'!#REF!</f>
        <v>#REF!</v>
      </c>
      <c r="P97" s="544" t="e">
        <f>-'Balance Sheet'!#REF!</f>
        <v>#REF!</v>
      </c>
      <c r="Q97" s="544">
        <f>'Balance Sheet'!Q155</f>
        <v>-1041</v>
      </c>
      <c r="R97" s="544">
        <f>'Balance Sheet'!R155</f>
        <v>-796</v>
      </c>
      <c r="S97" s="544">
        <f>'Balance Sheet'!S155</f>
        <v>172</v>
      </c>
      <c r="T97" s="544">
        <f>'Balance Sheet'!T155</f>
        <v>-923</v>
      </c>
      <c r="U97" s="544">
        <f>'Balance Sheet'!U155</f>
        <v>1997</v>
      </c>
      <c r="V97" s="547">
        <f>'Balance Sheet'!V155</f>
        <v>1710.7026924999082</v>
      </c>
      <c r="W97" s="547">
        <f>'Balance Sheet'!W155</f>
        <v>634.16631015971507</v>
      </c>
      <c r="X97" s="547">
        <f>'Balance Sheet'!X155</f>
        <v>-1460.4951299088716</v>
      </c>
      <c r="Y97" s="547">
        <f>'Balance Sheet'!Y155</f>
        <v>-4231.2771548900637</v>
      </c>
      <c r="Z97" s="547">
        <f>'Balance Sheet'!Z155</f>
        <v>-7064.4887682689878</v>
      </c>
      <c r="AA97" s="547">
        <f>'Balance Sheet'!AA155</f>
        <v>-8051.0839223118819</v>
      </c>
    </row>
    <row r="98" spans="1:27" s="1" customFormat="1">
      <c r="A98" s="69" t="s">
        <v>39</v>
      </c>
      <c r="B98" s="553">
        <f>-'Income Statement'!B143</f>
        <v>-2862</v>
      </c>
      <c r="C98" s="553">
        <f>-'Income Statement'!C143</f>
        <v>-2655</v>
      </c>
      <c r="D98" s="553">
        <f>-'Income Statement'!D143</f>
        <v>-2700</v>
      </c>
      <c r="E98" s="553">
        <f>-'Income Statement'!E143</f>
        <v>-2732</v>
      </c>
      <c r="F98" s="553">
        <f>-'Income Statement'!F143</f>
        <v>-3050</v>
      </c>
      <c r="G98" s="553">
        <f>-'Income Statement'!G143</f>
        <v>-3133</v>
      </c>
      <c r="H98" s="553">
        <f>-'Income Statement'!H143</f>
        <v>-3459</v>
      </c>
      <c r="I98" s="553">
        <f>-'Income Statement'!I143</f>
        <v>-3410</v>
      </c>
      <c r="J98" s="553">
        <f>-'Income Statement'!J143</f>
        <v>-3479</v>
      </c>
      <c r="K98" s="553">
        <f>-'Income Statement'!K143</f>
        <v>-3411</v>
      </c>
      <c r="L98" s="553">
        <f>-'Income Statement'!L143</f>
        <v>-3072</v>
      </c>
      <c r="M98" s="553">
        <f>-'Income Statement'!M143</f>
        <v>-2841</v>
      </c>
      <c r="N98" s="553">
        <f>-'Income Statement'!N143</f>
        <v>-3049</v>
      </c>
      <c r="O98" s="544">
        <f>-'Income Statement'!O143</f>
        <v>-3158</v>
      </c>
      <c r="P98" s="544">
        <f>-'Income Statement'!P143</f>
        <v>-2737</v>
      </c>
      <c r="Q98" s="544">
        <f>-'Income Statement'!Q143</f>
        <v>-2792</v>
      </c>
      <c r="R98" s="544">
        <f>-'Income Statement'!R143</f>
        <v>-3288</v>
      </c>
      <c r="S98" s="544">
        <f>-'Income Statement'!S143</f>
        <v>-3470</v>
      </c>
      <c r="T98" s="544">
        <f>-'Income Statement'!T143</f>
        <v>-3144</v>
      </c>
      <c r="U98" s="544">
        <f>-'Income Statement'!U143</f>
        <v>-3341</v>
      </c>
      <c r="V98" s="547">
        <f>-'Income Statement'!V143</f>
        <v>-3738.2121218009866</v>
      </c>
      <c r="W98" s="547">
        <f>-'Income Statement'!W143</f>
        <v>-3934.4951766701711</v>
      </c>
      <c r="X98" s="547">
        <f>-'Income Statement'!X143</f>
        <v>-4148.2636691879552</v>
      </c>
      <c r="Y98" s="547">
        <f>-'Income Statement'!Y143</f>
        <v>-4475.0546325002852</v>
      </c>
      <c r="Z98" s="547">
        <f>-'Income Statement'!Z143</f>
        <v>-4391.013242766654</v>
      </c>
      <c r="AA98" s="547">
        <f>-'Income Statement'!AA143</f>
        <v>-4562.0017011684595</v>
      </c>
    </row>
    <row r="99" spans="1:27" s="1" customFormat="1">
      <c r="A99" s="69" t="s">
        <v>3</v>
      </c>
      <c r="B99" s="553">
        <f>'Cash Flow Statement'!B32+'Cash Flow Statement'!B33</f>
        <v>4</v>
      </c>
      <c r="C99" s="553">
        <f>'Cash Flow Statement'!C32+'Cash Flow Statement'!C33</f>
        <v>29</v>
      </c>
      <c r="D99" s="553">
        <f>'Cash Flow Statement'!D32+'Cash Flow Statement'!D33</f>
        <v>-263</v>
      </c>
      <c r="E99" s="553">
        <f>'Cash Flow Statement'!E32+'Cash Flow Statement'!E33</f>
        <v>-8</v>
      </c>
      <c r="F99" s="553">
        <f>'Cash Flow Statement'!F32+'Cash Flow Statement'!F33</f>
        <v>-26</v>
      </c>
      <c r="G99" s="553">
        <f>'Cash Flow Statement'!G32+'Cash Flow Statement'!G33</f>
        <v>-1517</v>
      </c>
      <c r="H99" s="553">
        <f>'Cash Flow Statement'!H32+'Cash Flow Statement'!H33</f>
        <v>-201</v>
      </c>
      <c r="I99" s="553">
        <f>'Cash Flow Statement'!I32+'Cash Flow Statement'!I33</f>
        <v>-16</v>
      </c>
      <c r="J99" s="553">
        <f>'Cash Flow Statement'!J32+'Cash Flow Statement'!J33</f>
        <v>-81</v>
      </c>
      <c r="K99" s="553">
        <f>'Cash Flow Statement'!K32+'Cash Flow Statement'!K33</f>
        <v>114</v>
      </c>
      <c r="L99" s="553">
        <f>'Cash Flow Statement'!L32+'Cash Flow Statement'!L33</f>
        <v>611</v>
      </c>
      <c r="M99" s="553">
        <f>'Cash Flow Statement'!M32+'Cash Flow Statement'!M33</f>
        <v>354</v>
      </c>
      <c r="N99" s="553">
        <f>'Cash Flow Statement'!N32+'Cash Flow Statement'!N33</f>
        <v>129</v>
      </c>
      <c r="O99" s="544">
        <f>'Cash Flow Statement'!O32+'Cash Flow Statement'!O33</f>
        <v>8</v>
      </c>
      <c r="P99" s="544">
        <f>'Cash Flow Statement'!P32+'Cash Flow Statement'!P33</f>
        <v>-481</v>
      </c>
      <c r="Q99" s="544">
        <f>'Cash Flow Statement'!Q32+'Cash Flow Statement'!Q33</f>
        <v>-25</v>
      </c>
      <c r="R99" s="544">
        <f>'Cash Flow Statement'!R32+'Cash Flow Statement'!R33</f>
        <v>-188</v>
      </c>
      <c r="S99" s="544">
        <f>'Cash Flow Statement'!S32+'Cash Flow Statement'!S33</f>
        <v>-65</v>
      </c>
      <c r="T99" s="544">
        <f>'Cash Flow Statement'!T32+'Cash Flow Statement'!T33</f>
        <v>-246</v>
      </c>
      <c r="U99" s="544">
        <f>'Cash Flow Statement'!U32+'Cash Flow Statement'!U33</f>
        <v>149</v>
      </c>
      <c r="V99" s="544">
        <f>'Cash Flow Statement'!V32+'Cash Flow Statement'!V33</f>
        <v>0</v>
      </c>
      <c r="W99" s="544">
        <f>'Cash Flow Statement'!W32+'Cash Flow Statement'!W33</f>
        <v>0</v>
      </c>
      <c r="X99" s="544">
        <f>'Cash Flow Statement'!X32+'Cash Flow Statement'!X33</f>
        <v>0</v>
      </c>
      <c r="Y99" s="544">
        <f>'Cash Flow Statement'!Y32+'Cash Flow Statement'!Y33</f>
        <v>0</v>
      </c>
      <c r="Z99" s="544">
        <f>'Cash Flow Statement'!Z32+'Cash Flow Statement'!Z33</f>
        <v>0</v>
      </c>
      <c r="AA99" s="544">
        <f>'Cash Flow Statement'!AA32+'Cash Flow Statement'!AA33</f>
        <v>0</v>
      </c>
    </row>
    <row r="100" spans="1:27" s="1" customFormat="1">
      <c r="A100" s="69" t="s">
        <v>38</v>
      </c>
      <c r="B100" s="553">
        <f>'Cash Flow Statement'!B45+'Cash Flow Statement'!B47</f>
        <v>-536</v>
      </c>
      <c r="C100" s="553">
        <f>'Cash Flow Statement'!C45+'Cash Flow Statement'!C47</f>
        <v>-98</v>
      </c>
      <c r="D100" s="553">
        <f>'Cash Flow Statement'!D45+'Cash Flow Statement'!D47</f>
        <v>-107</v>
      </c>
      <c r="E100" s="553">
        <f>'Cash Flow Statement'!E45+'Cash Flow Statement'!E47</f>
        <v>-166</v>
      </c>
      <c r="F100" s="553">
        <f>'Cash Flow Statement'!F45+'Cash Flow Statement'!F47</f>
        <v>-7</v>
      </c>
      <c r="G100" s="553">
        <f>'Cash Flow Statement'!G45+'Cash Flow Statement'!G47</f>
        <v>-183</v>
      </c>
      <c r="H100" s="553">
        <f>'Cash Flow Statement'!H45+'Cash Flow Statement'!H47</f>
        <v>-379</v>
      </c>
      <c r="I100" s="553">
        <f>'Cash Flow Statement'!I45+'Cash Flow Statement'!I47</f>
        <v>-469</v>
      </c>
      <c r="J100" s="553">
        <f>'Cash Flow Statement'!J45+'Cash Flow Statement'!J47</f>
        <v>-589</v>
      </c>
      <c r="K100" s="553">
        <f>'Cash Flow Statement'!K45+'Cash Flow Statement'!K47</f>
        <v>-948</v>
      </c>
      <c r="L100" s="553">
        <f>'Cash Flow Statement'!L45+'Cash Flow Statement'!L47</f>
        <v>-1012</v>
      </c>
      <c r="M100" s="553">
        <f>'Cash Flow Statement'!M45+'Cash Flow Statement'!M47</f>
        <v>-1046</v>
      </c>
      <c r="N100" s="553">
        <f>'Cash Flow Statement'!N45+'Cash Flow Statement'!N47</f>
        <v>-1161</v>
      </c>
      <c r="O100" s="544">
        <f>'Cash Flow Statement'!O45+'Cash Flow Statement'!O47</f>
        <v>-1280</v>
      </c>
      <c r="P100" s="544">
        <f>'Cash Flow Statement'!P45+'Cash Flow Statement'!P47</f>
        <v>0</v>
      </c>
      <c r="Q100" s="544">
        <f>'Cash Flow Statement'!Q45+'Cash Flow Statement'!Q47</f>
        <v>0</v>
      </c>
      <c r="R100" s="544">
        <f>'Cash Flow Statement'!R45+'Cash Flow Statement'!R47</f>
        <v>-1182</v>
      </c>
      <c r="S100" s="544">
        <f>'Cash Flow Statement'!S45+'Cash Flow Statement'!S47</f>
        <v>-1421</v>
      </c>
      <c r="T100" s="544">
        <f>'Cash Flow Statement'!T45+'Cash Flow Statement'!T47</f>
        <v>-2216</v>
      </c>
      <c r="U100" s="544">
        <f>'Cash Flow Statement'!U45+'Cash Flow Statement'!U47</f>
        <v>-2374</v>
      </c>
      <c r="V100" s="544">
        <f>'Cash Flow Statement'!V45+'Cash Flow Statement'!V47</f>
        <v>-2526.6342816000001</v>
      </c>
      <c r="W100" s="544">
        <f>'Cash Flow Statement'!W45+'Cash Flow Statement'!W47</f>
        <v>-2703.467618022567</v>
      </c>
      <c r="X100" s="544">
        <f>'Cash Flow Statement'!X45+'Cash Flow Statement'!X47</f>
        <v>-3301.4969619027015</v>
      </c>
      <c r="Y100" s="544">
        <f>'Cash Flow Statement'!Y45+'Cash Flow Statement'!Y47</f>
        <v>-4118.748188734965</v>
      </c>
      <c r="Z100" s="544">
        <f>'Cash Flow Statement'!Z45+'Cash Flow Statement'!Z47</f>
        <v>-4725.7437703235346</v>
      </c>
      <c r="AA100" s="544">
        <f>'Cash Flow Statement'!AA45+'Cash Flow Statement'!AA47</f>
        <v>-5453.7438133536643</v>
      </c>
    </row>
    <row r="101" spans="1:27" s="1" customFormat="1">
      <c r="A101" s="69" t="s">
        <v>37</v>
      </c>
      <c r="B101" s="553">
        <f>'Cash Flow Statement'!B42</f>
        <v>0</v>
      </c>
      <c r="C101" s="553">
        <f>'Cash Flow Statement'!C42</f>
        <v>0</v>
      </c>
      <c r="D101" s="553">
        <f>'Cash Flow Statement'!D42</f>
        <v>0</v>
      </c>
      <c r="E101" s="553">
        <f>'Cash Flow Statement'!E42</f>
        <v>0</v>
      </c>
      <c r="F101" s="553">
        <f>'Cash Flow Statement'!F42</f>
        <v>0</v>
      </c>
      <c r="G101" s="553">
        <f>'Cash Flow Statement'!G42</f>
        <v>0</v>
      </c>
      <c r="H101" s="553">
        <f>'Cash Flow Statement'!H42</f>
        <v>0</v>
      </c>
      <c r="I101" s="553">
        <f>'Cash Flow Statement'!I42</f>
        <v>-1915</v>
      </c>
      <c r="J101" s="553">
        <f>'Cash Flow Statement'!J42</f>
        <v>0</v>
      </c>
      <c r="K101" s="553">
        <f>'Cash Flow Statement'!K42</f>
        <v>-264</v>
      </c>
      <c r="L101" s="553">
        <f>'Cash Flow Statement'!L42</f>
        <v>-736</v>
      </c>
      <c r="M101" s="553">
        <f>'Cash Flow Statement'!M42</f>
        <v>0</v>
      </c>
      <c r="N101" s="553">
        <f>'Cash Flow Statement'!N42</f>
        <v>0</v>
      </c>
      <c r="O101" s="544">
        <f>'Cash Flow Statement'!O42</f>
        <v>0</v>
      </c>
      <c r="P101" s="544">
        <f>'Cash Flow Statement'!P42</f>
        <v>0</v>
      </c>
      <c r="Q101" s="544">
        <f>'Cash Flow Statement'!Q42</f>
        <v>0</v>
      </c>
      <c r="R101" s="544">
        <f>'Cash Flow Statement'!R42</f>
        <v>0</v>
      </c>
      <c r="S101" s="544">
        <f>'Cash Flow Statement'!S42</f>
        <v>0</v>
      </c>
      <c r="T101" s="544">
        <f>'Cash Flow Statement'!T42</f>
        <v>0</v>
      </c>
      <c r="U101" s="544">
        <f>'Cash Flow Statement'!U42</f>
        <v>0</v>
      </c>
      <c r="V101" s="544">
        <f>'Cash Flow Statement'!V42</f>
        <v>-1000</v>
      </c>
      <c r="W101" s="544">
        <f>'Cash Flow Statement'!W42</f>
        <v>-2000</v>
      </c>
      <c r="X101" s="544">
        <f>'Cash Flow Statement'!X42</f>
        <v>-2000</v>
      </c>
      <c r="Y101" s="544">
        <f>'Cash Flow Statement'!Y42</f>
        <v>0</v>
      </c>
      <c r="Z101" s="544">
        <f>'Cash Flow Statement'!Z42</f>
        <v>0</v>
      </c>
      <c r="AA101" s="544">
        <f>'Cash Flow Statement'!AA42</f>
        <v>0</v>
      </c>
    </row>
    <row r="102" spans="1:27" s="1" customFormat="1">
      <c r="A102" s="69" t="s">
        <v>36</v>
      </c>
      <c r="B102" s="553">
        <f>'Cash Flow Statement'!B28+'Cash Flow Statement'!B30+'Income Statement'!B142</f>
        <v>-2221</v>
      </c>
      <c r="C102" s="553">
        <f>'Cash Flow Statement'!C28+'Cash Flow Statement'!C30+'Income Statement'!C142</f>
        <v>-1773</v>
      </c>
      <c r="D102" s="553">
        <f>'Cash Flow Statement'!D28+'Cash Flow Statement'!D30+'Income Statement'!D142</f>
        <v>-1715</v>
      </c>
      <c r="E102" s="553">
        <f>'Cash Flow Statement'!E28+'Cash Flow Statement'!E30+'Income Statement'!E142</f>
        <v>-1829</v>
      </c>
      <c r="F102" s="553">
        <f>'Cash Flow Statement'!F28+'Cash Flow Statement'!F30+'Income Statement'!F142</f>
        <v>-2060</v>
      </c>
      <c r="G102" s="553">
        <f>'Cash Flow Statement'!G28+'Cash Flow Statement'!G30+'Income Statement'!G142</f>
        <v>-2021</v>
      </c>
      <c r="H102" s="553">
        <f>'Cash Flow Statement'!H28+'Cash Flow Statement'!H30+'Income Statement'!H142</f>
        <v>-2709</v>
      </c>
      <c r="I102" s="553">
        <f>'Cash Flow Statement'!I28+'Cash Flow Statement'!I30+'Income Statement'!I142</f>
        <v>-2468</v>
      </c>
      <c r="J102" s="553">
        <f>'Cash Flow Statement'!J28+'Cash Flow Statement'!J30+'Income Statement'!J142</f>
        <v>-2091</v>
      </c>
      <c r="K102" s="553">
        <f>'Cash Flow Statement'!K28+'Cash Flow Statement'!K30+'Income Statement'!K142</f>
        <v>-2692</v>
      </c>
      <c r="L102" s="553">
        <f>'Cash Flow Statement'!L28+'Cash Flow Statement'!L30+'Income Statement'!L142</f>
        <v>-2677</v>
      </c>
      <c r="M102" s="553">
        <f>'Cash Flow Statement'!M28+'Cash Flow Statement'!M30+'Income Statement'!M142</f>
        <v>-2162</v>
      </c>
      <c r="N102" s="553">
        <f>'Cash Flow Statement'!N28+'Cash Flow Statement'!N30+'Income Statement'!N142</f>
        <v>-1981</v>
      </c>
      <c r="O102" s="544">
        <f>'Cash Flow Statement'!O28+'Cash Flow Statement'!O30+'Income Statement'!O142</f>
        <v>-2095</v>
      </c>
      <c r="P102" s="544">
        <f>'Cash Flow Statement'!P28+'Cash Flow Statement'!P30+'Income Statement'!P142</f>
        <v>-1430</v>
      </c>
      <c r="Q102" s="544">
        <f>'Cash Flow Statement'!Q28+'Cash Flow Statement'!Q30+'Income Statement'!Q142</f>
        <v>-1564</v>
      </c>
      <c r="R102" s="544">
        <f>'Cash Flow Statement'!R28+'Cash Flow Statement'!R30+'Income Statement'!R142</f>
        <v>-2044</v>
      </c>
      <c r="S102" s="544">
        <f>'Cash Flow Statement'!S28+'Cash Flow Statement'!S30+'Income Statement'!S142</f>
        <v>-2599</v>
      </c>
      <c r="T102" s="544">
        <f>'Cash Flow Statement'!T28+'Cash Flow Statement'!T30+'Income Statement'!T142</f>
        <v>-3121</v>
      </c>
      <c r="U102" s="544">
        <f>'Cash Flow Statement'!U28+'Cash Flow Statement'!U30+'Income Statement'!U142</f>
        <v>-3539</v>
      </c>
      <c r="V102" s="544">
        <f>'Cash Flow Statement'!V28+'Cash Flow Statement'!V30+'Income Statement'!V142</f>
        <v>-3711.0383103238296</v>
      </c>
      <c r="W102" s="544">
        <f>'Cash Flow Statement'!W28+'Cash Flow Statement'!W30+'Income Statement'!W142</f>
        <v>-4039.13578102158</v>
      </c>
      <c r="X102" s="544">
        <f>'Cash Flow Statement'!X28+'Cash Flow Statement'!X30+'Income Statement'!X142</f>
        <v>-4436.1810290979638</v>
      </c>
      <c r="Y102" s="544">
        <f>'Cash Flow Statement'!Y28+'Cash Flow Statement'!Y30+'Income Statement'!Y142</f>
        <v>-4697.707645791108</v>
      </c>
      <c r="Z102" s="544">
        <f>'Cash Flow Statement'!Z28+'Cash Flow Statement'!Z30+'Income Statement'!Z142</f>
        <v>-4819.1053262095502</v>
      </c>
      <c r="AA102" s="544">
        <f>'Cash Flow Statement'!AA28+'Cash Flow Statement'!AA30+'Income Statement'!AA142</f>
        <v>-4885.2961526345352</v>
      </c>
    </row>
    <row r="103" spans="1:27" s="1" customFormat="1">
      <c r="A103" s="1" t="s">
        <v>35</v>
      </c>
      <c r="B103" s="553">
        <f>'Cash Flow Statement'!B43+'Cash Flow Statement'!B44</f>
        <v>845</v>
      </c>
      <c r="C103" s="553">
        <f>'Cash Flow Statement'!C43+'Cash Flow Statement'!C44</f>
        <v>-586</v>
      </c>
      <c r="D103" s="553">
        <f>'Cash Flow Statement'!D43+'Cash Flow Statement'!D44</f>
        <v>-157</v>
      </c>
      <c r="E103" s="553">
        <f>'Cash Flow Statement'!E43+'Cash Flow Statement'!E44</f>
        <v>906</v>
      </c>
      <c r="F103" s="553">
        <f>'Cash Flow Statement'!F43+'Cash Flow Statement'!F44</f>
        <v>-1061</v>
      </c>
      <c r="G103" s="553">
        <f>'Cash Flow Statement'!G43+'Cash Flow Statement'!G44</f>
        <v>414</v>
      </c>
      <c r="H103" s="553">
        <f>'Cash Flow Statement'!H43+'Cash Flow Statement'!H44</f>
        <v>-125</v>
      </c>
      <c r="I103" s="553">
        <f>'Cash Flow Statement'!I41+'Cash Flow Statement'!I44</f>
        <v>-534</v>
      </c>
      <c r="J103" s="553">
        <f>'Cash Flow Statement'!J43+'Cash Flow Statement'!J44</f>
        <v>930</v>
      </c>
      <c r="K103" s="553">
        <f>'Cash Flow Statement'!K43+'Cash Flow Statement'!K44</f>
        <v>992</v>
      </c>
      <c r="L103" s="553">
        <f>'Cash Flow Statement'!L43+'Cash Flow Statement'!L44</f>
        <v>1572</v>
      </c>
      <c r="M103" s="553">
        <f>'Cash Flow Statement'!M43+'Cash Flow Statement'!M44</f>
        <v>1284</v>
      </c>
      <c r="N103" s="553">
        <f>'Cash Flow Statement'!N43+'Cash Flow Statement'!N44</f>
        <v>-2308</v>
      </c>
      <c r="O103" s="544">
        <f>'Cash Flow Statement'!O43+'Cash Flow Statement'!O44</f>
        <v>-160</v>
      </c>
      <c r="P103" s="544">
        <f>'Cash Flow Statement'!P43+'Cash Flow Statement'!P44</f>
        <v>6657</v>
      </c>
      <c r="Q103" s="544">
        <f>'Cash Flow Statement'!Q43+'Cash Flow Statement'!Q44</f>
        <v>-2295</v>
      </c>
      <c r="R103" s="544">
        <f>'Cash Flow Statement'!R43+'Cash Flow Statement'!R44</f>
        <v>-1177</v>
      </c>
      <c r="S103" s="544">
        <f>'Cash Flow Statement'!S43+'Cash Flow Statement'!S44</f>
        <v>195</v>
      </c>
      <c r="T103" s="544">
        <f>'Cash Flow Statement'!T43+'Cash Flow Statement'!T44</f>
        <v>-432</v>
      </c>
      <c r="U103" s="544">
        <f>'Cash Flow Statement'!U43+'Cash Flow Statement'!U44</f>
        <v>-614</v>
      </c>
      <c r="V103" s="544">
        <f>'Cash Flow Statement'!V43+'Cash Flow Statement'!V44</f>
        <v>0</v>
      </c>
      <c r="W103" s="544">
        <f>'Cash Flow Statement'!W43+'Cash Flow Statement'!W44</f>
        <v>0</v>
      </c>
      <c r="X103" s="544">
        <f>'Cash Flow Statement'!X43+'Cash Flow Statement'!X44</f>
        <v>0</v>
      </c>
      <c r="Y103" s="544">
        <f>'Cash Flow Statement'!Y43+'Cash Flow Statement'!Y44</f>
        <v>0</v>
      </c>
      <c r="Z103" s="544">
        <f>'Cash Flow Statement'!Z43+'Cash Flow Statement'!Z44</f>
        <v>0</v>
      </c>
      <c r="AA103" s="544">
        <f>'Cash Flow Statement'!AA43+'Cash Flow Statement'!AA44</f>
        <v>0</v>
      </c>
    </row>
    <row r="104" spans="1:27" s="1" customFormat="1">
      <c r="A104" s="1" t="s">
        <v>15</v>
      </c>
      <c r="B104" s="553" t="e">
        <f t="shared" ref="B104:Z104" si="60">B105-SUM(B96:B103)</f>
        <v>#REF!</v>
      </c>
      <c r="C104" s="553" t="e">
        <f t="shared" si="60"/>
        <v>#REF!</v>
      </c>
      <c r="D104" s="553" t="e">
        <f t="shared" si="60"/>
        <v>#REF!</v>
      </c>
      <c r="E104" s="553" t="e">
        <f t="shared" si="60"/>
        <v>#REF!</v>
      </c>
      <c r="F104" s="553" t="e">
        <f t="shared" si="60"/>
        <v>#REF!</v>
      </c>
      <c r="G104" s="553" t="e">
        <f t="shared" si="60"/>
        <v>#REF!</v>
      </c>
      <c r="H104" s="553" t="e">
        <f t="shared" si="60"/>
        <v>#REF!</v>
      </c>
      <c r="I104" s="553" t="e">
        <f t="shared" si="60"/>
        <v>#REF!</v>
      </c>
      <c r="J104" s="553" t="e">
        <f t="shared" si="60"/>
        <v>#REF!</v>
      </c>
      <c r="K104" s="553" t="e">
        <f t="shared" si="60"/>
        <v>#REF!</v>
      </c>
      <c r="L104" s="553" t="e">
        <f t="shared" si="60"/>
        <v>#REF!</v>
      </c>
      <c r="M104" s="553" t="e">
        <f t="shared" si="60"/>
        <v>#REF!</v>
      </c>
      <c r="N104" s="553" t="e">
        <f t="shared" si="60"/>
        <v>#REF!</v>
      </c>
      <c r="O104" s="544" t="e">
        <f t="shared" si="60"/>
        <v>#REF!</v>
      </c>
      <c r="P104" s="544" t="e">
        <f t="shared" si="60"/>
        <v>#REF!</v>
      </c>
      <c r="Q104" s="544">
        <f t="shared" si="60"/>
        <v>-862</v>
      </c>
      <c r="R104" s="544">
        <f t="shared" si="60"/>
        <v>-318</v>
      </c>
      <c r="S104" s="544">
        <f t="shared" si="60"/>
        <v>-1137</v>
      </c>
      <c r="T104" s="544">
        <f t="shared" si="60"/>
        <v>-2758</v>
      </c>
      <c r="U104" s="544">
        <f t="shared" si="60"/>
        <v>-1419</v>
      </c>
      <c r="V104" s="544">
        <f t="shared" si="60"/>
        <v>224.17499999999973</v>
      </c>
      <c r="W104" s="544">
        <f t="shared" si="60"/>
        <v>235.38374999999951</v>
      </c>
      <c r="X104" s="544">
        <f t="shared" si="60"/>
        <v>247.15293750000365</v>
      </c>
      <c r="Y104" s="544">
        <f t="shared" si="60"/>
        <v>259.51058437499887</v>
      </c>
      <c r="Z104" s="544">
        <f t="shared" si="60"/>
        <v>272.48611359374809</v>
      </c>
      <c r="AA104" s="544">
        <f t="shared" ref="AA104" si="61">AA105-SUM(AA96:AA103)</f>
        <v>286.11041927344013</v>
      </c>
    </row>
    <row r="105" spans="1:27" s="1" customFormat="1">
      <c r="A105" s="1" t="s">
        <v>34</v>
      </c>
      <c r="B105" s="553">
        <f>'Cash Flow Statement'!B52</f>
        <v>2814</v>
      </c>
      <c r="C105" s="553">
        <f>'Cash Flow Statement'!C52</f>
        <v>-477</v>
      </c>
      <c r="D105" s="553">
        <f>'Cash Flow Statement'!D52</f>
        <v>-754</v>
      </c>
      <c r="E105" s="553">
        <f>'Cash Flow Statement'!E52</f>
        <v>343</v>
      </c>
      <c r="F105" s="553">
        <f>'Cash Flow Statement'!F52</f>
        <v>-2112</v>
      </c>
      <c r="G105" s="553">
        <f>'Cash Flow Statement'!G52</f>
        <v>256</v>
      </c>
      <c r="H105" s="553">
        <f>'Cash Flow Statement'!H52</f>
        <v>3449</v>
      </c>
      <c r="I105" s="553">
        <f>'Cash Flow Statement'!I52</f>
        <v>-879</v>
      </c>
      <c r="J105" s="553">
        <f>'Cash Flow Statement'!J52</f>
        <v>-168</v>
      </c>
      <c r="K105" s="553">
        <f>'Cash Flow Statement'!K52</f>
        <v>266</v>
      </c>
      <c r="L105" s="553">
        <f>'Cash Flow Statement'!L52</f>
        <v>3675</v>
      </c>
      <c r="M105" s="553">
        <f>'Cash Flow Statement'!M52</f>
        <v>2235</v>
      </c>
      <c r="N105" s="553">
        <f>'Cash Flow Statement'!N52</f>
        <v>-2539</v>
      </c>
      <c r="O105" s="544">
        <f>'Cash Flow Statement'!O52</f>
        <v>-69</v>
      </c>
      <c r="P105" s="544">
        <f>'Cash Flow Statement'!P52</f>
        <v>5539</v>
      </c>
      <c r="Q105" s="544">
        <f>'Cash Flow Statement'!Q52</f>
        <v>-259</v>
      </c>
      <c r="R105" s="544">
        <f>'Cash Flow Statement'!R52</f>
        <v>1060</v>
      </c>
      <c r="S105" s="544">
        <f>'Cash Flow Statement'!S52</f>
        <v>851</v>
      </c>
      <c r="T105" s="544">
        <f>'Cash Flow Statement'!T52</f>
        <v>-1821</v>
      </c>
      <c r="U105" s="544">
        <f>'Cash Flow Statement'!U52</f>
        <v>-158</v>
      </c>
      <c r="V105" s="544">
        <f>'Cash Flow Statement'!V52</f>
        <v>816.33719487746021</v>
      </c>
      <c r="W105" s="544">
        <f>'Cash Flow Statement'!W52</f>
        <v>1751.8119625358886</v>
      </c>
      <c r="X105" s="544">
        <f>'Cash Flow Statement'!X52</f>
        <v>3046.3812283333118</v>
      </c>
      <c r="Y105" s="544">
        <f>'Cash Flow Statement'!Y52</f>
        <v>6250.663839455674</v>
      </c>
      <c r="Z105" s="544">
        <f>'Cash Flow Statement'!Z52</f>
        <v>6677.4836793436916</v>
      </c>
      <c r="AA105" s="544">
        <f>'Cash Flow Statement'!AA52</f>
        <v>4864.5470489726667</v>
      </c>
    </row>
    <row r="106" spans="1:27" s="1" customFormat="1">
      <c r="B106" s="271"/>
      <c r="C106" s="271"/>
      <c r="D106" s="271"/>
      <c r="E106" s="271"/>
      <c r="F106" s="271"/>
      <c r="G106" s="271"/>
      <c r="H106" s="271"/>
      <c r="I106" s="271"/>
      <c r="J106" s="271"/>
      <c r="K106" s="271"/>
      <c r="L106" s="271"/>
      <c r="M106" s="271"/>
      <c r="N106" s="271"/>
      <c r="O106" s="544"/>
      <c r="P106" s="544"/>
      <c r="Q106" s="544"/>
      <c r="R106" s="544"/>
      <c r="S106" s="544"/>
      <c r="T106" s="544"/>
      <c r="U106" s="544"/>
      <c r="V106" s="544"/>
      <c r="W106" s="544"/>
      <c r="X106" s="544"/>
      <c r="Y106" s="544"/>
      <c r="Z106" s="544"/>
      <c r="AA106" s="544"/>
    </row>
    <row r="107" spans="1:27" s="1" customFormat="1">
      <c r="A107" s="1" t="s">
        <v>33</v>
      </c>
      <c r="B107" s="73" t="e">
        <f t="shared" ref="B107:Z107" si="62">B97/B$96</f>
        <v>#REF!</v>
      </c>
      <c r="C107" s="73" t="e">
        <f t="shared" si="62"/>
        <v>#REF!</v>
      </c>
      <c r="D107" s="73" t="e">
        <f t="shared" si="62"/>
        <v>#REF!</v>
      </c>
      <c r="E107" s="73" t="e">
        <f t="shared" si="62"/>
        <v>#REF!</v>
      </c>
      <c r="F107" s="73" t="e">
        <f t="shared" si="62"/>
        <v>#REF!</v>
      </c>
      <c r="G107" s="73" t="e">
        <f t="shared" si="62"/>
        <v>#REF!</v>
      </c>
      <c r="H107" s="73" t="e">
        <f t="shared" si="62"/>
        <v>#REF!</v>
      </c>
      <c r="I107" s="73" t="e">
        <f t="shared" si="62"/>
        <v>#REF!</v>
      </c>
      <c r="J107" s="73" t="e">
        <f t="shared" si="62"/>
        <v>#REF!</v>
      </c>
      <c r="K107" s="73" t="e">
        <f t="shared" si="62"/>
        <v>#REF!</v>
      </c>
      <c r="L107" s="73" t="e">
        <f t="shared" si="62"/>
        <v>#REF!</v>
      </c>
      <c r="M107" s="73" t="e">
        <f t="shared" si="62"/>
        <v>#REF!</v>
      </c>
      <c r="N107" s="73" t="e">
        <f t="shared" si="62"/>
        <v>#REF!</v>
      </c>
      <c r="O107" s="73" t="e">
        <f t="shared" si="62"/>
        <v>#REF!</v>
      </c>
      <c r="P107" s="73" t="e">
        <f t="shared" si="62"/>
        <v>#REF!</v>
      </c>
      <c r="Q107" s="73">
        <f t="shared" si="62"/>
        <v>-0.12512019230769231</v>
      </c>
      <c r="R107" s="73">
        <f t="shared" si="62"/>
        <v>-7.9180344175867903E-2</v>
      </c>
      <c r="S107" s="73">
        <f t="shared" si="62"/>
        <v>1.8744551002615517E-2</v>
      </c>
      <c r="T107" s="73">
        <f t="shared" si="62"/>
        <v>-8.376440693347853E-2</v>
      </c>
      <c r="U107" s="73">
        <f t="shared" si="62"/>
        <v>0.2223088055215407</v>
      </c>
      <c r="V107" s="73">
        <f t="shared" si="62"/>
        <v>0.17354600336522757</v>
      </c>
      <c r="W107" s="73">
        <f t="shared" si="62"/>
        <v>4.676963277024862E-2</v>
      </c>
      <c r="X107" s="73">
        <f t="shared" si="62"/>
        <v>-8.0487274695910674E-2</v>
      </c>
      <c r="Y107" s="73">
        <f t="shared" si="62"/>
        <v>-0.17994759691810661</v>
      </c>
      <c r="Z107" s="73">
        <f t="shared" si="62"/>
        <v>-0.25777773720306069</v>
      </c>
      <c r="AA107" s="73">
        <f t="shared" ref="AA107" si="63">AA97/AA$96</f>
        <v>-0.29244168201935328</v>
      </c>
    </row>
    <row r="108" spans="1:27" s="1" customFormat="1">
      <c r="A108" s="1" t="s">
        <v>32</v>
      </c>
      <c r="B108" s="73" t="e">
        <f t="shared" ref="B108:Z108" si="64">B98/B$96</f>
        <v>#REF!</v>
      </c>
      <c r="C108" s="73" t="e">
        <f t="shared" si="64"/>
        <v>#REF!</v>
      </c>
      <c r="D108" s="73" t="e">
        <f t="shared" si="64"/>
        <v>#REF!</v>
      </c>
      <c r="E108" s="73" t="e">
        <f t="shared" si="64"/>
        <v>#REF!</v>
      </c>
      <c r="F108" s="73" t="e">
        <f t="shared" si="64"/>
        <v>#REF!</v>
      </c>
      <c r="G108" s="73" t="e">
        <f t="shared" si="64"/>
        <v>#REF!</v>
      </c>
      <c r="H108" s="73" t="e">
        <f t="shared" si="64"/>
        <v>#REF!</v>
      </c>
      <c r="I108" s="73" t="e">
        <f t="shared" si="64"/>
        <v>#REF!</v>
      </c>
      <c r="J108" s="73" t="e">
        <f t="shared" si="64"/>
        <v>#REF!</v>
      </c>
      <c r="K108" s="73" t="e">
        <f t="shared" si="64"/>
        <v>#REF!</v>
      </c>
      <c r="L108" s="73" t="e">
        <f t="shared" si="64"/>
        <v>#REF!</v>
      </c>
      <c r="M108" s="73" t="e">
        <f t="shared" si="64"/>
        <v>#REF!</v>
      </c>
      <c r="N108" s="73" t="e">
        <f t="shared" si="64"/>
        <v>#REF!</v>
      </c>
      <c r="O108" s="73" t="e">
        <f t="shared" si="64"/>
        <v>#REF!</v>
      </c>
      <c r="P108" s="73" t="e">
        <f t="shared" si="64"/>
        <v>#REF!</v>
      </c>
      <c r="Q108" s="73">
        <f t="shared" si="64"/>
        <v>-0.33557692307692305</v>
      </c>
      <c r="R108" s="73">
        <f t="shared" si="64"/>
        <v>-0.32706654729931361</v>
      </c>
      <c r="S108" s="73">
        <f t="shared" si="64"/>
        <v>-0.37816041848299914</v>
      </c>
      <c r="T108" s="73">
        <f t="shared" si="64"/>
        <v>-0.28532534712768853</v>
      </c>
      <c r="U108" s="73">
        <f t="shared" si="64"/>
        <v>-0.37192474674384951</v>
      </c>
      <c r="V108" s="73">
        <f t="shared" si="64"/>
        <v>-0.37923116407911034</v>
      </c>
      <c r="W108" s="73">
        <f t="shared" si="64"/>
        <v>-0.29016819657738385</v>
      </c>
      <c r="X108" s="73">
        <f t="shared" si="64"/>
        <v>-0.22860907278330334</v>
      </c>
      <c r="Y108" s="73">
        <f t="shared" si="64"/>
        <v>-0.19031495638734389</v>
      </c>
      <c r="Z108" s="73">
        <f t="shared" si="64"/>
        <v>-0.16022468077706531</v>
      </c>
      <c r="AA108" s="73">
        <f t="shared" ref="AA108" si="65">AA98/AA$96</f>
        <v>-0.16570681211850552</v>
      </c>
    </row>
    <row r="109" spans="1:27" s="1" customFormat="1">
      <c r="A109" s="1" t="s">
        <v>31</v>
      </c>
      <c r="B109" s="73" t="e">
        <f t="shared" ref="B109:Z109" si="66">B99/B$96</f>
        <v>#REF!</v>
      </c>
      <c r="C109" s="73" t="e">
        <f t="shared" si="66"/>
        <v>#REF!</v>
      </c>
      <c r="D109" s="73" t="e">
        <f t="shared" si="66"/>
        <v>#REF!</v>
      </c>
      <c r="E109" s="73" t="e">
        <f t="shared" si="66"/>
        <v>#REF!</v>
      </c>
      <c r="F109" s="73" t="e">
        <f t="shared" si="66"/>
        <v>#REF!</v>
      </c>
      <c r="G109" s="73" t="e">
        <f t="shared" si="66"/>
        <v>#REF!</v>
      </c>
      <c r="H109" s="73" t="e">
        <f t="shared" si="66"/>
        <v>#REF!</v>
      </c>
      <c r="I109" s="73" t="e">
        <f t="shared" si="66"/>
        <v>#REF!</v>
      </c>
      <c r="J109" s="73" t="e">
        <f t="shared" si="66"/>
        <v>#REF!</v>
      </c>
      <c r="K109" s="73" t="e">
        <f t="shared" si="66"/>
        <v>#REF!</v>
      </c>
      <c r="L109" s="73" t="e">
        <f t="shared" si="66"/>
        <v>#REF!</v>
      </c>
      <c r="M109" s="73" t="e">
        <f t="shared" si="66"/>
        <v>#REF!</v>
      </c>
      <c r="N109" s="73" t="e">
        <f t="shared" si="66"/>
        <v>#REF!</v>
      </c>
      <c r="O109" s="73" t="e">
        <f t="shared" si="66"/>
        <v>#REF!</v>
      </c>
      <c r="P109" s="73" t="e">
        <f t="shared" si="66"/>
        <v>#REF!</v>
      </c>
      <c r="Q109" s="73">
        <f t="shared" si="66"/>
        <v>-3.0048076923076925E-3</v>
      </c>
      <c r="R109" s="73">
        <f t="shared" si="66"/>
        <v>-1.8700885307868297E-2</v>
      </c>
      <c r="S109" s="73">
        <f t="shared" si="66"/>
        <v>-7.0836965998256323E-3</v>
      </c>
      <c r="T109" s="73">
        <f t="shared" si="66"/>
        <v>-2.2325074870677919E-2</v>
      </c>
      <c r="U109" s="73">
        <f t="shared" si="66"/>
        <v>1.658688634086608E-2</v>
      </c>
      <c r="V109" s="73">
        <f t="shared" si="66"/>
        <v>0</v>
      </c>
      <c r="W109" s="73">
        <f t="shared" si="66"/>
        <v>0</v>
      </c>
      <c r="X109" s="73">
        <f t="shared" si="66"/>
        <v>0</v>
      </c>
      <c r="Y109" s="73">
        <f t="shared" si="66"/>
        <v>0</v>
      </c>
      <c r="Z109" s="73">
        <f t="shared" si="66"/>
        <v>0</v>
      </c>
      <c r="AA109" s="73">
        <f t="shared" ref="AA109" si="67">AA99/AA$96</f>
        <v>0</v>
      </c>
    </row>
    <row r="110" spans="1:27" s="1" customFormat="1">
      <c r="A110" s="1" t="s">
        <v>30</v>
      </c>
      <c r="B110" s="73" t="e">
        <f t="shared" ref="B110:Z110" si="68">B100/B$96</f>
        <v>#REF!</v>
      </c>
      <c r="C110" s="73" t="e">
        <f t="shared" si="68"/>
        <v>#REF!</v>
      </c>
      <c r="D110" s="73" t="e">
        <f t="shared" si="68"/>
        <v>#REF!</v>
      </c>
      <c r="E110" s="73" t="e">
        <f t="shared" si="68"/>
        <v>#REF!</v>
      </c>
      <c r="F110" s="73" t="e">
        <f t="shared" si="68"/>
        <v>#REF!</v>
      </c>
      <c r="G110" s="73" t="e">
        <f t="shared" si="68"/>
        <v>#REF!</v>
      </c>
      <c r="H110" s="73" t="e">
        <f t="shared" si="68"/>
        <v>#REF!</v>
      </c>
      <c r="I110" s="73" t="e">
        <f t="shared" si="68"/>
        <v>#REF!</v>
      </c>
      <c r="J110" s="73" t="e">
        <f t="shared" si="68"/>
        <v>#REF!</v>
      </c>
      <c r="K110" s="73" t="e">
        <f t="shared" si="68"/>
        <v>#REF!</v>
      </c>
      <c r="L110" s="73" t="e">
        <f t="shared" si="68"/>
        <v>#REF!</v>
      </c>
      <c r="M110" s="73" t="e">
        <f t="shared" si="68"/>
        <v>#REF!</v>
      </c>
      <c r="N110" s="73" t="e">
        <f t="shared" si="68"/>
        <v>#REF!</v>
      </c>
      <c r="O110" s="73" t="e">
        <f t="shared" si="68"/>
        <v>#REF!</v>
      </c>
      <c r="P110" s="73" t="e">
        <f t="shared" si="68"/>
        <v>#REF!</v>
      </c>
      <c r="Q110" s="73">
        <f t="shared" si="68"/>
        <v>0</v>
      </c>
      <c r="R110" s="73">
        <f t="shared" si="68"/>
        <v>-0.11757684273351239</v>
      </c>
      <c r="S110" s="73">
        <f t="shared" si="68"/>
        <v>-0.15486050566695728</v>
      </c>
      <c r="T110" s="73">
        <f t="shared" si="68"/>
        <v>-0.20110717850984663</v>
      </c>
      <c r="U110" s="73">
        <f t="shared" si="68"/>
        <v>-0.26427696760547703</v>
      </c>
      <c r="V110" s="73">
        <f t="shared" si="68"/>
        <v>-0.25631998094097608</v>
      </c>
      <c r="W110" s="73">
        <f t="shared" si="68"/>
        <v>-0.19938017153470391</v>
      </c>
      <c r="X110" s="73">
        <f t="shared" si="68"/>
        <v>-0.18194411432029736</v>
      </c>
      <c r="Y110" s="73">
        <f t="shared" si="68"/>
        <v>-0.17516196924541044</v>
      </c>
      <c r="Z110" s="73">
        <f t="shared" si="68"/>
        <v>-0.17243873911826671</v>
      </c>
      <c r="AA110" s="73">
        <f t="shared" ref="AA110" si="69">AA100/AA$96</f>
        <v>-0.19809780018065057</v>
      </c>
    </row>
    <row r="111" spans="1:27" s="1" customFormat="1">
      <c r="A111" s="1" t="s">
        <v>29</v>
      </c>
      <c r="B111" s="73" t="e">
        <f t="shared" ref="B111:Z111" si="70">B101/B$96</f>
        <v>#REF!</v>
      </c>
      <c r="C111" s="73" t="e">
        <f t="shared" si="70"/>
        <v>#REF!</v>
      </c>
      <c r="D111" s="73" t="e">
        <f t="shared" si="70"/>
        <v>#REF!</v>
      </c>
      <c r="E111" s="73" t="e">
        <f t="shared" si="70"/>
        <v>#REF!</v>
      </c>
      <c r="F111" s="73" t="e">
        <f t="shared" si="70"/>
        <v>#REF!</v>
      </c>
      <c r="G111" s="73" t="e">
        <f t="shared" si="70"/>
        <v>#REF!</v>
      </c>
      <c r="H111" s="73" t="e">
        <f t="shared" si="70"/>
        <v>#REF!</v>
      </c>
      <c r="I111" s="73" t="e">
        <f t="shared" si="70"/>
        <v>#REF!</v>
      </c>
      <c r="J111" s="73" t="e">
        <f t="shared" si="70"/>
        <v>#REF!</v>
      </c>
      <c r="K111" s="73" t="e">
        <f t="shared" si="70"/>
        <v>#REF!</v>
      </c>
      <c r="L111" s="73" t="e">
        <f t="shared" si="70"/>
        <v>#REF!</v>
      </c>
      <c r="M111" s="73" t="e">
        <f t="shared" si="70"/>
        <v>#REF!</v>
      </c>
      <c r="N111" s="73" t="e">
        <f t="shared" si="70"/>
        <v>#REF!</v>
      </c>
      <c r="O111" s="73" t="e">
        <f t="shared" si="70"/>
        <v>#REF!</v>
      </c>
      <c r="P111" s="73" t="e">
        <f t="shared" si="70"/>
        <v>#REF!</v>
      </c>
      <c r="Q111" s="73">
        <f t="shared" si="70"/>
        <v>0</v>
      </c>
      <c r="R111" s="73">
        <f t="shared" si="70"/>
        <v>0</v>
      </c>
      <c r="S111" s="73">
        <f t="shared" si="70"/>
        <v>0</v>
      </c>
      <c r="T111" s="73">
        <f t="shared" si="70"/>
        <v>0</v>
      </c>
      <c r="U111" s="73">
        <f t="shared" si="70"/>
        <v>0</v>
      </c>
      <c r="V111" s="73">
        <f t="shared" si="70"/>
        <v>-0.10144720302720683</v>
      </c>
      <c r="W111" s="73">
        <f t="shared" si="70"/>
        <v>-0.14749958180045758</v>
      </c>
      <c r="X111" s="73">
        <f t="shared" si="70"/>
        <v>-0.1102191620466858</v>
      </c>
      <c r="Y111" s="73">
        <f t="shared" si="70"/>
        <v>0</v>
      </c>
      <c r="Z111" s="73">
        <f t="shared" si="70"/>
        <v>0</v>
      </c>
      <c r="AA111" s="73">
        <f t="shared" ref="AA111" si="71">AA101/AA$96</f>
        <v>0</v>
      </c>
    </row>
    <row r="112" spans="1:27" s="1" customFormat="1">
      <c r="A112" s="1" t="s">
        <v>28</v>
      </c>
      <c r="B112" s="73" t="e">
        <f t="shared" ref="B112:Z112" si="72">B102/B$96</f>
        <v>#REF!</v>
      </c>
      <c r="C112" s="73" t="e">
        <f t="shared" si="72"/>
        <v>#REF!</v>
      </c>
      <c r="D112" s="73" t="e">
        <f t="shared" si="72"/>
        <v>#REF!</v>
      </c>
      <c r="E112" s="73" t="e">
        <f t="shared" si="72"/>
        <v>#REF!</v>
      </c>
      <c r="F112" s="73" t="e">
        <f t="shared" si="72"/>
        <v>#REF!</v>
      </c>
      <c r="G112" s="73" t="e">
        <f t="shared" si="72"/>
        <v>#REF!</v>
      </c>
      <c r="H112" s="73" t="e">
        <f t="shared" si="72"/>
        <v>#REF!</v>
      </c>
      <c r="I112" s="73" t="e">
        <f t="shared" si="72"/>
        <v>#REF!</v>
      </c>
      <c r="J112" s="73" t="e">
        <f t="shared" si="72"/>
        <v>#REF!</v>
      </c>
      <c r="K112" s="73" t="e">
        <f t="shared" si="72"/>
        <v>#REF!</v>
      </c>
      <c r="L112" s="73" t="e">
        <f t="shared" si="72"/>
        <v>#REF!</v>
      </c>
      <c r="M112" s="73" t="e">
        <f t="shared" si="72"/>
        <v>#REF!</v>
      </c>
      <c r="N112" s="73" t="e">
        <f t="shared" si="72"/>
        <v>#REF!</v>
      </c>
      <c r="O112" s="73" t="e">
        <f t="shared" si="72"/>
        <v>#REF!</v>
      </c>
      <c r="P112" s="73" t="e">
        <f t="shared" si="72"/>
        <v>#REF!</v>
      </c>
      <c r="Q112" s="73">
        <f t="shared" si="72"/>
        <v>-0.18798076923076923</v>
      </c>
      <c r="R112" s="73">
        <f t="shared" si="72"/>
        <v>-0.20332239132597235</v>
      </c>
      <c r="S112" s="73">
        <f t="shared" si="72"/>
        <v>-0.28323888404533565</v>
      </c>
      <c r="T112" s="73">
        <f t="shared" si="72"/>
        <v>-0.283238043379617</v>
      </c>
      <c r="U112" s="73">
        <f t="shared" si="72"/>
        <v>-0.39396638094177894</v>
      </c>
      <c r="V112" s="73">
        <f t="shared" si="72"/>
        <v>-0.37647445690916415</v>
      </c>
      <c r="W112" s="73">
        <f t="shared" si="72"/>
        <v>-0.29788541926797379</v>
      </c>
      <c r="X112" s="73">
        <f t="shared" si="72"/>
        <v>-0.24447607785729092</v>
      </c>
      <c r="Y112" s="73">
        <f t="shared" si="72"/>
        <v>-0.19978393542643966</v>
      </c>
      <c r="Z112" s="73">
        <f t="shared" si="72"/>
        <v>-0.17584543016237339</v>
      </c>
      <c r="AA112" s="73">
        <f t="shared" ref="AA112" si="73">AA102/AA$96</f>
        <v>-0.17744992324323897</v>
      </c>
    </row>
    <row r="113"/>
  </sheetData>
  <pageMargins left="0.7" right="0.7" top="0.75" bottom="0.75" header="0.3" footer="0.3"/>
  <customProperties>
    <customPr name="Qube.Worksheet.Visibility"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EA5D-ACC3-4364-ADEF-A153380A3E58}">
  <sheetPr codeName="Sheet4">
    <tabColor theme="4"/>
  </sheetPr>
  <dimension ref="A1:AT157"/>
  <sheetViews>
    <sheetView showGridLines="0" zoomScaleNormal="100" workbookViewId="0">
      <pane ySplit="2" topLeftCell="A3" activePane="bottomLeft" state="frozen"/>
      <selection pane="bottomLeft"/>
    </sheetView>
  </sheetViews>
  <sheetFormatPr defaultColWidth="0" defaultRowHeight="14.25" zeroHeight="1" outlineLevelRow="1" outlineLevelCol="1"/>
  <cols>
    <col min="1" max="1" width="46" customWidth="1"/>
    <col min="2" max="16" width="9" hidden="1" customWidth="1" outlineLevel="1"/>
    <col min="17" max="17" width="9.375" bestFit="1" customWidth="1" collapsed="1"/>
    <col min="18" max="28" width="9" customWidth="1"/>
    <col min="47" max="16384" width="9" hidden="1"/>
  </cols>
  <sheetData>
    <row r="1" spans="1:46">
      <c r="A1" s="741">
        <f>'DCF Valuation'!D51</f>
        <v>240</v>
      </c>
    </row>
    <row r="2" spans="1:46" s="1" customFormat="1" ht="12.75">
      <c r="A2" s="266" t="s">
        <v>8</v>
      </c>
      <c r="B2" s="615">
        <f>'Income Statement'!B2</f>
        <v>2006</v>
      </c>
      <c r="C2" s="615">
        <f>'Income Statement'!C2</f>
        <v>2007</v>
      </c>
      <c r="D2" s="615">
        <f>'Income Statement'!D2</f>
        <v>2008</v>
      </c>
      <c r="E2" s="615">
        <f>'Income Statement'!E2</f>
        <v>2009</v>
      </c>
      <c r="F2" s="615">
        <f>'Income Statement'!F2</f>
        <v>2010</v>
      </c>
      <c r="G2" s="615">
        <f>'Income Statement'!G2</f>
        <v>2011</v>
      </c>
      <c r="H2" s="615">
        <f>'Income Statement'!H2</f>
        <v>2012</v>
      </c>
      <c r="I2" s="615">
        <f>'Income Statement'!I2</f>
        <v>2013</v>
      </c>
      <c r="J2" s="615">
        <f>'Income Statement'!J2</f>
        <v>2014</v>
      </c>
      <c r="K2" s="615">
        <f>'Income Statement'!K2</f>
        <v>2015</v>
      </c>
      <c r="L2" s="615">
        <f>'Income Statement'!L2</f>
        <v>2016</v>
      </c>
      <c r="M2" s="615">
        <f>'Income Statement'!M2</f>
        <v>2017</v>
      </c>
      <c r="N2" s="615">
        <f>'Income Statement'!N2</f>
        <v>2018</v>
      </c>
      <c r="O2" s="615">
        <f>'Income Statement'!O2</f>
        <v>2019</v>
      </c>
      <c r="P2" s="615">
        <f>'Income Statement'!P2</f>
        <v>2020</v>
      </c>
      <c r="Q2" s="615">
        <f>P2+1</f>
        <v>2021</v>
      </c>
      <c r="R2" s="615">
        <f>Q2+1</f>
        <v>2022</v>
      </c>
      <c r="S2" s="615">
        <f>R2+1</f>
        <v>2023</v>
      </c>
      <c r="T2" s="615">
        <f>S2+1</f>
        <v>2024</v>
      </c>
      <c r="U2" s="615">
        <v>2025</v>
      </c>
      <c r="V2" s="532">
        <f t="shared" ref="V2:AA2" si="0">U2+1</f>
        <v>2026</v>
      </c>
      <c r="W2" s="532">
        <f t="shared" si="0"/>
        <v>2027</v>
      </c>
      <c r="X2" s="532">
        <f t="shared" si="0"/>
        <v>2028</v>
      </c>
      <c r="Y2" s="532">
        <f t="shared" si="0"/>
        <v>2029</v>
      </c>
      <c r="Z2" s="532">
        <f t="shared" si="0"/>
        <v>2030</v>
      </c>
      <c r="AA2" s="532">
        <f t="shared" si="0"/>
        <v>2031</v>
      </c>
    </row>
    <row r="3" spans="1:46" s="1" customFormat="1" ht="12.75">
      <c r="B3" s="271"/>
      <c r="C3" s="271"/>
      <c r="D3" s="271"/>
      <c r="E3" s="271"/>
      <c r="F3" s="271"/>
      <c r="G3" s="271"/>
      <c r="H3" s="553"/>
      <c r="I3" s="271"/>
      <c r="J3" s="271"/>
      <c r="K3" s="271"/>
      <c r="L3" s="271"/>
      <c r="M3" s="271"/>
      <c r="N3" s="271"/>
      <c r="O3" s="544"/>
      <c r="P3" s="544"/>
      <c r="Q3" s="544"/>
      <c r="R3" s="544"/>
      <c r="S3" s="544"/>
      <c r="T3" s="544"/>
      <c r="U3" s="544"/>
      <c r="V3" s="544"/>
      <c r="W3" s="544"/>
      <c r="X3" s="544"/>
      <c r="Y3" s="544"/>
      <c r="Z3" s="544"/>
      <c r="AA3" s="544"/>
    </row>
    <row r="4" spans="1:46" s="1" customFormat="1" ht="12.75">
      <c r="A4" s="1" t="s">
        <v>124</v>
      </c>
      <c r="B4" s="555">
        <v>10855</v>
      </c>
      <c r="C4" s="555">
        <v>10832</v>
      </c>
      <c r="D4" s="555">
        <v>11171</v>
      </c>
      <c r="E4" s="555">
        <v>11060</v>
      </c>
      <c r="F4" s="555">
        <v>11299</v>
      </c>
      <c r="G4" s="555">
        <v>12786</v>
      </c>
      <c r="H4" s="555">
        <v>13429</v>
      </c>
      <c r="I4" s="555">
        <v>13653</v>
      </c>
      <c r="J4" s="556">
        <v>12758</v>
      </c>
      <c r="K4" s="555">
        <v>12555</v>
      </c>
      <c r="L4" s="556">
        <v>12068</v>
      </c>
      <c r="M4" s="556">
        <v>11629</v>
      </c>
      <c r="N4" s="556">
        <v>16726</v>
      </c>
      <c r="O4" s="559">
        <v>16591</v>
      </c>
      <c r="P4" s="559">
        <v>16199</v>
      </c>
      <c r="Q4" s="559">
        <v>16367</v>
      </c>
      <c r="R4" s="559">
        <v>16768</v>
      </c>
      <c r="S4" s="559">
        <v>16929</v>
      </c>
      <c r="T4" s="559">
        <v>17179</v>
      </c>
      <c r="U4" s="559">
        <v>16847</v>
      </c>
      <c r="V4" s="547">
        <f>U4-'Cash Flow Statement'!V14-(0.25*'Cash Flow Statement'!V28)-(0.75*'Cash Flow Statement'!V30)</f>
        <v>16903.734069018526</v>
      </c>
      <c r="W4" s="547">
        <f>V4-'Cash Flow Statement'!W14-(0.25*'Cash Flow Statement'!W28)-(0.75*'Cash Flow Statement'!W30)</f>
        <v>16922.60490641736</v>
      </c>
      <c r="X4" s="547">
        <f>W4-'Cash Flow Statement'!X14-(0.25*'Cash Flow Statement'!X28)-(0.75*'Cash Flow Statement'!X30)</f>
        <v>17697.167027464689</v>
      </c>
      <c r="Y4" s="547">
        <f>X4-'Cash Flow Statement'!Y14-(0.25*'Cash Flow Statement'!Y28)-(0.75*'Cash Flow Statement'!Y30)</f>
        <v>18509.002325098812</v>
      </c>
      <c r="Z4" s="547">
        <f>Y4-'Cash Flow Statement'!Z14-(0.25*'Cash Flow Statement'!Z28)-(0.75*'Cash Flow Statement'!Z30)</f>
        <v>19332.792924020319</v>
      </c>
      <c r="AA4" s="547">
        <f>Z4-'Cash Flow Statement'!AA14-(0.25*'Cash Flow Statement'!AA28)-(0.75*'Cash Flow Statement'!AA30)</f>
        <v>20158.295436646982</v>
      </c>
      <c r="AB4" s="274"/>
      <c r="AC4" s="274"/>
      <c r="AD4" s="274"/>
      <c r="AE4" s="274"/>
      <c r="AF4" s="274"/>
      <c r="AG4" s="274"/>
      <c r="AH4" s="274"/>
      <c r="AI4" s="274"/>
      <c r="AJ4" s="274"/>
      <c r="AK4" s="274"/>
      <c r="AL4" s="274"/>
      <c r="AM4" s="274"/>
      <c r="AN4" s="274"/>
      <c r="AO4" s="274"/>
      <c r="AP4" s="274"/>
      <c r="AQ4" s="274"/>
      <c r="AR4" s="274"/>
      <c r="AS4" s="274"/>
      <c r="AT4" s="274"/>
    </row>
    <row r="5" spans="1:46" s="1" customFormat="1" ht="12.75">
      <c r="A5" s="1" t="s">
        <v>123</v>
      </c>
      <c r="B5" s="555">
        <v>14178</v>
      </c>
      <c r="C5" s="555">
        <v>13393</v>
      </c>
      <c r="D5" s="555">
        <v>12156</v>
      </c>
      <c r="E5" s="555">
        <v>12508</v>
      </c>
      <c r="F5" s="555">
        <v>13427</v>
      </c>
      <c r="G5" s="555">
        <v>14146</v>
      </c>
      <c r="H5" s="555">
        <v>15196</v>
      </c>
      <c r="I5" s="555">
        <v>15856</v>
      </c>
      <c r="J5" s="556">
        <v>16321</v>
      </c>
      <c r="K5" s="555">
        <v>17127</v>
      </c>
      <c r="L5" s="556">
        <v>16913</v>
      </c>
      <c r="M5" s="556">
        <v>16610</v>
      </c>
      <c r="N5" s="556">
        <v>16773</v>
      </c>
      <c r="O5" s="559">
        <v>17294</v>
      </c>
      <c r="P5" s="559">
        <v>16674</v>
      </c>
      <c r="Q5" s="559">
        <v>16536</v>
      </c>
      <c r="R5" s="559">
        <v>16505</v>
      </c>
      <c r="S5" s="559">
        <v>17201</v>
      </c>
      <c r="T5" s="559">
        <v>19112</v>
      </c>
      <c r="U5" s="559">
        <v>20893</v>
      </c>
      <c r="V5" s="547">
        <f>U5-'Cash Flow Statement'!V12-(0.75*'Cash Flow Statement'!V28)-(0.25*'Cash Flow Statement'!V30)</f>
        <v>21724.575523754251</v>
      </c>
      <c r="W5" s="547">
        <f>V5-'Cash Flow Statement'!W12-(0.75*'Cash Flow Statement'!W28)-(0.25*'Cash Flow Statement'!W30)</f>
        <v>22717.544359206728</v>
      </c>
      <c r="X5" s="547">
        <f>W5-'Cash Flow Statement'!X12-(0.75*'Cash Flow Statement'!X28)-(0.25*'Cash Flow Statement'!X30)</f>
        <v>23814.136819076997</v>
      </c>
      <c r="Y5" s="547">
        <f>X5-'Cash Flow Statement'!Y12-(0.75*'Cash Flow Statement'!Y28)-(0.25*'Cash Flow Statement'!Y30)</f>
        <v>24814.226675770216</v>
      </c>
      <c r="Z5" s="547">
        <f>Y5-'Cash Flow Statement'!Z12-(0.75*'Cash Flow Statement'!Z28)-(0.25*'Cash Flow Statement'!Z30)</f>
        <v>25678.128104299001</v>
      </c>
      <c r="AA5" s="547">
        <f>Z5-'Cash Flow Statement'!AA12-(0.75*'Cash Flow Statement'!AA28)-(0.25*'Cash Flow Statement'!AA30)</f>
        <v>26446.491878841556</v>
      </c>
      <c r="AB5" s="274"/>
      <c r="AC5" s="274"/>
      <c r="AD5" s="274"/>
      <c r="AE5" s="274"/>
      <c r="AF5" s="274"/>
      <c r="AG5" s="274"/>
      <c r="AH5" s="274"/>
      <c r="AI5" s="274"/>
      <c r="AJ5" s="274"/>
      <c r="AK5" s="274"/>
      <c r="AL5" s="274"/>
      <c r="AM5" s="274"/>
      <c r="AN5" s="274"/>
      <c r="AO5" s="274"/>
      <c r="AP5" s="274"/>
      <c r="AQ5" s="274"/>
      <c r="AR5" s="274"/>
      <c r="AS5" s="274"/>
      <c r="AT5" s="274"/>
    </row>
    <row r="6" spans="1:46" s="1" customFormat="1" ht="12.75">
      <c r="A6" s="1" t="s">
        <v>122</v>
      </c>
      <c r="B6" s="555">
        <v>137</v>
      </c>
      <c r="C6" s="555">
        <v>96</v>
      </c>
      <c r="D6" s="555">
        <v>87</v>
      </c>
      <c r="E6" s="555">
        <v>78</v>
      </c>
      <c r="F6" s="555">
        <v>77</v>
      </c>
      <c r="G6" s="555">
        <v>74</v>
      </c>
      <c r="H6" s="553">
        <v>72</v>
      </c>
      <c r="I6" s="555">
        <v>69</v>
      </c>
      <c r="J6" s="556">
        <v>67</v>
      </c>
      <c r="K6" s="555">
        <v>66</v>
      </c>
      <c r="L6" s="556">
        <v>5</v>
      </c>
      <c r="M6" s="556">
        <v>3</v>
      </c>
      <c r="N6" s="557">
        <f>M6</f>
        <v>3</v>
      </c>
      <c r="O6" s="559">
        <v>2</v>
      </c>
      <c r="P6" s="559">
        <v>2</v>
      </c>
      <c r="Q6" s="559">
        <v>41</v>
      </c>
      <c r="R6" s="559">
        <v>37</v>
      </c>
      <c r="S6" s="559">
        <v>35</v>
      </c>
      <c r="T6" s="559">
        <v>35</v>
      </c>
      <c r="U6" s="559">
        <v>68</v>
      </c>
      <c r="V6" s="544">
        <f t="shared" ref="V6:AA6" si="1">U6</f>
        <v>68</v>
      </c>
      <c r="W6" s="544">
        <f t="shared" si="1"/>
        <v>68</v>
      </c>
      <c r="X6" s="544">
        <f t="shared" si="1"/>
        <v>68</v>
      </c>
      <c r="Y6" s="544">
        <f t="shared" si="1"/>
        <v>68</v>
      </c>
      <c r="Z6" s="544">
        <f t="shared" si="1"/>
        <v>68</v>
      </c>
      <c r="AA6" s="544">
        <f t="shared" si="1"/>
        <v>68</v>
      </c>
      <c r="AB6" s="274"/>
      <c r="AC6" s="274"/>
      <c r="AD6" s="274"/>
      <c r="AE6" s="274"/>
      <c r="AF6" s="274"/>
      <c r="AG6" s="274"/>
      <c r="AH6" s="274"/>
      <c r="AI6" s="274"/>
      <c r="AJ6" s="274"/>
      <c r="AK6" s="274"/>
      <c r="AL6" s="274"/>
      <c r="AM6" s="274"/>
      <c r="AN6" s="274"/>
      <c r="AO6" s="274"/>
      <c r="AP6" s="274"/>
      <c r="AQ6" s="274"/>
      <c r="AR6" s="274"/>
      <c r="AS6" s="274"/>
      <c r="AT6" s="274"/>
    </row>
    <row r="7" spans="1:46" s="1" customFormat="1" ht="12.75">
      <c r="A7" s="1" t="s">
        <v>121</v>
      </c>
      <c r="B7" s="555">
        <v>2095</v>
      </c>
      <c r="C7" s="555">
        <v>2238</v>
      </c>
      <c r="D7" s="555">
        <v>2356</v>
      </c>
      <c r="E7" s="555">
        <v>2514</v>
      </c>
      <c r="F7" s="555">
        <v>2451</v>
      </c>
      <c r="G7" s="555">
        <v>2677</v>
      </c>
      <c r="H7" s="555">
        <v>2662</v>
      </c>
      <c r="I7" s="555">
        <v>2902</v>
      </c>
      <c r="J7" s="556">
        <v>3391</v>
      </c>
      <c r="K7" s="555">
        <v>1326</v>
      </c>
      <c r="L7" s="556">
        <v>1608</v>
      </c>
      <c r="M7" s="556">
        <v>1678</v>
      </c>
      <c r="N7" s="556">
        <v>1693</v>
      </c>
      <c r="O7" s="559">
        <v>1626</v>
      </c>
      <c r="P7" s="559">
        <v>1578</v>
      </c>
      <c r="Q7" s="559">
        <v>1672</v>
      </c>
      <c r="R7" s="559">
        <v>2067</v>
      </c>
      <c r="S7" s="559">
        <v>2228</v>
      </c>
      <c r="T7" s="559">
        <v>2433</v>
      </c>
      <c r="U7" s="559">
        <v>2360</v>
      </c>
      <c r="V7" s="547">
        <f>U7+'Cash Flow Statement'!V33-'Cash Flow Statement'!V18-'Cash Flow Statement'!V34-'Cash Flow Statement'!V35</f>
        <v>2680.25</v>
      </c>
      <c r="W7" s="547">
        <f>V7+'Cash Flow Statement'!W33-'Cash Flow Statement'!W18-'Cash Flow Statement'!W34-'Cash Flow Statement'!W35</f>
        <v>3016.5124999999998</v>
      </c>
      <c r="X7" s="547">
        <f>W7+'Cash Flow Statement'!X33-'Cash Flow Statement'!X18-'Cash Flow Statement'!X34-'Cash Flow Statement'!X35</f>
        <v>3369.5881249999998</v>
      </c>
      <c r="Y7" s="547">
        <f>X7+'Cash Flow Statement'!Y33-'Cash Flow Statement'!Y18-'Cash Flow Statement'!Y34-'Cash Flow Statement'!Y35</f>
        <v>3740.3175312499998</v>
      </c>
      <c r="Z7" s="547">
        <f>Y7+'Cash Flow Statement'!Z33-'Cash Flow Statement'!Z18-'Cash Flow Statement'!Z34-'Cash Flow Statement'!Z35</f>
        <v>4129.5834078124999</v>
      </c>
      <c r="AA7" s="547">
        <f>Z7+'Cash Flow Statement'!AA33-'Cash Flow Statement'!AA18-'Cash Flow Statement'!AA34-'Cash Flow Statement'!AA35</f>
        <v>4538.3125782031248</v>
      </c>
      <c r="AB7" s="274"/>
      <c r="AC7" s="274"/>
      <c r="AD7" s="274"/>
      <c r="AE7" s="274"/>
      <c r="AF7" s="274"/>
      <c r="AG7" s="274"/>
      <c r="AH7" s="274"/>
      <c r="AI7" s="274"/>
      <c r="AJ7" s="274"/>
      <c r="AK7" s="274"/>
      <c r="AL7" s="274"/>
      <c r="AM7" s="274"/>
      <c r="AN7" s="274"/>
      <c r="AO7" s="274"/>
      <c r="AP7" s="274"/>
      <c r="AQ7" s="274"/>
      <c r="AR7" s="274"/>
      <c r="AS7" s="274"/>
      <c r="AT7" s="274"/>
    </row>
    <row r="8" spans="1:46" s="1" customFormat="1" ht="12.75">
      <c r="A8" s="1" t="s">
        <v>120</v>
      </c>
      <c r="B8" s="555">
        <v>1666</v>
      </c>
      <c r="C8" s="555">
        <v>1553</v>
      </c>
      <c r="D8" s="555">
        <v>1712</v>
      </c>
      <c r="E8" s="555">
        <v>2210</v>
      </c>
      <c r="F8" s="555">
        <v>2386</v>
      </c>
      <c r="G8" s="555">
        <v>2352</v>
      </c>
      <c r="H8" s="555">
        <v>2115</v>
      </c>
      <c r="I8" s="555">
        <v>1864</v>
      </c>
      <c r="J8" s="556">
        <v>1769</v>
      </c>
      <c r="K8" s="555">
        <v>2492</v>
      </c>
      <c r="L8" s="556">
        <v>3655</v>
      </c>
      <c r="M8" s="556">
        <v>4204</v>
      </c>
      <c r="N8" s="556">
        <v>3811</v>
      </c>
      <c r="O8" s="559">
        <v>4453</v>
      </c>
      <c r="P8" s="559">
        <v>3855</v>
      </c>
      <c r="Q8" s="559">
        <v>4001</v>
      </c>
      <c r="R8" s="559">
        <v>4190</v>
      </c>
      <c r="S8" s="559">
        <v>4719</v>
      </c>
      <c r="T8" s="559">
        <v>5077</v>
      </c>
      <c r="U8" s="559">
        <v>5470</v>
      </c>
      <c r="V8" s="544">
        <f t="shared" ref="V8:X13" si="2">U8</f>
        <v>5470</v>
      </c>
      <c r="W8" s="544">
        <f t="shared" si="2"/>
        <v>5470</v>
      </c>
      <c r="X8" s="544">
        <f t="shared" si="2"/>
        <v>5470</v>
      </c>
      <c r="Y8" s="544">
        <f t="shared" ref="Y8:Y13" si="3">X8</f>
        <v>5470</v>
      </c>
      <c r="Z8" s="544">
        <f t="shared" ref="Z8:AA13" si="4">Y8</f>
        <v>5470</v>
      </c>
      <c r="AA8" s="544">
        <f t="shared" si="4"/>
        <v>5470</v>
      </c>
      <c r="AB8" s="274"/>
      <c r="AC8" s="274"/>
      <c r="AD8" s="274"/>
      <c r="AE8" s="274"/>
      <c r="AF8" s="274"/>
      <c r="AG8" s="274"/>
      <c r="AH8" s="274"/>
      <c r="AI8" s="274"/>
      <c r="AJ8" s="274"/>
      <c r="AK8" s="274"/>
      <c r="AL8" s="274"/>
      <c r="AM8" s="274"/>
      <c r="AN8" s="274"/>
      <c r="AO8" s="274"/>
      <c r="AP8" s="274"/>
      <c r="AQ8" s="274"/>
      <c r="AR8" s="274"/>
      <c r="AS8" s="274"/>
      <c r="AT8" s="274"/>
    </row>
    <row r="9" spans="1:46" s="1" customFormat="1" ht="12.75">
      <c r="A9" s="1" t="s">
        <v>119</v>
      </c>
      <c r="B9" s="555">
        <v>4231</v>
      </c>
      <c r="C9" s="555">
        <v>2510</v>
      </c>
      <c r="D9" s="555">
        <v>1612</v>
      </c>
      <c r="E9" s="555">
        <v>1607</v>
      </c>
      <c r="F9" s="555">
        <v>871</v>
      </c>
      <c r="G9" s="555">
        <v>631</v>
      </c>
      <c r="H9" s="555">
        <v>1386</v>
      </c>
      <c r="I9" s="555">
        <v>2076</v>
      </c>
      <c r="J9" s="556">
        <v>586</v>
      </c>
      <c r="K9" s="555">
        <v>1096</v>
      </c>
      <c r="L9" s="556">
        <v>976</v>
      </c>
      <c r="M9" s="556">
        <v>2980</v>
      </c>
      <c r="N9" s="556">
        <v>1108</v>
      </c>
      <c r="O9" s="559">
        <v>1033</v>
      </c>
      <c r="P9" s="559">
        <v>3483</v>
      </c>
      <c r="Q9" s="559">
        <v>691</v>
      </c>
      <c r="R9" s="559">
        <v>781</v>
      </c>
      <c r="S9" s="559">
        <v>922</v>
      </c>
      <c r="T9" s="559">
        <v>697</v>
      </c>
      <c r="U9" s="559">
        <v>1070</v>
      </c>
      <c r="V9" s="544">
        <f t="shared" si="2"/>
        <v>1070</v>
      </c>
      <c r="W9" s="544">
        <f t="shared" si="2"/>
        <v>1070</v>
      </c>
      <c r="X9" s="544">
        <f t="shared" si="2"/>
        <v>1070</v>
      </c>
      <c r="Y9" s="544">
        <f t="shared" si="3"/>
        <v>1070</v>
      </c>
      <c r="Z9" s="544">
        <f t="shared" si="4"/>
        <v>1070</v>
      </c>
      <c r="AA9" s="544">
        <f t="shared" si="4"/>
        <v>1070</v>
      </c>
      <c r="AB9" s="274"/>
      <c r="AC9" s="274"/>
      <c r="AD9" s="274"/>
      <c r="AE9" s="274"/>
      <c r="AF9" s="274"/>
      <c r="AG9" s="274"/>
      <c r="AH9" s="274"/>
      <c r="AI9" s="274"/>
      <c r="AJ9" s="274"/>
      <c r="AK9" s="274"/>
      <c r="AL9" s="274"/>
      <c r="AM9" s="274"/>
      <c r="AN9" s="274"/>
      <c r="AO9" s="274"/>
      <c r="AP9" s="274"/>
      <c r="AQ9" s="274"/>
      <c r="AR9" s="274"/>
      <c r="AS9" s="274"/>
      <c r="AT9" s="274"/>
    </row>
    <row r="10" spans="1:46" s="1" customFormat="1" ht="12.75">
      <c r="A10" s="1" t="s">
        <v>118</v>
      </c>
      <c r="B10" s="553"/>
      <c r="C10" s="555">
        <v>1033</v>
      </c>
      <c r="D10" s="555">
        <v>1034</v>
      </c>
      <c r="E10" s="555">
        <v>1176</v>
      </c>
      <c r="F10" s="555">
        <v>1104</v>
      </c>
      <c r="G10" s="555">
        <v>1253</v>
      </c>
      <c r="H10" s="555">
        <v>1415</v>
      </c>
      <c r="I10" s="555">
        <v>1653</v>
      </c>
      <c r="J10" s="556">
        <v>1822</v>
      </c>
      <c r="K10" s="555">
        <v>2166</v>
      </c>
      <c r="L10" s="556">
        <v>2358</v>
      </c>
      <c r="M10" s="556">
        <v>2295</v>
      </c>
      <c r="N10" s="556">
        <v>888</v>
      </c>
      <c r="O10" s="559">
        <v>522</v>
      </c>
      <c r="P10" s="559">
        <v>483</v>
      </c>
      <c r="Q10" s="559">
        <v>901</v>
      </c>
      <c r="R10" s="559">
        <v>1872</v>
      </c>
      <c r="S10" s="559">
        <v>1854</v>
      </c>
      <c r="T10" s="559">
        <v>2650</v>
      </c>
      <c r="U10" s="559">
        <v>2762</v>
      </c>
      <c r="V10" s="544">
        <f t="shared" si="2"/>
        <v>2762</v>
      </c>
      <c r="W10" s="544">
        <f t="shared" si="2"/>
        <v>2762</v>
      </c>
      <c r="X10" s="544">
        <f t="shared" si="2"/>
        <v>2762</v>
      </c>
      <c r="Y10" s="544">
        <f t="shared" si="3"/>
        <v>2762</v>
      </c>
      <c r="Z10" s="544">
        <f t="shared" si="4"/>
        <v>2762</v>
      </c>
      <c r="AA10" s="544">
        <f t="shared" si="4"/>
        <v>2762</v>
      </c>
      <c r="AB10" s="274"/>
      <c r="AC10" s="274"/>
      <c r="AD10" s="274"/>
      <c r="AE10" s="274"/>
      <c r="AF10" s="274"/>
      <c r="AG10" s="274"/>
      <c r="AH10" s="274"/>
      <c r="AI10" s="274"/>
      <c r="AJ10" s="274"/>
      <c r="AK10" s="274"/>
      <c r="AL10" s="274"/>
      <c r="AM10" s="274"/>
      <c r="AN10" s="274"/>
      <c r="AO10" s="274"/>
      <c r="AP10" s="274"/>
      <c r="AQ10" s="274"/>
      <c r="AR10" s="274"/>
      <c r="AS10" s="274"/>
      <c r="AT10" s="274"/>
    </row>
    <row r="11" spans="1:46" s="1" customFormat="1" ht="12.75">
      <c r="A11" s="1" t="s">
        <v>117</v>
      </c>
      <c r="B11" s="555">
        <v>2624</v>
      </c>
      <c r="C11" s="555">
        <v>2705</v>
      </c>
      <c r="D11" s="555">
        <v>2756</v>
      </c>
      <c r="E11" s="555">
        <v>2656</v>
      </c>
      <c r="F11" s="555">
        <v>4250</v>
      </c>
      <c r="G11" s="555">
        <v>4318</v>
      </c>
      <c r="H11" s="555">
        <v>4532</v>
      </c>
      <c r="I11" s="555">
        <v>3840</v>
      </c>
      <c r="J11" s="556">
        <v>5717</v>
      </c>
      <c r="K11" s="555">
        <v>6759</v>
      </c>
      <c r="L11" s="556">
        <v>7557</v>
      </c>
      <c r="M11" s="556">
        <v>3598</v>
      </c>
      <c r="N11" s="556">
        <v>4835</v>
      </c>
      <c r="O11" s="559">
        <v>5008</v>
      </c>
      <c r="P11" s="559">
        <v>4023</v>
      </c>
      <c r="Q11" s="559">
        <v>4323</v>
      </c>
      <c r="R11" s="559">
        <v>4683</v>
      </c>
      <c r="S11" s="559">
        <v>3448</v>
      </c>
      <c r="T11" s="559">
        <v>3505</v>
      </c>
      <c r="U11" s="559">
        <v>1808</v>
      </c>
      <c r="V11" s="562">
        <f t="shared" si="2"/>
        <v>1808</v>
      </c>
      <c r="W11" s="562">
        <f t="shared" si="2"/>
        <v>1808</v>
      </c>
      <c r="X11" s="562">
        <f t="shared" si="2"/>
        <v>1808</v>
      </c>
      <c r="Y11" s="562">
        <f t="shared" si="3"/>
        <v>1808</v>
      </c>
      <c r="Z11" s="562">
        <f t="shared" si="4"/>
        <v>1808</v>
      </c>
      <c r="AA11" s="562">
        <f t="shared" si="4"/>
        <v>1808</v>
      </c>
      <c r="AB11" s="274"/>
      <c r="AC11" s="274"/>
      <c r="AD11" s="274"/>
      <c r="AE11" s="274"/>
      <c r="AF11" s="274"/>
      <c r="AG11" s="274"/>
      <c r="AH11" s="274"/>
      <c r="AI11" s="274"/>
      <c r="AJ11" s="274"/>
      <c r="AK11" s="274"/>
      <c r="AL11" s="274"/>
      <c r="AM11" s="274"/>
      <c r="AN11" s="274"/>
      <c r="AO11" s="274"/>
      <c r="AP11" s="274"/>
      <c r="AQ11" s="274"/>
      <c r="AR11" s="274"/>
      <c r="AS11" s="274"/>
      <c r="AT11" s="274"/>
    </row>
    <row r="12" spans="1:46" s="1" customFormat="1" ht="12.75">
      <c r="A12" s="1" t="s">
        <v>116</v>
      </c>
      <c r="B12" s="555">
        <v>1294</v>
      </c>
      <c r="C12" s="555">
        <v>2691</v>
      </c>
      <c r="D12" s="555">
        <v>3040</v>
      </c>
      <c r="E12" s="555">
        <v>3983</v>
      </c>
      <c r="F12" s="555">
        <v>5332</v>
      </c>
      <c r="G12" s="555">
        <v>7229</v>
      </c>
      <c r="H12" s="555">
        <v>5987</v>
      </c>
      <c r="I12" s="555">
        <v>4300</v>
      </c>
      <c r="J12" s="556">
        <v>5989</v>
      </c>
      <c r="K12" s="555">
        <v>9851</v>
      </c>
      <c r="L12" s="556">
        <v>9897</v>
      </c>
      <c r="M12" s="556">
        <v>10944</v>
      </c>
      <c r="N12" s="556">
        <v>10662</v>
      </c>
      <c r="O12" s="559">
        <v>11066</v>
      </c>
      <c r="P12" s="559">
        <v>5350</v>
      </c>
      <c r="Q12" s="559">
        <v>6794</v>
      </c>
      <c r="R12" s="559">
        <v>6013</v>
      </c>
      <c r="S12" s="559">
        <v>7508</v>
      </c>
      <c r="T12" s="559">
        <v>9032</v>
      </c>
      <c r="U12" s="559">
        <v>9997</v>
      </c>
      <c r="V12" s="544">
        <f t="shared" si="2"/>
        <v>9997</v>
      </c>
      <c r="W12" s="544">
        <f t="shared" si="2"/>
        <v>9997</v>
      </c>
      <c r="X12" s="544">
        <f t="shared" si="2"/>
        <v>9997</v>
      </c>
      <c r="Y12" s="544">
        <f t="shared" si="3"/>
        <v>9997</v>
      </c>
      <c r="Z12" s="544">
        <f t="shared" si="4"/>
        <v>9997</v>
      </c>
      <c r="AA12" s="544">
        <f t="shared" si="4"/>
        <v>9997</v>
      </c>
      <c r="AB12" s="274"/>
      <c r="AC12" s="274"/>
      <c r="AD12" s="274"/>
      <c r="AE12" s="274"/>
      <c r="AF12" s="274"/>
      <c r="AG12" s="274"/>
      <c r="AH12" s="274"/>
      <c r="AI12" s="274"/>
      <c r="AJ12" s="274"/>
      <c r="AK12" s="274"/>
      <c r="AL12" s="274"/>
      <c r="AM12" s="274"/>
      <c r="AN12" s="274"/>
      <c r="AO12" s="274"/>
      <c r="AP12" s="274"/>
      <c r="AQ12" s="274"/>
      <c r="AR12" s="274"/>
      <c r="AS12" s="274"/>
      <c r="AT12" s="274"/>
    </row>
    <row r="13" spans="1:46" s="1" customFormat="1" ht="12.75">
      <c r="A13" s="1" t="s">
        <v>608</v>
      </c>
      <c r="B13" s="553">
        <f t="shared" ref="B13:I13" si="5">B14-SUM(B4:B12)</f>
        <v>0</v>
      </c>
      <c r="C13" s="553">
        <f t="shared" si="5"/>
        <v>0</v>
      </c>
      <c r="D13" s="553">
        <f t="shared" si="5"/>
        <v>0</v>
      </c>
      <c r="E13" s="553">
        <f t="shared" si="5"/>
        <v>0</v>
      </c>
      <c r="F13" s="553">
        <f t="shared" si="5"/>
        <v>0</v>
      </c>
      <c r="G13" s="553">
        <f t="shared" si="5"/>
        <v>0</v>
      </c>
      <c r="H13" s="553">
        <f t="shared" si="5"/>
        <v>0</v>
      </c>
      <c r="I13" s="553">
        <f t="shared" si="5"/>
        <v>0</v>
      </c>
      <c r="J13" s="553">
        <v>750</v>
      </c>
      <c r="K13" s="553">
        <v>1779</v>
      </c>
      <c r="L13" s="553">
        <f>1148-17</f>
        <v>1131</v>
      </c>
      <c r="M13" s="553">
        <f>202-17</f>
        <v>185</v>
      </c>
      <c r="N13" s="553">
        <v>65</v>
      </c>
      <c r="O13" s="553">
        <v>91</v>
      </c>
      <c r="P13" s="553">
        <v>48</v>
      </c>
      <c r="Q13" s="553">
        <v>27</v>
      </c>
      <c r="R13" s="553">
        <v>26</v>
      </c>
      <c r="S13" s="553">
        <v>26</v>
      </c>
      <c r="T13" s="553">
        <v>61</v>
      </c>
      <c r="U13" s="553">
        <v>17</v>
      </c>
      <c r="V13" s="544">
        <v>5</v>
      </c>
      <c r="W13" s="544">
        <f t="shared" si="2"/>
        <v>5</v>
      </c>
      <c r="X13" s="544">
        <f t="shared" si="2"/>
        <v>5</v>
      </c>
      <c r="Y13" s="544">
        <f t="shared" si="3"/>
        <v>5</v>
      </c>
      <c r="Z13" s="544">
        <f t="shared" si="4"/>
        <v>5</v>
      </c>
      <c r="AA13" s="544">
        <f t="shared" si="4"/>
        <v>5</v>
      </c>
      <c r="AB13" s="274"/>
      <c r="AC13" s="274"/>
      <c r="AD13" s="274"/>
      <c r="AE13" s="274"/>
      <c r="AF13" s="274"/>
      <c r="AG13" s="274"/>
      <c r="AH13" s="274"/>
      <c r="AI13" s="274"/>
      <c r="AJ13" s="274"/>
      <c r="AK13" s="274"/>
      <c r="AL13" s="274"/>
      <c r="AM13" s="274"/>
      <c r="AN13" s="274"/>
      <c r="AO13" s="274"/>
      <c r="AP13" s="274"/>
      <c r="AQ13" s="274"/>
      <c r="AR13" s="274"/>
      <c r="AS13" s="274"/>
      <c r="AT13" s="274"/>
    </row>
    <row r="14" spans="1:46" s="1" customFormat="1" ht="12.75">
      <c r="A14" s="265" t="s">
        <v>115</v>
      </c>
      <c r="B14" s="572">
        <v>37080</v>
      </c>
      <c r="C14" s="572">
        <v>37051</v>
      </c>
      <c r="D14" s="572">
        <v>35924</v>
      </c>
      <c r="E14" s="572">
        <v>37792</v>
      </c>
      <c r="F14" s="572">
        <v>41197</v>
      </c>
      <c r="G14" s="572">
        <v>45466</v>
      </c>
      <c r="H14" s="572">
        <v>46794</v>
      </c>
      <c r="I14" s="572">
        <v>46213</v>
      </c>
      <c r="J14" s="570">
        <f t="shared" ref="J14:R14" si="6">SUM(J4:J13)</f>
        <v>49170</v>
      </c>
      <c r="K14" s="570">
        <f t="shared" si="6"/>
        <v>55217</v>
      </c>
      <c r="L14" s="570">
        <f t="shared" si="6"/>
        <v>56168</v>
      </c>
      <c r="M14" s="570">
        <f t="shared" si="6"/>
        <v>54126</v>
      </c>
      <c r="N14" s="570">
        <f t="shared" si="6"/>
        <v>56564</v>
      </c>
      <c r="O14" s="570">
        <f t="shared" si="6"/>
        <v>57686</v>
      </c>
      <c r="P14" s="570">
        <f t="shared" si="6"/>
        <v>51695</v>
      </c>
      <c r="Q14" s="570">
        <f t="shared" si="6"/>
        <v>51353</v>
      </c>
      <c r="R14" s="570">
        <f t="shared" si="6"/>
        <v>52942</v>
      </c>
      <c r="S14" s="570">
        <f t="shared" ref="S14:Z14" si="7">SUM(S4:S13)</f>
        <v>54870</v>
      </c>
      <c r="T14" s="570">
        <f t="shared" si="7"/>
        <v>59781</v>
      </c>
      <c r="U14" s="570">
        <f t="shared" si="7"/>
        <v>61292</v>
      </c>
      <c r="V14" s="570">
        <f t="shared" si="7"/>
        <v>62488.559592772777</v>
      </c>
      <c r="W14" s="570">
        <f t="shared" si="7"/>
        <v>63836.661765624085</v>
      </c>
      <c r="X14" s="570">
        <f t="shared" si="7"/>
        <v>66060.891971541685</v>
      </c>
      <c r="Y14" s="570">
        <f t="shared" si="7"/>
        <v>68243.546532119042</v>
      </c>
      <c r="Z14" s="570">
        <f t="shared" si="7"/>
        <v>70320.504436131829</v>
      </c>
      <c r="AA14" s="570">
        <f t="shared" ref="AA14" si="8">SUM(AA4:AA13)</f>
        <v>72323.099893691659</v>
      </c>
      <c r="AB14" s="274"/>
      <c r="AC14" s="274"/>
      <c r="AD14" s="274"/>
      <c r="AE14" s="274"/>
      <c r="AF14" s="274"/>
      <c r="AG14" s="274"/>
      <c r="AH14" s="274"/>
      <c r="AI14" s="274"/>
      <c r="AJ14" s="274"/>
      <c r="AK14" s="274"/>
      <c r="AL14" s="274"/>
      <c r="AM14" s="274"/>
      <c r="AN14" s="274"/>
      <c r="AO14" s="274"/>
      <c r="AP14" s="274"/>
      <c r="AQ14" s="274"/>
      <c r="AR14" s="274"/>
      <c r="AS14" s="274"/>
      <c r="AT14" s="274"/>
    </row>
    <row r="15" spans="1:46" s="1" customFormat="1" ht="12.75">
      <c r="B15" s="553"/>
      <c r="C15" s="553"/>
      <c r="D15" s="553"/>
      <c r="E15" s="553"/>
      <c r="F15" s="553"/>
      <c r="G15" s="553"/>
      <c r="H15" s="553"/>
      <c r="I15" s="553"/>
      <c r="J15" s="553"/>
      <c r="K15" s="553"/>
      <c r="L15" s="553"/>
      <c r="M15" s="553"/>
      <c r="N15" s="553"/>
      <c r="O15" s="544"/>
      <c r="P15" s="544"/>
      <c r="Q15" s="551">
        <f>Q16/'Income Statement'!Q14</f>
        <v>0.54723964026155825</v>
      </c>
      <c r="R15" s="551">
        <f>R16/'Income Statement'!R14</f>
        <v>0.54799788982863362</v>
      </c>
      <c r="S15" s="551">
        <f>S16/'Income Statement'!S14</f>
        <v>0.51555480854444891</v>
      </c>
      <c r="T15" s="551">
        <f>T16/'Income Statement'!T14</f>
        <v>0.54521161346237179</v>
      </c>
      <c r="U15" s="551">
        <f>U16/'Income Statement'!U14</f>
        <v>0.56690471332381143</v>
      </c>
      <c r="V15" s="551">
        <f>V16/'Income Statement'!V14</f>
        <v>0.54443865220606458</v>
      </c>
      <c r="W15" s="551">
        <f>W16/'Income Statement'!W14</f>
        <v>0.54215369649946921</v>
      </c>
      <c r="X15" s="551">
        <f>X16/'Income Statement'!X14</f>
        <v>0.53235996100799343</v>
      </c>
      <c r="Y15" s="551">
        <f>Y16/'Income Statement'!Y14</f>
        <v>0.51740802768125993</v>
      </c>
      <c r="Z15" s="551">
        <f>Z16/'Income Statement'!Z14</f>
        <v>0.50055883413099023</v>
      </c>
      <c r="AA15" s="551">
        <f>AA16/'Income Statement'!AA14</f>
        <v>0.49906969979439864</v>
      </c>
      <c r="AB15" s="274"/>
      <c r="AC15" s="274"/>
      <c r="AD15" s="274"/>
      <c r="AE15" s="274"/>
      <c r="AF15" s="274"/>
      <c r="AG15" s="274"/>
      <c r="AH15" s="274"/>
      <c r="AI15" s="274"/>
      <c r="AJ15" s="274"/>
      <c r="AK15" s="274"/>
      <c r="AL15" s="274"/>
      <c r="AM15" s="274"/>
      <c r="AN15" s="274"/>
      <c r="AO15" s="274"/>
      <c r="AP15" s="274"/>
      <c r="AQ15" s="274"/>
      <c r="AR15" s="274"/>
      <c r="AS15" s="274"/>
      <c r="AT15" s="274"/>
    </row>
    <row r="16" spans="1:46" s="1" customFormat="1" ht="12.75">
      <c r="A16" s="1" t="s">
        <v>114</v>
      </c>
      <c r="B16" s="555">
        <v>16892</v>
      </c>
      <c r="C16" s="555">
        <v>18906</v>
      </c>
      <c r="D16" s="555">
        <v>19452</v>
      </c>
      <c r="E16" s="555">
        <v>21577</v>
      </c>
      <c r="F16" s="555">
        <v>20862</v>
      </c>
      <c r="G16" s="555">
        <v>22563</v>
      </c>
      <c r="H16" s="555">
        <v>23216</v>
      </c>
      <c r="I16" s="555">
        <v>25060</v>
      </c>
      <c r="J16" s="555">
        <v>25355</v>
      </c>
      <c r="K16" s="555">
        <v>29051</v>
      </c>
      <c r="L16" s="556">
        <v>29688</v>
      </c>
      <c r="M16" s="556">
        <v>31464</v>
      </c>
      <c r="N16" s="556">
        <v>31891</v>
      </c>
      <c r="O16" s="559">
        <v>31550</v>
      </c>
      <c r="P16" s="559">
        <v>30401</v>
      </c>
      <c r="Q16" s="559">
        <v>28538</v>
      </c>
      <c r="R16" s="559">
        <v>32202</v>
      </c>
      <c r="S16" s="559">
        <v>33741</v>
      </c>
      <c r="T16" s="559">
        <v>37745</v>
      </c>
      <c r="U16" s="559">
        <v>41676</v>
      </c>
      <c r="V16" s="547">
        <f>-V17/365*'Income Statement'!V60</f>
        <v>43714.457570335915</v>
      </c>
      <c r="W16" s="547">
        <f>-W17/365*'Income Statement'!W60</f>
        <v>49522.580472262714</v>
      </c>
      <c r="X16" s="547">
        <f>-X17/365*'Income Statement'!X60</f>
        <v>54643.847217315393</v>
      </c>
      <c r="Y16" s="547">
        <f>-Y17/365*'Income Statement'!Y60</f>
        <v>57572.166811330593</v>
      </c>
      <c r="Z16" s="547">
        <f>-Z17/365*'Income Statement'!Z60</f>
        <v>58522.854342803257</v>
      </c>
      <c r="AA16" s="547">
        <f>-AA17/365*'Income Statement'!AA60</f>
        <v>60620.884484157999</v>
      </c>
      <c r="AB16" s="274"/>
      <c r="AC16" s="274"/>
      <c r="AD16" s="274"/>
      <c r="AE16" s="274"/>
      <c r="AF16" s="274"/>
      <c r="AG16" s="274"/>
      <c r="AH16" s="274"/>
      <c r="AI16" s="274"/>
      <c r="AJ16" s="274"/>
      <c r="AK16" s="274"/>
      <c r="AL16" s="274"/>
      <c r="AM16" s="274"/>
      <c r="AN16" s="274"/>
      <c r="AO16" s="274"/>
      <c r="AP16" s="274"/>
      <c r="AQ16" s="274"/>
      <c r="AR16" s="274"/>
      <c r="AS16" s="274"/>
      <c r="AT16" s="274"/>
    </row>
    <row r="17" spans="1:46" s="1" customFormat="1" ht="12.75">
      <c r="A17" s="678" t="s">
        <v>526</v>
      </c>
      <c r="B17" s="907">
        <f>-AVERAGE(A16:B16)*365/'Income Statement'!B60</f>
        <v>177.56984044697887</v>
      </c>
      <c r="C17" s="907">
        <f>-AVERAGE(B16:C16)*365/'Income Statement'!C60</f>
        <v>187.72297569105223</v>
      </c>
      <c r="D17" s="907">
        <f>-AVERAGE(C16:D16)*365/'Income Statement'!D60</f>
        <v>194.95738992397025</v>
      </c>
      <c r="E17" s="907">
        <f>-AVERAGE(D16:E16)*365/'Income Statement'!E60</f>
        <v>195.08096032097544</v>
      </c>
      <c r="F17" s="907">
        <f>-AVERAGE(E16:F16)*365/'Income Statement'!F60</f>
        <v>195.94002985225663</v>
      </c>
      <c r="G17" s="907">
        <f>-AVERAGE(F16:G16)*365/'Income Statement'!G60</f>
        <v>187.42018446257538</v>
      </c>
      <c r="H17" s="907">
        <f>-AVERAGE(G16:H16)*365/'Income Statement'!H60</f>
        <v>171.9704314355111</v>
      </c>
      <c r="I17" s="907">
        <f>-AVERAGE(H16:I16)*365/'Income Statement'!I60</f>
        <v>173.10875331564986</v>
      </c>
      <c r="J17" s="907">
        <f>-AVERAGE(I16:J16)*365/'Income Statement'!J60</f>
        <v>177.7027483776267</v>
      </c>
      <c r="K17" s="907">
        <f>-AVERAGE(J16:K16)*365/'Income Statement'!K60</f>
        <v>178.58405726721705</v>
      </c>
      <c r="L17" s="907">
        <f>-AVERAGE(K16:L16)*365/'Income Statement'!L60</f>
        <v>174.8270055612636</v>
      </c>
      <c r="M17" s="907">
        <f>-AVERAGE(L16:M16)*365/'Income Statement'!M60</f>
        <v>188.64503042596348</v>
      </c>
      <c r="N17" s="907">
        <f>-AVERAGE(M16:N16)*365/'Income Statement'!N60</f>
        <v>210.52963401310998</v>
      </c>
      <c r="O17" s="907">
        <f>-AVERAGE(N16:O16)*365/'Income Statement'!O60</f>
        <v>193.05324896203291</v>
      </c>
      <c r="P17" s="907">
        <f>-AVERAGE(O16:P16)*365/'Income Statement'!P60</f>
        <v>255.50412429378531</v>
      </c>
      <c r="Q17" s="907">
        <f>-AVERAGE(P16:Q16)*365/'Income Statement'!Q60</f>
        <v>252.98385389717296</v>
      </c>
      <c r="R17" s="907">
        <f>-AVERAGE(Q16:R16)*365/'Income Statement'!R60</f>
        <v>230.01846779548472</v>
      </c>
      <c r="S17" s="907">
        <f>-AVERAGE(R16:S16)*365/'Income Statement'!S60</f>
        <v>217.22315981372515</v>
      </c>
      <c r="T17" s="907">
        <f>-AVERAGE(S16:T16)*365/'Income Statement'!T60</f>
        <v>222.80240799248568</v>
      </c>
      <c r="U17" s="907">
        <f>-AVERAGE(T16:U16)*365/'Income Statement'!U60</f>
        <v>232.08384705298386</v>
      </c>
      <c r="V17" s="873">
        <v>236.9</v>
      </c>
      <c r="W17" s="873">
        <v>236.95</v>
      </c>
      <c r="X17" s="873">
        <v>235.2</v>
      </c>
      <c r="Y17" s="873">
        <v>230.3</v>
      </c>
      <c r="Z17" s="873">
        <v>222.55</v>
      </c>
      <c r="AA17" s="873">
        <f>Z17-0.5</f>
        <v>222.05</v>
      </c>
      <c r="AB17" s="274"/>
      <c r="AC17" s="274"/>
      <c r="AD17" s="274"/>
      <c r="AE17" s="274"/>
      <c r="AF17" s="274"/>
      <c r="AG17" s="274"/>
      <c r="AH17" s="274"/>
      <c r="AI17" s="274"/>
      <c r="AJ17" s="274"/>
      <c r="AK17" s="274"/>
      <c r="AL17" s="274"/>
      <c r="AM17" s="274"/>
      <c r="AN17" s="274"/>
      <c r="AO17" s="274"/>
      <c r="AP17" s="274"/>
      <c r="AQ17" s="274"/>
      <c r="AR17" s="274"/>
      <c r="AS17" s="274"/>
      <c r="AT17" s="274"/>
    </row>
    <row r="18" spans="1:46" s="1" customFormat="1" ht="12.75">
      <c r="A18" s="1" t="s">
        <v>75</v>
      </c>
      <c r="B18" s="555">
        <v>4852</v>
      </c>
      <c r="C18" s="555">
        <v>4639</v>
      </c>
      <c r="D18" s="555">
        <v>5267</v>
      </c>
      <c r="E18" s="555">
        <v>5587</v>
      </c>
      <c r="F18" s="555">
        <v>6632</v>
      </c>
      <c r="G18" s="555">
        <v>6394</v>
      </c>
      <c r="H18" s="555">
        <v>6788</v>
      </c>
      <c r="I18" s="555">
        <v>7239</v>
      </c>
      <c r="J18" s="555">
        <v>6798</v>
      </c>
      <c r="K18" s="555">
        <v>7877</v>
      </c>
      <c r="L18" s="556">
        <v>8101</v>
      </c>
      <c r="M18" s="556">
        <v>8358</v>
      </c>
      <c r="N18" s="556">
        <v>6078</v>
      </c>
      <c r="O18" s="559">
        <v>5674</v>
      </c>
      <c r="P18" s="559">
        <v>5132</v>
      </c>
      <c r="Q18" s="559">
        <v>4957</v>
      </c>
      <c r="R18" s="559">
        <v>4953</v>
      </c>
      <c r="S18" s="559">
        <v>4725</v>
      </c>
      <c r="T18" s="559">
        <v>5293</v>
      </c>
      <c r="U18" s="559">
        <v>5454</v>
      </c>
      <c r="V18" s="547">
        <f>V19/365*'Income Statement'!V58</f>
        <v>6599.4012379748747</v>
      </c>
      <c r="W18" s="547">
        <f>W19/365*'Income Statement'!W58</f>
        <v>7507.7401596504451</v>
      </c>
      <c r="X18" s="547">
        <f>X19/365*'Income Statement'!X58</f>
        <v>8155.3201992746472</v>
      </c>
      <c r="Y18" s="547">
        <f>Y19/365*'Income Statement'!Y58</f>
        <v>8535.806852589385</v>
      </c>
      <c r="Z18" s="547">
        <f>Z19/365*'Income Statement'!Z58</f>
        <v>8968.8247147402544</v>
      </c>
      <c r="AA18" s="547">
        <f>AA19/365*'Income Statement'!AA58</f>
        <v>9318.0756568037305</v>
      </c>
      <c r="AB18" s="274"/>
      <c r="AC18" s="274"/>
      <c r="AD18" s="274"/>
      <c r="AE18" s="274"/>
      <c r="AF18" s="274"/>
      <c r="AG18" s="274"/>
      <c r="AH18" s="274"/>
      <c r="AI18" s="274"/>
      <c r="AJ18" s="274"/>
      <c r="AK18" s="274"/>
      <c r="AL18" s="274"/>
      <c r="AM18" s="274"/>
      <c r="AN18" s="274"/>
      <c r="AO18" s="274"/>
      <c r="AP18" s="274"/>
      <c r="AQ18" s="274"/>
      <c r="AR18" s="274"/>
      <c r="AS18" s="274"/>
      <c r="AT18" s="274"/>
    </row>
    <row r="19" spans="1:46" s="1" customFormat="1" ht="12.75">
      <c r="A19" s="678" t="s">
        <v>527</v>
      </c>
      <c r="B19" s="907">
        <f>AVERAGE(A18:B18)*365/'Income Statement'!B58</f>
        <v>44.909976162702236</v>
      </c>
      <c r="C19" s="907">
        <f>AVERAGE(B18:C18)*365/'Income Statement'!C58</f>
        <v>44.273381386907957</v>
      </c>
      <c r="D19" s="907">
        <f>AVERAGE(C18:D18)*365/'Income Statement'!D58</f>
        <v>41.785392349474172</v>
      </c>
      <c r="E19" s="907">
        <f>AVERAGE(D18:E18)*365/'Income Statement'!E58</f>
        <v>46.257881462799496</v>
      </c>
      <c r="F19" s="907">
        <f>AVERAGE(E18:F18)*365/'Income Statement'!F58</f>
        <v>48.740328291659381</v>
      </c>
      <c r="G19" s="907">
        <f>AVERAGE(F18:G18)*365/'Income Statement'!G58</f>
        <v>48.388800683927698</v>
      </c>
      <c r="H19" s="907">
        <f>AVERAGE(G18:H18)*365/'Income Statement'!H58</f>
        <v>42.594104107648725</v>
      </c>
      <c r="I19" s="907">
        <f>AVERAGE(H18:I18)*365/'Income Statement'!I58</f>
        <v>40.752793874172184</v>
      </c>
      <c r="J19" s="907">
        <f>AVERAGE(I18:J18)*365/'Income Statement'!J58</f>
        <v>42.194464118063678</v>
      </c>
      <c r="K19" s="907">
        <f>AVERAGE(J18:K18)*365/'Income Statement'!K58</f>
        <v>41.554499612102404</v>
      </c>
      <c r="L19" s="907">
        <f>AVERAGE(K18:L18)*365/'Income Statement'!L58</f>
        <v>43.796052928012493</v>
      </c>
      <c r="M19" s="907">
        <f>AVERAGE(L18:M18)*365/'Income Statement'!M58</f>
        <v>44.988804349454071</v>
      </c>
      <c r="N19" s="907">
        <f>AVERAGE(M18:N18)*365/'Income Statement'!N58</f>
        <v>41.354482239000426</v>
      </c>
      <c r="O19" s="907">
        <f>AVERAGE(N18:O18)*365/'Income Statement'!O58</f>
        <v>30.431340276398309</v>
      </c>
      <c r="P19" s="907">
        <f>AVERAGE(O18:P18)*365/'Income Statement'!P58</f>
        <v>39.511440134636963</v>
      </c>
      <c r="Q19" s="907">
        <f>AVERAGE(P18:Q18)*365/'Income Statement'!Q58</f>
        <v>35.307340505091183</v>
      </c>
      <c r="R19" s="907">
        <f>AVERAGE(Q18:R18)*365/'Income Statement'!R58</f>
        <v>30.777444990895631</v>
      </c>
      <c r="S19" s="907">
        <f>AVERAGE(R18:S18)*365/'Income Statement'!S58</f>
        <v>26.987669223481955</v>
      </c>
      <c r="T19" s="907">
        <f>AVERAGE(S18:T18)*365/'Income Statement'!T58</f>
        <v>26.408854542828255</v>
      </c>
      <c r="U19" s="907">
        <f>AVERAGE(T18:U18)*365/'Income Statement'!U58</f>
        <v>26.67928313949534</v>
      </c>
      <c r="V19" s="873">
        <v>30</v>
      </c>
      <c r="W19" s="873">
        <v>30</v>
      </c>
      <c r="X19" s="873">
        <f>W19-1</f>
        <v>29</v>
      </c>
      <c r="Y19" s="873">
        <f>X19-1</f>
        <v>28</v>
      </c>
      <c r="Z19" s="873">
        <f t="shared" ref="Z19:AA19" si="9">Y19</f>
        <v>28</v>
      </c>
      <c r="AA19" s="873">
        <f t="shared" si="9"/>
        <v>28</v>
      </c>
      <c r="AB19" s="274"/>
      <c r="AC19" s="274"/>
      <c r="AD19" s="274"/>
      <c r="AE19" s="274"/>
      <c r="AF19" s="274"/>
      <c r="AG19" s="274"/>
      <c r="AH19" s="274"/>
      <c r="AI19" s="274"/>
      <c r="AJ19" s="274"/>
      <c r="AK19" s="274"/>
      <c r="AL19" s="274"/>
      <c r="AM19" s="274"/>
      <c r="AN19" s="274"/>
      <c r="AO19" s="274"/>
      <c r="AP19" s="274"/>
      <c r="AQ19" s="274"/>
      <c r="AR19" s="274"/>
      <c r="AS19" s="274"/>
      <c r="AT19" s="274"/>
    </row>
    <row r="20" spans="1:46" s="1" customFormat="1" ht="12.75">
      <c r="A20" s="1" t="s">
        <v>113</v>
      </c>
      <c r="B20" s="555">
        <v>103</v>
      </c>
      <c r="C20" s="555">
        <v>166</v>
      </c>
      <c r="D20" s="555">
        <v>177</v>
      </c>
      <c r="E20" s="555">
        <v>230</v>
      </c>
      <c r="F20" s="555">
        <v>111</v>
      </c>
      <c r="G20" s="555">
        <v>172</v>
      </c>
      <c r="H20" s="555">
        <v>287</v>
      </c>
      <c r="I20" s="555">
        <v>181</v>
      </c>
      <c r="J20" s="555">
        <v>167</v>
      </c>
      <c r="K20" s="555">
        <v>178</v>
      </c>
      <c r="L20" s="556">
        <v>522</v>
      </c>
      <c r="M20" s="556">
        <v>529</v>
      </c>
      <c r="N20" s="556">
        <v>489</v>
      </c>
      <c r="O20" s="546">
        <v>449</v>
      </c>
      <c r="P20" s="546">
        <v>468</v>
      </c>
      <c r="Q20" s="546">
        <v>537</v>
      </c>
      <c r="R20" s="559">
        <v>665</v>
      </c>
      <c r="S20" s="559">
        <v>795</v>
      </c>
      <c r="T20" s="559">
        <v>897</v>
      </c>
      <c r="U20" s="559">
        <v>734</v>
      </c>
      <c r="V20" s="544">
        <f t="shared" ref="V20:X24" si="10">U20</f>
        <v>734</v>
      </c>
      <c r="W20" s="544">
        <f t="shared" si="10"/>
        <v>734</v>
      </c>
      <c r="X20" s="544">
        <f t="shared" si="10"/>
        <v>734</v>
      </c>
      <c r="Y20" s="544">
        <f t="shared" ref="Y20:AA24" si="11">X20</f>
        <v>734</v>
      </c>
      <c r="Z20" s="544">
        <f t="shared" si="11"/>
        <v>734</v>
      </c>
      <c r="AA20" s="544">
        <f t="shared" si="11"/>
        <v>734</v>
      </c>
      <c r="AB20" s="274"/>
      <c r="AC20" s="274"/>
      <c r="AD20" s="274"/>
      <c r="AE20" s="274"/>
      <c r="AF20" s="274"/>
      <c r="AG20" s="274"/>
      <c r="AH20" s="274"/>
      <c r="AI20" s="274"/>
      <c r="AJ20" s="274"/>
      <c r="AK20" s="274"/>
      <c r="AL20" s="274"/>
      <c r="AM20" s="274"/>
      <c r="AN20" s="274"/>
      <c r="AO20" s="274"/>
      <c r="AP20" s="274"/>
      <c r="AQ20" s="274"/>
      <c r="AR20" s="274"/>
      <c r="AS20" s="274"/>
      <c r="AT20" s="274"/>
    </row>
    <row r="21" spans="1:46" s="1" customFormat="1" ht="12.75">
      <c r="A21" s="1" t="s">
        <v>112</v>
      </c>
      <c r="B21" s="555">
        <v>4014</v>
      </c>
      <c r="C21" s="555">
        <v>3855</v>
      </c>
      <c r="D21" s="555">
        <v>2495</v>
      </c>
      <c r="E21" s="555">
        <v>2043</v>
      </c>
      <c r="F21" s="555">
        <v>1575</v>
      </c>
      <c r="G21" s="555">
        <v>1739</v>
      </c>
      <c r="H21" s="555">
        <v>1448</v>
      </c>
      <c r="I21" s="555">
        <v>1557</v>
      </c>
      <c r="J21" s="555">
        <v>1164</v>
      </c>
      <c r="K21" s="555">
        <v>1402</v>
      </c>
      <c r="L21" s="556">
        <v>1257</v>
      </c>
      <c r="M21" s="556">
        <v>1979</v>
      </c>
      <c r="N21" s="556">
        <v>1811</v>
      </c>
      <c r="O21" s="546">
        <v>2060</v>
      </c>
      <c r="P21" s="546">
        <v>2432</v>
      </c>
      <c r="Q21" s="546">
        <v>1451</v>
      </c>
      <c r="R21" s="559">
        <v>2542</v>
      </c>
      <c r="S21" s="559">
        <v>1851</v>
      </c>
      <c r="T21" s="559">
        <v>2004</v>
      </c>
      <c r="U21" s="559">
        <v>2557</v>
      </c>
      <c r="V21" s="544">
        <f t="shared" si="10"/>
        <v>2557</v>
      </c>
      <c r="W21" s="544">
        <f t="shared" si="10"/>
        <v>2557</v>
      </c>
      <c r="X21" s="544">
        <f t="shared" si="10"/>
        <v>2557</v>
      </c>
      <c r="Y21" s="544">
        <f t="shared" si="11"/>
        <v>2557</v>
      </c>
      <c r="Z21" s="544">
        <f t="shared" si="11"/>
        <v>2557</v>
      </c>
      <c r="AA21" s="544">
        <f t="shared" si="11"/>
        <v>2557</v>
      </c>
      <c r="AB21" s="274"/>
      <c r="AC21" s="274"/>
      <c r="AD21" s="274"/>
      <c r="AE21" s="274"/>
      <c r="AF21" s="274"/>
      <c r="AG21" s="274"/>
      <c r="AH21" s="274"/>
      <c r="AI21" s="274"/>
      <c r="AJ21" s="274"/>
      <c r="AK21" s="274"/>
      <c r="AL21" s="274"/>
      <c r="AM21" s="274"/>
      <c r="AN21" s="274"/>
      <c r="AO21" s="274"/>
      <c r="AP21" s="274"/>
      <c r="AQ21" s="274"/>
      <c r="AR21" s="274"/>
      <c r="AS21" s="274"/>
      <c r="AT21" s="274"/>
    </row>
    <row r="22" spans="1:46" s="1" customFormat="1" ht="12.75">
      <c r="A22" s="1" t="s">
        <v>111</v>
      </c>
      <c r="B22" s="553"/>
      <c r="C22" s="555">
        <v>1317</v>
      </c>
      <c r="D22" s="555">
        <v>1466</v>
      </c>
      <c r="E22" s="555">
        <v>1698</v>
      </c>
      <c r="F22" s="555">
        <v>1712</v>
      </c>
      <c r="G22" s="555">
        <v>2253</v>
      </c>
      <c r="H22" s="555">
        <v>2046</v>
      </c>
      <c r="I22" s="555">
        <v>2074</v>
      </c>
      <c r="J22" s="555">
        <v>2389</v>
      </c>
      <c r="K22" s="555">
        <v>2819</v>
      </c>
      <c r="L22" s="556">
        <v>2576</v>
      </c>
      <c r="M22" s="556">
        <v>2907</v>
      </c>
      <c r="N22" s="557">
        <f>4246+789</f>
        <v>5035</v>
      </c>
      <c r="O22" s="544">
        <f>2423+1167</f>
        <v>3590</v>
      </c>
      <c r="P22" s="544">
        <f>2216+1074</f>
        <v>3290</v>
      </c>
      <c r="Q22" s="544">
        <f>2393+1377</f>
        <v>3770</v>
      </c>
      <c r="R22" s="559">
        <f>2850+1501</f>
        <v>4351</v>
      </c>
      <c r="S22" s="559">
        <f>2697+1823</f>
        <v>4520</v>
      </c>
      <c r="T22" s="559">
        <f>1474+3463</f>
        <v>4937</v>
      </c>
      <c r="U22" s="559">
        <f>1639+3760</f>
        <v>5399</v>
      </c>
      <c r="V22" s="544">
        <f t="shared" si="10"/>
        <v>5399</v>
      </c>
      <c r="W22" s="544">
        <f t="shared" si="10"/>
        <v>5399</v>
      </c>
      <c r="X22" s="544">
        <f t="shared" si="10"/>
        <v>5399</v>
      </c>
      <c r="Y22" s="544">
        <f t="shared" si="11"/>
        <v>5399</v>
      </c>
      <c r="Z22" s="544">
        <f t="shared" si="11"/>
        <v>5399</v>
      </c>
      <c r="AA22" s="544">
        <f t="shared" si="11"/>
        <v>5399</v>
      </c>
      <c r="AB22" s="274"/>
      <c r="AC22" s="274"/>
      <c r="AD22" s="274"/>
      <c r="AE22" s="274"/>
      <c r="AF22" s="274"/>
      <c r="AG22" s="274"/>
      <c r="AH22" s="274"/>
      <c r="AI22" s="274"/>
      <c r="AJ22" s="274"/>
      <c r="AK22" s="274"/>
      <c r="AL22" s="274"/>
      <c r="AM22" s="274"/>
      <c r="AN22" s="274"/>
      <c r="AO22" s="274"/>
      <c r="AP22" s="274"/>
      <c r="AQ22" s="274"/>
      <c r="AR22" s="274"/>
      <c r="AS22" s="274"/>
      <c r="AT22" s="274"/>
    </row>
    <row r="23" spans="1:46" s="1" customFormat="1" ht="12.75">
      <c r="A23" s="1" t="s">
        <v>110</v>
      </c>
      <c r="B23" s="555">
        <v>428</v>
      </c>
      <c r="C23" s="555">
        <v>375</v>
      </c>
      <c r="D23" s="555">
        <v>452</v>
      </c>
      <c r="E23" s="555">
        <v>267</v>
      </c>
      <c r="F23" s="555">
        <v>234</v>
      </c>
      <c r="G23" s="555">
        <v>339</v>
      </c>
      <c r="H23" s="555">
        <v>458</v>
      </c>
      <c r="I23" s="555">
        <v>632</v>
      </c>
      <c r="J23" s="555">
        <v>605</v>
      </c>
      <c r="K23" s="555">
        <v>860</v>
      </c>
      <c r="L23" s="556">
        <v>1110</v>
      </c>
      <c r="M23" s="556">
        <v>914</v>
      </c>
      <c r="N23" s="556">
        <v>1451</v>
      </c>
      <c r="O23" s="546">
        <v>1784</v>
      </c>
      <c r="P23" s="546">
        <v>620</v>
      </c>
      <c r="Q23" s="546">
        <v>552</v>
      </c>
      <c r="R23" s="559">
        <v>704</v>
      </c>
      <c r="S23" s="559">
        <v>546</v>
      </c>
      <c r="T23" s="559">
        <v>663</v>
      </c>
      <c r="U23" s="559">
        <v>543</v>
      </c>
      <c r="V23" s="544">
        <f t="shared" si="10"/>
        <v>543</v>
      </c>
      <c r="W23" s="544">
        <f t="shared" si="10"/>
        <v>543</v>
      </c>
      <c r="X23" s="544">
        <f t="shared" si="10"/>
        <v>543</v>
      </c>
      <c r="Y23" s="544">
        <f t="shared" si="11"/>
        <v>543</v>
      </c>
      <c r="Z23" s="544">
        <f t="shared" si="11"/>
        <v>543</v>
      </c>
      <c r="AA23" s="544">
        <f t="shared" si="11"/>
        <v>543</v>
      </c>
      <c r="AB23" s="274"/>
      <c r="AC23" s="274"/>
      <c r="AD23" s="274"/>
      <c r="AE23" s="274"/>
      <c r="AF23" s="274"/>
      <c r="AG23" s="274"/>
      <c r="AH23" s="274"/>
      <c r="AI23" s="274"/>
      <c r="AJ23" s="274"/>
      <c r="AK23" s="274"/>
      <c r="AL23" s="274"/>
      <c r="AM23" s="274"/>
      <c r="AN23" s="274"/>
      <c r="AO23" s="274"/>
      <c r="AP23" s="274"/>
      <c r="AQ23" s="274"/>
      <c r="AR23" s="274"/>
      <c r="AS23" s="274"/>
      <c r="AT23" s="274"/>
    </row>
    <row r="24" spans="1:46" s="1" customFormat="1" ht="12.75">
      <c r="A24" s="1" t="s">
        <v>109</v>
      </c>
      <c r="B24" s="555">
        <v>549</v>
      </c>
      <c r="C24" s="555">
        <v>1598</v>
      </c>
      <c r="D24" s="555">
        <v>3912</v>
      </c>
      <c r="E24" s="555">
        <v>4072</v>
      </c>
      <c r="F24" s="555">
        <v>5834</v>
      </c>
      <c r="G24" s="555">
        <v>4272</v>
      </c>
      <c r="H24" s="555">
        <v>2328</v>
      </c>
      <c r="I24" s="555">
        <v>2590</v>
      </c>
      <c r="J24" s="555">
        <v>3183</v>
      </c>
      <c r="K24" s="555">
        <v>1788</v>
      </c>
      <c r="L24" s="556">
        <v>1551</v>
      </c>
      <c r="M24" s="556">
        <v>1627</v>
      </c>
      <c r="N24" s="556">
        <v>2132</v>
      </c>
      <c r="O24" s="546">
        <v>2302</v>
      </c>
      <c r="P24" s="546">
        <v>1618</v>
      </c>
      <c r="Q24" s="546">
        <v>1317</v>
      </c>
      <c r="R24" s="559">
        <v>1762</v>
      </c>
      <c r="S24" s="559">
        <v>1301</v>
      </c>
      <c r="T24" s="559">
        <v>2829</v>
      </c>
      <c r="U24" s="559">
        <v>3093</v>
      </c>
      <c r="V24" s="544">
        <f t="shared" si="10"/>
        <v>3093</v>
      </c>
      <c r="W24" s="544">
        <f t="shared" si="10"/>
        <v>3093</v>
      </c>
      <c r="X24" s="544">
        <f t="shared" si="10"/>
        <v>3093</v>
      </c>
      <c r="Y24" s="544">
        <f t="shared" si="11"/>
        <v>3093</v>
      </c>
      <c r="Z24" s="544">
        <f t="shared" si="11"/>
        <v>3093</v>
      </c>
      <c r="AA24" s="544">
        <f t="shared" si="11"/>
        <v>3093</v>
      </c>
      <c r="AB24" s="274"/>
      <c r="AC24" s="274"/>
      <c r="AD24" s="274"/>
      <c r="AE24" s="274"/>
      <c r="AF24" s="274"/>
      <c r="AG24" s="274"/>
      <c r="AH24" s="274"/>
      <c r="AI24" s="274"/>
      <c r="AJ24" s="274"/>
      <c r="AK24" s="274"/>
      <c r="AL24" s="274"/>
      <c r="AM24" s="274"/>
      <c r="AN24" s="274"/>
      <c r="AO24" s="274"/>
      <c r="AP24" s="274"/>
      <c r="AQ24" s="274"/>
      <c r="AR24" s="274"/>
      <c r="AS24" s="274"/>
      <c r="AT24" s="274"/>
    </row>
    <row r="25" spans="1:46" s="1" customFormat="1" ht="12.75">
      <c r="A25" s="1" t="s">
        <v>108</v>
      </c>
      <c r="B25" s="555">
        <v>8143</v>
      </c>
      <c r="C25" s="555">
        <v>7549</v>
      </c>
      <c r="D25" s="555">
        <v>6745</v>
      </c>
      <c r="E25" s="555">
        <v>7038</v>
      </c>
      <c r="F25" s="555">
        <v>5030</v>
      </c>
      <c r="G25" s="555">
        <v>5284</v>
      </c>
      <c r="H25" s="555">
        <v>8756</v>
      </c>
      <c r="I25" s="553">
        <f>'Cash Flow Statement'!I57</f>
        <v>7765</v>
      </c>
      <c r="J25" s="559">
        <f>'Cash Flow Statement'!J57</f>
        <v>7271</v>
      </c>
      <c r="K25" s="559">
        <f>'Cash Flow Statement'!K57</f>
        <v>7489</v>
      </c>
      <c r="L25" s="559">
        <f>'Cash Flow Statement'!L57</f>
        <v>10160</v>
      </c>
      <c r="M25" s="559">
        <f>'Cash Flow Statement'!M57</f>
        <v>12021</v>
      </c>
      <c r="N25" s="559">
        <f>'Cash Flow Statement'!N57</f>
        <v>9428</v>
      </c>
      <c r="O25" s="559">
        <f>'Cash Flow Statement'!O57</f>
        <v>9314</v>
      </c>
      <c r="P25" s="559">
        <f>'Cash Flow Statement'!P57</f>
        <v>14439</v>
      </c>
      <c r="Q25" s="559">
        <f>'Cash Flow Statement'!Q57</f>
        <v>14572</v>
      </c>
      <c r="R25" s="559">
        <f>'Cash Flow Statement'!R57</f>
        <v>15823</v>
      </c>
      <c r="S25" s="559">
        <f>'Cash Flow Statement'!S57-4</f>
        <v>16469</v>
      </c>
      <c r="T25" s="559">
        <f>'Cash Flow Statement'!T60</f>
        <v>15003</v>
      </c>
      <c r="U25" s="559">
        <v>14128</v>
      </c>
      <c r="V25" s="547">
        <f>'Cash Flow Statement'!V57</f>
        <v>14956.33719487746</v>
      </c>
      <c r="W25" s="547">
        <f>'Cash Flow Statement'!W57</f>
        <v>16708.149157413347</v>
      </c>
      <c r="X25" s="547">
        <f>'Cash Flow Statement'!X57</f>
        <v>19754.530385746657</v>
      </c>
      <c r="Y25" s="547">
        <f>'Cash Flow Statement'!Y57</f>
        <v>26005.194225202329</v>
      </c>
      <c r="Z25" s="547">
        <f>'Cash Flow Statement'!Z57</f>
        <v>32682.677904546021</v>
      </c>
      <c r="AA25" s="547">
        <f>'Cash Flow Statement'!AA57</f>
        <v>37547.224953518686</v>
      </c>
      <c r="AB25" s="274"/>
      <c r="AC25" s="274"/>
      <c r="AD25" s="274"/>
      <c r="AE25" s="274"/>
      <c r="AF25" s="274"/>
      <c r="AG25" s="274"/>
      <c r="AH25" s="274"/>
      <c r="AI25" s="274"/>
      <c r="AJ25" s="274"/>
      <c r="AK25" s="274"/>
      <c r="AL25" s="274"/>
      <c r="AM25" s="274"/>
      <c r="AN25" s="274"/>
      <c r="AO25" s="274"/>
      <c r="AP25" s="274"/>
      <c r="AQ25" s="274"/>
      <c r="AR25" s="274"/>
      <c r="AS25" s="274"/>
      <c r="AT25" s="274"/>
    </row>
    <row r="26" spans="1:46" s="1" customFormat="1" ht="12.75">
      <c r="A26" s="2" t="s">
        <v>595</v>
      </c>
      <c r="B26" s="553">
        <f>B27-SUM(B16,B18,B20:B25)</f>
        <v>76</v>
      </c>
      <c r="C26" s="553">
        <f t="shared" ref="C26:I26" si="12">C27-SUM(C16,C18,C20:C25)</f>
        <v>0</v>
      </c>
      <c r="D26" s="553">
        <f t="shared" si="12"/>
        <v>263</v>
      </c>
      <c r="E26" s="553">
        <f t="shared" si="12"/>
        <v>0</v>
      </c>
      <c r="F26" s="553">
        <f t="shared" si="12"/>
        <v>0</v>
      </c>
      <c r="G26" s="553">
        <f t="shared" si="12"/>
        <v>0</v>
      </c>
      <c r="H26" s="553">
        <f t="shared" si="12"/>
        <v>0</v>
      </c>
      <c r="I26" s="553">
        <f t="shared" si="12"/>
        <v>0</v>
      </c>
      <c r="J26" s="553">
        <v>0</v>
      </c>
      <c r="K26" s="553">
        <v>0</v>
      </c>
      <c r="L26" s="553"/>
      <c r="M26" s="553">
        <v>12</v>
      </c>
      <c r="N26" s="553">
        <f>336-17</f>
        <v>319</v>
      </c>
      <c r="O26" s="553"/>
      <c r="P26" s="553"/>
      <c r="Q26" s="553"/>
      <c r="R26" s="553"/>
      <c r="S26" s="553">
        <v>53</v>
      </c>
      <c r="T26" s="553">
        <v>61</v>
      </c>
      <c r="U26" s="553">
        <v>63</v>
      </c>
      <c r="V26" s="544">
        <f t="shared" ref="V26:AA26" si="13">U26</f>
        <v>63</v>
      </c>
      <c r="W26" s="544">
        <f t="shared" si="13"/>
        <v>63</v>
      </c>
      <c r="X26" s="544">
        <f t="shared" si="13"/>
        <v>63</v>
      </c>
      <c r="Y26" s="544">
        <f t="shared" si="13"/>
        <v>63</v>
      </c>
      <c r="Z26" s="544">
        <f t="shared" si="13"/>
        <v>63</v>
      </c>
      <c r="AA26" s="544">
        <f t="shared" si="13"/>
        <v>63</v>
      </c>
      <c r="AB26" s="274"/>
      <c r="AC26" s="274"/>
      <c r="AD26" s="274"/>
      <c r="AE26" s="274"/>
      <c r="AF26" s="274"/>
      <c r="AG26" s="274"/>
      <c r="AH26" s="274"/>
      <c r="AI26" s="274"/>
      <c r="AJ26" s="274"/>
      <c r="AK26" s="274"/>
      <c r="AL26" s="274"/>
      <c r="AM26" s="274"/>
      <c r="AN26" s="274"/>
      <c r="AO26" s="274"/>
      <c r="AP26" s="274"/>
      <c r="AQ26" s="274"/>
      <c r="AR26" s="274"/>
      <c r="AS26" s="274"/>
      <c r="AT26" s="274"/>
    </row>
    <row r="27" spans="1:46" s="1" customFormat="1" ht="12.75">
      <c r="A27" s="265" t="s">
        <v>107</v>
      </c>
      <c r="B27" s="569">
        <v>35057</v>
      </c>
      <c r="C27" s="572">
        <v>38405</v>
      </c>
      <c r="D27" s="572">
        <v>40229</v>
      </c>
      <c r="E27" s="572">
        <v>42512</v>
      </c>
      <c r="F27" s="572">
        <v>41990</v>
      </c>
      <c r="G27" s="572">
        <v>43016</v>
      </c>
      <c r="H27" s="572">
        <v>45327</v>
      </c>
      <c r="I27" s="572">
        <v>47098</v>
      </c>
      <c r="J27" s="570">
        <f t="shared" ref="J27:R27" si="14">SUM(J16,J18,J20:J26)</f>
        <v>46932</v>
      </c>
      <c r="K27" s="570">
        <f t="shared" si="14"/>
        <v>51464</v>
      </c>
      <c r="L27" s="570">
        <f t="shared" si="14"/>
        <v>54965</v>
      </c>
      <c r="M27" s="570">
        <f t="shared" si="14"/>
        <v>59811</v>
      </c>
      <c r="N27" s="570">
        <f t="shared" si="14"/>
        <v>58634</v>
      </c>
      <c r="O27" s="570">
        <f t="shared" si="14"/>
        <v>56723</v>
      </c>
      <c r="P27" s="570">
        <f t="shared" si="14"/>
        <v>58400</v>
      </c>
      <c r="Q27" s="570">
        <f t="shared" si="14"/>
        <v>55694</v>
      </c>
      <c r="R27" s="570">
        <f t="shared" si="14"/>
        <v>63002</v>
      </c>
      <c r="S27" s="570">
        <f t="shared" ref="S27:Z27" si="15">SUM(S16,S18,S20:S26)</f>
        <v>64001</v>
      </c>
      <c r="T27" s="570">
        <f t="shared" si="15"/>
        <v>69432</v>
      </c>
      <c r="U27" s="570">
        <f t="shared" si="15"/>
        <v>73647</v>
      </c>
      <c r="V27" s="570">
        <f t="shared" si="15"/>
        <v>77659.196003188248</v>
      </c>
      <c r="W27" s="570">
        <f t="shared" si="15"/>
        <v>86127.469789326511</v>
      </c>
      <c r="X27" s="570">
        <f t="shared" si="15"/>
        <v>94942.697802336683</v>
      </c>
      <c r="Y27" s="570">
        <f t="shared" si="15"/>
        <v>104502.16788912231</v>
      </c>
      <c r="Z27" s="570">
        <f t="shared" si="15"/>
        <v>112563.35696208954</v>
      </c>
      <c r="AA27" s="570">
        <f t="shared" ref="AA27" si="16">SUM(AA16,AA18,AA20:AA26)</f>
        <v>119875.18509448042</v>
      </c>
      <c r="AB27" s="274"/>
      <c r="AC27" s="274"/>
      <c r="AD27" s="274"/>
      <c r="AE27" s="274"/>
      <c r="AF27" s="274"/>
      <c r="AG27" s="274"/>
      <c r="AH27" s="274"/>
      <c r="AI27" s="274"/>
      <c r="AJ27" s="274"/>
      <c r="AK27" s="274"/>
      <c r="AL27" s="274"/>
      <c r="AM27" s="274"/>
      <c r="AN27" s="274"/>
      <c r="AO27" s="274"/>
      <c r="AP27" s="274"/>
      <c r="AQ27" s="274"/>
      <c r="AR27" s="274"/>
      <c r="AS27" s="274"/>
      <c r="AT27" s="274"/>
    </row>
    <row r="28" spans="1:46" s="1" customFormat="1" ht="12.75">
      <c r="B28" s="553"/>
      <c r="C28" s="553"/>
      <c r="D28" s="553"/>
      <c r="E28" s="553"/>
      <c r="F28" s="553"/>
      <c r="G28" s="553"/>
      <c r="H28" s="553"/>
      <c r="I28" s="553"/>
      <c r="J28" s="553"/>
      <c r="K28" s="553"/>
      <c r="L28" s="553"/>
      <c r="M28" s="557"/>
      <c r="N28" s="553"/>
      <c r="O28" s="544"/>
      <c r="P28" s="544"/>
      <c r="Q28" s="544"/>
      <c r="R28" s="544"/>
      <c r="S28" s="544"/>
      <c r="T28" s="544"/>
      <c r="U28" s="544"/>
      <c r="V28" s="544"/>
      <c r="W28" s="544"/>
      <c r="X28" s="544"/>
      <c r="Y28" s="544"/>
      <c r="Z28" s="544"/>
      <c r="AA28" s="544"/>
      <c r="AB28" s="274"/>
      <c r="AC28" s="274"/>
      <c r="AD28" s="274"/>
      <c r="AE28" s="274"/>
      <c r="AF28" s="274"/>
      <c r="AG28" s="274"/>
      <c r="AH28" s="274"/>
      <c r="AI28" s="274"/>
      <c r="AJ28" s="274"/>
      <c r="AK28" s="274"/>
      <c r="AL28" s="274"/>
      <c r="AM28" s="274"/>
      <c r="AN28" s="274"/>
      <c r="AO28" s="274"/>
      <c r="AP28" s="274"/>
      <c r="AQ28" s="274"/>
      <c r="AR28" s="274"/>
      <c r="AS28" s="274"/>
      <c r="AT28" s="274"/>
    </row>
    <row r="29" spans="1:46" s="1" customFormat="1" ht="12.75">
      <c r="A29" s="1" t="s">
        <v>106</v>
      </c>
      <c r="B29" s="555">
        <v>-8911</v>
      </c>
      <c r="C29" s="555">
        <v>-8055</v>
      </c>
      <c r="D29" s="555">
        <v>-7479</v>
      </c>
      <c r="E29" s="555">
        <v>-8137</v>
      </c>
      <c r="F29" s="555">
        <v>-8213</v>
      </c>
      <c r="G29" s="555">
        <v>-9144</v>
      </c>
      <c r="H29" s="555">
        <v>-9850</v>
      </c>
      <c r="I29" s="555">
        <v>-10046</v>
      </c>
      <c r="J29" s="555">
        <v>-10400</v>
      </c>
      <c r="K29" s="555">
        <v>-9871</v>
      </c>
      <c r="L29" s="556">
        <v>-10826</v>
      </c>
      <c r="M29" s="556">
        <v>-10153</v>
      </c>
      <c r="N29" s="556">
        <v>-11571</v>
      </c>
      <c r="O29" s="559">
        <v>-12542</v>
      </c>
      <c r="P29" s="559">
        <v>-13998</v>
      </c>
      <c r="Q29" s="559">
        <v>-10771</v>
      </c>
      <c r="R29" s="559">
        <v>-6896</v>
      </c>
      <c r="S29" s="559">
        <v>-5667</v>
      </c>
      <c r="T29" s="559">
        <v>-4630</v>
      </c>
      <c r="U29" s="559">
        <v>-3976</v>
      </c>
      <c r="V29" s="544">
        <f t="shared" ref="V29:AA29" si="17">U29</f>
        <v>-3976</v>
      </c>
      <c r="W29" s="544">
        <f t="shared" si="17"/>
        <v>-3976</v>
      </c>
      <c r="X29" s="544">
        <f t="shared" si="17"/>
        <v>-3976</v>
      </c>
      <c r="Y29" s="544">
        <f t="shared" si="17"/>
        <v>-3976</v>
      </c>
      <c r="Z29" s="544">
        <f t="shared" si="17"/>
        <v>-3976</v>
      </c>
      <c r="AA29" s="544">
        <f t="shared" si="17"/>
        <v>-3976</v>
      </c>
      <c r="AB29" s="274"/>
      <c r="AC29" s="274"/>
      <c r="AD29" s="274"/>
      <c r="AE29" s="274"/>
      <c r="AF29" s="274"/>
      <c r="AG29" s="274"/>
      <c r="AH29" s="274"/>
      <c r="AI29" s="274"/>
      <c r="AJ29" s="274"/>
      <c r="AK29" s="274"/>
      <c r="AL29" s="274"/>
      <c r="AM29" s="274"/>
      <c r="AN29" s="274"/>
      <c r="AO29" s="274"/>
      <c r="AP29" s="274"/>
      <c r="AQ29" s="274"/>
      <c r="AR29" s="274"/>
      <c r="AS29" s="274"/>
      <c r="AT29" s="274"/>
    </row>
    <row r="30" spans="1:46" s="1" customFormat="1" ht="12.75">
      <c r="A30" s="1" t="s">
        <v>105</v>
      </c>
      <c r="B30" s="555">
        <v>-3561</v>
      </c>
      <c r="C30" s="555">
        <v>-3090</v>
      </c>
      <c r="D30" s="555">
        <v>-3046</v>
      </c>
      <c r="E30" s="555">
        <v>-2867</v>
      </c>
      <c r="F30" s="555">
        <v>-2870</v>
      </c>
      <c r="G30" s="555">
        <v>-3628</v>
      </c>
      <c r="H30" s="555">
        <v>-3506</v>
      </c>
      <c r="I30" s="555">
        <v>-3956</v>
      </c>
      <c r="J30" s="555">
        <v>-6278</v>
      </c>
      <c r="K30" s="555">
        <v>-6335</v>
      </c>
      <c r="L30" s="556">
        <v>-8791</v>
      </c>
      <c r="M30" s="556">
        <v>-8984</v>
      </c>
      <c r="N30" s="556">
        <v>-7463</v>
      </c>
      <c r="O30" s="559">
        <v>-8189</v>
      </c>
      <c r="P30" s="559">
        <v>-14082</v>
      </c>
      <c r="Q30" s="559">
        <v>-13094</v>
      </c>
      <c r="R30" s="559">
        <v>-10631</v>
      </c>
      <c r="S30" s="559">
        <v>-10202</v>
      </c>
      <c r="T30" s="559">
        <v>-10355</v>
      </c>
      <c r="U30" s="559">
        <v>-9063</v>
      </c>
      <c r="V30" s="547">
        <f>U30-'Cash Flow Statement'!V44-'Cash Flow Statement'!V26</f>
        <v>-8613</v>
      </c>
      <c r="W30" s="547">
        <f>V30-'Cash Flow Statement'!W44-'Cash Flow Statement'!W26</f>
        <v>-8341</v>
      </c>
      <c r="X30" s="547">
        <f>W30-'Cash Flow Statement'!X44-'Cash Flow Statement'!X26</f>
        <v>-8069</v>
      </c>
      <c r="Y30" s="547">
        <f>X30-'Cash Flow Statement'!Y44-'Cash Flow Statement'!Y26</f>
        <v>-7797</v>
      </c>
      <c r="Z30" s="547">
        <f>Y30-'Cash Flow Statement'!Z44-'Cash Flow Statement'!Z26</f>
        <v>-7525</v>
      </c>
      <c r="AA30" s="547">
        <f>Z30-'Cash Flow Statement'!AA44-'Cash Flow Statement'!AA26</f>
        <v>-7253</v>
      </c>
      <c r="AB30" s="274"/>
      <c r="AC30" s="274"/>
      <c r="AD30" s="274"/>
      <c r="AE30" s="274"/>
      <c r="AF30" s="274"/>
      <c r="AG30" s="274"/>
      <c r="AH30" s="274"/>
      <c r="AI30" s="274"/>
      <c r="AJ30" s="274"/>
      <c r="AK30" s="274"/>
      <c r="AL30" s="274"/>
      <c r="AM30" s="274"/>
      <c r="AN30" s="274"/>
      <c r="AO30" s="274"/>
      <c r="AP30" s="274"/>
      <c r="AQ30" s="274"/>
      <c r="AR30" s="274"/>
      <c r="AS30" s="274"/>
      <c r="AT30" s="274"/>
    </row>
    <row r="31" spans="1:46" s="1" customFormat="1" ht="12.75">
      <c r="A31" s="1" t="s">
        <v>104</v>
      </c>
      <c r="B31" s="555">
        <v>-11722</v>
      </c>
      <c r="C31" s="555">
        <v>-5653</v>
      </c>
      <c r="D31" s="555">
        <v>-7499</v>
      </c>
      <c r="E31" s="555">
        <v>-6175</v>
      </c>
      <c r="F31" s="555">
        <v>-8624</v>
      </c>
      <c r="G31" s="555">
        <v>-8193</v>
      </c>
      <c r="H31" s="555">
        <v>-7458</v>
      </c>
      <c r="I31" s="555">
        <v>-7158</v>
      </c>
      <c r="J31" s="555">
        <v>-9922</v>
      </c>
      <c r="K31" s="555">
        <v>-14038</v>
      </c>
      <c r="L31" s="555">
        <v>-13313</v>
      </c>
      <c r="M31" s="556">
        <v>-6948</v>
      </c>
      <c r="N31" s="556">
        <v>-8009</v>
      </c>
      <c r="O31" s="559">
        <v>-7498</v>
      </c>
      <c r="P31" s="559">
        <v>-5657</v>
      </c>
      <c r="Q31" s="559">
        <v>-6562</v>
      </c>
      <c r="R31" s="559">
        <v>-10117</v>
      </c>
      <c r="S31" s="559">
        <v>-6715</v>
      </c>
      <c r="T31" s="559">
        <v>-7576</v>
      </c>
      <c r="U31" s="559">
        <v>-4809</v>
      </c>
      <c r="V31" s="544">
        <f t="shared" ref="V31:AA32" si="18">U31</f>
        <v>-4809</v>
      </c>
      <c r="W31" s="544">
        <f t="shared" si="18"/>
        <v>-4809</v>
      </c>
      <c r="X31" s="544">
        <f t="shared" si="18"/>
        <v>-4809</v>
      </c>
      <c r="Y31" s="544">
        <f t="shared" si="18"/>
        <v>-4809</v>
      </c>
      <c r="Z31" s="544">
        <f t="shared" si="18"/>
        <v>-4809</v>
      </c>
      <c r="AA31" s="544">
        <f t="shared" si="18"/>
        <v>-4809</v>
      </c>
      <c r="AB31" s="274"/>
      <c r="AC31" s="274"/>
      <c r="AD31" s="274"/>
      <c r="AE31" s="274"/>
      <c r="AF31" s="274"/>
      <c r="AG31" s="274"/>
      <c r="AH31" s="274"/>
      <c r="AI31" s="274"/>
      <c r="AJ31" s="274"/>
      <c r="AK31" s="274"/>
      <c r="AL31" s="274"/>
      <c r="AM31" s="274"/>
      <c r="AN31" s="274"/>
      <c r="AO31" s="274"/>
      <c r="AP31" s="274"/>
      <c r="AQ31" s="274"/>
      <c r="AR31" s="274"/>
      <c r="AS31" s="274"/>
      <c r="AT31" s="274"/>
    </row>
    <row r="32" spans="1:46" s="1" customFormat="1" ht="12.75">
      <c r="A32" s="1" t="s">
        <v>103</v>
      </c>
      <c r="B32" s="553"/>
      <c r="C32" s="555">
        <v>-8474</v>
      </c>
      <c r="D32" s="555">
        <v>-8907</v>
      </c>
      <c r="E32" s="555">
        <v>-9091</v>
      </c>
      <c r="F32" s="555">
        <v>-9264</v>
      </c>
      <c r="G32" s="555">
        <v>-9817</v>
      </c>
      <c r="H32" s="555">
        <v>-10524</v>
      </c>
      <c r="I32" s="555">
        <v>-10790</v>
      </c>
      <c r="J32" s="555">
        <v>-12849</v>
      </c>
      <c r="K32" s="555">
        <v>-15256</v>
      </c>
      <c r="L32" s="555">
        <v>-16279</v>
      </c>
      <c r="M32" s="556">
        <v>-17190</v>
      </c>
      <c r="N32" s="553">
        <f>-15832-460</f>
        <v>-16292</v>
      </c>
      <c r="O32" s="562">
        <f>-16980-384</f>
        <v>-17364</v>
      </c>
      <c r="P32" s="562">
        <f>-19212-436</f>
        <v>-19648</v>
      </c>
      <c r="Q32" s="562">
        <f>-18620-583</f>
        <v>-19203</v>
      </c>
      <c r="R32" s="562">
        <f>-22044-498</f>
        <v>-22542</v>
      </c>
      <c r="S32" s="562">
        <f>-23961-450</f>
        <v>-24411</v>
      </c>
      <c r="T32" s="562">
        <f>-25572-463</f>
        <v>-26035</v>
      </c>
      <c r="U32" s="562">
        <f>-26484-477</f>
        <v>-26961</v>
      </c>
      <c r="V32" s="544">
        <f t="shared" si="18"/>
        <v>-26961</v>
      </c>
      <c r="W32" s="544">
        <f t="shared" si="18"/>
        <v>-26961</v>
      </c>
      <c r="X32" s="544">
        <f t="shared" si="18"/>
        <v>-26961</v>
      </c>
      <c r="Y32" s="544">
        <f t="shared" si="18"/>
        <v>-26961</v>
      </c>
      <c r="Z32" s="544">
        <f t="shared" si="18"/>
        <v>-26961</v>
      </c>
      <c r="AA32" s="544">
        <f t="shared" si="18"/>
        <v>-26961</v>
      </c>
      <c r="AB32" s="274"/>
      <c r="AC32" s="274"/>
      <c r="AD32" s="274"/>
      <c r="AE32" s="274"/>
      <c r="AF32" s="274"/>
      <c r="AG32" s="274"/>
      <c r="AH32" s="274"/>
      <c r="AI32" s="274"/>
      <c r="AJ32" s="274"/>
      <c r="AK32" s="274"/>
      <c r="AL32" s="274"/>
      <c r="AM32" s="274"/>
      <c r="AN32" s="274"/>
      <c r="AO32" s="274"/>
      <c r="AP32" s="274"/>
      <c r="AQ32" s="274"/>
      <c r="AR32" s="274"/>
      <c r="AS32" s="274"/>
      <c r="AT32" s="274"/>
    </row>
    <row r="33" spans="1:46" s="1" customFormat="1" ht="12.75">
      <c r="A33" s="1" t="s">
        <v>102</v>
      </c>
      <c r="B33" s="555">
        <v>-2465</v>
      </c>
      <c r="C33" s="555">
        <v>-2188</v>
      </c>
      <c r="D33" s="555">
        <v>-953</v>
      </c>
      <c r="E33" s="555">
        <v>-751</v>
      </c>
      <c r="F33" s="555">
        <v>-1195</v>
      </c>
      <c r="G33" s="555">
        <v>-1043</v>
      </c>
      <c r="H33" s="555">
        <v>-1502</v>
      </c>
      <c r="I33" s="555">
        <v>-1487</v>
      </c>
      <c r="J33" s="555">
        <v>-1130</v>
      </c>
      <c r="K33" s="555">
        <v>-1200</v>
      </c>
      <c r="L33" s="555">
        <v>-1292</v>
      </c>
      <c r="M33" s="556">
        <v>-981</v>
      </c>
      <c r="N33" s="555">
        <v>-1318</v>
      </c>
      <c r="O33" s="559">
        <v>-398</v>
      </c>
      <c r="P33" s="559">
        <v>-451</v>
      </c>
      <c r="Q33" s="559">
        <v>-116</v>
      </c>
      <c r="R33" s="559">
        <v>-164</v>
      </c>
      <c r="S33" s="559">
        <v>-361</v>
      </c>
      <c r="T33" s="559">
        <v>-271</v>
      </c>
      <c r="U33" s="559">
        <v>-428</v>
      </c>
      <c r="V33" s="547">
        <f>U33-('Cash Flow Statement'!V10+'Cash Flow Statement'!V11)</f>
        <v>-428</v>
      </c>
      <c r="W33" s="547">
        <f>V33-('Cash Flow Statement'!W10+'Cash Flow Statement'!W11)</f>
        <v>-428</v>
      </c>
      <c r="X33" s="547">
        <f>W33-('Cash Flow Statement'!X10+'Cash Flow Statement'!X11)</f>
        <v>-428</v>
      </c>
      <c r="Y33" s="547">
        <f>X33-('Cash Flow Statement'!Y10+'Cash Flow Statement'!Y11)</f>
        <v>-428</v>
      </c>
      <c r="Z33" s="547">
        <f>Y33-('Cash Flow Statement'!Z10+'Cash Flow Statement'!Z11)</f>
        <v>-428</v>
      </c>
      <c r="AA33" s="547">
        <f>Z33-('Cash Flow Statement'!AA10+'Cash Flow Statement'!AA11)</f>
        <v>-428</v>
      </c>
      <c r="AB33" s="274"/>
      <c r="AC33" s="274"/>
      <c r="AD33" s="274"/>
      <c r="AE33" s="274"/>
      <c r="AF33" s="274"/>
      <c r="AG33" s="274"/>
      <c r="AH33" s="274"/>
      <c r="AI33" s="274"/>
      <c r="AJ33" s="274"/>
      <c r="AK33" s="274"/>
      <c r="AL33" s="274"/>
      <c r="AM33" s="274"/>
      <c r="AN33" s="274"/>
      <c r="AO33" s="274"/>
      <c r="AP33" s="274"/>
      <c r="AQ33" s="274"/>
      <c r="AR33" s="274"/>
      <c r="AS33" s="274"/>
      <c r="AT33" s="274"/>
    </row>
    <row r="34" spans="1:46" s="1" customFormat="1" ht="12.75">
      <c r="A34" s="1" t="s">
        <v>101</v>
      </c>
      <c r="B34" s="555">
        <v>-1110</v>
      </c>
      <c r="C34" s="555">
        <v>-753</v>
      </c>
      <c r="D34" s="555">
        <v>-418</v>
      </c>
      <c r="E34" s="555">
        <v>-266</v>
      </c>
      <c r="F34" s="555">
        <v>-315</v>
      </c>
      <c r="G34" s="555">
        <v>-290</v>
      </c>
      <c r="H34" s="555">
        <v>-212</v>
      </c>
      <c r="I34" s="555">
        <v>-239</v>
      </c>
      <c r="J34" s="555">
        <v>-267</v>
      </c>
      <c r="K34" s="553"/>
      <c r="L34" s="555">
        <v>-288</v>
      </c>
      <c r="M34" s="556">
        <v>-199</v>
      </c>
      <c r="N34" s="555">
        <v>-40</v>
      </c>
      <c r="O34" s="559">
        <v>-54</v>
      </c>
      <c r="P34" s="559">
        <v>-32</v>
      </c>
      <c r="Q34" s="559">
        <v>-8</v>
      </c>
      <c r="R34" s="559">
        <v>-17</v>
      </c>
      <c r="S34" s="559">
        <v>-35</v>
      </c>
      <c r="T34" s="559">
        <v>-27</v>
      </c>
      <c r="U34" s="559">
        <v>-7</v>
      </c>
      <c r="V34" s="544">
        <f t="shared" ref="U34:AA35" si="19">U34</f>
        <v>-7</v>
      </c>
      <c r="W34" s="544">
        <f t="shared" si="19"/>
        <v>-7</v>
      </c>
      <c r="X34" s="544">
        <f t="shared" si="19"/>
        <v>-7</v>
      </c>
      <c r="Y34" s="544">
        <f t="shared" si="19"/>
        <v>-7</v>
      </c>
      <c r="Z34" s="544">
        <f t="shared" si="19"/>
        <v>-7</v>
      </c>
      <c r="AA34" s="544">
        <f t="shared" si="19"/>
        <v>-7</v>
      </c>
      <c r="AB34" s="274"/>
      <c r="AC34" s="274"/>
      <c r="AD34" s="274"/>
      <c r="AE34" s="274"/>
      <c r="AF34" s="274"/>
      <c r="AG34" s="274"/>
      <c r="AH34" s="274"/>
      <c r="AI34" s="274"/>
      <c r="AJ34" s="274"/>
      <c r="AK34" s="274"/>
      <c r="AL34" s="274"/>
      <c r="AM34" s="274"/>
      <c r="AN34" s="274"/>
      <c r="AO34" s="274"/>
      <c r="AP34" s="274"/>
      <c r="AQ34" s="274"/>
      <c r="AR34" s="274"/>
      <c r="AS34" s="274"/>
      <c r="AT34" s="274"/>
    </row>
    <row r="35" spans="1:46" s="1" customFormat="1" ht="12.75">
      <c r="A35" s="1" t="s">
        <v>15</v>
      </c>
      <c r="B35" s="553">
        <v>0</v>
      </c>
      <c r="C35" s="553">
        <v>0</v>
      </c>
      <c r="D35" s="553">
        <v>0</v>
      </c>
      <c r="E35" s="553">
        <v>0</v>
      </c>
      <c r="F35" s="553">
        <v>0</v>
      </c>
      <c r="G35" s="553">
        <v>0</v>
      </c>
      <c r="H35" s="553">
        <v>0</v>
      </c>
      <c r="I35" s="553">
        <v>0</v>
      </c>
      <c r="J35" s="553">
        <v>-680</v>
      </c>
      <c r="K35" s="553">
        <v>-231</v>
      </c>
      <c r="L35" s="553">
        <v>-991</v>
      </c>
      <c r="M35" s="553">
        <v>-106</v>
      </c>
      <c r="N35" s="553">
        <v>-432</v>
      </c>
      <c r="O35" s="553">
        <v>0</v>
      </c>
      <c r="P35" s="553">
        <v>-300</v>
      </c>
      <c r="Q35" s="553">
        <v>0</v>
      </c>
      <c r="R35" s="553">
        <v>0</v>
      </c>
      <c r="S35" s="553">
        <v>0</v>
      </c>
      <c r="T35" s="553">
        <v>0</v>
      </c>
      <c r="U35" s="553">
        <f t="shared" si="19"/>
        <v>0</v>
      </c>
      <c r="V35" s="544">
        <f t="shared" si="19"/>
        <v>0</v>
      </c>
      <c r="W35" s="544">
        <f t="shared" si="19"/>
        <v>0</v>
      </c>
      <c r="X35" s="544">
        <f t="shared" si="19"/>
        <v>0</v>
      </c>
      <c r="Y35" s="544">
        <f t="shared" si="19"/>
        <v>0</v>
      </c>
      <c r="Z35" s="544">
        <f t="shared" si="19"/>
        <v>0</v>
      </c>
      <c r="AA35" s="544">
        <f t="shared" si="19"/>
        <v>0</v>
      </c>
      <c r="AB35" s="274"/>
      <c r="AC35" s="274"/>
      <c r="AD35" s="274"/>
      <c r="AE35" s="274"/>
      <c r="AF35" s="274"/>
      <c r="AG35" s="274"/>
      <c r="AH35" s="274"/>
      <c r="AI35" s="274"/>
      <c r="AJ35" s="274"/>
      <c r="AK35" s="274"/>
      <c r="AL35" s="274"/>
      <c r="AM35" s="274"/>
      <c r="AN35" s="274"/>
      <c r="AO35" s="274"/>
      <c r="AP35" s="274"/>
      <c r="AQ35" s="274"/>
      <c r="AR35" s="274"/>
      <c r="AS35" s="274"/>
      <c r="AT35" s="274"/>
    </row>
    <row r="36" spans="1:46" s="1" customFormat="1" ht="12.75">
      <c r="A36" s="265" t="s">
        <v>100</v>
      </c>
      <c r="B36" s="572">
        <v>-27769</v>
      </c>
      <c r="C36" s="572">
        <v>-28213</v>
      </c>
      <c r="D36" s="572">
        <v>-28302</v>
      </c>
      <c r="E36" s="572">
        <v>-27287</v>
      </c>
      <c r="F36" s="572">
        <v>-30481</v>
      </c>
      <c r="G36" s="572">
        <v>-32115</v>
      </c>
      <c r="H36" s="572">
        <v>-33052</v>
      </c>
      <c r="I36" s="572">
        <v>-33676</v>
      </c>
      <c r="J36" s="570">
        <f t="shared" ref="J36:T36" si="20">SUM(J29:J35)</f>
        <v>-41526</v>
      </c>
      <c r="K36" s="570">
        <f t="shared" si="20"/>
        <v>-46931</v>
      </c>
      <c r="L36" s="570">
        <f t="shared" si="20"/>
        <v>-51780</v>
      </c>
      <c r="M36" s="570">
        <f t="shared" si="20"/>
        <v>-44561</v>
      </c>
      <c r="N36" s="570">
        <f t="shared" si="20"/>
        <v>-45125</v>
      </c>
      <c r="O36" s="570">
        <f t="shared" si="20"/>
        <v>-46045</v>
      </c>
      <c r="P36" s="570">
        <f t="shared" si="20"/>
        <v>-54168</v>
      </c>
      <c r="Q36" s="570">
        <f t="shared" si="20"/>
        <v>-49754</v>
      </c>
      <c r="R36" s="570">
        <f t="shared" si="20"/>
        <v>-50367</v>
      </c>
      <c r="S36" s="570">
        <f t="shared" si="20"/>
        <v>-47391</v>
      </c>
      <c r="T36" s="570">
        <f t="shared" si="20"/>
        <v>-48894</v>
      </c>
      <c r="U36" s="570">
        <f t="shared" ref="U36:Z36" si="21">SUM(U29:U35)</f>
        <v>-45244</v>
      </c>
      <c r="V36" s="570">
        <f t="shared" si="21"/>
        <v>-44794</v>
      </c>
      <c r="W36" s="570">
        <f t="shared" si="21"/>
        <v>-44522</v>
      </c>
      <c r="X36" s="570">
        <f t="shared" si="21"/>
        <v>-44250</v>
      </c>
      <c r="Y36" s="570">
        <f t="shared" si="21"/>
        <v>-43978</v>
      </c>
      <c r="Z36" s="570">
        <f t="shared" si="21"/>
        <v>-43706</v>
      </c>
      <c r="AA36" s="570">
        <f t="shared" ref="AA36" si="22">SUM(AA29:AA35)</f>
        <v>-43434</v>
      </c>
      <c r="AB36" s="274"/>
      <c r="AC36" s="274"/>
      <c r="AD36" s="274"/>
      <c r="AE36" s="274"/>
      <c r="AF36" s="274"/>
      <c r="AG36" s="274"/>
      <c r="AH36" s="274"/>
      <c r="AI36" s="274"/>
      <c r="AJ36" s="274"/>
      <c r="AK36" s="274"/>
      <c r="AL36" s="274"/>
      <c r="AM36" s="274"/>
      <c r="AN36" s="274"/>
      <c r="AO36" s="274"/>
      <c r="AP36" s="274"/>
      <c r="AQ36" s="274"/>
      <c r="AR36" s="274"/>
      <c r="AS36" s="274"/>
      <c r="AT36" s="274"/>
    </row>
    <row r="37" spans="1:46" s="1" customFormat="1" ht="12.75">
      <c r="B37" s="553"/>
      <c r="C37" s="553"/>
      <c r="D37" s="553"/>
      <c r="E37" s="553"/>
      <c r="F37" s="553"/>
      <c r="G37" s="553"/>
      <c r="H37" s="553"/>
      <c r="I37" s="553"/>
      <c r="J37" s="553"/>
      <c r="K37" s="553"/>
      <c r="L37" s="553"/>
      <c r="M37" s="553"/>
      <c r="N37" s="553"/>
      <c r="O37" s="562"/>
      <c r="P37" s="544"/>
      <c r="Q37" s="544"/>
      <c r="R37" s="544"/>
      <c r="S37" s="544"/>
      <c r="T37" s="544"/>
      <c r="U37" s="544"/>
      <c r="V37" s="544"/>
      <c r="W37" s="544"/>
      <c r="X37" s="544"/>
      <c r="Y37" s="544"/>
      <c r="Z37" s="544"/>
      <c r="AA37" s="544"/>
      <c r="AB37" s="274"/>
      <c r="AC37" s="274"/>
      <c r="AD37" s="274"/>
      <c r="AE37" s="274"/>
      <c r="AF37" s="274"/>
      <c r="AG37" s="274"/>
      <c r="AH37" s="274"/>
      <c r="AI37" s="274"/>
      <c r="AJ37" s="274"/>
      <c r="AK37" s="274"/>
      <c r="AL37" s="274"/>
      <c r="AM37" s="274"/>
      <c r="AN37" s="274"/>
      <c r="AO37" s="274"/>
      <c r="AP37" s="274"/>
      <c r="AQ37" s="274"/>
      <c r="AR37" s="274"/>
      <c r="AS37" s="274"/>
      <c r="AT37" s="274"/>
    </row>
    <row r="38" spans="1:46" s="1" customFormat="1" ht="12.75">
      <c r="A38" s="1" t="s">
        <v>99</v>
      </c>
      <c r="B38" s="555">
        <v>-3552</v>
      </c>
      <c r="C38" s="555">
        <v>-4378</v>
      </c>
      <c r="D38" s="555">
        <v>-4583</v>
      </c>
      <c r="E38" s="555">
        <v>-5883</v>
      </c>
      <c r="F38" s="555">
        <v>-5766</v>
      </c>
      <c r="G38" s="555">
        <v>-5856</v>
      </c>
      <c r="H38" s="555">
        <v>-6039</v>
      </c>
      <c r="I38" s="555">
        <v>-5323</v>
      </c>
      <c r="J38" s="555">
        <v>-5712</v>
      </c>
      <c r="K38" s="555">
        <v>-5209</v>
      </c>
      <c r="L38" s="555">
        <v>-6143</v>
      </c>
      <c r="M38" s="556">
        <v>-6575</v>
      </c>
      <c r="N38" s="556">
        <v>-7317</v>
      </c>
      <c r="O38" s="559">
        <v>-6372</v>
      </c>
      <c r="P38" s="546">
        <v>-6545</v>
      </c>
      <c r="Q38" s="546">
        <v>-4510</v>
      </c>
      <c r="R38" s="546">
        <v>-4127</v>
      </c>
      <c r="S38" s="546">
        <v>-4161</v>
      </c>
      <c r="T38" s="546">
        <v>-4307</v>
      </c>
      <c r="U38" s="546">
        <v>-4369</v>
      </c>
      <c r="V38" s="544">
        <f t="shared" ref="V38:AA39" si="23">U38</f>
        <v>-4369</v>
      </c>
      <c r="W38" s="544">
        <f t="shared" si="23"/>
        <v>-4369</v>
      </c>
      <c r="X38" s="544">
        <f t="shared" si="23"/>
        <v>-4369</v>
      </c>
      <c r="Y38" s="544">
        <f t="shared" si="23"/>
        <v>-4369</v>
      </c>
      <c r="Z38" s="544">
        <f t="shared" si="23"/>
        <v>-4369</v>
      </c>
      <c r="AA38" s="544">
        <f t="shared" si="23"/>
        <v>-4369</v>
      </c>
      <c r="AB38" s="274"/>
      <c r="AC38" s="274"/>
      <c r="AD38" s="274"/>
      <c r="AE38" s="274"/>
      <c r="AF38" s="274"/>
      <c r="AG38" s="274"/>
      <c r="AH38" s="274"/>
      <c r="AI38" s="274"/>
      <c r="AJ38" s="274"/>
      <c r="AK38" s="274"/>
      <c r="AL38" s="274"/>
      <c r="AM38" s="274"/>
      <c r="AN38" s="274"/>
      <c r="AO38" s="274"/>
      <c r="AP38" s="274"/>
      <c r="AQ38" s="274"/>
      <c r="AR38" s="274"/>
      <c r="AS38" s="274"/>
      <c r="AT38" s="274"/>
    </row>
    <row r="39" spans="1:46" s="1" customFormat="1" ht="12.75">
      <c r="A39" s="1" t="s">
        <v>98</v>
      </c>
      <c r="B39" s="555">
        <v>-2196</v>
      </c>
      <c r="C39" s="555">
        <v>-1724</v>
      </c>
      <c r="D39" s="555">
        <v>-1458</v>
      </c>
      <c r="E39" s="555">
        <v>-2429</v>
      </c>
      <c r="F39" s="555">
        <v>-1408</v>
      </c>
      <c r="G39" s="555">
        <v>-1476</v>
      </c>
      <c r="H39" s="555">
        <v>-1273</v>
      </c>
      <c r="I39" s="555">
        <v>-1645</v>
      </c>
      <c r="J39" s="555">
        <v>-1073</v>
      </c>
      <c r="K39" s="555">
        <v>-2790</v>
      </c>
      <c r="L39" s="555">
        <v>-1687</v>
      </c>
      <c r="M39" s="556">
        <v>-2212</v>
      </c>
      <c r="N39" s="556">
        <v>-1463</v>
      </c>
      <c r="O39" s="559">
        <v>-1959</v>
      </c>
      <c r="P39" s="546">
        <v>-3013</v>
      </c>
      <c r="Q39" s="546">
        <v>-1946</v>
      </c>
      <c r="R39" s="546">
        <v>-2142</v>
      </c>
      <c r="S39" s="546">
        <v>-3389</v>
      </c>
      <c r="T39" s="546">
        <v>-3924</v>
      </c>
      <c r="U39" s="546">
        <v>-5186</v>
      </c>
      <c r="V39" s="544">
        <f t="shared" si="23"/>
        <v>-5186</v>
      </c>
      <c r="W39" s="544">
        <f t="shared" si="23"/>
        <v>-5186</v>
      </c>
      <c r="X39" s="544">
        <f t="shared" si="23"/>
        <v>-5186</v>
      </c>
      <c r="Y39" s="544">
        <f t="shared" si="23"/>
        <v>-5186</v>
      </c>
      <c r="Z39" s="544">
        <f t="shared" si="23"/>
        <v>-5186</v>
      </c>
      <c r="AA39" s="544">
        <f t="shared" si="23"/>
        <v>-5186</v>
      </c>
      <c r="AB39" s="274"/>
      <c r="AC39" s="274"/>
      <c r="AD39" s="274"/>
      <c r="AE39" s="274"/>
      <c r="AF39" s="274"/>
      <c r="AG39" s="274"/>
      <c r="AH39" s="274"/>
      <c r="AI39" s="274"/>
      <c r="AJ39" s="274"/>
      <c r="AK39" s="274"/>
      <c r="AL39" s="274"/>
      <c r="AM39" s="274"/>
      <c r="AN39" s="274"/>
      <c r="AO39" s="274"/>
      <c r="AP39" s="274"/>
      <c r="AQ39" s="274"/>
      <c r="AR39" s="274"/>
      <c r="AS39" s="274"/>
      <c r="AT39" s="274"/>
    </row>
    <row r="40" spans="1:46" s="1" customFormat="1" ht="12.75">
      <c r="A40" s="1" t="s">
        <v>97</v>
      </c>
      <c r="B40" s="555">
        <v>-7461</v>
      </c>
      <c r="C40" s="555">
        <v>-7398</v>
      </c>
      <c r="D40" s="555">
        <v>-7824</v>
      </c>
      <c r="E40" s="555">
        <v>-8217</v>
      </c>
      <c r="F40" s="555">
        <v>-8546</v>
      </c>
      <c r="G40" s="555">
        <v>-9630</v>
      </c>
      <c r="H40" s="555">
        <v>-9921</v>
      </c>
      <c r="I40" s="555">
        <v>-10372</v>
      </c>
      <c r="J40" s="555">
        <v>-10183</v>
      </c>
      <c r="K40" s="555">
        <v>-11763</v>
      </c>
      <c r="L40" s="556">
        <v>-12532</v>
      </c>
      <c r="M40" s="556">
        <v>-13444</v>
      </c>
      <c r="N40" s="556">
        <v>-16237</v>
      </c>
      <c r="O40" s="559">
        <v>-14808</v>
      </c>
      <c r="P40" s="559">
        <v>-8722</v>
      </c>
      <c r="Q40" s="559">
        <v>-9693</v>
      </c>
      <c r="R40" s="559">
        <v>-13261</v>
      </c>
      <c r="S40" s="559">
        <v>-14323</v>
      </c>
      <c r="T40" s="559">
        <v>-13791</v>
      </c>
      <c r="U40" s="559">
        <v>-15878</v>
      </c>
      <c r="V40" s="547">
        <f>V41/365*'Income Statement'!V60</f>
        <v>-15998.250970211006</v>
      </c>
      <c r="W40" s="547">
        <f>W41/365*'Income Statement'!W60</f>
        <v>-18329.034855962731</v>
      </c>
      <c r="X40" s="547">
        <f>X41/365*'Income Statement'!X60</f>
        <v>-20607.300070234302</v>
      </c>
      <c r="Y40" s="547">
        <f>Y41/365*'Income Statement'!Y60</f>
        <v>-22423.565863395266</v>
      </c>
      <c r="Z40" s="547">
        <f>Z41/365*'Income Statement'!Z60</f>
        <v>-23850.575092705658</v>
      </c>
      <c r="AA40" s="547">
        <f>AA41/365*'Income Statement'!AA60</f>
        <v>-25034.248729310337</v>
      </c>
      <c r="AB40" s="274"/>
      <c r="AC40" s="274"/>
      <c r="AD40" s="274"/>
      <c r="AE40" s="274"/>
      <c r="AF40" s="274"/>
      <c r="AG40" s="274"/>
      <c r="AH40" s="274"/>
      <c r="AI40" s="274"/>
      <c r="AJ40" s="274"/>
      <c r="AK40" s="274"/>
      <c r="AL40" s="274"/>
      <c r="AM40" s="274"/>
      <c r="AN40" s="274"/>
      <c r="AO40" s="274"/>
      <c r="AP40" s="274"/>
      <c r="AQ40" s="274"/>
      <c r="AR40" s="274"/>
      <c r="AS40" s="274"/>
      <c r="AT40" s="274"/>
    </row>
    <row r="41" spans="1:46" s="1" customFormat="1" ht="12.75">
      <c r="A41" s="678" t="s">
        <v>680</v>
      </c>
      <c r="B41" s="908">
        <f>AVERAGE(A40:B40)*365/'Income Statement'!B60</f>
        <v>78.430533955417317</v>
      </c>
      <c r="C41" s="908">
        <f>AVERAGE(B40:C40)*365/'Income Statement'!C60</f>
        <v>77.919875294523308</v>
      </c>
      <c r="D41" s="908">
        <f>AVERAGE(C40:D40)*365/'Income Statement'!D60</f>
        <v>77.366947948867903</v>
      </c>
      <c r="E41" s="908">
        <f>AVERAGE(D40:E40)*365/'Income Statement'!E60</f>
        <v>76.270288929995047</v>
      </c>
      <c r="F41" s="908">
        <f>AVERAGE(E40:F40)*365/'Income Statement'!F60</f>
        <v>77.394441914592193</v>
      </c>
      <c r="G41" s="908">
        <f>AVERAGE(F40:G40)*365/'Income Statement'!G60</f>
        <v>78.446730519096604</v>
      </c>
      <c r="H41" s="908">
        <f>AVERAGE(G40:H40)*365/'Income Statement'!H60</f>
        <v>73.444022477460791</v>
      </c>
      <c r="I41" s="908">
        <f>AVERAGE(H40:I40)*365/'Income Statement'!I60</f>
        <v>72.766922094508303</v>
      </c>
      <c r="J41" s="908">
        <f>AVERAGE(I40:J40)*365/'Income Statement'!J60</f>
        <v>72.452246214462292</v>
      </c>
      <c r="K41" s="908">
        <f>AVERAGE(J40:K40)*365/'Income Statement'!K60</f>
        <v>72.036277630892641</v>
      </c>
      <c r="L41" s="908">
        <f>AVERAGE(K40:L40)*365/'Income Statement'!L60</f>
        <v>72.310085294453415</v>
      </c>
      <c r="M41" s="908">
        <f>AVERAGE(L40:M40)*365/'Income Statement'!M60</f>
        <v>80.132183908045974</v>
      </c>
      <c r="N41" s="908">
        <f>AVERAGE(M40:N40)*365/'Income Statement'!N60</f>
        <v>98.630416970138384</v>
      </c>
      <c r="O41" s="908">
        <f>AVERAGE(N40:O40)*365/'Income Statement'!O60</f>
        <v>94.471053640805025</v>
      </c>
      <c r="P41" s="908">
        <f>AVERAGE(O40:P40)*365/'Income Statement'!P60</f>
        <v>97.044632768361581</v>
      </c>
      <c r="Q41" s="908">
        <f>AVERAGE(P40:Q40)*365/'Income Statement'!Q60</f>
        <v>79.042699562538218</v>
      </c>
      <c r="R41" s="908">
        <f>AVERAGE(Q40:R40)*365/'Income Statement'!R60</f>
        <v>86.925319555112878</v>
      </c>
      <c r="S41" s="908">
        <f>AVERAGE(R40:S40)*365/'Income Statement'!S60</f>
        <v>90.864589726002677</v>
      </c>
      <c r="T41" s="908">
        <f>AVERAGE(S40:T40)*365/'Income Statement'!T60</f>
        <v>87.623687131756469</v>
      </c>
      <c r="U41" s="908">
        <f>AVERAGE(T40:U40)*365/'Income Statement'!U60</f>
        <v>86.698677405408873</v>
      </c>
      <c r="V41" s="874">
        <f>U41</f>
        <v>86.698677405408873</v>
      </c>
      <c r="W41" s="874">
        <f>V41+1</f>
        <v>87.698677405408873</v>
      </c>
      <c r="X41" s="874">
        <f t="shared" ref="X41:AA41" si="24">W41+1</f>
        <v>88.698677405408873</v>
      </c>
      <c r="Y41" s="874">
        <f t="shared" si="24"/>
        <v>89.698677405408873</v>
      </c>
      <c r="Z41" s="874">
        <f t="shared" si="24"/>
        <v>90.698677405408873</v>
      </c>
      <c r="AA41" s="874">
        <f t="shared" si="24"/>
        <v>91.698677405408873</v>
      </c>
      <c r="AB41" s="274"/>
      <c r="AC41" s="274"/>
      <c r="AD41" s="274"/>
      <c r="AE41" s="274"/>
      <c r="AF41" s="274"/>
      <c r="AG41" s="274"/>
      <c r="AH41" s="274"/>
      <c r="AI41" s="274"/>
      <c r="AJ41" s="274"/>
      <c r="AK41" s="274"/>
      <c r="AL41" s="274"/>
      <c r="AM41" s="274"/>
      <c r="AN41" s="274"/>
      <c r="AO41" s="274"/>
      <c r="AP41" s="274"/>
      <c r="AQ41" s="274"/>
      <c r="AR41" s="274"/>
      <c r="AS41" s="274"/>
      <c r="AT41" s="274"/>
    </row>
    <row r="42" spans="1:46" s="1" customFormat="1" ht="12.75">
      <c r="A42" s="1" t="s">
        <v>96</v>
      </c>
      <c r="B42" s="555">
        <v>-17239</v>
      </c>
      <c r="C42" s="555">
        <v>-1514</v>
      </c>
      <c r="D42" s="555">
        <v>-1714</v>
      </c>
      <c r="E42" s="555">
        <v>-1200</v>
      </c>
      <c r="F42" s="555">
        <v>-1234</v>
      </c>
      <c r="G42" s="555">
        <v>-1687</v>
      </c>
      <c r="H42" s="555">
        <v>-1715</v>
      </c>
      <c r="I42" s="555">
        <v>-1467</v>
      </c>
      <c r="J42" s="555">
        <v>-3480</v>
      </c>
      <c r="K42" s="555">
        <v>-5021</v>
      </c>
      <c r="L42" s="556">
        <v>-5761</v>
      </c>
      <c r="M42" s="556">
        <v>-2185</v>
      </c>
      <c r="N42" s="556">
        <v>-2462</v>
      </c>
      <c r="O42" s="559">
        <v>-2647</v>
      </c>
      <c r="P42" s="546">
        <v>-1769</v>
      </c>
      <c r="Q42" s="546">
        <v>-2532</v>
      </c>
      <c r="R42" s="546">
        <v>-4073</v>
      </c>
      <c r="S42" s="546">
        <v>-2569</v>
      </c>
      <c r="T42" s="546">
        <v>-3050</v>
      </c>
      <c r="U42" s="546">
        <v>-1000</v>
      </c>
      <c r="V42" s="544">
        <f t="shared" ref="V42:AA42" si="25">U42</f>
        <v>-1000</v>
      </c>
      <c r="W42" s="544">
        <f t="shared" si="25"/>
        <v>-1000</v>
      </c>
      <c r="X42" s="544">
        <f t="shared" si="25"/>
        <v>-1000</v>
      </c>
      <c r="Y42" s="544">
        <f t="shared" si="25"/>
        <v>-1000</v>
      </c>
      <c r="Z42" s="544">
        <f t="shared" si="25"/>
        <v>-1000</v>
      </c>
      <c r="AA42" s="544">
        <f t="shared" si="25"/>
        <v>-1000</v>
      </c>
      <c r="AB42" s="274"/>
      <c r="AC42" s="274"/>
      <c r="AD42" s="274"/>
      <c r="AE42" s="274"/>
      <c r="AF42" s="274"/>
      <c r="AG42" s="274"/>
      <c r="AH42" s="274"/>
      <c r="AI42" s="274"/>
      <c r="AJ42" s="274"/>
      <c r="AK42" s="274"/>
      <c r="AL42" s="274"/>
      <c r="AM42" s="274"/>
      <c r="AN42" s="274"/>
      <c r="AO42" s="274"/>
      <c r="AP42" s="274"/>
      <c r="AQ42" s="274"/>
      <c r="AR42" s="274"/>
      <c r="AS42" s="274"/>
      <c r="AT42" s="274"/>
    </row>
    <row r="43" spans="1:46" s="1" customFormat="1" ht="12.75">
      <c r="A43" s="1" t="s">
        <v>95</v>
      </c>
      <c r="B43" s="553"/>
      <c r="C43" s="555">
        <v>-18169</v>
      </c>
      <c r="D43" s="555">
        <v>-19968</v>
      </c>
      <c r="E43" s="555">
        <v>-23547</v>
      </c>
      <c r="F43" s="555">
        <v>-25772</v>
      </c>
      <c r="G43" s="555">
        <v>-27670</v>
      </c>
      <c r="H43" s="555">
        <v>-28183</v>
      </c>
      <c r="I43" s="555">
        <v>-28159</v>
      </c>
      <c r="J43" s="555">
        <v>-25222</v>
      </c>
      <c r="K43" s="555">
        <v>-27037</v>
      </c>
      <c r="L43" s="556">
        <v>-27535</v>
      </c>
      <c r="M43" s="556">
        <v>-29193</v>
      </c>
      <c r="N43" s="557">
        <f>-5288-26229</f>
        <v>-31517</v>
      </c>
      <c r="O43" s="562">
        <f>-26426-6817</f>
        <v>-33243</v>
      </c>
      <c r="P43" s="562">
        <f>-24675-3160</f>
        <v>-27835</v>
      </c>
      <c r="Q43" s="562">
        <f>-23906-3532</f>
        <v>-27438</v>
      </c>
      <c r="R43" s="562">
        <f>-23869-3803</f>
        <v>-27672</v>
      </c>
      <c r="S43" s="562">
        <f>-24537-3507</f>
        <v>-28044</v>
      </c>
      <c r="T43" s="562">
        <f>-30136-4022</f>
        <v>-34158</v>
      </c>
      <c r="U43" s="562">
        <f>-32112-4223</f>
        <v>-36335</v>
      </c>
      <c r="V43" s="547">
        <f>U43*(1+'Income Statement'!V24)</f>
        <v>-39684.905145599878</v>
      </c>
      <c r="W43" s="547">
        <f>V43*(1+'Income Statement'!W24)</f>
        <v>-45147.119465790711</v>
      </c>
      <c r="X43" s="547">
        <f>W43*(1+'Income Statement'!X24)</f>
        <v>-50732.3624762646</v>
      </c>
      <c r="Y43" s="547">
        <f>X43*(1+'Income Statement'!Y24)</f>
        <v>-54995.684955414778</v>
      </c>
      <c r="Z43" s="547">
        <f>Y43*(1+'Income Statement'!Z24)</f>
        <v>-57785.592733106852</v>
      </c>
      <c r="AA43" s="547">
        <f>Z43*(1+'Income Statement'!AA24)</f>
        <v>-60035.79533396328</v>
      </c>
      <c r="AB43" s="274"/>
      <c r="AC43" s="274"/>
      <c r="AD43" s="274"/>
      <c r="AE43" s="274"/>
      <c r="AF43" s="274"/>
      <c r="AG43" s="274"/>
      <c r="AH43" s="274"/>
      <c r="AI43" s="274"/>
      <c r="AJ43" s="274"/>
      <c r="AK43" s="274"/>
      <c r="AL43" s="274"/>
      <c r="AM43" s="274"/>
      <c r="AN43" s="274"/>
      <c r="AO43" s="274"/>
      <c r="AP43" s="274"/>
      <c r="AQ43" s="274"/>
      <c r="AR43" s="274"/>
      <c r="AS43" s="274"/>
      <c r="AT43" s="274"/>
    </row>
    <row r="44" spans="1:46" s="1" customFormat="1" ht="12.75">
      <c r="A44" s="1" t="s">
        <v>94</v>
      </c>
      <c r="B44" s="555">
        <v>-218</v>
      </c>
      <c r="C44" s="555">
        <v>-179</v>
      </c>
      <c r="D44" s="555">
        <v>-201</v>
      </c>
      <c r="E44" s="555">
        <v>-220</v>
      </c>
      <c r="F44" s="555">
        <v>-254</v>
      </c>
      <c r="G44" s="555">
        <v>-308</v>
      </c>
      <c r="H44" s="555">
        <v>-458</v>
      </c>
      <c r="I44" s="555">
        <v>-616</v>
      </c>
      <c r="J44" s="555">
        <v>-738</v>
      </c>
      <c r="K44" s="555">
        <v>-908</v>
      </c>
      <c r="L44" s="556">
        <v>-1126</v>
      </c>
      <c r="M44" s="556">
        <v>-1481</v>
      </c>
      <c r="N44" s="556">
        <v>-732</v>
      </c>
      <c r="O44" s="559">
        <v>-2780</v>
      </c>
      <c r="P44" s="546">
        <v>-1311</v>
      </c>
      <c r="Q44" s="546">
        <v>-1057</v>
      </c>
      <c r="R44" s="546">
        <v>-817</v>
      </c>
      <c r="S44" s="546">
        <v>-740</v>
      </c>
      <c r="T44" s="546">
        <v>-593</v>
      </c>
      <c r="U44" s="546">
        <v>-133</v>
      </c>
      <c r="V44" s="544">
        <f t="shared" ref="V44:AA46" si="26">U44</f>
        <v>-133</v>
      </c>
      <c r="W44" s="544">
        <f t="shared" si="26"/>
        <v>-133</v>
      </c>
      <c r="X44" s="544">
        <f t="shared" si="26"/>
        <v>-133</v>
      </c>
      <c r="Y44" s="544">
        <f t="shared" si="26"/>
        <v>-133</v>
      </c>
      <c r="Z44" s="544">
        <f t="shared" si="26"/>
        <v>-133</v>
      </c>
      <c r="AA44" s="544">
        <f t="shared" si="26"/>
        <v>-133</v>
      </c>
      <c r="AB44" s="274"/>
      <c r="AC44" s="274"/>
      <c r="AD44" s="274"/>
      <c r="AE44" s="274"/>
      <c r="AF44" s="274"/>
      <c r="AG44" s="274"/>
      <c r="AH44" s="274"/>
      <c r="AI44" s="274"/>
      <c r="AJ44" s="274"/>
      <c r="AK44" s="274"/>
      <c r="AL44" s="274"/>
      <c r="AM44" s="274"/>
      <c r="AN44" s="274"/>
      <c r="AO44" s="274"/>
      <c r="AP44" s="274"/>
      <c r="AQ44" s="274"/>
      <c r="AR44" s="274"/>
      <c r="AS44" s="274"/>
      <c r="AT44" s="274"/>
    </row>
    <row r="45" spans="1:46" s="1" customFormat="1" ht="12.75">
      <c r="A45" s="1" t="s">
        <v>93</v>
      </c>
      <c r="B45" s="555">
        <v>-486</v>
      </c>
      <c r="C45" s="555">
        <v>-706</v>
      </c>
      <c r="D45" s="555">
        <v>-822</v>
      </c>
      <c r="E45" s="555">
        <v>-880</v>
      </c>
      <c r="F45" s="555">
        <v>-790</v>
      </c>
      <c r="G45" s="555">
        <v>-875</v>
      </c>
      <c r="H45" s="555">
        <v>-1057</v>
      </c>
      <c r="I45" s="555">
        <v>-999</v>
      </c>
      <c r="J45" s="555">
        <v>-1089</v>
      </c>
      <c r="K45" s="555">
        <v>-1049</v>
      </c>
      <c r="L45" s="555">
        <v>-917</v>
      </c>
      <c r="M45" s="556">
        <v>-935</v>
      </c>
      <c r="N45" s="556">
        <v>-626</v>
      </c>
      <c r="O45" s="559">
        <v>-565</v>
      </c>
      <c r="P45" s="546">
        <v>-576</v>
      </c>
      <c r="Q45" s="546">
        <v>-631</v>
      </c>
      <c r="R45" s="546">
        <v>-503</v>
      </c>
      <c r="S45" s="546">
        <v>-450</v>
      </c>
      <c r="T45" s="546">
        <v>-725</v>
      </c>
      <c r="U45" s="546">
        <v>-528</v>
      </c>
      <c r="V45" s="544">
        <f t="shared" si="26"/>
        <v>-528</v>
      </c>
      <c r="W45" s="544">
        <f t="shared" si="26"/>
        <v>-528</v>
      </c>
      <c r="X45" s="544">
        <f t="shared" si="26"/>
        <v>-528</v>
      </c>
      <c r="Y45" s="544">
        <f t="shared" si="26"/>
        <v>-528</v>
      </c>
      <c r="Z45" s="544">
        <f t="shared" si="26"/>
        <v>-528</v>
      </c>
      <c r="AA45" s="544">
        <f t="shared" si="26"/>
        <v>-528</v>
      </c>
      <c r="AB45" s="274"/>
      <c r="AC45" s="274"/>
      <c r="AD45" s="274"/>
      <c r="AE45" s="274"/>
      <c r="AF45" s="274"/>
      <c r="AG45" s="274"/>
      <c r="AH45" s="274"/>
      <c r="AI45" s="274"/>
      <c r="AJ45" s="274"/>
      <c r="AK45" s="274"/>
      <c r="AL45" s="274"/>
      <c r="AM45" s="274"/>
      <c r="AN45" s="274"/>
      <c r="AO45" s="274"/>
      <c r="AP45" s="274"/>
      <c r="AQ45" s="274"/>
      <c r="AR45" s="274"/>
      <c r="AS45" s="274"/>
      <c r="AT45" s="274"/>
    </row>
    <row r="46" spans="1:46" s="1" customFormat="1" ht="12.75">
      <c r="A46" s="2" t="s">
        <v>15</v>
      </c>
      <c r="B46" s="553">
        <v>-64</v>
      </c>
      <c r="C46" s="553">
        <v>0</v>
      </c>
      <c r="D46" s="553">
        <v>-155</v>
      </c>
      <c r="E46" s="553">
        <v>0</v>
      </c>
      <c r="F46" s="553">
        <v>0</v>
      </c>
      <c r="G46" s="553">
        <v>0</v>
      </c>
      <c r="H46" s="553">
        <v>-3</v>
      </c>
      <c r="I46" s="553">
        <v>0</v>
      </c>
      <c r="J46" s="553">
        <v>0</v>
      </c>
      <c r="K46" s="553">
        <v>0</v>
      </c>
      <c r="L46" s="553">
        <v>0</v>
      </c>
      <c r="M46" s="553">
        <v>0</v>
      </c>
      <c r="N46" s="553">
        <v>0</v>
      </c>
      <c r="O46" s="553">
        <v>0</v>
      </c>
      <c r="P46" s="553">
        <v>300</v>
      </c>
      <c r="Q46" s="553">
        <v>0</v>
      </c>
      <c r="R46" s="553">
        <v>0</v>
      </c>
      <c r="S46" s="553">
        <v>-74</v>
      </c>
      <c r="T46" s="553">
        <v>-75</v>
      </c>
      <c r="U46" s="553">
        <v>-82</v>
      </c>
      <c r="V46" s="544">
        <f t="shared" si="26"/>
        <v>-82</v>
      </c>
      <c r="W46" s="544">
        <f t="shared" si="26"/>
        <v>-82</v>
      </c>
      <c r="X46" s="544">
        <f t="shared" si="26"/>
        <v>-82</v>
      </c>
      <c r="Y46" s="544">
        <f t="shared" si="26"/>
        <v>-82</v>
      </c>
      <c r="Z46" s="544">
        <f t="shared" si="26"/>
        <v>-82</v>
      </c>
      <c r="AA46" s="544">
        <f t="shared" si="26"/>
        <v>-82</v>
      </c>
      <c r="AB46" s="274"/>
      <c r="AC46" s="274"/>
      <c r="AD46" s="274"/>
      <c r="AE46" s="274"/>
      <c r="AF46" s="274"/>
      <c r="AG46" s="274"/>
      <c r="AH46" s="274"/>
      <c r="AI46" s="274"/>
      <c r="AJ46" s="274"/>
      <c r="AK46" s="274"/>
      <c r="AL46" s="274"/>
      <c r="AM46" s="274"/>
      <c r="AN46" s="274"/>
      <c r="AO46" s="274"/>
      <c r="AP46" s="274"/>
      <c r="AQ46" s="274"/>
      <c r="AR46" s="274"/>
      <c r="AS46" s="274"/>
      <c r="AT46" s="274"/>
    </row>
    <row r="47" spans="1:46" s="1" customFormat="1" ht="12.75">
      <c r="A47" s="265" t="s">
        <v>92</v>
      </c>
      <c r="B47" s="590">
        <v>-31216</v>
      </c>
      <c r="C47" s="590">
        <v>-34068</v>
      </c>
      <c r="D47" s="590">
        <v>-36725</v>
      </c>
      <c r="E47" s="590">
        <v>-42376</v>
      </c>
      <c r="F47" s="590">
        <v>-43770</v>
      </c>
      <c r="G47" s="590">
        <v>-47502</v>
      </c>
      <c r="H47" s="590">
        <v>-48649</v>
      </c>
      <c r="I47" s="590">
        <v>-48581</v>
      </c>
      <c r="J47" s="570">
        <f t="shared" ref="J47:T47" si="27">SUM(J38:J40,J42:J46)</f>
        <v>-47497</v>
      </c>
      <c r="K47" s="570">
        <f t="shared" si="27"/>
        <v>-53777</v>
      </c>
      <c r="L47" s="570">
        <f t="shared" si="27"/>
        <v>-55701</v>
      </c>
      <c r="M47" s="570">
        <f t="shared" si="27"/>
        <v>-56025</v>
      </c>
      <c r="N47" s="570">
        <f t="shared" si="27"/>
        <v>-60354</v>
      </c>
      <c r="O47" s="570">
        <f t="shared" si="27"/>
        <v>-62374</v>
      </c>
      <c r="P47" s="570">
        <f t="shared" si="27"/>
        <v>-49471</v>
      </c>
      <c r="Q47" s="570">
        <f t="shared" si="27"/>
        <v>-47807</v>
      </c>
      <c r="R47" s="570">
        <f t="shared" si="27"/>
        <v>-52595</v>
      </c>
      <c r="S47" s="570">
        <f t="shared" si="27"/>
        <v>-53750</v>
      </c>
      <c r="T47" s="570">
        <f t="shared" si="27"/>
        <v>-60623</v>
      </c>
      <c r="U47" s="570">
        <f t="shared" ref="U47:Z47" si="28">SUM(U38:U40,U42:U46)</f>
        <v>-63511</v>
      </c>
      <c r="V47" s="570">
        <f t="shared" si="28"/>
        <v>-66981.156115810882</v>
      </c>
      <c r="W47" s="570">
        <f t="shared" si="28"/>
        <v>-74774.154321753449</v>
      </c>
      <c r="X47" s="570">
        <f t="shared" si="28"/>
        <v>-82637.662546498905</v>
      </c>
      <c r="Y47" s="570">
        <f t="shared" si="28"/>
        <v>-88717.250818810047</v>
      </c>
      <c r="Z47" s="570">
        <f t="shared" si="28"/>
        <v>-92934.167825812503</v>
      </c>
      <c r="AA47" s="570">
        <f t="shared" ref="AA47" si="29">SUM(AA38:AA40,AA42:AA46)</f>
        <v>-96368.044063273614</v>
      </c>
      <c r="AB47" s="274"/>
      <c r="AC47" s="274"/>
      <c r="AD47" s="274"/>
      <c r="AE47" s="274"/>
      <c r="AF47" s="274"/>
      <c r="AG47" s="274"/>
      <c r="AH47" s="274"/>
      <c r="AI47" s="274"/>
      <c r="AJ47" s="274"/>
      <c r="AK47" s="274"/>
      <c r="AL47" s="274"/>
      <c r="AM47" s="274"/>
      <c r="AN47" s="274"/>
      <c r="AO47" s="274"/>
      <c r="AP47" s="274"/>
      <c r="AQ47" s="274"/>
      <c r="AR47" s="274"/>
      <c r="AS47" s="274"/>
      <c r="AT47" s="274"/>
    </row>
    <row r="48" spans="1:46" s="1" customFormat="1" ht="12.75">
      <c r="B48" s="553"/>
      <c r="C48" s="553"/>
      <c r="D48" s="553"/>
      <c r="E48" s="553"/>
      <c r="F48" s="553"/>
      <c r="G48" s="553"/>
      <c r="H48" s="553"/>
      <c r="I48" s="553"/>
      <c r="J48" s="553"/>
      <c r="K48" s="553"/>
      <c r="L48" s="553"/>
      <c r="M48" s="553"/>
      <c r="N48" s="553"/>
      <c r="O48" s="544"/>
      <c r="P48" s="544"/>
      <c r="Q48" s="544"/>
      <c r="R48" s="544"/>
      <c r="S48" s="544"/>
      <c r="T48" s="544"/>
      <c r="U48" s="544"/>
      <c r="V48" s="544"/>
      <c r="W48" s="544"/>
      <c r="X48" s="544"/>
      <c r="Y48" s="544"/>
      <c r="Z48" s="544"/>
      <c r="AA48" s="544"/>
      <c r="AB48" s="274"/>
      <c r="AC48" s="274"/>
      <c r="AD48" s="274"/>
      <c r="AE48" s="274"/>
      <c r="AF48" s="274"/>
      <c r="AG48" s="274"/>
      <c r="AH48" s="274"/>
      <c r="AI48" s="274"/>
      <c r="AJ48" s="274"/>
      <c r="AK48" s="274"/>
      <c r="AL48" s="274"/>
      <c r="AM48" s="274"/>
      <c r="AN48" s="274"/>
      <c r="AO48" s="274"/>
      <c r="AP48" s="274"/>
      <c r="AQ48" s="274"/>
      <c r="AR48" s="274"/>
      <c r="AS48" s="274"/>
      <c r="AT48" s="274"/>
    </row>
    <row r="49" spans="1:46" s="1" customFormat="1" ht="12.75">
      <c r="A49" s="1" t="s">
        <v>91</v>
      </c>
      <c r="B49" s="555">
        <v>813</v>
      </c>
      <c r="C49" s="555">
        <v>814</v>
      </c>
      <c r="D49" s="555">
        <v>815</v>
      </c>
      <c r="E49" s="555">
        <v>816</v>
      </c>
      <c r="F49" s="555">
        <v>816</v>
      </c>
      <c r="G49" s="555">
        <v>820</v>
      </c>
      <c r="H49" s="555">
        <v>827</v>
      </c>
      <c r="I49" s="555">
        <v>783</v>
      </c>
      <c r="J49" s="555">
        <v>785</v>
      </c>
      <c r="K49" s="555">
        <v>785</v>
      </c>
      <c r="L49" s="555">
        <v>773</v>
      </c>
      <c r="M49" s="556">
        <v>775</v>
      </c>
      <c r="N49" s="555">
        <v>777</v>
      </c>
      <c r="O49" s="559">
        <v>784</v>
      </c>
      <c r="P49" s="559">
        <v>785</v>
      </c>
      <c r="Q49" s="559">
        <v>787</v>
      </c>
      <c r="R49" s="559">
        <v>789</v>
      </c>
      <c r="S49" s="559">
        <v>791</v>
      </c>
      <c r="T49" s="559">
        <v>793</v>
      </c>
      <c r="U49" s="559">
        <v>793</v>
      </c>
      <c r="V49" s="544">
        <f t="shared" ref="V49:AA49" si="30">U49</f>
        <v>793</v>
      </c>
      <c r="W49" s="544">
        <f t="shared" si="30"/>
        <v>793</v>
      </c>
      <c r="X49" s="544">
        <f t="shared" si="30"/>
        <v>793</v>
      </c>
      <c r="Y49" s="544">
        <f t="shared" si="30"/>
        <v>793</v>
      </c>
      <c r="Z49" s="544">
        <f t="shared" si="30"/>
        <v>793</v>
      </c>
      <c r="AA49" s="544">
        <f t="shared" si="30"/>
        <v>793</v>
      </c>
      <c r="AB49" s="274"/>
      <c r="AC49" s="274"/>
      <c r="AD49" s="274"/>
      <c r="AE49" s="274"/>
      <c r="AF49" s="274"/>
      <c r="AG49" s="274"/>
      <c r="AH49" s="274"/>
      <c r="AI49" s="274"/>
      <c r="AJ49" s="274"/>
      <c r="AK49" s="274"/>
      <c r="AL49" s="274"/>
      <c r="AM49" s="274"/>
      <c r="AN49" s="274"/>
      <c r="AO49" s="274"/>
      <c r="AP49" s="274"/>
      <c r="AQ49" s="274"/>
      <c r="AR49" s="274"/>
      <c r="AS49" s="274"/>
      <c r="AT49" s="274"/>
    </row>
    <row r="50" spans="1:46" s="1" customFormat="1" ht="12.75">
      <c r="A50" s="1" t="s">
        <v>90</v>
      </c>
      <c r="B50" s="555">
        <v>8160</v>
      </c>
      <c r="C50" s="555">
        <v>7968</v>
      </c>
      <c r="D50" s="555">
        <v>7836</v>
      </c>
      <c r="E50" s="555">
        <v>7683</v>
      </c>
      <c r="F50" s="555">
        <v>7645</v>
      </c>
      <c r="G50" s="555">
        <v>7519</v>
      </c>
      <c r="H50" s="553">
        <f>8147-H51</f>
        <v>7247</v>
      </c>
      <c r="I50" s="555">
        <v>5049</v>
      </c>
      <c r="J50" s="555">
        <v>4500</v>
      </c>
      <c r="K50" s="555">
        <v>3484</v>
      </c>
      <c r="L50" s="555">
        <v>2745</v>
      </c>
      <c r="M50" s="556">
        <v>2826</v>
      </c>
      <c r="N50" s="555">
        <v>2941</v>
      </c>
      <c r="O50" s="559">
        <v>3555</v>
      </c>
      <c r="P50" s="559">
        <v>3599</v>
      </c>
      <c r="Q50" s="559">
        <v>3712</v>
      </c>
      <c r="R50" s="559">
        <v>3837</v>
      </c>
      <c r="S50" s="559">
        <v>3983</v>
      </c>
      <c r="T50" s="559">
        <v>4002</v>
      </c>
      <c r="U50" s="559">
        <v>4002</v>
      </c>
      <c r="V50" s="547">
        <f>U50+'Cash Flow Statement'!V42</f>
        <v>3002</v>
      </c>
      <c r="W50" s="547">
        <f>V50+'Cash Flow Statement'!W42</f>
        <v>1002</v>
      </c>
      <c r="X50" s="547">
        <f>W50+'Cash Flow Statement'!X42</f>
        <v>-998</v>
      </c>
      <c r="Y50" s="547">
        <f>X50+'Cash Flow Statement'!Y42</f>
        <v>-998</v>
      </c>
      <c r="Z50" s="547">
        <f>Y50+'Cash Flow Statement'!Z42</f>
        <v>-998</v>
      </c>
      <c r="AA50" s="547">
        <f>Z50+'Cash Flow Statement'!AA42</f>
        <v>-998</v>
      </c>
      <c r="AB50" s="274"/>
      <c r="AC50" s="274"/>
      <c r="AD50" s="274"/>
      <c r="AE50" s="274"/>
      <c r="AF50" s="274"/>
      <c r="AG50" s="274"/>
      <c r="AH50" s="274"/>
      <c r="AI50" s="274"/>
      <c r="AJ50" s="274"/>
      <c r="AK50" s="274"/>
      <c r="AL50" s="274"/>
      <c r="AM50" s="274"/>
      <c r="AN50" s="274"/>
      <c r="AO50" s="274"/>
      <c r="AP50" s="274"/>
      <c r="AQ50" s="274"/>
      <c r="AR50" s="274"/>
      <c r="AS50" s="274"/>
      <c r="AT50" s="274"/>
    </row>
    <row r="51" spans="1:46" s="1" customFormat="1" ht="12.75">
      <c r="A51" s="1" t="s">
        <v>89</v>
      </c>
      <c r="B51" s="555">
        <v>-567</v>
      </c>
      <c r="C51" s="555">
        <v>-562</v>
      </c>
      <c r="D51" s="555">
        <v>722</v>
      </c>
      <c r="E51" s="555">
        <v>-501</v>
      </c>
      <c r="F51" s="555">
        <v>46</v>
      </c>
      <c r="G51" s="555">
        <v>471</v>
      </c>
      <c r="H51" s="555">
        <v>900</v>
      </c>
      <c r="I51" s="555">
        <v>2300</v>
      </c>
      <c r="J51" s="555">
        <v>2989</v>
      </c>
      <c r="K51" s="555">
        <v>6316</v>
      </c>
      <c r="L51" s="556">
        <v>4987</v>
      </c>
      <c r="M51" s="556">
        <v>7007</v>
      </c>
      <c r="N51" s="556">
        <v>5923</v>
      </c>
      <c r="O51" s="559">
        <v>2241</v>
      </c>
      <c r="P51" s="559">
        <v>250</v>
      </c>
      <c r="Q51" s="559">
        <v>6834</v>
      </c>
      <c r="R51" s="559">
        <v>13408</v>
      </c>
      <c r="S51" s="559">
        <v>15616</v>
      </c>
      <c r="T51" s="559">
        <v>18687</v>
      </c>
      <c r="U51" s="559">
        <v>22334</v>
      </c>
      <c r="V51" s="547">
        <f>U51+'Income Statement'!V98+'Cash Flow Statement'!V45+'Cash Flow Statement'!V16+'Cash Flow Statement'!V36</f>
        <v>25522.599480150144</v>
      </c>
      <c r="W51" s="547">
        <f>V51+'Income Statement'!W98+'Cash Flow Statement'!W45+'Cash Flow Statement'!W16+'Cash Flow Statement'!W36</f>
        <v>29817.977233197154</v>
      </c>
      <c r="X51" s="547">
        <f>W51+'Income Statement'!X98+'Cash Flow Statement'!X45+'Cash Flow Statement'!X16+'Cash Flow Statement'!X36</f>
        <v>35265.927227379485</v>
      </c>
      <c r="Y51" s="547">
        <f>X51+'Income Statement'!Y98+'Cash Flow Statement'!Y45+'Cash Flow Statement'!Y16+'Cash Flow Statement'!Y36</f>
        <v>41200.463602431293</v>
      </c>
      <c r="Z51" s="547">
        <f>Y51+'Income Statement'!Z98+'Cash Flow Statement'!Z45+'Cash Flow Statement'!Z16+'Cash Flow Statement'!Z36</f>
        <v>47393.69357240884</v>
      </c>
      <c r="AA51" s="547">
        <f>Z51+'Income Statement'!AA98+'Cash Flow Statement'!AA45+'Cash Flow Statement'!AA16+'Cash Flow Statement'!AA36</f>
        <v>53546.240924898462</v>
      </c>
      <c r="AB51" s="274"/>
      <c r="AC51" s="274"/>
      <c r="AD51" s="274"/>
      <c r="AE51" s="274"/>
      <c r="AF51" s="274"/>
      <c r="AG51" s="274"/>
      <c r="AH51" s="274"/>
      <c r="AI51" s="274"/>
      <c r="AJ51" s="274"/>
      <c r="AK51" s="274"/>
      <c r="AL51" s="274"/>
      <c r="AM51" s="274"/>
      <c r="AN51" s="274"/>
      <c r="AO51" s="274"/>
      <c r="AP51" s="274"/>
      <c r="AQ51" s="274"/>
      <c r="AR51" s="274"/>
      <c r="AS51" s="274"/>
      <c r="AT51" s="274"/>
    </row>
    <row r="52" spans="1:46" s="1" customFormat="1" ht="12.75">
      <c r="A52" s="1" t="s">
        <v>188</v>
      </c>
      <c r="B52" s="555">
        <v>4955</v>
      </c>
      <c r="C52" s="555">
        <v>5076</v>
      </c>
      <c r="D52" s="555">
        <v>1758</v>
      </c>
      <c r="E52" s="555">
        <v>2646</v>
      </c>
      <c r="F52" s="555">
        <v>446</v>
      </c>
      <c r="G52" s="555">
        <v>153</v>
      </c>
      <c r="H52" s="555">
        <v>1513</v>
      </c>
      <c r="I52" s="555">
        <v>2929</v>
      </c>
      <c r="J52" s="555">
        <v>-1205</v>
      </c>
      <c r="K52" s="555">
        <v>-4316</v>
      </c>
      <c r="L52" s="556">
        <v>-4845</v>
      </c>
      <c r="M52" s="556">
        <v>2742</v>
      </c>
      <c r="N52" s="555">
        <v>134</v>
      </c>
      <c r="O52" s="559">
        <v>-523</v>
      </c>
      <c r="P52" s="559">
        <v>1853</v>
      </c>
      <c r="Q52" s="559">
        <v>-1822</v>
      </c>
      <c r="R52" s="559">
        <v>-5016</v>
      </c>
      <c r="S52" s="559">
        <v>-2305</v>
      </c>
      <c r="T52" s="559">
        <f>-4553-253+1520</f>
        <v>-3286</v>
      </c>
      <c r="U52" s="559">
        <v>-70</v>
      </c>
      <c r="V52" s="544">
        <f t="shared" ref="V52:AA54" si="31">U52</f>
        <v>-70</v>
      </c>
      <c r="W52" s="544">
        <f t="shared" si="31"/>
        <v>-70</v>
      </c>
      <c r="X52" s="544">
        <f t="shared" si="31"/>
        <v>-70</v>
      </c>
      <c r="Y52" s="544">
        <f t="shared" si="31"/>
        <v>-70</v>
      </c>
      <c r="Z52" s="544">
        <f t="shared" si="31"/>
        <v>-70</v>
      </c>
      <c r="AA52" s="544">
        <f t="shared" si="31"/>
        <v>-70</v>
      </c>
      <c r="AB52" s="274"/>
      <c r="AC52" s="274"/>
      <c r="AD52" s="274"/>
      <c r="AE52" s="274"/>
      <c r="AF52" s="274"/>
      <c r="AG52" s="274"/>
      <c r="AH52" s="274"/>
      <c r="AI52" s="274"/>
      <c r="AJ52" s="274"/>
      <c r="AK52" s="274"/>
      <c r="AL52" s="274"/>
      <c r="AM52" s="274"/>
      <c r="AN52" s="274"/>
      <c r="AO52" s="274"/>
      <c r="AP52" s="274"/>
      <c r="AQ52" s="274"/>
      <c r="AR52" s="274"/>
      <c r="AS52" s="274"/>
      <c r="AT52" s="274"/>
    </row>
    <row r="53" spans="1:46" s="1" customFormat="1" ht="12.75">
      <c r="A53" s="1" t="s">
        <v>88</v>
      </c>
      <c r="B53" s="555">
        <v>-349</v>
      </c>
      <c r="C53" s="555">
        <v>-206</v>
      </c>
      <c r="D53" s="555">
        <v>-109</v>
      </c>
      <c r="E53" s="555">
        <v>-109</v>
      </c>
      <c r="F53" s="555">
        <v>-112</v>
      </c>
      <c r="G53" s="555">
        <v>-113</v>
      </c>
      <c r="H53" s="555">
        <v>-84</v>
      </c>
      <c r="I53" s="555">
        <v>-50</v>
      </c>
      <c r="J53" s="555">
        <v>-8</v>
      </c>
      <c r="K53" s="555">
        <v>-303</v>
      </c>
      <c r="L53" s="556">
        <v>-3</v>
      </c>
      <c r="M53" s="556">
        <v>-2</v>
      </c>
      <c r="N53" s="555">
        <v>-51</v>
      </c>
      <c r="O53" s="559">
        <v>-82</v>
      </c>
      <c r="P53" s="559">
        <v>-42</v>
      </c>
      <c r="Q53" s="559">
        <v>-45</v>
      </c>
      <c r="R53" s="559">
        <v>-68</v>
      </c>
      <c r="S53" s="559">
        <v>-390</v>
      </c>
      <c r="T53" s="559">
        <v>-590</v>
      </c>
      <c r="U53" s="559">
        <v>-955</v>
      </c>
      <c r="V53" s="544">
        <f t="shared" si="31"/>
        <v>-955</v>
      </c>
      <c r="W53" s="544">
        <f t="shared" si="31"/>
        <v>-955</v>
      </c>
      <c r="X53" s="544">
        <f t="shared" si="31"/>
        <v>-955</v>
      </c>
      <c r="Y53" s="544">
        <f t="shared" si="31"/>
        <v>-955</v>
      </c>
      <c r="Z53" s="544">
        <f t="shared" si="31"/>
        <v>-955</v>
      </c>
      <c r="AA53" s="544">
        <f t="shared" si="31"/>
        <v>-955</v>
      </c>
      <c r="AB53" s="274"/>
      <c r="AC53" s="274"/>
      <c r="AD53" s="274"/>
      <c r="AE53" s="274"/>
      <c r="AF53" s="274"/>
      <c r="AG53" s="274"/>
      <c r="AH53" s="274"/>
      <c r="AI53" s="274"/>
      <c r="AJ53" s="274"/>
      <c r="AK53" s="274"/>
      <c r="AL53" s="274"/>
      <c r="AM53" s="274"/>
      <c r="AN53" s="274"/>
      <c r="AO53" s="274"/>
      <c r="AP53" s="274"/>
      <c r="AQ53" s="274"/>
      <c r="AR53" s="274"/>
      <c r="AS53" s="274"/>
      <c r="AT53" s="274"/>
    </row>
    <row r="54" spans="1:46" s="1" customFormat="1" ht="12.75">
      <c r="A54" s="1" t="s">
        <v>87</v>
      </c>
      <c r="B54" s="555">
        <f>B55-SUM(B49:B53)</f>
        <v>140</v>
      </c>
      <c r="C54" s="555">
        <f t="shared" ref="C54:I54" si="32">C55-SUM(C49:C53)</f>
        <v>85</v>
      </c>
      <c r="D54" s="555">
        <f t="shared" si="32"/>
        <v>104</v>
      </c>
      <c r="E54" s="555">
        <f t="shared" si="32"/>
        <v>106</v>
      </c>
      <c r="F54" s="555">
        <f t="shared" si="32"/>
        <v>95</v>
      </c>
      <c r="G54" s="555">
        <f t="shared" si="32"/>
        <v>15</v>
      </c>
      <c r="H54" s="555">
        <f t="shared" si="32"/>
        <v>17</v>
      </c>
      <c r="I54" s="555">
        <f t="shared" si="32"/>
        <v>43</v>
      </c>
      <c r="J54" s="555">
        <v>18</v>
      </c>
      <c r="K54" s="555">
        <v>7</v>
      </c>
      <c r="L54" s="555">
        <v>-5</v>
      </c>
      <c r="M54" s="555">
        <v>3</v>
      </c>
      <c r="N54" s="555">
        <v>-5</v>
      </c>
      <c r="O54" s="555">
        <v>15</v>
      </c>
      <c r="P54" s="555">
        <v>11</v>
      </c>
      <c r="Q54" s="555">
        <v>20</v>
      </c>
      <c r="R54" s="555">
        <v>32</v>
      </c>
      <c r="S54" s="555">
        <v>35</v>
      </c>
      <c r="T54" s="555">
        <v>90</v>
      </c>
      <c r="U54" s="555">
        <v>80</v>
      </c>
      <c r="V54" s="544">
        <f t="shared" si="31"/>
        <v>80</v>
      </c>
      <c r="W54" s="544">
        <f t="shared" si="31"/>
        <v>80</v>
      </c>
      <c r="X54" s="544">
        <f t="shared" si="31"/>
        <v>80</v>
      </c>
      <c r="Y54" s="544">
        <f t="shared" si="31"/>
        <v>80</v>
      </c>
      <c r="Z54" s="544">
        <f t="shared" si="31"/>
        <v>80</v>
      </c>
      <c r="AA54" s="544">
        <f t="shared" si="31"/>
        <v>80</v>
      </c>
      <c r="AB54" s="274"/>
      <c r="AC54" s="274"/>
      <c r="AD54" s="274"/>
      <c r="AE54" s="274"/>
      <c r="AF54" s="274"/>
      <c r="AG54" s="274"/>
      <c r="AH54" s="274"/>
      <c r="AI54" s="274"/>
      <c r="AJ54" s="274"/>
      <c r="AK54" s="274"/>
      <c r="AL54" s="274"/>
      <c r="AM54" s="274"/>
      <c r="AN54" s="274"/>
      <c r="AO54" s="274"/>
      <c r="AP54" s="274"/>
      <c r="AQ54" s="274"/>
      <c r="AR54" s="274"/>
      <c r="AS54" s="274"/>
      <c r="AT54" s="274"/>
    </row>
    <row r="55" spans="1:46" s="1" customFormat="1" ht="12.75">
      <c r="A55" s="265" t="s">
        <v>86</v>
      </c>
      <c r="B55" s="590">
        <v>13152</v>
      </c>
      <c r="C55" s="590">
        <v>13175</v>
      </c>
      <c r="D55" s="590">
        <v>11126</v>
      </c>
      <c r="E55" s="590">
        <v>10641</v>
      </c>
      <c r="F55" s="590">
        <v>8936</v>
      </c>
      <c r="G55" s="590">
        <v>8865</v>
      </c>
      <c r="H55" s="590">
        <v>10420</v>
      </c>
      <c r="I55" s="590">
        <v>11054</v>
      </c>
      <c r="J55" s="570">
        <f t="shared" ref="J55:T55" si="33">SUM(J49:J54)</f>
        <v>7079</v>
      </c>
      <c r="K55" s="570">
        <f t="shared" si="33"/>
        <v>5973</v>
      </c>
      <c r="L55" s="570">
        <f t="shared" si="33"/>
        <v>3652</v>
      </c>
      <c r="M55" s="570">
        <f t="shared" si="33"/>
        <v>13351</v>
      </c>
      <c r="N55" s="570">
        <f t="shared" si="33"/>
        <v>9719</v>
      </c>
      <c r="O55" s="570">
        <f t="shared" si="33"/>
        <v>5990</v>
      </c>
      <c r="P55" s="570">
        <f t="shared" si="33"/>
        <v>6456</v>
      </c>
      <c r="Q55" s="570">
        <f t="shared" si="33"/>
        <v>9486</v>
      </c>
      <c r="R55" s="570">
        <f t="shared" si="33"/>
        <v>12982</v>
      </c>
      <c r="S55" s="570">
        <f t="shared" si="33"/>
        <v>17730</v>
      </c>
      <c r="T55" s="570">
        <f t="shared" si="33"/>
        <v>19696</v>
      </c>
      <c r="U55" s="570">
        <f t="shared" ref="U55:Z55" si="34">SUM(U49:U54)</f>
        <v>26184</v>
      </c>
      <c r="V55" s="570">
        <f t="shared" si="34"/>
        <v>28372.599480150144</v>
      </c>
      <c r="W55" s="570">
        <f t="shared" si="34"/>
        <v>30667.977233197154</v>
      </c>
      <c r="X55" s="570">
        <f t="shared" si="34"/>
        <v>34115.927227379485</v>
      </c>
      <c r="Y55" s="570">
        <f t="shared" si="34"/>
        <v>40050.463602431293</v>
      </c>
      <c r="Z55" s="570">
        <f t="shared" si="34"/>
        <v>46243.69357240884</v>
      </c>
      <c r="AA55" s="570">
        <f t="shared" ref="AA55" si="35">SUM(AA49:AA54)</f>
        <v>52396.240924898462</v>
      </c>
      <c r="AB55" s="274"/>
      <c r="AC55" s="274"/>
      <c r="AD55" s="274"/>
      <c r="AE55" s="274"/>
      <c r="AF55" s="274"/>
      <c r="AG55" s="274"/>
      <c r="AH55" s="274"/>
      <c r="AI55" s="274"/>
      <c r="AJ55" s="274"/>
      <c r="AK55" s="274"/>
      <c r="AL55" s="274"/>
      <c r="AM55" s="274"/>
      <c r="AN55" s="274"/>
      <c r="AO55" s="274"/>
      <c r="AP55" s="274"/>
      <c r="AQ55" s="274"/>
      <c r="AR55" s="274"/>
      <c r="AS55" s="274"/>
      <c r="AT55" s="274"/>
    </row>
    <row r="56" spans="1:46" s="1" customFormat="1" ht="12.75">
      <c r="A56" s="1" t="s">
        <v>85</v>
      </c>
      <c r="B56" s="553">
        <f t="shared" ref="B56:Z56" si="36">B14+B27+B36+B47-B55</f>
        <v>0</v>
      </c>
      <c r="C56" s="553">
        <f t="shared" si="36"/>
        <v>0</v>
      </c>
      <c r="D56" s="553">
        <f t="shared" si="36"/>
        <v>0</v>
      </c>
      <c r="E56" s="553">
        <f t="shared" si="36"/>
        <v>0</v>
      </c>
      <c r="F56" s="553">
        <f t="shared" si="36"/>
        <v>0</v>
      </c>
      <c r="G56" s="553">
        <f t="shared" si="36"/>
        <v>0</v>
      </c>
      <c r="H56" s="553">
        <f t="shared" si="36"/>
        <v>0</v>
      </c>
      <c r="I56" s="553">
        <f t="shared" si="36"/>
        <v>0</v>
      </c>
      <c r="J56" s="553">
        <f t="shared" si="36"/>
        <v>0</v>
      </c>
      <c r="K56" s="553">
        <f t="shared" si="36"/>
        <v>0</v>
      </c>
      <c r="L56" s="553">
        <f t="shared" si="36"/>
        <v>0</v>
      </c>
      <c r="M56" s="553">
        <f t="shared" si="36"/>
        <v>0</v>
      </c>
      <c r="N56" s="553">
        <f t="shared" si="36"/>
        <v>0</v>
      </c>
      <c r="O56" s="557">
        <f t="shared" si="36"/>
        <v>0</v>
      </c>
      <c r="P56" s="553">
        <f t="shared" si="36"/>
        <v>0</v>
      </c>
      <c r="Q56" s="557">
        <f t="shared" si="36"/>
        <v>0</v>
      </c>
      <c r="R56" s="553">
        <f t="shared" si="36"/>
        <v>0</v>
      </c>
      <c r="S56" s="553">
        <f t="shared" si="36"/>
        <v>0</v>
      </c>
      <c r="T56" s="553">
        <f t="shared" si="36"/>
        <v>0</v>
      </c>
      <c r="U56" s="553">
        <f t="shared" si="36"/>
        <v>0</v>
      </c>
      <c r="V56" s="553">
        <f t="shared" si="36"/>
        <v>0</v>
      </c>
      <c r="W56" s="553">
        <f t="shared" si="36"/>
        <v>0</v>
      </c>
      <c r="X56" s="553">
        <f t="shared" si="36"/>
        <v>0</v>
      </c>
      <c r="Y56" s="553">
        <f t="shared" si="36"/>
        <v>0</v>
      </c>
      <c r="Z56" s="553">
        <f t="shared" si="36"/>
        <v>0</v>
      </c>
      <c r="AA56" s="553">
        <f t="shared" ref="AA56" si="37">AA14+AA27+AA36+AA47-AA55</f>
        <v>0</v>
      </c>
      <c r="AB56" s="274"/>
      <c r="AC56" s="274"/>
      <c r="AD56" s="274"/>
      <c r="AE56" s="274"/>
      <c r="AF56" s="274"/>
      <c r="AG56" s="274"/>
      <c r="AH56" s="274"/>
      <c r="AI56" s="274"/>
      <c r="AJ56" s="274"/>
      <c r="AK56" s="274"/>
      <c r="AL56" s="274"/>
      <c r="AM56" s="274"/>
      <c r="AN56" s="274"/>
      <c r="AO56" s="274"/>
      <c r="AP56" s="274"/>
      <c r="AQ56" s="274"/>
      <c r="AR56" s="274"/>
      <c r="AS56" s="274"/>
      <c r="AT56" s="274"/>
    </row>
    <row r="57" spans="1:46" s="1" customFormat="1" ht="12.75">
      <c r="B57" s="271"/>
      <c r="C57" s="271"/>
      <c r="D57" s="271"/>
      <c r="E57" s="271"/>
      <c r="F57" s="271"/>
      <c r="G57" s="271"/>
      <c r="H57" s="553"/>
      <c r="I57" s="553"/>
      <c r="J57" s="553">
        <f t="shared" ref="J57:AA57" si="38">J56-I56</f>
        <v>0</v>
      </c>
      <c r="K57" s="553">
        <f t="shared" si="38"/>
        <v>0</v>
      </c>
      <c r="L57" s="553">
        <f t="shared" si="38"/>
        <v>0</v>
      </c>
      <c r="M57" s="553">
        <f t="shared" si="38"/>
        <v>0</v>
      </c>
      <c r="N57" s="553">
        <f t="shared" si="38"/>
        <v>0</v>
      </c>
      <c r="O57" s="557">
        <f t="shared" si="38"/>
        <v>0</v>
      </c>
      <c r="P57" s="553">
        <f t="shared" si="38"/>
        <v>0</v>
      </c>
      <c r="Q57" s="557">
        <f t="shared" si="38"/>
        <v>0</v>
      </c>
      <c r="R57" s="553">
        <f t="shared" si="38"/>
        <v>0</v>
      </c>
      <c r="S57" s="553">
        <f t="shared" si="38"/>
        <v>0</v>
      </c>
      <c r="T57" s="553">
        <f t="shared" si="38"/>
        <v>0</v>
      </c>
      <c r="U57" s="553">
        <f t="shared" si="38"/>
        <v>0</v>
      </c>
      <c r="V57" s="553">
        <f t="shared" si="38"/>
        <v>0</v>
      </c>
      <c r="W57" s="553">
        <f t="shared" si="38"/>
        <v>0</v>
      </c>
      <c r="X57" s="553">
        <f t="shared" si="38"/>
        <v>0</v>
      </c>
      <c r="Y57" s="553">
        <f t="shared" si="38"/>
        <v>0</v>
      </c>
      <c r="Z57" s="553">
        <f t="shared" si="38"/>
        <v>0</v>
      </c>
      <c r="AA57" s="553">
        <f t="shared" si="38"/>
        <v>0</v>
      </c>
      <c r="AB57" s="274"/>
      <c r="AC57" s="274"/>
      <c r="AD57" s="274"/>
      <c r="AE57" s="274"/>
      <c r="AF57" s="274"/>
      <c r="AG57" s="274"/>
      <c r="AH57" s="274"/>
      <c r="AI57" s="274"/>
      <c r="AJ57" s="274"/>
      <c r="AK57" s="274"/>
      <c r="AL57" s="274"/>
      <c r="AM57" s="274"/>
      <c r="AN57" s="274"/>
      <c r="AO57" s="274"/>
      <c r="AP57" s="274"/>
      <c r="AQ57" s="274"/>
      <c r="AR57" s="274"/>
      <c r="AS57" s="274"/>
      <c r="AT57" s="274"/>
    </row>
    <row r="58" spans="1:46" s="1" customFormat="1" ht="12.75">
      <c r="B58" s="544"/>
      <c r="C58" s="544"/>
      <c r="D58" s="544"/>
      <c r="E58" s="544"/>
      <c r="F58" s="544"/>
      <c r="G58" s="544"/>
      <c r="H58" s="544"/>
      <c r="I58" s="544"/>
      <c r="J58" s="544"/>
      <c r="K58" s="544"/>
      <c r="L58" s="544"/>
      <c r="M58" s="544"/>
      <c r="N58" s="544"/>
      <c r="O58" s="544"/>
      <c r="P58" s="544"/>
      <c r="Q58" s="544"/>
      <c r="R58" s="544"/>
      <c r="S58" s="544"/>
      <c r="T58" s="544"/>
      <c r="U58" s="544"/>
      <c r="V58" s="544"/>
      <c r="W58" s="544"/>
      <c r="X58" s="544"/>
      <c r="Y58" s="544"/>
      <c r="Z58" s="544"/>
      <c r="AA58" s="544"/>
    </row>
    <row r="59" spans="1:46" s="1" customFormat="1" ht="12.75">
      <c r="A59" s="196" t="s">
        <v>577</v>
      </c>
      <c r="B59" s="615">
        <f>B2</f>
        <v>2006</v>
      </c>
      <c r="C59" s="615">
        <f t="shared" ref="C59:T59" si="39">C2</f>
        <v>2007</v>
      </c>
      <c r="D59" s="615">
        <f t="shared" si="39"/>
        <v>2008</v>
      </c>
      <c r="E59" s="615">
        <f t="shared" si="39"/>
        <v>2009</v>
      </c>
      <c r="F59" s="615">
        <f t="shared" si="39"/>
        <v>2010</v>
      </c>
      <c r="G59" s="615">
        <f t="shared" si="39"/>
        <v>2011</v>
      </c>
      <c r="H59" s="615">
        <f t="shared" si="39"/>
        <v>2012</v>
      </c>
      <c r="I59" s="615">
        <f t="shared" si="39"/>
        <v>2013</v>
      </c>
      <c r="J59" s="615">
        <f t="shared" si="39"/>
        <v>2014</v>
      </c>
      <c r="K59" s="615">
        <f t="shared" si="39"/>
        <v>2015</v>
      </c>
      <c r="L59" s="615">
        <f t="shared" si="39"/>
        <v>2016</v>
      </c>
      <c r="M59" s="615">
        <f t="shared" si="39"/>
        <v>2017</v>
      </c>
      <c r="N59" s="615">
        <f t="shared" si="39"/>
        <v>2018</v>
      </c>
      <c r="O59" s="615">
        <f t="shared" si="39"/>
        <v>2019</v>
      </c>
      <c r="P59" s="615">
        <f t="shared" si="39"/>
        <v>2020</v>
      </c>
      <c r="Q59" s="615">
        <f t="shared" si="39"/>
        <v>2021</v>
      </c>
      <c r="R59" s="615">
        <f t="shared" si="39"/>
        <v>2022</v>
      </c>
      <c r="S59" s="615">
        <f t="shared" si="39"/>
        <v>2023</v>
      </c>
      <c r="T59" s="615">
        <f t="shared" si="39"/>
        <v>2024</v>
      </c>
      <c r="U59" s="615">
        <f>U2</f>
        <v>2025</v>
      </c>
      <c r="V59" s="532">
        <f t="shared" ref="V59:Z59" si="40">V2</f>
        <v>2026</v>
      </c>
      <c r="W59" s="532">
        <f t="shared" si="40"/>
        <v>2027</v>
      </c>
      <c r="X59" s="532">
        <f t="shared" si="40"/>
        <v>2028</v>
      </c>
      <c r="Y59" s="532">
        <f t="shared" si="40"/>
        <v>2029</v>
      </c>
      <c r="Z59" s="532">
        <f t="shared" si="40"/>
        <v>2030</v>
      </c>
      <c r="AA59" s="532">
        <f t="shared" ref="AA59" si="41">AA2</f>
        <v>2031</v>
      </c>
    </row>
    <row r="60" spans="1:46" s="1" customFormat="1" ht="12.75">
      <c r="A60" s="1" t="s">
        <v>46</v>
      </c>
      <c r="B60" s="544">
        <f>'Balance Sheet'!B25</f>
        <v>8143</v>
      </c>
      <c r="C60" s="544">
        <f>'Balance Sheet'!C25</f>
        <v>7549</v>
      </c>
      <c r="D60" s="544">
        <f>'Balance Sheet'!D25</f>
        <v>6745</v>
      </c>
      <c r="E60" s="544">
        <f>'Balance Sheet'!E25</f>
        <v>7038</v>
      </c>
      <c r="F60" s="544">
        <f>'Balance Sheet'!F25</f>
        <v>5030</v>
      </c>
      <c r="G60" s="544">
        <f>'Balance Sheet'!G25</f>
        <v>5284</v>
      </c>
      <c r="H60" s="544">
        <f>'Balance Sheet'!H25</f>
        <v>8756</v>
      </c>
      <c r="I60" s="544">
        <f>'Balance Sheet'!I25</f>
        <v>7765</v>
      </c>
      <c r="J60" s="544">
        <f>'Balance Sheet'!J25</f>
        <v>7271</v>
      </c>
      <c r="K60" s="544">
        <f>'Balance Sheet'!K25</f>
        <v>7489</v>
      </c>
      <c r="L60" s="544">
        <f>'Balance Sheet'!L25</f>
        <v>10160</v>
      </c>
      <c r="M60" s="544">
        <f>'Balance Sheet'!M25</f>
        <v>12021</v>
      </c>
      <c r="N60" s="544">
        <f>'Balance Sheet'!N25</f>
        <v>9428</v>
      </c>
      <c r="O60" s="544">
        <f>'Balance Sheet'!O25</f>
        <v>9314</v>
      </c>
      <c r="P60" s="544">
        <f>'Balance Sheet'!P25</f>
        <v>14439</v>
      </c>
      <c r="Q60" s="544">
        <f>'Balance Sheet'!Q25</f>
        <v>14572</v>
      </c>
      <c r="R60" s="544">
        <f>'Balance Sheet'!R25</f>
        <v>15823</v>
      </c>
      <c r="S60" s="544">
        <f>'Balance Sheet'!S25</f>
        <v>16469</v>
      </c>
      <c r="T60" s="544">
        <f>'Balance Sheet'!T25</f>
        <v>15003</v>
      </c>
      <c r="U60" s="544">
        <f>'Balance Sheet'!U25</f>
        <v>14128</v>
      </c>
      <c r="V60" s="544">
        <f>'Balance Sheet'!V25</f>
        <v>14956.33719487746</v>
      </c>
      <c r="W60" s="544">
        <f>'Balance Sheet'!W25</f>
        <v>16708.149157413347</v>
      </c>
      <c r="X60" s="544">
        <f>'Balance Sheet'!X25</f>
        <v>19754.530385746657</v>
      </c>
      <c r="Y60" s="544">
        <f>'Balance Sheet'!Y25</f>
        <v>26005.194225202329</v>
      </c>
      <c r="Z60" s="544">
        <f>'Balance Sheet'!Z25</f>
        <v>32682.677904546021</v>
      </c>
      <c r="AA60" s="544">
        <f>'Balance Sheet'!AA25</f>
        <v>37547.224953518686</v>
      </c>
    </row>
    <row r="61" spans="1:46" s="1" customFormat="1" ht="12.75">
      <c r="A61" s="1" t="s">
        <v>45</v>
      </c>
      <c r="B61" s="544">
        <f>'Balance Sheet'!B24</f>
        <v>549</v>
      </c>
      <c r="C61" s="544">
        <f>'Balance Sheet'!C24</f>
        <v>1598</v>
      </c>
      <c r="D61" s="544">
        <f>'Balance Sheet'!D24</f>
        <v>3912</v>
      </c>
      <c r="E61" s="544">
        <f>'Balance Sheet'!E24</f>
        <v>4072</v>
      </c>
      <c r="F61" s="544">
        <f>'Balance Sheet'!F24</f>
        <v>5834</v>
      </c>
      <c r="G61" s="544">
        <f>'Balance Sheet'!G24</f>
        <v>4272</v>
      </c>
      <c r="H61" s="544">
        <f>'Balance Sheet'!H24</f>
        <v>2328</v>
      </c>
      <c r="I61" s="544">
        <f>'Balance Sheet'!I24</f>
        <v>2590</v>
      </c>
      <c r="J61" s="544">
        <f>'Balance Sheet'!J24</f>
        <v>3183</v>
      </c>
      <c r="K61" s="544">
        <f>'Balance Sheet'!K24</f>
        <v>1788</v>
      </c>
      <c r="L61" s="544">
        <f>'Balance Sheet'!L24</f>
        <v>1551</v>
      </c>
      <c r="M61" s="544">
        <f>'Balance Sheet'!M24</f>
        <v>1627</v>
      </c>
      <c r="N61" s="544">
        <f>'Balance Sheet'!N24</f>
        <v>2132</v>
      </c>
      <c r="O61" s="544">
        <f>'Balance Sheet'!O24</f>
        <v>2302</v>
      </c>
      <c r="P61" s="544">
        <f>'Balance Sheet'!P24</f>
        <v>1618</v>
      </c>
      <c r="Q61" s="544">
        <f>'Balance Sheet'!Q24</f>
        <v>1317</v>
      </c>
      <c r="R61" s="544">
        <f>'Balance Sheet'!R24</f>
        <v>1762</v>
      </c>
      <c r="S61" s="544">
        <f>'Balance Sheet'!S24</f>
        <v>1301</v>
      </c>
      <c r="T61" s="544">
        <f>'Balance Sheet'!T24</f>
        <v>2829</v>
      </c>
      <c r="U61" s="544">
        <f>'Balance Sheet'!U24</f>
        <v>3093</v>
      </c>
      <c r="V61" s="544">
        <f>'Balance Sheet'!V24</f>
        <v>3093</v>
      </c>
      <c r="W61" s="544">
        <f>'Balance Sheet'!W24</f>
        <v>3093</v>
      </c>
      <c r="X61" s="544">
        <f>'Balance Sheet'!X24</f>
        <v>3093</v>
      </c>
      <c r="Y61" s="544">
        <f>'Balance Sheet'!Y24</f>
        <v>3093</v>
      </c>
      <c r="Z61" s="544">
        <f>'Balance Sheet'!Z24</f>
        <v>3093</v>
      </c>
      <c r="AA61" s="544">
        <f>'Balance Sheet'!AA24</f>
        <v>3093</v>
      </c>
    </row>
    <row r="62" spans="1:46" s="1" customFormat="1" ht="12.75">
      <c r="A62" s="1" t="s">
        <v>44</v>
      </c>
      <c r="B62" s="544">
        <f>'Balance Sheet'!B12</f>
        <v>1294</v>
      </c>
      <c r="C62" s="544">
        <f>'Balance Sheet'!C12</f>
        <v>2691</v>
      </c>
      <c r="D62" s="544">
        <f>'Balance Sheet'!D12</f>
        <v>3040</v>
      </c>
      <c r="E62" s="544">
        <f>'Balance Sheet'!E12</f>
        <v>3983</v>
      </c>
      <c r="F62" s="544">
        <f>'Balance Sheet'!F12</f>
        <v>5332</v>
      </c>
      <c r="G62" s="544">
        <f>'Balance Sheet'!G12</f>
        <v>7229</v>
      </c>
      <c r="H62" s="544">
        <f>'Balance Sheet'!H12</f>
        <v>5987</v>
      </c>
      <c r="I62" s="544">
        <f>'Balance Sheet'!I12</f>
        <v>4300</v>
      </c>
      <c r="J62" s="544">
        <f>'Balance Sheet'!J12</f>
        <v>5989</v>
      </c>
      <c r="K62" s="544">
        <f>'Balance Sheet'!K12</f>
        <v>9851</v>
      </c>
      <c r="L62" s="544">
        <f>'Balance Sheet'!L12</f>
        <v>9897</v>
      </c>
      <c r="M62" s="544">
        <f>'Balance Sheet'!M12</f>
        <v>10944</v>
      </c>
      <c r="N62" s="544">
        <f>'Balance Sheet'!N12</f>
        <v>10662</v>
      </c>
      <c r="O62" s="544">
        <f>'Balance Sheet'!O12</f>
        <v>11066</v>
      </c>
      <c r="P62" s="544">
        <f>'Balance Sheet'!P12</f>
        <v>5350</v>
      </c>
      <c r="Q62" s="544">
        <f>'Balance Sheet'!Q12</f>
        <v>6794</v>
      </c>
      <c r="R62" s="544">
        <f>'Balance Sheet'!R12</f>
        <v>6013</v>
      </c>
      <c r="S62" s="544">
        <f>'Balance Sheet'!S12</f>
        <v>7508</v>
      </c>
      <c r="T62" s="544">
        <f>'Balance Sheet'!T12</f>
        <v>9032</v>
      </c>
      <c r="U62" s="544">
        <f>'Balance Sheet'!U12</f>
        <v>9997</v>
      </c>
      <c r="V62" s="544">
        <f>'Balance Sheet'!V12</f>
        <v>9997</v>
      </c>
      <c r="W62" s="544">
        <f>'Balance Sheet'!W12</f>
        <v>9997</v>
      </c>
      <c r="X62" s="544">
        <f>'Balance Sheet'!X12</f>
        <v>9997</v>
      </c>
      <c r="Y62" s="544">
        <f>'Balance Sheet'!Y12</f>
        <v>9997</v>
      </c>
      <c r="Z62" s="544">
        <f>'Balance Sheet'!Z12</f>
        <v>9997</v>
      </c>
      <c r="AA62" s="544">
        <f>'Balance Sheet'!AA12</f>
        <v>9997</v>
      </c>
    </row>
    <row r="63" spans="1:46" s="1" customFormat="1" ht="12.75">
      <c r="A63" s="1" t="s">
        <v>43</v>
      </c>
      <c r="B63" s="544">
        <f>'Balance Sheet'!B39</f>
        <v>-2196</v>
      </c>
      <c r="C63" s="544">
        <f>'Balance Sheet'!C39</f>
        <v>-1724</v>
      </c>
      <c r="D63" s="544">
        <f>'Balance Sheet'!D39</f>
        <v>-1458</v>
      </c>
      <c r="E63" s="544">
        <f>'Balance Sheet'!E39</f>
        <v>-2429</v>
      </c>
      <c r="F63" s="544">
        <f>'Balance Sheet'!F39</f>
        <v>-1408</v>
      </c>
      <c r="G63" s="544">
        <f>'Balance Sheet'!G39</f>
        <v>-1476</v>
      </c>
      <c r="H63" s="544">
        <f>'Balance Sheet'!H39</f>
        <v>-1273</v>
      </c>
      <c r="I63" s="544">
        <f>'Balance Sheet'!I39</f>
        <v>-1645</v>
      </c>
      <c r="J63" s="544">
        <f>'Balance Sheet'!J39</f>
        <v>-1073</v>
      </c>
      <c r="K63" s="544">
        <f>'Balance Sheet'!K39</f>
        <v>-2790</v>
      </c>
      <c r="L63" s="544">
        <f>'Balance Sheet'!L39</f>
        <v>-1687</v>
      </c>
      <c r="M63" s="544">
        <f>'Balance Sheet'!M39</f>
        <v>-2212</v>
      </c>
      <c r="N63" s="544">
        <f>'Balance Sheet'!N39</f>
        <v>-1463</v>
      </c>
      <c r="O63" s="544">
        <f>'Balance Sheet'!O39</f>
        <v>-1959</v>
      </c>
      <c r="P63" s="544">
        <f>'Balance Sheet'!P39</f>
        <v>-3013</v>
      </c>
      <c r="Q63" s="544">
        <f>'Balance Sheet'!Q39</f>
        <v>-1946</v>
      </c>
      <c r="R63" s="544">
        <f>'Balance Sheet'!R39</f>
        <v>-2142</v>
      </c>
      <c r="S63" s="544">
        <f>'Balance Sheet'!S39</f>
        <v>-3389</v>
      </c>
      <c r="T63" s="544">
        <f>'Balance Sheet'!T39</f>
        <v>-3924</v>
      </c>
      <c r="U63" s="544">
        <f>'Balance Sheet'!U39</f>
        <v>-5186</v>
      </c>
      <c r="V63" s="544">
        <f>'Balance Sheet'!V39</f>
        <v>-5186</v>
      </c>
      <c r="W63" s="544">
        <f>'Balance Sheet'!W39</f>
        <v>-5186</v>
      </c>
      <c r="X63" s="544">
        <f>'Balance Sheet'!X39</f>
        <v>-5186</v>
      </c>
      <c r="Y63" s="544">
        <f>'Balance Sheet'!Y39</f>
        <v>-5186</v>
      </c>
      <c r="Z63" s="544">
        <f>'Balance Sheet'!Z39</f>
        <v>-5186</v>
      </c>
      <c r="AA63" s="544">
        <f>'Balance Sheet'!AA39</f>
        <v>-5186</v>
      </c>
    </row>
    <row r="64" spans="1:46" s="1" customFormat="1" ht="12.75">
      <c r="A64" s="1" t="s">
        <v>42</v>
      </c>
      <c r="B64" s="544">
        <f>'Balance Sheet'!B30</f>
        <v>-3561</v>
      </c>
      <c r="C64" s="544">
        <f>'Balance Sheet'!C30</f>
        <v>-3090</v>
      </c>
      <c r="D64" s="544">
        <f>'Balance Sheet'!D30</f>
        <v>-3046</v>
      </c>
      <c r="E64" s="544">
        <f>'Balance Sheet'!E30</f>
        <v>-2867</v>
      </c>
      <c r="F64" s="544">
        <f>'Balance Sheet'!F30</f>
        <v>-2870</v>
      </c>
      <c r="G64" s="544">
        <f>'Balance Sheet'!G30</f>
        <v>-3628</v>
      </c>
      <c r="H64" s="544">
        <f>'Balance Sheet'!H30</f>
        <v>-3506</v>
      </c>
      <c r="I64" s="544">
        <f>'Balance Sheet'!I30</f>
        <v>-3956</v>
      </c>
      <c r="J64" s="544">
        <f>'Balance Sheet'!J30</f>
        <v>-6278</v>
      </c>
      <c r="K64" s="544">
        <f>'Balance Sheet'!K30</f>
        <v>-6335</v>
      </c>
      <c r="L64" s="544">
        <f>'Balance Sheet'!L30</f>
        <v>-8791</v>
      </c>
      <c r="M64" s="544">
        <f>'Balance Sheet'!M30</f>
        <v>-8984</v>
      </c>
      <c r="N64" s="544">
        <f>'Balance Sheet'!N30</f>
        <v>-7463</v>
      </c>
      <c r="O64" s="544">
        <f>'Balance Sheet'!O30</f>
        <v>-8189</v>
      </c>
      <c r="P64" s="544">
        <f>'Balance Sheet'!P30</f>
        <v>-14082</v>
      </c>
      <c r="Q64" s="544">
        <f>'Balance Sheet'!Q30</f>
        <v>-13094</v>
      </c>
      <c r="R64" s="544">
        <f>'Balance Sheet'!R30</f>
        <v>-10631</v>
      </c>
      <c r="S64" s="544">
        <f>'Balance Sheet'!S30</f>
        <v>-10202</v>
      </c>
      <c r="T64" s="544">
        <f>'Balance Sheet'!T30</f>
        <v>-10355</v>
      </c>
      <c r="U64" s="544">
        <f>'Balance Sheet'!U30</f>
        <v>-9063</v>
      </c>
      <c r="V64" s="544">
        <f>'Balance Sheet'!V30</f>
        <v>-8613</v>
      </c>
      <c r="W64" s="544">
        <f>'Balance Sheet'!W30</f>
        <v>-8341</v>
      </c>
      <c r="X64" s="544">
        <f>'Balance Sheet'!X30</f>
        <v>-8069</v>
      </c>
      <c r="Y64" s="544">
        <f>'Balance Sheet'!Y30</f>
        <v>-7797</v>
      </c>
      <c r="Z64" s="544">
        <f>'Balance Sheet'!Z30</f>
        <v>-7525</v>
      </c>
      <c r="AA64" s="544">
        <f>'Balance Sheet'!AA30</f>
        <v>-7253</v>
      </c>
    </row>
    <row r="65" spans="1:27" s="1" customFormat="1" ht="12.75">
      <c r="A65" s="12" t="s">
        <v>612</v>
      </c>
      <c r="B65" s="599">
        <f>SUM(B60:B64)</f>
        <v>4229</v>
      </c>
      <c r="C65" s="599">
        <f t="shared" ref="C65:P65" si="42">SUM(C60:C64)</f>
        <v>7024</v>
      </c>
      <c r="D65" s="599">
        <f t="shared" si="42"/>
        <v>9193</v>
      </c>
      <c r="E65" s="599">
        <f t="shared" si="42"/>
        <v>9797</v>
      </c>
      <c r="F65" s="599">
        <f t="shared" si="42"/>
        <v>11918</v>
      </c>
      <c r="G65" s="599">
        <f t="shared" si="42"/>
        <v>11681</v>
      </c>
      <c r="H65" s="599">
        <f t="shared" si="42"/>
        <v>12292</v>
      </c>
      <c r="I65" s="599">
        <f t="shared" si="42"/>
        <v>9054</v>
      </c>
      <c r="J65" s="599">
        <f t="shared" si="42"/>
        <v>9092</v>
      </c>
      <c r="K65" s="599">
        <f t="shared" si="42"/>
        <v>10003</v>
      </c>
      <c r="L65" s="599">
        <f t="shared" si="42"/>
        <v>11130</v>
      </c>
      <c r="M65" s="599">
        <f t="shared" si="42"/>
        <v>13396</v>
      </c>
      <c r="N65" s="599">
        <f t="shared" si="42"/>
        <v>13296</v>
      </c>
      <c r="O65" s="599">
        <f t="shared" si="42"/>
        <v>12534</v>
      </c>
      <c r="P65" s="599">
        <f t="shared" si="42"/>
        <v>4312</v>
      </c>
      <c r="Q65" s="599">
        <f>SUM(Q60:Q64)+97</f>
        <v>7740</v>
      </c>
      <c r="R65" s="599">
        <f>SUM(R60:R64)-1394</f>
        <v>9431</v>
      </c>
      <c r="S65" s="599">
        <f>SUM(S60:S64)-961</f>
        <v>10726</v>
      </c>
      <c r="T65" s="599">
        <f>SUM(T60:T64)-832</f>
        <v>11753</v>
      </c>
      <c r="U65" s="599">
        <f>SUM(U60:U64)-798</f>
        <v>12171</v>
      </c>
      <c r="V65" s="599">
        <f t="shared" ref="V65:Y65" si="43">SUM(V60:V64)</f>
        <v>14247.337194877458</v>
      </c>
      <c r="W65" s="599">
        <f t="shared" si="43"/>
        <v>16271.149157413347</v>
      </c>
      <c r="X65" s="599">
        <f t="shared" si="43"/>
        <v>19589.530385746657</v>
      </c>
      <c r="Y65" s="599">
        <f t="shared" si="43"/>
        <v>26112.194225202329</v>
      </c>
      <c r="Z65" s="599">
        <f>SUM(Z60:Z64)</f>
        <v>33061.677904546021</v>
      </c>
      <c r="AA65" s="599">
        <f>SUM(AA60:AA64)</f>
        <v>38198.224953518686</v>
      </c>
    </row>
    <row r="66" spans="1:27" s="1" customFormat="1" ht="12.75">
      <c r="B66" s="271"/>
      <c r="C66" s="271"/>
      <c r="D66" s="271"/>
      <c r="E66" s="271"/>
      <c r="F66" s="271"/>
      <c r="G66" s="271"/>
      <c r="H66" s="271"/>
      <c r="I66" s="271"/>
      <c r="J66" s="271"/>
      <c r="K66" s="271"/>
      <c r="L66" s="271"/>
      <c r="M66" s="271"/>
      <c r="N66" s="271"/>
      <c r="O66" s="544"/>
      <c r="P66" s="544"/>
      <c r="Q66" s="544"/>
      <c r="R66" s="544"/>
      <c r="S66" s="544"/>
      <c r="T66" s="544"/>
      <c r="U66" s="544"/>
      <c r="V66" s="544"/>
      <c r="W66" s="544"/>
      <c r="X66" s="544"/>
      <c r="Y66" s="544"/>
      <c r="Z66" s="544"/>
      <c r="AA66" s="544"/>
    </row>
    <row r="67" spans="1:27" s="1" customFormat="1" ht="12.75">
      <c r="A67" s="1" t="s">
        <v>12</v>
      </c>
      <c r="B67" s="553">
        <f>'Income Statement'!B76+'Cash Flow Statement'!B12+'Cash Flow Statement'!B14</f>
        <v>1969</v>
      </c>
      <c r="C67" s="553">
        <f>'Income Statement'!C76+'Cash Flow Statement'!C12+'Cash Flow Statement'!C14</f>
        <v>1739</v>
      </c>
      <c r="D67" s="553">
        <f>'Income Statement'!D76+'Cash Flow Statement'!D12+'Cash Flow Statement'!D14</f>
        <v>4439</v>
      </c>
      <c r="E67" s="553">
        <f>'Income Statement'!E76+'Cash Flow Statement'!E12+'Cash Flow Statement'!E14</f>
        <v>1446</v>
      </c>
      <c r="F67" s="553">
        <f>'Income Statement'!F76+'Cash Flow Statement'!F12+'Cash Flow Statement'!F14</f>
        <v>2769</v>
      </c>
      <c r="G67" s="553">
        <f>'Income Statement'!G76+'Cash Flow Statement'!G12+'Cash Flow Statement'!G14</f>
        <v>3497</v>
      </c>
      <c r="H67" s="553">
        <f>'Income Statement'!H76+'Cash Flow Statement'!H12+'Cash Flow Statement'!H14</f>
        <v>4142</v>
      </c>
      <c r="I67" s="553">
        <f>'Income Statement'!I76+'Cash Flow Statement'!I12+'Cash Flow Statement'!I14</f>
        <v>8135</v>
      </c>
      <c r="J67" s="553">
        <f>'Income Statement'!J76+'Cash Flow Statement'!J12+'Cash Flow Statement'!J14</f>
        <v>6141</v>
      </c>
      <c r="K67" s="553">
        <f>'Income Statement'!K76+'Cash Flow Statement'!K12+'Cash Flow Statement'!K14</f>
        <v>6528</v>
      </c>
      <c r="L67" s="553">
        <f>'Income Statement'!L76+'Cash Flow Statement'!L12+'Cash Flow Statement'!L14</f>
        <v>4552</v>
      </c>
      <c r="M67" s="553">
        <f>'Income Statement'!M76+'Cash Flow Statement'!M12+'Cash Flow Statement'!M14</f>
        <v>5719</v>
      </c>
      <c r="N67" s="553">
        <f>'Income Statement'!N76+'Cash Flow Statement'!N12+'Cash Flow Statement'!N14</f>
        <v>7492</v>
      </c>
      <c r="O67" s="544">
        <f>'Income Statement'!O76+'Cash Flow Statement'!O12+'Cash Flow Statement'!O14</f>
        <v>4266</v>
      </c>
      <c r="P67" s="544">
        <f>'Income Statement'!P76+'Cash Flow Statement'!P12+'Cash Flow Statement'!P14</f>
        <v>2321</v>
      </c>
      <c r="Q67" s="544">
        <f>'Income Statement'!Q76+'Cash Flow Statement'!Q12+'Cash Flow Statement'!Q14</f>
        <v>7667</v>
      </c>
      <c r="R67" s="544">
        <f>'Income Statement'!R76+'Cash Flow Statement'!R12+'Cash Flow Statement'!R14</f>
        <v>8041</v>
      </c>
      <c r="S67" s="544">
        <f>'Income Statement'!S76+'Cash Flow Statement'!S12+'Cash Flow Statement'!S14</f>
        <v>6845</v>
      </c>
      <c r="T67" s="544">
        <f>'Income Statement'!T76+'Cash Flow Statement'!T12+'Cash Flow Statement'!T14</f>
        <v>8157</v>
      </c>
      <c r="U67" s="544">
        <f>'Income Statement'!U76+'Cash Flow Statement'!U12+'Cash Flow Statement'!U14</f>
        <v>9215</v>
      </c>
      <c r="V67" s="544">
        <f>'Income Statement'!V76+'Cash Flow Statement'!V12+'Cash Flow Statement'!V14</f>
        <v>10824.172465934091</v>
      </c>
      <c r="W67" s="544">
        <f>'Income Statement'!W76+'Cash Flow Statement'!W12+'Cash Flow Statement'!W14</f>
        <v>12751.028496319967</v>
      </c>
      <c r="X67" s="544">
        <f>'Income Statement'!X76+'Cash Flow Statement'!X12+'Cash Flow Statement'!X14</f>
        <v>14655.944498917132</v>
      </c>
      <c r="Y67" s="544">
        <f>'Income Statement'!Y76+'Cash Flow Statement'!Y12+'Cash Flow Statement'!Y14</f>
        <v>16679.269034987712</v>
      </c>
      <c r="Z67" s="544">
        <f>'Income Statement'!Z76+'Cash Flow Statement'!Z12+'Cash Flow Statement'!Z14</f>
        <v>17825.030859578084</v>
      </c>
      <c r="AA67" s="544">
        <f>'Income Statement'!AA76+'Cash Flow Statement'!AB12+'Cash Flow Statement'!AB14</f>
        <v>14752.724686371123</v>
      </c>
    </row>
    <row r="68" spans="1:27" s="1" customFormat="1" ht="12.75">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c r="AA68" s="271"/>
    </row>
    <row r="69" spans="1:27" s="1" customFormat="1" ht="12.75">
      <c r="A69" s="1" t="s">
        <v>74</v>
      </c>
      <c r="B69" s="577">
        <f>B65/B67</f>
        <v>2.1477907567293042</v>
      </c>
      <c r="C69" s="577">
        <f t="shared" ref="C69:P69" si="44">C65/C67</f>
        <v>4.0391029327199544</v>
      </c>
      <c r="D69" s="577">
        <f t="shared" si="44"/>
        <v>2.0709619283622436</v>
      </c>
      <c r="E69" s="577">
        <f t="shared" si="44"/>
        <v>6.7752420470262793</v>
      </c>
      <c r="F69" s="577">
        <f t="shared" si="44"/>
        <v>4.3040808956301913</v>
      </c>
      <c r="G69" s="577">
        <f t="shared" si="44"/>
        <v>3.3402916785816412</v>
      </c>
      <c r="H69" s="577">
        <f t="shared" si="44"/>
        <v>2.9676484789956543</v>
      </c>
      <c r="I69" s="577">
        <f t="shared" si="44"/>
        <v>1.1129686539643515</v>
      </c>
      <c r="J69" s="577">
        <f t="shared" si="44"/>
        <v>1.4805406285621234</v>
      </c>
      <c r="K69" s="577">
        <f t="shared" si="44"/>
        <v>1.5323223039215685</v>
      </c>
      <c r="L69" s="577">
        <f t="shared" si="44"/>
        <v>2.4450790861159928</v>
      </c>
      <c r="M69" s="577">
        <f t="shared" si="44"/>
        <v>2.3423675467739113</v>
      </c>
      <c r="N69" s="577">
        <f t="shared" si="44"/>
        <v>1.7746930058729311</v>
      </c>
      <c r="O69" s="577">
        <f t="shared" si="44"/>
        <v>2.938115330520394</v>
      </c>
      <c r="P69" s="577">
        <f t="shared" si="44"/>
        <v>1.8578199052132702</v>
      </c>
      <c r="Q69" s="577">
        <f>Q65/Q67</f>
        <v>1.0095213251597757</v>
      </c>
      <c r="R69" s="577">
        <f t="shared" ref="R69:Z69" si="45">R65/R67</f>
        <v>1.1728640716328815</v>
      </c>
      <c r="S69" s="577">
        <f t="shared" si="45"/>
        <v>1.5669831994156318</v>
      </c>
      <c r="T69" s="577">
        <f t="shared" si="45"/>
        <v>1.4408483511094765</v>
      </c>
      <c r="U69" s="577">
        <f t="shared" si="45"/>
        <v>1.3207813347802495</v>
      </c>
      <c r="V69" s="577">
        <f t="shared" si="45"/>
        <v>1.3162518649547368</v>
      </c>
      <c r="W69" s="577">
        <f t="shared" si="45"/>
        <v>1.2760656257735845</v>
      </c>
      <c r="X69" s="577">
        <f t="shared" si="45"/>
        <v>1.3366269493715706</v>
      </c>
      <c r="Y69" s="577">
        <f t="shared" si="45"/>
        <v>1.565547876854039</v>
      </c>
      <c r="Z69" s="577">
        <f t="shared" si="45"/>
        <v>1.8547893782063605</v>
      </c>
      <c r="AA69" s="577">
        <f t="shared" ref="AA69" si="46">AA65/AA67</f>
        <v>2.5892318717780323</v>
      </c>
    </row>
    <row r="70" spans="1:27" s="1" customFormat="1" ht="12.75">
      <c r="B70" s="577"/>
      <c r="C70" s="577"/>
      <c r="D70" s="577"/>
      <c r="E70" s="577"/>
      <c r="F70" s="577"/>
      <c r="G70" s="577"/>
      <c r="H70" s="577"/>
      <c r="I70" s="577"/>
      <c r="J70" s="577"/>
      <c r="K70" s="577"/>
      <c r="L70" s="577"/>
      <c r="M70" s="577"/>
      <c r="N70" s="577"/>
      <c r="O70" s="577"/>
      <c r="P70" s="577"/>
      <c r="Q70" s="577"/>
      <c r="R70" s="577"/>
      <c r="S70" s="577"/>
      <c r="T70" s="577"/>
      <c r="U70" s="577"/>
      <c r="V70" s="577"/>
      <c r="W70" s="577"/>
      <c r="X70" s="577"/>
      <c r="Y70" s="577"/>
      <c r="Z70" s="577"/>
      <c r="AA70" s="577"/>
    </row>
    <row r="71" spans="1:27" s="1" customFormat="1" ht="12.75">
      <c r="A71" s="196" t="s">
        <v>601</v>
      </c>
      <c r="B71" s="615">
        <f>B2</f>
        <v>2006</v>
      </c>
      <c r="C71" s="615">
        <f t="shared" ref="C71:T71" si="47">C2</f>
        <v>2007</v>
      </c>
      <c r="D71" s="615">
        <f t="shared" si="47"/>
        <v>2008</v>
      </c>
      <c r="E71" s="615">
        <f t="shared" si="47"/>
        <v>2009</v>
      </c>
      <c r="F71" s="615">
        <f t="shared" si="47"/>
        <v>2010</v>
      </c>
      <c r="G71" s="615">
        <f t="shared" si="47"/>
        <v>2011</v>
      </c>
      <c r="H71" s="615">
        <f t="shared" si="47"/>
        <v>2012</v>
      </c>
      <c r="I71" s="615">
        <f t="shared" si="47"/>
        <v>2013</v>
      </c>
      <c r="J71" s="615">
        <f t="shared" si="47"/>
        <v>2014</v>
      </c>
      <c r="K71" s="615">
        <f t="shared" si="47"/>
        <v>2015</v>
      </c>
      <c r="L71" s="615">
        <f t="shared" si="47"/>
        <v>2016</v>
      </c>
      <c r="M71" s="615">
        <f t="shared" si="47"/>
        <v>2017</v>
      </c>
      <c r="N71" s="615">
        <f t="shared" si="47"/>
        <v>2018</v>
      </c>
      <c r="O71" s="615">
        <f t="shared" si="47"/>
        <v>2019</v>
      </c>
      <c r="P71" s="615">
        <f t="shared" si="47"/>
        <v>2020</v>
      </c>
      <c r="Q71" s="615">
        <f t="shared" si="47"/>
        <v>2021</v>
      </c>
      <c r="R71" s="615">
        <f t="shared" si="47"/>
        <v>2022</v>
      </c>
      <c r="S71" s="615">
        <f t="shared" si="47"/>
        <v>2023</v>
      </c>
      <c r="T71" s="615">
        <f t="shared" si="47"/>
        <v>2024</v>
      </c>
      <c r="U71" s="615">
        <f>U2</f>
        <v>2025</v>
      </c>
      <c r="V71" s="532">
        <f t="shared" ref="V71:Z71" si="48">V2</f>
        <v>2026</v>
      </c>
      <c r="W71" s="532">
        <f t="shared" si="48"/>
        <v>2027</v>
      </c>
      <c r="X71" s="532">
        <f t="shared" si="48"/>
        <v>2028</v>
      </c>
      <c r="Y71" s="532">
        <f t="shared" si="48"/>
        <v>2029</v>
      </c>
      <c r="Z71" s="532">
        <f t="shared" si="48"/>
        <v>2030</v>
      </c>
      <c r="AA71" s="532">
        <f t="shared" ref="AA71" si="49">AA2</f>
        <v>2031</v>
      </c>
    </row>
    <row r="72" spans="1:27" s="1" customFormat="1" ht="12.75">
      <c r="A72" s="1" t="s">
        <v>602</v>
      </c>
      <c r="B72" s="544"/>
      <c r="C72" s="544"/>
      <c r="D72" s="544"/>
      <c r="E72" s="544"/>
      <c r="F72" s="544"/>
      <c r="G72" s="544"/>
      <c r="H72" s="544"/>
      <c r="I72" s="544"/>
      <c r="J72" s="544">
        <f>'Income Statement'!J93</f>
        <v>3629</v>
      </c>
      <c r="K72" s="544">
        <f>'Income Statement'!K93</f>
        <v>3639</v>
      </c>
      <c r="L72" s="544">
        <f>'Income Statement'!L93</f>
        <v>3615</v>
      </c>
      <c r="M72" s="544">
        <f>'Income Statement'!M93</f>
        <v>3876</v>
      </c>
      <c r="N72" s="544">
        <f>'Income Statement'!N93</f>
        <v>5558</v>
      </c>
      <c r="O72" s="544">
        <f>'Income Statement'!O93</f>
        <v>6789</v>
      </c>
      <c r="P72" s="544">
        <f>'Income Statement'!P93</f>
        <v>1410</v>
      </c>
      <c r="Q72" s="544">
        <f>'Income Statement'!Q93</f>
        <v>4600</v>
      </c>
      <c r="R72" s="544">
        <f>'Income Statement'!R93</f>
        <v>5403</v>
      </c>
      <c r="S72" s="544">
        <f>'Income Statement'!S93</f>
        <v>5810</v>
      </c>
      <c r="T72" s="544">
        <f>'Income Statement'!T93</f>
        <v>5257</v>
      </c>
      <c r="U72" s="544">
        <f>'Income Statement'!U93</f>
        <v>7090</v>
      </c>
      <c r="V72" s="544">
        <f>'Income Statement'!V93</f>
        <v>7521.5623301407486</v>
      </c>
      <c r="W72" s="544">
        <f>'Income Statement'!W93</f>
        <v>9264.4789206691094</v>
      </c>
      <c r="X72" s="544">
        <f>'Income Statement'!X93</f>
        <v>11646.303050959792</v>
      </c>
      <c r="Y72" s="544">
        <f>'Income Statement'!Y93</f>
        <v>13415.351142586844</v>
      </c>
      <c r="Z72" s="544">
        <f>'Income Statement'!Z93</f>
        <v>14583.384326382335</v>
      </c>
      <c r="AA72" s="544">
        <f>'Income Statement'!AA93</f>
        <v>15506.198124648417</v>
      </c>
    </row>
    <row r="73" spans="1:27" s="1" customFormat="1" ht="12.75">
      <c r="A73" s="1" t="s">
        <v>603</v>
      </c>
      <c r="B73" s="544"/>
      <c r="C73" s="544"/>
      <c r="D73" s="544"/>
      <c r="E73" s="544"/>
      <c r="F73" s="544"/>
      <c r="G73" s="544"/>
      <c r="H73" s="544"/>
      <c r="I73" s="544"/>
      <c r="J73" s="544">
        <f>'Income Statement'!J95</f>
        <v>-988</v>
      </c>
      <c r="K73" s="544">
        <f>'Income Statement'!K95</f>
        <v>-975</v>
      </c>
      <c r="L73" s="544">
        <f>'Income Statement'!L95</f>
        <v>-1048</v>
      </c>
      <c r="M73" s="544">
        <f>'Income Statement'!M95</f>
        <v>-1276.7</v>
      </c>
      <c r="N73" s="544">
        <f>'Income Statement'!N95</f>
        <v>-1556</v>
      </c>
      <c r="O73" s="544">
        <f>'Income Statement'!O95</f>
        <v>-2037</v>
      </c>
      <c r="P73" s="544">
        <f>'Income Statement'!P95</f>
        <v>-381</v>
      </c>
      <c r="Q73" s="544">
        <f>'Income Statement'!Q95</f>
        <v>-1242</v>
      </c>
      <c r="R73" s="544">
        <f>'Income Statement'!R95</f>
        <v>-1459</v>
      </c>
      <c r="S73" s="544">
        <f>'Income Statement'!S95</f>
        <v>-1569</v>
      </c>
      <c r="T73" s="544">
        <f>'Income Statement'!T95</f>
        <v>-1419</v>
      </c>
      <c r="U73" s="544">
        <f>'Income Statement'!U95</f>
        <v>-1914</v>
      </c>
      <c r="V73" s="544">
        <f>'Income Statement'!V95</f>
        <v>-2030.5035683906053</v>
      </c>
      <c r="W73" s="544">
        <f>'Income Statement'!W95</f>
        <v>-2501.0172995995308</v>
      </c>
      <c r="X73" s="544">
        <f>'Income Statement'!X95</f>
        <v>-3144.009032374759</v>
      </c>
      <c r="Y73" s="544">
        <f>'Income Statement'!Y95</f>
        <v>-3621.5771631750658</v>
      </c>
      <c r="Z73" s="544">
        <f>'Income Statement'!Z95</f>
        <v>-3936.8966996750055</v>
      </c>
      <c r="AA73" s="544">
        <f>'Income Statement'!AA95</f>
        <v>-4186.0173780785708</v>
      </c>
    </row>
    <row r="74" spans="1:27" s="1" customFormat="1" ht="12.75">
      <c r="A74" s="12" t="s">
        <v>604</v>
      </c>
      <c r="B74" s="544"/>
      <c r="C74" s="544"/>
      <c r="D74" s="544"/>
      <c r="E74" s="544"/>
      <c r="F74" s="544"/>
      <c r="G74" s="544"/>
      <c r="H74" s="544"/>
      <c r="I74" s="544"/>
      <c r="J74" s="599">
        <f>J72+J73</f>
        <v>2641</v>
      </c>
      <c r="K74" s="599">
        <f t="shared" ref="K74:Z74" si="50">K72+K73</f>
        <v>2664</v>
      </c>
      <c r="L74" s="599">
        <f t="shared" si="50"/>
        <v>2567</v>
      </c>
      <c r="M74" s="599">
        <f t="shared" si="50"/>
        <v>2599.3000000000002</v>
      </c>
      <c r="N74" s="599">
        <f t="shared" si="50"/>
        <v>4002</v>
      </c>
      <c r="O74" s="599">
        <f t="shared" si="50"/>
        <v>4752</v>
      </c>
      <c r="P74" s="599">
        <f t="shared" si="50"/>
        <v>1029</v>
      </c>
      <c r="Q74" s="599">
        <f t="shared" si="50"/>
        <v>3358</v>
      </c>
      <c r="R74" s="599">
        <f t="shared" si="50"/>
        <v>3944</v>
      </c>
      <c r="S74" s="599">
        <f t="shared" si="50"/>
        <v>4241</v>
      </c>
      <c r="T74" s="599">
        <f t="shared" si="50"/>
        <v>3838</v>
      </c>
      <c r="U74" s="599">
        <f t="shared" si="50"/>
        <v>5176</v>
      </c>
      <c r="V74" s="599">
        <f t="shared" si="50"/>
        <v>5491.0587617501433</v>
      </c>
      <c r="W74" s="599">
        <f t="shared" si="50"/>
        <v>6763.4616210695785</v>
      </c>
      <c r="X74" s="599">
        <f t="shared" si="50"/>
        <v>8502.294018585033</v>
      </c>
      <c r="Y74" s="599">
        <f t="shared" si="50"/>
        <v>9793.773979411777</v>
      </c>
      <c r="Z74" s="599">
        <f t="shared" si="50"/>
        <v>10646.487626707329</v>
      </c>
      <c r="AA74" s="599">
        <f t="shared" ref="AA74" si="51">AA72+AA73</f>
        <v>11320.180746569848</v>
      </c>
    </row>
    <row r="75" spans="1:27" s="1" customFormat="1" ht="12.75">
      <c r="A75" s="12" t="s">
        <v>605</v>
      </c>
      <c r="B75" s="544"/>
      <c r="C75" s="544"/>
      <c r="D75" s="544"/>
      <c r="E75" s="544"/>
      <c r="F75" s="544"/>
      <c r="G75" s="544"/>
      <c r="H75" s="544"/>
      <c r="I75" s="544"/>
      <c r="J75" s="599">
        <f>SUM(J76:J79)</f>
        <v>24255.398105524073</v>
      </c>
      <c r="K75" s="599">
        <f t="shared" ref="K75:Z75" si="52">SUM(K76:K79)</f>
        <v>24404.616324362607</v>
      </c>
      <c r="L75" s="599">
        <f t="shared" si="52"/>
        <v>23333.203700424929</v>
      </c>
      <c r="M75" s="599">
        <f t="shared" si="52"/>
        <v>21674.771157932002</v>
      </c>
      <c r="N75" s="599">
        <f t="shared" si="52"/>
        <v>24268.425902974501</v>
      </c>
      <c r="O75" s="599">
        <f t="shared" si="52"/>
        <v>21095</v>
      </c>
      <c r="P75" s="599">
        <f t="shared" si="52"/>
        <v>28740</v>
      </c>
      <c r="Q75" s="599">
        <f t="shared" si="52"/>
        <v>28433</v>
      </c>
      <c r="R75" s="599">
        <f t="shared" si="52"/>
        <v>31624</v>
      </c>
      <c r="S75" s="599">
        <f t="shared" si="52"/>
        <v>30345</v>
      </c>
      <c r="T75" s="599">
        <f t="shared" si="52"/>
        <v>32295</v>
      </c>
      <c r="U75" s="599">
        <f t="shared" si="52"/>
        <v>33896</v>
      </c>
      <c r="V75" s="599">
        <f t="shared" si="52"/>
        <v>34419.462149479339</v>
      </c>
      <c r="W75" s="599">
        <f t="shared" si="52"/>
        <v>34226.684895039245</v>
      </c>
      <c r="X75" s="599">
        <f t="shared" si="52"/>
        <v>34651.230527290027</v>
      </c>
      <c r="Y75" s="599">
        <f t="shared" si="52"/>
        <v>33657.870488665372</v>
      </c>
      <c r="Z75" s="599">
        <f t="shared" si="52"/>
        <v>32489.772114210296</v>
      </c>
      <c r="AA75" s="599">
        <f t="shared" ref="AA75" si="53">SUM(AA76:AA79)</f>
        <v>33564.703393176664</v>
      </c>
    </row>
    <row r="76" spans="1:27" s="1" customFormat="1" ht="12.75">
      <c r="A76" s="1" t="s">
        <v>489</v>
      </c>
      <c r="B76" s="544"/>
      <c r="C76" s="544"/>
      <c r="D76" s="544"/>
      <c r="E76" s="544"/>
      <c r="F76" s="544"/>
      <c r="G76" s="544"/>
      <c r="H76" s="544"/>
      <c r="I76" s="544"/>
      <c r="J76" s="544">
        <f>J4-'Cash Flow Statement'!J14</f>
        <v>12290.39810552408</v>
      </c>
      <c r="K76" s="544">
        <f>K4-'Cash Flow Statement'!K14</f>
        <v>12058.616324362607</v>
      </c>
      <c r="L76" s="544">
        <f>L4-'Cash Flow Statement'!L14</f>
        <v>11555.203700424929</v>
      </c>
      <c r="M76" s="544">
        <f>M4-'Cash Flow Statement'!M14</f>
        <v>11114.771157932011</v>
      </c>
      <c r="N76" s="544">
        <f>N4-'Cash Flow Statement'!N14</f>
        <v>16181.425902974504</v>
      </c>
      <c r="O76" s="544">
        <f>O4-'Cash Flow Statement'!O14</f>
        <v>16119</v>
      </c>
      <c r="P76" s="544">
        <f>P4-'Cash Flow Statement'!P14</f>
        <v>15807</v>
      </c>
      <c r="Q76" s="544">
        <f>Q4-'Cash Flow Statement'!Q14</f>
        <v>16050</v>
      </c>
      <c r="R76" s="544">
        <f>R4-'Cash Flow Statement'!R14</f>
        <v>16462</v>
      </c>
      <c r="S76" s="544">
        <f>S4-'Cash Flow Statement'!S14</f>
        <v>16793</v>
      </c>
      <c r="T76" s="544">
        <f>T4-'Cash Flow Statement'!T14</f>
        <v>16327</v>
      </c>
      <c r="U76" s="544">
        <f>U4-'Cash Flow Statement'!U14</f>
        <v>15995</v>
      </c>
      <c r="V76" s="544">
        <f>V4-'Cash Flow Statement'!V14</f>
        <v>15973.183933225184</v>
      </c>
      <c r="W76" s="544">
        <f>W4-'Cash Flow Statement'!W14</f>
        <v>15863.974225672799</v>
      </c>
      <c r="X76" s="544">
        <f>X4-'Cash Flow Statement'!X14</f>
        <v>17286.588838121897</v>
      </c>
      <c r="Y76" s="544">
        <f>Y4-'Cash Flow Statement'!Y14</f>
        <v>18063.920967785223</v>
      </c>
      <c r="Z76" s="544">
        <f>Z4-'Cash Flow Statement'!Z14</f>
        <v>18865.13277818029</v>
      </c>
      <c r="AA76" s="544">
        <f>AA4-'Cash Flow Statement'!AB14</f>
        <v>20158.295436646982</v>
      </c>
    </row>
    <row r="77" spans="1:27" s="1" customFormat="1" ht="12.75">
      <c r="A77" s="1" t="s">
        <v>123</v>
      </c>
      <c r="B77" s="544"/>
      <c r="C77" s="544"/>
      <c r="D77" s="544"/>
      <c r="E77" s="544"/>
      <c r="F77" s="544"/>
      <c r="G77" s="544"/>
      <c r="H77" s="544"/>
      <c r="I77" s="544"/>
      <c r="J77" s="544">
        <f t="shared" ref="J77:Z77" si="54">J5</f>
        <v>16321</v>
      </c>
      <c r="K77" s="544">
        <f t="shared" si="54"/>
        <v>17127</v>
      </c>
      <c r="L77" s="544">
        <f t="shared" si="54"/>
        <v>16913</v>
      </c>
      <c r="M77" s="544">
        <f t="shared" si="54"/>
        <v>16610</v>
      </c>
      <c r="N77" s="544">
        <f t="shared" si="54"/>
        <v>16773</v>
      </c>
      <c r="O77" s="544">
        <f t="shared" si="54"/>
        <v>17294</v>
      </c>
      <c r="P77" s="544">
        <f t="shared" si="54"/>
        <v>16674</v>
      </c>
      <c r="Q77" s="544">
        <f t="shared" si="54"/>
        <v>16536</v>
      </c>
      <c r="R77" s="544">
        <f t="shared" si="54"/>
        <v>16505</v>
      </c>
      <c r="S77" s="544">
        <f t="shared" si="54"/>
        <v>17201</v>
      </c>
      <c r="T77" s="544">
        <f t="shared" si="54"/>
        <v>19112</v>
      </c>
      <c r="U77" s="544">
        <f t="shared" si="54"/>
        <v>20893</v>
      </c>
      <c r="V77" s="544">
        <f t="shared" si="54"/>
        <v>21724.575523754251</v>
      </c>
      <c r="W77" s="544">
        <f t="shared" si="54"/>
        <v>22717.544359206728</v>
      </c>
      <c r="X77" s="544">
        <f t="shared" si="54"/>
        <v>23814.136819076997</v>
      </c>
      <c r="Y77" s="544">
        <f t="shared" si="54"/>
        <v>24814.226675770216</v>
      </c>
      <c r="Z77" s="544">
        <f t="shared" si="54"/>
        <v>25678.128104299001</v>
      </c>
      <c r="AA77" s="544">
        <f t="shared" ref="AA77" si="55">AA5</f>
        <v>26446.491878841556</v>
      </c>
    </row>
    <row r="78" spans="1:27" s="1" customFormat="1" ht="12.75">
      <c r="A78" s="1" t="s">
        <v>621</v>
      </c>
      <c r="B78" s="544"/>
      <c r="C78" s="544"/>
      <c r="D78" s="544"/>
      <c r="E78" s="544"/>
      <c r="F78" s="544"/>
      <c r="G78" s="544"/>
      <c r="H78" s="544"/>
      <c r="I78" s="544"/>
      <c r="J78" s="544">
        <f t="shared" ref="J78:Z78" si="56">J27-J25</f>
        <v>39661</v>
      </c>
      <c r="K78" s="544">
        <f t="shared" si="56"/>
        <v>43975</v>
      </c>
      <c r="L78" s="544">
        <f t="shared" si="56"/>
        <v>44805</v>
      </c>
      <c r="M78" s="544">
        <f t="shared" si="56"/>
        <v>47790</v>
      </c>
      <c r="N78" s="544">
        <f t="shared" si="56"/>
        <v>49206</v>
      </c>
      <c r="O78" s="544">
        <f t="shared" si="56"/>
        <v>47409</v>
      </c>
      <c r="P78" s="544">
        <f t="shared" si="56"/>
        <v>43961</v>
      </c>
      <c r="Q78" s="544">
        <f t="shared" si="56"/>
        <v>41122</v>
      </c>
      <c r="R78" s="544">
        <f t="shared" si="56"/>
        <v>47179</v>
      </c>
      <c r="S78" s="544">
        <f t="shared" si="56"/>
        <v>47532</v>
      </c>
      <c r="T78" s="544">
        <f t="shared" si="56"/>
        <v>54429</v>
      </c>
      <c r="U78" s="544">
        <f t="shared" si="56"/>
        <v>59519</v>
      </c>
      <c r="V78" s="544">
        <f t="shared" si="56"/>
        <v>62702.85880831079</v>
      </c>
      <c r="W78" s="544">
        <f t="shared" si="56"/>
        <v>69419.320631913171</v>
      </c>
      <c r="X78" s="544">
        <f t="shared" si="56"/>
        <v>75188.167416590033</v>
      </c>
      <c r="Y78" s="544">
        <f t="shared" si="56"/>
        <v>78496.973663919984</v>
      </c>
      <c r="Z78" s="544">
        <f t="shared" si="56"/>
        <v>79880.679057543515</v>
      </c>
      <c r="AA78" s="544">
        <f t="shared" ref="AA78" si="57">AA27-AA25</f>
        <v>82327.960140961732</v>
      </c>
    </row>
    <row r="79" spans="1:27" s="1" customFormat="1" ht="12.75">
      <c r="A79" s="1" t="s">
        <v>622</v>
      </c>
      <c r="B79" s="544"/>
      <c r="C79" s="544"/>
      <c r="D79" s="544"/>
      <c r="E79" s="544"/>
      <c r="F79" s="544"/>
      <c r="G79" s="544"/>
      <c r="H79" s="544"/>
      <c r="I79" s="544"/>
      <c r="J79" s="544">
        <f t="shared" ref="J79:Z79" si="58">J47-J42</f>
        <v>-44017</v>
      </c>
      <c r="K79" s="544">
        <f t="shared" si="58"/>
        <v>-48756</v>
      </c>
      <c r="L79" s="544">
        <f t="shared" si="58"/>
        <v>-49940</v>
      </c>
      <c r="M79" s="544">
        <f t="shared" si="58"/>
        <v>-53840</v>
      </c>
      <c r="N79" s="544">
        <f t="shared" si="58"/>
        <v>-57892</v>
      </c>
      <c r="O79" s="544">
        <f t="shared" si="58"/>
        <v>-59727</v>
      </c>
      <c r="P79" s="544">
        <f t="shared" si="58"/>
        <v>-47702</v>
      </c>
      <c r="Q79" s="544">
        <f t="shared" si="58"/>
        <v>-45275</v>
      </c>
      <c r="R79" s="544">
        <f t="shared" si="58"/>
        <v>-48522</v>
      </c>
      <c r="S79" s="544">
        <f t="shared" si="58"/>
        <v>-51181</v>
      </c>
      <c r="T79" s="544">
        <f t="shared" si="58"/>
        <v>-57573</v>
      </c>
      <c r="U79" s="544">
        <f t="shared" si="58"/>
        <v>-62511</v>
      </c>
      <c r="V79" s="544">
        <f t="shared" si="58"/>
        <v>-65981.156115810882</v>
      </c>
      <c r="W79" s="544">
        <f t="shared" si="58"/>
        <v>-73774.154321753449</v>
      </c>
      <c r="X79" s="544">
        <f t="shared" si="58"/>
        <v>-81637.662546498905</v>
      </c>
      <c r="Y79" s="544">
        <f t="shared" si="58"/>
        <v>-87717.250818810047</v>
      </c>
      <c r="Z79" s="544">
        <f t="shared" si="58"/>
        <v>-91934.167825812503</v>
      </c>
      <c r="AA79" s="544">
        <f t="shared" ref="AA79" si="59">AA47-AA42</f>
        <v>-95368.044063273614</v>
      </c>
    </row>
    <row r="80" spans="1:27" s="1" customFormat="1" ht="12.75">
      <c r="A80" s="1" t="s">
        <v>606</v>
      </c>
      <c r="B80" s="544"/>
      <c r="C80" s="544"/>
      <c r="D80" s="544"/>
      <c r="E80" s="544"/>
      <c r="F80" s="544"/>
      <c r="G80" s="544"/>
      <c r="H80" s="544"/>
      <c r="I80" s="544"/>
      <c r="J80" s="544">
        <v>0</v>
      </c>
      <c r="K80" s="544">
        <v>0</v>
      </c>
      <c r="L80" s="544">
        <v>0</v>
      </c>
      <c r="M80" s="544">
        <v>0</v>
      </c>
      <c r="N80" s="544">
        <v>0</v>
      </c>
      <c r="O80" s="544">
        <v>0</v>
      </c>
      <c r="P80" s="544">
        <v>0</v>
      </c>
      <c r="Q80" s="544">
        <v>0</v>
      </c>
      <c r="R80" s="544">
        <v>0</v>
      </c>
      <c r="S80" s="544">
        <v>0</v>
      </c>
      <c r="T80" s="544">
        <v>0</v>
      </c>
      <c r="U80" s="544">
        <v>0</v>
      </c>
      <c r="V80" s="544">
        <v>0</v>
      </c>
      <c r="W80" s="544">
        <v>0</v>
      </c>
      <c r="X80" s="544">
        <v>0</v>
      </c>
      <c r="Y80" s="544">
        <v>0</v>
      </c>
      <c r="Z80" s="544">
        <v>0</v>
      </c>
      <c r="AA80" s="544">
        <v>0</v>
      </c>
    </row>
    <row r="81" spans="1:27" s="12" customFormat="1" ht="12.75">
      <c r="A81" s="12" t="s">
        <v>607</v>
      </c>
      <c r="B81" s="599"/>
      <c r="C81" s="599"/>
      <c r="D81" s="599"/>
      <c r="E81" s="599"/>
      <c r="F81" s="599"/>
      <c r="G81" s="599"/>
      <c r="H81" s="599"/>
      <c r="I81" s="599"/>
      <c r="J81" s="790">
        <f>J74/J75</f>
        <v>0.10888297889443928</v>
      </c>
      <c r="K81" s="790">
        <f t="shared" ref="K81:P81" si="60">K74/K75</f>
        <v>0.10915967555452145</v>
      </c>
      <c r="L81" s="790">
        <f t="shared" si="60"/>
        <v>0.11001489692361668</v>
      </c>
      <c r="M81" s="790">
        <f t="shared" si="60"/>
        <v>0.11992283475845474</v>
      </c>
      <c r="N81" s="790">
        <f t="shared" si="60"/>
        <v>0.1649056274189373</v>
      </c>
      <c r="O81" s="790">
        <f t="shared" si="60"/>
        <v>0.22526665086513392</v>
      </c>
      <c r="P81" s="790">
        <f t="shared" si="60"/>
        <v>3.5803757828810019E-2</v>
      </c>
      <c r="Q81" s="790">
        <f>Q74/(AVERAGE(P75:Q75))</f>
        <v>0.11746803561121509</v>
      </c>
      <c r="R81" s="790">
        <f>R74/(AVERAGE(Q75:R75))</f>
        <v>0.13134189186939074</v>
      </c>
      <c r="S81" s="790">
        <f t="shared" ref="S81:AA81" si="61">S74/(AVERAGE(R75:S75))</f>
        <v>0.13687488905743195</v>
      </c>
      <c r="T81" s="790">
        <f t="shared" si="61"/>
        <v>0.12254150702426564</v>
      </c>
      <c r="U81" s="790">
        <f t="shared" si="61"/>
        <v>0.15639588463688417</v>
      </c>
      <c r="V81" s="790">
        <f t="shared" si="61"/>
        <v>0.16075595740640081</v>
      </c>
      <c r="W81" s="790">
        <f t="shared" si="61"/>
        <v>0.19705291301151454</v>
      </c>
      <c r="X81" s="790">
        <f t="shared" si="61"/>
        <v>0.24688012017938354</v>
      </c>
      <c r="Y81" s="790">
        <f t="shared" si="61"/>
        <v>0.2867487299276324</v>
      </c>
      <c r="Z81" s="790">
        <f t="shared" si="61"/>
        <v>0.32190074227209087</v>
      </c>
      <c r="AA81" s="790">
        <f t="shared" si="61"/>
        <v>0.34275287661027287</v>
      </c>
    </row>
    <row r="82" spans="1:27" s="1" customFormat="1" ht="12.75">
      <c r="B82" s="577"/>
      <c r="C82" s="577"/>
      <c r="D82" s="577"/>
      <c r="E82" s="577"/>
      <c r="F82" s="577"/>
      <c r="G82" s="577"/>
      <c r="H82" s="577"/>
      <c r="I82" s="577"/>
      <c r="J82" s="577"/>
      <c r="K82" s="577"/>
      <c r="L82" s="577"/>
      <c r="M82" s="577"/>
      <c r="N82" s="577"/>
      <c r="O82" s="577"/>
      <c r="P82" s="577"/>
      <c r="Q82" s="577"/>
      <c r="R82" s="577"/>
      <c r="S82" s="577"/>
      <c r="T82" s="577"/>
      <c r="U82" s="577"/>
      <c r="V82" s="577"/>
      <c r="W82" s="577"/>
      <c r="X82" s="577"/>
      <c r="Y82" s="577"/>
      <c r="Z82" s="577"/>
      <c r="AA82" s="577"/>
    </row>
    <row r="83" spans="1:27" s="1" customFormat="1" ht="12.75">
      <c r="A83" s="269" t="s">
        <v>453</v>
      </c>
      <c r="B83" s="615">
        <f>B2</f>
        <v>2006</v>
      </c>
      <c r="C83" s="615">
        <f t="shared" ref="C83:T83" si="62">C2</f>
        <v>2007</v>
      </c>
      <c r="D83" s="615">
        <f t="shared" si="62"/>
        <v>2008</v>
      </c>
      <c r="E83" s="615">
        <f t="shared" si="62"/>
        <v>2009</v>
      </c>
      <c r="F83" s="615">
        <f t="shared" si="62"/>
        <v>2010</v>
      </c>
      <c r="G83" s="615">
        <f t="shared" si="62"/>
        <v>2011</v>
      </c>
      <c r="H83" s="615">
        <f t="shared" si="62"/>
        <v>2012</v>
      </c>
      <c r="I83" s="615">
        <f t="shared" si="62"/>
        <v>2013</v>
      </c>
      <c r="J83" s="615">
        <f t="shared" si="62"/>
        <v>2014</v>
      </c>
      <c r="K83" s="615">
        <f t="shared" si="62"/>
        <v>2015</v>
      </c>
      <c r="L83" s="615">
        <f t="shared" si="62"/>
        <v>2016</v>
      </c>
      <c r="M83" s="615">
        <f t="shared" si="62"/>
        <v>2017</v>
      </c>
      <c r="N83" s="615">
        <f t="shared" si="62"/>
        <v>2018</v>
      </c>
      <c r="O83" s="615">
        <f t="shared" si="62"/>
        <v>2019</v>
      </c>
      <c r="P83" s="615">
        <f t="shared" si="62"/>
        <v>2020</v>
      </c>
      <c r="Q83" s="615">
        <f t="shared" si="62"/>
        <v>2021</v>
      </c>
      <c r="R83" s="615">
        <f t="shared" si="62"/>
        <v>2022</v>
      </c>
      <c r="S83" s="615">
        <f t="shared" si="62"/>
        <v>2023</v>
      </c>
      <c r="T83" s="615">
        <f t="shared" si="62"/>
        <v>2024</v>
      </c>
      <c r="U83" s="615">
        <f>U2</f>
        <v>2025</v>
      </c>
      <c r="V83" s="532">
        <f t="shared" ref="V83:Z83" si="63">V2</f>
        <v>2026</v>
      </c>
      <c r="W83" s="532">
        <f t="shared" si="63"/>
        <v>2027</v>
      </c>
      <c r="X83" s="532">
        <f t="shared" si="63"/>
        <v>2028</v>
      </c>
      <c r="Y83" s="532">
        <f t="shared" si="63"/>
        <v>2029</v>
      </c>
      <c r="Z83" s="532">
        <f t="shared" si="63"/>
        <v>2030</v>
      </c>
      <c r="AA83" s="532">
        <f t="shared" ref="AA83" si="64">AA2</f>
        <v>2031</v>
      </c>
    </row>
    <row r="84" spans="1:27" s="1" customFormat="1" ht="12.75">
      <c r="A84" s="1" t="s">
        <v>454</v>
      </c>
      <c r="B84" s="271"/>
      <c r="C84" s="271"/>
      <c r="D84" s="271"/>
      <c r="E84" s="271"/>
      <c r="F84" s="271"/>
      <c r="G84" s="271"/>
      <c r="H84" s="271"/>
      <c r="I84" s="271"/>
      <c r="J84" s="271"/>
      <c r="K84" s="271"/>
      <c r="L84" s="271"/>
      <c r="M84" s="271"/>
      <c r="N84" s="271"/>
      <c r="O84" s="546">
        <v>1298</v>
      </c>
      <c r="P84" s="546">
        <v>1538</v>
      </c>
      <c r="Q84" s="546">
        <v>1491</v>
      </c>
      <c r="R84" s="546">
        <v>1492</v>
      </c>
      <c r="S84" s="546">
        <v>1396</v>
      </c>
      <c r="T84" s="546">
        <v>1696</v>
      </c>
      <c r="U84" s="546">
        <f>U85*'Income Statement'!U14</f>
        <v>1800.9741441571573</v>
      </c>
      <c r="V84" s="544">
        <f>V85*'Income Statement'!V14</f>
        <v>1967.0149464856117</v>
      </c>
      <c r="W84" s="544">
        <f>W85*'Income Statement'!W14</f>
        <v>2237.7540894747035</v>
      </c>
      <c r="X84" s="544">
        <f>X85*'Income Statement'!X14</f>
        <v>2514.5912506333098</v>
      </c>
      <c r="Y84" s="544">
        <f>Y85*'Income Statement'!Y14</f>
        <v>2725.9063339731601</v>
      </c>
      <c r="Z84" s="544">
        <f>Z85*'Income Statement'!Z14</f>
        <v>2864.1904064158844</v>
      </c>
      <c r="AA84" s="544">
        <f>AA85*'Income Statement'!AA14</f>
        <v>2975.7235481045486</v>
      </c>
    </row>
    <row r="85" spans="1:27" s="1" customFormat="1" ht="12.75">
      <c r="A85" s="1" t="s">
        <v>455</v>
      </c>
      <c r="B85" s="271"/>
      <c r="C85" s="271"/>
      <c r="D85" s="271"/>
      <c r="E85" s="271"/>
      <c r="F85" s="271"/>
      <c r="G85" s="271"/>
      <c r="H85" s="271"/>
      <c r="I85" s="271"/>
      <c r="J85" s="271"/>
      <c r="K85" s="271"/>
      <c r="L85" s="271"/>
      <c r="M85" s="271"/>
      <c r="N85" s="271"/>
      <c r="O85" s="560">
        <f>O84/'Income Statement'!O14</f>
        <v>1.8417094696217259E-2</v>
      </c>
      <c r="P85" s="560">
        <f>P84/'Income Statement'!P14</f>
        <v>3.0814233050168297E-2</v>
      </c>
      <c r="Q85" s="560">
        <f>Q84/'Income Statement'!Q14</f>
        <v>2.8591152275211414E-2</v>
      </c>
      <c r="R85" s="560">
        <f>R84/'Income Statement'!R14</f>
        <v>2.539012644010687E-2</v>
      </c>
      <c r="S85" s="560">
        <f>S84/'Income Statement'!S14</f>
        <v>2.1330562601228495E-2</v>
      </c>
      <c r="T85" s="560">
        <f>T84/'Income Statement'!T14</f>
        <v>2.4498049978333093E-2</v>
      </c>
      <c r="U85" s="560">
        <f t="shared" ref="U85:AA85" si="65">T85</f>
        <v>2.4498049978333093E-2</v>
      </c>
      <c r="V85" s="616">
        <f t="shared" si="65"/>
        <v>2.4498049978333093E-2</v>
      </c>
      <c r="W85" s="616">
        <f t="shared" si="65"/>
        <v>2.4498049978333093E-2</v>
      </c>
      <c r="X85" s="616">
        <f t="shared" si="65"/>
        <v>2.4498049978333093E-2</v>
      </c>
      <c r="Y85" s="616">
        <f t="shared" si="65"/>
        <v>2.4498049978333093E-2</v>
      </c>
      <c r="Z85" s="616">
        <f t="shared" si="65"/>
        <v>2.4498049978333093E-2</v>
      </c>
      <c r="AA85" s="616">
        <f t="shared" si="65"/>
        <v>2.4498049978333093E-2</v>
      </c>
    </row>
    <row r="86" spans="1:27" s="1" customFormat="1" ht="12.75">
      <c r="A86" s="1" t="s">
        <v>456</v>
      </c>
      <c r="B86" s="271"/>
      <c r="C86" s="271"/>
      <c r="D86" s="271"/>
      <c r="E86" s="271"/>
      <c r="F86" s="271"/>
      <c r="G86" s="271"/>
      <c r="H86" s="271"/>
      <c r="I86" s="271"/>
      <c r="J86" s="271"/>
      <c r="K86" s="271"/>
      <c r="L86" s="271"/>
      <c r="M86" s="271"/>
      <c r="N86" s="271"/>
      <c r="O86" s="546">
        <v>262</v>
      </c>
      <c r="P86" s="546">
        <v>260</v>
      </c>
      <c r="Q86" s="546">
        <v>245</v>
      </c>
      <c r="R86" s="546">
        <v>242</v>
      </c>
      <c r="S86" s="546">
        <v>221</v>
      </c>
      <c r="T86" s="546">
        <v>253</v>
      </c>
      <c r="U86" s="546">
        <f>U87*'Income Statement'!U14</f>
        <v>268.65946843853817</v>
      </c>
      <c r="V86" s="544">
        <f>V87*'Income Statement'!V14</f>
        <v>293.42852680475221</v>
      </c>
      <c r="W86" s="544">
        <f>W87*'Income Statement'!W14</f>
        <v>333.81591075300707</v>
      </c>
      <c r="X86" s="544">
        <f>X87*'Income Statement'!X14</f>
        <v>375.11296368527559</v>
      </c>
      <c r="Y86" s="544">
        <f>Y87*'Income Statement'!Y14</f>
        <v>406.63579156557159</v>
      </c>
      <c r="Z86" s="544">
        <f>Z87*'Income Statement'!Z14</f>
        <v>427.26425284387898</v>
      </c>
      <c r="AA86" s="544">
        <f>AA87*'Income Statement'!AA14</f>
        <v>443.90215664531291</v>
      </c>
    </row>
    <row r="87" spans="1:27" s="1" customFormat="1" ht="12.75">
      <c r="A87" s="1" t="s">
        <v>455</v>
      </c>
      <c r="B87" s="271"/>
      <c r="C87" s="271"/>
      <c r="D87" s="271"/>
      <c r="E87" s="271"/>
      <c r="F87" s="271"/>
      <c r="G87" s="271"/>
      <c r="H87" s="271"/>
      <c r="I87" s="271"/>
      <c r="J87" s="271"/>
      <c r="K87" s="271"/>
      <c r="L87" s="271"/>
      <c r="M87" s="271"/>
      <c r="N87" s="271"/>
      <c r="O87" s="560">
        <f>O86/'Income Statement'!O14</f>
        <v>3.7174721189591076E-3</v>
      </c>
      <c r="P87" s="560">
        <f>P86/'Income Statement'!P14</f>
        <v>5.2091681359192179E-3</v>
      </c>
      <c r="Q87" s="560">
        <f>Q86/'Income Statement'!Q14</f>
        <v>4.6980766649408427E-3</v>
      </c>
      <c r="R87" s="560">
        <f>R86/'Income Statement'!R14</f>
        <v>4.1182376665588891E-3</v>
      </c>
      <c r="S87" s="560">
        <f>S86/'Income Statement'!S14</f>
        <v>3.3768297527732786E-3</v>
      </c>
      <c r="T87" s="560">
        <f>T86/'Income Statement'!T14</f>
        <v>3.6544850498338869E-3</v>
      </c>
      <c r="U87" s="560">
        <f t="shared" ref="U87:AA87" si="66">T87</f>
        <v>3.6544850498338869E-3</v>
      </c>
      <c r="V87" s="616">
        <f t="shared" si="66"/>
        <v>3.6544850498338869E-3</v>
      </c>
      <c r="W87" s="616">
        <f t="shared" si="66"/>
        <v>3.6544850498338869E-3</v>
      </c>
      <c r="X87" s="616">
        <f t="shared" si="66"/>
        <v>3.6544850498338869E-3</v>
      </c>
      <c r="Y87" s="616">
        <f t="shared" si="66"/>
        <v>3.6544850498338869E-3</v>
      </c>
      <c r="Z87" s="616">
        <f t="shared" si="66"/>
        <v>3.6544850498338869E-3</v>
      </c>
      <c r="AA87" s="616">
        <f t="shared" si="66"/>
        <v>3.6544850498338869E-3</v>
      </c>
    </row>
    <row r="88" spans="1:27" s="1" customFormat="1" ht="12.75">
      <c r="A88" s="12" t="s">
        <v>209</v>
      </c>
      <c r="B88" s="598"/>
      <c r="C88" s="598"/>
      <c r="D88" s="598"/>
      <c r="E88" s="598"/>
      <c r="F88" s="598"/>
      <c r="G88" s="598"/>
      <c r="H88" s="598"/>
      <c r="I88" s="598"/>
      <c r="J88" s="598"/>
      <c r="K88" s="598"/>
      <c r="L88" s="598"/>
      <c r="M88" s="598"/>
      <c r="N88" s="598"/>
      <c r="O88" s="599">
        <f t="shared" ref="O88:Z88" si="67">O84+O86</f>
        <v>1560</v>
      </c>
      <c r="P88" s="599">
        <f t="shared" si="67"/>
        <v>1798</v>
      </c>
      <c r="Q88" s="599">
        <f t="shared" si="67"/>
        <v>1736</v>
      </c>
      <c r="R88" s="599">
        <f t="shared" si="67"/>
        <v>1734</v>
      </c>
      <c r="S88" s="599">
        <f t="shared" si="67"/>
        <v>1617</v>
      </c>
      <c r="T88" s="599">
        <f t="shared" si="67"/>
        <v>1949</v>
      </c>
      <c r="U88" s="599">
        <f t="shared" si="67"/>
        <v>2069.6336125956955</v>
      </c>
      <c r="V88" s="599">
        <f t="shared" si="67"/>
        <v>2260.4434732903637</v>
      </c>
      <c r="W88" s="599">
        <f t="shared" si="67"/>
        <v>2571.5700002277108</v>
      </c>
      <c r="X88" s="599">
        <f t="shared" si="67"/>
        <v>2889.7042143185854</v>
      </c>
      <c r="Y88" s="599">
        <f t="shared" si="67"/>
        <v>3132.5421255387319</v>
      </c>
      <c r="Z88" s="599">
        <f t="shared" si="67"/>
        <v>3291.4546592597635</v>
      </c>
      <c r="AA88" s="599">
        <f t="shared" ref="AA88" si="68">AA84+AA86</f>
        <v>3419.6257047498616</v>
      </c>
    </row>
    <row r="89" spans="1:27" s="1" customFormat="1" ht="12.75">
      <c r="B89" s="271"/>
      <c r="C89" s="271"/>
      <c r="D89" s="271"/>
      <c r="E89" s="271"/>
      <c r="F89" s="271"/>
      <c r="G89" s="271"/>
      <c r="H89" s="271"/>
      <c r="I89" s="271"/>
      <c r="J89" s="271"/>
      <c r="K89" s="271"/>
      <c r="L89" s="271"/>
      <c r="M89" s="271"/>
      <c r="N89" s="271"/>
      <c r="O89" s="544"/>
      <c r="P89" s="544"/>
      <c r="Q89" s="544"/>
      <c r="R89" s="544"/>
      <c r="S89" s="544"/>
      <c r="T89" s="562"/>
      <c r="U89" s="562"/>
      <c r="V89" s="562"/>
      <c r="W89" s="562"/>
      <c r="X89" s="562"/>
      <c r="Y89" s="562"/>
      <c r="Z89" s="562"/>
      <c r="AA89" s="562"/>
    </row>
    <row r="90" spans="1:27" s="1" customFormat="1" ht="12.75">
      <c r="A90" s="12" t="s">
        <v>457</v>
      </c>
      <c r="B90" s="598"/>
      <c r="C90" s="598"/>
      <c r="D90" s="598"/>
      <c r="E90" s="598"/>
      <c r="F90" s="598"/>
      <c r="G90" s="598"/>
      <c r="H90" s="598"/>
      <c r="I90" s="598"/>
      <c r="J90" s="598"/>
      <c r="K90" s="598"/>
      <c r="L90" s="598"/>
      <c r="M90" s="598"/>
      <c r="N90" s="598"/>
      <c r="O90" s="599">
        <f>'Balance Sheet'!O65-O88</f>
        <v>10974</v>
      </c>
      <c r="P90" s="599">
        <f>'Balance Sheet'!P65-P88</f>
        <v>2514</v>
      </c>
      <c r="Q90" s="599">
        <f>'Balance Sheet'!Q65-Q88</f>
        <v>6004</v>
      </c>
      <c r="R90" s="599">
        <f>'Balance Sheet'!R65-R88</f>
        <v>7697</v>
      </c>
      <c r="S90" s="599">
        <f>'Balance Sheet'!S65-S88</f>
        <v>9109</v>
      </c>
      <c r="T90" s="599">
        <f>'Balance Sheet'!T65-T88</f>
        <v>9804</v>
      </c>
      <c r="U90" s="599">
        <f>'Balance Sheet'!U65-U88</f>
        <v>10101.366387404305</v>
      </c>
      <c r="V90" s="599">
        <f>'Balance Sheet'!V65-V88</f>
        <v>11986.893721587094</v>
      </c>
      <c r="W90" s="599">
        <f>'Balance Sheet'!W65-W88</f>
        <v>13699.579157185635</v>
      </c>
      <c r="X90" s="599">
        <f>'Balance Sheet'!X65-X88</f>
        <v>16699.826171428071</v>
      </c>
      <c r="Y90" s="599">
        <f>'Balance Sheet'!Y65-Y88</f>
        <v>22979.652099663595</v>
      </c>
      <c r="Z90" s="599">
        <f>'Balance Sheet'!Z65-Z88</f>
        <v>29770.223245286259</v>
      </c>
      <c r="AA90" s="599">
        <f>'Balance Sheet'!AA65-AA88</f>
        <v>34778.599248768827</v>
      </c>
    </row>
    <row r="91" spans="1:27" s="1" customFormat="1" ht="12.75">
      <c r="B91" s="271"/>
      <c r="C91" s="271"/>
      <c r="D91" s="271"/>
      <c r="E91" s="271"/>
      <c r="F91" s="271"/>
      <c r="G91" s="271"/>
      <c r="H91" s="271"/>
      <c r="I91" s="271"/>
      <c r="J91" s="271"/>
      <c r="K91" s="271"/>
      <c r="L91" s="271"/>
      <c r="M91" s="271"/>
      <c r="N91" s="271"/>
      <c r="O91" s="544"/>
      <c r="P91" s="544"/>
      <c r="Q91" s="544"/>
      <c r="R91" s="544"/>
      <c r="S91" s="544"/>
      <c r="T91" s="562"/>
      <c r="U91" s="562"/>
      <c r="V91" s="562"/>
      <c r="W91" s="562"/>
      <c r="X91" s="562"/>
      <c r="Y91" s="562"/>
      <c r="Z91" s="562"/>
      <c r="AA91" s="562"/>
    </row>
    <row r="92" spans="1:27" s="1" customFormat="1" ht="12.75">
      <c r="A92" s="1" t="s">
        <v>462</v>
      </c>
      <c r="B92" s="271"/>
      <c r="C92" s="271"/>
      <c r="D92" s="271"/>
      <c r="E92" s="271"/>
      <c r="F92" s="271"/>
      <c r="G92" s="271"/>
      <c r="H92" s="271"/>
      <c r="I92" s="271"/>
      <c r="J92" s="271"/>
      <c r="K92" s="271"/>
      <c r="L92" s="271"/>
      <c r="M92" s="271"/>
      <c r="N92" s="271"/>
      <c r="O92" s="546">
        <v>1543</v>
      </c>
      <c r="P92" s="546">
        <v>1804</v>
      </c>
      <c r="Q92" s="546">
        <v>1698</v>
      </c>
      <c r="R92" s="546">
        <v>1746</v>
      </c>
      <c r="S92" s="546">
        <v>1641</v>
      </c>
      <c r="T92" s="546">
        <v>2020</v>
      </c>
      <c r="U92" s="546">
        <f>U93*'Income Statement'!U14</f>
        <v>2145.0281669796332</v>
      </c>
      <c r="V92" s="544">
        <f>V93*'Income Statement'!V14</f>
        <v>2342.7890282434764</v>
      </c>
      <c r="W92" s="544">
        <f>W93*'Income Statement'!W14</f>
        <v>2665.249564114918</v>
      </c>
      <c r="X92" s="544">
        <f>X93*'Income Statement'!X14</f>
        <v>2994.9730697401451</v>
      </c>
      <c r="Y92" s="544">
        <f>Y93*'Income Statement'!Y14</f>
        <v>3246.657308151995</v>
      </c>
      <c r="Z92" s="544">
        <f>Z93*'Income Statement'!Z14</f>
        <v>3411.3588566981643</v>
      </c>
      <c r="AA92" s="544">
        <f>AA93*'Income Statement'!AA14</f>
        <v>3544.1990372471628</v>
      </c>
    </row>
    <row r="93" spans="1:27" s="1" customFormat="1" ht="12.75">
      <c r="A93" s="1" t="s">
        <v>459</v>
      </c>
      <c r="B93" s="271"/>
      <c r="C93" s="271"/>
      <c r="D93" s="271"/>
      <c r="E93" s="271"/>
      <c r="F93" s="271"/>
      <c r="G93" s="271"/>
      <c r="H93" s="271"/>
      <c r="I93" s="271"/>
      <c r="J93" s="271"/>
      <c r="K93" s="271"/>
      <c r="L93" s="271"/>
      <c r="M93" s="271"/>
      <c r="N93" s="271"/>
      <c r="O93" s="551">
        <f>O92/'Income Statement'!O14</f>
        <v>2.1893356792190472E-2</v>
      </c>
      <c r="P93" s="551">
        <f>P92/'Income Statement'!P14</f>
        <v>3.6143612758454881E-2</v>
      </c>
      <c r="Q93" s="551">
        <f>Q92/'Income Statement'!Q14</f>
        <v>3.2560547661508371E-2</v>
      </c>
      <c r="R93" s="551">
        <f>R92/'Income Statement'!R14</f>
        <v>2.9712574238891818E-2</v>
      </c>
      <c r="S93" s="551">
        <f>S92/'Income Statement'!S14</f>
        <v>2.507410689728937E-2</v>
      </c>
      <c r="T93" s="551">
        <f>T92/'Income Statement'!T14</f>
        <v>2.9178101978910877E-2</v>
      </c>
      <c r="U93" s="551">
        <f t="shared" ref="U93:AA93" si="69">T93</f>
        <v>2.9178101978910877E-2</v>
      </c>
      <c r="V93" s="616">
        <f t="shared" si="69"/>
        <v>2.9178101978910877E-2</v>
      </c>
      <c r="W93" s="616">
        <f t="shared" si="69"/>
        <v>2.9178101978910877E-2</v>
      </c>
      <c r="X93" s="616">
        <f t="shared" si="69"/>
        <v>2.9178101978910877E-2</v>
      </c>
      <c r="Y93" s="616">
        <f t="shared" si="69"/>
        <v>2.9178101978910877E-2</v>
      </c>
      <c r="Z93" s="616">
        <f t="shared" si="69"/>
        <v>2.9178101978910877E-2</v>
      </c>
      <c r="AA93" s="616">
        <f t="shared" si="69"/>
        <v>2.9178101978910877E-2</v>
      </c>
    </row>
    <row r="94" spans="1:27" s="1" customFormat="1" ht="12.75">
      <c r="A94" s="1" t="s">
        <v>458</v>
      </c>
      <c r="B94" s="271"/>
      <c r="C94" s="271"/>
      <c r="D94" s="271"/>
      <c r="E94" s="271"/>
      <c r="F94" s="271"/>
      <c r="G94" s="271"/>
      <c r="H94" s="271"/>
      <c r="I94" s="271"/>
      <c r="J94" s="271"/>
      <c r="K94" s="271"/>
      <c r="L94" s="271"/>
      <c r="M94" s="271"/>
      <c r="N94" s="271"/>
      <c r="O94" s="546">
        <v>271</v>
      </c>
      <c r="P94" s="546">
        <v>246</v>
      </c>
      <c r="Q94" s="546">
        <v>260</v>
      </c>
      <c r="R94" s="546">
        <v>224</v>
      </c>
      <c r="S94" s="546">
        <v>218</v>
      </c>
      <c r="T94" s="546">
        <v>230</v>
      </c>
      <c r="U94" s="546">
        <f>U95*'Income Statement'!U14</f>
        <v>244.2358803986711</v>
      </c>
      <c r="V94" s="544">
        <f>V95*'Income Statement'!V14</f>
        <v>266.75320618613836</v>
      </c>
      <c r="W94" s="544">
        <f>W95*'Income Statement'!W14</f>
        <v>303.46900977546096</v>
      </c>
      <c r="X94" s="544">
        <f>X95*'Income Statement'!X14</f>
        <v>341.01178516843237</v>
      </c>
      <c r="Y94" s="544">
        <f>Y95*'Income Statement'!Y14</f>
        <v>369.66890142324695</v>
      </c>
      <c r="Z94" s="544">
        <f>Z95*'Income Statement'!Z14</f>
        <v>388.42204803989</v>
      </c>
      <c r="AA94" s="544">
        <f>AA95*'Income Statement'!AA14</f>
        <v>403.54741513210269</v>
      </c>
    </row>
    <row r="95" spans="1:27" s="1" customFormat="1" ht="12.75">
      <c r="A95" s="1" t="s">
        <v>459</v>
      </c>
      <c r="B95" s="271"/>
      <c r="C95" s="271"/>
      <c r="D95" s="271"/>
      <c r="E95" s="271"/>
      <c r="F95" s="271"/>
      <c r="G95" s="271"/>
      <c r="H95" s="271"/>
      <c r="I95" s="271"/>
      <c r="J95" s="271"/>
      <c r="K95" s="271"/>
      <c r="L95" s="271"/>
      <c r="M95" s="271"/>
      <c r="N95" s="271"/>
      <c r="O95" s="550">
        <f>O94/'Income Statement'!O14</f>
        <v>3.8451715428928176E-3</v>
      </c>
      <c r="P95" s="550">
        <f>P94/'Income Statement'!P14</f>
        <v>4.9286744670620289E-3</v>
      </c>
      <c r="Q95" s="550">
        <f>Q94/'Income Statement'!Q14</f>
        <v>4.9857140117739555E-3</v>
      </c>
      <c r="R95" s="550">
        <f>R94/'Income Statement'!R14</f>
        <v>3.8119224682197981E-3</v>
      </c>
      <c r="S95" s="550">
        <f>S94/'Income Statement'!S14</f>
        <v>3.3309904348623291E-3</v>
      </c>
      <c r="T95" s="550">
        <f>T94/'Income Statement'!T14</f>
        <v>3.3222591362126247E-3</v>
      </c>
      <c r="U95" s="550">
        <f t="shared" ref="U95:AA97" si="70">T95</f>
        <v>3.3222591362126247E-3</v>
      </c>
      <c r="V95" s="616">
        <f t="shared" si="70"/>
        <v>3.3222591362126247E-3</v>
      </c>
      <c r="W95" s="616">
        <f t="shared" si="70"/>
        <v>3.3222591362126247E-3</v>
      </c>
      <c r="X95" s="616">
        <f t="shared" si="70"/>
        <v>3.3222591362126247E-3</v>
      </c>
      <c r="Y95" s="616">
        <f t="shared" si="70"/>
        <v>3.3222591362126247E-3</v>
      </c>
      <c r="Z95" s="616">
        <f t="shared" si="70"/>
        <v>3.3222591362126247E-3</v>
      </c>
      <c r="AA95" s="616">
        <f t="shared" si="70"/>
        <v>3.3222591362126247E-3</v>
      </c>
    </row>
    <row r="96" spans="1:27" s="1" customFormat="1" ht="12.75">
      <c r="A96" s="1" t="s">
        <v>460</v>
      </c>
      <c r="B96" s="271"/>
      <c r="C96" s="271"/>
      <c r="D96" s="271"/>
      <c r="E96" s="271"/>
      <c r="F96" s="271"/>
      <c r="G96" s="271"/>
      <c r="H96" s="271"/>
      <c r="I96" s="271"/>
      <c r="J96" s="271"/>
      <c r="K96" s="271"/>
      <c r="L96" s="271"/>
      <c r="M96" s="271"/>
      <c r="N96" s="271"/>
      <c r="O96" s="546">
        <v>-294</v>
      </c>
      <c r="P96" s="546">
        <v>-331</v>
      </c>
      <c r="Q96" s="546">
        <v>-400</v>
      </c>
      <c r="R96" s="546">
        <v>-262</v>
      </c>
      <c r="S96" s="546">
        <v>-267</v>
      </c>
      <c r="T96" s="546">
        <v>-324</v>
      </c>
      <c r="U96" s="546">
        <f t="shared" si="70"/>
        <v>-324</v>
      </c>
      <c r="V96" s="544">
        <f t="shared" si="70"/>
        <v>-324</v>
      </c>
      <c r="W96" s="544">
        <f t="shared" si="70"/>
        <v>-324</v>
      </c>
      <c r="X96" s="544">
        <f t="shared" si="70"/>
        <v>-324</v>
      </c>
      <c r="Y96" s="544">
        <f t="shared" si="70"/>
        <v>-324</v>
      </c>
      <c r="Z96" s="544">
        <f t="shared" si="70"/>
        <v>-324</v>
      </c>
      <c r="AA96" s="544">
        <f t="shared" si="70"/>
        <v>-324</v>
      </c>
    </row>
    <row r="97" spans="1:46" s="1" customFormat="1" ht="12.75">
      <c r="A97" s="1" t="s">
        <v>461</v>
      </c>
      <c r="B97" s="271"/>
      <c r="C97" s="271"/>
      <c r="D97" s="271"/>
      <c r="E97" s="271"/>
      <c r="F97" s="271"/>
      <c r="G97" s="271"/>
      <c r="H97" s="271"/>
      <c r="I97" s="271"/>
      <c r="J97" s="271"/>
      <c r="K97" s="271"/>
      <c r="L97" s="271"/>
      <c r="M97" s="271"/>
      <c r="N97" s="271"/>
      <c r="O97" s="546">
        <v>-14</v>
      </c>
      <c r="P97" s="546">
        <v>-22</v>
      </c>
      <c r="Q97" s="546">
        <v>-22</v>
      </c>
      <c r="R97" s="546">
        <v>-31</v>
      </c>
      <c r="S97" s="546">
        <v>-37</v>
      </c>
      <c r="T97" s="546">
        <v>-50</v>
      </c>
      <c r="U97" s="546">
        <f t="shared" si="70"/>
        <v>-50</v>
      </c>
      <c r="V97" s="544">
        <f t="shared" si="70"/>
        <v>-50</v>
      </c>
      <c r="W97" s="544">
        <f t="shared" si="70"/>
        <v>-50</v>
      </c>
      <c r="X97" s="544">
        <f t="shared" si="70"/>
        <v>-50</v>
      </c>
      <c r="Y97" s="544">
        <f t="shared" si="70"/>
        <v>-50</v>
      </c>
      <c r="Z97" s="544">
        <f t="shared" si="70"/>
        <v>-50</v>
      </c>
      <c r="AA97" s="544">
        <f t="shared" si="70"/>
        <v>-50</v>
      </c>
    </row>
    <row r="98" spans="1:46"/>
    <row r="99" spans="1:46" s="1" customFormat="1" hidden="1" outlineLevel="1">
      <c r="A99" s="266" t="s">
        <v>394</v>
      </c>
      <c r="B99" s="615">
        <f>B2</f>
        <v>2006</v>
      </c>
      <c r="C99" s="270">
        <v>2007</v>
      </c>
      <c r="D99" s="270">
        <v>2008</v>
      </c>
      <c r="E99" s="270">
        <v>2009</v>
      </c>
      <c r="F99" s="270">
        <v>2010</v>
      </c>
      <c r="G99" s="270">
        <v>2011</v>
      </c>
      <c r="H99" s="270">
        <v>2012</v>
      </c>
      <c r="I99" s="270">
        <v>2013</v>
      </c>
      <c r="J99" s="270">
        <v>2014</v>
      </c>
      <c r="K99" s="270">
        <v>2015</v>
      </c>
      <c r="L99" s="270">
        <v>2016</v>
      </c>
      <c r="M99" s="270">
        <v>2017</v>
      </c>
      <c r="N99" s="270">
        <v>2018</v>
      </c>
      <c r="O99" s="270">
        <v>2019</v>
      </c>
      <c r="P99" s="270">
        <v>2020</v>
      </c>
      <c r="Q99" s="270">
        <v>2021</v>
      </c>
      <c r="R99" s="270">
        <f>'Income Statement'!R2</f>
        <v>2022</v>
      </c>
      <c r="S99" s="270">
        <f>'Income Statement'!S2</f>
        <v>2023</v>
      </c>
      <c r="T99" s="270">
        <f>'Income Statement'!T2</f>
        <v>2024</v>
      </c>
      <c r="U99" s="270">
        <f t="shared" ref="U99:Z99" si="71">U2</f>
        <v>2025</v>
      </c>
      <c r="V99" s="676">
        <f t="shared" si="71"/>
        <v>2026</v>
      </c>
      <c r="W99" s="676">
        <f t="shared" si="71"/>
        <v>2027</v>
      </c>
      <c r="X99" s="676">
        <f t="shared" si="71"/>
        <v>2028</v>
      </c>
      <c r="Y99" s="676">
        <f t="shared" si="71"/>
        <v>2029</v>
      </c>
      <c r="Z99" s="676">
        <f t="shared" si="71"/>
        <v>2030</v>
      </c>
      <c r="AA99" s="676">
        <f t="shared" ref="AA99" si="72">AA2</f>
        <v>2031</v>
      </c>
      <c r="AB99"/>
      <c r="AC99"/>
      <c r="AD99"/>
      <c r="AE99"/>
      <c r="AF99"/>
      <c r="AG99"/>
      <c r="AH99"/>
      <c r="AI99"/>
      <c r="AJ99"/>
      <c r="AK99"/>
      <c r="AL99"/>
      <c r="AM99"/>
      <c r="AN99"/>
      <c r="AO99"/>
      <c r="AP99"/>
      <c r="AQ99"/>
      <c r="AR99"/>
      <c r="AS99"/>
      <c r="AT99"/>
    </row>
    <row r="100" spans="1:46" s="1" customFormat="1" hidden="1" outlineLevel="1">
      <c r="A100" s="1" t="s">
        <v>395</v>
      </c>
      <c r="B100" s="545">
        <v>500</v>
      </c>
      <c r="C100" s="271"/>
      <c r="D100" s="271"/>
      <c r="E100" s="271"/>
      <c r="F100" s="271"/>
      <c r="G100" s="271"/>
      <c r="H100" s="271"/>
      <c r="I100" s="271"/>
      <c r="J100" s="271"/>
      <c r="K100" s="271"/>
      <c r="L100" s="271"/>
      <c r="M100" s="271"/>
      <c r="N100" s="545">
        <v>512</v>
      </c>
      <c r="O100" s="544"/>
      <c r="P100" s="544"/>
      <c r="Q100" s="544"/>
      <c r="R100" s="544"/>
      <c r="S100" s="544"/>
      <c r="T100" s="544"/>
      <c r="U100" s="544"/>
      <c r="V100" s="562"/>
      <c r="W100" s="544"/>
      <c r="X100" s="544"/>
      <c r="Y100" s="544"/>
      <c r="Z100" s="544"/>
      <c r="AA100" s="544"/>
      <c r="AB100"/>
      <c r="AC100"/>
      <c r="AD100"/>
      <c r="AE100"/>
      <c r="AF100"/>
      <c r="AG100"/>
      <c r="AH100"/>
      <c r="AI100"/>
      <c r="AJ100"/>
      <c r="AK100"/>
      <c r="AL100"/>
      <c r="AM100"/>
      <c r="AN100"/>
      <c r="AO100"/>
      <c r="AP100"/>
      <c r="AQ100"/>
      <c r="AR100"/>
      <c r="AS100"/>
      <c r="AT100"/>
    </row>
    <row r="101" spans="1:46" s="1" customFormat="1" hidden="1" outlineLevel="1">
      <c r="A101" s="1" t="s">
        <v>396</v>
      </c>
      <c r="B101" s="545">
        <v>1000</v>
      </c>
      <c r="C101" s="271"/>
      <c r="D101" s="271"/>
      <c r="E101" s="271"/>
      <c r="F101" s="271"/>
      <c r="G101" s="271"/>
      <c r="H101" s="271"/>
      <c r="I101" s="271"/>
      <c r="J101" s="271"/>
      <c r="K101" s="271"/>
      <c r="L101" s="545">
        <v>999</v>
      </c>
      <c r="M101" s="271"/>
      <c r="N101" s="271"/>
      <c r="O101" s="544"/>
      <c r="P101" s="544"/>
      <c r="Q101" s="544"/>
      <c r="R101" s="544"/>
      <c r="S101" s="562"/>
      <c r="T101" s="562"/>
      <c r="U101" s="562"/>
      <c r="V101" s="562"/>
      <c r="W101" s="544"/>
      <c r="X101" s="544"/>
      <c r="Y101" s="544"/>
      <c r="Z101" s="544"/>
      <c r="AA101" s="544"/>
      <c r="AB101"/>
      <c r="AC101"/>
      <c r="AD101"/>
      <c r="AE101"/>
      <c r="AF101"/>
      <c r="AG101"/>
      <c r="AH101"/>
      <c r="AI101"/>
      <c r="AJ101"/>
      <c r="AK101"/>
      <c r="AL101"/>
      <c r="AM101"/>
      <c r="AN101"/>
      <c r="AO101"/>
      <c r="AP101"/>
      <c r="AQ101"/>
      <c r="AR101"/>
      <c r="AS101"/>
      <c r="AT101"/>
    </row>
    <row r="102" spans="1:46" s="1" customFormat="1" hidden="1" outlineLevel="1">
      <c r="A102" s="1" t="s">
        <v>397</v>
      </c>
      <c r="B102" s="545">
        <v>1000</v>
      </c>
      <c r="C102" s="271"/>
      <c r="D102" s="271"/>
      <c r="E102" s="271"/>
      <c r="F102" s="271"/>
      <c r="G102" s="271"/>
      <c r="H102" s="271"/>
      <c r="I102" s="271"/>
      <c r="J102" s="271"/>
      <c r="K102" s="271"/>
      <c r="L102" s="271"/>
      <c r="M102" s="271"/>
      <c r="N102" s="271"/>
      <c r="O102" s="544"/>
      <c r="P102" s="544"/>
      <c r="Q102" s="544"/>
      <c r="R102" s="544"/>
      <c r="S102" s="562"/>
      <c r="T102" s="559">
        <v>1038</v>
      </c>
      <c r="U102" s="559"/>
      <c r="V102" s="562"/>
      <c r="W102" s="544"/>
      <c r="X102" s="544"/>
      <c r="Y102" s="544"/>
      <c r="Z102" s="544"/>
      <c r="AA102" s="544"/>
      <c r="AB102"/>
      <c r="AC102"/>
      <c r="AD102"/>
      <c r="AE102"/>
      <c r="AF102"/>
      <c r="AG102"/>
      <c r="AH102"/>
      <c r="AI102"/>
      <c r="AJ102"/>
      <c r="AK102"/>
      <c r="AL102"/>
      <c r="AM102"/>
      <c r="AN102"/>
      <c r="AO102"/>
      <c r="AP102"/>
      <c r="AQ102"/>
      <c r="AR102"/>
      <c r="AS102"/>
      <c r="AT102"/>
    </row>
    <row r="103" spans="1:46" s="1" customFormat="1" hidden="1" outlineLevel="1">
      <c r="A103" s="1" t="s">
        <v>398</v>
      </c>
      <c r="B103" s="545">
        <v>500</v>
      </c>
      <c r="C103" s="271"/>
      <c r="D103" s="271"/>
      <c r="E103" s="271"/>
      <c r="F103" s="271"/>
      <c r="G103" s="271"/>
      <c r="H103" s="271"/>
      <c r="I103" s="271"/>
      <c r="J103" s="271"/>
      <c r="K103" s="271"/>
      <c r="L103" s="271"/>
      <c r="M103" s="271"/>
      <c r="N103" s="271"/>
      <c r="O103" s="544"/>
      <c r="P103" s="544"/>
      <c r="Q103" s="544"/>
      <c r="R103" s="544"/>
      <c r="S103" s="562"/>
      <c r="T103" s="562"/>
      <c r="U103" s="562"/>
      <c r="V103" s="562"/>
      <c r="W103" s="544">
        <v>523</v>
      </c>
      <c r="X103" s="544">
        <v>523</v>
      </c>
      <c r="Y103" s="544">
        <v>523</v>
      </c>
      <c r="Z103" s="544">
        <v>523</v>
      </c>
      <c r="AA103" s="544">
        <v>523</v>
      </c>
      <c r="AB103"/>
      <c r="AC103"/>
      <c r="AD103"/>
      <c r="AE103"/>
      <c r="AF103"/>
      <c r="AG103"/>
      <c r="AH103"/>
      <c r="AI103"/>
      <c r="AJ103"/>
      <c r="AK103"/>
      <c r="AL103"/>
      <c r="AM103"/>
      <c r="AN103"/>
      <c r="AO103"/>
      <c r="AP103"/>
      <c r="AQ103"/>
      <c r="AR103"/>
      <c r="AS103"/>
      <c r="AT103"/>
    </row>
    <row r="104" spans="1:46" s="1" customFormat="1" hidden="1" outlineLevel="1">
      <c r="A104" s="1" t="s">
        <v>399</v>
      </c>
      <c r="B104" s="593">
        <v>1000</v>
      </c>
      <c r="C104" s="271"/>
      <c r="D104" s="271"/>
      <c r="E104" s="271"/>
      <c r="F104" s="271"/>
      <c r="G104" s="271"/>
      <c r="H104" s="271"/>
      <c r="I104" s="271"/>
      <c r="J104" s="271"/>
      <c r="K104" s="271"/>
      <c r="L104" s="271"/>
      <c r="M104" s="271"/>
      <c r="N104" s="271"/>
      <c r="O104" s="544"/>
      <c r="P104" s="544"/>
      <c r="Q104" s="544"/>
      <c r="R104" s="544"/>
      <c r="S104" s="559">
        <v>848</v>
      </c>
      <c r="T104" s="562"/>
      <c r="U104" s="562"/>
      <c r="V104" s="562"/>
      <c r="W104" s="544"/>
      <c r="X104" s="544"/>
      <c r="Y104" s="544"/>
      <c r="Z104" s="544"/>
      <c r="AA104" s="544"/>
      <c r="AB104"/>
      <c r="AC104"/>
      <c r="AD104"/>
      <c r="AE104"/>
      <c r="AF104"/>
      <c r="AG104"/>
      <c r="AH104"/>
      <c r="AI104"/>
      <c r="AJ104"/>
      <c r="AK104"/>
      <c r="AL104"/>
      <c r="AM104"/>
      <c r="AN104"/>
      <c r="AO104"/>
      <c r="AP104"/>
      <c r="AQ104"/>
      <c r="AR104"/>
      <c r="AS104"/>
      <c r="AT104"/>
    </row>
    <row r="105" spans="1:46" s="1" customFormat="1" hidden="1" outlineLevel="1">
      <c r="A105" s="1" t="s">
        <v>400</v>
      </c>
      <c r="B105" s="545">
        <v>500</v>
      </c>
      <c r="C105" s="271"/>
      <c r="D105" s="271"/>
      <c r="E105" s="271"/>
      <c r="F105" s="271"/>
      <c r="G105" s="271"/>
      <c r="H105" s="271"/>
      <c r="I105" s="271"/>
      <c r="J105" s="271"/>
      <c r="K105" s="271"/>
      <c r="L105" s="271"/>
      <c r="M105" s="271"/>
      <c r="N105" s="271"/>
      <c r="O105" s="544"/>
      <c r="P105" s="544"/>
      <c r="Q105" s="544"/>
      <c r="R105" s="546">
        <v>477</v>
      </c>
      <c r="S105" s="562"/>
      <c r="T105" s="562"/>
      <c r="U105" s="562"/>
      <c r="V105" s="562"/>
      <c r="W105" s="544"/>
      <c r="X105" s="544"/>
      <c r="Y105" s="544"/>
      <c r="Z105" s="544"/>
      <c r="AA105" s="544"/>
      <c r="AB105"/>
      <c r="AC105"/>
      <c r="AD105"/>
      <c r="AE105"/>
      <c r="AF105"/>
      <c r="AG105"/>
      <c r="AH105"/>
      <c r="AI105"/>
      <c r="AJ105"/>
      <c r="AK105"/>
      <c r="AL105"/>
      <c r="AM105"/>
      <c r="AN105"/>
      <c r="AO105"/>
      <c r="AP105"/>
      <c r="AQ105"/>
      <c r="AR105"/>
      <c r="AS105"/>
      <c r="AT105"/>
    </row>
    <row r="106" spans="1:46" s="1" customFormat="1" hidden="1" outlineLevel="1">
      <c r="A106" s="1" t="s">
        <v>440</v>
      </c>
      <c r="B106" s="271"/>
      <c r="C106" s="271"/>
      <c r="D106" s="271"/>
      <c r="E106" s="271"/>
      <c r="F106" s="271"/>
      <c r="G106" s="271"/>
      <c r="H106" s="271"/>
      <c r="I106" s="271"/>
      <c r="J106" s="271"/>
      <c r="K106" s="271"/>
      <c r="L106" s="271"/>
      <c r="M106" s="271"/>
      <c r="N106" s="271"/>
      <c r="O106" s="544"/>
      <c r="P106" s="544"/>
      <c r="Q106" s="544"/>
      <c r="R106" s="544"/>
      <c r="S106" s="562"/>
      <c r="T106" s="562"/>
      <c r="U106" s="562"/>
      <c r="V106" s="562"/>
      <c r="W106" s="544">
        <v>594</v>
      </c>
      <c r="X106" s="544">
        <v>594</v>
      </c>
      <c r="Y106" s="544">
        <v>594</v>
      </c>
      <c r="Z106" s="544">
        <v>594</v>
      </c>
      <c r="AA106" s="544">
        <v>594</v>
      </c>
      <c r="AB106"/>
      <c r="AC106"/>
      <c r="AD106"/>
      <c r="AE106"/>
      <c r="AF106"/>
      <c r="AG106"/>
      <c r="AH106"/>
      <c r="AI106"/>
      <c r="AJ106"/>
      <c r="AK106"/>
      <c r="AL106"/>
      <c r="AM106"/>
      <c r="AN106"/>
      <c r="AO106"/>
      <c r="AP106"/>
      <c r="AQ106"/>
      <c r="AR106"/>
      <c r="AS106"/>
      <c r="AT106"/>
    </row>
    <row r="107" spans="1:46" s="1" customFormat="1" hidden="1" outlineLevel="1">
      <c r="A107" s="1" t="s">
        <v>441</v>
      </c>
      <c r="B107" s="271"/>
      <c r="C107" s="271"/>
      <c r="D107" s="271"/>
      <c r="E107" s="271"/>
      <c r="F107" s="271"/>
      <c r="G107" s="271"/>
      <c r="H107" s="271"/>
      <c r="I107" s="271"/>
      <c r="J107" s="271"/>
      <c r="K107" s="271"/>
      <c r="L107" s="271"/>
      <c r="M107" s="271"/>
      <c r="N107" s="271"/>
      <c r="O107" s="544"/>
      <c r="P107" s="544"/>
      <c r="Q107" s="544"/>
      <c r="R107" s="544"/>
      <c r="S107" s="562"/>
      <c r="T107" s="562"/>
      <c r="U107" s="562"/>
      <c r="V107" s="562"/>
      <c r="W107" s="544">
        <v>865</v>
      </c>
      <c r="X107" s="544">
        <v>865</v>
      </c>
      <c r="Y107" s="544">
        <v>865</v>
      </c>
      <c r="Z107" s="544">
        <v>865</v>
      </c>
      <c r="AA107" s="544">
        <v>865</v>
      </c>
      <c r="AB107"/>
      <c r="AC107"/>
      <c r="AD107"/>
      <c r="AE107"/>
      <c r="AF107"/>
      <c r="AG107"/>
      <c r="AH107"/>
      <c r="AI107"/>
      <c r="AJ107"/>
      <c r="AK107"/>
      <c r="AL107"/>
      <c r="AM107"/>
      <c r="AN107"/>
      <c r="AO107"/>
      <c r="AP107"/>
      <c r="AQ107"/>
      <c r="AR107"/>
      <c r="AS107"/>
      <c r="AT107"/>
    </row>
    <row r="108" spans="1:46" s="1" customFormat="1" hidden="1" outlineLevel="1">
      <c r="A108" s="1" t="s">
        <v>442</v>
      </c>
      <c r="B108" s="271"/>
      <c r="C108" s="271"/>
      <c r="D108" s="271"/>
      <c r="E108" s="271"/>
      <c r="F108" s="271"/>
      <c r="G108" s="271"/>
      <c r="H108" s="271"/>
      <c r="I108" s="271"/>
      <c r="J108" s="271"/>
      <c r="K108" s="271"/>
      <c r="L108" s="271"/>
      <c r="M108" s="271"/>
      <c r="N108" s="271"/>
      <c r="O108" s="544"/>
      <c r="P108" s="544"/>
      <c r="Q108" s="546">
        <v>1061</v>
      </c>
      <c r="R108" s="544"/>
      <c r="S108" s="562"/>
      <c r="T108" s="562"/>
      <c r="U108" s="562"/>
      <c r="V108" s="562"/>
      <c r="W108" s="544"/>
      <c r="X108" s="544"/>
      <c r="Y108" s="544"/>
      <c r="Z108" s="544"/>
      <c r="AA108" s="544"/>
      <c r="AB108"/>
      <c r="AC108"/>
      <c r="AD108"/>
      <c r="AE108"/>
      <c r="AF108"/>
      <c r="AG108"/>
      <c r="AH108"/>
      <c r="AI108"/>
      <c r="AJ108"/>
      <c r="AK108"/>
      <c r="AL108"/>
      <c r="AM108"/>
      <c r="AN108"/>
      <c r="AO108"/>
      <c r="AP108"/>
      <c r="AQ108"/>
      <c r="AR108"/>
      <c r="AS108"/>
      <c r="AT108"/>
    </row>
    <row r="109" spans="1:46" s="1" customFormat="1" hidden="1" outlineLevel="1">
      <c r="A109" s="1" t="s">
        <v>444</v>
      </c>
      <c r="B109" s="271"/>
      <c r="C109" s="271"/>
      <c r="D109" s="271"/>
      <c r="E109" s="271"/>
      <c r="F109" s="271"/>
      <c r="G109" s="271"/>
      <c r="H109" s="271"/>
      <c r="I109" s="271"/>
      <c r="J109" s="271"/>
      <c r="K109" s="271"/>
      <c r="L109" s="271"/>
      <c r="M109" s="271"/>
      <c r="N109" s="271"/>
      <c r="O109" s="544"/>
      <c r="P109" s="544"/>
      <c r="Q109" s="544"/>
      <c r="R109" s="544"/>
      <c r="S109" s="562"/>
      <c r="T109" s="562"/>
      <c r="U109" s="562"/>
      <c r="V109" s="562"/>
      <c r="W109" s="544">
        <v>632</v>
      </c>
      <c r="X109" s="544">
        <v>632</v>
      </c>
      <c r="Y109" s="544">
        <v>632</v>
      </c>
      <c r="Z109" s="544">
        <v>632</v>
      </c>
      <c r="AA109" s="544">
        <v>632</v>
      </c>
      <c r="AB109"/>
      <c r="AC109"/>
      <c r="AD109"/>
      <c r="AE109"/>
      <c r="AF109"/>
      <c r="AG109"/>
      <c r="AH109"/>
      <c r="AI109"/>
      <c r="AJ109"/>
      <c r="AK109"/>
      <c r="AL109"/>
      <c r="AM109"/>
      <c r="AN109"/>
      <c r="AO109"/>
      <c r="AP109"/>
      <c r="AQ109"/>
      <c r="AR109"/>
      <c r="AS109"/>
      <c r="AT109"/>
    </row>
    <row r="110" spans="1:46" s="1" customFormat="1" hidden="1" outlineLevel="1">
      <c r="A110" s="1" t="s">
        <v>443</v>
      </c>
      <c r="B110" s="271"/>
      <c r="C110" s="271"/>
      <c r="D110" s="271"/>
      <c r="E110" s="271"/>
      <c r="F110" s="271"/>
      <c r="G110" s="271"/>
      <c r="H110" s="271"/>
      <c r="I110" s="271"/>
      <c r="J110" s="271"/>
      <c r="K110" s="271"/>
      <c r="L110" s="271"/>
      <c r="M110" s="271"/>
      <c r="N110" s="271"/>
      <c r="O110" s="544"/>
      <c r="P110" s="544"/>
      <c r="Q110" s="544"/>
      <c r="R110" s="544"/>
      <c r="S110" s="562"/>
      <c r="T110" s="562"/>
      <c r="U110" s="562"/>
      <c r="V110" s="562"/>
      <c r="W110" s="544">
        <v>621</v>
      </c>
      <c r="X110" s="544">
        <v>621</v>
      </c>
      <c r="Y110" s="544">
        <v>621</v>
      </c>
      <c r="Z110" s="544">
        <v>621</v>
      </c>
      <c r="AA110" s="544">
        <v>621</v>
      </c>
      <c r="AB110"/>
      <c r="AC110"/>
      <c r="AD110"/>
      <c r="AE110"/>
      <c r="AF110"/>
      <c r="AG110"/>
      <c r="AH110"/>
      <c r="AI110"/>
      <c r="AJ110"/>
      <c r="AK110"/>
      <c r="AL110"/>
      <c r="AM110"/>
      <c r="AN110"/>
      <c r="AO110"/>
      <c r="AP110"/>
      <c r="AQ110"/>
      <c r="AR110"/>
      <c r="AS110"/>
      <c r="AT110"/>
    </row>
    <row r="111" spans="1:46" s="1" customFormat="1" hidden="1" outlineLevel="1">
      <c r="A111" s="1" t="s">
        <v>401</v>
      </c>
      <c r="B111" s="593">
        <v>300</v>
      </c>
      <c r="C111" s="271"/>
      <c r="D111" s="271"/>
      <c r="E111" s="271"/>
      <c r="F111" s="271"/>
      <c r="G111" s="271"/>
      <c r="H111" s="271"/>
      <c r="I111" s="271"/>
      <c r="J111" s="271"/>
      <c r="K111" s="271"/>
      <c r="L111" s="271"/>
      <c r="M111" s="271"/>
      <c r="N111" s="271"/>
      <c r="O111" s="544"/>
      <c r="P111" s="544"/>
      <c r="Q111" s="546">
        <v>87</v>
      </c>
      <c r="R111" s="544"/>
      <c r="S111" s="562"/>
      <c r="T111" s="562"/>
      <c r="U111" s="562"/>
      <c r="V111" s="562"/>
      <c r="W111" s="544"/>
      <c r="X111" s="544"/>
      <c r="Y111" s="544"/>
      <c r="Z111" s="544"/>
      <c r="AA111" s="544"/>
      <c r="AB111"/>
      <c r="AC111"/>
      <c r="AD111"/>
      <c r="AE111"/>
      <c r="AF111"/>
      <c r="AG111"/>
      <c r="AH111"/>
      <c r="AI111"/>
      <c r="AJ111"/>
      <c r="AK111"/>
      <c r="AL111"/>
      <c r="AM111"/>
      <c r="AN111"/>
      <c r="AO111"/>
      <c r="AP111"/>
      <c r="AQ111"/>
      <c r="AR111"/>
      <c r="AS111"/>
      <c r="AT111"/>
    </row>
    <row r="112" spans="1:46" s="1" customFormat="1" hidden="1" outlineLevel="1">
      <c r="A112" s="1" t="s">
        <v>402</v>
      </c>
      <c r="B112" s="593">
        <v>720.75</v>
      </c>
      <c r="C112" s="271"/>
      <c r="D112" s="271"/>
      <c r="E112" s="271"/>
      <c r="F112" s="271"/>
      <c r="G112" s="271"/>
      <c r="H112" s="271"/>
      <c r="I112" s="271"/>
      <c r="J112" s="271"/>
      <c r="K112" s="271"/>
      <c r="L112" s="271"/>
      <c r="M112" s="271"/>
      <c r="N112" s="271"/>
      <c r="O112" s="544"/>
      <c r="P112" s="544"/>
      <c r="Q112" s="546">
        <v>0</v>
      </c>
      <c r="R112" s="544"/>
      <c r="S112" s="562"/>
      <c r="T112" s="562"/>
      <c r="U112" s="562"/>
      <c r="V112" s="562"/>
      <c r="W112" s="544"/>
      <c r="X112" s="544"/>
      <c r="Y112" s="544"/>
      <c r="Z112" s="544"/>
      <c r="AA112" s="544"/>
      <c r="AB112"/>
      <c r="AC112"/>
      <c r="AD112"/>
      <c r="AE112"/>
      <c r="AF112"/>
      <c r="AG112"/>
      <c r="AH112"/>
      <c r="AI112"/>
      <c r="AJ112"/>
      <c r="AK112"/>
      <c r="AL112"/>
      <c r="AM112"/>
      <c r="AN112"/>
      <c r="AO112"/>
      <c r="AP112"/>
      <c r="AQ112"/>
      <c r="AR112"/>
      <c r="AS112"/>
      <c r="AT112"/>
    </row>
    <row r="113" spans="1:46" s="1" customFormat="1" hidden="1" outlineLevel="1">
      <c r="A113" s="1" t="s">
        <v>403</v>
      </c>
      <c r="B113" s="593">
        <v>406.11</v>
      </c>
      <c r="C113" s="271"/>
      <c r="D113" s="271"/>
      <c r="E113" s="271"/>
      <c r="F113" s="271"/>
      <c r="G113" s="271"/>
      <c r="H113" s="271"/>
      <c r="I113" s="271"/>
      <c r="J113" s="271"/>
      <c r="K113" s="271"/>
      <c r="L113" s="271"/>
      <c r="M113" s="271"/>
      <c r="N113" s="271"/>
      <c r="O113" s="544"/>
      <c r="P113" s="546">
        <v>0</v>
      </c>
      <c r="Q113" s="544"/>
      <c r="R113" s="544"/>
      <c r="S113" s="562"/>
      <c r="T113" s="562"/>
      <c r="U113" s="562"/>
      <c r="V113" s="562"/>
      <c r="W113" s="544"/>
      <c r="X113" s="544"/>
      <c r="Y113" s="544"/>
      <c r="Z113" s="544"/>
      <c r="AA113" s="544"/>
      <c r="AB113"/>
      <c r="AC113"/>
      <c r="AD113"/>
      <c r="AE113"/>
      <c r="AF113"/>
      <c r="AG113"/>
      <c r="AH113"/>
      <c r="AI113"/>
      <c r="AJ113"/>
      <c r="AK113"/>
      <c r="AL113"/>
      <c r="AM113"/>
      <c r="AN113"/>
      <c r="AO113"/>
      <c r="AP113"/>
      <c r="AQ113"/>
      <c r="AR113"/>
      <c r="AS113"/>
      <c r="AT113"/>
    </row>
    <row r="114" spans="1:46" s="1" customFormat="1" hidden="1" outlineLevel="1">
      <c r="A114" s="1" t="s">
        <v>404</v>
      </c>
      <c r="B114" s="593">
        <v>626.85</v>
      </c>
      <c r="C114" s="271"/>
      <c r="D114" s="271"/>
      <c r="E114" s="271"/>
      <c r="F114" s="271"/>
      <c r="G114" s="271"/>
      <c r="H114" s="271"/>
      <c r="I114" s="271"/>
      <c r="J114" s="271"/>
      <c r="K114" s="271"/>
      <c r="L114" s="271"/>
      <c r="M114" s="271"/>
      <c r="N114" s="271"/>
      <c r="O114" s="544"/>
      <c r="P114" s="544"/>
      <c r="Q114" s="544"/>
      <c r="R114" s="544"/>
      <c r="S114" s="562"/>
      <c r="T114" s="559">
        <v>0</v>
      </c>
      <c r="U114" s="559"/>
      <c r="V114" s="562"/>
      <c r="W114" s="544"/>
      <c r="X114" s="544"/>
      <c r="Y114" s="544"/>
      <c r="Z114" s="544"/>
      <c r="AA114" s="544"/>
      <c r="AB114"/>
      <c r="AC114"/>
      <c r="AD114"/>
      <c r="AE114"/>
      <c r="AF114"/>
      <c r="AG114"/>
      <c r="AH114"/>
      <c r="AI114"/>
      <c r="AJ114"/>
      <c r="AK114"/>
      <c r="AL114"/>
      <c r="AM114"/>
      <c r="AN114"/>
      <c r="AO114"/>
      <c r="AP114"/>
      <c r="AQ114"/>
      <c r="AR114"/>
      <c r="AS114"/>
      <c r="AT114"/>
    </row>
    <row r="115" spans="1:46" s="1" customFormat="1" hidden="1" outlineLevel="1">
      <c r="A115" s="1" t="s">
        <v>405</v>
      </c>
      <c r="B115" s="593">
        <v>320.13</v>
      </c>
      <c r="C115" s="594"/>
      <c r="D115" s="594"/>
      <c r="E115" s="594"/>
      <c r="F115" s="594"/>
      <c r="G115" s="594"/>
      <c r="H115" s="594"/>
      <c r="I115" s="594"/>
      <c r="J115" s="594"/>
      <c r="K115" s="271"/>
      <c r="L115" s="271"/>
      <c r="M115" s="271"/>
      <c r="N115" s="271"/>
      <c r="O115" s="544"/>
      <c r="P115" s="544"/>
      <c r="Q115" s="544"/>
      <c r="R115" s="544"/>
      <c r="S115" s="562"/>
      <c r="T115" s="562"/>
      <c r="U115" s="562">
        <v>0</v>
      </c>
      <c r="V115" s="559">
        <v>0</v>
      </c>
      <c r="W115" s="559"/>
      <c r="X115" s="559"/>
      <c r="Y115" s="559"/>
      <c r="Z115" s="559"/>
      <c r="AA115" s="559"/>
      <c r="AB115"/>
      <c r="AC115"/>
      <c r="AD115"/>
      <c r="AE115"/>
      <c r="AF115"/>
      <c r="AG115"/>
      <c r="AH115"/>
      <c r="AI115"/>
      <c r="AJ115"/>
      <c r="AK115"/>
      <c r="AL115"/>
      <c r="AM115"/>
      <c r="AN115"/>
      <c r="AO115"/>
      <c r="AP115"/>
      <c r="AQ115"/>
      <c r="AR115"/>
      <c r="AS115"/>
      <c r="AT115"/>
    </row>
    <row r="116" spans="1:46" s="1" customFormat="1" hidden="1" outlineLevel="1">
      <c r="A116" s="1" t="s">
        <v>209</v>
      </c>
      <c r="B116" s="271"/>
      <c r="C116" s="271"/>
      <c r="D116" s="271"/>
      <c r="E116" s="271"/>
      <c r="F116" s="271"/>
      <c r="G116" s="271"/>
      <c r="H116" s="271"/>
      <c r="I116" s="271"/>
      <c r="J116" s="271"/>
      <c r="K116" s="595">
        <f t="shared" ref="K116:Z116" si="73">SUM(K100:K115)</f>
        <v>0</v>
      </c>
      <c r="L116" s="595">
        <f t="shared" si="73"/>
        <v>999</v>
      </c>
      <c r="M116" s="595">
        <f t="shared" si="73"/>
        <v>0</v>
      </c>
      <c r="N116" s="595">
        <f t="shared" si="73"/>
        <v>512</v>
      </c>
      <c r="O116" s="596">
        <f t="shared" si="73"/>
        <v>0</v>
      </c>
      <c r="P116" s="596">
        <f t="shared" si="73"/>
        <v>0</v>
      </c>
      <c r="Q116" s="596">
        <f t="shared" si="73"/>
        <v>1148</v>
      </c>
      <c r="R116" s="596">
        <f t="shared" si="73"/>
        <v>477</v>
      </c>
      <c r="S116" s="597">
        <f t="shared" si="73"/>
        <v>848</v>
      </c>
      <c r="T116" s="597">
        <f t="shared" si="73"/>
        <v>1038</v>
      </c>
      <c r="U116" s="597">
        <f t="shared" si="73"/>
        <v>0</v>
      </c>
      <c r="V116" s="597">
        <f t="shared" si="73"/>
        <v>0</v>
      </c>
      <c r="W116" s="597">
        <f t="shared" si="73"/>
        <v>3235</v>
      </c>
      <c r="X116" s="597">
        <f t="shared" si="73"/>
        <v>3235</v>
      </c>
      <c r="Y116" s="597">
        <f t="shared" si="73"/>
        <v>3235</v>
      </c>
      <c r="Z116" s="597">
        <f t="shared" si="73"/>
        <v>3235</v>
      </c>
      <c r="AA116" s="597">
        <f t="shared" ref="AA116" si="74">SUM(AA100:AA115)</f>
        <v>3235</v>
      </c>
      <c r="AB116"/>
      <c r="AC116"/>
      <c r="AD116"/>
      <c r="AE116"/>
      <c r="AF116"/>
      <c r="AG116"/>
      <c r="AH116"/>
      <c r="AI116"/>
      <c r="AJ116"/>
      <c r="AK116"/>
      <c r="AL116"/>
      <c r="AM116"/>
      <c r="AN116"/>
      <c r="AO116"/>
      <c r="AP116"/>
      <c r="AQ116"/>
      <c r="AR116"/>
      <c r="AS116"/>
      <c r="AT116"/>
    </row>
    <row r="117" spans="1:46" s="1" customFormat="1" collapsed="1">
      <c r="B117" s="271"/>
      <c r="C117" s="271"/>
      <c r="D117" s="271"/>
      <c r="E117" s="271"/>
      <c r="F117" s="271"/>
      <c r="G117" s="271"/>
      <c r="H117" s="271"/>
      <c r="I117" s="271"/>
      <c r="J117" s="271"/>
      <c r="K117" s="271"/>
      <c r="L117" s="271"/>
      <c r="M117" s="271"/>
      <c r="N117" s="271"/>
      <c r="O117" s="544"/>
      <c r="P117" s="544"/>
      <c r="Q117" s="544"/>
      <c r="R117" s="544"/>
      <c r="S117" s="562"/>
      <c r="T117" s="562"/>
      <c r="U117" s="562"/>
      <c r="V117" s="562"/>
      <c r="W117" s="562"/>
      <c r="X117" s="562"/>
      <c r="Y117" s="562"/>
      <c r="Z117" s="562"/>
      <c r="AA117" s="562"/>
      <c r="AB117"/>
      <c r="AC117"/>
      <c r="AD117"/>
      <c r="AE117"/>
      <c r="AF117"/>
      <c r="AG117"/>
      <c r="AH117"/>
      <c r="AI117"/>
      <c r="AJ117"/>
      <c r="AK117"/>
      <c r="AL117"/>
      <c r="AM117"/>
      <c r="AN117"/>
      <c r="AO117"/>
      <c r="AP117"/>
      <c r="AQ117"/>
      <c r="AR117"/>
      <c r="AS117"/>
      <c r="AT117"/>
    </row>
    <row r="118" spans="1:46">
      <c r="A118" s="266" t="s">
        <v>615</v>
      </c>
      <c r="B118" s="615">
        <f>B2</f>
        <v>2006</v>
      </c>
      <c r="C118" s="615">
        <f t="shared" ref="C118:T118" si="75">C2</f>
        <v>2007</v>
      </c>
      <c r="D118" s="615">
        <f t="shared" si="75"/>
        <v>2008</v>
      </c>
      <c r="E118" s="615">
        <f t="shared" si="75"/>
        <v>2009</v>
      </c>
      <c r="F118" s="615">
        <f t="shared" si="75"/>
        <v>2010</v>
      </c>
      <c r="G118" s="615">
        <f t="shared" si="75"/>
        <v>2011</v>
      </c>
      <c r="H118" s="615">
        <f t="shared" si="75"/>
        <v>2012</v>
      </c>
      <c r="I118" s="615">
        <f t="shared" si="75"/>
        <v>2013</v>
      </c>
      <c r="J118" s="615">
        <f t="shared" si="75"/>
        <v>2014</v>
      </c>
      <c r="K118" s="615">
        <f t="shared" si="75"/>
        <v>2015</v>
      </c>
      <c r="L118" s="615">
        <f t="shared" si="75"/>
        <v>2016</v>
      </c>
      <c r="M118" s="615">
        <f t="shared" si="75"/>
        <v>2017</v>
      </c>
      <c r="N118" s="615">
        <f t="shared" si="75"/>
        <v>2018</v>
      </c>
      <c r="O118" s="615">
        <f t="shared" si="75"/>
        <v>2019</v>
      </c>
      <c r="P118" s="615">
        <f t="shared" si="75"/>
        <v>2020</v>
      </c>
      <c r="Q118" s="615">
        <f t="shared" si="75"/>
        <v>2021</v>
      </c>
      <c r="R118" s="615">
        <f t="shared" si="75"/>
        <v>2022</v>
      </c>
      <c r="S118" s="615">
        <f t="shared" si="75"/>
        <v>2023</v>
      </c>
      <c r="T118" s="615">
        <f t="shared" si="75"/>
        <v>2024</v>
      </c>
      <c r="U118" s="615">
        <f>U2</f>
        <v>2025</v>
      </c>
      <c r="V118" s="676">
        <f t="shared" ref="V118:Z118" si="76">V2</f>
        <v>2026</v>
      </c>
      <c r="W118" s="676">
        <f t="shared" si="76"/>
        <v>2027</v>
      </c>
      <c r="X118" s="676">
        <f t="shared" si="76"/>
        <v>2028</v>
      </c>
      <c r="Y118" s="676">
        <f t="shared" si="76"/>
        <v>2029</v>
      </c>
      <c r="Z118" s="676">
        <f t="shared" si="76"/>
        <v>2030</v>
      </c>
      <c r="AA118" s="676">
        <f t="shared" ref="AA118" si="77">AA2</f>
        <v>2031</v>
      </c>
    </row>
    <row r="119" spans="1:46">
      <c r="A119" s="665" t="s">
        <v>614</v>
      </c>
      <c r="B119" s="581">
        <f t="shared" ref="B119:Z119" si="78">SUM(B120:B121)</f>
        <v>-4986</v>
      </c>
      <c r="C119" s="581">
        <f t="shared" si="78"/>
        <v>-4174</v>
      </c>
      <c r="D119" s="581">
        <f t="shared" si="78"/>
        <v>-3958</v>
      </c>
      <c r="E119" s="581">
        <f t="shared" si="78"/>
        <v>-5306</v>
      </c>
      <c r="F119" s="581">
        <f t="shared" si="78"/>
        <v>-5221</v>
      </c>
      <c r="G119" s="581">
        <f t="shared" si="78"/>
        <v>-5821</v>
      </c>
      <c r="H119" s="581">
        <f t="shared" si="78"/>
        <v>-6433</v>
      </c>
      <c r="I119" s="581">
        <f t="shared" si="78"/>
        <v>-6615</v>
      </c>
      <c r="J119" s="581">
        <f t="shared" si="78"/>
        <v>-8250</v>
      </c>
      <c r="K119" s="581">
        <f t="shared" si="78"/>
        <v>-7615</v>
      </c>
      <c r="L119" s="581">
        <f t="shared" si="78"/>
        <v>-8656</v>
      </c>
      <c r="M119" s="581">
        <f t="shared" si="78"/>
        <v>-8361</v>
      </c>
      <c r="N119" s="581">
        <f t="shared" si="78"/>
        <v>-7072</v>
      </c>
      <c r="O119" s="581">
        <f t="shared" si="78"/>
        <v>-8353</v>
      </c>
      <c r="P119" s="581">
        <f t="shared" si="78"/>
        <v>-9980</v>
      </c>
      <c r="Q119" s="581">
        <f t="shared" si="78"/>
        <v>-7072</v>
      </c>
      <c r="R119" s="581">
        <f t="shared" si="78"/>
        <v>-3509</v>
      </c>
      <c r="S119" s="581">
        <f t="shared" si="78"/>
        <v>-2342</v>
      </c>
      <c r="T119" s="581">
        <f t="shared" si="78"/>
        <v>-1144</v>
      </c>
      <c r="U119" s="581">
        <f t="shared" si="78"/>
        <v>-644</v>
      </c>
      <c r="V119" s="581">
        <f t="shared" si="78"/>
        <v>-144</v>
      </c>
      <c r="W119" s="581">
        <f t="shared" si="78"/>
        <v>356</v>
      </c>
      <c r="X119" s="581">
        <f t="shared" si="78"/>
        <v>856</v>
      </c>
      <c r="Y119" s="581">
        <f t="shared" si="78"/>
        <v>1356</v>
      </c>
      <c r="Z119" s="581">
        <f t="shared" si="78"/>
        <v>1856</v>
      </c>
      <c r="AA119" s="581">
        <f t="shared" ref="AA119" si="79">SUM(AA120:AA121)</f>
        <v>2356</v>
      </c>
    </row>
    <row r="120" spans="1:46">
      <c r="A120" s="8" t="s">
        <v>189</v>
      </c>
      <c r="B120" s="581">
        <v>-4986</v>
      </c>
      <c r="C120" s="581">
        <v>-4174</v>
      </c>
      <c r="D120" s="581">
        <v>-3958</v>
      </c>
      <c r="E120" s="581">
        <v>-5306</v>
      </c>
      <c r="F120" s="581">
        <v>-5221</v>
      </c>
      <c r="G120" s="552">
        <v>-5821</v>
      </c>
      <c r="H120" s="573">
        <v>-6433</v>
      </c>
      <c r="I120" s="580">
        <v>-6615</v>
      </c>
      <c r="J120" s="580">
        <v>-8250</v>
      </c>
      <c r="K120" s="580">
        <v>-7615</v>
      </c>
      <c r="L120" s="580">
        <v>-8656</v>
      </c>
      <c r="M120" s="580">
        <v>-8361</v>
      </c>
      <c r="N120" s="580">
        <v>-7072</v>
      </c>
      <c r="O120" s="559">
        <v>-8353</v>
      </c>
      <c r="P120" s="559">
        <v>-9980</v>
      </c>
      <c r="Q120" s="559">
        <v>-7072</v>
      </c>
      <c r="R120" s="559">
        <v>-3509</v>
      </c>
      <c r="S120" s="559">
        <v>-2715</v>
      </c>
      <c r="T120" s="559">
        <v>-1821</v>
      </c>
      <c r="U120" s="559">
        <f t="shared" ref="U120:AA120" si="80">T120-U122</f>
        <v>-1321</v>
      </c>
      <c r="V120" s="562">
        <f t="shared" si="80"/>
        <v>-821</v>
      </c>
      <c r="W120" s="562">
        <f t="shared" si="80"/>
        <v>-321</v>
      </c>
      <c r="X120" s="562">
        <f t="shared" si="80"/>
        <v>179</v>
      </c>
      <c r="Y120" s="562">
        <f t="shared" si="80"/>
        <v>679</v>
      </c>
      <c r="Z120" s="562">
        <f t="shared" si="80"/>
        <v>1179</v>
      </c>
      <c r="AA120" s="562">
        <f t="shared" si="80"/>
        <v>1679</v>
      </c>
    </row>
    <row r="121" spans="1:46">
      <c r="A121" s="8" t="s">
        <v>613</v>
      </c>
      <c r="B121" s="581"/>
      <c r="C121" s="581"/>
      <c r="D121" s="581"/>
      <c r="E121" s="581"/>
      <c r="F121" s="581"/>
      <c r="G121" s="552"/>
      <c r="H121" s="573"/>
      <c r="I121" s="580"/>
      <c r="J121" s="580"/>
      <c r="K121" s="580"/>
      <c r="L121" s="580"/>
      <c r="M121" s="580"/>
      <c r="N121" s="580"/>
      <c r="O121" s="559"/>
      <c r="P121" s="559"/>
      <c r="Q121" s="559"/>
      <c r="R121" s="559"/>
      <c r="S121" s="559">
        <v>373</v>
      </c>
      <c r="T121" s="559">
        <v>677</v>
      </c>
      <c r="U121" s="559">
        <f>T121</f>
        <v>677</v>
      </c>
      <c r="V121" s="562">
        <f t="shared" ref="V121:AA121" si="81">U121</f>
        <v>677</v>
      </c>
      <c r="W121" s="562">
        <f t="shared" si="81"/>
        <v>677</v>
      </c>
      <c r="X121" s="562">
        <f t="shared" si="81"/>
        <v>677</v>
      </c>
      <c r="Y121" s="562">
        <f t="shared" si="81"/>
        <v>677</v>
      </c>
      <c r="Z121" s="562">
        <f t="shared" si="81"/>
        <v>677</v>
      </c>
      <c r="AA121" s="562">
        <f t="shared" si="81"/>
        <v>677</v>
      </c>
    </row>
    <row r="122" spans="1:46">
      <c r="A122" s="8" t="s">
        <v>197</v>
      </c>
      <c r="B122" s="561">
        <f>-'Cash Flow Statement'!B83</f>
        <v>0</v>
      </c>
      <c r="C122" s="561">
        <f>-'Cash Flow Statement'!C83</f>
        <v>-303</v>
      </c>
      <c r="D122" s="561">
        <f>-'Cash Flow Statement'!D83</f>
        <v>-436</v>
      </c>
      <c r="E122" s="561">
        <f>-'Cash Flow Statement'!E83</f>
        <v>-173</v>
      </c>
      <c r="F122" s="561">
        <f>-'Cash Flow Statement'!F83</f>
        <v>-553</v>
      </c>
      <c r="G122" s="561">
        <f>-'Cash Flow Statement'!G83</f>
        <v>-489</v>
      </c>
      <c r="H122" s="561">
        <f>-'Cash Flow Statement'!H83</f>
        <v>-856</v>
      </c>
      <c r="I122" s="561">
        <f>-'Cash Flow Statement'!I83</f>
        <v>-223</v>
      </c>
      <c r="J122" s="561">
        <f>-'Cash Flow Statement'!J83</f>
        <v>-462</v>
      </c>
      <c r="K122" s="561">
        <f>-'Cash Flow Statement'!K83</f>
        <v>-217</v>
      </c>
      <c r="L122" s="561">
        <f>-'Cash Flow Statement'!L83</f>
        <v>-290</v>
      </c>
      <c r="M122" s="580">
        <v>-458</v>
      </c>
      <c r="N122" s="580">
        <v>-2519</v>
      </c>
      <c r="O122" s="559">
        <v>-1752</v>
      </c>
      <c r="P122" s="559">
        <v>-314</v>
      </c>
      <c r="Q122" s="559">
        <v>-533</v>
      </c>
      <c r="R122" s="559">
        <v>-601</v>
      </c>
      <c r="S122" s="559">
        <v>-668</v>
      </c>
      <c r="T122" s="559">
        <v>-505</v>
      </c>
      <c r="U122" s="559">
        <v>-500</v>
      </c>
      <c r="V122" s="792">
        <v>-500</v>
      </c>
      <c r="W122" s="792">
        <v>-500</v>
      </c>
      <c r="X122" s="792">
        <v>-500</v>
      </c>
      <c r="Y122" s="792">
        <v>-500</v>
      </c>
      <c r="Z122" s="792">
        <v>-500</v>
      </c>
      <c r="AA122" s="792">
        <v>-500</v>
      </c>
    </row>
    <row r="123" spans="1:46">
      <c r="A123" s="8"/>
      <c r="B123" s="561"/>
      <c r="C123" s="561"/>
      <c r="D123" s="561"/>
      <c r="E123" s="561"/>
      <c r="F123" s="561"/>
      <c r="G123" s="561"/>
      <c r="H123" s="561"/>
      <c r="I123" s="561"/>
      <c r="J123" s="561"/>
      <c r="K123" s="561"/>
      <c r="L123" s="561"/>
      <c r="M123" s="580"/>
      <c r="N123" s="580"/>
      <c r="O123" s="559"/>
      <c r="P123" s="559"/>
      <c r="Q123" s="559"/>
      <c r="R123" s="559"/>
      <c r="S123" s="559"/>
      <c r="T123" s="546"/>
      <c r="U123" s="546"/>
      <c r="V123" s="546"/>
      <c r="W123" s="546"/>
      <c r="X123" s="546"/>
      <c r="Y123" s="546"/>
      <c r="Z123" s="546"/>
      <c r="AA123" s="546"/>
    </row>
    <row r="124" spans="1:46">
      <c r="A124" s="266" t="s">
        <v>616</v>
      </c>
      <c r="B124" s="615">
        <f>B2</f>
        <v>2006</v>
      </c>
      <c r="C124" s="615">
        <f t="shared" ref="C124:T124" si="82">C2</f>
        <v>2007</v>
      </c>
      <c r="D124" s="615">
        <f t="shared" si="82"/>
        <v>2008</v>
      </c>
      <c r="E124" s="615">
        <f t="shared" si="82"/>
        <v>2009</v>
      </c>
      <c r="F124" s="615">
        <f t="shared" si="82"/>
        <v>2010</v>
      </c>
      <c r="G124" s="615">
        <f t="shared" si="82"/>
        <v>2011</v>
      </c>
      <c r="H124" s="615">
        <f t="shared" si="82"/>
        <v>2012</v>
      </c>
      <c r="I124" s="615">
        <f t="shared" si="82"/>
        <v>2013</v>
      </c>
      <c r="J124" s="615">
        <f t="shared" si="82"/>
        <v>2014</v>
      </c>
      <c r="K124" s="615">
        <f t="shared" si="82"/>
        <v>2015</v>
      </c>
      <c r="L124" s="615">
        <f t="shared" si="82"/>
        <v>2016</v>
      </c>
      <c r="M124" s="615">
        <f t="shared" si="82"/>
        <v>2017</v>
      </c>
      <c r="N124" s="615">
        <f t="shared" si="82"/>
        <v>2018</v>
      </c>
      <c r="O124" s="615">
        <f t="shared" si="82"/>
        <v>2019</v>
      </c>
      <c r="P124" s="615">
        <f t="shared" si="82"/>
        <v>2020</v>
      </c>
      <c r="Q124" s="615">
        <f t="shared" si="82"/>
        <v>2021</v>
      </c>
      <c r="R124" s="615">
        <f t="shared" si="82"/>
        <v>2022</v>
      </c>
      <c r="S124" s="615">
        <f t="shared" si="82"/>
        <v>2023</v>
      </c>
      <c r="T124" s="615">
        <f t="shared" si="82"/>
        <v>2024</v>
      </c>
      <c r="U124" s="615">
        <f>U2</f>
        <v>2025</v>
      </c>
      <c r="V124" s="676">
        <f t="shared" ref="V124:Z124" si="83">V2</f>
        <v>2026</v>
      </c>
      <c r="W124" s="676">
        <f t="shared" si="83"/>
        <v>2027</v>
      </c>
      <c r="X124" s="676">
        <f t="shared" si="83"/>
        <v>2028</v>
      </c>
      <c r="Y124" s="676">
        <f t="shared" si="83"/>
        <v>2029</v>
      </c>
      <c r="Z124" s="676">
        <f t="shared" si="83"/>
        <v>2030</v>
      </c>
      <c r="AA124" s="676">
        <f t="shared" ref="AA124" si="84">AA2</f>
        <v>2031</v>
      </c>
    </row>
    <row r="125" spans="1:46" s="9" customFormat="1">
      <c r="A125" s="1" t="s">
        <v>617</v>
      </c>
      <c r="B125" s="271">
        <f t="shared" ref="B125:Z125" si="85">B127+B129</f>
        <v>-5418</v>
      </c>
      <c r="C125" s="271">
        <f t="shared" si="85"/>
        <v>-5315</v>
      </c>
      <c r="D125" s="271">
        <f t="shared" si="85"/>
        <v>-4920</v>
      </c>
      <c r="E125" s="271">
        <f t="shared" si="85"/>
        <v>-5294</v>
      </c>
      <c r="F125" s="271">
        <f t="shared" si="85"/>
        <v>-6020</v>
      </c>
      <c r="G125" s="271">
        <f t="shared" si="85"/>
        <v>-5737</v>
      </c>
      <c r="H125" s="271">
        <f t="shared" si="85"/>
        <v>-6112</v>
      </c>
      <c r="I125" s="271">
        <f t="shared" si="85"/>
        <v>-6112</v>
      </c>
      <c r="J125" s="271">
        <f t="shared" si="85"/>
        <v>-6528</v>
      </c>
      <c r="K125" s="271">
        <f t="shared" si="85"/>
        <v>-7286</v>
      </c>
      <c r="L125" s="271">
        <f t="shared" si="85"/>
        <v>-7070</v>
      </c>
      <c r="M125" s="271">
        <f t="shared" si="85"/>
        <v>-5901</v>
      </c>
      <c r="N125" s="271">
        <f t="shared" si="85"/>
        <v>-4577</v>
      </c>
      <c r="O125" s="544">
        <f t="shared" si="85"/>
        <v>-4277</v>
      </c>
      <c r="P125" s="544">
        <f t="shared" si="85"/>
        <v>-3912</v>
      </c>
      <c r="Q125" s="544">
        <f t="shared" si="85"/>
        <v>-3861</v>
      </c>
      <c r="R125" s="544">
        <f t="shared" si="85"/>
        <v>-3857</v>
      </c>
      <c r="S125" s="544">
        <f t="shared" si="85"/>
        <v>-3856</v>
      </c>
      <c r="T125" s="544">
        <f t="shared" si="85"/>
        <v>-3859</v>
      </c>
      <c r="U125" s="544">
        <f t="shared" si="85"/>
        <v>-3865.3120970057498</v>
      </c>
      <c r="V125" s="544">
        <f t="shared" si="85"/>
        <v>-3874.5338363211276</v>
      </c>
      <c r="W125" s="544">
        <f t="shared" si="85"/>
        <v>-3886.3151738107972</v>
      </c>
      <c r="X125" s="544">
        <f t="shared" si="85"/>
        <v>-3900.3516781649446</v>
      </c>
      <c r="Y125" s="544">
        <f t="shared" si="85"/>
        <v>-3916.3786150432011</v>
      </c>
      <c r="Z125" s="544">
        <f t="shared" si="85"/>
        <v>-3934.1657986918867</v>
      </c>
      <c r="AA125" s="544">
        <f t="shared" ref="AA125" si="86">AA127+AA129</f>
        <v>-3953.5131114705532</v>
      </c>
    </row>
    <row r="126" spans="1:46">
      <c r="A126" s="1" t="s">
        <v>5</v>
      </c>
      <c r="B126" s="545"/>
      <c r="C126" s="545"/>
      <c r="D126" s="545"/>
      <c r="E126" s="271"/>
      <c r="F126" s="271"/>
      <c r="G126" s="271"/>
      <c r="H126" s="271"/>
      <c r="I126" s="271"/>
      <c r="J126" s="271"/>
      <c r="K126" s="271"/>
      <c r="L126" s="271"/>
      <c r="M126" s="271"/>
      <c r="N126" s="271"/>
      <c r="O126" s="544"/>
      <c r="P126" s="544"/>
      <c r="Q126" s="544"/>
      <c r="R126" s="544"/>
      <c r="S126" s="544"/>
      <c r="T126" s="544"/>
      <c r="U126" s="544"/>
      <c r="V126" s="544"/>
      <c r="W126" s="544"/>
      <c r="X126" s="544"/>
      <c r="Y126" s="544"/>
      <c r="Z126" s="544"/>
      <c r="AA126" s="544"/>
    </row>
    <row r="127" spans="1:46">
      <c r="A127" s="8" t="s">
        <v>191</v>
      </c>
      <c r="B127" s="545">
        <v>-389</v>
      </c>
      <c r="C127" s="545">
        <v>-461</v>
      </c>
      <c r="D127" s="545">
        <v>-357</v>
      </c>
      <c r="E127" s="545">
        <v>-412</v>
      </c>
      <c r="F127" s="545">
        <v>-52</v>
      </c>
      <c r="G127" s="545">
        <v>-211</v>
      </c>
      <c r="H127" s="545">
        <v>-358</v>
      </c>
      <c r="I127" s="545">
        <v>-358</v>
      </c>
      <c r="J127" s="545">
        <v>-508</v>
      </c>
      <c r="K127" s="545">
        <v>-570</v>
      </c>
      <c r="L127" s="545">
        <v>-730</v>
      </c>
      <c r="M127" s="545">
        <v>-364</v>
      </c>
      <c r="N127" s="567">
        <v>-344</v>
      </c>
      <c r="O127" s="559">
        <v>-552</v>
      </c>
      <c r="P127" s="546">
        <v>-200</v>
      </c>
      <c r="Q127" s="546">
        <v>-131</v>
      </c>
      <c r="R127" s="546">
        <v>-140</v>
      </c>
      <c r="S127" s="546">
        <v>-185</v>
      </c>
      <c r="T127" s="546">
        <v>-161</v>
      </c>
      <c r="U127" s="546">
        <f>T127*(1+((T127/S127)-1))</f>
        <v>-140.11351351351351</v>
      </c>
      <c r="V127" s="544">
        <f t="shared" ref="V127:AA127" si="87">U127*(1+((U127/T127)-1))</f>
        <v>-121.93662527392257</v>
      </c>
      <c r="W127" s="544">
        <f t="shared" si="87"/>
        <v>-106.11781983298127</v>
      </c>
      <c r="X127" s="544">
        <f t="shared" si="87"/>
        <v>-92.351183746540457</v>
      </c>
      <c r="Y127" s="544">
        <f t="shared" si="87"/>
        <v>-80.370489638881153</v>
      </c>
      <c r="Z127" s="544">
        <f t="shared" si="87"/>
        <v>-69.944047739783059</v>
      </c>
      <c r="AA127" s="544">
        <f t="shared" si="87"/>
        <v>-60.870225330297686</v>
      </c>
    </row>
    <row r="128" spans="1:46">
      <c r="A128" s="1" t="s">
        <v>192</v>
      </c>
      <c r="B128" s="271"/>
      <c r="C128" s="271"/>
      <c r="D128" s="271"/>
      <c r="E128" s="271"/>
      <c r="F128" s="271"/>
      <c r="G128" s="271"/>
      <c r="H128" s="271"/>
      <c r="I128" s="271"/>
      <c r="J128" s="271"/>
      <c r="K128" s="271"/>
      <c r="L128" s="271"/>
      <c r="M128" s="271"/>
      <c r="N128" s="271"/>
      <c r="O128" s="544"/>
      <c r="P128" s="544"/>
      <c r="Q128" s="544"/>
      <c r="R128" s="544"/>
      <c r="S128" s="544"/>
      <c r="T128" s="544"/>
      <c r="U128" s="544"/>
      <c r="V128" s="544"/>
      <c r="W128" s="544"/>
      <c r="X128" s="544"/>
      <c r="Y128" s="544"/>
      <c r="Z128" s="544"/>
      <c r="AA128" s="544"/>
    </row>
    <row r="129" spans="1:27">
      <c r="A129" s="8" t="s">
        <v>191</v>
      </c>
      <c r="B129" s="545">
        <v>-5029</v>
      </c>
      <c r="C129" s="545">
        <v>-4854</v>
      </c>
      <c r="D129" s="545">
        <v>-4563</v>
      </c>
      <c r="E129" s="545">
        <v>-4882</v>
      </c>
      <c r="F129" s="545">
        <v>-5968</v>
      </c>
      <c r="G129" s="545">
        <v>-5526</v>
      </c>
      <c r="H129" s="545">
        <v>-5754</v>
      </c>
      <c r="I129" s="545">
        <v>-5754</v>
      </c>
      <c r="J129" s="545">
        <v>-6020</v>
      </c>
      <c r="K129" s="545">
        <v>-6716</v>
      </c>
      <c r="L129" s="545">
        <v>-6340</v>
      </c>
      <c r="M129" s="545">
        <v>-5537</v>
      </c>
      <c r="N129" s="567">
        <v>-4233</v>
      </c>
      <c r="O129" s="559">
        <v>-3725</v>
      </c>
      <c r="P129" s="546">
        <v>-3712</v>
      </c>
      <c r="Q129" s="546">
        <v>-3730</v>
      </c>
      <c r="R129" s="546">
        <v>-3717</v>
      </c>
      <c r="S129" s="546">
        <v>-3671</v>
      </c>
      <c r="T129" s="546">
        <v>-3698</v>
      </c>
      <c r="U129" s="546">
        <f>T129*(1+((T129/S129)-1))</f>
        <v>-3725.1985834922361</v>
      </c>
      <c r="V129" s="544">
        <f t="shared" ref="V129" si="88">U129*(1+((U129/T129)-1))</f>
        <v>-3752.5972110472048</v>
      </c>
      <c r="W129" s="544">
        <f t="shared" ref="W129" si="89">V129*(1+((V129/U129)-1))</f>
        <v>-3780.197353977816</v>
      </c>
      <c r="X129" s="544">
        <f t="shared" ref="X129" si="90">W129*(1+((W129/V129)-1))</f>
        <v>-3808.0004944184043</v>
      </c>
      <c r="Y129" s="544">
        <f t="shared" ref="Y129" si="91">X129*(1+((X129/W129)-1))</f>
        <v>-3836.0081254043198</v>
      </c>
      <c r="Z129" s="544">
        <f t="shared" ref="Z129:AA129" si="92">Y129*(1+((Y129/X129)-1))</f>
        <v>-3864.2217509521038</v>
      </c>
      <c r="AA129" s="544">
        <f t="shared" si="92"/>
        <v>-3892.6428861402555</v>
      </c>
    </row>
    <row r="130" spans="1:27"/>
    <row r="131" spans="1:27">
      <c r="A131" s="266" t="s">
        <v>64</v>
      </c>
      <c r="B131" s="578">
        <v>2006</v>
      </c>
      <c r="C131" s="578">
        <f t="shared" ref="C131:T131" si="93">B131+1</f>
        <v>2007</v>
      </c>
      <c r="D131" s="578">
        <f t="shared" si="93"/>
        <v>2008</v>
      </c>
      <c r="E131" s="578">
        <f t="shared" si="93"/>
        <v>2009</v>
      </c>
      <c r="F131" s="578">
        <f t="shared" si="93"/>
        <v>2010</v>
      </c>
      <c r="G131" s="578">
        <f t="shared" si="93"/>
        <v>2011</v>
      </c>
      <c r="H131" s="578">
        <f t="shared" si="93"/>
        <v>2012</v>
      </c>
      <c r="I131" s="578">
        <f t="shared" si="93"/>
        <v>2013</v>
      </c>
      <c r="J131" s="578">
        <f t="shared" si="93"/>
        <v>2014</v>
      </c>
      <c r="K131" s="578">
        <f t="shared" si="93"/>
        <v>2015</v>
      </c>
      <c r="L131" s="578">
        <f t="shared" si="93"/>
        <v>2016</v>
      </c>
      <c r="M131" s="578">
        <f t="shared" si="93"/>
        <v>2017</v>
      </c>
      <c r="N131" s="578">
        <f t="shared" si="93"/>
        <v>2018</v>
      </c>
      <c r="O131" s="578">
        <f t="shared" si="93"/>
        <v>2019</v>
      </c>
      <c r="P131" s="578">
        <f t="shared" si="93"/>
        <v>2020</v>
      </c>
      <c r="Q131" s="578">
        <f t="shared" si="93"/>
        <v>2021</v>
      </c>
      <c r="R131" s="578">
        <f t="shared" si="93"/>
        <v>2022</v>
      </c>
      <c r="S131" s="578">
        <f t="shared" si="93"/>
        <v>2023</v>
      </c>
      <c r="T131" s="578">
        <f t="shared" si="93"/>
        <v>2024</v>
      </c>
      <c r="U131" s="578">
        <f>'Income Statement'!U$2</f>
        <v>2025</v>
      </c>
      <c r="V131" s="532">
        <f>'Income Statement'!V$2</f>
        <v>2026</v>
      </c>
      <c r="W131" s="532">
        <f>'Income Statement'!W$2</f>
        <v>2027</v>
      </c>
      <c r="X131" s="532">
        <f>'Income Statement'!X$2</f>
        <v>2028</v>
      </c>
      <c r="Y131" s="532">
        <f>'Income Statement'!Y$2</f>
        <v>2029</v>
      </c>
      <c r="Z131" s="532">
        <f>'Income Statement'!Z$2</f>
        <v>2030</v>
      </c>
      <c r="AA131" s="532">
        <f>'Income Statement'!AA$2</f>
        <v>2031</v>
      </c>
    </row>
    <row r="132" spans="1:27">
      <c r="A132" s="69" t="s">
        <v>63</v>
      </c>
      <c r="B132" s="546">
        <v>12735</v>
      </c>
      <c r="C132" s="546">
        <v>12910</v>
      </c>
      <c r="D132" s="546">
        <v>13373</v>
      </c>
      <c r="E132" s="546">
        <v>13605</v>
      </c>
      <c r="F132" s="546">
        <v>14023</v>
      </c>
      <c r="G132" s="546">
        <v>15871</v>
      </c>
      <c r="H132" s="546">
        <v>16868</v>
      </c>
      <c r="I132" s="546">
        <v>17439</v>
      </c>
      <c r="J132" s="546">
        <v>16849</v>
      </c>
      <c r="K132" s="546">
        <v>17056</v>
      </c>
      <c r="L132" s="546">
        <v>16768</v>
      </c>
      <c r="M132" s="559">
        <v>16418</v>
      </c>
      <c r="N132" s="546">
        <v>21719</v>
      </c>
      <c r="O132" s="546">
        <v>22056</v>
      </c>
      <c r="P132" s="546">
        <v>22056</v>
      </c>
      <c r="Q132" s="546">
        <v>21649</v>
      </c>
      <c r="R132" s="546">
        <v>22356</v>
      </c>
      <c r="S132" s="546">
        <v>22653</v>
      </c>
      <c r="T132" s="546">
        <v>23755</v>
      </c>
      <c r="U132" s="546">
        <f t="shared" ref="U132:Z132" si="94">SUM(U133:U134)</f>
        <v>24746</v>
      </c>
      <c r="V132" s="544">
        <f t="shared" si="94"/>
        <v>25789.80529580636</v>
      </c>
      <c r="W132" s="544">
        <f t="shared" si="94"/>
        <v>26931.607445086531</v>
      </c>
      <c r="X132" s="544">
        <f t="shared" si="94"/>
        <v>28189.003149948832</v>
      </c>
      <c r="Y132" s="544">
        <f t="shared" si="94"/>
        <v>29524.2472218896</v>
      </c>
      <c r="Z132" s="544">
        <f t="shared" si="94"/>
        <v>30897.998900294682</v>
      </c>
      <c r="AA132" s="544">
        <f t="shared" ref="AA132" si="95">SUM(AA133:AA134)</f>
        <v>30897.998900294682</v>
      </c>
    </row>
    <row r="133" spans="1:27">
      <c r="A133" s="8" t="s">
        <v>62</v>
      </c>
      <c r="B133" s="271"/>
      <c r="C133" s="271"/>
      <c r="D133" s="271"/>
      <c r="E133" s="271"/>
      <c r="F133" s="271"/>
      <c r="G133" s="545">
        <v>11965</v>
      </c>
      <c r="H133" s="545">
        <v>12177</v>
      </c>
      <c r="I133" s="545">
        <v>12151</v>
      </c>
      <c r="J133" s="545">
        <v>11077</v>
      </c>
      <c r="K133" s="545">
        <v>10995</v>
      </c>
      <c r="L133" s="545">
        <v>10498</v>
      </c>
      <c r="M133" s="567">
        <v>10180</v>
      </c>
      <c r="N133" s="545">
        <v>14077</v>
      </c>
      <c r="O133" s="546">
        <v>14062</v>
      </c>
      <c r="P133" s="546">
        <v>14039</v>
      </c>
      <c r="Q133" s="546">
        <v>14072</v>
      </c>
      <c r="R133" s="546">
        <v>14205</v>
      </c>
      <c r="S133" s="546">
        <v>14183</v>
      </c>
      <c r="T133" s="546">
        <v>14494</v>
      </c>
      <c r="U133" s="546">
        <f t="shared" ref="U133:AA133" si="96">T133</f>
        <v>14494</v>
      </c>
      <c r="V133" s="562">
        <f t="shared" si="96"/>
        <v>14494</v>
      </c>
      <c r="W133" s="562">
        <f t="shared" si="96"/>
        <v>14494</v>
      </c>
      <c r="X133" s="562">
        <f t="shared" si="96"/>
        <v>14494</v>
      </c>
      <c r="Y133" s="562">
        <f t="shared" si="96"/>
        <v>14494</v>
      </c>
      <c r="Z133" s="562">
        <f t="shared" si="96"/>
        <v>14494</v>
      </c>
      <c r="AA133" s="562">
        <f t="shared" si="96"/>
        <v>14494</v>
      </c>
    </row>
    <row r="134" spans="1:27">
      <c r="A134" s="8" t="s">
        <v>61</v>
      </c>
      <c r="B134" s="271"/>
      <c r="C134" s="271"/>
      <c r="D134" s="271"/>
      <c r="E134" s="271"/>
      <c r="F134" s="271"/>
      <c r="G134" s="271">
        <f t="shared" ref="G134:T134" si="97">G132-G133</f>
        <v>3906</v>
      </c>
      <c r="H134" s="271">
        <f t="shared" si="97"/>
        <v>4691</v>
      </c>
      <c r="I134" s="271">
        <f t="shared" si="97"/>
        <v>5288</v>
      </c>
      <c r="J134" s="271">
        <f t="shared" si="97"/>
        <v>5772</v>
      </c>
      <c r="K134" s="271">
        <f t="shared" si="97"/>
        <v>6061</v>
      </c>
      <c r="L134" s="271">
        <f t="shared" si="97"/>
        <v>6270</v>
      </c>
      <c r="M134" s="271">
        <f t="shared" si="97"/>
        <v>6238</v>
      </c>
      <c r="N134" s="271">
        <f t="shared" si="97"/>
        <v>7642</v>
      </c>
      <c r="O134" s="271">
        <f t="shared" si="97"/>
        <v>7994</v>
      </c>
      <c r="P134" s="271">
        <f t="shared" si="97"/>
        <v>8017</v>
      </c>
      <c r="Q134" s="271">
        <f t="shared" si="97"/>
        <v>7577</v>
      </c>
      <c r="R134" s="271">
        <f t="shared" si="97"/>
        <v>8151</v>
      </c>
      <c r="S134" s="271">
        <f t="shared" si="97"/>
        <v>8470</v>
      </c>
      <c r="T134" s="271">
        <f t="shared" si="97"/>
        <v>9261</v>
      </c>
      <c r="U134" s="271">
        <f>T134-('Cash Flow Statement'!U28*0.25)</f>
        <v>10252</v>
      </c>
      <c r="V134" s="547">
        <f>U134-('Cash Flow Statement'!V28*0.25)</f>
        <v>11295.80529580636</v>
      </c>
      <c r="W134" s="547">
        <f>V134-('Cash Flow Statement'!W28*0.25)</f>
        <v>12437.607445086531</v>
      </c>
      <c r="X134" s="547">
        <f>W134-('Cash Flow Statement'!X28*0.25)</f>
        <v>13695.003149948832</v>
      </c>
      <c r="Y134" s="547">
        <f>X134-('Cash Flow Statement'!Y28*0.25)</f>
        <v>15030.2472218896</v>
      </c>
      <c r="Z134" s="547">
        <f>Y134-('Cash Flow Statement'!Z28*0.25)</f>
        <v>16403.998900294682</v>
      </c>
      <c r="AA134" s="547">
        <f>Z134-('Cash Flow Statement'!AB28*0.25)</f>
        <v>16403.998900294682</v>
      </c>
    </row>
    <row r="135" spans="1:27">
      <c r="A135" s="1" t="s">
        <v>60</v>
      </c>
      <c r="B135" s="545">
        <v>1880</v>
      </c>
      <c r="C135" s="545">
        <v>2078</v>
      </c>
      <c r="D135" s="545">
        <v>2202</v>
      </c>
      <c r="E135" s="545">
        <v>2545</v>
      </c>
      <c r="F135" s="545">
        <v>2724</v>
      </c>
      <c r="G135" s="545">
        <v>3085</v>
      </c>
      <c r="H135" s="545">
        <v>3439</v>
      </c>
      <c r="I135" s="555">
        <v>3786</v>
      </c>
      <c r="J135" s="555">
        <v>4091</v>
      </c>
      <c r="K135" s="555">
        <v>4501</v>
      </c>
      <c r="L135" s="555">
        <v>4700</v>
      </c>
      <c r="M135" s="556">
        <v>4789</v>
      </c>
      <c r="N135" s="553">
        <v>4993</v>
      </c>
      <c r="O135" s="544">
        <v>5465</v>
      </c>
      <c r="P135" s="544">
        <v>5857</v>
      </c>
      <c r="Q135" s="544">
        <v>5282</v>
      </c>
      <c r="R135" s="544">
        <v>5588</v>
      </c>
      <c r="S135" s="544">
        <v>5724</v>
      </c>
      <c r="T135" s="544">
        <v>6576</v>
      </c>
      <c r="U135" s="544">
        <f>T135+'Cash Flow Statement'!U14</f>
        <v>7428</v>
      </c>
      <c r="V135" s="547">
        <f>U135+'Cash Flow Statement'!V14</f>
        <v>8358.5501357933426</v>
      </c>
      <c r="W135" s="547">
        <f>V135+'Cash Flow Statement'!W14</f>
        <v>9417.1808165379043</v>
      </c>
      <c r="X135" s="547">
        <f>W135+'Cash Flow Statement'!X14</f>
        <v>9827.7590058806963</v>
      </c>
      <c r="Y135" s="547">
        <f>X135+'Cash Flow Statement'!Y14</f>
        <v>10272.840363194286</v>
      </c>
      <c r="Z135" s="547">
        <f>Y135+'Cash Flow Statement'!Z14</f>
        <v>10740.500509034313</v>
      </c>
      <c r="AA135" s="547">
        <f>Z135+'Cash Flow Statement'!AB14</f>
        <v>10740.500509034313</v>
      </c>
    </row>
    <row r="136" spans="1:27">
      <c r="A136" s="1" t="s">
        <v>489</v>
      </c>
      <c r="B136" s="544">
        <f t="shared" ref="B136:N136" si="98">B132-B135</f>
        <v>10855</v>
      </c>
      <c r="C136" s="544">
        <f t="shared" si="98"/>
        <v>10832</v>
      </c>
      <c r="D136" s="544">
        <f t="shared" si="98"/>
        <v>11171</v>
      </c>
      <c r="E136" s="544">
        <f t="shared" si="98"/>
        <v>11060</v>
      </c>
      <c r="F136" s="544">
        <f t="shared" si="98"/>
        <v>11299</v>
      </c>
      <c r="G136" s="544">
        <f t="shared" si="98"/>
        <v>12786</v>
      </c>
      <c r="H136" s="544">
        <f t="shared" si="98"/>
        <v>13429</v>
      </c>
      <c r="I136" s="544">
        <f t="shared" si="98"/>
        <v>13653</v>
      </c>
      <c r="J136" s="544">
        <f t="shared" si="98"/>
        <v>12758</v>
      </c>
      <c r="K136" s="544">
        <f t="shared" si="98"/>
        <v>12555</v>
      </c>
      <c r="L136" s="544">
        <f t="shared" si="98"/>
        <v>12068</v>
      </c>
      <c r="M136" s="544">
        <f t="shared" si="98"/>
        <v>11629</v>
      </c>
      <c r="N136" s="544">
        <f t="shared" si="98"/>
        <v>16726</v>
      </c>
      <c r="O136" s="544">
        <v>16591</v>
      </c>
      <c r="P136" s="544">
        <v>16199</v>
      </c>
      <c r="Q136" s="544">
        <v>16367</v>
      </c>
      <c r="R136" s="544">
        <v>16768</v>
      </c>
      <c r="S136" s="544">
        <v>16929</v>
      </c>
      <c r="T136" s="544">
        <v>17179</v>
      </c>
      <c r="U136" s="544">
        <f t="shared" ref="U136:Z136" si="99">U132-U135</f>
        <v>17318</v>
      </c>
      <c r="V136" s="544">
        <f t="shared" si="99"/>
        <v>17431.255160013017</v>
      </c>
      <c r="W136" s="544">
        <f t="shared" si="99"/>
        <v>17514.426628548626</v>
      </c>
      <c r="X136" s="544">
        <f t="shared" si="99"/>
        <v>18361.244144068136</v>
      </c>
      <c r="Y136" s="544">
        <f t="shared" si="99"/>
        <v>19251.406858695314</v>
      </c>
      <c r="Z136" s="544">
        <f t="shared" si="99"/>
        <v>20157.498391260371</v>
      </c>
      <c r="AA136" s="544">
        <f t="shared" ref="AA136" si="100">AA132-AA135</f>
        <v>20157.498391260371</v>
      </c>
    </row>
    <row r="137" spans="1:27">
      <c r="A137" s="1" t="s">
        <v>59</v>
      </c>
      <c r="B137" s="546">
        <v>24890</v>
      </c>
      <c r="C137" s="546">
        <v>23936</v>
      </c>
      <c r="D137" s="546">
        <v>22487</v>
      </c>
      <c r="E137" s="546">
        <v>24104</v>
      </c>
      <c r="F137" s="546">
        <v>26110</v>
      </c>
      <c r="G137" s="546">
        <v>28313</v>
      </c>
      <c r="H137" s="546">
        <v>31122</v>
      </c>
      <c r="I137" s="546">
        <v>32535</v>
      </c>
      <c r="J137" s="546">
        <v>34024</v>
      </c>
      <c r="K137" s="546">
        <v>36712</v>
      </c>
      <c r="L137" s="546">
        <v>36180</v>
      </c>
      <c r="M137" s="559">
        <v>36754</v>
      </c>
      <c r="N137" s="544">
        <v>38249</v>
      </c>
      <c r="O137" s="544">
        <v>41312</v>
      </c>
      <c r="P137" s="544">
        <v>41852</v>
      </c>
      <c r="Q137" s="544">
        <v>42270</v>
      </c>
      <c r="R137" s="544">
        <v>41269</v>
      </c>
      <c r="S137" s="544">
        <v>42654</v>
      </c>
      <c r="T137" s="544">
        <v>45542</v>
      </c>
      <c r="U137" s="544">
        <f>T137-('Cash Flow Statement'!U28*0.75)</f>
        <v>48515</v>
      </c>
      <c r="V137" s="547">
        <f>U137-('Cash Flow Statement'!V28*0.75)</f>
        <v>51646.415887419076</v>
      </c>
      <c r="W137" s="547">
        <f>V137-('Cash Flow Statement'!W28*0.75)</f>
        <v>55071.822335259589</v>
      </c>
      <c r="X137" s="547">
        <f>W137-('Cash Flow Statement'!X28*0.75)</f>
        <v>58844.009449846497</v>
      </c>
      <c r="Y137" s="547">
        <f>X137-('Cash Flow Statement'!Y28*0.75)</f>
        <v>62849.7416656688</v>
      </c>
      <c r="Z137" s="547">
        <f>Y137-('Cash Flow Statement'!Z28*0.75)</f>
        <v>66970.996700884047</v>
      </c>
      <c r="AA137" s="547">
        <f>Z137-('Cash Flow Statement'!AB28*0.75)</f>
        <v>66970.996700884047</v>
      </c>
    </row>
    <row r="138" spans="1:27">
      <c r="A138" s="1" t="s">
        <v>58</v>
      </c>
      <c r="B138" s="545">
        <v>10575</v>
      </c>
      <c r="C138" s="545">
        <v>10447</v>
      </c>
      <c r="D138" s="545">
        <v>10244</v>
      </c>
      <c r="E138" s="545">
        <v>11596</v>
      </c>
      <c r="F138" s="545">
        <v>12606</v>
      </c>
      <c r="G138" s="545">
        <v>14167</v>
      </c>
      <c r="H138" s="545">
        <v>15926</v>
      </c>
      <c r="I138" s="555">
        <v>16679</v>
      </c>
      <c r="J138" s="555">
        <v>17703</v>
      </c>
      <c r="K138" s="555">
        <v>19585</v>
      </c>
      <c r="L138" s="555">
        <v>19267</v>
      </c>
      <c r="M138" s="556">
        <v>20144</v>
      </c>
      <c r="N138" s="553">
        <v>21476</v>
      </c>
      <c r="O138" s="544">
        <v>24018</v>
      </c>
      <c r="P138" s="544">
        <v>25178</v>
      </c>
      <c r="Q138" s="544">
        <v>25734</v>
      </c>
      <c r="R138" s="544">
        <v>24764</v>
      </c>
      <c r="S138" s="544">
        <v>25453</v>
      </c>
      <c r="T138" s="544">
        <v>26430</v>
      </c>
      <c r="U138" s="544">
        <f>T138+'Cash Flow Statement'!U12</f>
        <v>28711</v>
      </c>
      <c r="V138" s="547">
        <f>U138+'Cash Flow Statement'!V12</f>
        <v>30992</v>
      </c>
      <c r="W138" s="547">
        <f>V138+'Cash Flow Statement'!W12</f>
        <v>33403.004068675778</v>
      </c>
      <c r="X138" s="547">
        <f>W138+'Cash Flow Statement'!X12</f>
        <v>36054.51359190169</v>
      </c>
      <c r="Y138" s="547">
        <f>X138+'Cash Flow Statement'!Y12</f>
        <v>39034.046812033092</v>
      </c>
      <c r="Z138" s="547">
        <f>Y138+'Cash Flow Statement'!Z12</f>
        <v>42263.966774171706</v>
      </c>
      <c r="AA138" s="547">
        <f>Z138+'Cash Flow Statement'!AB12</f>
        <v>42263.966774171706</v>
      </c>
    </row>
    <row r="139" spans="1:27">
      <c r="A139" s="69" t="s">
        <v>6</v>
      </c>
      <c r="B139" s="562">
        <f>'Balance Sheet'!B5</f>
        <v>14178</v>
      </c>
      <c r="C139" s="562">
        <f>'Balance Sheet'!C5</f>
        <v>13393</v>
      </c>
      <c r="D139" s="562">
        <f>'Balance Sheet'!D5</f>
        <v>12156</v>
      </c>
      <c r="E139" s="562">
        <f>'Balance Sheet'!E5</f>
        <v>12508</v>
      </c>
      <c r="F139" s="562">
        <f>'Balance Sheet'!F5</f>
        <v>13427</v>
      </c>
      <c r="G139" s="562">
        <f>'Balance Sheet'!G5</f>
        <v>14146</v>
      </c>
      <c r="H139" s="562">
        <f>'Balance Sheet'!H5</f>
        <v>15196</v>
      </c>
      <c r="I139" s="562">
        <f>'Balance Sheet'!I5</f>
        <v>15856</v>
      </c>
      <c r="J139" s="562">
        <f>'Balance Sheet'!J5</f>
        <v>16321</v>
      </c>
      <c r="K139" s="562">
        <f>'Balance Sheet'!K5</f>
        <v>17127</v>
      </c>
      <c r="L139" s="562">
        <f>'Balance Sheet'!L5</f>
        <v>16913</v>
      </c>
      <c r="M139" s="562">
        <f>'Balance Sheet'!M5</f>
        <v>16610</v>
      </c>
      <c r="N139" s="562">
        <f>'Balance Sheet'!N5</f>
        <v>16773</v>
      </c>
      <c r="O139" s="562">
        <f>'Balance Sheet'!O5</f>
        <v>17294</v>
      </c>
      <c r="P139" s="562">
        <f>'Balance Sheet'!P5</f>
        <v>16674</v>
      </c>
      <c r="Q139" s="562">
        <f>'Balance Sheet'!Q5</f>
        <v>16536</v>
      </c>
      <c r="R139" s="562">
        <f>'Balance Sheet'!R5</f>
        <v>16505</v>
      </c>
      <c r="S139" s="562">
        <f>'Balance Sheet'!S5</f>
        <v>17201</v>
      </c>
      <c r="T139" s="562">
        <f>'Balance Sheet'!T5</f>
        <v>19112</v>
      </c>
      <c r="U139" s="562">
        <f>'Balance Sheet'!U5</f>
        <v>20893</v>
      </c>
      <c r="V139" s="547">
        <f>'Balance Sheet'!V5</f>
        <v>21724.575523754251</v>
      </c>
      <c r="W139" s="547">
        <f>'Balance Sheet'!W5</f>
        <v>22717.544359206728</v>
      </c>
      <c r="X139" s="547">
        <f>'Balance Sheet'!X5</f>
        <v>23814.136819076997</v>
      </c>
      <c r="Y139" s="547">
        <f>'Balance Sheet'!Y5</f>
        <v>24814.226675770216</v>
      </c>
      <c r="Z139" s="547">
        <f>'Balance Sheet'!Z5</f>
        <v>25678.128104299001</v>
      </c>
      <c r="AA139" s="547">
        <f>'Balance Sheet'!AA5</f>
        <v>26446.491878841556</v>
      </c>
    </row>
    <row r="140" spans="1:27"/>
    <row r="141" spans="1:27">
      <c r="A141" s="266" t="s">
        <v>658</v>
      </c>
      <c r="B141" s="578">
        <v>2006</v>
      </c>
      <c r="C141" s="578">
        <f t="shared" ref="C141" si="101">B141+1</f>
        <v>2007</v>
      </c>
      <c r="D141" s="578">
        <f t="shared" ref="D141" si="102">C141+1</f>
        <v>2008</v>
      </c>
      <c r="E141" s="578">
        <f t="shared" ref="E141" si="103">D141+1</f>
        <v>2009</v>
      </c>
      <c r="F141" s="578">
        <f t="shared" ref="F141" si="104">E141+1</f>
        <v>2010</v>
      </c>
      <c r="G141" s="578">
        <f t="shared" ref="G141" si="105">F141+1</f>
        <v>2011</v>
      </c>
      <c r="H141" s="578">
        <f t="shared" ref="H141" si="106">G141+1</f>
        <v>2012</v>
      </c>
      <c r="I141" s="578">
        <f t="shared" ref="I141" si="107">H141+1</f>
        <v>2013</v>
      </c>
      <c r="J141" s="578">
        <f t="shared" ref="J141" si="108">I141+1</f>
        <v>2014</v>
      </c>
      <c r="K141" s="578">
        <f t="shared" ref="K141" si="109">J141+1</f>
        <v>2015</v>
      </c>
      <c r="L141" s="578">
        <f t="shared" ref="L141" si="110">K141+1</f>
        <v>2016</v>
      </c>
      <c r="M141" s="578">
        <f t="shared" ref="M141" si="111">L141+1</f>
        <v>2017</v>
      </c>
      <c r="N141" s="578">
        <f t="shared" ref="N141" si="112">M141+1</f>
        <v>2018</v>
      </c>
      <c r="O141" s="578">
        <f t="shared" ref="O141" si="113">N141+1</f>
        <v>2019</v>
      </c>
      <c r="P141" s="578">
        <f t="shared" ref="P141" si="114">O141+1</f>
        <v>2020</v>
      </c>
      <c r="Q141" s="578">
        <f t="shared" ref="Q141" si="115">P141+1</f>
        <v>2021</v>
      </c>
      <c r="R141" s="578">
        <f t="shared" ref="R141" si="116">Q141+1</f>
        <v>2022</v>
      </c>
      <c r="S141" s="578">
        <f t="shared" ref="S141" si="117">R141+1</f>
        <v>2023</v>
      </c>
      <c r="T141" s="578">
        <f t="shared" ref="T141" si="118">S141+1</f>
        <v>2024</v>
      </c>
      <c r="U141" s="578">
        <f>'Income Statement'!U$2</f>
        <v>2025</v>
      </c>
      <c r="V141" s="532">
        <f>'Income Statement'!V$2</f>
        <v>2026</v>
      </c>
      <c r="W141" s="532">
        <f>'Income Statement'!W$2</f>
        <v>2027</v>
      </c>
      <c r="X141" s="532">
        <f>'Income Statement'!X$2</f>
        <v>2028</v>
      </c>
      <c r="Y141" s="532">
        <f>'Income Statement'!Y$2</f>
        <v>2029</v>
      </c>
      <c r="Z141" s="532">
        <f>'Income Statement'!Z$2</f>
        <v>2030</v>
      </c>
      <c r="AA141" s="532">
        <f>'Income Statement'!AA$2</f>
        <v>2031</v>
      </c>
    </row>
    <row r="142" spans="1:27">
      <c r="A142" s="1" t="s">
        <v>659</v>
      </c>
      <c r="Q142" s="138">
        <f t="shared" ref="Q142:T142" si="119">Q16</f>
        <v>28538</v>
      </c>
      <c r="R142" s="138">
        <f t="shared" si="119"/>
        <v>32202</v>
      </c>
      <c r="S142" s="138">
        <f t="shared" si="119"/>
        <v>33741</v>
      </c>
      <c r="T142" s="138">
        <f t="shared" si="119"/>
        <v>37745</v>
      </c>
      <c r="U142" s="138">
        <f>U16</f>
        <v>41676</v>
      </c>
      <c r="V142" s="138">
        <f t="shared" ref="V142:Z142" si="120">V16</f>
        <v>43714.457570335915</v>
      </c>
      <c r="W142" s="138">
        <f t="shared" si="120"/>
        <v>49522.580472262714</v>
      </c>
      <c r="X142" s="138">
        <f t="shared" si="120"/>
        <v>54643.847217315393</v>
      </c>
      <c r="Y142" s="138">
        <f t="shared" si="120"/>
        <v>57572.166811330593</v>
      </c>
      <c r="Z142" s="138">
        <f t="shared" si="120"/>
        <v>58522.854342803257</v>
      </c>
      <c r="AA142" s="138">
        <f t="shared" ref="AA142" si="121">AA16</f>
        <v>60620.884484157999</v>
      </c>
    </row>
    <row r="143" spans="1:27">
      <c r="A143" s="1" t="s">
        <v>75</v>
      </c>
      <c r="Q143" s="138">
        <f t="shared" ref="Q143:T143" si="122">Q18</f>
        <v>4957</v>
      </c>
      <c r="R143" s="138">
        <f t="shared" si="122"/>
        <v>4953</v>
      </c>
      <c r="S143" s="138">
        <f t="shared" si="122"/>
        <v>4725</v>
      </c>
      <c r="T143" s="138">
        <f t="shared" si="122"/>
        <v>5293</v>
      </c>
      <c r="U143" s="138">
        <f>U18</f>
        <v>5454</v>
      </c>
      <c r="V143" s="138">
        <f t="shared" ref="V143:Z143" si="123">V18</f>
        <v>6599.4012379748747</v>
      </c>
      <c r="W143" s="138">
        <f t="shared" si="123"/>
        <v>7507.7401596504451</v>
      </c>
      <c r="X143" s="138">
        <f t="shared" si="123"/>
        <v>8155.3201992746472</v>
      </c>
      <c r="Y143" s="138">
        <f t="shared" si="123"/>
        <v>8535.806852589385</v>
      </c>
      <c r="Z143" s="138">
        <f t="shared" si="123"/>
        <v>8968.8247147402544</v>
      </c>
      <c r="AA143" s="138">
        <f t="shared" ref="AA143" si="124">AA18</f>
        <v>9318.0756568037305</v>
      </c>
    </row>
    <row r="144" spans="1:27">
      <c r="A144" s="1" t="s">
        <v>660</v>
      </c>
      <c r="Q144" s="138">
        <f t="shared" ref="Q144:T144" si="125">Q40</f>
        <v>-9693</v>
      </c>
      <c r="R144" s="138">
        <f t="shared" si="125"/>
        <v>-13261</v>
      </c>
      <c r="S144" s="138">
        <f t="shared" si="125"/>
        <v>-14323</v>
      </c>
      <c r="T144" s="138">
        <f t="shared" si="125"/>
        <v>-13791</v>
      </c>
      <c r="U144" s="138">
        <f>U40</f>
        <v>-15878</v>
      </c>
      <c r="V144" s="138">
        <f t="shared" ref="V144:Z144" si="126">V40</f>
        <v>-15998.250970211006</v>
      </c>
      <c r="W144" s="138">
        <f t="shared" si="126"/>
        <v>-18329.034855962731</v>
      </c>
      <c r="X144" s="138">
        <f t="shared" si="126"/>
        <v>-20607.300070234302</v>
      </c>
      <c r="Y144" s="138">
        <f t="shared" si="126"/>
        <v>-22423.565863395266</v>
      </c>
      <c r="Z144" s="138">
        <f t="shared" si="126"/>
        <v>-23850.575092705658</v>
      </c>
      <c r="AA144" s="138">
        <f t="shared" ref="AA144" si="127">AA40</f>
        <v>-25034.248729310337</v>
      </c>
    </row>
    <row r="145" spans="1:27">
      <c r="A145" s="1"/>
      <c r="Q145" s="114"/>
      <c r="R145" s="114"/>
      <c r="S145" s="114"/>
      <c r="T145" s="114"/>
      <c r="U145" s="114"/>
      <c r="V145" s="114"/>
      <c r="W145" s="114"/>
      <c r="X145" s="114"/>
      <c r="Y145" s="114"/>
      <c r="Z145" s="114"/>
      <c r="AA145" s="114"/>
    </row>
    <row r="146" spans="1:27">
      <c r="A146" s="1" t="s">
        <v>7</v>
      </c>
      <c r="Q146" s="138">
        <f>Q142</f>
        <v>28538</v>
      </c>
      <c r="R146" s="138">
        <f t="shared" ref="R146:Z146" si="128">R142</f>
        <v>32202</v>
      </c>
      <c r="S146" s="138">
        <f t="shared" si="128"/>
        <v>33741</v>
      </c>
      <c r="T146" s="138">
        <f t="shared" si="128"/>
        <v>37745</v>
      </c>
      <c r="U146" s="138">
        <f t="shared" si="128"/>
        <v>41676</v>
      </c>
      <c r="V146" s="138">
        <f t="shared" si="128"/>
        <v>43714.457570335915</v>
      </c>
      <c r="W146" s="138">
        <f t="shared" si="128"/>
        <v>49522.580472262714</v>
      </c>
      <c r="X146" s="138">
        <f t="shared" si="128"/>
        <v>54643.847217315393</v>
      </c>
      <c r="Y146" s="138">
        <f t="shared" si="128"/>
        <v>57572.166811330593</v>
      </c>
      <c r="Z146" s="138">
        <f t="shared" si="128"/>
        <v>58522.854342803257</v>
      </c>
      <c r="AA146" s="138">
        <f t="shared" ref="AA146" si="129">AA142</f>
        <v>60620.884484157999</v>
      </c>
    </row>
    <row r="147" spans="1:27">
      <c r="A147" s="1" t="s">
        <v>75</v>
      </c>
      <c r="Q147" s="138">
        <f>Q143</f>
        <v>4957</v>
      </c>
      <c r="R147" s="138">
        <f t="shared" ref="R147:Z147" si="130">R143</f>
        <v>4953</v>
      </c>
      <c r="S147" s="138">
        <f t="shared" si="130"/>
        <v>4725</v>
      </c>
      <c r="T147" s="138">
        <f t="shared" si="130"/>
        <v>5293</v>
      </c>
      <c r="U147" s="138">
        <f t="shared" si="130"/>
        <v>5454</v>
      </c>
      <c r="V147" s="138">
        <f t="shared" si="130"/>
        <v>6599.4012379748747</v>
      </c>
      <c r="W147" s="138">
        <f t="shared" si="130"/>
        <v>7507.7401596504451</v>
      </c>
      <c r="X147" s="138">
        <f t="shared" si="130"/>
        <v>8155.3201992746472</v>
      </c>
      <c r="Y147" s="138">
        <f t="shared" si="130"/>
        <v>8535.806852589385</v>
      </c>
      <c r="Z147" s="138">
        <f t="shared" si="130"/>
        <v>8968.8247147402544</v>
      </c>
      <c r="AA147" s="138">
        <f t="shared" ref="AA147" si="131">AA143</f>
        <v>9318.0756568037305</v>
      </c>
    </row>
    <row r="148" spans="1:27">
      <c r="A148" s="1" t="s">
        <v>15</v>
      </c>
      <c r="Q148" s="138">
        <f>Q21+Q22+Q20</f>
        <v>5758</v>
      </c>
      <c r="R148" s="138">
        <f t="shared" ref="R148:Z148" si="132">R21+R22+R20</f>
        <v>7558</v>
      </c>
      <c r="S148" s="138">
        <f t="shared" si="132"/>
        <v>7166</v>
      </c>
      <c r="T148" s="138">
        <f t="shared" si="132"/>
        <v>7838</v>
      </c>
      <c r="U148" s="138">
        <f t="shared" si="132"/>
        <v>8690</v>
      </c>
      <c r="V148" s="138">
        <f t="shared" si="132"/>
        <v>8690</v>
      </c>
      <c r="W148" s="138">
        <f t="shared" si="132"/>
        <v>8690</v>
      </c>
      <c r="X148" s="138">
        <f t="shared" si="132"/>
        <v>8690</v>
      </c>
      <c r="Y148" s="138">
        <f t="shared" si="132"/>
        <v>8690</v>
      </c>
      <c r="Z148" s="138">
        <f t="shared" si="132"/>
        <v>8690</v>
      </c>
      <c r="AA148" s="138">
        <f t="shared" ref="AA148" si="133">AA21+AA22+AA20</f>
        <v>8690</v>
      </c>
    </row>
    <row r="149" spans="1:27">
      <c r="A149" s="1" t="s">
        <v>661</v>
      </c>
      <c r="Q149" s="138">
        <f>SUM(Q146:Q148)</f>
        <v>39253</v>
      </c>
      <c r="R149" s="138">
        <f t="shared" ref="R149:Z149" si="134">SUM(R146:R148)</f>
        <v>44713</v>
      </c>
      <c r="S149" s="138">
        <f t="shared" si="134"/>
        <v>45632</v>
      </c>
      <c r="T149" s="138">
        <f t="shared" si="134"/>
        <v>50876</v>
      </c>
      <c r="U149" s="138">
        <f t="shared" si="134"/>
        <v>55820</v>
      </c>
      <c r="V149" s="138">
        <f t="shared" si="134"/>
        <v>59003.85880831079</v>
      </c>
      <c r="W149" s="138">
        <f t="shared" si="134"/>
        <v>65720.320631913157</v>
      </c>
      <c r="X149" s="138">
        <f t="shared" si="134"/>
        <v>71489.167416590033</v>
      </c>
      <c r="Y149" s="138">
        <f t="shared" si="134"/>
        <v>74797.973663919984</v>
      </c>
      <c r="Z149" s="138">
        <f t="shared" si="134"/>
        <v>76181.679057543515</v>
      </c>
      <c r="AA149" s="138">
        <f t="shared" ref="AA149" si="135">SUM(AA146:AA148)</f>
        <v>78628.960140961732</v>
      </c>
    </row>
    <row r="150" spans="1:27">
      <c r="A150" s="1"/>
      <c r="Q150" s="114"/>
      <c r="R150" s="114"/>
      <c r="S150" s="114"/>
      <c r="T150" s="114"/>
      <c r="U150" s="114"/>
      <c r="V150" s="114"/>
      <c r="W150" s="114"/>
      <c r="X150" s="114"/>
      <c r="Y150" s="114"/>
      <c r="Z150" s="114"/>
      <c r="AA150" s="114"/>
    </row>
    <row r="151" spans="1:27">
      <c r="A151" s="1" t="s">
        <v>660</v>
      </c>
      <c r="Q151" s="138">
        <f>Q144</f>
        <v>-9693</v>
      </c>
      <c r="R151" s="138">
        <f t="shared" ref="R151:Z151" si="136">R144</f>
        <v>-13261</v>
      </c>
      <c r="S151" s="138">
        <f t="shared" si="136"/>
        <v>-14323</v>
      </c>
      <c r="T151" s="138">
        <f t="shared" si="136"/>
        <v>-13791</v>
      </c>
      <c r="U151" s="138">
        <f t="shared" si="136"/>
        <v>-15878</v>
      </c>
      <c r="V151" s="138">
        <f t="shared" si="136"/>
        <v>-15998.250970211006</v>
      </c>
      <c r="W151" s="138">
        <f t="shared" si="136"/>
        <v>-18329.034855962731</v>
      </c>
      <c r="X151" s="138">
        <f t="shared" si="136"/>
        <v>-20607.300070234302</v>
      </c>
      <c r="Y151" s="138">
        <f t="shared" si="136"/>
        <v>-22423.565863395266</v>
      </c>
      <c r="Z151" s="138">
        <f t="shared" si="136"/>
        <v>-23850.575092705658</v>
      </c>
      <c r="AA151" s="138">
        <f t="shared" ref="AA151" si="137">AA144</f>
        <v>-25034.248729310337</v>
      </c>
    </row>
    <row r="152" spans="1:27">
      <c r="A152" s="1" t="s">
        <v>15</v>
      </c>
      <c r="Q152" s="138">
        <f>Q42+Q43+Q45+Q46</f>
        <v>-30601</v>
      </c>
      <c r="R152" s="138">
        <f t="shared" ref="R152:Z152" si="138">R42+R43+R45+R46</f>
        <v>-32248</v>
      </c>
      <c r="S152" s="138">
        <f t="shared" si="138"/>
        <v>-31137</v>
      </c>
      <c r="T152" s="138">
        <f t="shared" si="138"/>
        <v>-38008</v>
      </c>
      <c r="U152" s="138">
        <f t="shared" si="138"/>
        <v>-37945</v>
      </c>
      <c r="V152" s="138">
        <f t="shared" si="138"/>
        <v>-41294.905145599878</v>
      </c>
      <c r="W152" s="138">
        <f t="shared" si="138"/>
        <v>-46757.119465790711</v>
      </c>
      <c r="X152" s="138">
        <f t="shared" si="138"/>
        <v>-52342.3624762646</v>
      </c>
      <c r="Y152" s="138">
        <f t="shared" si="138"/>
        <v>-56605.684955414778</v>
      </c>
      <c r="Z152" s="138">
        <f t="shared" si="138"/>
        <v>-59395.592733106852</v>
      </c>
      <c r="AA152" s="138">
        <f t="shared" ref="AA152" si="139">AA42+AA43+AA45+AA46</f>
        <v>-61645.79533396328</v>
      </c>
    </row>
    <row r="153" spans="1:27">
      <c r="A153" s="1" t="s">
        <v>662</v>
      </c>
      <c r="Q153" s="138">
        <f>SUM(Q151:Q152)</f>
        <v>-40294</v>
      </c>
      <c r="R153" s="138">
        <f t="shared" ref="R153:Z153" si="140">SUM(R151:R152)</f>
        <v>-45509</v>
      </c>
      <c r="S153" s="138">
        <f t="shared" si="140"/>
        <v>-45460</v>
      </c>
      <c r="T153" s="138">
        <f t="shared" si="140"/>
        <v>-51799</v>
      </c>
      <c r="U153" s="138">
        <f t="shared" si="140"/>
        <v>-53823</v>
      </c>
      <c r="V153" s="138">
        <f t="shared" si="140"/>
        <v>-57293.156115810882</v>
      </c>
      <c r="W153" s="138">
        <f t="shared" si="140"/>
        <v>-65086.154321753442</v>
      </c>
      <c r="X153" s="138">
        <f t="shared" si="140"/>
        <v>-72949.662546498905</v>
      </c>
      <c r="Y153" s="138">
        <f t="shared" si="140"/>
        <v>-79029.250818810047</v>
      </c>
      <c r="Z153" s="138">
        <f t="shared" si="140"/>
        <v>-83246.167825812503</v>
      </c>
      <c r="AA153" s="138">
        <f t="shared" ref="AA153" si="141">SUM(AA151:AA152)</f>
        <v>-86680.044063273614</v>
      </c>
    </row>
    <row r="154" spans="1:27">
      <c r="A154" s="1"/>
      <c r="Q154" s="875"/>
      <c r="R154" s="875"/>
      <c r="S154" s="875"/>
      <c r="T154" s="875"/>
      <c r="U154" s="875"/>
      <c r="V154" s="875"/>
      <c r="W154" s="875"/>
      <c r="X154" s="875"/>
      <c r="Y154" s="875"/>
      <c r="Z154" s="875"/>
      <c r="AA154" s="875"/>
    </row>
    <row r="155" spans="1:27">
      <c r="A155" s="40" t="s">
        <v>40</v>
      </c>
      <c r="Q155" s="876">
        <f>Q153+Q149</f>
        <v>-1041</v>
      </c>
      <c r="R155" s="876">
        <f t="shared" ref="R155:Z155" si="142">R153+R149</f>
        <v>-796</v>
      </c>
      <c r="S155" s="876">
        <f t="shared" si="142"/>
        <v>172</v>
      </c>
      <c r="T155" s="876">
        <f t="shared" si="142"/>
        <v>-923</v>
      </c>
      <c r="U155" s="876">
        <f t="shared" si="142"/>
        <v>1997</v>
      </c>
      <c r="V155" s="876">
        <f t="shared" si="142"/>
        <v>1710.7026924999082</v>
      </c>
      <c r="W155" s="876">
        <f t="shared" si="142"/>
        <v>634.16631015971507</v>
      </c>
      <c r="X155" s="876">
        <f t="shared" si="142"/>
        <v>-1460.4951299088716</v>
      </c>
      <c r="Y155" s="876">
        <f t="shared" si="142"/>
        <v>-4231.2771548900637</v>
      </c>
      <c r="Z155" s="876">
        <f t="shared" si="142"/>
        <v>-7064.4887682689878</v>
      </c>
      <c r="AA155" s="876">
        <f t="shared" ref="AA155" si="143">AA153+AA149</f>
        <v>-8051.0839223118819</v>
      </c>
    </row>
    <row r="156" spans="1:27">
      <c r="A156" s="1" t="s">
        <v>663</v>
      </c>
      <c r="Q156" s="114"/>
      <c r="R156" s="114"/>
      <c r="S156" s="114"/>
      <c r="T156" s="114"/>
      <c r="U156" s="114"/>
      <c r="V156" s="114"/>
      <c r="W156" s="114"/>
      <c r="X156" s="114"/>
      <c r="Y156" s="114"/>
      <c r="Z156" s="114"/>
      <c r="AA156" s="114"/>
    </row>
    <row r="157" spans="1:27"/>
  </sheetData>
  <pageMargins left="0.7" right="0.7" top="0.75" bottom="0.75" header="0.3" footer="0.3"/>
  <pageSetup paperSize="9" orientation="portrait" r:id="rId1"/>
  <customProperties>
    <customPr name="Qube.Worksheet.Visibility"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3">
    <tabColor rgb="FF002060"/>
    <pageSetUpPr autoPageBreaks="0"/>
  </sheetPr>
  <dimension ref="A1:EK267"/>
  <sheetViews>
    <sheetView showGridLines="0" zoomScaleNormal="100" workbookViewId="0">
      <pane xSplit="1" ySplit="2" topLeftCell="CL3" activePane="bottomRight" state="frozen"/>
      <selection activeCell="CI56" sqref="CI56:CQ57"/>
      <selection pane="topRight" activeCell="CI56" sqref="CI56:CQ57"/>
      <selection pane="bottomLeft" activeCell="CI56" sqref="CI56:CQ57"/>
      <selection pane="bottomRight"/>
    </sheetView>
  </sheetViews>
  <sheetFormatPr defaultColWidth="0" defaultRowHeight="12.75" zeroHeight="1" outlineLevelRow="1" outlineLevelCol="4"/>
  <cols>
    <col min="1" max="1" width="59.125" style="13" bestFit="1" customWidth="1"/>
    <col min="2" max="2" width="11.875" style="43" hidden="1" customWidth="1" outlineLevel="1"/>
    <col min="3" max="3" width="9" style="43" hidden="1" customWidth="1" outlineLevel="1"/>
    <col min="4" max="4" width="11.875" style="43" hidden="1" customWidth="1" outlineLevel="1"/>
    <col min="5" max="5" width="9" style="43" hidden="1" customWidth="1" outlineLevel="1"/>
    <col min="6" max="6" width="11.75" style="43" hidden="1" customWidth="1" outlineLevel="1"/>
    <col min="7" max="8" width="9" style="43" hidden="1" customWidth="1" outlineLevel="1"/>
    <col min="9" max="10" width="11.875" style="43" hidden="1" customWidth="1" outlineLevel="1"/>
    <col min="11" max="11" width="9" style="43" hidden="1" customWidth="1" outlineLevel="1"/>
    <col min="12" max="12" width="11.875" style="43" hidden="1" customWidth="1" outlineLevel="1"/>
    <col min="13" max="13" width="9" style="43" hidden="1" customWidth="1" outlineLevel="1"/>
    <col min="14" max="14" width="11.875" style="43" hidden="1" customWidth="1" outlineLevel="1"/>
    <col min="15" max="16" width="9.5" style="43" hidden="1" customWidth="1" outlineLevel="1"/>
    <col min="17" max="17" width="11.875" style="43" hidden="1" customWidth="1" outlineLevel="1"/>
    <col min="18" max="18" width="12.375" style="43" hidden="1" customWidth="1" outlineLevel="1" collapsed="1"/>
    <col min="19" max="19" width="9.875" style="43" hidden="1" customWidth="1" outlineLevel="1"/>
    <col min="20" max="20" width="12" style="43" hidden="1" customWidth="1" outlineLevel="2"/>
    <col min="21" max="21" width="9.875" style="43" hidden="1" customWidth="1" outlineLevel="1" collapsed="1"/>
    <col min="22" max="22" width="9.875" style="43" hidden="1" customWidth="1" outlineLevel="2"/>
    <col min="23" max="23" width="11.5" style="43" hidden="1" customWidth="1" outlineLevel="1" collapsed="1"/>
    <col min="24" max="24" width="11" style="43" hidden="1" customWidth="1" outlineLevel="2"/>
    <col min="25" max="25" width="9" style="43" hidden="1" customWidth="1" outlineLevel="2"/>
    <col min="26" max="26" width="9" style="43" hidden="1" customWidth="1" outlineLevel="1" collapsed="1"/>
    <col min="27" max="27" width="9" style="43" hidden="1" customWidth="1" outlineLevel="1"/>
    <col min="28" max="28" width="9" style="43" hidden="1" customWidth="1" outlineLevel="2"/>
    <col min="29" max="29" width="9" style="43" hidden="1" customWidth="1" outlineLevel="1" collapsed="1"/>
    <col min="30" max="30" width="9" style="43" hidden="1" customWidth="1" outlineLevel="2"/>
    <col min="31" max="31" width="11" style="43" hidden="1" customWidth="1" outlineLevel="1" collapsed="1"/>
    <col min="32" max="32" width="11" style="43" hidden="1" customWidth="1" outlineLevel="2"/>
    <col min="33" max="33" width="9" style="43" hidden="1" customWidth="1" outlineLevel="2"/>
    <col min="34" max="34" width="9" style="43" hidden="1" customWidth="1" outlineLevel="1" collapsed="1"/>
    <col min="35" max="35" width="8.625" style="43" hidden="1" customWidth="1" outlineLevel="1"/>
    <col min="36" max="36" width="10.5" style="43" hidden="1" customWidth="1" outlineLevel="2"/>
    <col min="37" max="37" width="9" style="43" hidden="1" customWidth="1" outlineLevel="1" collapsed="1"/>
    <col min="38" max="38" width="9" style="43" hidden="1" customWidth="1" outlineLevel="2"/>
    <col min="39" max="39" width="11" style="43" hidden="1" customWidth="1" outlineLevel="1" collapsed="1"/>
    <col min="40" max="40" width="8.875" style="43" hidden="1" customWidth="1" outlineLevel="3"/>
    <col min="41" max="41" width="9" style="43" hidden="1" customWidth="1" outlineLevel="3"/>
    <col min="42" max="42" width="9" style="13" hidden="1" customWidth="1" outlineLevel="1" collapsed="1"/>
    <col min="43" max="43" width="9" style="13" hidden="1" customWidth="1" outlineLevel="1"/>
    <col min="44" max="44" width="9.875" style="13" hidden="1" customWidth="1" outlineLevel="2"/>
    <col min="45" max="45" width="9" style="13" hidden="1" customWidth="1" outlineLevel="1" collapsed="1"/>
    <col min="46" max="46" width="9" style="13" hidden="1" customWidth="1" outlineLevel="2"/>
    <col min="47" max="47" width="9" style="13" hidden="1" customWidth="1" outlineLevel="1" collapsed="1"/>
    <col min="48" max="48" width="7.875" style="13" hidden="1" customWidth="1" outlineLevel="2"/>
    <col min="49" max="49" width="9" style="13" hidden="1" customWidth="1" outlineLevel="2"/>
    <col min="50" max="50" width="9" style="13" hidden="1" customWidth="1" outlineLevel="3" collapsed="1"/>
    <col min="51" max="51" width="9" style="13" hidden="1" customWidth="1" outlineLevel="3"/>
    <col min="52" max="52" width="9.875" style="13" hidden="1" customWidth="1" outlineLevel="4"/>
    <col min="53" max="53" width="9" style="13" hidden="1" customWidth="1" outlineLevel="3"/>
    <col min="54" max="54" width="9" style="13" hidden="1" customWidth="1" outlineLevel="4"/>
    <col min="55" max="55" width="9" style="13" hidden="1" customWidth="1" outlineLevel="3"/>
    <col min="56" max="56" width="7.5" style="13" hidden="1" customWidth="1" outlineLevel="2"/>
    <col min="57" max="57" width="9" style="13" hidden="1" customWidth="1" outlineLevel="2"/>
    <col min="58" max="58" width="9" style="13" hidden="1" customWidth="1" outlineLevel="1" collapsed="1"/>
    <col min="59" max="59" width="9" style="13" hidden="1" customWidth="1" outlineLevel="1"/>
    <col min="60" max="60" width="9" style="13" hidden="1" customWidth="1" outlineLevel="2"/>
    <col min="61" max="61" width="9" style="13" hidden="1" customWidth="1" outlineLevel="1" collapsed="1"/>
    <col min="62" max="62" width="9" style="13" hidden="1" customWidth="1" outlineLevel="2"/>
    <col min="63" max="63" width="9" style="13" hidden="1" customWidth="1" outlineLevel="1" collapsed="1"/>
    <col min="64" max="65" width="9" style="13" hidden="1" customWidth="1" outlineLevel="2"/>
    <col min="66" max="66" width="9" style="113" hidden="1" customWidth="1" outlineLevel="1" collapsed="1"/>
    <col min="67" max="67" width="9" style="113" hidden="1" customWidth="1" outlineLevel="1"/>
    <col min="68" max="68" width="9.875" style="113" hidden="1" customWidth="1" outlineLevel="2"/>
    <col min="69" max="69" width="9" style="113" hidden="1" customWidth="1" outlineLevel="1" collapsed="1"/>
    <col min="70" max="70" width="9" style="113" hidden="1" customWidth="1" outlineLevel="2"/>
    <col min="71" max="71" width="9" style="113" hidden="1" customWidth="1" outlineLevel="1" collapsed="1"/>
    <col min="72" max="72" width="7.5" style="113" hidden="1" customWidth="1" outlineLevel="2"/>
    <col min="73" max="73" width="9" style="113" hidden="1" customWidth="1" outlineLevel="2"/>
    <col min="74" max="74" width="9" style="13" hidden="1" customWidth="1" outlineLevel="1" collapsed="1"/>
    <col min="75" max="75" width="9" style="13" hidden="1" customWidth="1" outlineLevel="1"/>
    <col min="76" max="76" width="9.875" style="13" hidden="1" customWidth="1" outlineLevel="2"/>
    <col min="77" max="77" width="10.125" style="13" hidden="1" customWidth="1" outlineLevel="1" collapsed="1"/>
    <col min="78" max="78" width="9" style="13" hidden="1" customWidth="1" outlineLevel="2"/>
    <col min="79" max="79" width="9" style="13" hidden="1" customWidth="1" outlineLevel="1" collapsed="1"/>
    <col min="80" max="80" width="7.5" style="13" hidden="1" customWidth="1" outlineLevel="2"/>
    <col min="81" max="81" width="9" style="13" hidden="1" customWidth="1" outlineLevel="2"/>
    <col min="82" max="82" width="9" style="13" hidden="1" customWidth="1" outlineLevel="1" collapsed="1"/>
    <col min="83" max="83" width="9" style="13" hidden="1" customWidth="1" outlineLevel="1"/>
    <col min="84" max="84" width="9.875" style="13" hidden="1" customWidth="1" outlineLevel="2"/>
    <col min="85" max="85" width="9" style="13" hidden="1" customWidth="1" outlineLevel="1" collapsed="1"/>
    <col min="86" max="86" width="9" style="13" hidden="1" customWidth="1" outlineLevel="2"/>
    <col min="87" max="87" width="9" style="13" hidden="1" customWidth="1" outlineLevel="1" collapsed="1"/>
    <col min="88" max="88" width="7.5" style="13" hidden="1" customWidth="1" outlineLevel="1"/>
    <col min="89" max="89" width="9" style="13" hidden="1" customWidth="1" outlineLevel="1"/>
    <col min="90" max="90" width="9.5" style="13" bestFit="1" customWidth="1" collapsed="1"/>
    <col min="91" max="91" width="9" style="13" customWidth="1"/>
    <col min="92" max="92" width="9" style="13" hidden="1" customWidth="1" outlineLevel="1"/>
    <col min="93" max="93" width="9" style="13" customWidth="1" collapsed="1"/>
    <col min="94" max="94" width="9" style="13" hidden="1" customWidth="1" outlineLevel="1"/>
    <col min="95" max="95" width="9" style="13" customWidth="1" collapsed="1"/>
    <col min="96" max="97" width="9" style="13" hidden="1" customWidth="1" outlineLevel="1"/>
    <col min="98" max="98" width="9.5" style="13" bestFit="1" customWidth="1" collapsed="1"/>
    <col min="99" max="99" width="9" style="13" customWidth="1"/>
    <col min="100" max="100" width="9" style="13" hidden="1" customWidth="1" outlineLevel="1"/>
    <col min="101" max="101" width="9" style="13" customWidth="1" collapsed="1"/>
    <col min="102" max="102" width="9" style="13" hidden="1" customWidth="1" outlineLevel="1"/>
    <col min="103" max="103" width="9" style="13" customWidth="1" collapsed="1"/>
    <col min="104" max="105" width="9" style="13" hidden="1" customWidth="1" outlineLevel="1"/>
    <col min="106" max="106" width="9" style="13" customWidth="1" collapsed="1"/>
    <col min="107" max="107" width="9" style="13" customWidth="1"/>
    <col min="108" max="108" width="9" style="13" hidden="1" customWidth="1" outlineLevel="1"/>
    <col min="109" max="109" width="9" style="13" customWidth="1" collapsed="1"/>
    <col min="110" max="110" width="9" style="13" hidden="1" customWidth="1" outlineLevel="1"/>
    <col min="111" max="111" width="9" style="13" customWidth="1" collapsed="1"/>
    <col min="112" max="113" width="9" style="13" hidden="1" customWidth="1" outlineLevel="1"/>
    <col min="114" max="114" width="9" style="13" customWidth="1" collapsed="1"/>
    <col min="115" max="115" width="9" style="13" customWidth="1"/>
    <col min="116" max="116" width="9" style="13" hidden="1" customWidth="1" outlineLevel="1"/>
    <col min="117" max="117" width="9" style="13" customWidth="1" collapsed="1"/>
    <col min="118" max="118" width="9" style="13" hidden="1" customWidth="1" outlineLevel="1"/>
    <col min="119" max="119" width="9" style="13" customWidth="1" collapsed="1"/>
    <col min="120" max="121" width="9" style="13" hidden="1" customWidth="1" outlineLevel="1"/>
    <col min="122" max="122" width="9.5" style="13" bestFit="1" customWidth="1" collapsed="1"/>
    <col min="123" max="123" width="9" style="13" customWidth="1"/>
    <col min="124" max="124" width="9" style="13" hidden="1" customWidth="1" outlineLevel="1"/>
    <col min="125" max="125" width="9" style="13" customWidth="1" collapsed="1"/>
    <col min="126" max="126" width="9" style="13" hidden="1" customWidth="1" outlineLevel="1"/>
    <col min="127" max="127" width="9" style="13" customWidth="1" collapsed="1"/>
    <col min="128" max="129" width="9" style="13" hidden="1" customWidth="1" outlineLevel="1"/>
    <col min="130" max="130" width="9.5" style="13" bestFit="1" customWidth="1" collapsed="1"/>
    <col min="131" max="131" width="9" style="13" customWidth="1"/>
    <col min="132" max="132" width="9" style="13" hidden="1" customWidth="1" outlineLevel="1"/>
    <col min="133" max="133" width="9" style="13" customWidth="1" collapsed="1"/>
    <col min="134" max="134" width="9" style="13" hidden="1" customWidth="1" outlineLevel="1"/>
    <col min="135" max="135" width="9" style="13" customWidth="1" collapsed="1"/>
    <col min="136" max="137" width="9" style="13" hidden="1" customWidth="1" outlineLevel="1"/>
    <col min="138" max="138" width="9" style="13" customWidth="1" collapsed="1"/>
    <col min="139" max="141" width="0" style="13" hidden="1"/>
    <col min="142" max="16384" width="9" style="13" hidden="1"/>
  </cols>
  <sheetData>
    <row r="1" spans="1:140">
      <c r="A1" s="741"/>
      <c r="B1" s="197">
        <v>2011</v>
      </c>
      <c r="C1" s="198">
        <v>2011</v>
      </c>
      <c r="D1" s="198">
        <v>2011</v>
      </c>
      <c r="E1" s="198">
        <v>2011</v>
      </c>
      <c r="F1" s="198">
        <v>2011</v>
      </c>
      <c r="G1" s="198">
        <v>2011</v>
      </c>
      <c r="H1" s="198">
        <v>2011</v>
      </c>
      <c r="I1" s="198">
        <v>2011</v>
      </c>
      <c r="J1" s="197">
        <v>2012</v>
      </c>
      <c r="K1" s="198">
        <v>2012</v>
      </c>
      <c r="L1" s="198">
        <v>2012</v>
      </c>
      <c r="M1" s="198">
        <v>2012</v>
      </c>
      <c r="N1" s="198">
        <v>2012</v>
      </c>
      <c r="O1" s="198">
        <v>2012</v>
      </c>
      <c r="P1" s="198">
        <v>2012</v>
      </c>
      <c r="Q1" s="198">
        <v>2012</v>
      </c>
      <c r="R1" s="197">
        <v>2013</v>
      </c>
      <c r="S1" s="198">
        <v>2013</v>
      </c>
      <c r="T1" s="198">
        <v>2013</v>
      </c>
      <c r="U1" s="198">
        <v>2013</v>
      </c>
      <c r="V1" s="198">
        <v>2013</v>
      </c>
      <c r="W1" s="198">
        <v>2013</v>
      </c>
      <c r="X1" s="198">
        <v>2013</v>
      </c>
      <c r="Y1" s="198">
        <v>2013</v>
      </c>
      <c r="Z1" s="197">
        <v>2014</v>
      </c>
      <c r="AA1" s="198">
        <v>2014</v>
      </c>
      <c r="AB1" s="198">
        <v>2014</v>
      </c>
      <c r="AC1" s="198">
        <v>2014</v>
      </c>
      <c r="AD1" s="198">
        <v>2014</v>
      </c>
      <c r="AE1" s="198">
        <v>2014</v>
      </c>
      <c r="AF1" s="198">
        <v>2014</v>
      </c>
      <c r="AG1" s="198">
        <v>2014</v>
      </c>
      <c r="AH1" s="197">
        <v>2015</v>
      </c>
      <c r="AI1" s="198">
        <f t="shared" ref="AI1:AO1" si="0">AH1</f>
        <v>2015</v>
      </c>
      <c r="AJ1" s="198">
        <f t="shared" si="0"/>
        <v>2015</v>
      </c>
      <c r="AK1" s="198">
        <f t="shared" si="0"/>
        <v>2015</v>
      </c>
      <c r="AL1" s="198">
        <f t="shared" si="0"/>
        <v>2015</v>
      </c>
      <c r="AM1" s="198">
        <f t="shared" si="0"/>
        <v>2015</v>
      </c>
      <c r="AN1" s="198">
        <f t="shared" si="0"/>
        <v>2015</v>
      </c>
      <c r="AO1" s="198">
        <f t="shared" si="0"/>
        <v>2015</v>
      </c>
      <c r="AP1" s="197">
        <v>2016</v>
      </c>
      <c r="AQ1" s="198">
        <f t="shared" ref="AQ1:AW1" si="1">AP1</f>
        <v>2016</v>
      </c>
      <c r="AR1" s="198">
        <f t="shared" si="1"/>
        <v>2016</v>
      </c>
      <c r="AS1" s="198">
        <f t="shared" si="1"/>
        <v>2016</v>
      </c>
      <c r="AT1" s="198">
        <f t="shared" si="1"/>
        <v>2016</v>
      </c>
      <c r="AU1" s="198">
        <f t="shared" si="1"/>
        <v>2016</v>
      </c>
      <c r="AV1" s="198">
        <f t="shared" si="1"/>
        <v>2016</v>
      </c>
      <c r="AW1" s="198">
        <f t="shared" si="1"/>
        <v>2016</v>
      </c>
      <c r="AX1" s="197">
        <v>2017</v>
      </c>
      <c r="AY1" s="198">
        <f t="shared" ref="AY1:BE1" si="2">AX1</f>
        <v>2017</v>
      </c>
      <c r="AZ1" s="198">
        <f t="shared" si="2"/>
        <v>2017</v>
      </c>
      <c r="BA1" s="198">
        <f t="shared" si="2"/>
        <v>2017</v>
      </c>
      <c r="BB1" s="198">
        <f t="shared" si="2"/>
        <v>2017</v>
      </c>
      <c r="BC1" s="198">
        <f t="shared" si="2"/>
        <v>2017</v>
      </c>
      <c r="BD1" s="198">
        <f t="shared" si="2"/>
        <v>2017</v>
      </c>
      <c r="BE1" s="198">
        <f t="shared" si="2"/>
        <v>2017</v>
      </c>
      <c r="BF1" s="197">
        <v>2017</v>
      </c>
      <c r="BG1" s="198">
        <f t="shared" ref="BG1:BM1" si="3">BF1</f>
        <v>2017</v>
      </c>
      <c r="BH1" s="198">
        <f t="shared" si="3"/>
        <v>2017</v>
      </c>
      <c r="BI1" s="198">
        <f t="shared" si="3"/>
        <v>2017</v>
      </c>
      <c r="BJ1" s="198">
        <f t="shared" si="3"/>
        <v>2017</v>
      </c>
      <c r="BK1" s="198">
        <f t="shared" si="3"/>
        <v>2017</v>
      </c>
      <c r="BL1" s="198">
        <f t="shared" si="3"/>
        <v>2017</v>
      </c>
      <c r="BM1" s="198">
        <f t="shared" si="3"/>
        <v>2017</v>
      </c>
      <c r="BN1" s="197">
        <f>BF1+1</f>
        <v>2018</v>
      </c>
      <c r="BO1" s="198">
        <f t="shared" ref="BO1:DQ1" si="4">BG1+1</f>
        <v>2018</v>
      </c>
      <c r="BP1" s="198">
        <f t="shared" si="4"/>
        <v>2018</v>
      </c>
      <c r="BQ1" s="198">
        <f t="shared" si="4"/>
        <v>2018</v>
      </c>
      <c r="BR1" s="198">
        <f t="shared" si="4"/>
        <v>2018</v>
      </c>
      <c r="BS1" s="198">
        <f t="shared" si="4"/>
        <v>2018</v>
      </c>
      <c r="BT1" s="198">
        <f t="shared" si="4"/>
        <v>2018</v>
      </c>
      <c r="BU1" s="198">
        <f t="shared" si="4"/>
        <v>2018</v>
      </c>
      <c r="BV1" s="197">
        <f t="shared" si="4"/>
        <v>2019</v>
      </c>
      <c r="BW1" s="198">
        <f t="shared" si="4"/>
        <v>2019</v>
      </c>
      <c r="BX1" s="198">
        <f t="shared" si="4"/>
        <v>2019</v>
      </c>
      <c r="BY1" s="198">
        <f t="shared" si="4"/>
        <v>2019</v>
      </c>
      <c r="BZ1" s="198">
        <f t="shared" si="4"/>
        <v>2019</v>
      </c>
      <c r="CA1" s="198">
        <f t="shared" si="4"/>
        <v>2019</v>
      </c>
      <c r="CB1" s="198">
        <f t="shared" si="4"/>
        <v>2019</v>
      </c>
      <c r="CC1" s="198">
        <f t="shared" si="4"/>
        <v>2019</v>
      </c>
      <c r="CD1" s="197">
        <f t="shared" si="4"/>
        <v>2020</v>
      </c>
      <c r="CE1" s="198">
        <f t="shared" si="4"/>
        <v>2020</v>
      </c>
      <c r="CF1" s="198">
        <f t="shared" si="4"/>
        <v>2020</v>
      </c>
      <c r="CG1" s="198">
        <f t="shared" si="4"/>
        <v>2020</v>
      </c>
      <c r="CH1" s="198">
        <f t="shared" si="4"/>
        <v>2020</v>
      </c>
      <c r="CI1" s="198">
        <f t="shared" si="4"/>
        <v>2020</v>
      </c>
      <c r="CJ1" s="198">
        <f t="shared" si="4"/>
        <v>2020</v>
      </c>
      <c r="CK1" s="198">
        <f t="shared" si="4"/>
        <v>2020</v>
      </c>
      <c r="CL1" s="197">
        <f t="shared" si="4"/>
        <v>2021</v>
      </c>
      <c r="CM1" s="198">
        <f t="shared" si="4"/>
        <v>2021</v>
      </c>
      <c r="CN1" s="198">
        <f t="shared" si="4"/>
        <v>2021</v>
      </c>
      <c r="CO1" s="198">
        <f t="shared" si="4"/>
        <v>2021</v>
      </c>
      <c r="CP1" s="198">
        <f t="shared" si="4"/>
        <v>2021</v>
      </c>
      <c r="CQ1" s="198">
        <f t="shared" si="4"/>
        <v>2021</v>
      </c>
      <c r="CR1" s="198">
        <f t="shared" si="4"/>
        <v>2021</v>
      </c>
      <c r="CS1" s="198">
        <f t="shared" si="4"/>
        <v>2021</v>
      </c>
      <c r="CT1" s="367">
        <f t="shared" si="4"/>
        <v>2022</v>
      </c>
      <c r="CU1" s="306">
        <f t="shared" si="4"/>
        <v>2022</v>
      </c>
      <c r="CV1" s="306">
        <f t="shared" si="4"/>
        <v>2022</v>
      </c>
      <c r="CW1" s="306">
        <f t="shared" si="4"/>
        <v>2022</v>
      </c>
      <c r="CX1" s="306">
        <f t="shared" si="4"/>
        <v>2022</v>
      </c>
      <c r="CY1" s="306">
        <f t="shared" si="4"/>
        <v>2022</v>
      </c>
      <c r="CZ1" s="306">
        <f t="shared" si="4"/>
        <v>2022</v>
      </c>
      <c r="DA1" s="306">
        <f t="shared" si="4"/>
        <v>2022</v>
      </c>
      <c r="DB1" s="367">
        <f t="shared" si="4"/>
        <v>2023</v>
      </c>
      <c r="DC1" s="306">
        <f t="shared" si="4"/>
        <v>2023</v>
      </c>
      <c r="DD1" s="306">
        <f t="shared" si="4"/>
        <v>2023</v>
      </c>
      <c r="DE1" s="306">
        <f t="shared" si="4"/>
        <v>2023</v>
      </c>
      <c r="DF1" s="306">
        <f t="shared" si="4"/>
        <v>2023</v>
      </c>
      <c r="DG1" s="306">
        <f t="shared" si="4"/>
        <v>2023</v>
      </c>
      <c r="DH1" s="306">
        <f t="shared" si="4"/>
        <v>2023</v>
      </c>
      <c r="DI1" s="306">
        <f t="shared" si="4"/>
        <v>2023</v>
      </c>
      <c r="DJ1" s="367">
        <f t="shared" si="4"/>
        <v>2024</v>
      </c>
      <c r="DK1" s="306">
        <f t="shared" si="4"/>
        <v>2024</v>
      </c>
      <c r="DL1" s="306">
        <f t="shared" si="4"/>
        <v>2024</v>
      </c>
      <c r="DM1" s="306">
        <f t="shared" si="4"/>
        <v>2024</v>
      </c>
      <c r="DN1" s="306">
        <f t="shared" si="4"/>
        <v>2024</v>
      </c>
      <c r="DO1" s="306">
        <f t="shared" si="4"/>
        <v>2024</v>
      </c>
      <c r="DP1" s="306">
        <f t="shared" si="4"/>
        <v>2024</v>
      </c>
      <c r="DQ1" s="306">
        <f t="shared" si="4"/>
        <v>2024</v>
      </c>
      <c r="DR1" s="367">
        <f t="shared" ref="DR1:EG1" si="5">DJ1+1</f>
        <v>2025</v>
      </c>
      <c r="DS1" s="306">
        <f t="shared" si="5"/>
        <v>2025</v>
      </c>
      <c r="DT1" s="306">
        <v>2025</v>
      </c>
      <c r="DU1" s="306">
        <f t="shared" si="5"/>
        <v>2025</v>
      </c>
      <c r="DV1" s="306">
        <f t="shared" si="5"/>
        <v>2025</v>
      </c>
      <c r="DW1" s="306">
        <f t="shared" si="5"/>
        <v>2025</v>
      </c>
      <c r="DX1" s="306">
        <f t="shared" si="5"/>
        <v>2025</v>
      </c>
      <c r="DY1" s="306">
        <f t="shared" si="5"/>
        <v>2025</v>
      </c>
      <c r="DZ1" s="367">
        <f t="shared" si="5"/>
        <v>2026</v>
      </c>
      <c r="EA1" s="306">
        <f t="shared" si="5"/>
        <v>2026</v>
      </c>
      <c r="EB1" s="306">
        <f t="shared" si="5"/>
        <v>2026</v>
      </c>
      <c r="EC1" s="491">
        <f t="shared" si="5"/>
        <v>2026</v>
      </c>
      <c r="ED1" s="491">
        <f t="shared" si="5"/>
        <v>2026</v>
      </c>
      <c r="EE1" s="491">
        <f t="shared" si="5"/>
        <v>2026</v>
      </c>
      <c r="EF1" s="491">
        <f t="shared" si="5"/>
        <v>2026</v>
      </c>
      <c r="EG1" s="603">
        <f t="shared" si="5"/>
        <v>2026</v>
      </c>
      <c r="EH1" s="406"/>
    </row>
    <row r="2" spans="1:140">
      <c r="A2" s="194"/>
      <c r="B2" s="199" t="s">
        <v>207</v>
      </c>
      <c r="C2" s="200" t="s">
        <v>206</v>
      </c>
      <c r="D2" s="200" t="s">
        <v>208</v>
      </c>
      <c r="E2" s="200" t="s">
        <v>205</v>
      </c>
      <c r="F2" s="200" t="s">
        <v>204</v>
      </c>
      <c r="G2" s="200" t="s">
        <v>203</v>
      </c>
      <c r="H2" s="200" t="s">
        <v>202</v>
      </c>
      <c r="I2" s="412" t="s">
        <v>280</v>
      </c>
      <c r="J2" s="199" t="s">
        <v>207</v>
      </c>
      <c r="K2" s="200" t="s">
        <v>206</v>
      </c>
      <c r="L2" s="200" t="s">
        <v>208</v>
      </c>
      <c r="M2" s="200" t="s">
        <v>205</v>
      </c>
      <c r="N2" s="200" t="s">
        <v>204</v>
      </c>
      <c r="O2" s="200" t="s">
        <v>203</v>
      </c>
      <c r="P2" s="200" t="s">
        <v>202</v>
      </c>
      <c r="Q2" s="412" t="s">
        <v>280</v>
      </c>
      <c r="R2" s="199" t="s">
        <v>207</v>
      </c>
      <c r="S2" s="412" t="s">
        <v>206</v>
      </c>
      <c r="T2" s="200" t="s">
        <v>208</v>
      </c>
      <c r="U2" s="200" t="s">
        <v>205</v>
      </c>
      <c r="V2" s="200" t="s">
        <v>204</v>
      </c>
      <c r="W2" s="200" t="s">
        <v>203</v>
      </c>
      <c r="X2" s="200" t="s">
        <v>202</v>
      </c>
      <c r="Y2" s="412" t="s">
        <v>280</v>
      </c>
      <c r="Z2" s="199" t="s">
        <v>207</v>
      </c>
      <c r="AA2" s="200" t="s">
        <v>206</v>
      </c>
      <c r="AB2" s="200" t="s">
        <v>208</v>
      </c>
      <c r="AC2" s="200" t="s">
        <v>205</v>
      </c>
      <c r="AD2" s="200" t="s">
        <v>204</v>
      </c>
      <c r="AE2" s="200" t="s">
        <v>203</v>
      </c>
      <c r="AF2" s="200" t="s">
        <v>202</v>
      </c>
      <c r="AG2" s="412" t="s">
        <v>280</v>
      </c>
      <c r="AH2" s="199" t="s">
        <v>207</v>
      </c>
      <c r="AI2" s="200" t="s">
        <v>206</v>
      </c>
      <c r="AJ2" s="200" t="s">
        <v>208</v>
      </c>
      <c r="AK2" s="200" t="s">
        <v>205</v>
      </c>
      <c r="AL2" s="200" t="s">
        <v>204</v>
      </c>
      <c r="AM2" s="200" t="s">
        <v>203</v>
      </c>
      <c r="AN2" s="200" t="s">
        <v>202</v>
      </c>
      <c r="AO2" s="412" t="s">
        <v>280</v>
      </c>
      <c r="AP2" s="199" t="s">
        <v>207</v>
      </c>
      <c r="AQ2" s="200" t="s">
        <v>206</v>
      </c>
      <c r="AR2" s="200" t="s">
        <v>208</v>
      </c>
      <c r="AS2" s="200" t="s">
        <v>205</v>
      </c>
      <c r="AT2" s="200" t="s">
        <v>204</v>
      </c>
      <c r="AU2" s="200" t="s">
        <v>203</v>
      </c>
      <c r="AV2" s="200" t="s">
        <v>202</v>
      </c>
      <c r="AW2" s="412" t="s">
        <v>280</v>
      </c>
      <c r="AX2" s="199" t="s">
        <v>207</v>
      </c>
      <c r="AY2" s="200" t="s">
        <v>206</v>
      </c>
      <c r="AZ2" s="200" t="s">
        <v>208</v>
      </c>
      <c r="BA2" s="200" t="s">
        <v>205</v>
      </c>
      <c r="BB2" s="200" t="s">
        <v>204</v>
      </c>
      <c r="BC2" s="200" t="s">
        <v>203</v>
      </c>
      <c r="BD2" s="200" t="s">
        <v>202</v>
      </c>
      <c r="BE2" s="412" t="s">
        <v>280</v>
      </c>
      <c r="BF2" s="199" t="s">
        <v>207</v>
      </c>
      <c r="BG2" s="200" t="s">
        <v>206</v>
      </c>
      <c r="BH2" s="200" t="s">
        <v>208</v>
      </c>
      <c r="BI2" s="200" t="s">
        <v>205</v>
      </c>
      <c r="BJ2" s="200" t="s">
        <v>204</v>
      </c>
      <c r="BK2" s="200" t="s">
        <v>203</v>
      </c>
      <c r="BL2" s="200" t="s">
        <v>202</v>
      </c>
      <c r="BM2" s="412" t="s">
        <v>280</v>
      </c>
      <c r="BN2" s="199" t="s">
        <v>207</v>
      </c>
      <c r="BO2" s="200" t="s">
        <v>206</v>
      </c>
      <c r="BP2" s="200" t="s">
        <v>208</v>
      </c>
      <c r="BQ2" s="200" t="s">
        <v>205</v>
      </c>
      <c r="BR2" s="200" t="s">
        <v>204</v>
      </c>
      <c r="BS2" s="200" t="s">
        <v>203</v>
      </c>
      <c r="BT2" s="200" t="s">
        <v>202</v>
      </c>
      <c r="BU2" s="412" t="s">
        <v>280</v>
      </c>
      <c r="BV2" s="199" t="str">
        <f>BN2</f>
        <v>Q1</v>
      </c>
      <c r="BW2" s="200" t="str">
        <f t="shared" ref="BW2:DQ2" si="6">BO2</f>
        <v>Q2</v>
      </c>
      <c r="BX2" s="200" t="str">
        <f t="shared" si="6"/>
        <v>H1</v>
      </c>
      <c r="BY2" s="200" t="str">
        <f t="shared" si="6"/>
        <v>Q3</v>
      </c>
      <c r="BZ2" s="200" t="str">
        <f t="shared" si="6"/>
        <v>9M</v>
      </c>
      <c r="CA2" s="200" t="str">
        <f t="shared" si="6"/>
        <v>Q4</v>
      </c>
      <c r="CB2" s="200" t="str">
        <f t="shared" si="6"/>
        <v>H2</v>
      </c>
      <c r="CC2" s="412" t="str">
        <f t="shared" si="6"/>
        <v>FY</v>
      </c>
      <c r="CD2" s="199" t="str">
        <f t="shared" si="6"/>
        <v>Q1</v>
      </c>
      <c r="CE2" s="200" t="str">
        <f t="shared" si="6"/>
        <v>Q2</v>
      </c>
      <c r="CF2" s="200" t="str">
        <f t="shared" si="6"/>
        <v>H1</v>
      </c>
      <c r="CG2" s="200" t="str">
        <f t="shared" si="6"/>
        <v>Q3</v>
      </c>
      <c r="CH2" s="200" t="str">
        <f t="shared" si="6"/>
        <v>9M</v>
      </c>
      <c r="CI2" s="200" t="str">
        <f t="shared" si="6"/>
        <v>Q4</v>
      </c>
      <c r="CJ2" s="200" t="str">
        <f t="shared" si="6"/>
        <v>H2</v>
      </c>
      <c r="CK2" s="412" t="str">
        <f t="shared" si="6"/>
        <v>FY</v>
      </c>
      <c r="CL2" s="199" t="str">
        <f t="shared" si="6"/>
        <v>Q1</v>
      </c>
      <c r="CM2" s="412" t="str">
        <f t="shared" si="6"/>
        <v>Q2</v>
      </c>
      <c r="CN2" s="200" t="str">
        <f t="shared" si="6"/>
        <v>H1</v>
      </c>
      <c r="CO2" s="200" t="str">
        <f t="shared" si="6"/>
        <v>Q3</v>
      </c>
      <c r="CP2" s="200" t="str">
        <f t="shared" si="6"/>
        <v>9M</v>
      </c>
      <c r="CQ2" s="200" t="str">
        <f t="shared" si="6"/>
        <v>Q4</v>
      </c>
      <c r="CR2" s="200" t="str">
        <f t="shared" si="6"/>
        <v>H2</v>
      </c>
      <c r="CS2" s="412" t="str">
        <f t="shared" si="6"/>
        <v>FY</v>
      </c>
      <c r="CT2" s="368" t="str">
        <f t="shared" si="6"/>
        <v>Q1</v>
      </c>
      <c r="CU2" s="307" t="str">
        <f t="shared" si="6"/>
        <v>Q2</v>
      </c>
      <c r="CV2" s="307" t="str">
        <f t="shared" si="6"/>
        <v>H1</v>
      </c>
      <c r="CW2" s="307" t="str">
        <f t="shared" si="6"/>
        <v>Q3</v>
      </c>
      <c r="CX2" s="307" t="str">
        <f t="shared" si="6"/>
        <v>9M</v>
      </c>
      <c r="CY2" s="307" t="str">
        <f t="shared" si="6"/>
        <v>Q4</v>
      </c>
      <c r="CZ2" s="307" t="str">
        <f t="shared" si="6"/>
        <v>H2</v>
      </c>
      <c r="DA2" s="358" t="str">
        <f t="shared" si="6"/>
        <v>FY</v>
      </c>
      <c r="DB2" s="368" t="str">
        <f t="shared" si="6"/>
        <v>Q1</v>
      </c>
      <c r="DC2" s="307" t="str">
        <f t="shared" si="6"/>
        <v>Q2</v>
      </c>
      <c r="DD2" s="307" t="str">
        <f t="shared" si="6"/>
        <v>H1</v>
      </c>
      <c r="DE2" s="307" t="str">
        <f t="shared" si="6"/>
        <v>Q3</v>
      </c>
      <c r="DF2" s="307" t="str">
        <f t="shared" si="6"/>
        <v>9M</v>
      </c>
      <c r="DG2" s="307" t="str">
        <f t="shared" si="6"/>
        <v>Q4</v>
      </c>
      <c r="DH2" s="307" t="str">
        <f t="shared" si="6"/>
        <v>H2</v>
      </c>
      <c r="DI2" s="358" t="str">
        <f t="shared" si="6"/>
        <v>FY</v>
      </c>
      <c r="DJ2" s="368" t="str">
        <f t="shared" si="6"/>
        <v>Q1</v>
      </c>
      <c r="DK2" s="307" t="str">
        <f t="shared" si="6"/>
        <v>Q2</v>
      </c>
      <c r="DL2" s="307" t="str">
        <f t="shared" si="6"/>
        <v>H1</v>
      </c>
      <c r="DM2" s="307" t="str">
        <f t="shared" si="6"/>
        <v>Q3</v>
      </c>
      <c r="DN2" s="307" t="str">
        <f t="shared" si="6"/>
        <v>9M</v>
      </c>
      <c r="DO2" s="307" t="str">
        <f t="shared" si="6"/>
        <v>Q4</v>
      </c>
      <c r="DP2" s="307" t="str">
        <f t="shared" si="6"/>
        <v>H2</v>
      </c>
      <c r="DQ2" s="358" t="str">
        <f t="shared" si="6"/>
        <v>FY</v>
      </c>
      <c r="DR2" s="368" t="str">
        <f t="shared" ref="DR2:EG2" si="7">DJ2</f>
        <v>Q1</v>
      </c>
      <c r="DS2" s="307" t="str">
        <f t="shared" si="7"/>
        <v>Q2</v>
      </c>
      <c r="DT2" s="307" t="s">
        <v>208</v>
      </c>
      <c r="DU2" s="307" t="str">
        <f t="shared" si="7"/>
        <v>Q3</v>
      </c>
      <c r="DV2" s="307" t="str">
        <f t="shared" si="7"/>
        <v>9M</v>
      </c>
      <c r="DW2" s="307" t="str">
        <f t="shared" si="7"/>
        <v>Q4</v>
      </c>
      <c r="DX2" s="307" t="str">
        <f t="shared" si="7"/>
        <v>H2</v>
      </c>
      <c r="DY2" s="358" t="str">
        <f t="shared" si="7"/>
        <v>FY</v>
      </c>
      <c r="DZ2" s="368" t="str">
        <f t="shared" si="7"/>
        <v>Q1</v>
      </c>
      <c r="EA2" s="307" t="str">
        <f t="shared" si="7"/>
        <v>Q2</v>
      </c>
      <c r="EB2" s="307" t="str">
        <f t="shared" si="7"/>
        <v>H1</v>
      </c>
      <c r="EC2" s="492" t="str">
        <f t="shared" si="7"/>
        <v>Q3</v>
      </c>
      <c r="ED2" s="492" t="str">
        <f t="shared" si="7"/>
        <v>9M</v>
      </c>
      <c r="EE2" s="492" t="str">
        <f t="shared" si="7"/>
        <v>Q4</v>
      </c>
      <c r="EF2" s="493" t="str">
        <f t="shared" si="7"/>
        <v>H2</v>
      </c>
      <c r="EG2" s="604" t="str">
        <f t="shared" si="7"/>
        <v>FY</v>
      </c>
      <c r="EH2" s="406"/>
      <c r="EJ2" s="107"/>
    </row>
    <row r="3" spans="1:140">
      <c r="J3" s="369"/>
      <c r="R3" s="369"/>
      <c r="Z3" s="369"/>
      <c r="AH3" s="369"/>
      <c r="AO3" s="359"/>
      <c r="AP3" s="369"/>
      <c r="AQ3" s="43"/>
      <c r="AR3" s="43"/>
      <c r="AS3" s="43"/>
      <c r="AT3" s="43"/>
      <c r="AU3" s="43"/>
      <c r="AV3" s="43"/>
      <c r="AW3" s="43"/>
      <c r="AX3" s="369"/>
      <c r="AY3" s="43"/>
      <c r="AZ3" s="43"/>
      <c r="BA3" s="43"/>
      <c r="BB3" s="43"/>
      <c r="BC3" s="43"/>
      <c r="BD3" s="43"/>
      <c r="BE3" s="43"/>
      <c r="BF3" s="408" t="s">
        <v>426</v>
      </c>
      <c r="BG3" s="43" t="s">
        <v>426</v>
      </c>
      <c r="BH3" s="43" t="s">
        <v>426</v>
      </c>
      <c r="BI3" s="43" t="s">
        <v>426</v>
      </c>
      <c r="BJ3" s="43" t="s">
        <v>426</v>
      </c>
      <c r="BK3" s="43" t="s">
        <v>426</v>
      </c>
      <c r="BL3" s="43" t="s">
        <v>426</v>
      </c>
      <c r="BM3" s="43" t="s">
        <v>426</v>
      </c>
      <c r="BN3" s="408"/>
      <c r="BO3" s="122"/>
      <c r="BP3" s="122"/>
      <c r="BQ3" s="122"/>
      <c r="BR3" s="122"/>
      <c r="BS3" s="122"/>
      <c r="BT3" s="122"/>
      <c r="BU3" s="122"/>
      <c r="BV3" s="369"/>
      <c r="BW3" s="43"/>
      <c r="BX3" s="43"/>
      <c r="BY3" s="43"/>
      <c r="BZ3" s="43"/>
      <c r="CA3" s="43"/>
      <c r="CB3" s="43"/>
      <c r="CC3" s="43"/>
      <c r="CD3" s="369"/>
      <c r="CE3" s="43"/>
      <c r="CF3" s="43"/>
      <c r="CG3" s="43"/>
      <c r="CH3" s="43"/>
      <c r="CI3" s="43"/>
      <c r="CJ3" s="43"/>
      <c r="CK3" s="43"/>
      <c r="CL3" s="369"/>
      <c r="CM3" s="43"/>
      <c r="CN3" s="43"/>
      <c r="CO3" s="43"/>
      <c r="CP3" s="43"/>
      <c r="CQ3" s="43"/>
      <c r="CR3" s="43"/>
      <c r="CS3" s="43"/>
      <c r="CT3" s="369"/>
      <c r="CU3" s="43"/>
      <c r="CV3" s="43"/>
      <c r="CW3" s="43"/>
      <c r="CX3" s="43"/>
      <c r="CY3" s="43"/>
      <c r="CZ3" s="43"/>
      <c r="DA3" s="43"/>
      <c r="DB3" s="369"/>
      <c r="DC3" s="43"/>
      <c r="DD3" s="43"/>
      <c r="DE3" s="43"/>
      <c r="DF3" s="43"/>
      <c r="DG3" s="43"/>
      <c r="DH3" s="43"/>
      <c r="DI3" s="43"/>
      <c r="DJ3" s="369"/>
      <c r="DK3" s="43"/>
      <c r="DL3" s="43"/>
      <c r="DM3" s="43"/>
      <c r="DN3" s="43"/>
      <c r="DO3" s="43"/>
      <c r="DP3" s="43"/>
      <c r="DQ3" s="43"/>
      <c r="DR3" s="43"/>
      <c r="DS3" s="43"/>
      <c r="DT3" s="43"/>
      <c r="DU3" s="860" t="s">
        <v>406</v>
      </c>
      <c r="DV3" s="43"/>
      <c r="DW3" s="43"/>
      <c r="DX3" s="43"/>
      <c r="DY3" s="43"/>
      <c r="DZ3" s="43"/>
      <c r="EA3" s="43"/>
      <c r="EB3" s="43"/>
      <c r="EC3" s="43"/>
      <c r="ED3" s="43"/>
      <c r="EE3" s="43"/>
      <c r="EF3" s="43"/>
      <c r="EG3" s="44"/>
      <c r="EH3" s="406"/>
    </row>
    <row r="4" spans="1:140">
      <c r="A4" s="196" t="s">
        <v>222</v>
      </c>
      <c r="B4" s="285" t="str">
        <f t="shared" ref="B4:AO4" si="8">B1&amp;" "&amp;B2</f>
        <v>2011 Q1</v>
      </c>
      <c r="C4" s="286" t="str">
        <f t="shared" si="8"/>
        <v>2011 Q2</v>
      </c>
      <c r="D4" s="286" t="str">
        <f t="shared" si="8"/>
        <v>2011 H1</v>
      </c>
      <c r="E4" s="286" t="str">
        <f t="shared" si="8"/>
        <v>2011 Q3</v>
      </c>
      <c r="F4" s="286" t="str">
        <f t="shared" si="8"/>
        <v>2011 9M</v>
      </c>
      <c r="G4" s="286" t="str">
        <f t="shared" si="8"/>
        <v>2011 Q4</v>
      </c>
      <c r="H4" s="286" t="str">
        <f t="shared" si="8"/>
        <v>2011 H2</v>
      </c>
      <c r="I4" s="418" t="str">
        <f t="shared" si="8"/>
        <v>2011 FY</v>
      </c>
      <c r="J4" s="418" t="str">
        <f t="shared" si="8"/>
        <v>2012 Q1</v>
      </c>
      <c r="K4" s="286" t="str">
        <f t="shared" si="8"/>
        <v>2012 Q2</v>
      </c>
      <c r="L4" s="286" t="str">
        <f t="shared" si="8"/>
        <v>2012 H1</v>
      </c>
      <c r="M4" s="286" t="str">
        <f t="shared" si="8"/>
        <v>2012 Q3</v>
      </c>
      <c r="N4" s="286" t="str">
        <f t="shared" si="8"/>
        <v>2012 9M</v>
      </c>
      <c r="O4" s="286" t="str">
        <f t="shared" si="8"/>
        <v>2012 Q4</v>
      </c>
      <c r="P4" s="286" t="str">
        <f t="shared" si="8"/>
        <v>2012 H2</v>
      </c>
      <c r="Q4" s="418" t="str">
        <f t="shared" si="8"/>
        <v>2012 FY</v>
      </c>
      <c r="R4" s="418" t="str">
        <f t="shared" si="8"/>
        <v>2013 Q1</v>
      </c>
      <c r="S4" s="418" t="str">
        <f t="shared" si="8"/>
        <v>2013 Q2</v>
      </c>
      <c r="T4" s="286" t="str">
        <f t="shared" si="8"/>
        <v>2013 H1</v>
      </c>
      <c r="U4" s="286" t="str">
        <f t="shared" si="8"/>
        <v>2013 Q3</v>
      </c>
      <c r="V4" s="286" t="str">
        <f t="shared" si="8"/>
        <v>2013 9M</v>
      </c>
      <c r="W4" s="286" t="str">
        <f t="shared" si="8"/>
        <v>2013 Q4</v>
      </c>
      <c r="X4" s="286" t="str">
        <f t="shared" si="8"/>
        <v>2013 H2</v>
      </c>
      <c r="Y4" s="418" t="str">
        <f t="shared" si="8"/>
        <v>2013 FY</v>
      </c>
      <c r="Z4" s="418" t="str">
        <f t="shared" si="8"/>
        <v>2014 Q1</v>
      </c>
      <c r="AA4" s="286" t="str">
        <f t="shared" si="8"/>
        <v>2014 Q2</v>
      </c>
      <c r="AB4" s="286" t="str">
        <f t="shared" si="8"/>
        <v>2014 H1</v>
      </c>
      <c r="AC4" s="286" t="str">
        <f t="shared" si="8"/>
        <v>2014 Q3</v>
      </c>
      <c r="AD4" s="286" t="str">
        <f t="shared" si="8"/>
        <v>2014 9M</v>
      </c>
      <c r="AE4" s="286" t="str">
        <f t="shared" si="8"/>
        <v>2014 Q4</v>
      </c>
      <c r="AF4" s="286" t="str">
        <f t="shared" si="8"/>
        <v>2014 H2</v>
      </c>
      <c r="AG4" s="418" t="str">
        <f t="shared" si="8"/>
        <v>2014 FY</v>
      </c>
      <c r="AH4" s="418" t="str">
        <f t="shared" si="8"/>
        <v>2015 Q1</v>
      </c>
      <c r="AI4" s="286" t="str">
        <f t="shared" si="8"/>
        <v>2015 Q2</v>
      </c>
      <c r="AJ4" s="286" t="str">
        <f t="shared" si="8"/>
        <v>2015 H1</v>
      </c>
      <c r="AK4" s="286" t="str">
        <f t="shared" si="8"/>
        <v>2015 Q3</v>
      </c>
      <c r="AL4" s="286" t="str">
        <f t="shared" si="8"/>
        <v>2015 9M</v>
      </c>
      <c r="AM4" s="286" t="str">
        <f t="shared" si="8"/>
        <v>2015 Q4</v>
      </c>
      <c r="AN4" s="286" t="str">
        <f t="shared" si="8"/>
        <v>2015 H2</v>
      </c>
      <c r="AO4" s="418" t="str">
        <f t="shared" si="8"/>
        <v>2015 FY</v>
      </c>
      <c r="AP4" s="418" t="str">
        <f>AP1&amp;" "&amp;AP2</f>
        <v>2016 Q1</v>
      </c>
      <c r="AQ4" s="287" t="str">
        <f t="shared" ref="AQ4:DA4" si="9">AQ1&amp;" "&amp;AQ2</f>
        <v>2016 Q2</v>
      </c>
      <c r="AR4" s="287" t="str">
        <f t="shared" si="9"/>
        <v>2016 H1</v>
      </c>
      <c r="AS4" s="287" t="str">
        <f t="shared" si="9"/>
        <v>2016 Q3</v>
      </c>
      <c r="AT4" s="287" t="str">
        <f t="shared" si="9"/>
        <v>2016 9M</v>
      </c>
      <c r="AU4" s="287" t="str">
        <f t="shared" si="9"/>
        <v>2016 Q4</v>
      </c>
      <c r="AV4" s="287" t="str">
        <f t="shared" si="9"/>
        <v>2016 H2</v>
      </c>
      <c r="AW4" s="287" t="str">
        <f t="shared" si="9"/>
        <v>2016 FY</v>
      </c>
      <c r="AX4" s="418" t="str">
        <f t="shared" si="9"/>
        <v>2017 Q1</v>
      </c>
      <c r="AY4" s="287" t="str">
        <f t="shared" si="9"/>
        <v>2017 Q2</v>
      </c>
      <c r="AZ4" s="287" t="str">
        <f t="shared" si="9"/>
        <v>2017 H1</v>
      </c>
      <c r="BA4" s="287" t="str">
        <f t="shared" si="9"/>
        <v>2017 Q3</v>
      </c>
      <c r="BB4" s="287" t="str">
        <f t="shared" si="9"/>
        <v>2017 9M</v>
      </c>
      <c r="BC4" s="287" t="str">
        <f t="shared" si="9"/>
        <v>2017 Q4</v>
      </c>
      <c r="BD4" s="287" t="str">
        <f t="shared" si="9"/>
        <v>2017 H2</v>
      </c>
      <c r="BE4" s="287" t="str">
        <f t="shared" si="9"/>
        <v>2017 FY</v>
      </c>
      <c r="BF4" s="418" t="str">
        <f t="shared" si="9"/>
        <v>2017 Q1</v>
      </c>
      <c r="BG4" s="288" t="str">
        <f t="shared" si="9"/>
        <v>2017 Q2</v>
      </c>
      <c r="BH4" s="288" t="str">
        <f t="shared" si="9"/>
        <v>2017 H1</v>
      </c>
      <c r="BI4" s="288" t="str">
        <f t="shared" si="9"/>
        <v>2017 Q3</v>
      </c>
      <c r="BJ4" s="288" t="str">
        <f t="shared" si="9"/>
        <v>2017 9M</v>
      </c>
      <c r="BK4" s="288" t="str">
        <f t="shared" si="9"/>
        <v>2017 Q4</v>
      </c>
      <c r="BL4" s="288" t="str">
        <f t="shared" si="9"/>
        <v>2017 H2</v>
      </c>
      <c r="BM4" s="287" t="str">
        <f t="shared" si="9"/>
        <v>2017 FY</v>
      </c>
      <c r="BN4" s="418" t="str">
        <f t="shared" si="9"/>
        <v>2018 Q1</v>
      </c>
      <c r="BO4" s="287" t="str">
        <f t="shared" si="9"/>
        <v>2018 Q2</v>
      </c>
      <c r="BP4" s="287" t="str">
        <f t="shared" si="9"/>
        <v>2018 H1</v>
      </c>
      <c r="BQ4" s="287" t="str">
        <f t="shared" si="9"/>
        <v>2018 Q3</v>
      </c>
      <c r="BR4" s="287" t="str">
        <f t="shared" si="9"/>
        <v>2018 9M</v>
      </c>
      <c r="BS4" s="287" t="str">
        <f t="shared" si="9"/>
        <v>2018 Q4</v>
      </c>
      <c r="BT4" s="287" t="str">
        <f t="shared" si="9"/>
        <v>2018 H2</v>
      </c>
      <c r="BU4" s="287" t="str">
        <f t="shared" si="9"/>
        <v>2018 FY</v>
      </c>
      <c r="BV4" s="418" t="str">
        <f t="shared" si="9"/>
        <v>2019 Q1</v>
      </c>
      <c r="BW4" s="287" t="str">
        <f t="shared" si="9"/>
        <v>2019 Q2</v>
      </c>
      <c r="BX4" s="287" t="str">
        <f t="shared" si="9"/>
        <v>2019 H1</v>
      </c>
      <c r="BY4" s="287" t="str">
        <f t="shared" si="9"/>
        <v>2019 Q3</v>
      </c>
      <c r="BZ4" s="287" t="str">
        <f t="shared" si="9"/>
        <v>2019 9M</v>
      </c>
      <c r="CA4" s="287" t="str">
        <f t="shared" si="9"/>
        <v>2019 Q4</v>
      </c>
      <c r="CB4" s="287" t="str">
        <f t="shared" si="9"/>
        <v>2019 H2</v>
      </c>
      <c r="CC4" s="287" t="str">
        <f t="shared" si="9"/>
        <v>2019 FY</v>
      </c>
      <c r="CD4" s="418" t="str">
        <f t="shared" si="9"/>
        <v>2020 Q1</v>
      </c>
      <c r="CE4" s="287" t="str">
        <f t="shared" si="9"/>
        <v>2020 Q2</v>
      </c>
      <c r="CF4" s="287" t="str">
        <f t="shared" si="9"/>
        <v>2020 H1</v>
      </c>
      <c r="CG4" s="287" t="str">
        <f t="shared" si="9"/>
        <v>2020 Q3</v>
      </c>
      <c r="CH4" s="287" t="str">
        <f t="shared" si="9"/>
        <v>2020 9M</v>
      </c>
      <c r="CI4" s="287" t="str">
        <f t="shared" si="9"/>
        <v>2020 Q4</v>
      </c>
      <c r="CJ4" s="287" t="str">
        <f t="shared" si="9"/>
        <v>2020 H2</v>
      </c>
      <c r="CK4" s="287" t="str">
        <f t="shared" si="9"/>
        <v>2020 FY</v>
      </c>
      <c r="CL4" s="418" t="str">
        <f t="shared" si="9"/>
        <v>2021 Q1</v>
      </c>
      <c r="CM4" s="287" t="str">
        <f t="shared" si="9"/>
        <v>2021 Q2</v>
      </c>
      <c r="CN4" s="288" t="str">
        <f t="shared" si="9"/>
        <v>2021 H1</v>
      </c>
      <c r="CO4" s="288" t="str">
        <f t="shared" si="9"/>
        <v>2021 Q3</v>
      </c>
      <c r="CP4" s="288" t="str">
        <f t="shared" si="9"/>
        <v>2021 9M</v>
      </c>
      <c r="CQ4" s="288" t="str">
        <f t="shared" si="9"/>
        <v>2021 Q4</v>
      </c>
      <c r="CR4" s="288" t="str">
        <f t="shared" si="9"/>
        <v>2021 H2</v>
      </c>
      <c r="CS4" s="287" t="str">
        <f t="shared" si="9"/>
        <v>2021 FY</v>
      </c>
      <c r="CT4" s="370" t="str">
        <f t="shared" si="9"/>
        <v>2022 Q1</v>
      </c>
      <c r="CU4" s="308" t="str">
        <f t="shared" si="9"/>
        <v>2022 Q2</v>
      </c>
      <c r="CV4" s="308" t="str">
        <f t="shared" si="9"/>
        <v>2022 H1</v>
      </c>
      <c r="CW4" s="308" t="str">
        <f t="shared" si="9"/>
        <v>2022 Q3</v>
      </c>
      <c r="CX4" s="308" t="str">
        <f t="shared" si="9"/>
        <v>2022 9M</v>
      </c>
      <c r="CY4" s="308" t="str">
        <f t="shared" si="9"/>
        <v>2022 Q4</v>
      </c>
      <c r="CZ4" s="308" t="str">
        <f t="shared" si="9"/>
        <v>2022 H2</v>
      </c>
      <c r="DA4" s="325" t="str">
        <f t="shared" si="9"/>
        <v>2022 FY</v>
      </c>
      <c r="DB4" s="370" t="str">
        <f t="shared" ref="DB4:DI4" si="10">DB1&amp;" "&amp;DB2</f>
        <v>2023 Q1</v>
      </c>
      <c r="DC4" s="308" t="str">
        <f t="shared" si="10"/>
        <v>2023 Q2</v>
      </c>
      <c r="DD4" s="308" t="str">
        <f t="shared" si="10"/>
        <v>2023 H1</v>
      </c>
      <c r="DE4" s="308" t="str">
        <f t="shared" si="10"/>
        <v>2023 Q3</v>
      </c>
      <c r="DF4" s="308" t="str">
        <f t="shared" si="10"/>
        <v>2023 9M</v>
      </c>
      <c r="DG4" s="308" t="str">
        <f t="shared" si="10"/>
        <v>2023 Q4</v>
      </c>
      <c r="DH4" s="308" t="str">
        <f t="shared" si="10"/>
        <v>2023 H2</v>
      </c>
      <c r="DI4" s="325" t="str">
        <f t="shared" si="10"/>
        <v>2023 FY</v>
      </c>
      <c r="DJ4" s="370" t="str">
        <f t="shared" ref="DJ4:DQ4" si="11">DJ1&amp;" "&amp;DJ2</f>
        <v>2024 Q1</v>
      </c>
      <c r="DK4" s="308" t="str">
        <f t="shared" si="11"/>
        <v>2024 Q2</v>
      </c>
      <c r="DL4" s="308" t="str">
        <f t="shared" si="11"/>
        <v>2024 H1</v>
      </c>
      <c r="DM4" s="308" t="str">
        <f t="shared" si="11"/>
        <v>2024 Q3</v>
      </c>
      <c r="DN4" s="308" t="str">
        <f t="shared" si="11"/>
        <v>2024 9M</v>
      </c>
      <c r="DO4" s="308" t="str">
        <f t="shared" si="11"/>
        <v>2024 Q4</v>
      </c>
      <c r="DP4" s="308" t="str">
        <f t="shared" si="11"/>
        <v>2024 H2</v>
      </c>
      <c r="DQ4" s="325" t="str">
        <f t="shared" si="11"/>
        <v>2024 FY</v>
      </c>
      <c r="DR4" s="325" t="str">
        <f t="shared" ref="DR4:EG4" si="12">DR1&amp;" "&amp;DR2</f>
        <v>2025 Q1</v>
      </c>
      <c r="DS4" s="308" t="str">
        <f t="shared" si="12"/>
        <v>2025 Q2</v>
      </c>
      <c r="DT4" s="308" t="str">
        <f t="shared" si="12"/>
        <v>2025 H1</v>
      </c>
      <c r="DU4" s="308" t="str">
        <f t="shared" si="12"/>
        <v>2025 Q3</v>
      </c>
      <c r="DV4" s="308" t="str">
        <f t="shared" si="12"/>
        <v>2025 9M</v>
      </c>
      <c r="DW4" s="308" t="str">
        <f t="shared" si="12"/>
        <v>2025 Q4</v>
      </c>
      <c r="DX4" s="308" t="str">
        <f t="shared" si="12"/>
        <v>2025 H2</v>
      </c>
      <c r="DY4" s="325" t="str">
        <f t="shared" si="12"/>
        <v>2025 FY</v>
      </c>
      <c r="DZ4" s="325" t="str">
        <f t="shared" si="12"/>
        <v>2026 Q1</v>
      </c>
      <c r="EA4" s="308" t="str">
        <f t="shared" si="12"/>
        <v>2026 Q2</v>
      </c>
      <c r="EB4" s="308" t="str">
        <f t="shared" si="12"/>
        <v>2026 H1</v>
      </c>
      <c r="EC4" s="494" t="str">
        <f t="shared" si="12"/>
        <v>2026 Q3</v>
      </c>
      <c r="ED4" s="494" t="str">
        <f t="shared" si="12"/>
        <v>2026 9M</v>
      </c>
      <c r="EE4" s="494" t="str">
        <f t="shared" si="12"/>
        <v>2026 Q4</v>
      </c>
      <c r="EF4" s="494" t="str">
        <f t="shared" si="12"/>
        <v>2026 H2</v>
      </c>
      <c r="EG4" s="605" t="str">
        <f t="shared" si="12"/>
        <v>2026 FY</v>
      </c>
      <c r="EH4" s="406"/>
    </row>
    <row r="5" spans="1:140" hidden="1" outlineLevel="1">
      <c r="A5" s="12" t="s">
        <v>16</v>
      </c>
      <c r="B5" s="45"/>
      <c r="C5" s="46"/>
      <c r="D5" s="46"/>
      <c r="E5" s="46"/>
      <c r="F5" s="46"/>
      <c r="G5" s="46"/>
      <c r="H5" s="46"/>
      <c r="I5" s="46"/>
      <c r="J5" s="371"/>
      <c r="K5" s="46"/>
      <c r="L5" s="46"/>
      <c r="M5" s="46"/>
      <c r="N5" s="46"/>
      <c r="O5" s="46"/>
      <c r="P5" s="46"/>
      <c r="Q5" s="46"/>
      <c r="R5" s="371"/>
      <c r="S5" s="46"/>
      <c r="T5" s="46"/>
      <c r="U5" s="46"/>
      <c r="V5" s="46"/>
      <c r="W5" s="46"/>
      <c r="X5" s="46"/>
      <c r="Y5" s="46"/>
      <c r="Z5" s="371"/>
      <c r="AA5" s="46"/>
      <c r="AB5" s="46"/>
      <c r="AC5" s="46"/>
      <c r="AD5" s="46"/>
      <c r="AE5" s="46"/>
      <c r="AF5" s="46"/>
      <c r="AG5" s="46"/>
      <c r="AH5" s="371"/>
      <c r="AI5" s="46"/>
      <c r="AJ5" s="46"/>
      <c r="AK5" s="46"/>
      <c r="AL5" s="46"/>
      <c r="AM5" s="46"/>
      <c r="AN5" s="46"/>
      <c r="AO5" s="46"/>
      <c r="AP5" s="371"/>
      <c r="AQ5" s="46"/>
      <c r="AR5" s="46"/>
      <c r="AS5" s="46"/>
      <c r="AT5" s="46"/>
      <c r="AU5" s="46"/>
      <c r="AV5" s="46"/>
      <c r="AW5" s="46"/>
      <c r="AX5" s="371"/>
      <c r="AY5" s="46"/>
      <c r="AZ5" s="46"/>
      <c r="BA5" s="46"/>
      <c r="BB5" s="46"/>
      <c r="BC5" s="46"/>
      <c r="BD5" s="46"/>
      <c r="BE5" s="46"/>
      <c r="BF5" s="371"/>
      <c r="BG5" s="46"/>
      <c r="BH5" s="46"/>
      <c r="BI5" s="46"/>
      <c r="BJ5" s="46"/>
      <c r="BK5" s="46"/>
      <c r="BL5" s="46"/>
      <c r="BM5" s="46"/>
      <c r="BN5" s="371"/>
      <c r="BO5" s="46"/>
      <c r="BP5" s="46"/>
      <c r="BQ5" s="46"/>
      <c r="BR5" s="46"/>
      <c r="BS5" s="46"/>
      <c r="BT5" s="46"/>
      <c r="BU5" s="46"/>
      <c r="BV5" s="371"/>
      <c r="BW5" s="46"/>
      <c r="BX5" s="46"/>
      <c r="BY5" s="46"/>
      <c r="BZ5" s="46"/>
      <c r="CA5" s="46"/>
      <c r="CB5" s="46"/>
      <c r="CC5" s="46"/>
      <c r="CD5" s="371"/>
      <c r="CE5" s="46"/>
      <c r="CF5" s="46"/>
      <c r="CG5" s="46"/>
      <c r="CH5" s="46"/>
      <c r="CI5" s="46"/>
      <c r="CJ5" s="46"/>
      <c r="CK5" s="46"/>
      <c r="CL5" s="371"/>
      <c r="CM5" s="46"/>
      <c r="CN5" s="46"/>
      <c r="CO5" s="46"/>
      <c r="CP5" s="46"/>
      <c r="CQ5" s="46"/>
      <c r="CR5" s="46"/>
      <c r="CS5" s="46"/>
      <c r="CT5" s="371"/>
      <c r="CU5" s="46"/>
      <c r="CV5" s="46"/>
      <c r="CW5" s="46"/>
      <c r="CX5" s="46"/>
      <c r="CY5" s="46"/>
      <c r="CZ5" s="46"/>
      <c r="DA5" s="46"/>
      <c r="DB5" s="371"/>
      <c r="DC5" s="46"/>
      <c r="DD5" s="46"/>
      <c r="DE5" s="46"/>
      <c r="DF5" s="46"/>
      <c r="DG5" s="46"/>
      <c r="DH5" s="46"/>
      <c r="DI5" s="46"/>
      <c r="DJ5" s="371"/>
      <c r="DK5" s="46"/>
      <c r="DL5" s="46"/>
      <c r="DM5" s="46"/>
      <c r="DN5" s="46"/>
      <c r="DO5" s="46"/>
      <c r="DP5" s="46"/>
      <c r="DQ5" s="46"/>
      <c r="DR5" s="371"/>
      <c r="DS5" s="46"/>
      <c r="DT5" s="46"/>
      <c r="DU5" s="46"/>
      <c r="DV5" s="46"/>
      <c r="DW5" s="46"/>
      <c r="DX5" s="46"/>
      <c r="DY5" s="46"/>
      <c r="DZ5" s="371"/>
      <c r="EA5" s="46"/>
      <c r="EB5" s="46"/>
      <c r="EC5" s="46"/>
      <c r="ED5" s="46"/>
      <c r="EE5" s="46"/>
      <c r="EF5" s="46"/>
      <c r="EG5" s="47"/>
      <c r="EH5" s="406"/>
    </row>
    <row r="6" spans="1:140" hidden="1" outlineLevel="1">
      <c r="A6" s="1" t="s">
        <v>201</v>
      </c>
      <c r="B6" s="238">
        <v>6707</v>
      </c>
      <c r="C6" s="46">
        <f>D6-B6</f>
        <v>7757</v>
      </c>
      <c r="D6" s="239">
        <v>14464</v>
      </c>
      <c r="E6" s="46">
        <f>F6-D6</f>
        <v>6656</v>
      </c>
      <c r="F6" s="239">
        <v>21120</v>
      </c>
      <c r="G6" s="46">
        <f>I6-F6</f>
        <v>10039</v>
      </c>
      <c r="H6" s="46">
        <f>G6+E6</f>
        <v>16695</v>
      </c>
      <c r="I6" s="46">
        <f>'Income Statement'!G7</f>
        <v>31159</v>
      </c>
      <c r="J6" s="396">
        <v>7609</v>
      </c>
      <c r="K6" s="46">
        <f>L6-J6</f>
        <v>9255</v>
      </c>
      <c r="L6" s="239">
        <v>16864</v>
      </c>
      <c r="M6" s="46">
        <f t="shared" ref="M6:M13" si="13">N6-L6</f>
        <v>8291</v>
      </c>
      <c r="N6" s="239">
        <v>25155</v>
      </c>
      <c r="O6" s="46">
        <f>Q6-N6</f>
        <v>12469</v>
      </c>
      <c r="P6" s="46">
        <f>O6+M6</f>
        <v>20760</v>
      </c>
      <c r="Q6" s="46">
        <f>'Income Statement'!H7</f>
        <v>37624</v>
      </c>
      <c r="R6" s="396">
        <v>8822</v>
      </c>
      <c r="S6" s="46">
        <f t="shared" ref="S6:S13" si="14">M6-R6</f>
        <v>-531</v>
      </c>
      <c r="T6" s="239">
        <v>18235</v>
      </c>
      <c r="U6" s="46">
        <f t="shared" ref="U6:U13" si="15">V6-M6</f>
        <v>19261</v>
      </c>
      <c r="V6" s="239">
        <v>27552</v>
      </c>
      <c r="W6" s="48">
        <f>Y6-V6</f>
        <v>12337</v>
      </c>
      <c r="X6" s="48">
        <f>W6+U6</f>
        <v>31598</v>
      </c>
      <c r="Y6" s="62">
        <f>'Income Statement'!I7</f>
        <v>39889</v>
      </c>
      <c r="Z6" s="396"/>
      <c r="AA6" s="46">
        <f>AB6-Z6</f>
        <v>0</v>
      </c>
      <c r="AB6" s="239"/>
      <c r="AC6" s="46">
        <f t="shared" ref="AC6:AC13" si="16">AD6-AB6</f>
        <v>0</v>
      </c>
      <c r="AD6" s="239"/>
      <c r="AE6" s="48">
        <f>AG6-AD6</f>
        <v>42280</v>
      </c>
      <c r="AF6" s="48">
        <f>AE6+AC6</f>
        <v>42280</v>
      </c>
      <c r="AG6" s="62">
        <f>'Income Statement'!J7</f>
        <v>42280</v>
      </c>
      <c r="AH6" s="396"/>
      <c r="AI6" s="46">
        <f>AJ6-AH6</f>
        <v>0</v>
      </c>
      <c r="AJ6" s="239"/>
      <c r="AK6" s="46">
        <f t="shared" ref="AK6:AK13" si="17">AL6-AJ6</f>
        <v>0</v>
      </c>
      <c r="AL6" s="239"/>
      <c r="AM6" s="48">
        <f>AO6-AL6</f>
        <v>41428</v>
      </c>
      <c r="AN6" s="48">
        <f>AM6+AK6</f>
        <v>41428</v>
      </c>
      <c r="AO6" s="62">
        <f>'Income Statement'!R7</f>
        <v>41428</v>
      </c>
      <c r="AP6" s="396"/>
      <c r="AQ6" s="46">
        <f>AR6-AP6</f>
        <v>0</v>
      </c>
      <c r="AR6" s="239"/>
      <c r="AS6" s="48">
        <f t="shared" ref="AS6:AS13" si="18">AM6-AR6</f>
        <v>41428</v>
      </c>
      <c r="AT6" s="239"/>
      <c r="AU6" s="48">
        <f t="shared" ref="AU6:AU13" si="19">AW6-AM6</f>
        <v>-41428</v>
      </c>
      <c r="AV6" s="48">
        <f>AU6+AS6</f>
        <v>0</v>
      </c>
      <c r="AW6" s="62">
        <f>'Income Statement'!AF7</f>
        <v>0</v>
      </c>
      <c r="AX6" s="396"/>
      <c r="AY6" s="46">
        <f>AZ6-AX6</f>
        <v>0</v>
      </c>
      <c r="AZ6" s="239"/>
      <c r="BA6" s="46">
        <f t="shared" ref="BA6:BA13" si="20">BB6-AZ6</f>
        <v>0</v>
      </c>
      <c r="BB6" s="239"/>
      <c r="BC6" s="48">
        <f>BE6-BB6</f>
        <v>0</v>
      </c>
      <c r="BD6" s="48">
        <f>BC6+BA6</f>
        <v>0</v>
      </c>
      <c r="BE6" s="62">
        <f>'Income Statement'!AN7</f>
        <v>0</v>
      </c>
      <c r="BF6" s="372"/>
      <c r="BG6" s="62"/>
      <c r="BH6" s="62"/>
      <c r="BI6" s="62"/>
      <c r="BJ6" s="62"/>
      <c r="BK6" s="62"/>
      <c r="BL6" s="62"/>
      <c r="BM6" s="62"/>
      <c r="BN6" s="396"/>
      <c r="BO6" s="46">
        <f>BP6-BN6</f>
        <v>0</v>
      </c>
      <c r="BP6" s="239"/>
      <c r="BQ6" s="46">
        <f t="shared" ref="BQ6:BQ13" si="21">BR6-BP6</f>
        <v>0</v>
      </c>
      <c r="BR6" s="239"/>
      <c r="BS6" s="48">
        <f>BU6-BR6</f>
        <v>0</v>
      </c>
      <c r="BT6" s="48">
        <f>BS6+BQ6</f>
        <v>0</v>
      </c>
      <c r="BU6" s="62">
        <f>'Income Statement'!AV7</f>
        <v>0</v>
      </c>
      <c r="BV6" s="396"/>
      <c r="BW6" s="46">
        <f>BX6-BV6</f>
        <v>0</v>
      </c>
      <c r="BX6" s="239"/>
      <c r="BY6" s="46">
        <f t="shared" ref="BY6:BY13" si="22">BZ6-BX6</f>
        <v>0</v>
      </c>
      <c r="BZ6" s="239"/>
      <c r="CA6" s="48">
        <f>CC6-BZ6</f>
        <v>0</v>
      </c>
      <c r="CB6" s="48">
        <f>CA6+BY6</f>
        <v>0</v>
      </c>
      <c r="CC6" s="62">
        <f>'Income Statement'!BD7</f>
        <v>0</v>
      </c>
      <c r="CD6" s="396"/>
      <c r="CE6" s="46">
        <f>CF6-CD6</f>
        <v>0</v>
      </c>
      <c r="CF6" s="239"/>
      <c r="CG6" s="46">
        <f t="shared" ref="CG6:CG13" si="23">CH6-CF6</f>
        <v>0</v>
      </c>
      <c r="CH6" s="239"/>
      <c r="CI6" s="48">
        <f>CK6-CH6</f>
        <v>0</v>
      </c>
      <c r="CJ6" s="48">
        <f>CI6+CG6</f>
        <v>0</v>
      </c>
      <c r="CK6" s="62">
        <f>'Income Statement'!BL7</f>
        <v>0</v>
      </c>
      <c r="CL6" s="372"/>
      <c r="CM6" s="62"/>
      <c r="CN6" s="62"/>
      <c r="CO6" s="62"/>
      <c r="CP6" s="62"/>
      <c r="CQ6" s="62"/>
      <c r="CR6" s="62"/>
      <c r="CS6" s="62">
        <f>'Income Statement'!BT7</f>
        <v>0</v>
      </c>
      <c r="CT6" s="372"/>
      <c r="CU6" s="62"/>
      <c r="CV6" s="62"/>
      <c r="CW6" s="62"/>
      <c r="CX6" s="62"/>
      <c r="CY6" s="62"/>
      <c r="CZ6" s="62"/>
      <c r="DA6" s="62">
        <f>'Income Statement'!CB7</f>
        <v>0</v>
      </c>
      <c r="DB6" s="372"/>
      <c r="DC6" s="62"/>
      <c r="DD6" s="62"/>
      <c r="DE6" s="62"/>
      <c r="DF6" s="62"/>
      <c r="DG6" s="62"/>
      <c r="DH6" s="62"/>
      <c r="DI6" s="62">
        <f>'Income Statement'!CJ7</f>
        <v>0</v>
      </c>
      <c r="DJ6" s="372"/>
      <c r="DK6" s="62"/>
      <c r="DL6" s="62"/>
      <c r="DM6" s="62"/>
      <c r="DN6" s="62"/>
      <c r="DO6" s="62"/>
      <c r="DP6" s="62"/>
      <c r="DQ6" s="62">
        <f>'Income Statement'!CR7</f>
        <v>0</v>
      </c>
      <c r="DR6" s="372"/>
      <c r="DS6" s="62"/>
      <c r="DT6" s="62"/>
      <c r="DU6" s="62"/>
      <c r="DV6" s="62"/>
      <c r="DW6" s="62"/>
      <c r="DX6" s="62"/>
      <c r="DY6" s="62"/>
      <c r="DZ6" s="372"/>
      <c r="EA6" s="62"/>
      <c r="EB6" s="62"/>
      <c r="EC6" s="62"/>
      <c r="ED6" s="62"/>
      <c r="EE6" s="62"/>
      <c r="EF6" s="62"/>
      <c r="EG6" s="49"/>
      <c r="EH6" s="406"/>
    </row>
    <row r="7" spans="1:140" hidden="1" outlineLevel="1">
      <c r="A7" s="1" t="s">
        <v>408</v>
      </c>
      <c r="B7" s="238">
        <v>434</v>
      </c>
      <c r="C7" s="46">
        <f t="shared" ref="C7:C13" si="24">D7-B7</f>
        <v>678</v>
      </c>
      <c r="D7" s="239">
        <v>1112</v>
      </c>
      <c r="E7" s="46">
        <f t="shared" ref="E7:E13" si="25">F7-D7</f>
        <v>635</v>
      </c>
      <c r="F7" s="239">
        <v>1747</v>
      </c>
      <c r="G7" s="46">
        <f t="shared" ref="G7:G13" si="26">I7-F7</f>
        <v>-1747</v>
      </c>
      <c r="H7" s="46">
        <f t="shared" ref="H7:H13" si="27">G7+E7</f>
        <v>-1112</v>
      </c>
      <c r="I7" s="46">
        <f>'Income Statement'!G8</f>
        <v>0</v>
      </c>
      <c r="J7" s="396">
        <v>425</v>
      </c>
      <c r="K7" s="46">
        <f t="shared" ref="K7:K13" si="28">L7-J7</f>
        <v>418</v>
      </c>
      <c r="L7" s="239">
        <v>843</v>
      </c>
      <c r="M7" s="46">
        <f t="shared" si="13"/>
        <v>351</v>
      </c>
      <c r="N7" s="239">
        <v>1194</v>
      </c>
      <c r="O7" s="46">
        <f t="shared" ref="O7:O13" si="29">Q7-N7</f>
        <v>4438.3999999999996</v>
      </c>
      <c r="P7" s="46">
        <f t="shared" ref="P7:P13" si="30">O7+M7</f>
        <v>4789.3999999999996</v>
      </c>
      <c r="Q7" s="46">
        <f>'Income Statement'!H8</f>
        <v>5632.4</v>
      </c>
      <c r="R7" s="396">
        <v>615</v>
      </c>
      <c r="S7" s="46">
        <f t="shared" si="14"/>
        <v>-264</v>
      </c>
      <c r="T7" s="239">
        <v>1067</v>
      </c>
      <c r="U7" s="46">
        <f t="shared" si="15"/>
        <v>1418</v>
      </c>
      <c r="V7" s="239">
        <v>1769</v>
      </c>
      <c r="W7" s="48" t="e">
        <f t="shared" ref="W7:W13" si="31">Y7-V7</f>
        <v>#REF!</v>
      </c>
      <c r="X7" s="48" t="e">
        <f t="shared" ref="X7:X13" si="32">W7+U7</f>
        <v>#REF!</v>
      </c>
      <c r="Y7" s="62" t="e">
        <f>'Income Statement'!I8</f>
        <v>#REF!</v>
      </c>
      <c r="Z7" s="396"/>
      <c r="AA7" s="46">
        <f t="shared" ref="AA7:AA13" si="33">AB7-Z7</f>
        <v>0</v>
      </c>
      <c r="AB7" s="239"/>
      <c r="AC7" s="46">
        <f t="shared" si="16"/>
        <v>0</v>
      </c>
      <c r="AD7" s="239"/>
      <c r="AE7" s="48">
        <f t="shared" ref="AE7:AE13" si="34">AG7-AD7</f>
        <v>0</v>
      </c>
      <c r="AF7" s="48">
        <f t="shared" ref="AF7:AF13" si="35">AE7+AC7</f>
        <v>0</v>
      </c>
      <c r="AG7" s="62">
        <f>'Income Statement'!J8</f>
        <v>0</v>
      </c>
      <c r="AH7" s="396"/>
      <c r="AI7" s="46">
        <f t="shared" ref="AI7:AI13" si="36">AJ7-AH7</f>
        <v>0</v>
      </c>
      <c r="AJ7" s="239"/>
      <c r="AK7" s="46">
        <f t="shared" si="17"/>
        <v>0</v>
      </c>
      <c r="AL7" s="239"/>
      <c r="AM7" s="48">
        <f t="shared" ref="AM7:AM13" si="37">AO7-AL7</f>
        <v>0</v>
      </c>
      <c r="AN7" s="48">
        <f t="shared" ref="AN7:AN13" si="38">AM7+AK7</f>
        <v>0</v>
      </c>
      <c r="AO7" s="62">
        <f>'Income Statement'!R8</f>
        <v>0</v>
      </c>
      <c r="AP7" s="396"/>
      <c r="AQ7" s="46">
        <f t="shared" ref="AQ7:AQ13" si="39">AR7-AP7</f>
        <v>0</v>
      </c>
      <c r="AR7" s="239"/>
      <c r="AS7" s="48">
        <f t="shared" si="18"/>
        <v>0</v>
      </c>
      <c r="AT7" s="239"/>
      <c r="AU7" s="48">
        <f t="shared" si="19"/>
        <v>0</v>
      </c>
      <c r="AV7" s="48">
        <f t="shared" ref="AV7:AV13" si="40">AU7+AS7</f>
        <v>0</v>
      </c>
      <c r="AW7" s="62">
        <f>'Income Statement'!AF8</f>
        <v>0</v>
      </c>
      <c r="AX7" s="396"/>
      <c r="AY7" s="46">
        <f t="shared" ref="AY7:AY13" si="41">AZ7-AX7</f>
        <v>0</v>
      </c>
      <c r="AZ7" s="239"/>
      <c r="BA7" s="46">
        <f t="shared" si="20"/>
        <v>0</v>
      </c>
      <c r="BB7" s="239"/>
      <c r="BC7" s="48">
        <f t="shared" ref="BC7:BC13" si="42">BE7-BB7</f>
        <v>0</v>
      </c>
      <c r="BD7" s="48">
        <f t="shared" ref="BD7:BD13" si="43">BC7+BA7</f>
        <v>0</v>
      </c>
      <c r="BE7" s="62">
        <f>'Income Statement'!AN8</f>
        <v>0</v>
      </c>
      <c r="BF7" s="372"/>
      <c r="BG7" s="62"/>
      <c r="BH7" s="62"/>
      <c r="BI7" s="62"/>
      <c r="BJ7" s="62"/>
      <c r="BK7" s="62"/>
      <c r="BL7" s="62"/>
      <c r="BM7" s="62"/>
      <c r="BN7" s="396"/>
      <c r="BO7" s="46">
        <f t="shared" ref="BO7:BO13" si="44">BP7-BN7</f>
        <v>0</v>
      </c>
      <c r="BP7" s="239"/>
      <c r="BQ7" s="46">
        <f t="shared" si="21"/>
        <v>0</v>
      </c>
      <c r="BR7" s="239"/>
      <c r="BS7" s="48">
        <f t="shared" ref="BS7:BS13" si="45">BU7-BR7</f>
        <v>0</v>
      </c>
      <c r="BT7" s="48">
        <f t="shared" ref="BT7:BT13" si="46">BS7+BQ7</f>
        <v>0</v>
      </c>
      <c r="BU7" s="62">
        <f>'Income Statement'!AV8</f>
        <v>0</v>
      </c>
      <c r="BV7" s="396"/>
      <c r="BW7" s="46">
        <f t="shared" ref="BW7:BW13" si="47">BX7-BV7</f>
        <v>0</v>
      </c>
      <c r="BX7" s="239"/>
      <c r="BY7" s="46">
        <f t="shared" si="22"/>
        <v>0</v>
      </c>
      <c r="BZ7" s="239"/>
      <c r="CA7" s="48">
        <f t="shared" ref="CA7:CA13" si="48">CC7-BZ7</f>
        <v>0</v>
      </c>
      <c r="CB7" s="48">
        <f t="shared" ref="CB7:CB13" si="49">CA7+BY7</f>
        <v>0</v>
      </c>
      <c r="CC7" s="62">
        <f>'Income Statement'!BD8</f>
        <v>0</v>
      </c>
      <c r="CD7" s="396"/>
      <c r="CE7" s="46">
        <f t="shared" ref="CE7:CE13" si="50">CF7-CD7</f>
        <v>0</v>
      </c>
      <c r="CF7" s="239"/>
      <c r="CG7" s="46">
        <f t="shared" si="23"/>
        <v>0</v>
      </c>
      <c r="CH7" s="239"/>
      <c r="CI7" s="48">
        <f t="shared" ref="CI7:CI13" si="51">CK7-CH7</f>
        <v>0</v>
      </c>
      <c r="CJ7" s="48">
        <f t="shared" ref="CJ7:CJ13" si="52">CI7+CG7</f>
        <v>0</v>
      </c>
      <c r="CK7" s="62">
        <f>'Income Statement'!BL8</f>
        <v>0</v>
      </c>
      <c r="CL7" s="372"/>
      <c r="CM7" s="62"/>
      <c r="CN7" s="62"/>
      <c r="CO7" s="62"/>
      <c r="CP7" s="62"/>
      <c r="CQ7" s="62"/>
      <c r="CR7" s="62"/>
      <c r="CS7" s="62">
        <f>'Income Statement'!BT8</f>
        <v>0</v>
      </c>
      <c r="CT7" s="372"/>
      <c r="CU7" s="62"/>
      <c r="CV7" s="62"/>
      <c r="CW7" s="62"/>
      <c r="CX7" s="62"/>
      <c r="CY7" s="62"/>
      <c r="CZ7" s="62"/>
      <c r="DA7" s="62">
        <f>'Income Statement'!CB8</f>
        <v>0</v>
      </c>
      <c r="DB7" s="372"/>
      <c r="DC7" s="62"/>
      <c r="DD7" s="62"/>
      <c r="DE7" s="62"/>
      <c r="DF7" s="62"/>
      <c r="DG7" s="62"/>
      <c r="DH7" s="62"/>
      <c r="DI7" s="62">
        <f>'Income Statement'!CJ8</f>
        <v>0</v>
      </c>
      <c r="DJ7" s="372"/>
      <c r="DK7" s="62"/>
      <c r="DL7" s="62"/>
      <c r="DM7" s="62"/>
      <c r="DN7" s="62"/>
      <c r="DO7" s="62"/>
      <c r="DP7" s="62"/>
      <c r="DQ7" s="62">
        <f>'Income Statement'!CR8</f>
        <v>0</v>
      </c>
      <c r="DR7" s="372"/>
      <c r="DS7" s="62"/>
      <c r="DT7" s="62"/>
      <c r="DU7" s="62"/>
      <c r="DV7" s="62"/>
      <c r="DW7" s="62"/>
      <c r="DX7" s="62"/>
      <c r="DY7" s="62"/>
      <c r="DZ7" s="372"/>
      <c r="EA7" s="62"/>
      <c r="EB7" s="62"/>
      <c r="EC7" s="62"/>
      <c r="ED7" s="62"/>
      <c r="EE7" s="62"/>
      <c r="EF7" s="62"/>
      <c r="EG7" s="49"/>
      <c r="EH7" s="406"/>
    </row>
    <row r="8" spans="1:140" hidden="1" outlineLevel="1">
      <c r="A8" s="1" t="s">
        <v>409</v>
      </c>
      <c r="B8" s="238">
        <v>823</v>
      </c>
      <c r="C8" s="46">
        <f t="shared" si="24"/>
        <v>1348</v>
      </c>
      <c r="D8" s="239">
        <v>2171</v>
      </c>
      <c r="E8" s="46">
        <f t="shared" si="25"/>
        <v>1287</v>
      </c>
      <c r="F8" s="239">
        <v>3458</v>
      </c>
      <c r="G8" s="46">
        <f t="shared" si="26"/>
        <v>1957</v>
      </c>
      <c r="H8" s="46">
        <f t="shared" si="27"/>
        <v>3244</v>
      </c>
      <c r="I8" s="46">
        <f>'Income Statement'!G9</f>
        <v>5415</v>
      </c>
      <c r="J8" s="396">
        <v>1199</v>
      </c>
      <c r="K8" s="46">
        <f t="shared" si="28"/>
        <v>1572</v>
      </c>
      <c r="L8" s="239">
        <v>2771</v>
      </c>
      <c r="M8" s="46">
        <f t="shared" si="13"/>
        <v>1345</v>
      </c>
      <c r="N8" s="239">
        <v>4116</v>
      </c>
      <c r="O8" s="46">
        <f t="shared" si="29"/>
        <v>2148</v>
      </c>
      <c r="P8" s="46">
        <f t="shared" si="30"/>
        <v>3493</v>
      </c>
      <c r="Q8" s="46">
        <f>'Income Statement'!H9</f>
        <v>6264</v>
      </c>
      <c r="R8" s="396">
        <v>1038</v>
      </c>
      <c r="S8" s="46">
        <f t="shared" si="14"/>
        <v>307</v>
      </c>
      <c r="T8" s="239">
        <v>2584</v>
      </c>
      <c r="U8" s="46">
        <f t="shared" si="15"/>
        <v>2787</v>
      </c>
      <c r="V8" s="239">
        <v>4132</v>
      </c>
      <c r="W8" s="48">
        <f t="shared" si="31"/>
        <v>2165</v>
      </c>
      <c r="X8" s="48">
        <f t="shared" si="32"/>
        <v>4952</v>
      </c>
      <c r="Y8" s="62">
        <f>'Income Statement'!I9</f>
        <v>6297</v>
      </c>
      <c r="Z8" s="396"/>
      <c r="AA8" s="46">
        <f t="shared" si="33"/>
        <v>0</v>
      </c>
      <c r="AB8" s="239"/>
      <c r="AC8" s="46">
        <f t="shared" si="16"/>
        <v>0</v>
      </c>
      <c r="AD8" s="239"/>
      <c r="AE8" s="48">
        <f t="shared" si="34"/>
        <v>6524</v>
      </c>
      <c r="AF8" s="48">
        <f t="shared" si="35"/>
        <v>6524</v>
      </c>
      <c r="AG8" s="62">
        <f>'Income Statement'!J9</f>
        <v>6524</v>
      </c>
      <c r="AH8" s="396"/>
      <c r="AI8" s="46">
        <f t="shared" si="36"/>
        <v>0</v>
      </c>
      <c r="AJ8" s="239"/>
      <c r="AK8" s="46">
        <f t="shared" si="17"/>
        <v>0</v>
      </c>
      <c r="AL8" s="239"/>
      <c r="AM8" s="48">
        <f t="shared" si="37"/>
        <v>7048</v>
      </c>
      <c r="AN8" s="48">
        <f t="shared" si="38"/>
        <v>7048</v>
      </c>
      <c r="AO8" s="62">
        <f>'Income Statement'!R9</f>
        <v>7048</v>
      </c>
      <c r="AP8" s="396"/>
      <c r="AQ8" s="46">
        <f t="shared" si="39"/>
        <v>0</v>
      </c>
      <c r="AR8" s="239"/>
      <c r="AS8" s="48">
        <f t="shared" si="18"/>
        <v>7048</v>
      </c>
      <c r="AT8" s="239"/>
      <c r="AU8" s="48">
        <f t="shared" si="19"/>
        <v>-7048</v>
      </c>
      <c r="AV8" s="48">
        <f t="shared" si="40"/>
        <v>0</v>
      </c>
      <c r="AW8" s="62">
        <f>'Income Statement'!AF9</f>
        <v>0</v>
      </c>
      <c r="AX8" s="396"/>
      <c r="AY8" s="46">
        <f t="shared" si="41"/>
        <v>0</v>
      </c>
      <c r="AZ8" s="239"/>
      <c r="BA8" s="46">
        <f t="shared" si="20"/>
        <v>0</v>
      </c>
      <c r="BB8" s="239"/>
      <c r="BC8" s="48">
        <f t="shared" si="42"/>
        <v>0</v>
      </c>
      <c r="BD8" s="48">
        <f t="shared" si="43"/>
        <v>0</v>
      </c>
      <c r="BE8" s="62">
        <f>'Income Statement'!AN9</f>
        <v>0</v>
      </c>
      <c r="BF8" s="372"/>
      <c r="BG8" s="62"/>
      <c r="BH8" s="62"/>
      <c r="BI8" s="62"/>
      <c r="BJ8" s="62"/>
      <c r="BK8" s="62"/>
      <c r="BL8" s="62"/>
      <c r="BM8" s="62"/>
      <c r="BN8" s="396"/>
      <c r="BO8" s="46">
        <f t="shared" si="44"/>
        <v>0</v>
      </c>
      <c r="BP8" s="239"/>
      <c r="BQ8" s="46">
        <f t="shared" si="21"/>
        <v>0</v>
      </c>
      <c r="BR8" s="239"/>
      <c r="BS8" s="48">
        <f t="shared" si="45"/>
        <v>0</v>
      </c>
      <c r="BT8" s="48">
        <f t="shared" si="46"/>
        <v>0</v>
      </c>
      <c r="BU8" s="62">
        <f>'Income Statement'!AV9</f>
        <v>0</v>
      </c>
      <c r="BV8" s="396"/>
      <c r="BW8" s="46">
        <f t="shared" si="47"/>
        <v>0</v>
      </c>
      <c r="BX8" s="239"/>
      <c r="BY8" s="46">
        <f t="shared" si="22"/>
        <v>0</v>
      </c>
      <c r="BZ8" s="239"/>
      <c r="CA8" s="48">
        <f t="shared" si="48"/>
        <v>0</v>
      </c>
      <c r="CB8" s="48">
        <f t="shared" si="49"/>
        <v>0</v>
      </c>
      <c r="CC8" s="62">
        <f>'Income Statement'!BD9</f>
        <v>0</v>
      </c>
      <c r="CD8" s="396"/>
      <c r="CE8" s="46">
        <f t="shared" si="50"/>
        <v>0</v>
      </c>
      <c r="CF8" s="239"/>
      <c r="CG8" s="46">
        <f t="shared" si="23"/>
        <v>0</v>
      </c>
      <c r="CH8" s="239"/>
      <c r="CI8" s="48">
        <f t="shared" si="51"/>
        <v>0</v>
      </c>
      <c r="CJ8" s="48">
        <f t="shared" si="52"/>
        <v>0</v>
      </c>
      <c r="CK8" s="62">
        <f>'Income Statement'!BL9</f>
        <v>0</v>
      </c>
      <c r="CL8" s="372"/>
      <c r="CM8" s="62"/>
      <c r="CN8" s="62"/>
      <c r="CO8" s="62"/>
      <c r="CP8" s="62"/>
      <c r="CQ8" s="62"/>
      <c r="CR8" s="62"/>
      <c r="CS8" s="62">
        <f>'Income Statement'!BT9</f>
        <v>0</v>
      </c>
      <c r="CT8" s="372"/>
      <c r="CU8" s="62"/>
      <c r="CV8" s="62"/>
      <c r="CW8" s="62"/>
      <c r="CX8" s="62"/>
      <c r="CY8" s="62"/>
      <c r="CZ8" s="62"/>
      <c r="DA8" s="62">
        <f>'Income Statement'!CB9</f>
        <v>0</v>
      </c>
      <c r="DB8" s="372"/>
      <c r="DC8" s="62"/>
      <c r="DD8" s="62"/>
      <c r="DE8" s="62"/>
      <c r="DF8" s="62"/>
      <c r="DG8" s="62"/>
      <c r="DH8" s="62"/>
      <c r="DI8" s="62">
        <f>'Income Statement'!CJ9</f>
        <v>0</v>
      </c>
      <c r="DJ8" s="372"/>
      <c r="DK8" s="62"/>
      <c r="DL8" s="62"/>
      <c r="DM8" s="62"/>
      <c r="DN8" s="62"/>
      <c r="DO8" s="62"/>
      <c r="DP8" s="62"/>
      <c r="DQ8" s="62">
        <f>'Income Statement'!CR9</f>
        <v>0</v>
      </c>
      <c r="DR8" s="372"/>
      <c r="DS8" s="62"/>
      <c r="DT8" s="62"/>
      <c r="DU8" s="62"/>
      <c r="DV8" s="62"/>
      <c r="DW8" s="62"/>
      <c r="DX8" s="62"/>
      <c r="DY8" s="62"/>
      <c r="DZ8" s="372"/>
      <c r="EA8" s="62"/>
      <c r="EB8" s="62"/>
      <c r="EC8" s="62"/>
      <c r="ED8" s="62"/>
      <c r="EE8" s="62"/>
      <c r="EF8" s="62"/>
      <c r="EG8" s="49"/>
      <c r="EH8" s="406"/>
    </row>
    <row r="9" spans="1:140" hidden="1" outlineLevel="1">
      <c r="A9" s="1" t="s">
        <v>410</v>
      </c>
      <c r="B9" s="238">
        <v>1171</v>
      </c>
      <c r="C9" s="46">
        <f t="shared" si="24"/>
        <v>1176</v>
      </c>
      <c r="D9" s="239">
        <v>2347</v>
      </c>
      <c r="E9" s="46">
        <f t="shared" si="25"/>
        <v>1093</v>
      </c>
      <c r="F9" s="239">
        <v>3440</v>
      </c>
      <c r="G9" s="46">
        <f t="shared" si="26"/>
        <v>-3440</v>
      </c>
      <c r="H9" s="46">
        <f t="shared" si="27"/>
        <v>-2347</v>
      </c>
      <c r="I9" s="46">
        <f>'Income Statement'!G10</f>
        <v>0</v>
      </c>
      <c r="J9" s="396">
        <v>1325</v>
      </c>
      <c r="K9" s="46">
        <f t="shared" si="28"/>
        <v>1336</v>
      </c>
      <c r="L9" s="239">
        <v>2661</v>
      </c>
      <c r="M9" s="46">
        <f t="shared" si="13"/>
        <v>1273</v>
      </c>
      <c r="N9" s="239">
        <v>3934</v>
      </c>
      <c r="O9" s="46">
        <f t="shared" si="29"/>
        <v>1883</v>
      </c>
      <c r="P9" s="46">
        <f t="shared" si="30"/>
        <v>3156</v>
      </c>
      <c r="Q9" s="46">
        <f>'Income Statement'!H10</f>
        <v>5817</v>
      </c>
      <c r="R9" s="396">
        <v>1369</v>
      </c>
      <c r="S9" s="46">
        <f t="shared" si="14"/>
        <v>-96</v>
      </c>
      <c r="T9" s="239">
        <v>2808</v>
      </c>
      <c r="U9" s="46">
        <f t="shared" si="15"/>
        <v>2741</v>
      </c>
      <c r="V9" s="239">
        <v>4014</v>
      </c>
      <c r="W9" s="48">
        <f t="shared" si="31"/>
        <v>1770</v>
      </c>
      <c r="X9" s="48">
        <f t="shared" si="32"/>
        <v>4511</v>
      </c>
      <c r="Y9" s="62">
        <f>'Income Statement'!I10</f>
        <v>5784</v>
      </c>
      <c r="Z9" s="396"/>
      <c r="AA9" s="46">
        <f t="shared" si="33"/>
        <v>0</v>
      </c>
      <c r="AB9" s="239"/>
      <c r="AC9" s="46">
        <f t="shared" si="16"/>
        <v>0</v>
      </c>
      <c r="AD9" s="239"/>
      <c r="AE9" s="48">
        <f t="shared" si="34"/>
        <v>0</v>
      </c>
      <c r="AF9" s="48">
        <f t="shared" si="35"/>
        <v>0</v>
      </c>
      <c r="AG9" s="62">
        <f>'Income Statement'!J10</f>
        <v>0</v>
      </c>
      <c r="AH9" s="396"/>
      <c r="AI9" s="46">
        <f t="shared" si="36"/>
        <v>0</v>
      </c>
      <c r="AJ9" s="239"/>
      <c r="AK9" s="46">
        <f t="shared" si="17"/>
        <v>0</v>
      </c>
      <c r="AL9" s="239"/>
      <c r="AM9" s="48">
        <f t="shared" si="37"/>
        <v>0</v>
      </c>
      <c r="AN9" s="48">
        <f t="shared" si="38"/>
        <v>0</v>
      </c>
      <c r="AO9" s="62">
        <f>'Income Statement'!R10</f>
        <v>0</v>
      </c>
      <c r="AP9" s="396"/>
      <c r="AQ9" s="46">
        <f t="shared" si="39"/>
        <v>0</v>
      </c>
      <c r="AR9" s="239"/>
      <c r="AS9" s="48">
        <f t="shared" si="18"/>
        <v>0</v>
      </c>
      <c r="AT9" s="239"/>
      <c r="AU9" s="48">
        <f t="shared" si="19"/>
        <v>0</v>
      </c>
      <c r="AV9" s="48">
        <f t="shared" si="40"/>
        <v>0</v>
      </c>
      <c r="AW9" s="62">
        <f>'Income Statement'!AF10</f>
        <v>0</v>
      </c>
      <c r="AX9" s="396"/>
      <c r="AY9" s="46">
        <f t="shared" si="41"/>
        <v>0</v>
      </c>
      <c r="AZ9" s="239"/>
      <c r="BA9" s="46">
        <f t="shared" si="20"/>
        <v>0</v>
      </c>
      <c r="BB9" s="239"/>
      <c r="BC9" s="48">
        <f t="shared" si="42"/>
        <v>0</v>
      </c>
      <c r="BD9" s="48">
        <f t="shared" si="43"/>
        <v>0</v>
      </c>
      <c r="BE9" s="62">
        <f>'Income Statement'!AN10</f>
        <v>0</v>
      </c>
      <c r="BF9" s="372"/>
      <c r="BG9" s="62"/>
      <c r="BH9" s="62"/>
      <c r="BI9" s="62"/>
      <c r="BJ9" s="62"/>
      <c r="BK9" s="62"/>
      <c r="BL9" s="62"/>
      <c r="BM9" s="62"/>
      <c r="BN9" s="396"/>
      <c r="BO9" s="46">
        <f t="shared" si="44"/>
        <v>0</v>
      </c>
      <c r="BP9" s="239"/>
      <c r="BQ9" s="46">
        <f t="shared" si="21"/>
        <v>0</v>
      </c>
      <c r="BR9" s="239"/>
      <c r="BS9" s="48">
        <f t="shared" si="45"/>
        <v>0</v>
      </c>
      <c r="BT9" s="48">
        <f t="shared" si="46"/>
        <v>0</v>
      </c>
      <c r="BU9" s="62">
        <f>'Income Statement'!AV10</f>
        <v>0</v>
      </c>
      <c r="BV9" s="396"/>
      <c r="BW9" s="46">
        <f t="shared" si="47"/>
        <v>0</v>
      </c>
      <c r="BX9" s="239"/>
      <c r="BY9" s="46">
        <f t="shared" si="22"/>
        <v>0</v>
      </c>
      <c r="BZ9" s="239"/>
      <c r="CA9" s="48">
        <f t="shared" si="48"/>
        <v>0</v>
      </c>
      <c r="CB9" s="48">
        <f t="shared" si="49"/>
        <v>0</v>
      </c>
      <c r="CC9" s="62">
        <f>'Income Statement'!BD10</f>
        <v>0</v>
      </c>
      <c r="CD9" s="396"/>
      <c r="CE9" s="46">
        <f t="shared" si="50"/>
        <v>0</v>
      </c>
      <c r="CF9" s="239"/>
      <c r="CG9" s="46">
        <f t="shared" si="23"/>
        <v>0</v>
      </c>
      <c r="CH9" s="239"/>
      <c r="CI9" s="48">
        <f t="shared" si="51"/>
        <v>0</v>
      </c>
      <c r="CJ9" s="48">
        <f t="shared" si="52"/>
        <v>0</v>
      </c>
      <c r="CK9" s="62">
        <f>'Income Statement'!BL10</f>
        <v>0</v>
      </c>
      <c r="CL9" s="372"/>
      <c r="CM9" s="62"/>
      <c r="CN9" s="62"/>
      <c r="CO9" s="62"/>
      <c r="CP9" s="62"/>
      <c r="CQ9" s="62"/>
      <c r="CR9" s="62"/>
      <c r="CS9" s="62">
        <f>'Income Statement'!BT10</f>
        <v>0</v>
      </c>
      <c r="CT9" s="372"/>
      <c r="CU9" s="62"/>
      <c r="CV9" s="62"/>
      <c r="CW9" s="62"/>
      <c r="CX9" s="62"/>
      <c r="CY9" s="62"/>
      <c r="CZ9" s="62"/>
      <c r="DA9" s="62">
        <f>'Income Statement'!CB10</f>
        <v>0</v>
      </c>
      <c r="DB9" s="372"/>
      <c r="DC9" s="62"/>
      <c r="DD9" s="62"/>
      <c r="DE9" s="62"/>
      <c r="DF9" s="62"/>
      <c r="DG9" s="62"/>
      <c r="DH9" s="62"/>
      <c r="DI9" s="62">
        <f>'Income Statement'!CJ10</f>
        <v>0</v>
      </c>
      <c r="DJ9" s="372"/>
      <c r="DK9" s="62"/>
      <c r="DL9" s="62"/>
      <c r="DM9" s="62"/>
      <c r="DN9" s="62"/>
      <c r="DO9" s="62"/>
      <c r="DP9" s="62"/>
      <c r="DQ9" s="62">
        <f>'Income Statement'!CR10</f>
        <v>0</v>
      </c>
      <c r="DR9" s="372"/>
      <c r="DS9" s="62"/>
      <c r="DT9" s="62"/>
      <c r="DU9" s="62"/>
      <c r="DV9" s="62"/>
      <c r="DW9" s="62"/>
      <c r="DX9" s="62"/>
      <c r="DY9" s="62"/>
      <c r="DZ9" s="372"/>
      <c r="EA9" s="62"/>
      <c r="EB9" s="62"/>
      <c r="EC9" s="62"/>
      <c r="ED9" s="62"/>
      <c r="EE9" s="62"/>
      <c r="EF9" s="62"/>
      <c r="EG9" s="49"/>
      <c r="EH9" s="406"/>
    </row>
    <row r="10" spans="1:140" hidden="1" outlineLevel="1">
      <c r="A10" s="1" t="s">
        <v>224</v>
      </c>
      <c r="B10" s="238">
        <v>878</v>
      </c>
      <c r="C10" s="46">
        <f t="shared" si="24"/>
        <v>1255</v>
      </c>
      <c r="D10" s="239">
        <v>2133</v>
      </c>
      <c r="E10" s="46">
        <f t="shared" si="25"/>
        <v>1286</v>
      </c>
      <c r="F10" s="239">
        <v>3419</v>
      </c>
      <c r="G10" s="46">
        <f t="shared" si="26"/>
        <v>-3419</v>
      </c>
      <c r="H10" s="46">
        <f t="shared" si="27"/>
        <v>-2133</v>
      </c>
      <c r="I10" s="46">
        <f>'Income Statement'!G11</f>
        <v>0</v>
      </c>
      <c r="J10" s="396">
        <v>925</v>
      </c>
      <c r="K10" s="46">
        <f t="shared" si="28"/>
        <v>1261</v>
      </c>
      <c r="L10" s="239">
        <v>2186</v>
      </c>
      <c r="M10" s="46">
        <f t="shared" si="13"/>
        <v>1298</v>
      </c>
      <c r="N10" s="239">
        <v>3484</v>
      </c>
      <c r="O10" s="46">
        <f t="shared" si="29"/>
        <v>2256</v>
      </c>
      <c r="P10" s="46">
        <f t="shared" si="30"/>
        <v>3554</v>
      </c>
      <c r="Q10" s="46">
        <f>'Income Statement'!H11</f>
        <v>5740</v>
      </c>
      <c r="R10" s="396">
        <v>941</v>
      </c>
      <c r="S10" s="46">
        <f t="shared" si="14"/>
        <v>357</v>
      </c>
      <c r="T10" s="239">
        <v>2286</v>
      </c>
      <c r="U10" s="46">
        <f t="shared" si="15"/>
        <v>2200</v>
      </c>
      <c r="V10" s="239">
        <v>3498</v>
      </c>
      <c r="W10" s="48">
        <f t="shared" si="31"/>
        <v>2478</v>
      </c>
      <c r="X10" s="48">
        <f t="shared" si="32"/>
        <v>4678</v>
      </c>
      <c r="Y10" s="62">
        <f>'Income Statement'!I11</f>
        <v>5976</v>
      </c>
      <c r="Z10" s="396"/>
      <c r="AA10" s="46">
        <f t="shared" si="33"/>
        <v>0</v>
      </c>
      <c r="AB10" s="239"/>
      <c r="AC10" s="46">
        <f t="shared" si="16"/>
        <v>0</v>
      </c>
      <c r="AD10" s="239"/>
      <c r="AE10" s="48">
        <f t="shared" si="34"/>
        <v>0</v>
      </c>
      <c r="AF10" s="48">
        <f t="shared" si="35"/>
        <v>0</v>
      </c>
      <c r="AG10" s="62">
        <f>'Income Statement'!J11</f>
        <v>0</v>
      </c>
      <c r="AH10" s="396"/>
      <c r="AI10" s="46">
        <f t="shared" si="36"/>
        <v>0</v>
      </c>
      <c r="AJ10" s="239"/>
      <c r="AK10" s="46">
        <f t="shared" si="17"/>
        <v>0</v>
      </c>
      <c r="AL10" s="239"/>
      <c r="AM10" s="48">
        <f t="shared" si="37"/>
        <v>0</v>
      </c>
      <c r="AN10" s="48">
        <f t="shared" si="38"/>
        <v>0</v>
      </c>
      <c r="AO10" s="62">
        <f>'Income Statement'!R11</f>
        <v>0</v>
      </c>
      <c r="AP10" s="396"/>
      <c r="AQ10" s="46">
        <f t="shared" si="39"/>
        <v>0</v>
      </c>
      <c r="AR10" s="239"/>
      <c r="AS10" s="48">
        <f t="shared" si="18"/>
        <v>0</v>
      </c>
      <c r="AT10" s="239"/>
      <c r="AU10" s="48">
        <f t="shared" si="19"/>
        <v>0</v>
      </c>
      <c r="AV10" s="48">
        <f t="shared" si="40"/>
        <v>0</v>
      </c>
      <c r="AW10" s="62">
        <f>'Income Statement'!AF11</f>
        <v>0</v>
      </c>
      <c r="AX10" s="396"/>
      <c r="AY10" s="46">
        <f t="shared" si="41"/>
        <v>0</v>
      </c>
      <c r="AZ10" s="239"/>
      <c r="BA10" s="46">
        <f t="shared" si="20"/>
        <v>0</v>
      </c>
      <c r="BB10" s="239"/>
      <c r="BC10" s="48">
        <f t="shared" si="42"/>
        <v>0</v>
      </c>
      <c r="BD10" s="48">
        <f t="shared" si="43"/>
        <v>0</v>
      </c>
      <c r="BE10" s="62">
        <f>'Income Statement'!AN11</f>
        <v>0</v>
      </c>
      <c r="BF10" s="372"/>
      <c r="BG10" s="62"/>
      <c r="BH10" s="62"/>
      <c r="BI10" s="62"/>
      <c r="BJ10" s="62"/>
      <c r="BK10" s="62"/>
      <c r="BL10" s="62"/>
      <c r="BM10" s="62"/>
      <c r="BN10" s="396"/>
      <c r="BO10" s="46">
        <f t="shared" si="44"/>
        <v>0</v>
      </c>
      <c r="BP10" s="239"/>
      <c r="BQ10" s="46">
        <f t="shared" si="21"/>
        <v>0</v>
      </c>
      <c r="BR10" s="239"/>
      <c r="BS10" s="48">
        <f t="shared" si="45"/>
        <v>0</v>
      </c>
      <c r="BT10" s="48">
        <f t="shared" si="46"/>
        <v>0</v>
      </c>
      <c r="BU10" s="62">
        <f>'Income Statement'!AV11</f>
        <v>0</v>
      </c>
      <c r="BV10" s="396"/>
      <c r="BW10" s="46">
        <f t="shared" si="47"/>
        <v>0</v>
      </c>
      <c r="BX10" s="239"/>
      <c r="BY10" s="46">
        <f t="shared" si="22"/>
        <v>0</v>
      </c>
      <c r="BZ10" s="239"/>
      <c r="CA10" s="48">
        <f t="shared" si="48"/>
        <v>0</v>
      </c>
      <c r="CB10" s="48">
        <f t="shared" si="49"/>
        <v>0</v>
      </c>
      <c r="CC10" s="62">
        <f>'Income Statement'!BD11</f>
        <v>0</v>
      </c>
      <c r="CD10" s="396"/>
      <c r="CE10" s="46">
        <f t="shared" si="50"/>
        <v>0</v>
      </c>
      <c r="CF10" s="239"/>
      <c r="CG10" s="46">
        <f t="shared" si="23"/>
        <v>0</v>
      </c>
      <c r="CH10" s="239"/>
      <c r="CI10" s="48">
        <f t="shared" si="51"/>
        <v>0</v>
      </c>
      <c r="CJ10" s="48">
        <f t="shared" si="52"/>
        <v>0</v>
      </c>
      <c r="CK10" s="62">
        <f>'Income Statement'!BL11</f>
        <v>0</v>
      </c>
      <c r="CL10" s="372"/>
      <c r="CM10" s="62"/>
      <c r="CN10" s="62"/>
      <c r="CO10" s="62"/>
      <c r="CP10" s="62"/>
      <c r="CQ10" s="62"/>
      <c r="CR10" s="62"/>
      <c r="CS10" s="62">
        <f>'Income Statement'!BT11</f>
        <v>0</v>
      </c>
      <c r="CT10" s="372"/>
      <c r="CU10" s="62"/>
      <c r="CV10" s="62"/>
      <c r="CW10" s="62"/>
      <c r="CX10" s="62"/>
      <c r="CY10" s="62"/>
      <c r="CZ10" s="62"/>
      <c r="DA10" s="62">
        <f>'Income Statement'!CB11</f>
        <v>0</v>
      </c>
      <c r="DB10" s="372"/>
      <c r="DC10" s="62"/>
      <c r="DD10" s="62"/>
      <c r="DE10" s="62"/>
      <c r="DF10" s="62"/>
      <c r="DG10" s="62"/>
      <c r="DH10" s="62"/>
      <c r="DI10" s="62">
        <f>'Income Statement'!CJ11</f>
        <v>0</v>
      </c>
      <c r="DJ10" s="372"/>
      <c r="DK10" s="62"/>
      <c r="DL10" s="62"/>
      <c r="DM10" s="62"/>
      <c r="DN10" s="62"/>
      <c r="DO10" s="62"/>
      <c r="DP10" s="62"/>
      <c r="DQ10" s="62">
        <f>'Income Statement'!CR11</f>
        <v>0</v>
      </c>
      <c r="DR10" s="372"/>
      <c r="DS10" s="62"/>
      <c r="DT10" s="62"/>
      <c r="DU10" s="62"/>
      <c r="DV10" s="62"/>
      <c r="DW10" s="62"/>
      <c r="DX10" s="62"/>
      <c r="DY10" s="62"/>
      <c r="DZ10" s="372"/>
      <c r="EA10" s="62"/>
      <c r="EB10" s="62"/>
      <c r="EC10" s="62"/>
      <c r="ED10" s="62"/>
      <c r="EE10" s="62"/>
      <c r="EF10" s="62"/>
      <c r="EG10" s="49"/>
      <c r="EH10" s="406"/>
    </row>
    <row r="11" spans="1:140" hidden="1" outlineLevel="1">
      <c r="A11" s="1" t="s">
        <v>411</v>
      </c>
      <c r="B11" s="238">
        <v>246</v>
      </c>
      <c r="C11" s="46">
        <f t="shared" si="24"/>
        <v>278</v>
      </c>
      <c r="D11" s="239">
        <v>524</v>
      </c>
      <c r="E11" s="46">
        <f t="shared" si="25"/>
        <v>309</v>
      </c>
      <c r="F11" s="239">
        <v>833</v>
      </c>
      <c r="G11" s="46" t="e">
        <f t="shared" si="26"/>
        <v>#REF!</v>
      </c>
      <c r="H11" s="46" t="e">
        <f t="shared" si="27"/>
        <v>#REF!</v>
      </c>
      <c r="I11" s="46" t="e">
        <f>'Income Statement'!G13</f>
        <v>#REF!</v>
      </c>
      <c r="J11" s="396">
        <v>197</v>
      </c>
      <c r="K11" s="46">
        <f t="shared" si="28"/>
        <v>134</v>
      </c>
      <c r="L11" s="239">
        <v>331</v>
      </c>
      <c r="M11" s="46">
        <f t="shared" si="13"/>
        <v>130</v>
      </c>
      <c r="N11" s="239">
        <v>461</v>
      </c>
      <c r="O11" s="46">
        <f t="shared" si="29"/>
        <v>-1075</v>
      </c>
      <c r="P11" s="46">
        <f t="shared" si="30"/>
        <v>-945</v>
      </c>
      <c r="Q11" s="46">
        <f>'Income Statement'!H13</f>
        <v>-614</v>
      </c>
      <c r="R11" s="396">
        <v>78</v>
      </c>
      <c r="S11" s="46">
        <f t="shared" si="14"/>
        <v>52</v>
      </c>
      <c r="T11" s="239">
        <v>205</v>
      </c>
      <c r="U11" s="46">
        <f t="shared" si="15"/>
        <v>166</v>
      </c>
      <c r="V11" s="239">
        <v>296</v>
      </c>
      <c r="W11" s="48">
        <f t="shared" si="31"/>
        <v>-1648</v>
      </c>
      <c r="X11" s="48">
        <f t="shared" si="32"/>
        <v>-1482</v>
      </c>
      <c r="Y11" s="62">
        <f>'Income Statement'!I13</f>
        <v>-1352</v>
      </c>
      <c r="Z11" s="396"/>
      <c r="AA11" s="46">
        <f t="shared" si="33"/>
        <v>0</v>
      </c>
      <c r="AB11" s="239"/>
      <c r="AC11" s="46">
        <f t="shared" si="16"/>
        <v>0</v>
      </c>
      <c r="AD11" s="239"/>
      <c r="AE11" s="48">
        <f t="shared" si="34"/>
        <v>-1116</v>
      </c>
      <c r="AF11" s="48">
        <f t="shared" si="35"/>
        <v>-1116</v>
      </c>
      <c r="AG11" s="62">
        <f>'Income Statement'!J13</f>
        <v>-1116</v>
      </c>
      <c r="AH11" s="396"/>
      <c r="AI11" s="46">
        <f t="shared" si="36"/>
        <v>0</v>
      </c>
      <c r="AJ11" s="239"/>
      <c r="AK11" s="46">
        <f t="shared" si="17"/>
        <v>0</v>
      </c>
      <c r="AL11" s="239"/>
      <c r="AM11" s="48">
        <f t="shared" si="37"/>
        <v>-972</v>
      </c>
      <c r="AN11" s="48">
        <f t="shared" si="38"/>
        <v>-972</v>
      </c>
      <c r="AO11" s="62">
        <f>'Income Statement'!R13</f>
        <v>-972</v>
      </c>
      <c r="AP11" s="396"/>
      <c r="AQ11" s="46">
        <f t="shared" si="39"/>
        <v>0</v>
      </c>
      <c r="AR11" s="239"/>
      <c r="AS11" s="48">
        <f t="shared" si="18"/>
        <v>-972</v>
      </c>
      <c r="AT11" s="239"/>
      <c r="AU11" s="48">
        <f t="shared" si="19"/>
        <v>972</v>
      </c>
      <c r="AV11" s="48">
        <f t="shared" si="40"/>
        <v>0</v>
      </c>
      <c r="AW11" s="62">
        <f>'Income Statement'!AF13</f>
        <v>0</v>
      </c>
      <c r="AX11" s="396"/>
      <c r="AY11" s="46">
        <f t="shared" si="41"/>
        <v>0</v>
      </c>
      <c r="AZ11" s="239"/>
      <c r="BA11" s="46">
        <f t="shared" si="20"/>
        <v>0</v>
      </c>
      <c r="BB11" s="239"/>
      <c r="BC11" s="48">
        <f t="shared" si="42"/>
        <v>0</v>
      </c>
      <c r="BD11" s="48">
        <f t="shared" si="43"/>
        <v>0</v>
      </c>
      <c r="BE11" s="62">
        <f>'Income Statement'!AN13</f>
        <v>0</v>
      </c>
      <c r="BF11" s="372"/>
      <c r="BG11" s="62"/>
      <c r="BH11" s="62"/>
      <c r="BI11" s="62"/>
      <c r="BJ11" s="62"/>
      <c r="BK11" s="62"/>
      <c r="BL11" s="62"/>
      <c r="BM11" s="62"/>
      <c r="BN11" s="396"/>
      <c r="BO11" s="46">
        <f t="shared" si="44"/>
        <v>0</v>
      </c>
      <c r="BP11" s="239"/>
      <c r="BQ11" s="46">
        <f t="shared" si="21"/>
        <v>0</v>
      </c>
      <c r="BR11" s="239"/>
      <c r="BS11" s="48">
        <f t="shared" si="45"/>
        <v>0</v>
      </c>
      <c r="BT11" s="48">
        <f t="shared" si="46"/>
        <v>0</v>
      </c>
      <c r="BU11" s="62">
        <f>'Income Statement'!AV13</f>
        <v>0</v>
      </c>
      <c r="BV11" s="396"/>
      <c r="BW11" s="46">
        <f t="shared" si="47"/>
        <v>0</v>
      </c>
      <c r="BX11" s="239"/>
      <c r="BY11" s="46">
        <f t="shared" si="22"/>
        <v>0</v>
      </c>
      <c r="BZ11" s="239"/>
      <c r="CA11" s="48">
        <f t="shared" si="48"/>
        <v>0</v>
      </c>
      <c r="CB11" s="48">
        <f t="shared" si="49"/>
        <v>0</v>
      </c>
      <c r="CC11" s="62">
        <f>'Income Statement'!BD13</f>
        <v>0</v>
      </c>
      <c r="CD11" s="396"/>
      <c r="CE11" s="46">
        <f t="shared" si="50"/>
        <v>0</v>
      </c>
      <c r="CF11" s="239"/>
      <c r="CG11" s="46">
        <f t="shared" si="23"/>
        <v>0</v>
      </c>
      <c r="CH11" s="239"/>
      <c r="CI11" s="48">
        <f t="shared" si="51"/>
        <v>0</v>
      </c>
      <c r="CJ11" s="48">
        <f t="shared" si="52"/>
        <v>0</v>
      </c>
      <c r="CK11" s="62">
        <f>'Income Statement'!BL13</f>
        <v>0</v>
      </c>
      <c r="CL11" s="372"/>
      <c r="CM11" s="62"/>
      <c r="CN11" s="62"/>
      <c r="CO11" s="62"/>
      <c r="CP11" s="62"/>
      <c r="CQ11" s="62"/>
      <c r="CR11" s="62"/>
      <c r="CS11" s="62">
        <f>'Income Statement'!BT13</f>
        <v>0</v>
      </c>
      <c r="CT11" s="372"/>
      <c r="CU11" s="62"/>
      <c r="CV11" s="62"/>
      <c r="CW11" s="62"/>
      <c r="CX11" s="62"/>
      <c r="CY11" s="62"/>
      <c r="CZ11" s="62"/>
      <c r="DA11" s="62">
        <f>'Income Statement'!CB13</f>
        <v>0</v>
      </c>
      <c r="DB11" s="372"/>
      <c r="DC11" s="62"/>
      <c r="DD11" s="62"/>
      <c r="DE11" s="62"/>
      <c r="DF11" s="62"/>
      <c r="DG11" s="62"/>
      <c r="DH11" s="62"/>
      <c r="DI11" s="62">
        <f>'Income Statement'!CJ13</f>
        <v>0</v>
      </c>
      <c r="DJ11" s="372"/>
      <c r="DK11" s="62"/>
      <c r="DL11" s="62"/>
      <c r="DM11" s="62"/>
      <c r="DN11" s="62"/>
      <c r="DO11" s="62"/>
      <c r="DP11" s="62"/>
      <c r="DQ11" s="62">
        <f>'Income Statement'!CR13</f>
        <v>0</v>
      </c>
      <c r="DR11" s="372"/>
      <c r="DS11" s="62"/>
      <c r="DT11" s="62"/>
      <c r="DU11" s="62"/>
      <c r="DV11" s="62"/>
      <c r="DW11" s="62"/>
      <c r="DX11" s="62"/>
      <c r="DY11" s="62"/>
      <c r="DZ11" s="372"/>
      <c r="EA11" s="62"/>
      <c r="EB11" s="62"/>
      <c r="EC11" s="62"/>
      <c r="ED11" s="62"/>
      <c r="EE11" s="62"/>
      <c r="EF11" s="62"/>
      <c r="EG11" s="49"/>
      <c r="EH11" s="406"/>
    </row>
    <row r="12" spans="1:140" hidden="1" outlineLevel="1">
      <c r="A12" s="1" t="s">
        <v>412</v>
      </c>
      <c r="B12" s="238">
        <f>B14-SUM(B6:B11,B13)</f>
        <v>-128</v>
      </c>
      <c r="C12" s="46">
        <f t="shared" si="24"/>
        <v>-136</v>
      </c>
      <c r="D12" s="239">
        <f>D14-SUM(D6:D11,D13)</f>
        <v>-264</v>
      </c>
      <c r="E12" s="46">
        <f>F12-D12</f>
        <v>-192</v>
      </c>
      <c r="F12" s="239">
        <f>F14-SUM(F6:F11,F13)</f>
        <v>-456</v>
      </c>
      <c r="G12" s="46" t="e">
        <f t="shared" si="26"/>
        <v>#REF!</v>
      </c>
      <c r="H12" s="46" t="e">
        <f t="shared" si="27"/>
        <v>#REF!</v>
      </c>
      <c r="I12" s="46" t="e">
        <f>'Income Statement'!#REF!</f>
        <v>#REF!</v>
      </c>
      <c r="J12" s="397">
        <f>J14-SUM(J6:J11,J13)</f>
        <v>39</v>
      </c>
      <c r="K12" s="46">
        <f t="shared" si="28"/>
        <v>-110</v>
      </c>
      <c r="L12" s="239">
        <f>L14-SUM(L6:L11,L13)</f>
        <v>-71</v>
      </c>
      <c r="M12" s="46">
        <f t="shared" si="13"/>
        <v>-51</v>
      </c>
      <c r="N12" s="239">
        <f>N14-SUM(N6:N11,N13)</f>
        <v>-122</v>
      </c>
      <c r="O12" s="46" t="e">
        <f t="shared" si="29"/>
        <v>#REF!</v>
      </c>
      <c r="P12" s="46" t="e">
        <f t="shared" si="30"/>
        <v>#REF!</v>
      </c>
      <c r="Q12" s="46" t="e">
        <f>'Income Statement'!#REF!</f>
        <v>#REF!</v>
      </c>
      <c r="R12" s="397">
        <f>R14-SUM(R6:R11,R13)</f>
        <v>-256</v>
      </c>
      <c r="S12" s="62">
        <f t="shared" si="14"/>
        <v>205</v>
      </c>
      <c r="T12" s="240">
        <f>M14-SUM(M6:M11,M13)</f>
        <v>-51</v>
      </c>
      <c r="U12" s="62">
        <f t="shared" si="15"/>
        <v>-470</v>
      </c>
      <c r="V12" s="240">
        <f>V14-SUM(V6:V11,V13)</f>
        <v>-521</v>
      </c>
      <c r="W12" s="48" t="e">
        <f t="shared" si="31"/>
        <v>#REF!</v>
      </c>
      <c r="X12" s="48" t="e">
        <f t="shared" si="32"/>
        <v>#REF!</v>
      </c>
      <c r="Y12" s="62" t="e">
        <f>'Income Statement'!#REF!</f>
        <v>#REF!</v>
      </c>
      <c r="Z12" s="396"/>
      <c r="AA12" s="46">
        <f t="shared" si="33"/>
        <v>0</v>
      </c>
      <c r="AB12" s="239"/>
      <c r="AC12" s="46">
        <f t="shared" si="16"/>
        <v>0</v>
      </c>
      <c r="AD12" s="239"/>
      <c r="AE12" s="48" t="e">
        <f t="shared" si="34"/>
        <v>#REF!</v>
      </c>
      <c r="AF12" s="48" t="e">
        <f t="shared" si="35"/>
        <v>#REF!</v>
      </c>
      <c r="AG12" s="62" t="e">
        <f>'Income Statement'!#REF!</f>
        <v>#REF!</v>
      </c>
      <c r="AH12" s="396"/>
      <c r="AI12" s="46">
        <f t="shared" si="36"/>
        <v>0</v>
      </c>
      <c r="AJ12" s="239"/>
      <c r="AK12" s="46">
        <f t="shared" si="17"/>
        <v>0</v>
      </c>
      <c r="AL12" s="239"/>
      <c r="AM12" s="48" t="e">
        <f t="shared" si="37"/>
        <v>#REF!</v>
      </c>
      <c r="AN12" s="48" t="e">
        <f t="shared" si="38"/>
        <v>#REF!</v>
      </c>
      <c r="AO12" s="62" t="e">
        <f>'Income Statement'!#REF!</f>
        <v>#REF!</v>
      </c>
      <c r="AP12" s="396"/>
      <c r="AQ12" s="46">
        <f t="shared" si="39"/>
        <v>0</v>
      </c>
      <c r="AR12" s="239"/>
      <c r="AS12" s="48" t="e">
        <f t="shared" si="18"/>
        <v>#REF!</v>
      </c>
      <c r="AT12" s="239"/>
      <c r="AU12" s="48" t="e">
        <f t="shared" si="19"/>
        <v>#REF!</v>
      </c>
      <c r="AV12" s="48" t="e">
        <f t="shared" si="40"/>
        <v>#REF!</v>
      </c>
      <c r="AW12" s="62" t="e">
        <f>'Income Statement'!#REF!</f>
        <v>#REF!</v>
      </c>
      <c r="AX12" s="396"/>
      <c r="AY12" s="46">
        <f t="shared" si="41"/>
        <v>0</v>
      </c>
      <c r="AZ12" s="239"/>
      <c r="BA12" s="46">
        <f t="shared" si="20"/>
        <v>0</v>
      </c>
      <c r="BB12" s="239"/>
      <c r="BC12" s="48" t="e">
        <f t="shared" si="42"/>
        <v>#REF!</v>
      </c>
      <c r="BD12" s="48" t="e">
        <f t="shared" si="43"/>
        <v>#REF!</v>
      </c>
      <c r="BE12" s="62" t="e">
        <f>'Income Statement'!#REF!</f>
        <v>#REF!</v>
      </c>
      <c r="BF12" s="372"/>
      <c r="BG12" s="62"/>
      <c r="BH12" s="62"/>
      <c r="BI12" s="62"/>
      <c r="BJ12" s="62"/>
      <c r="BK12" s="62"/>
      <c r="BL12" s="62"/>
      <c r="BM12" s="62"/>
      <c r="BN12" s="396"/>
      <c r="BO12" s="46">
        <f t="shared" si="44"/>
        <v>0</v>
      </c>
      <c r="BP12" s="239"/>
      <c r="BQ12" s="46">
        <f t="shared" si="21"/>
        <v>0</v>
      </c>
      <c r="BR12" s="239"/>
      <c r="BS12" s="48" t="e">
        <f t="shared" si="45"/>
        <v>#REF!</v>
      </c>
      <c r="BT12" s="48" t="e">
        <f t="shared" si="46"/>
        <v>#REF!</v>
      </c>
      <c r="BU12" s="62" t="e">
        <f>'Income Statement'!#REF!</f>
        <v>#REF!</v>
      </c>
      <c r="BV12" s="396"/>
      <c r="BW12" s="46">
        <f t="shared" si="47"/>
        <v>0</v>
      </c>
      <c r="BX12" s="239"/>
      <c r="BY12" s="46">
        <f t="shared" si="22"/>
        <v>0</v>
      </c>
      <c r="BZ12" s="239"/>
      <c r="CA12" s="48" t="e">
        <f t="shared" si="48"/>
        <v>#REF!</v>
      </c>
      <c r="CB12" s="48" t="e">
        <f t="shared" si="49"/>
        <v>#REF!</v>
      </c>
      <c r="CC12" s="62" t="e">
        <f>'Income Statement'!#REF!</f>
        <v>#REF!</v>
      </c>
      <c r="CD12" s="396"/>
      <c r="CE12" s="46">
        <f t="shared" si="50"/>
        <v>0</v>
      </c>
      <c r="CF12" s="239"/>
      <c r="CG12" s="46">
        <f t="shared" si="23"/>
        <v>0</v>
      </c>
      <c r="CH12" s="239"/>
      <c r="CI12" s="48" t="e">
        <f t="shared" si="51"/>
        <v>#REF!</v>
      </c>
      <c r="CJ12" s="48" t="e">
        <f t="shared" si="52"/>
        <v>#REF!</v>
      </c>
      <c r="CK12" s="62" t="e">
        <f>'Income Statement'!#REF!</f>
        <v>#REF!</v>
      </c>
      <c r="CL12" s="372"/>
      <c r="CM12" s="62"/>
      <c r="CN12" s="62"/>
      <c r="CO12" s="62"/>
      <c r="CP12" s="62"/>
      <c r="CQ12" s="62"/>
      <c r="CR12" s="62"/>
      <c r="CS12" s="62" t="e">
        <f>'Income Statement'!#REF!</f>
        <v>#REF!</v>
      </c>
      <c r="CT12" s="372"/>
      <c r="CU12" s="62"/>
      <c r="CV12" s="62"/>
      <c r="CW12" s="62"/>
      <c r="CX12" s="62"/>
      <c r="CY12" s="62"/>
      <c r="CZ12" s="62"/>
      <c r="DA12" s="62" t="e">
        <f>'Income Statement'!#REF!</f>
        <v>#REF!</v>
      </c>
      <c r="DB12" s="372"/>
      <c r="DC12" s="62"/>
      <c r="DD12" s="62"/>
      <c r="DE12" s="62"/>
      <c r="DF12" s="62"/>
      <c r="DG12" s="62"/>
      <c r="DH12" s="62"/>
      <c r="DI12" s="62" t="e">
        <f>'Income Statement'!#REF!</f>
        <v>#REF!</v>
      </c>
      <c r="DJ12" s="372"/>
      <c r="DK12" s="62"/>
      <c r="DL12" s="62"/>
      <c r="DM12" s="62"/>
      <c r="DN12" s="62"/>
      <c r="DO12" s="62"/>
      <c r="DP12" s="62"/>
      <c r="DQ12" s="62" t="e">
        <f>'Income Statement'!#REF!</f>
        <v>#REF!</v>
      </c>
      <c r="DR12" s="372"/>
      <c r="DS12" s="62"/>
      <c r="DT12" s="62"/>
      <c r="DU12" s="62"/>
      <c r="DV12" s="62"/>
      <c r="DW12" s="62"/>
      <c r="DX12" s="62"/>
      <c r="DY12" s="62"/>
      <c r="DZ12" s="372"/>
      <c r="EA12" s="62"/>
      <c r="EB12" s="62"/>
      <c r="EC12" s="62"/>
      <c r="ED12" s="62"/>
      <c r="EE12" s="62"/>
      <c r="EF12" s="62"/>
      <c r="EG12" s="49"/>
      <c r="EH12" s="406"/>
    </row>
    <row r="13" spans="1:140" hidden="1" outlineLevel="1">
      <c r="A13" s="1" t="s">
        <v>413</v>
      </c>
      <c r="B13" s="238">
        <v>-277</v>
      </c>
      <c r="C13" s="46">
        <f t="shared" si="24"/>
        <v>-274</v>
      </c>
      <c r="D13" s="239">
        <v>-551</v>
      </c>
      <c r="E13" s="46">
        <f t="shared" si="25"/>
        <v>-323</v>
      </c>
      <c r="F13" s="239">
        <v>-874</v>
      </c>
      <c r="G13" s="46" t="e">
        <f t="shared" si="26"/>
        <v>#REF!</v>
      </c>
      <c r="H13" s="46" t="e">
        <f t="shared" si="27"/>
        <v>#REF!</v>
      </c>
      <c r="I13" s="46" t="e">
        <f>'Income Statement'!#REF!</f>
        <v>#REF!</v>
      </c>
      <c r="J13" s="396">
        <v>-315</v>
      </c>
      <c r="K13" s="46">
        <f t="shared" si="28"/>
        <v>-336</v>
      </c>
      <c r="L13" s="239">
        <v>-651</v>
      </c>
      <c r="M13" s="46">
        <f t="shared" si="13"/>
        <v>-313</v>
      </c>
      <c r="N13" s="239">
        <v>-964</v>
      </c>
      <c r="O13" s="46" t="e">
        <f t="shared" si="29"/>
        <v>#REF!</v>
      </c>
      <c r="P13" s="46" t="e">
        <f t="shared" si="30"/>
        <v>#REF!</v>
      </c>
      <c r="Q13" s="46" t="e">
        <f>'Income Statement'!#REF!</f>
        <v>#REF!</v>
      </c>
      <c r="R13" s="396">
        <v>-220</v>
      </c>
      <c r="S13" s="46">
        <f t="shared" si="14"/>
        <v>-93</v>
      </c>
      <c r="T13" s="239">
        <v>-475</v>
      </c>
      <c r="U13" s="46">
        <f t="shared" si="15"/>
        <v>-461</v>
      </c>
      <c r="V13" s="239">
        <v>-774</v>
      </c>
      <c r="W13" s="48" t="e">
        <f t="shared" si="31"/>
        <v>#REF!</v>
      </c>
      <c r="X13" s="48" t="e">
        <f t="shared" si="32"/>
        <v>#REF!</v>
      </c>
      <c r="Y13" s="62" t="e">
        <f>'Income Statement'!#REF!</f>
        <v>#REF!</v>
      </c>
      <c r="Z13" s="396"/>
      <c r="AA13" s="46">
        <f t="shared" si="33"/>
        <v>0</v>
      </c>
      <c r="AB13" s="239"/>
      <c r="AC13" s="46">
        <f t="shared" si="16"/>
        <v>0</v>
      </c>
      <c r="AD13" s="239"/>
      <c r="AE13" s="48" t="e">
        <f t="shared" si="34"/>
        <v>#REF!</v>
      </c>
      <c r="AF13" s="48" t="e">
        <f t="shared" si="35"/>
        <v>#REF!</v>
      </c>
      <c r="AG13" s="62" t="e">
        <f>'Income Statement'!#REF!</f>
        <v>#REF!</v>
      </c>
      <c r="AH13" s="396"/>
      <c r="AI13" s="46">
        <f t="shared" si="36"/>
        <v>0</v>
      </c>
      <c r="AJ13" s="239"/>
      <c r="AK13" s="46">
        <f t="shared" si="17"/>
        <v>0</v>
      </c>
      <c r="AL13" s="239"/>
      <c r="AM13" s="48" t="e">
        <f t="shared" si="37"/>
        <v>#REF!</v>
      </c>
      <c r="AN13" s="48" t="e">
        <f t="shared" si="38"/>
        <v>#REF!</v>
      </c>
      <c r="AO13" s="62" t="e">
        <f>'Income Statement'!#REF!</f>
        <v>#REF!</v>
      </c>
      <c r="AP13" s="396"/>
      <c r="AQ13" s="46">
        <f t="shared" si="39"/>
        <v>0</v>
      </c>
      <c r="AR13" s="239"/>
      <c r="AS13" s="48" t="e">
        <f t="shared" si="18"/>
        <v>#REF!</v>
      </c>
      <c r="AT13" s="239"/>
      <c r="AU13" s="48" t="e">
        <f t="shared" si="19"/>
        <v>#REF!</v>
      </c>
      <c r="AV13" s="48" t="e">
        <f t="shared" si="40"/>
        <v>#REF!</v>
      </c>
      <c r="AW13" s="62" t="e">
        <f>'Income Statement'!#REF!</f>
        <v>#REF!</v>
      </c>
      <c r="AX13" s="396"/>
      <c r="AY13" s="46">
        <f t="shared" si="41"/>
        <v>0</v>
      </c>
      <c r="AZ13" s="239"/>
      <c r="BA13" s="46">
        <f t="shared" si="20"/>
        <v>0</v>
      </c>
      <c r="BB13" s="239"/>
      <c r="BC13" s="48" t="e">
        <f t="shared" si="42"/>
        <v>#REF!</v>
      </c>
      <c r="BD13" s="48" t="e">
        <f t="shared" si="43"/>
        <v>#REF!</v>
      </c>
      <c r="BE13" s="62" t="e">
        <f>'Income Statement'!#REF!</f>
        <v>#REF!</v>
      </c>
      <c r="BF13" s="372"/>
      <c r="BG13" s="62"/>
      <c r="BH13" s="62"/>
      <c r="BI13" s="62"/>
      <c r="BJ13" s="62"/>
      <c r="BK13" s="62"/>
      <c r="BL13" s="62"/>
      <c r="BM13" s="62"/>
      <c r="BN13" s="396"/>
      <c r="BO13" s="46">
        <f t="shared" si="44"/>
        <v>0</v>
      </c>
      <c r="BP13" s="239"/>
      <c r="BQ13" s="46">
        <f t="shared" si="21"/>
        <v>0</v>
      </c>
      <c r="BR13" s="239"/>
      <c r="BS13" s="48" t="e">
        <f t="shared" si="45"/>
        <v>#REF!</v>
      </c>
      <c r="BT13" s="48" t="e">
        <f t="shared" si="46"/>
        <v>#REF!</v>
      </c>
      <c r="BU13" s="62" t="e">
        <f>'Income Statement'!#REF!</f>
        <v>#REF!</v>
      </c>
      <c r="BV13" s="396"/>
      <c r="BW13" s="46">
        <f t="shared" si="47"/>
        <v>0</v>
      </c>
      <c r="BX13" s="239"/>
      <c r="BY13" s="46">
        <f t="shared" si="22"/>
        <v>0</v>
      </c>
      <c r="BZ13" s="239"/>
      <c r="CA13" s="48" t="e">
        <f t="shared" si="48"/>
        <v>#REF!</v>
      </c>
      <c r="CB13" s="48" t="e">
        <f t="shared" si="49"/>
        <v>#REF!</v>
      </c>
      <c r="CC13" s="62" t="e">
        <f>'Income Statement'!#REF!</f>
        <v>#REF!</v>
      </c>
      <c r="CD13" s="396"/>
      <c r="CE13" s="46">
        <f t="shared" si="50"/>
        <v>0</v>
      </c>
      <c r="CF13" s="239"/>
      <c r="CG13" s="46">
        <f t="shared" si="23"/>
        <v>0</v>
      </c>
      <c r="CH13" s="239"/>
      <c r="CI13" s="48" t="e">
        <f t="shared" si="51"/>
        <v>#REF!</v>
      </c>
      <c r="CJ13" s="48" t="e">
        <f t="shared" si="52"/>
        <v>#REF!</v>
      </c>
      <c r="CK13" s="62" t="e">
        <f>'Income Statement'!#REF!</f>
        <v>#REF!</v>
      </c>
      <c r="CL13" s="372"/>
      <c r="CM13" s="62"/>
      <c r="CN13" s="62"/>
      <c r="CO13" s="62"/>
      <c r="CP13" s="62"/>
      <c r="CQ13" s="62"/>
      <c r="CR13" s="62"/>
      <c r="CS13" s="62" t="e">
        <f>'Income Statement'!#REF!</f>
        <v>#REF!</v>
      </c>
      <c r="CT13" s="372"/>
      <c r="CU13" s="62"/>
      <c r="CV13" s="62"/>
      <c r="CW13" s="62"/>
      <c r="CX13" s="62"/>
      <c r="CY13" s="62"/>
      <c r="CZ13" s="62"/>
      <c r="DA13" s="62" t="e">
        <f>'Income Statement'!#REF!</f>
        <v>#REF!</v>
      </c>
      <c r="DB13" s="372"/>
      <c r="DC13" s="62"/>
      <c r="DD13" s="62"/>
      <c r="DE13" s="62"/>
      <c r="DF13" s="62"/>
      <c r="DG13" s="62"/>
      <c r="DH13" s="62"/>
      <c r="DI13" s="62" t="e">
        <f>'Income Statement'!#REF!</f>
        <v>#REF!</v>
      </c>
      <c r="DJ13" s="372"/>
      <c r="DK13" s="62"/>
      <c r="DL13" s="62"/>
      <c r="DM13" s="62"/>
      <c r="DN13" s="62"/>
      <c r="DO13" s="62"/>
      <c r="DP13" s="62"/>
      <c r="DQ13" s="62" t="e">
        <f>'Income Statement'!#REF!</f>
        <v>#REF!</v>
      </c>
      <c r="DR13" s="372"/>
      <c r="DS13" s="62"/>
      <c r="DT13" s="62"/>
      <c r="DU13" s="62"/>
      <c r="DV13" s="62"/>
      <c r="DW13" s="62"/>
      <c r="DX13" s="62"/>
      <c r="DY13" s="62"/>
      <c r="DZ13" s="372"/>
      <c r="EA13" s="62"/>
      <c r="EB13" s="62"/>
      <c r="EC13" s="62"/>
      <c r="ED13" s="62"/>
      <c r="EE13" s="62"/>
      <c r="EF13" s="62"/>
      <c r="EG13" s="49"/>
      <c r="EH13" s="406"/>
    </row>
    <row r="14" spans="1:140" hidden="1" outlineLevel="1">
      <c r="A14" s="74" t="s">
        <v>225</v>
      </c>
      <c r="B14" s="50">
        <v>9854</v>
      </c>
      <c r="C14" s="50">
        <f t="shared" ref="C14:I14" si="53">SUM(C6:C13)</f>
        <v>12082</v>
      </c>
      <c r="D14" s="50">
        <v>21936</v>
      </c>
      <c r="E14" s="50">
        <f t="shared" si="53"/>
        <v>10751</v>
      </c>
      <c r="F14" s="50">
        <v>32687</v>
      </c>
      <c r="G14" s="50" t="e">
        <f t="shared" si="53"/>
        <v>#REF!</v>
      </c>
      <c r="H14" s="50" t="e">
        <f t="shared" si="53"/>
        <v>#REF!</v>
      </c>
      <c r="I14" s="50" t="e">
        <f t="shared" si="53"/>
        <v>#REF!</v>
      </c>
      <c r="J14" s="373">
        <v>11404</v>
      </c>
      <c r="K14" s="51">
        <f>SUM(K6:K13)</f>
        <v>13530</v>
      </c>
      <c r="L14" s="50">
        <v>24934</v>
      </c>
      <c r="M14" s="50">
        <f>SUM(M6:M13)</f>
        <v>12324</v>
      </c>
      <c r="N14" s="50">
        <v>37258</v>
      </c>
      <c r="O14" s="50" t="e">
        <f>SUM(O6:O13)</f>
        <v>#REF!</v>
      </c>
      <c r="P14" s="51" t="e">
        <f>SUM(P6:P13)</f>
        <v>#REF!</v>
      </c>
      <c r="Q14" s="51" t="e">
        <f>SUM(Q6:Q13)</f>
        <v>#REF!</v>
      </c>
      <c r="R14" s="373">
        <v>12387</v>
      </c>
      <c r="S14" s="51">
        <f>SUM(S6:S13)</f>
        <v>-63</v>
      </c>
      <c r="T14" s="50">
        <v>26332</v>
      </c>
      <c r="U14" s="50">
        <f>SUM(U6:U13)</f>
        <v>27642</v>
      </c>
      <c r="V14" s="50">
        <v>39966</v>
      </c>
      <c r="W14" s="53" t="e">
        <f t="shared" ref="W14:AG14" si="54">SUM(W6:W13)</f>
        <v>#REF!</v>
      </c>
      <c r="X14" s="53" t="e">
        <f t="shared" si="54"/>
        <v>#REF!</v>
      </c>
      <c r="Y14" s="51" t="e">
        <f t="shared" si="54"/>
        <v>#REF!</v>
      </c>
      <c r="Z14" s="373">
        <f t="shared" si="54"/>
        <v>0</v>
      </c>
      <c r="AA14" s="51">
        <f t="shared" si="54"/>
        <v>0</v>
      </c>
      <c r="AB14" s="50">
        <f t="shared" si="54"/>
        <v>0</v>
      </c>
      <c r="AC14" s="50">
        <f t="shared" si="54"/>
        <v>0</v>
      </c>
      <c r="AD14" s="50">
        <f t="shared" si="54"/>
        <v>0</v>
      </c>
      <c r="AE14" s="53" t="e">
        <f t="shared" si="54"/>
        <v>#REF!</v>
      </c>
      <c r="AF14" s="53" t="e">
        <f t="shared" si="54"/>
        <v>#REF!</v>
      </c>
      <c r="AG14" s="51" t="e">
        <f t="shared" si="54"/>
        <v>#REF!</v>
      </c>
      <c r="AH14" s="373">
        <f t="shared" ref="AH14:AO14" si="55">SUM(AH6:AH13)</f>
        <v>0</v>
      </c>
      <c r="AI14" s="51">
        <f t="shared" si="55"/>
        <v>0</v>
      </c>
      <c r="AJ14" s="50">
        <f t="shared" si="55"/>
        <v>0</v>
      </c>
      <c r="AK14" s="50">
        <f t="shared" si="55"/>
        <v>0</v>
      </c>
      <c r="AL14" s="50">
        <f t="shared" si="55"/>
        <v>0</v>
      </c>
      <c r="AM14" s="53" t="e">
        <f t="shared" si="55"/>
        <v>#REF!</v>
      </c>
      <c r="AN14" s="53" t="e">
        <f t="shared" si="55"/>
        <v>#REF!</v>
      </c>
      <c r="AO14" s="51" t="e">
        <f t="shared" si="55"/>
        <v>#REF!</v>
      </c>
      <c r="AP14" s="373">
        <f t="shared" ref="AP14:AW14" si="56">SUM(AP6:AP13)</f>
        <v>0</v>
      </c>
      <c r="AQ14" s="51">
        <f t="shared" si="56"/>
        <v>0</v>
      </c>
      <c r="AR14" s="50">
        <f t="shared" si="56"/>
        <v>0</v>
      </c>
      <c r="AS14" s="50" t="e">
        <f t="shared" si="56"/>
        <v>#REF!</v>
      </c>
      <c r="AT14" s="53" t="e">
        <f>SUM(AM6:AM13)</f>
        <v>#REF!</v>
      </c>
      <c r="AU14" s="53" t="e">
        <f t="shared" si="56"/>
        <v>#REF!</v>
      </c>
      <c r="AV14" s="53" t="e">
        <f t="shared" si="56"/>
        <v>#REF!</v>
      </c>
      <c r="AW14" s="51" t="e">
        <f t="shared" si="56"/>
        <v>#REF!</v>
      </c>
      <c r="AX14" s="373">
        <f t="shared" ref="AX14:BE14" si="57">SUM(AX6:AX13)</f>
        <v>0</v>
      </c>
      <c r="AY14" s="51">
        <f t="shared" si="57"/>
        <v>0</v>
      </c>
      <c r="AZ14" s="50">
        <f t="shared" si="57"/>
        <v>0</v>
      </c>
      <c r="BA14" s="50">
        <f t="shared" si="57"/>
        <v>0</v>
      </c>
      <c r="BB14" s="50">
        <f t="shared" si="57"/>
        <v>0</v>
      </c>
      <c r="BC14" s="53" t="e">
        <f t="shared" si="57"/>
        <v>#REF!</v>
      </c>
      <c r="BD14" s="53" t="e">
        <f t="shared" si="57"/>
        <v>#REF!</v>
      </c>
      <c r="BE14" s="51" t="e">
        <f t="shared" si="57"/>
        <v>#REF!</v>
      </c>
      <c r="BF14" s="373"/>
      <c r="BG14" s="117"/>
      <c r="BH14" s="117"/>
      <c r="BI14" s="117"/>
      <c r="BJ14" s="117"/>
      <c r="BK14" s="117"/>
      <c r="BL14" s="117"/>
      <c r="BM14" s="51"/>
      <c r="BN14" s="373">
        <f t="shared" ref="BN14:BU14" si="58">SUM(BN6:BN13)</f>
        <v>0</v>
      </c>
      <c r="BO14" s="51">
        <f t="shared" si="58"/>
        <v>0</v>
      </c>
      <c r="BP14" s="50">
        <f t="shared" si="58"/>
        <v>0</v>
      </c>
      <c r="BQ14" s="50">
        <f t="shared" si="58"/>
        <v>0</v>
      </c>
      <c r="BR14" s="50">
        <f t="shared" si="58"/>
        <v>0</v>
      </c>
      <c r="BS14" s="53" t="e">
        <f t="shared" si="58"/>
        <v>#REF!</v>
      </c>
      <c r="BT14" s="53" t="e">
        <f t="shared" si="58"/>
        <v>#REF!</v>
      </c>
      <c r="BU14" s="51" t="e">
        <f t="shared" si="58"/>
        <v>#REF!</v>
      </c>
      <c r="BV14" s="373">
        <f t="shared" ref="BV14:CC14" si="59">SUM(BV6:BV13)</f>
        <v>0</v>
      </c>
      <c r="BW14" s="51">
        <f t="shared" si="59"/>
        <v>0</v>
      </c>
      <c r="BX14" s="50">
        <f t="shared" si="59"/>
        <v>0</v>
      </c>
      <c r="BY14" s="50">
        <f t="shared" si="59"/>
        <v>0</v>
      </c>
      <c r="BZ14" s="50">
        <f t="shared" si="59"/>
        <v>0</v>
      </c>
      <c r="CA14" s="53" t="e">
        <f t="shared" si="59"/>
        <v>#REF!</v>
      </c>
      <c r="CB14" s="53" t="e">
        <f t="shared" si="59"/>
        <v>#REF!</v>
      </c>
      <c r="CC14" s="51" t="e">
        <f t="shared" si="59"/>
        <v>#REF!</v>
      </c>
      <c r="CD14" s="373">
        <f t="shared" ref="CD14:CK14" si="60">SUM(CD6:CD13)</f>
        <v>0</v>
      </c>
      <c r="CE14" s="51">
        <f t="shared" si="60"/>
        <v>0</v>
      </c>
      <c r="CF14" s="50">
        <f t="shared" si="60"/>
        <v>0</v>
      </c>
      <c r="CG14" s="50">
        <f t="shared" si="60"/>
        <v>0</v>
      </c>
      <c r="CH14" s="50">
        <f t="shared" si="60"/>
        <v>0</v>
      </c>
      <c r="CI14" s="53" t="e">
        <f t="shared" si="60"/>
        <v>#REF!</v>
      </c>
      <c r="CJ14" s="53" t="e">
        <f t="shared" si="60"/>
        <v>#REF!</v>
      </c>
      <c r="CK14" s="51" t="e">
        <f t="shared" si="60"/>
        <v>#REF!</v>
      </c>
      <c r="CL14" s="373"/>
      <c r="CM14" s="51"/>
      <c r="CN14" s="117"/>
      <c r="CO14" s="117"/>
      <c r="CP14" s="117"/>
      <c r="CQ14" s="117"/>
      <c r="CR14" s="117"/>
      <c r="CS14" s="51" t="e">
        <f>SUM(CS6:CS13)</f>
        <v>#REF!</v>
      </c>
      <c r="CT14" s="373"/>
      <c r="CU14" s="117"/>
      <c r="CV14" s="117"/>
      <c r="CW14" s="117"/>
      <c r="CX14" s="117"/>
      <c r="CY14" s="117"/>
      <c r="CZ14" s="117"/>
      <c r="DA14" s="51" t="e">
        <f>SUM(DA6:DA13)</f>
        <v>#REF!</v>
      </c>
      <c r="DB14" s="373"/>
      <c r="DC14" s="117"/>
      <c r="DD14" s="117"/>
      <c r="DE14" s="117"/>
      <c r="DF14" s="117"/>
      <c r="DG14" s="117"/>
      <c r="DH14" s="117"/>
      <c r="DI14" s="51" t="e">
        <f>SUM(DI6:DI13)</f>
        <v>#REF!</v>
      </c>
      <c r="DJ14" s="373"/>
      <c r="DK14" s="117"/>
      <c r="DL14" s="117"/>
      <c r="DM14" s="117"/>
      <c r="DN14" s="117"/>
      <c r="DO14" s="117"/>
      <c r="DP14" s="117"/>
      <c r="DQ14" s="51" t="e">
        <f>SUM(DQ6:DQ13)</f>
        <v>#REF!</v>
      </c>
      <c r="DR14" s="373"/>
      <c r="DS14" s="117"/>
      <c r="DT14" s="117"/>
      <c r="DU14" s="117"/>
      <c r="DV14" s="117"/>
      <c r="DW14" s="117"/>
      <c r="DX14" s="117"/>
      <c r="DY14" s="51"/>
      <c r="DZ14" s="373"/>
      <c r="EA14" s="117"/>
      <c r="EB14" s="117"/>
      <c r="EC14" s="117"/>
      <c r="ED14" s="117"/>
      <c r="EE14" s="117"/>
      <c r="EF14" s="117"/>
      <c r="EG14" s="52"/>
      <c r="EH14" s="406"/>
    </row>
    <row r="15" spans="1:140" hidden="1" outlineLevel="1">
      <c r="A15" s="1"/>
      <c r="B15" s="45"/>
      <c r="C15" s="46"/>
      <c r="D15" s="46"/>
      <c r="E15" s="46"/>
      <c r="F15" s="46"/>
      <c r="G15" s="46"/>
      <c r="H15" s="46"/>
      <c r="I15" s="46"/>
      <c r="J15" s="372"/>
      <c r="K15" s="46"/>
      <c r="L15" s="46"/>
      <c r="M15" s="54"/>
      <c r="N15" s="46"/>
      <c r="O15" s="46"/>
      <c r="P15" s="46"/>
      <c r="Q15" s="46"/>
      <c r="R15" s="371"/>
      <c r="S15" s="46"/>
      <c r="T15" s="46"/>
      <c r="U15" s="46"/>
      <c r="V15" s="46"/>
      <c r="W15" s="46"/>
      <c r="X15" s="46"/>
      <c r="Y15" s="46"/>
      <c r="Z15" s="371"/>
      <c r="AA15" s="46"/>
      <c r="AB15" s="46"/>
      <c r="AC15" s="46"/>
      <c r="AD15" s="46"/>
      <c r="AE15" s="46"/>
      <c r="AF15" s="46"/>
      <c r="AG15" s="46"/>
      <c r="AH15" s="371"/>
      <c r="AI15" s="46"/>
      <c r="AJ15" s="46"/>
      <c r="AK15" s="46"/>
      <c r="AL15" s="46"/>
      <c r="AM15" s="46"/>
      <c r="AN15" s="46"/>
      <c r="AO15" s="46"/>
      <c r="AP15" s="371"/>
      <c r="AQ15" s="46"/>
      <c r="AR15" s="46"/>
      <c r="AS15" s="46"/>
      <c r="AT15" s="46"/>
      <c r="AU15" s="46"/>
      <c r="AV15" s="46"/>
      <c r="AW15" s="46"/>
      <c r="AX15" s="371"/>
      <c r="AY15" s="46"/>
      <c r="AZ15" s="46"/>
      <c r="BA15" s="46"/>
      <c r="BB15" s="46"/>
      <c r="BC15" s="46"/>
      <c r="BD15" s="46"/>
      <c r="BE15" s="46"/>
      <c r="BF15" s="371"/>
      <c r="BG15" s="46"/>
      <c r="BH15" s="46"/>
      <c r="BI15" s="46"/>
      <c r="BJ15" s="46"/>
      <c r="BK15" s="46"/>
      <c r="BL15" s="46"/>
      <c r="BM15" s="46"/>
      <c r="BN15" s="371"/>
      <c r="BO15" s="46"/>
      <c r="BP15" s="46"/>
      <c r="BQ15" s="46"/>
      <c r="BR15" s="46"/>
      <c r="BS15" s="46"/>
      <c r="BT15" s="46"/>
      <c r="BU15" s="46"/>
      <c r="BV15" s="371"/>
      <c r="BW15" s="46"/>
      <c r="BX15" s="46"/>
      <c r="BY15" s="46"/>
      <c r="BZ15" s="46"/>
      <c r="CA15" s="46"/>
      <c r="CB15" s="46"/>
      <c r="CC15" s="46"/>
      <c r="CD15" s="371"/>
      <c r="CE15" s="46"/>
      <c r="CF15" s="46"/>
      <c r="CG15" s="46"/>
      <c r="CH15" s="46"/>
      <c r="CI15" s="46"/>
      <c r="CJ15" s="46"/>
      <c r="CK15" s="46"/>
      <c r="CL15" s="371"/>
      <c r="CM15" s="46"/>
      <c r="CN15" s="46"/>
      <c r="CO15" s="46"/>
      <c r="CP15" s="46"/>
      <c r="CQ15" s="46"/>
      <c r="CR15" s="46"/>
      <c r="CS15" s="46"/>
      <c r="CT15" s="371"/>
      <c r="CU15" s="46"/>
      <c r="CV15" s="46"/>
      <c r="CW15" s="46"/>
      <c r="CX15" s="46"/>
      <c r="CY15" s="46"/>
      <c r="CZ15" s="46"/>
      <c r="DA15" s="46"/>
      <c r="DB15" s="371"/>
      <c r="DC15" s="46"/>
      <c r="DD15" s="46"/>
      <c r="DE15" s="46"/>
      <c r="DF15" s="46"/>
      <c r="DG15" s="46"/>
      <c r="DH15" s="46"/>
      <c r="DI15" s="46"/>
      <c r="DJ15" s="371"/>
      <c r="DK15" s="46"/>
      <c r="DL15" s="46"/>
      <c r="DM15" s="46"/>
      <c r="DN15" s="46"/>
      <c r="DO15" s="46"/>
      <c r="DP15" s="46"/>
      <c r="DQ15" s="46"/>
      <c r="DR15" s="371"/>
      <c r="DS15" s="46"/>
      <c r="DT15" s="46"/>
      <c r="DU15" s="46"/>
      <c r="DV15" s="46"/>
      <c r="DW15" s="46"/>
      <c r="DX15" s="46"/>
      <c r="DY15" s="46"/>
      <c r="DZ15" s="371"/>
      <c r="EA15" s="46"/>
      <c r="EB15" s="46"/>
      <c r="EC15" s="46"/>
      <c r="ED15" s="46"/>
      <c r="EE15" s="46"/>
      <c r="EF15" s="46"/>
      <c r="EG15" s="47"/>
      <c r="EH15" s="406"/>
    </row>
    <row r="16" spans="1:140" hidden="1" outlineLevel="1">
      <c r="A16" s="12" t="s">
        <v>414</v>
      </c>
      <c r="B16" s="45"/>
      <c r="C16" s="46"/>
      <c r="D16" s="46"/>
      <c r="E16" s="46"/>
      <c r="F16" s="46"/>
      <c r="G16" s="46"/>
      <c r="H16" s="46"/>
      <c r="I16" s="46"/>
      <c r="J16" s="372"/>
      <c r="K16" s="46"/>
      <c r="L16" s="55"/>
      <c r="M16" s="46"/>
      <c r="N16" s="46"/>
      <c r="O16" s="46"/>
      <c r="P16" s="46"/>
      <c r="Q16" s="46"/>
      <c r="R16" s="371"/>
      <c r="S16" s="46"/>
      <c r="T16" s="46"/>
      <c r="U16" s="46"/>
      <c r="V16" s="46"/>
      <c r="W16" s="46"/>
      <c r="X16" s="46"/>
      <c r="Y16" s="46"/>
      <c r="Z16" s="371"/>
      <c r="AA16" s="46"/>
      <c r="AB16" s="46"/>
      <c r="AC16" s="46"/>
      <c r="AD16" s="46"/>
      <c r="AE16" s="46"/>
      <c r="AF16" s="46"/>
      <c r="AG16" s="46"/>
      <c r="AH16" s="371"/>
      <c r="AI16" s="46"/>
      <c r="AJ16" s="46"/>
      <c r="AK16" s="46"/>
      <c r="AL16" s="46"/>
      <c r="AM16" s="46"/>
      <c r="AN16" s="46"/>
      <c r="AO16" s="46"/>
      <c r="AP16" s="371"/>
      <c r="AQ16" s="46"/>
      <c r="AR16" s="46"/>
      <c r="AS16" s="46"/>
      <c r="AT16" s="46"/>
      <c r="AU16" s="46"/>
      <c r="AV16" s="46"/>
      <c r="AW16" s="46"/>
      <c r="AX16" s="371"/>
      <c r="AY16" s="46"/>
      <c r="AZ16" s="46"/>
      <c r="BA16" s="46"/>
      <c r="BB16" s="46"/>
      <c r="BC16" s="46"/>
      <c r="BD16" s="46"/>
      <c r="BE16" s="46"/>
      <c r="BF16" s="371"/>
      <c r="BG16" s="46"/>
      <c r="BH16" s="46"/>
      <c r="BI16" s="46"/>
      <c r="BJ16" s="46"/>
      <c r="BK16" s="46"/>
      <c r="BL16" s="46"/>
      <c r="BM16" s="46"/>
      <c r="BN16" s="371"/>
      <c r="BO16" s="46"/>
      <c r="BP16" s="46"/>
      <c r="BQ16" s="46"/>
      <c r="BR16" s="46"/>
      <c r="BS16" s="46"/>
      <c r="BT16" s="46"/>
      <c r="BU16" s="46"/>
      <c r="BV16" s="371"/>
      <c r="BW16" s="46"/>
      <c r="BX16" s="46"/>
      <c r="BY16" s="46"/>
      <c r="BZ16" s="46"/>
      <c r="CA16" s="46"/>
      <c r="CB16" s="46"/>
      <c r="CC16" s="46"/>
      <c r="CD16" s="371"/>
      <c r="CE16" s="46"/>
      <c r="CF16" s="46"/>
      <c r="CG16" s="46"/>
      <c r="CH16" s="46"/>
      <c r="CI16" s="46"/>
      <c r="CJ16" s="46"/>
      <c r="CK16" s="46"/>
      <c r="CL16" s="371"/>
      <c r="CM16" s="46"/>
      <c r="CN16" s="46"/>
      <c r="CO16" s="46"/>
      <c r="CP16" s="46"/>
      <c r="CQ16" s="46"/>
      <c r="CR16" s="46"/>
      <c r="CS16" s="46"/>
      <c r="CT16" s="371"/>
      <c r="CU16" s="46"/>
      <c r="CV16" s="46"/>
      <c r="CW16" s="46"/>
      <c r="CX16" s="46"/>
      <c r="CY16" s="46"/>
      <c r="CZ16" s="46"/>
      <c r="DA16" s="46"/>
      <c r="DB16" s="371"/>
      <c r="DC16" s="46"/>
      <c r="DD16" s="46"/>
      <c r="DE16" s="46"/>
      <c r="DF16" s="46"/>
      <c r="DG16" s="46"/>
      <c r="DH16" s="46"/>
      <c r="DI16" s="46"/>
      <c r="DJ16" s="371"/>
      <c r="DK16" s="46"/>
      <c r="DL16" s="46"/>
      <c r="DM16" s="46"/>
      <c r="DN16" s="46"/>
      <c r="DO16" s="46"/>
      <c r="DP16" s="46"/>
      <c r="DQ16" s="46"/>
      <c r="DR16" s="371"/>
      <c r="DS16" s="46"/>
      <c r="DT16" s="46"/>
      <c r="DU16" s="46"/>
      <c r="DV16" s="46"/>
      <c r="DW16" s="46"/>
      <c r="DX16" s="46"/>
      <c r="DY16" s="46"/>
      <c r="DZ16" s="371"/>
      <c r="EA16" s="46"/>
      <c r="EB16" s="46"/>
      <c r="EC16" s="46"/>
      <c r="ED16" s="46"/>
      <c r="EE16" s="46"/>
      <c r="EF16" s="46"/>
      <c r="EG16" s="47"/>
      <c r="EH16" s="406"/>
    </row>
    <row r="17" spans="1:138" hidden="1" outlineLevel="1">
      <c r="A17" s="1" t="s">
        <v>201</v>
      </c>
      <c r="B17" s="56"/>
      <c r="C17" s="55"/>
      <c r="D17" s="55"/>
      <c r="E17" s="55"/>
      <c r="F17" s="55"/>
      <c r="G17" s="55"/>
      <c r="H17" s="55"/>
      <c r="I17" s="55"/>
      <c r="J17" s="374">
        <f t="shared" ref="J17:S17" si="61">IFERROR(J6/B6-1,0)</f>
        <v>0.13448635753690175</v>
      </c>
      <c r="K17" s="55">
        <f t="shared" si="61"/>
        <v>0.19311589532035578</v>
      </c>
      <c r="L17" s="55">
        <f t="shared" si="61"/>
        <v>0.16592920353982299</v>
      </c>
      <c r="M17" s="55">
        <f t="shared" si="61"/>
        <v>0.24564302884615374</v>
      </c>
      <c r="N17" s="55">
        <f t="shared" si="61"/>
        <v>0.19105113636363646</v>
      </c>
      <c r="O17" s="55">
        <f t="shared" si="61"/>
        <v>0.24205598167148112</v>
      </c>
      <c r="P17" s="55">
        <f t="shared" si="61"/>
        <v>0.24348607367475283</v>
      </c>
      <c r="Q17" s="55">
        <f t="shared" si="61"/>
        <v>0.2074841939728489</v>
      </c>
      <c r="R17" s="374">
        <f t="shared" si="61"/>
        <v>0.15941648048363777</v>
      </c>
      <c r="S17" s="55">
        <f t="shared" si="61"/>
        <v>-1.0573743922204213</v>
      </c>
      <c r="T17" s="55">
        <f t="shared" ref="T17:T22" si="62">IFERROR(M6/L6-1,0)</f>
        <v>-0.50836100569259957</v>
      </c>
      <c r="U17" s="55">
        <f t="shared" ref="U17:U22" si="63">IFERROR(U6/M6-1,0)</f>
        <v>1.3231214570015681</v>
      </c>
      <c r="V17" s="55">
        <f t="shared" ref="V17:V22" si="64">IFERROR(V6/N6-1,0)</f>
        <v>9.5289206917113844E-2</v>
      </c>
      <c r="W17" s="55">
        <f t="shared" ref="W17:W22" si="65">IFERROR(W6/O6-1,0)</f>
        <v>-1.0586253909696031E-2</v>
      </c>
      <c r="X17" s="55">
        <f t="shared" ref="X17:X22" si="66">IFERROR(X6/P6-1,0)</f>
        <v>0.5220616570327552</v>
      </c>
      <c r="Y17" s="55">
        <f t="shared" ref="Y17:AA22" si="67">IFERROR(Y6/Q6-1,0)</f>
        <v>6.0200935573038405E-2</v>
      </c>
      <c r="Z17" s="374">
        <f t="shared" si="67"/>
        <v>-1</v>
      </c>
      <c r="AA17" s="55">
        <f t="shared" si="67"/>
        <v>-1</v>
      </c>
      <c r="AB17" s="55">
        <f t="shared" ref="AB17:AB22" si="68">IFERROR(AB6/M6-1,0)</f>
        <v>-1</v>
      </c>
      <c r="AC17" s="55">
        <f t="shared" ref="AC17:AC22" si="69">IFERROR(AC6/U6-1,0)</f>
        <v>-1</v>
      </c>
      <c r="AD17" s="55">
        <f t="shared" ref="AD17:AD22" si="70">IFERROR(AD6/V6-1,0)</f>
        <v>-1</v>
      </c>
      <c r="AE17" s="55">
        <f t="shared" ref="AE17:AE22" si="71">IFERROR(AE6/W6-1,0)</f>
        <v>2.4270892437383482</v>
      </c>
      <c r="AF17" s="55">
        <f t="shared" ref="AF17:AF22" si="72">IFERROR(AF6/X6-1,0)</f>
        <v>0.33805937084625604</v>
      </c>
      <c r="AG17" s="55">
        <f t="shared" ref="AG17:AG22" si="73">IFERROR(AG6/Y6-1,0)</f>
        <v>5.9941337210759782E-2</v>
      </c>
      <c r="AH17" s="374">
        <f t="shared" ref="AH17:AH22" si="74">IFERROR(AH6/Z6-1,0)</f>
        <v>0</v>
      </c>
      <c r="AI17" s="55">
        <f t="shared" ref="AI17:AI22" si="75">IFERROR(AI6/AA6-1,0)</f>
        <v>0</v>
      </c>
      <c r="AJ17" s="55">
        <f t="shared" ref="AJ17:AJ22" si="76">IFERROR(AJ6/AB6-1,0)</f>
        <v>0</v>
      </c>
      <c r="AK17" s="55">
        <f t="shared" ref="AK17:AK22" si="77">IFERROR(AK6/AC6-1,0)</f>
        <v>0</v>
      </c>
      <c r="AL17" s="55">
        <f t="shared" ref="AL17:AL22" si="78">IFERROR(AL6/AD6-1,0)</f>
        <v>0</v>
      </c>
      <c r="AM17" s="55">
        <f t="shared" ref="AM17:AM22" si="79">IFERROR(AM6/AE6-1,0)</f>
        <v>-2.0151371807000995E-2</v>
      </c>
      <c r="AN17" s="55">
        <f t="shared" ref="AN17:AN22" si="80">IFERROR(AN6/AF6-1,0)</f>
        <v>-2.0151371807000995E-2</v>
      </c>
      <c r="AO17" s="55">
        <f t="shared" ref="AO17:AO22" si="81">IFERROR(AO6/AG6-1,0)</f>
        <v>-2.0151371807000995E-2</v>
      </c>
      <c r="AP17" s="374">
        <f t="shared" ref="AP17:AP22" si="82">IFERROR(AP6/AH6-1,0)</f>
        <v>0</v>
      </c>
      <c r="AQ17" s="55">
        <f t="shared" ref="AQ17:AQ22" si="83">IFERROR(AQ6/AI6-1,0)</f>
        <v>0</v>
      </c>
      <c r="AR17" s="55">
        <f t="shared" ref="AR17:AR22" si="84">IFERROR(AR6/AJ6-1,0)</f>
        <v>0</v>
      </c>
      <c r="AS17" s="55">
        <f t="shared" ref="AS17:AS22" si="85">IFERROR(AS6/AK6-1,0)</f>
        <v>0</v>
      </c>
      <c r="AT17" s="55">
        <f t="shared" ref="AT17:AT22" si="86">IFERROR(AM6/AL6-1,0)</f>
        <v>0</v>
      </c>
      <c r="AU17" s="55">
        <f t="shared" ref="AU17:AU22" si="87">IFERROR(AU6/AM6-1,0)</f>
        <v>-2</v>
      </c>
      <c r="AV17" s="55">
        <f t="shared" ref="AV17:AV22" si="88">IFERROR(AV6/AN6-1,0)</f>
        <v>-1</v>
      </c>
      <c r="AW17" s="55">
        <f t="shared" ref="AW17:AW22" si="89">IFERROR(AW6/AO6-1,0)</f>
        <v>-1</v>
      </c>
      <c r="AX17" s="374">
        <f t="shared" ref="AX17:AX22" si="90">IFERROR(AX6/AP6-1,0)</f>
        <v>0</v>
      </c>
      <c r="AY17" s="55">
        <f t="shared" ref="AY17:AY22" si="91">IFERROR(AY6/AQ6-1,0)</f>
        <v>0</v>
      </c>
      <c r="AZ17" s="55">
        <f t="shared" ref="AZ17:AZ22" si="92">IFERROR(AZ6/AR6-1,0)</f>
        <v>0</v>
      </c>
      <c r="BA17" s="55">
        <f t="shared" ref="BA17:BA22" si="93">IFERROR(BA6/AS6-1,0)</f>
        <v>-1</v>
      </c>
      <c r="BB17" s="55">
        <f t="shared" ref="BB17:BB22" si="94">IFERROR(BB6/AM6-1,0)</f>
        <v>-1</v>
      </c>
      <c r="BC17" s="55">
        <f t="shared" ref="BC17:BC22" si="95">IFERROR(BC6/AU6-1,0)</f>
        <v>-1</v>
      </c>
      <c r="BD17" s="55">
        <f t="shared" ref="BD17:BD22" si="96">IFERROR(BD6/AV6-1,0)</f>
        <v>0</v>
      </c>
      <c r="BE17" s="55">
        <f t="shared" ref="BE17:BE22" si="97">IFERROR(BE6/AW6-1,0)</f>
        <v>0</v>
      </c>
      <c r="BF17" s="374"/>
      <c r="BG17" s="55"/>
      <c r="BH17" s="55"/>
      <c r="BI17" s="55"/>
      <c r="BJ17" s="55"/>
      <c r="BK17" s="55"/>
      <c r="BL17" s="55"/>
      <c r="BM17" s="55"/>
      <c r="BN17" s="374">
        <f t="shared" ref="BN17:BQ22" si="98">IFERROR(BN6/AX6-1,0)</f>
        <v>0</v>
      </c>
      <c r="BO17" s="55">
        <f t="shared" si="98"/>
        <v>0</v>
      </c>
      <c r="BP17" s="55">
        <f t="shared" si="98"/>
        <v>0</v>
      </c>
      <c r="BQ17" s="55">
        <f t="shared" si="98"/>
        <v>0</v>
      </c>
      <c r="BR17" s="55">
        <f t="shared" ref="BR17:BR22" si="99">IFERROR(BR6/AU6-1,0)</f>
        <v>-1</v>
      </c>
      <c r="BS17" s="55">
        <f t="shared" ref="BS17:BU22" si="100">IFERROR(BS6/BC6-1,0)</f>
        <v>0</v>
      </c>
      <c r="BT17" s="55">
        <f t="shared" si="100"/>
        <v>0</v>
      </c>
      <c r="BU17" s="55">
        <f t="shared" si="100"/>
        <v>0</v>
      </c>
      <c r="BV17" s="374">
        <f t="shared" ref="BV17:BV22" si="101">IFERROR(BV6/BN6-1,0)</f>
        <v>0</v>
      </c>
      <c r="BW17" s="55">
        <f t="shared" ref="BW17:BW22" si="102">IFERROR(BW6/BO6-1,0)</f>
        <v>0</v>
      </c>
      <c r="BX17" s="55">
        <f t="shared" ref="BX17:BX22" si="103">IFERROR(BX6/BP6-1,0)</f>
        <v>0</v>
      </c>
      <c r="BY17" s="55">
        <f t="shared" ref="BY17:BY22" si="104">IFERROR(BY6/BQ6-1,0)</f>
        <v>0</v>
      </c>
      <c r="BZ17" s="55">
        <f t="shared" ref="BZ17:BZ22" si="105">IFERROR(BZ6/BC6-1,0)</f>
        <v>0</v>
      </c>
      <c r="CA17" s="55">
        <f t="shared" ref="CA17:CA22" si="106">IFERROR(CA6/BS6-1,0)</f>
        <v>0</v>
      </c>
      <c r="CB17" s="55">
        <f t="shared" ref="CB17:CB22" si="107">IFERROR(CB6/BT6-1,0)</f>
        <v>0</v>
      </c>
      <c r="CC17" s="55">
        <f t="shared" ref="CC17:CC22" si="108">IFERROR(CC6/BU6-1,0)</f>
        <v>0</v>
      </c>
      <c r="CD17" s="374">
        <f t="shared" ref="CD17:CG22" si="109">IFERROR(CD6/BV6-1,0)</f>
        <v>0</v>
      </c>
      <c r="CE17" s="55">
        <f t="shared" si="109"/>
        <v>0</v>
      </c>
      <c r="CF17" s="55">
        <f t="shared" si="109"/>
        <v>0</v>
      </c>
      <c r="CG17" s="55">
        <f t="shared" si="109"/>
        <v>0</v>
      </c>
      <c r="CH17" s="55">
        <f t="shared" ref="CH17:CH22" si="110">IFERROR(CH6/BS6-1,0)</f>
        <v>0</v>
      </c>
      <c r="CI17" s="55">
        <f t="shared" ref="CI17:CK22" si="111">IFERROR(CI6/CA6-1,0)</f>
        <v>0</v>
      </c>
      <c r="CJ17" s="55">
        <f t="shared" si="111"/>
        <v>0</v>
      </c>
      <c r="CK17" s="55">
        <f t="shared" si="111"/>
        <v>0</v>
      </c>
      <c r="CL17" s="374"/>
      <c r="CM17" s="55"/>
      <c r="CN17" s="55"/>
      <c r="CO17" s="55"/>
      <c r="CP17" s="55"/>
      <c r="CQ17" s="55"/>
      <c r="CR17" s="55"/>
      <c r="CS17" s="55">
        <f t="shared" ref="CS17:CS22" si="112">IFERROR(CS6/CK6-1,0)</f>
        <v>0</v>
      </c>
      <c r="CT17" s="374"/>
      <c r="CU17" s="55"/>
      <c r="CV17" s="55"/>
      <c r="CW17" s="55"/>
      <c r="CX17" s="55"/>
      <c r="CY17" s="55"/>
      <c r="CZ17" s="55"/>
      <c r="DA17" s="55">
        <f t="shared" ref="DA17:DA22" si="113">IFERROR(DA6/CS6-1,0)</f>
        <v>0</v>
      </c>
      <c r="DB17" s="374"/>
      <c r="DC17" s="55"/>
      <c r="DD17" s="55"/>
      <c r="DE17" s="55"/>
      <c r="DF17" s="55"/>
      <c r="DG17" s="55"/>
      <c r="DH17" s="55"/>
      <c r="DI17" s="55">
        <f t="shared" ref="DI17:DI22" si="114">IFERROR(DI6/DA6-1,0)</f>
        <v>0</v>
      </c>
      <c r="DJ17" s="374"/>
      <c r="DK17" s="55"/>
      <c r="DL17" s="55"/>
      <c r="DM17" s="55"/>
      <c r="DN17" s="55"/>
      <c r="DO17" s="55"/>
      <c r="DP17" s="55"/>
      <c r="DQ17" s="55">
        <f t="shared" ref="DQ17:DQ22" si="115">IFERROR(DQ6/DI6-1,0)</f>
        <v>0</v>
      </c>
      <c r="DR17" s="374"/>
      <c r="DS17" s="55"/>
      <c r="DT17" s="55"/>
      <c r="DU17" s="55"/>
      <c r="DV17" s="55"/>
      <c r="DW17" s="55"/>
      <c r="DX17" s="55"/>
      <c r="DY17" s="55"/>
      <c r="DZ17" s="374"/>
      <c r="EA17" s="55"/>
      <c r="EB17" s="55"/>
      <c r="EC17" s="55"/>
      <c r="ED17" s="55"/>
      <c r="EE17" s="55"/>
      <c r="EF17" s="55"/>
      <c r="EG17" s="57"/>
      <c r="EH17" s="406"/>
    </row>
    <row r="18" spans="1:138" hidden="1" outlineLevel="1">
      <c r="A18" s="1" t="s">
        <v>408</v>
      </c>
      <c r="B18" s="56"/>
      <c r="C18" s="55"/>
      <c r="D18" s="55"/>
      <c r="E18" s="55"/>
      <c r="F18" s="55"/>
      <c r="G18" s="55"/>
      <c r="H18" s="55"/>
      <c r="I18" s="55"/>
      <c r="J18" s="374">
        <f>IFERROR(J7/B7-1,0)</f>
        <v>-2.0737327188940058E-2</v>
      </c>
      <c r="K18" s="55">
        <f t="shared" ref="K18:P18" si="116">IFERROR(K7/C7-1,0)</f>
        <v>-0.38348082595870203</v>
      </c>
      <c r="L18" s="55">
        <f t="shared" si="116"/>
        <v>-0.24190647482014394</v>
      </c>
      <c r="M18" s="55">
        <f t="shared" si="116"/>
        <v>-0.44724409448818903</v>
      </c>
      <c r="N18" s="55">
        <f t="shared" si="116"/>
        <v>-0.31654264453348602</v>
      </c>
      <c r="O18" s="55">
        <f t="shared" si="116"/>
        <v>-3.5405838580423583</v>
      </c>
      <c r="P18" s="55">
        <f t="shared" si="116"/>
        <v>-5.3070143884892085</v>
      </c>
      <c r="Q18" s="55">
        <f>IFERROR(Q7/I7-1,0)</f>
        <v>0</v>
      </c>
      <c r="R18" s="374">
        <f>IFERROR(R7/J7-1,0)</f>
        <v>0.44705882352941173</v>
      </c>
      <c r="S18" s="55">
        <f>IFERROR(S7/K7-1,0)</f>
        <v>-1.631578947368421</v>
      </c>
      <c r="T18" s="55">
        <f t="shared" si="62"/>
        <v>-0.58362989323843417</v>
      </c>
      <c r="U18" s="55">
        <f t="shared" si="63"/>
        <v>3.0398860398860394</v>
      </c>
      <c r="V18" s="55">
        <f t="shared" si="64"/>
        <v>0.48157453936348404</v>
      </c>
      <c r="W18" s="55">
        <f t="shared" si="65"/>
        <v>0</v>
      </c>
      <c r="X18" s="55">
        <f t="shared" si="66"/>
        <v>0</v>
      </c>
      <c r="Y18" s="55">
        <f t="shared" si="67"/>
        <v>0</v>
      </c>
      <c r="Z18" s="374">
        <f t="shared" si="67"/>
        <v>-1</v>
      </c>
      <c r="AA18" s="55">
        <f t="shared" si="67"/>
        <v>-1</v>
      </c>
      <c r="AB18" s="55">
        <f t="shared" si="68"/>
        <v>-1</v>
      </c>
      <c r="AC18" s="55">
        <f t="shared" si="69"/>
        <v>-1</v>
      </c>
      <c r="AD18" s="55">
        <f t="shared" si="70"/>
        <v>-1</v>
      </c>
      <c r="AE18" s="55">
        <f t="shared" si="71"/>
        <v>0</v>
      </c>
      <c r="AF18" s="55">
        <f t="shared" si="72"/>
        <v>0</v>
      </c>
      <c r="AG18" s="55">
        <f t="shared" si="73"/>
        <v>0</v>
      </c>
      <c r="AH18" s="374">
        <f t="shared" si="74"/>
        <v>0</v>
      </c>
      <c r="AI18" s="55">
        <f t="shared" si="75"/>
        <v>0</v>
      </c>
      <c r="AJ18" s="55">
        <f t="shared" si="76"/>
        <v>0</v>
      </c>
      <c r="AK18" s="55">
        <f t="shared" si="77"/>
        <v>0</v>
      </c>
      <c r="AL18" s="55">
        <f t="shared" si="78"/>
        <v>0</v>
      </c>
      <c r="AM18" s="55">
        <f t="shared" si="79"/>
        <v>0</v>
      </c>
      <c r="AN18" s="55">
        <f t="shared" si="80"/>
        <v>0</v>
      </c>
      <c r="AO18" s="55">
        <f t="shared" si="81"/>
        <v>0</v>
      </c>
      <c r="AP18" s="374">
        <f t="shared" si="82"/>
        <v>0</v>
      </c>
      <c r="AQ18" s="55">
        <f t="shared" si="83"/>
        <v>0</v>
      </c>
      <c r="AR18" s="55">
        <f t="shared" si="84"/>
        <v>0</v>
      </c>
      <c r="AS18" s="55">
        <f t="shared" si="85"/>
        <v>0</v>
      </c>
      <c r="AT18" s="55">
        <f t="shared" si="86"/>
        <v>0</v>
      </c>
      <c r="AU18" s="55">
        <f t="shared" si="87"/>
        <v>0</v>
      </c>
      <c r="AV18" s="55">
        <f t="shared" si="88"/>
        <v>0</v>
      </c>
      <c r="AW18" s="55">
        <f t="shared" si="89"/>
        <v>0</v>
      </c>
      <c r="AX18" s="374">
        <f t="shared" si="90"/>
        <v>0</v>
      </c>
      <c r="AY18" s="55">
        <f t="shared" si="91"/>
        <v>0</v>
      </c>
      <c r="AZ18" s="55">
        <f t="shared" si="92"/>
        <v>0</v>
      </c>
      <c r="BA18" s="55">
        <f t="shared" si="93"/>
        <v>0</v>
      </c>
      <c r="BB18" s="55">
        <f t="shared" si="94"/>
        <v>0</v>
      </c>
      <c r="BC18" s="55">
        <f t="shared" si="95"/>
        <v>0</v>
      </c>
      <c r="BD18" s="55">
        <f t="shared" si="96"/>
        <v>0</v>
      </c>
      <c r="BE18" s="55">
        <f t="shared" si="97"/>
        <v>0</v>
      </c>
      <c r="BF18" s="374"/>
      <c r="BG18" s="55"/>
      <c r="BH18" s="55"/>
      <c r="BI18" s="55"/>
      <c r="BJ18" s="55"/>
      <c r="BK18" s="55"/>
      <c r="BL18" s="55"/>
      <c r="BM18" s="55"/>
      <c r="BN18" s="374">
        <f t="shared" si="98"/>
        <v>0</v>
      </c>
      <c r="BO18" s="55">
        <f t="shared" si="98"/>
        <v>0</v>
      </c>
      <c r="BP18" s="55">
        <f t="shared" si="98"/>
        <v>0</v>
      </c>
      <c r="BQ18" s="55">
        <f t="shared" si="98"/>
        <v>0</v>
      </c>
      <c r="BR18" s="55">
        <f t="shared" si="99"/>
        <v>0</v>
      </c>
      <c r="BS18" s="55">
        <f t="shared" si="100"/>
        <v>0</v>
      </c>
      <c r="BT18" s="55">
        <f t="shared" si="100"/>
        <v>0</v>
      </c>
      <c r="BU18" s="55">
        <f t="shared" si="100"/>
        <v>0</v>
      </c>
      <c r="BV18" s="374">
        <f t="shared" si="101"/>
        <v>0</v>
      </c>
      <c r="BW18" s="55">
        <f t="shared" si="102"/>
        <v>0</v>
      </c>
      <c r="BX18" s="55">
        <f t="shared" si="103"/>
        <v>0</v>
      </c>
      <c r="BY18" s="55">
        <f t="shared" si="104"/>
        <v>0</v>
      </c>
      <c r="BZ18" s="55">
        <f t="shared" si="105"/>
        <v>0</v>
      </c>
      <c r="CA18" s="55">
        <f t="shared" si="106"/>
        <v>0</v>
      </c>
      <c r="CB18" s="55">
        <f t="shared" si="107"/>
        <v>0</v>
      </c>
      <c r="CC18" s="55">
        <f t="shared" si="108"/>
        <v>0</v>
      </c>
      <c r="CD18" s="374">
        <f t="shared" si="109"/>
        <v>0</v>
      </c>
      <c r="CE18" s="55">
        <f t="shared" si="109"/>
        <v>0</v>
      </c>
      <c r="CF18" s="55">
        <f t="shared" si="109"/>
        <v>0</v>
      </c>
      <c r="CG18" s="55">
        <f t="shared" si="109"/>
        <v>0</v>
      </c>
      <c r="CH18" s="55">
        <f t="shared" si="110"/>
        <v>0</v>
      </c>
      <c r="CI18" s="55">
        <f t="shared" si="111"/>
        <v>0</v>
      </c>
      <c r="CJ18" s="55">
        <f t="shared" si="111"/>
        <v>0</v>
      </c>
      <c r="CK18" s="55">
        <f t="shared" si="111"/>
        <v>0</v>
      </c>
      <c r="CL18" s="374"/>
      <c r="CM18" s="55"/>
      <c r="CN18" s="55"/>
      <c r="CO18" s="55"/>
      <c r="CP18" s="55"/>
      <c r="CQ18" s="55"/>
      <c r="CR18" s="55"/>
      <c r="CS18" s="55">
        <f t="shared" si="112"/>
        <v>0</v>
      </c>
      <c r="CT18" s="374"/>
      <c r="CU18" s="55"/>
      <c r="CV18" s="55"/>
      <c r="CW18" s="55"/>
      <c r="CX18" s="55"/>
      <c r="CY18" s="55"/>
      <c r="CZ18" s="55"/>
      <c r="DA18" s="55">
        <f t="shared" si="113"/>
        <v>0</v>
      </c>
      <c r="DB18" s="374"/>
      <c r="DC18" s="55"/>
      <c r="DD18" s="55"/>
      <c r="DE18" s="55"/>
      <c r="DF18" s="55"/>
      <c r="DG18" s="55"/>
      <c r="DH18" s="55"/>
      <c r="DI18" s="55">
        <f t="shared" si="114"/>
        <v>0</v>
      </c>
      <c r="DJ18" s="374"/>
      <c r="DK18" s="55"/>
      <c r="DL18" s="55"/>
      <c r="DM18" s="55"/>
      <c r="DN18" s="55"/>
      <c r="DO18" s="55"/>
      <c r="DP18" s="55"/>
      <c r="DQ18" s="55">
        <f t="shared" si="115"/>
        <v>0</v>
      </c>
      <c r="DR18" s="374"/>
      <c r="DS18" s="55"/>
      <c r="DT18" s="55"/>
      <c r="DU18" s="55"/>
      <c r="DV18" s="55"/>
      <c r="DW18" s="55"/>
      <c r="DX18" s="55"/>
      <c r="DY18" s="55"/>
      <c r="DZ18" s="374"/>
      <c r="EA18" s="55"/>
      <c r="EB18" s="55"/>
      <c r="EC18" s="55"/>
      <c r="ED18" s="55"/>
      <c r="EE18" s="55"/>
      <c r="EF18" s="55"/>
      <c r="EG18" s="57"/>
      <c r="EH18" s="406"/>
    </row>
    <row r="19" spans="1:138" hidden="1" outlineLevel="1">
      <c r="A19" s="1" t="s">
        <v>409</v>
      </c>
      <c r="B19" s="56"/>
      <c r="C19" s="55"/>
      <c r="D19" s="55"/>
      <c r="E19" s="55"/>
      <c r="F19" s="55"/>
      <c r="G19" s="55"/>
      <c r="H19" s="55"/>
      <c r="I19" s="55"/>
      <c r="J19" s="374">
        <f>IFERROR(J8/B8-1,0)</f>
        <v>0.45686512758201703</v>
      </c>
      <c r="K19" s="55">
        <f t="shared" ref="K19:Q19" si="117">IFERROR(K8/C8-1,0)</f>
        <v>0.16617210682492578</v>
      </c>
      <c r="L19" s="55">
        <f t="shared" si="117"/>
        <v>0.27637033625057583</v>
      </c>
      <c r="M19" s="55">
        <f t="shared" si="117"/>
        <v>4.5066045066045168E-2</v>
      </c>
      <c r="N19" s="55">
        <f t="shared" si="117"/>
        <v>0.19028340080971651</v>
      </c>
      <c r="O19" s="55">
        <f t="shared" si="117"/>
        <v>9.7598364844149188E-2</v>
      </c>
      <c r="P19" s="55">
        <f t="shared" si="117"/>
        <v>7.6757090012330442E-2</v>
      </c>
      <c r="Q19" s="55">
        <f t="shared" si="117"/>
        <v>0.15678670360110813</v>
      </c>
      <c r="R19" s="374">
        <f t="shared" ref="R19:S22" si="118">IFERROR(R8/J8-1,0)</f>
        <v>-0.13427856547122607</v>
      </c>
      <c r="S19" s="55">
        <f t="shared" si="118"/>
        <v>-0.80470737913486001</v>
      </c>
      <c r="T19" s="55">
        <f t="shared" si="62"/>
        <v>-0.51461566221580657</v>
      </c>
      <c r="U19" s="55">
        <f t="shared" si="63"/>
        <v>1.0721189591078066</v>
      </c>
      <c r="V19" s="55">
        <f t="shared" si="64"/>
        <v>3.8872691933915515E-3</v>
      </c>
      <c r="W19" s="55">
        <f t="shared" si="65"/>
        <v>7.9143389199254344E-3</v>
      </c>
      <c r="X19" s="55">
        <f t="shared" si="66"/>
        <v>0.41769252791296885</v>
      </c>
      <c r="Y19" s="55">
        <f t="shared" si="67"/>
        <v>5.268199233716464E-3</v>
      </c>
      <c r="Z19" s="374">
        <f t="shared" si="67"/>
        <v>-1</v>
      </c>
      <c r="AA19" s="55">
        <f t="shared" si="67"/>
        <v>-1</v>
      </c>
      <c r="AB19" s="55">
        <f t="shared" si="68"/>
        <v>-1</v>
      </c>
      <c r="AC19" s="55">
        <f t="shared" si="69"/>
        <v>-1</v>
      </c>
      <c r="AD19" s="55">
        <f t="shared" si="70"/>
        <v>-1</v>
      </c>
      <c r="AE19" s="55">
        <f t="shared" si="71"/>
        <v>2.0133949191685914</v>
      </c>
      <c r="AF19" s="55">
        <f t="shared" si="72"/>
        <v>0.31744749596122768</v>
      </c>
      <c r="AG19" s="55">
        <f t="shared" si="73"/>
        <v>3.6048912180403292E-2</v>
      </c>
      <c r="AH19" s="374">
        <f t="shared" si="74"/>
        <v>0</v>
      </c>
      <c r="AI19" s="55">
        <f t="shared" si="75"/>
        <v>0</v>
      </c>
      <c r="AJ19" s="55">
        <f t="shared" si="76"/>
        <v>0</v>
      </c>
      <c r="AK19" s="55">
        <f t="shared" si="77"/>
        <v>0</v>
      </c>
      <c r="AL19" s="55">
        <f t="shared" si="78"/>
        <v>0</v>
      </c>
      <c r="AM19" s="55">
        <f t="shared" si="79"/>
        <v>8.0318822808093104E-2</v>
      </c>
      <c r="AN19" s="55">
        <f t="shared" si="80"/>
        <v>8.0318822808093104E-2</v>
      </c>
      <c r="AO19" s="55">
        <f t="shared" si="81"/>
        <v>8.0318822808093104E-2</v>
      </c>
      <c r="AP19" s="374">
        <f t="shared" si="82"/>
        <v>0</v>
      </c>
      <c r="AQ19" s="55">
        <f t="shared" si="83"/>
        <v>0</v>
      </c>
      <c r="AR19" s="55">
        <f t="shared" si="84"/>
        <v>0</v>
      </c>
      <c r="AS19" s="55">
        <f t="shared" si="85"/>
        <v>0</v>
      </c>
      <c r="AT19" s="55">
        <f t="shared" si="86"/>
        <v>0</v>
      </c>
      <c r="AU19" s="55">
        <f t="shared" si="87"/>
        <v>-2</v>
      </c>
      <c r="AV19" s="55">
        <f t="shared" si="88"/>
        <v>-1</v>
      </c>
      <c r="AW19" s="55">
        <f t="shared" si="89"/>
        <v>-1</v>
      </c>
      <c r="AX19" s="374">
        <f t="shared" si="90"/>
        <v>0</v>
      </c>
      <c r="AY19" s="55">
        <f t="shared" si="91"/>
        <v>0</v>
      </c>
      <c r="AZ19" s="55">
        <f t="shared" si="92"/>
        <v>0</v>
      </c>
      <c r="BA19" s="55">
        <f t="shared" si="93"/>
        <v>-1</v>
      </c>
      <c r="BB19" s="55">
        <f t="shared" si="94"/>
        <v>-1</v>
      </c>
      <c r="BC19" s="55">
        <f t="shared" si="95"/>
        <v>-1</v>
      </c>
      <c r="BD19" s="55">
        <f t="shared" si="96"/>
        <v>0</v>
      </c>
      <c r="BE19" s="55">
        <f t="shared" si="97"/>
        <v>0</v>
      </c>
      <c r="BF19" s="374"/>
      <c r="BG19" s="55"/>
      <c r="BH19" s="55"/>
      <c r="BI19" s="55"/>
      <c r="BJ19" s="55"/>
      <c r="BK19" s="55"/>
      <c r="BL19" s="55"/>
      <c r="BM19" s="55"/>
      <c r="BN19" s="374">
        <f t="shared" si="98"/>
        <v>0</v>
      </c>
      <c r="BO19" s="55">
        <f t="shared" si="98"/>
        <v>0</v>
      </c>
      <c r="BP19" s="55">
        <f t="shared" si="98"/>
        <v>0</v>
      </c>
      <c r="BQ19" s="55">
        <f t="shared" si="98"/>
        <v>0</v>
      </c>
      <c r="BR19" s="55">
        <f t="shared" si="99"/>
        <v>-1</v>
      </c>
      <c r="BS19" s="55">
        <f t="shared" si="100"/>
        <v>0</v>
      </c>
      <c r="BT19" s="55">
        <f t="shared" si="100"/>
        <v>0</v>
      </c>
      <c r="BU19" s="55">
        <f t="shared" si="100"/>
        <v>0</v>
      </c>
      <c r="BV19" s="374">
        <f t="shared" si="101"/>
        <v>0</v>
      </c>
      <c r="BW19" s="55">
        <f t="shared" si="102"/>
        <v>0</v>
      </c>
      <c r="BX19" s="55">
        <f t="shared" si="103"/>
        <v>0</v>
      </c>
      <c r="BY19" s="55">
        <f t="shared" si="104"/>
        <v>0</v>
      </c>
      <c r="BZ19" s="55">
        <f t="shared" si="105"/>
        <v>0</v>
      </c>
      <c r="CA19" s="55">
        <f t="shared" si="106"/>
        <v>0</v>
      </c>
      <c r="CB19" s="55">
        <f t="shared" si="107"/>
        <v>0</v>
      </c>
      <c r="CC19" s="55">
        <f t="shared" si="108"/>
        <v>0</v>
      </c>
      <c r="CD19" s="374">
        <f t="shared" si="109"/>
        <v>0</v>
      </c>
      <c r="CE19" s="55">
        <f t="shared" si="109"/>
        <v>0</v>
      </c>
      <c r="CF19" s="55">
        <f t="shared" si="109"/>
        <v>0</v>
      </c>
      <c r="CG19" s="55">
        <f t="shared" si="109"/>
        <v>0</v>
      </c>
      <c r="CH19" s="55">
        <f t="shared" si="110"/>
        <v>0</v>
      </c>
      <c r="CI19" s="55">
        <f t="shared" si="111"/>
        <v>0</v>
      </c>
      <c r="CJ19" s="55">
        <f t="shared" si="111"/>
        <v>0</v>
      </c>
      <c r="CK19" s="55">
        <f t="shared" si="111"/>
        <v>0</v>
      </c>
      <c r="CL19" s="374"/>
      <c r="CM19" s="55"/>
      <c r="CN19" s="55"/>
      <c r="CO19" s="55"/>
      <c r="CP19" s="55"/>
      <c r="CQ19" s="55"/>
      <c r="CR19" s="55"/>
      <c r="CS19" s="55">
        <f t="shared" si="112"/>
        <v>0</v>
      </c>
      <c r="CT19" s="374"/>
      <c r="CU19" s="55"/>
      <c r="CV19" s="55"/>
      <c r="CW19" s="55"/>
      <c r="CX19" s="55"/>
      <c r="CY19" s="55"/>
      <c r="CZ19" s="55"/>
      <c r="DA19" s="55">
        <f t="shared" si="113"/>
        <v>0</v>
      </c>
      <c r="DB19" s="374"/>
      <c r="DC19" s="55"/>
      <c r="DD19" s="55"/>
      <c r="DE19" s="55"/>
      <c r="DF19" s="55"/>
      <c r="DG19" s="55"/>
      <c r="DH19" s="55"/>
      <c r="DI19" s="55">
        <f t="shared" si="114"/>
        <v>0</v>
      </c>
      <c r="DJ19" s="374"/>
      <c r="DK19" s="55"/>
      <c r="DL19" s="55"/>
      <c r="DM19" s="55"/>
      <c r="DN19" s="55"/>
      <c r="DO19" s="55"/>
      <c r="DP19" s="55"/>
      <c r="DQ19" s="55">
        <f t="shared" si="115"/>
        <v>0</v>
      </c>
      <c r="DR19" s="374"/>
      <c r="DS19" s="55"/>
      <c r="DT19" s="55"/>
      <c r="DU19" s="55"/>
      <c r="DV19" s="55"/>
      <c r="DW19" s="55"/>
      <c r="DX19" s="55"/>
      <c r="DY19" s="55"/>
      <c r="DZ19" s="374"/>
      <c r="EA19" s="55"/>
      <c r="EB19" s="55"/>
      <c r="EC19" s="55"/>
      <c r="ED19" s="55"/>
      <c r="EE19" s="55"/>
      <c r="EF19" s="55"/>
      <c r="EG19" s="57"/>
      <c r="EH19" s="406"/>
    </row>
    <row r="20" spans="1:138" hidden="1" outlineLevel="1">
      <c r="A20" s="1" t="s">
        <v>410</v>
      </c>
      <c r="B20" s="56"/>
      <c r="C20" s="55"/>
      <c r="D20" s="55"/>
      <c r="E20" s="55"/>
      <c r="F20" s="55"/>
      <c r="G20" s="55"/>
      <c r="H20" s="55"/>
      <c r="I20" s="55"/>
      <c r="J20" s="374">
        <f>IFERROR(J9/B9-1,0)</f>
        <v>0.13151152860802728</v>
      </c>
      <c r="K20" s="55">
        <f t="shared" ref="K20:Q20" si="119">IFERROR(K9/C9-1,0)</f>
        <v>0.13605442176870741</v>
      </c>
      <c r="L20" s="55">
        <f t="shared" si="119"/>
        <v>0.133787814230933</v>
      </c>
      <c r="M20" s="55">
        <f t="shared" si="119"/>
        <v>0.1646843549862762</v>
      </c>
      <c r="N20" s="55">
        <f t="shared" si="119"/>
        <v>0.14360465116279064</v>
      </c>
      <c r="O20" s="55">
        <f t="shared" si="119"/>
        <v>-1.5473837209302326</v>
      </c>
      <c r="P20" s="55">
        <f t="shared" si="119"/>
        <v>-2.3446953557733279</v>
      </c>
      <c r="Q20" s="55">
        <f t="shared" si="119"/>
        <v>0</v>
      </c>
      <c r="R20" s="374">
        <f t="shared" si="118"/>
        <v>3.3207547169811225E-2</v>
      </c>
      <c r="S20" s="55">
        <f t="shared" si="118"/>
        <v>-1.0718562874251496</v>
      </c>
      <c r="T20" s="55">
        <f t="shared" si="62"/>
        <v>-0.52160841788801204</v>
      </c>
      <c r="U20" s="55">
        <f t="shared" si="63"/>
        <v>1.1531814611154751</v>
      </c>
      <c r="V20" s="55">
        <f t="shared" si="64"/>
        <v>2.0335536349771255E-2</v>
      </c>
      <c r="W20" s="55">
        <f t="shared" si="65"/>
        <v>-6.001062134891133E-2</v>
      </c>
      <c r="X20" s="55">
        <f t="shared" si="66"/>
        <v>0.42934093789607108</v>
      </c>
      <c r="Y20" s="55">
        <f t="shared" si="67"/>
        <v>-5.6730273336771386E-3</v>
      </c>
      <c r="Z20" s="374">
        <f t="shared" si="67"/>
        <v>-1</v>
      </c>
      <c r="AA20" s="55">
        <f t="shared" si="67"/>
        <v>-1</v>
      </c>
      <c r="AB20" s="55">
        <f t="shared" si="68"/>
        <v>-1</v>
      </c>
      <c r="AC20" s="55">
        <f t="shared" si="69"/>
        <v>-1</v>
      </c>
      <c r="AD20" s="55">
        <f t="shared" si="70"/>
        <v>-1</v>
      </c>
      <c r="AE20" s="55">
        <f t="shared" si="71"/>
        <v>-1</v>
      </c>
      <c r="AF20" s="55">
        <f t="shared" si="72"/>
        <v>-1</v>
      </c>
      <c r="AG20" s="55">
        <f t="shared" si="73"/>
        <v>-1</v>
      </c>
      <c r="AH20" s="374">
        <f t="shared" si="74"/>
        <v>0</v>
      </c>
      <c r="AI20" s="55">
        <f t="shared" si="75"/>
        <v>0</v>
      </c>
      <c r="AJ20" s="55">
        <f t="shared" si="76"/>
        <v>0</v>
      </c>
      <c r="AK20" s="55">
        <f t="shared" si="77"/>
        <v>0</v>
      </c>
      <c r="AL20" s="55">
        <f t="shared" si="78"/>
        <v>0</v>
      </c>
      <c r="AM20" s="55">
        <f t="shared" si="79"/>
        <v>0</v>
      </c>
      <c r="AN20" s="55">
        <f t="shared" si="80"/>
        <v>0</v>
      </c>
      <c r="AO20" s="55">
        <f t="shared" si="81"/>
        <v>0</v>
      </c>
      <c r="AP20" s="374">
        <f t="shared" si="82"/>
        <v>0</v>
      </c>
      <c r="AQ20" s="55">
        <f t="shared" si="83"/>
        <v>0</v>
      </c>
      <c r="AR20" s="55">
        <f t="shared" si="84"/>
        <v>0</v>
      </c>
      <c r="AS20" s="55">
        <f t="shared" si="85"/>
        <v>0</v>
      </c>
      <c r="AT20" s="55">
        <f t="shared" si="86"/>
        <v>0</v>
      </c>
      <c r="AU20" s="55">
        <f t="shared" si="87"/>
        <v>0</v>
      </c>
      <c r="AV20" s="55">
        <f t="shared" si="88"/>
        <v>0</v>
      </c>
      <c r="AW20" s="55">
        <f t="shared" si="89"/>
        <v>0</v>
      </c>
      <c r="AX20" s="374">
        <f t="shared" si="90"/>
        <v>0</v>
      </c>
      <c r="AY20" s="55">
        <f t="shared" si="91"/>
        <v>0</v>
      </c>
      <c r="AZ20" s="55">
        <f t="shared" si="92"/>
        <v>0</v>
      </c>
      <c r="BA20" s="55">
        <f t="shared" si="93"/>
        <v>0</v>
      </c>
      <c r="BB20" s="55">
        <f t="shared" si="94"/>
        <v>0</v>
      </c>
      <c r="BC20" s="55">
        <f t="shared" si="95"/>
        <v>0</v>
      </c>
      <c r="BD20" s="55">
        <f t="shared" si="96"/>
        <v>0</v>
      </c>
      <c r="BE20" s="55">
        <f t="shared" si="97"/>
        <v>0</v>
      </c>
      <c r="BF20" s="374"/>
      <c r="BG20" s="55"/>
      <c r="BH20" s="55"/>
      <c r="BI20" s="55"/>
      <c r="BJ20" s="55"/>
      <c r="BK20" s="55"/>
      <c r="BL20" s="55"/>
      <c r="BM20" s="55"/>
      <c r="BN20" s="374">
        <f t="shared" si="98"/>
        <v>0</v>
      </c>
      <c r="BO20" s="55">
        <f t="shared" si="98"/>
        <v>0</v>
      </c>
      <c r="BP20" s="55">
        <f t="shared" si="98"/>
        <v>0</v>
      </c>
      <c r="BQ20" s="55">
        <f t="shared" si="98"/>
        <v>0</v>
      </c>
      <c r="BR20" s="55">
        <f t="shared" si="99"/>
        <v>0</v>
      </c>
      <c r="BS20" s="55">
        <f t="shared" si="100"/>
        <v>0</v>
      </c>
      <c r="BT20" s="55">
        <f t="shared" si="100"/>
        <v>0</v>
      </c>
      <c r="BU20" s="55">
        <f t="shared" si="100"/>
        <v>0</v>
      </c>
      <c r="BV20" s="374">
        <f t="shared" si="101"/>
        <v>0</v>
      </c>
      <c r="BW20" s="55">
        <f t="shared" si="102"/>
        <v>0</v>
      </c>
      <c r="BX20" s="55">
        <f t="shared" si="103"/>
        <v>0</v>
      </c>
      <c r="BY20" s="55">
        <f t="shared" si="104"/>
        <v>0</v>
      </c>
      <c r="BZ20" s="55">
        <f t="shared" si="105"/>
        <v>0</v>
      </c>
      <c r="CA20" s="55">
        <f t="shared" si="106"/>
        <v>0</v>
      </c>
      <c r="CB20" s="55">
        <f t="shared" si="107"/>
        <v>0</v>
      </c>
      <c r="CC20" s="55">
        <f t="shared" si="108"/>
        <v>0</v>
      </c>
      <c r="CD20" s="374">
        <f t="shared" si="109"/>
        <v>0</v>
      </c>
      <c r="CE20" s="55">
        <f t="shared" si="109"/>
        <v>0</v>
      </c>
      <c r="CF20" s="55">
        <f t="shared" si="109"/>
        <v>0</v>
      </c>
      <c r="CG20" s="55">
        <f t="shared" si="109"/>
        <v>0</v>
      </c>
      <c r="CH20" s="55">
        <f t="shared" si="110"/>
        <v>0</v>
      </c>
      <c r="CI20" s="55">
        <f t="shared" si="111"/>
        <v>0</v>
      </c>
      <c r="CJ20" s="55">
        <f t="shared" si="111"/>
        <v>0</v>
      </c>
      <c r="CK20" s="55">
        <f t="shared" si="111"/>
        <v>0</v>
      </c>
      <c r="CL20" s="374"/>
      <c r="CM20" s="55"/>
      <c r="CN20" s="55"/>
      <c r="CO20" s="55"/>
      <c r="CP20" s="55"/>
      <c r="CQ20" s="55"/>
      <c r="CR20" s="55"/>
      <c r="CS20" s="55">
        <f t="shared" si="112"/>
        <v>0</v>
      </c>
      <c r="CT20" s="374"/>
      <c r="CU20" s="55"/>
      <c r="CV20" s="55"/>
      <c r="CW20" s="55"/>
      <c r="CX20" s="55"/>
      <c r="CY20" s="55"/>
      <c r="CZ20" s="55"/>
      <c r="DA20" s="55">
        <f t="shared" si="113"/>
        <v>0</v>
      </c>
      <c r="DB20" s="374"/>
      <c r="DC20" s="55"/>
      <c r="DD20" s="55"/>
      <c r="DE20" s="55"/>
      <c r="DF20" s="55"/>
      <c r="DG20" s="55"/>
      <c r="DH20" s="55"/>
      <c r="DI20" s="55">
        <f t="shared" si="114"/>
        <v>0</v>
      </c>
      <c r="DJ20" s="374"/>
      <c r="DK20" s="55"/>
      <c r="DL20" s="55"/>
      <c r="DM20" s="55"/>
      <c r="DN20" s="55"/>
      <c r="DO20" s="55"/>
      <c r="DP20" s="55"/>
      <c r="DQ20" s="55">
        <f t="shared" si="115"/>
        <v>0</v>
      </c>
      <c r="DR20" s="374"/>
      <c r="DS20" s="55"/>
      <c r="DT20" s="55"/>
      <c r="DU20" s="55"/>
      <c r="DV20" s="55"/>
      <c r="DW20" s="55"/>
      <c r="DX20" s="55"/>
      <c r="DY20" s="55"/>
      <c r="DZ20" s="374"/>
      <c r="EA20" s="55"/>
      <c r="EB20" s="55"/>
      <c r="EC20" s="55"/>
      <c r="ED20" s="55"/>
      <c r="EE20" s="55"/>
      <c r="EF20" s="55"/>
      <c r="EG20" s="57"/>
      <c r="EH20" s="406"/>
    </row>
    <row r="21" spans="1:138" hidden="1" outlineLevel="1">
      <c r="A21" s="1" t="s">
        <v>224</v>
      </c>
      <c r="B21" s="56"/>
      <c r="C21" s="55"/>
      <c r="D21" s="55"/>
      <c r="E21" s="55"/>
      <c r="F21" s="55"/>
      <c r="G21" s="55"/>
      <c r="H21" s="55"/>
      <c r="I21" s="55"/>
      <c r="J21" s="374">
        <f>IFERROR(J10/B10-1,0)</f>
        <v>5.3530751708428248E-2</v>
      </c>
      <c r="K21" s="55">
        <f t="shared" ref="K21:Q21" si="120">IFERROR(K10/C10-1,0)</f>
        <v>4.7808764940238113E-3</v>
      </c>
      <c r="L21" s="55">
        <f t="shared" si="120"/>
        <v>2.4847632442569045E-2</v>
      </c>
      <c r="M21" s="55">
        <f t="shared" si="120"/>
        <v>9.3312597200621017E-3</v>
      </c>
      <c r="N21" s="55">
        <f t="shared" si="120"/>
        <v>1.9011406844106515E-2</v>
      </c>
      <c r="O21" s="55">
        <f t="shared" si="120"/>
        <v>-1.6598420590816028</v>
      </c>
      <c r="P21" s="55">
        <f t="shared" si="120"/>
        <v>-2.6661978434130331</v>
      </c>
      <c r="Q21" s="55">
        <f t="shared" si="120"/>
        <v>0</v>
      </c>
      <c r="R21" s="374">
        <f t="shared" si="118"/>
        <v>1.7297297297297343E-2</v>
      </c>
      <c r="S21" s="55">
        <f t="shared" si="118"/>
        <v>-0.71689135606661381</v>
      </c>
      <c r="T21" s="55">
        <f t="shared" si="62"/>
        <v>-0.40622140896614822</v>
      </c>
      <c r="U21" s="55">
        <f t="shared" si="63"/>
        <v>0.69491525423728806</v>
      </c>
      <c r="V21" s="55">
        <f t="shared" si="64"/>
        <v>4.0183696900115695E-3</v>
      </c>
      <c r="W21" s="55">
        <f t="shared" si="65"/>
        <v>9.840425531914887E-2</v>
      </c>
      <c r="X21" s="55">
        <f t="shared" si="66"/>
        <v>0.31626336522228482</v>
      </c>
      <c r="Y21" s="55">
        <f t="shared" si="67"/>
        <v>4.1114982578397186E-2</v>
      </c>
      <c r="Z21" s="374">
        <f t="shared" si="67"/>
        <v>-1</v>
      </c>
      <c r="AA21" s="55">
        <f t="shared" si="67"/>
        <v>-1</v>
      </c>
      <c r="AB21" s="55">
        <f t="shared" si="68"/>
        <v>-1</v>
      </c>
      <c r="AC21" s="55">
        <f t="shared" si="69"/>
        <v>-1</v>
      </c>
      <c r="AD21" s="55">
        <f t="shared" si="70"/>
        <v>-1</v>
      </c>
      <c r="AE21" s="55">
        <f t="shared" si="71"/>
        <v>-1</v>
      </c>
      <c r="AF21" s="55">
        <f t="shared" si="72"/>
        <v>-1</v>
      </c>
      <c r="AG21" s="55">
        <f t="shared" si="73"/>
        <v>-1</v>
      </c>
      <c r="AH21" s="374">
        <f t="shared" si="74"/>
        <v>0</v>
      </c>
      <c r="AI21" s="55">
        <f t="shared" si="75"/>
        <v>0</v>
      </c>
      <c r="AJ21" s="55">
        <f t="shared" si="76"/>
        <v>0</v>
      </c>
      <c r="AK21" s="55">
        <f t="shared" si="77"/>
        <v>0</v>
      </c>
      <c r="AL21" s="55">
        <f t="shared" si="78"/>
        <v>0</v>
      </c>
      <c r="AM21" s="55">
        <f t="shared" si="79"/>
        <v>0</v>
      </c>
      <c r="AN21" s="55">
        <f t="shared" si="80"/>
        <v>0</v>
      </c>
      <c r="AO21" s="55">
        <f t="shared" si="81"/>
        <v>0</v>
      </c>
      <c r="AP21" s="374">
        <f t="shared" si="82"/>
        <v>0</v>
      </c>
      <c r="AQ21" s="55">
        <f t="shared" si="83"/>
        <v>0</v>
      </c>
      <c r="AR21" s="55">
        <f t="shared" si="84"/>
        <v>0</v>
      </c>
      <c r="AS21" s="55">
        <f t="shared" si="85"/>
        <v>0</v>
      </c>
      <c r="AT21" s="55">
        <f t="shared" si="86"/>
        <v>0</v>
      </c>
      <c r="AU21" s="55">
        <f t="shared" si="87"/>
        <v>0</v>
      </c>
      <c r="AV21" s="55">
        <f t="shared" si="88"/>
        <v>0</v>
      </c>
      <c r="AW21" s="55">
        <f t="shared" si="89"/>
        <v>0</v>
      </c>
      <c r="AX21" s="374">
        <f t="shared" si="90"/>
        <v>0</v>
      </c>
      <c r="AY21" s="55">
        <f t="shared" si="91"/>
        <v>0</v>
      </c>
      <c r="AZ21" s="55">
        <f t="shared" si="92"/>
        <v>0</v>
      </c>
      <c r="BA21" s="55">
        <f t="shared" si="93"/>
        <v>0</v>
      </c>
      <c r="BB21" s="55">
        <f t="shared" si="94"/>
        <v>0</v>
      </c>
      <c r="BC21" s="55">
        <f t="shared" si="95"/>
        <v>0</v>
      </c>
      <c r="BD21" s="55">
        <f t="shared" si="96"/>
        <v>0</v>
      </c>
      <c r="BE21" s="55">
        <f t="shared" si="97"/>
        <v>0</v>
      </c>
      <c r="BF21" s="374"/>
      <c r="BG21" s="55"/>
      <c r="BH21" s="55"/>
      <c r="BI21" s="55"/>
      <c r="BJ21" s="55"/>
      <c r="BK21" s="55"/>
      <c r="BL21" s="55"/>
      <c r="BM21" s="55"/>
      <c r="BN21" s="374">
        <f t="shared" si="98"/>
        <v>0</v>
      </c>
      <c r="BO21" s="55">
        <f t="shared" si="98"/>
        <v>0</v>
      </c>
      <c r="BP21" s="55">
        <f t="shared" si="98"/>
        <v>0</v>
      </c>
      <c r="BQ21" s="55">
        <f t="shared" si="98"/>
        <v>0</v>
      </c>
      <c r="BR21" s="55">
        <f t="shared" si="99"/>
        <v>0</v>
      </c>
      <c r="BS21" s="55">
        <f t="shared" si="100"/>
        <v>0</v>
      </c>
      <c r="BT21" s="55">
        <f t="shared" si="100"/>
        <v>0</v>
      </c>
      <c r="BU21" s="55">
        <f t="shared" si="100"/>
        <v>0</v>
      </c>
      <c r="BV21" s="374">
        <f t="shared" si="101"/>
        <v>0</v>
      </c>
      <c r="BW21" s="55">
        <f t="shared" si="102"/>
        <v>0</v>
      </c>
      <c r="BX21" s="55">
        <f t="shared" si="103"/>
        <v>0</v>
      </c>
      <c r="BY21" s="55">
        <f t="shared" si="104"/>
        <v>0</v>
      </c>
      <c r="BZ21" s="55">
        <f t="shared" si="105"/>
        <v>0</v>
      </c>
      <c r="CA21" s="55">
        <f t="shared" si="106"/>
        <v>0</v>
      </c>
      <c r="CB21" s="55">
        <f t="shared" si="107"/>
        <v>0</v>
      </c>
      <c r="CC21" s="55">
        <f t="shared" si="108"/>
        <v>0</v>
      </c>
      <c r="CD21" s="374">
        <f t="shared" si="109"/>
        <v>0</v>
      </c>
      <c r="CE21" s="55">
        <f t="shared" si="109"/>
        <v>0</v>
      </c>
      <c r="CF21" s="55">
        <f t="shared" si="109"/>
        <v>0</v>
      </c>
      <c r="CG21" s="55">
        <f t="shared" si="109"/>
        <v>0</v>
      </c>
      <c r="CH21" s="55">
        <f t="shared" si="110"/>
        <v>0</v>
      </c>
      <c r="CI21" s="55">
        <f t="shared" si="111"/>
        <v>0</v>
      </c>
      <c r="CJ21" s="55">
        <f t="shared" si="111"/>
        <v>0</v>
      </c>
      <c r="CK21" s="55">
        <f t="shared" si="111"/>
        <v>0</v>
      </c>
      <c r="CL21" s="374"/>
      <c r="CM21" s="55"/>
      <c r="CN21" s="55"/>
      <c r="CO21" s="55"/>
      <c r="CP21" s="55"/>
      <c r="CQ21" s="55"/>
      <c r="CR21" s="55"/>
      <c r="CS21" s="55">
        <f t="shared" si="112"/>
        <v>0</v>
      </c>
      <c r="CT21" s="374"/>
      <c r="CU21" s="55"/>
      <c r="CV21" s="55"/>
      <c r="CW21" s="55"/>
      <c r="CX21" s="55"/>
      <c r="CY21" s="55"/>
      <c r="CZ21" s="55"/>
      <c r="DA21" s="55">
        <f t="shared" si="113"/>
        <v>0</v>
      </c>
      <c r="DB21" s="374"/>
      <c r="DC21" s="55"/>
      <c r="DD21" s="55"/>
      <c r="DE21" s="55"/>
      <c r="DF21" s="55"/>
      <c r="DG21" s="55"/>
      <c r="DH21" s="55"/>
      <c r="DI21" s="55">
        <f t="shared" si="114"/>
        <v>0</v>
      </c>
      <c r="DJ21" s="374"/>
      <c r="DK21" s="55"/>
      <c r="DL21" s="55"/>
      <c r="DM21" s="55"/>
      <c r="DN21" s="55"/>
      <c r="DO21" s="55"/>
      <c r="DP21" s="55"/>
      <c r="DQ21" s="55">
        <f t="shared" si="115"/>
        <v>0</v>
      </c>
      <c r="DR21" s="374"/>
      <c r="DS21" s="55"/>
      <c r="DT21" s="55"/>
      <c r="DU21" s="55"/>
      <c r="DV21" s="55"/>
      <c r="DW21" s="55"/>
      <c r="DX21" s="55"/>
      <c r="DY21" s="55"/>
      <c r="DZ21" s="374"/>
      <c r="EA21" s="55"/>
      <c r="EB21" s="55"/>
      <c r="EC21" s="55"/>
      <c r="ED21" s="55"/>
      <c r="EE21" s="55"/>
      <c r="EF21" s="55"/>
      <c r="EG21" s="57"/>
      <c r="EH21" s="406"/>
    </row>
    <row r="22" spans="1:138" hidden="1" outlineLevel="1">
      <c r="A22" s="1" t="s">
        <v>411</v>
      </c>
      <c r="B22" s="56"/>
      <c r="C22" s="55"/>
      <c r="D22" s="55"/>
      <c r="E22" s="55"/>
      <c r="F22" s="55"/>
      <c r="G22" s="55"/>
      <c r="H22" s="55"/>
      <c r="I22" s="55"/>
      <c r="J22" s="374">
        <f>IFERROR(J11/B11-1,0)</f>
        <v>-0.19918699186991873</v>
      </c>
      <c r="K22" s="55">
        <f t="shared" ref="K22:Q22" si="121">IFERROR(K11/C11-1,0)</f>
        <v>-0.51798561151079137</v>
      </c>
      <c r="L22" s="55">
        <f t="shared" si="121"/>
        <v>-0.36832061068702293</v>
      </c>
      <c r="M22" s="55">
        <f t="shared" si="121"/>
        <v>-0.57928802588996764</v>
      </c>
      <c r="N22" s="55">
        <f t="shared" si="121"/>
        <v>-0.44657863145258103</v>
      </c>
      <c r="O22" s="55">
        <f t="shared" si="121"/>
        <v>0</v>
      </c>
      <c r="P22" s="55">
        <f t="shared" si="121"/>
        <v>0</v>
      </c>
      <c r="Q22" s="55">
        <f t="shared" si="121"/>
        <v>0</v>
      </c>
      <c r="R22" s="374">
        <f t="shared" si="118"/>
        <v>-0.60406091370558368</v>
      </c>
      <c r="S22" s="55">
        <f t="shared" si="118"/>
        <v>-0.61194029850746268</v>
      </c>
      <c r="T22" s="55">
        <f t="shared" si="62"/>
        <v>-0.607250755287009</v>
      </c>
      <c r="U22" s="55">
        <f t="shared" si="63"/>
        <v>0.27692307692307683</v>
      </c>
      <c r="V22" s="55">
        <f t="shared" si="64"/>
        <v>-0.35791757049891537</v>
      </c>
      <c r="W22" s="55">
        <f t="shared" si="65"/>
        <v>0.53302325581395338</v>
      </c>
      <c r="X22" s="55">
        <f t="shared" si="66"/>
        <v>0.56825396825396823</v>
      </c>
      <c r="Y22" s="55">
        <f t="shared" si="67"/>
        <v>1.2019543973941369</v>
      </c>
      <c r="Z22" s="374">
        <f t="shared" si="67"/>
        <v>-1</v>
      </c>
      <c r="AA22" s="55">
        <f t="shared" si="67"/>
        <v>-1</v>
      </c>
      <c r="AB22" s="55">
        <f t="shared" si="68"/>
        <v>-1</v>
      </c>
      <c r="AC22" s="55">
        <f t="shared" si="69"/>
        <v>-1</v>
      </c>
      <c r="AD22" s="55">
        <f t="shared" si="70"/>
        <v>-1</v>
      </c>
      <c r="AE22" s="55">
        <f t="shared" si="71"/>
        <v>-0.32281553398058249</v>
      </c>
      <c r="AF22" s="55">
        <f t="shared" si="72"/>
        <v>-0.24696356275303644</v>
      </c>
      <c r="AG22" s="55">
        <f t="shared" si="73"/>
        <v>-0.17455621301775148</v>
      </c>
      <c r="AH22" s="374">
        <f t="shared" si="74"/>
        <v>0</v>
      </c>
      <c r="AI22" s="55">
        <f t="shared" si="75"/>
        <v>0</v>
      </c>
      <c r="AJ22" s="55">
        <f t="shared" si="76"/>
        <v>0</v>
      </c>
      <c r="AK22" s="55">
        <f t="shared" si="77"/>
        <v>0</v>
      </c>
      <c r="AL22" s="55">
        <f t="shared" si="78"/>
        <v>0</v>
      </c>
      <c r="AM22" s="55">
        <f t="shared" si="79"/>
        <v>-0.12903225806451613</v>
      </c>
      <c r="AN22" s="55">
        <f t="shared" si="80"/>
        <v>-0.12903225806451613</v>
      </c>
      <c r="AO22" s="55">
        <f t="shared" si="81"/>
        <v>-0.12903225806451613</v>
      </c>
      <c r="AP22" s="374">
        <f t="shared" si="82"/>
        <v>0</v>
      </c>
      <c r="AQ22" s="55">
        <f t="shared" si="83"/>
        <v>0</v>
      </c>
      <c r="AR22" s="55">
        <f t="shared" si="84"/>
        <v>0</v>
      </c>
      <c r="AS22" s="55">
        <f t="shared" si="85"/>
        <v>0</v>
      </c>
      <c r="AT22" s="55">
        <f t="shared" si="86"/>
        <v>0</v>
      </c>
      <c r="AU22" s="55">
        <f t="shared" si="87"/>
        <v>-2</v>
      </c>
      <c r="AV22" s="55">
        <f t="shared" si="88"/>
        <v>-1</v>
      </c>
      <c r="AW22" s="55">
        <f t="shared" si="89"/>
        <v>-1</v>
      </c>
      <c r="AX22" s="374">
        <f t="shared" si="90"/>
        <v>0</v>
      </c>
      <c r="AY22" s="55">
        <f t="shared" si="91"/>
        <v>0</v>
      </c>
      <c r="AZ22" s="55">
        <f t="shared" si="92"/>
        <v>0</v>
      </c>
      <c r="BA22" s="55">
        <f t="shared" si="93"/>
        <v>-1</v>
      </c>
      <c r="BB22" s="55">
        <f t="shared" si="94"/>
        <v>-1</v>
      </c>
      <c r="BC22" s="55">
        <f t="shared" si="95"/>
        <v>-1</v>
      </c>
      <c r="BD22" s="55">
        <f t="shared" si="96"/>
        <v>0</v>
      </c>
      <c r="BE22" s="55">
        <f t="shared" si="97"/>
        <v>0</v>
      </c>
      <c r="BF22" s="374"/>
      <c r="BG22" s="55"/>
      <c r="BH22" s="55"/>
      <c r="BI22" s="55"/>
      <c r="BJ22" s="55"/>
      <c r="BK22" s="55"/>
      <c r="BL22" s="55"/>
      <c r="BM22" s="55"/>
      <c r="BN22" s="374">
        <f t="shared" si="98"/>
        <v>0</v>
      </c>
      <c r="BO22" s="55">
        <f t="shared" si="98"/>
        <v>0</v>
      </c>
      <c r="BP22" s="55">
        <f t="shared" si="98"/>
        <v>0</v>
      </c>
      <c r="BQ22" s="55">
        <f t="shared" si="98"/>
        <v>0</v>
      </c>
      <c r="BR22" s="55">
        <f t="shared" si="99"/>
        <v>-1</v>
      </c>
      <c r="BS22" s="55">
        <f t="shared" si="100"/>
        <v>0</v>
      </c>
      <c r="BT22" s="55">
        <f t="shared" si="100"/>
        <v>0</v>
      </c>
      <c r="BU22" s="55">
        <f t="shared" si="100"/>
        <v>0</v>
      </c>
      <c r="BV22" s="374">
        <f t="shared" si="101"/>
        <v>0</v>
      </c>
      <c r="BW22" s="55">
        <f t="shared" si="102"/>
        <v>0</v>
      </c>
      <c r="BX22" s="55">
        <f t="shared" si="103"/>
        <v>0</v>
      </c>
      <c r="BY22" s="55">
        <f t="shared" si="104"/>
        <v>0</v>
      </c>
      <c r="BZ22" s="55">
        <f t="shared" si="105"/>
        <v>0</v>
      </c>
      <c r="CA22" s="55">
        <f t="shared" si="106"/>
        <v>0</v>
      </c>
      <c r="CB22" s="55">
        <f t="shared" si="107"/>
        <v>0</v>
      </c>
      <c r="CC22" s="55">
        <f t="shared" si="108"/>
        <v>0</v>
      </c>
      <c r="CD22" s="374">
        <f t="shared" si="109"/>
        <v>0</v>
      </c>
      <c r="CE22" s="55">
        <f t="shared" si="109"/>
        <v>0</v>
      </c>
      <c r="CF22" s="55">
        <f t="shared" si="109"/>
        <v>0</v>
      </c>
      <c r="CG22" s="55">
        <f t="shared" si="109"/>
        <v>0</v>
      </c>
      <c r="CH22" s="55">
        <f t="shared" si="110"/>
        <v>0</v>
      </c>
      <c r="CI22" s="55">
        <f t="shared" si="111"/>
        <v>0</v>
      </c>
      <c r="CJ22" s="55">
        <f t="shared" si="111"/>
        <v>0</v>
      </c>
      <c r="CK22" s="55">
        <f t="shared" si="111"/>
        <v>0</v>
      </c>
      <c r="CL22" s="374"/>
      <c r="CM22" s="55"/>
      <c r="CN22" s="55"/>
      <c r="CO22" s="55"/>
      <c r="CP22" s="55"/>
      <c r="CQ22" s="55"/>
      <c r="CR22" s="55"/>
      <c r="CS22" s="55">
        <f t="shared" si="112"/>
        <v>0</v>
      </c>
      <c r="CT22" s="374"/>
      <c r="CU22" s="55"/>
      <c r="CV22" s="55"/>
      <c r="CW22" s="55"/>
      <c r="CX22" s="55"/>
      <c r="CY22" s="55"/>
      <c r="CZ22" s="55"/>
      <c r="DA22" s="55">
        <f t="shared" si="113"/>
        <v>0</v>
      </c>
      <c r="DB22" s="374"/>
      <c r="DC22" s="55"/>
      <c r="DD22" s="55"/>
      <c r="DE22" s="55"/>
      <c r="DF22" s="55"/>
      <c r="DG22" s="55"/>
      <c r="DH22" s="55"/>
      <c r="DI22" s="55">
        <f t="shared" si="114"/>
        <v>0</v>
      </c>
      <c r="DJ22" s="374"/>
      <c r="DK22" s="55"/>
      <c r="DL22" s="55"/>
      <c r="DM22" s="55"/>
      <c r="DN22" s="55"/>
      <c r="DO22" s="55"/>
      <c r="DP22" s="55"/>
      <c r="DQ22" s="55">
        <f t="shared" si="115"/>
        <v>0</v>
      </c>
      <c r="DR22" s="374"/>
      <c r="DS22" s="55"/>
      <c r="DT22" s="55"/>
      <c r="DU22" s="55"/>
      <c r="DV22" s="55"/>
      <c r="DW22" s="55"/>
      <c r="DX22" s="55"/>
      <c r="DY22" s="55"/>
      <c r="DZ22" s="374"/>
      <c r="EA22" s="55"/>
      <c r="EB22" s="55"/>
      <c r="EC22" s="55"/>
      <c r="ED22" s="55"/>
      <c r="EE22" s="55"/>
      <c r="EF22" s="55"/>
      <c r="EG22" s="57"/>
      <c r="EH22" s="406"/>
    </row>
    <row r="23" spans="1:138" hidden="1" outlineLevel="1">
      <c r="A23" s="11" t="s">
        <v>225</v>
      </c>
      <c r="B23" s="58"/>
      <c r="C23" s="59"/>
      <c r="D23" s="59"/>
      <c r="E23" s="59"/>
      <c r="F23" s="59"/>
      <c r="G23" s="59"/>
      <c r="H23" s="59"/>
      <c r="I23" s="59"/>
      <c r="J23" s="375">
        <f t="shared" ref="J23:AG23" si="122">IFERROR(J14/B14-1,0)</f>
        <v>0.1572965293281916</v>
      </c>
      <c r="K23" s="59">
        <f t="shared" si="122"/>
        <v>0.11984770733322292</v>
      </c>
      <c r="L23" s="59">
        <f t="shared" si="122"/>
        <v>0.13667031363967896</v>
      </c>
      <c r="M23" s="59">
        <f t="shared" si="122"/>
        <v>0.14631197097944382</v>
      </c>
      <c r="N23" s="59">
        <f t="shared" si="122"/>
        <v>0.13984152721265342</v>
      </c>
      <c r="O23" s="59">
        <f t="shared" si="122"/>
        <v>0</v>
      </c>
      <c r="P23" s="59">
        <f t="shared" si="122"/>
        <v>0</v>
      </c>
      <c r="Q23" s="59">
        <f t="shared" si="122"/>
        <v>0</v>
      </c>
      <c r="R23" s="375">
        <f t="shared" si="122"/>
        <v>8.619782532444753E-2</v>
      </c>
      <c r="S23" s="59">
        <f t="shared" si="122"/>
        <v>-1.0046563192904656</v>
      </c>
      <c r="T23" s="59">
        <f>IFERROR(M14/L14-1,0)</f>
        <v>-0.50573514077163706</v>
      </c>
      <c r="U23" s="59">
        <f t="shared" si="122"/>
        <v>1.2429406037000974</v>
      </c>
      <c r="V23" s="59">
        <f t="shared" si="122"/>
        <v>7.2682376939180893E-2</v>
      </c>
      <c r="W23" s="59">
        <f t="shared" si="122"/>
        <v>0</v>
      </c>
      <c r="X23" s="59">
        <f t="shared" si="122"/>
        <v>0</v>
      </c>
      <c r="Y23" s="59">
        <f t="shared" si="122"/>
        <v>0</v>
      </c>
      <c r="Z23" s="375">
        <f t="shared" si="122"/>
        <v>-1</v>
      </c>
      <c r="AA23" s="59">
        <f t="shared" si="122"/>
        <v>-1</v>
      </c>
      <c r="AB23" s="59">
        <f>IFERROR(AB14/M14-1,0)</f>
        <v>-1</v>
      </c>
      <c r="AC23" s="59">
        <f t="shared" si="122"/>
        <v>-1</v>
      </c>
      <c r="AD23" s="59">
        <f t="shared" si="122"/>
        <v>-1</v>
      </c>
      <c r="AE23" s="59">
        <f t="shared" si="122"/>
        <v>0</v>
      </c>
      <c r="AF23" s="59">
        <f t="shared" si="122"/>
        <v>0</v>
      </c>
      <c r="AG23" s="59">
        <f t="shared" si="122"/>
        <v>0</v>
      </c>
      <c r="AH23" s="375">
        <f t="shared" ref="AH23:AO23" si="123">IFERROR(AH14/Z14-1,0)</f>
        <v>0</v>
      </c>
      <c r="AI23" s="59">
        <f t="shared" si="123"/>
        <v>0</v>
      </c>
      <c r="AJ23" s="59">
        <f t="shared" si="123"/>
        <v>0</v>
      </c>
      <c r="AK23" s="59">
        <f t="shared" si="123"/>
        <v>0</v>
      </c>
      <c r="AL23" s="59">
        <f t="shared" si="123"/>
        <v>0</v>
      </c>
      <c r="AM23" s="59">
        <f t="shared" si="123"/>
        <v>0</v>
      </c>
      <c r="AN23" s="59">
        <f t="shared" si="123"/>
        <v>0</v>
      </c>
      <c r="AO23" s="59">
        <f t="shared" si="123"/>
        <v>0</v>
      </c>
      <c r="AP23" s="375">
        <f>IFERROR(AP14/AH14-1,0)</f>
        <v>0</v>
      </c>
      <c r="AQ23" s="59">
        <f>IFERROR(AQ14/AI14-1,0)</f>
        <v>0</v>
      </c>
      <c r="AR23" s="59">
        <f>IFERROR(AR14/AJ14-1,0)</f>
        <v>0</v>
      </c>
      <c r="AS23" s="59">
        <f>IFERROR(AS14/AK14-1,0)</f>
        <v>0</v>
      </c>
      <c r="AT23" s="59">
        <f>IFERROR(AM14/AL14-1,0)</f>
        <v>0</v>
      </c>
      <c r="AU23" s="59">
        <f t="shared" ref="AU23:BA23" si="124">IFERROR(AU14/AM14-1,0)</f>
        <v>0</v>
      </c>
      <c r="AV23" s="59">
        <f t="shared" si="124"/>
        <v>0</v>
      </c>
      <c r="AW23" s="59">
        <f t="shared" si="124"/>
        <v>0</v>
      </c>
      <c r="AX23" s="375">
        <f t="shared" si="124"/>
        <v>0</v>
      </c>
      <c r="AY23" s="59">
        <f t="shared" si="124"/>
        <v>0</v>
      </c>
      <c r="AZ23" s="59">
        <f t="shared" si="124"/>
        <v>0</v>
      </c>
      <c r="BA23" s="59">
        <f t="shared" si="124"/>
        <v>0</v>
      </c>
      <c r="BB23" s="59">
        <f>IFERROR(BB14/AM14-1,0)</f>
        <v>0</v>
      </c>
      <c r="BC23" s="59">
        <f>IFERROR(BC14/AU14-1,0)</f>
        <v>0</v>
      </c>
      <c r="BD23" s="59">
        <f>IFERROR(BD14/AV14-1,0)</f>
        <v>0</v>
      </c>
      <c r="BE23" s="59">
        <f>IFERROR(BE14/AW14-1,0)</f>
        <v>0</v>
      </c>
      <c r="BF23" s="375"/>
      <c r="BG23" s="118"/>
      <c r="BH23" s="118"/>
      <c r="BI23" s="118"/>
      <c r="BJ23" s="118"/>
      <c r="BK23" s="118"/>
      <c r="BL23" s="118"/>
      <c r="BM23" s="59"/>
      <c r="BN23" s="375">
        <f>IFERROR(BN14/AX14-1,0)</f>
        <v>0</v>
      </c>
      <c r="BO23" s="59">
        <f>IFERROR(BO14/AY14-1,0)</f>
        <v>0</v>
      </c>
      <c r="BP23" s="59">
        <f>IFERROR(BP14/AZ14-1,0)</f>
        <v>0</v>
      </c>
      <c r="BQ23" s="59">
        <f>IFERROR(BQ14/BA14-1,0)</f>
        <v>0</v>
      </c>
      <c r="BR23" s="59">
        <f>IFERROR(BR14/AU14-1,0)</f>
        <v>0</v>
      </c>
      <c r="BS23" s="59">
        <f>IFERROR(BS14/BC14-1,0)</f>
        <v>0</v>
      </c>
      <c r="BT23" s="59">
        <f>IFERROR(BT14/BD14-1,0)</f>
        <v>0</v>
      </c>
      <c r="BU23" s="59">
        <f>IFERROR(BU14/BE14-1,0)</f>
        <v>0</v>
      </c>
      <c r="BV23" s="375">
        <f>IFERROR(BV14/BN14-1,0)</f>
        <v>0</v>
      </c>
      <c r="BW23" s="59">
        <f>IFERROR(BW14/BO14-1,0)</f>
        <v>0</v>
      </c>
      <c r="BX23" s="59">
        <f>IFERROR(BX14/BP14-1,0)</f>
        <v>0</v>
      </c>
      <c r="BY23" s="59">
        <f>IFERROR(BY14/BQ14-1,0)</f>
        <v>0</v>
      </c>
      <c r="BZ23" s="59">
        <f>IFERROR(BZ14/BC14-1,0)</f>
        <v>0</v>
      </c>
      <c r="CA23" s="59">
        <f t="shared" ref="CA23:CG23" si="125">IFERROR(CA14/BS14-1,0)</f>
        <v>0</v>
      </c>
      <c r="CB23" s="59">
        <f t="shared" si="125"/>
        <v>0</v>
      </c>
      <c r="CC23" s="59">
        <f t="shared" si="125"/>
        <v>0</v>
      </c>
      <c r="CD23" s="375">
        <f t="shared" si="125"/>
        <v>0</v>
      </c>
      <c r="CE23" s="59">
        <f t="shared" si="125"/>
        <v>0</v>
      </c>
      <c r="CF23" s="59">
        <f t="shared" si="125"/>
        <v>0</v>
      </c>
      <c r="CG23" s="59">
        <f t="shared" si="125"/>
        <v>0</v>
      </c>
      <c r="CH23" s="59">
        <f>IFERROR(CH14/BS14-1,0)</f>
        <v>0</v>
      </c>
      <c r="CI23" s="59">
        <f>IFERROR(CI14/CA14-1,0)</f>
        <v>0</v>
      </c>
      <c r="CJ23" s="59">
        <f>IFERROR(CJ14/CB14-1,0)</f>
        <v>0</v>
      </c>
      <c r="CK23" s="59">
        <f>IFERROR(CK14/CC14-1,0)</f>
        <v>0</v>
      </c>
      <c r="CL23" s="375"/>
      <c r="CM23" s="59"/>
      <c r="CN23" s="118"/>
      <c r="CO23" s="118"/>
      <c r="CP23" s="118"/>
      <c r="CQ23" s="118"/>
      <c r="CR23" s="118"/>
      <c r="CS23" s="59">
        <f>IFERROR(CS14/CK14-1,0)</f>
        <v>0</v>
      </c>
      <c r="CT23" s="375"/>
      <c r="CU23" s="118"/>
      <c r="CV23" s="118"/>
      <c r="CW23" s="118"/>
      <c r="CX23" s="118"/>
      <c r="CY23" s="118"/>
      <c r="CZ23" s="118"/>
      <c r="DA23" s="59">
        <f>IFERROR(DA14/CS14-1,0)</f>
        <v>0</v>
      </c>
      <c r="DB23" s="375"/>
      <c r="DC23" s="118"/>
      <c r="DD23" s="118"/>
      <c r="DE23" s="118"/>
      <c r="DF23" s="118"/>
      <c r="DG23" s="118"/>
      <c r="DH23" s="118"/>
      <c r="DI23" s="59">
        <f>IFERROR(DI14/DA14-1,0)</f>
        <v>0</v>
      </c>
      <c r="DJ23" s="375"/>
      <c r="DK23" s="118"/>
      <c r="DL23" s="118"/>
      <c r="DM23" s="118"/>
      <c r="DN23" s="118"/>
      <c r="DO23" s="118"/>
      <c r="DP23" s="118"/>
      <c r="DQ23" s="59">
        <f>IFERROR(DQ14/DI14-1,0)</f>
        <v>0</v>
      </c>
      <c r="DR23" s="375"/>
      <c r="DS23" s="118"/>
      <c r="DT23" s="118"/>
      <c r="DU23" s="118"/>
      <c r="DV23" s="118"/>
      <c r="DW23" s="118"/>
      <c r="DX23" s="118"/>
      <c r="DY23" s="59"/>
      <c r="DZ23" s="375"/>
      <c r="EA23" s="118"/>
      <c r="EB23" s="118"/>
      <c r="EC23" s="118"/>
      <c r="ED23" s="118"/>
      <c r="EE23" s="118"/>
      <c r="EF23" s="118"/>
      <c r="EG23" s="60"/>
      <c r="EH23" s="406"/>
    </row>
    <row r="24" spans="1:138" hidden="1" outlineLevel="1">
      <c r="A24" s="1"/>
      <c r="B24" s="45"/>
      <c r="C24" s="46"/>
      <c r="D24" s="46"/>
      <c r="E24" s="46"/>
      <c r="F24" s="46"/>
      <c r="G24" s="46"/>
      <c r="H24" s="46"/>
      <c r="I24" s="46"/>
      <c r="J24" s="371"/>
      <c r="K24" s="46"/>
      <c r="L24" s="46"/>
      <c r="M24" s="46"/>
      <c r="N24" s="46"/>
      <c r="O24" s="46"/>
      <c r="P24" s="46"/>
      <c r="Q24" s="46"/>
      <c r="R24" s="371"/>
      <c r="S24" s="46"/>
      <c r="T24" s="46"/>
      <c r="U24" s="46"/>
      <c r="V24" s="46"/>
      <c r="W24" s="46"/>
      <c r="X24" s="46"/>
      <c r="Y24" s="46"/>
      <c r="Z24" s="371"/>
      <c r="AA24" s="46"/>
      <c r="AB24" s="46"/>
      <c r="AC24" s="46"/>
      <c r="AD24" s="46"/>
      <c r="AE24" s="46"/>
      <c r="AF24" s="46"/>
      <c r="AG24" s="46"/>
      <c r="AH24" s="371"/>
      <c r="AI24" s="46"/>
      <c r="AJ24" s="46"/>
      <c r="AK24" s="46"/>
      <c r="AL24" s="46"/>
      <c r="AM24" s="46"/>
      <c r="AN24" s="46"/>
      <c r="AO24" s="46"/>
      <c r="AP24" s="371"/>
      <c r="AQ24" s="46"/>
      <c r="AR24" s="46"/>
      <c r="AS24" s="46"/>
      <c r="AT24" s="46"/>
      <c r="AU24" s="46"/>
      <c r="AV24" s="46"/>
      <c r="AW24" s="46"/>
      <c r="AX24" s="371"/>
      <c r="AY24" s="46"/>
      <c r="AZ24" s="46"/>
      <c r="BA24" s="46"/>
      <c r="BB24" s="46"/>
      <c r="BC24" s="46"/>
      <c r="BD24" s="46"/>
      <c r="BE24" s="46"/>
      <c r="BF24" s="371"/>
      <c r="BG24" s="46"/>
      <c r="BH24" s="46"/>
      <c r="BI24" s="46"/>
      <c r="BJ24" s="46"/>
      <c r="BK24" s="46"/>
      <c r="BL24" s="46"/>
      <c r="BM24" s="46"/>
      <c r="BN24" s="371"/>
      <c r="BO24" s="46"/>
      <c r="BP24" s="46"/>
      <c r="BQ24" s="46"/>
      <c r="BR24" s="46"/>
      <c r="BS24" s="46"/>
      <c r="BT24" s="46"/>
      <c r="BU24" s="46"/>
      <c r="BV24" s="371"/>
      <c r="BW24" s="46"/>
      <c r="BX24" s="46"/>
      <c r="BY24" s="46"/>
      <c r="BZ24" s="46"/>
      <c r="CA24" s="46"/>
      <c r="CB24" s="46"/>
      <c r="CC24" s="46"/>
      <c r="CD24" s="371"/>
      <c r="CE24" s="46"/>
      <c r="CF24" s="46"/>
      <c r="CG24" s="46"/>
      <c r="CH24" s="46"/>
      <c r="CI24" s="46"/>
      <c r="CJ24" s="46"/>
      <c r="CK24" s="46"/>
      <c r="CL24" s="371"/>
      <c r="CM24" s="46"/>
      <c r="CN24" s="46"/>
      <c r="CO24" s="46"/>
      <c r="CP24" s="46"/>
      <c r="CQ24" s="46"/>
      <c r="CR24" s="46"/>
      <c r="CS24" s="46"/>
      <c r="CT24" s="371"/>
      <c r="CU24" s="46"/>
      <c r="CV24" s="46"/>
      <c r="CW24" s="46"/>
      <c r="CX24" s="46"/>
      <c r="CY24" s="46"/>
      <c r="CZ24" s="46"/>
      <c r="DA24" s="46"/>
      <c r="DB24" s="371"/>
      <c r="DC24" s="46"/>
      <c r="DD24" s="46"/>
      <c r="DE24" s="46"/>
      <c r="DF24" s="46"/>
      <c r="DG24" s="46"/>
      <c r="DH24" s="46"/>
      <c r="DI24" s="46"/>
      <c r="DJ24" s="371"/>
      <c r="DK24" s="46"/>
      <c r="DL24" s="46"/>
      <c r="DM24" s="46"/>
      <c r="DN24" s="46"/>
      <c r="DO24" s="46"/>
      <c r="DP24" s="46"/>
      <c r="DQ24" s="46"/>
      <c r="DR24" s="371"/>
      <c r="DS24" s="46"/>
      <c r="DT24" s="46"/>
      <c r="DU24" s="46"/>
      <c r="DV24" s="46"/>
      <c r="DW24" s="46"/>
      <c r="DX24" s="46"/>
      <c r="DY24" s="46"/>
      <c r="DZ24" s="371"/>
      <c r="EA24" s="46"/>
      <c r="EB24" s="46"/>
      <c r="EC24" s="46"/>
      <c r="ED24" s="46"/>
      <c r="EE24" s="46"/>
      <c r="EF24" s="46"/>
      <c r="EG24" s="47"/>
      <c r="EH24" s="406"/>
    </row>
    <row r="25" spans="1:138" hidden="1" outlineLevel="1">
      <c r="A25" s="12" t="s">
        <v>415</v>
      </c>
      <c r="B25" s="45"/>
      <c r="C25" s="46"/>
      <c r="D25" s="46"/>
      <c r="E25" s="46"/>
      <c r="F25" s="46"/>
      <c r="G25" s="46"/>
      <c r="H25" s="46"/>
      <c r="I25" s="46"/>
      <c r="J25" s="371"/>
      <c r="K25" s="46"/>
      <c r="L25" s="46"/>
      <c r="M25" s="46"/>
      <c r="N25" s="46"/>
      <c r="O25" s="46"/>
      <c r="P25" s="46"/>
      <c r="Q25" s="46"/>
      <c r="R25" s="371"/>
      <c r="S25" s="46"/>
      <c r="T25" s="46"/>
      <c r="U25" s="46"/>
      <c r="V25" s="46"/>
      <c r="W25" s="46"/>
      <c r="X25" s="46"/>
      <c r="Y25" s="46"/>
      <c r="Z25" s="371"/>
      <c r="AA25" s="46"/>
      <c r="AB25" s="46"/>
      <c r="AC25" s="46"/>
      <c r="AD25" s="46"/>
      <c r="AE25" s="46"/>
      <c r="AF25" s="46"/>
      <c r="AG25" s="46"/>
      <c r="AH25" s="371"/>
      <c r="AI25" s="46"/>
      <c r="AJ25" s="46"/>
      <c r="AK25" s="46"/>
      <c r="AL25" s="46"/>
      <c r="AM25" s="46"/>
      <c r="AN25" s="46"/>
      <c r="AO25" s="46"/>
      <c r="AP25" s="371"/>
      <c r="AQ25" s="46"/>
      <c r="AR25" s="46"/>
      <c r="AS25" s="46"/>
      <c r="AT25" s="46"/>
      <c r="AU25" s="46"/>
      <c r="AV25" s="46"/>
      <c r="AW25" s="46"/>
      <c r="AX25" s="371"/>
      <c r="AY25" s="46"/>
      <c r="AZ25" s="46"/>
      <c r="BA25" s="46"/>
      <c r="BB25" s="46"/>
      <c r="BC25" s="46"/>
      <c r="BD25" s="46"/>
      <c r="BE25" s="46"/>
      <c r="BF25" s="371"/>
      <c r="BG25" s="46"/>
      <c r="BH25" s="46"/>
      <c r="BI25" s="46"/>
      <c r="BJ25" s="46"/>
      <c r="BK25" s="46"/>
      <c r="BL25" s="46"/>
      <c r="BM25" s="46"/>
      <c r="BN25" s="371"/>
      <c r="BO25" s="46"/>
      <c r="BP25" s="46"/>
      <c r="BQ25" s="46"/>
      <c r="BR25" s="46"/>
      <c r="BS25" s="46"/>
      <c r="BT25" s="46"/>
      <c r="BU25" s="46"/>
      <c r="BV25" s="371"/>
      <c r="BW25" s="46"/>
      <c r="BX25" s="46"/>
      <c r="BY25" s="46"/>
      <c r="BZ25" s="46"/>
      <c r="CA25" s="46"/>
      <c r="CB25" s="46"/>
      <c r="CC25" s="46"/>
      <c r="CD25" s="371"/>
      <c r="CE25" s="46"/>
      <c r="CF25" s="46"/>
      <c r="CG25" s="46"/>
      <c r="CH25" s="46"/>
      <c r="CI25" s="46"/>
      <c r="CJ25" s="46"/>
      <c r="CK25" s="46"/>
      <c r="CL25" s="371"/>
      <c r="CM25" s="46"/>
      <c r="CN25" s="46"/>
      <c r="CO25" s="46"/>
      <c r="CP25" s="46"/>
      <c r="CQ25" s="46"/>
      <c r="CR25" s="46"/>
      <c r="CS25" s="46"/>
      <c r="CT25" s="371"/>
      <c r="CU25" s="46"/>
      <c r="CV25" s="46"/>
      <c r="CW25" s="46"/>
      <c r="CX25" s="46"/>
      <c r="CY25" s="46"/>
      <c r="CZ25" s="46"/>
      <c r="DA25" s="46"/>
      <c r="DB25" s="371"/>
      <c r="DC25" s="46"/>
      <c r="DD25" s="46"/>
      <c r="DE25" s="46"/>
      <c r="DF25" s="46"/>
      <c r="DG25" s="46"/>
      <c r="DH25" s="46"/>
      <c r="DI25" s="46"/>
      <c r="DJ25" s="371"/>
      <c r="DK25" s="46"/>
      <c r="DL25" s="46"/>
      <c r="DM25" s="46"/>
      <c r="DN25" s="46"/>
      <c r="DO25" s="46"/>
      <c r="DP25" s="46"/>
      <c r="DQ25" s="46"/>
      <c r="DR25" s="371"/>
      <c r="DS25" s="46"/>
      <c r="DT25" s="46"/>
      <c r="DU25" s="46"/>
      <c r="DV25" s="46"/>
      <c r="DW25" s="46"/>
      <c r="DX25" s="46"/>
      <c r="DY25" s="46"/>
      <c r="DZ25" s="371"/>
      <c r="EA25" s="46"/>
      <c r="EB25" s="46"/>
      <c r="EC25" s="46"/>
      <c r="ED25" s="46"/>
      <c r="EE25" s="46"/>
      <c r="EF25" s="46"/>
      <c r="EG25" s="47"/>
      <c r="EH25" s="406"/>
    </row>
    <row r="26" spans="1:138" hidden="1" outlineLevel="1">
      <c r="A26" s="12" t="s">
        <v>247</v>
      </c>
      <c r="B26" s="238">
        <v>115</v>
      </c>
      <c r="C26" s="46">
        <f t="shared" ref="C26:E33" si="126">D26-B26</f>
        <v>87</v>
      </c>
      <c r="D26" s="239">
        <v>202</v>
      </c>
      <c r="E26" s="46">
        <f>F26-D26</f>
        <v>93</v>
      </c>
      <c r="F26" s="239">
        <v>295</v>
      </c>
      <c r="G26" s="46" t="e">
        <f>I26-F26</f>
        <v>#REF!</v>
      </c>
      <c r="H26" s="46" t="e">
        <f>G26+E26</f>
        <v>#REF!</v>
      </c>
      <c r="I26" s="46" t="e">
        <f>'Income Statement'!#REF!</f>
        <v>#REF!</v>
      </c>
      <c r="J26" s="396">
        <v>314</v>
      </c>
      <c r="K26" s="46">
        <f t="shared" ref="K26:K33" si="127">L26-J26</f>
        <v>516</v>
      </c>
      <c r="L26" s="239">
        <v>830</v>
      </c>
      <c r="M26" s="46">
        <f t="shared" ref="M26:M33" si="128">N26-L26</f>
        <v>348</v>
      </c>
      <c r="N26" s="239">
        <v>1178</v>
      </c>
      <c r="O26" s="46" t="e">
        <f>Q26-N26</f>
        <v>#REF!</v>
      </c>
      <c r="P26" s="46" t="e">
        <f>O26+M26</f>
        <v>#REF!</v>
      </c>
      <c r="Q26" s="62" t="e">
        <f>'Income Statement'!#REF!</f>
        <v>#REF!</v>
      </c>
      <c r="R26" s="396">
        <v>601</v>
      </c>
      <c r="S26" s="46">
        <f t="shared" ref="S26:S33" si="129">M26-R26</f>
        <v>-253</v>
      </c>
      <c r="T26" s="239">
        <v>1229</v>
      </c>
      <c r="U26" s="46">
        <f t="shared" ref="U26:U33" si="130">V26-M26</f>
        <v>1343</v>
      </c>
      <c r="V26" s="239">
        <v>1691</v>
      </c>
      <c r="W26" s="48" t="e">
        <f>Y26-V26</f>
        <v>#REF!</v>
      </c>
      <c r="X26" s="48" t="e">
        <f>W26+U26</f>
        <v>#REF!</v>
      </c>
      <c r="Y26" s="62" t="e">
        <f>'Income Statement'!#REF!</f>
        <v>#REF!</v>
      </c>
      <c r="Z26" s="396"/>
      <c r="AA26" s="46">
        <f t="shared" ref="AA26:AA33" si="131">AB26-Z26</f>
        <v>0</v>
      </c>
      <c r="AB26" s="239"/>
      <c r="AC26" s="46">
        <f t="shared" ref="AC26:AC33" si="132">AD26-AB26</f>
        <v>0</v>
      </c>
      <c r="AD26" s="239"/>
      <c r="AE26" s="48">
        <f>AG26-AD26</f>
        <v>2529</v>
      </c>
      <c r="AF26" s="48">
        <f>AE26+AC26</f>
        <v>2529</v>
      </c>
      <c r="AG26" s="62">
        <f>'Income Statement'!J27</f>
        <v>2529</v>
      </c>
      <c r="AH26" s="396"/>
      <c r="AI26" s="46">
        <f t="shared" ref="AI26:AI33" si="133">AJ26-AH26</f>
        <v>0</v>
      </c>
      <c r="AJ26" s="239"/>
      <c r="AK26" s="46">
        <f t="shared" ref="AK26:AK33" si="134">AL26-AJ26</f>
        <v>0</v>
      </c>
      <c r="AL26" s="239"/>
      <c r="AM26" s="48">
        <f>AO26-AL26</f>
        <v>4600</v>
      </c>
      <c r="AN26" s="48">
        <f>AM26+AK26</f>
        <v>4600</v>
      </c>
      <c r="AO26" s="62">
        <f>'Income Statement'!R27</f>
        <v>4600</v>
      </c>
      <c r="AP26" s="396"/>
      <c r="AQ26" s="46">
        <f t="shared" ref="AQ26:AQ33" si="135">AR26-AP26</f>
        <v>0</v>
      </c>
      <c r="AR26" s="239"/>
      <c r="AS26" s="48">
        <f t="shared" ref="AS26:AS33" si="136">AM26-AR26</f>
        <v>4600</v>
      </c>
      <c r="AT26" s="239"/>
      <c r="AU26" s="48">
        <f t="shared" ref="AU26:AU33" si="137">AW26-AM26</f>
        <v>-4600</v>
      </c>
      <c r="AV26" s="48">
        <f>AU26+AS26</f>
        <v>0</v>
      </c>
      <c r="AW26" s="62">
        <f>'Income Statement'!AF27</f>
        <v>0</v>
      </c>
      <c r="AX26" s="396"/>
      <c r="AY26" s="46">
        <f t="shared" ref="AY26:AY33" si="138">AZ26-AX26</f>
        <v>0</v>
      </c>
      <c r="AZ26" s="239"/>
      <c r="BA26" s="46">
        <f t="shared" ref="BA26:BA33" si="139">BB26-AZ26</f>
        <v>0</v>
      </c>
      <c r="BB26" s="239"/>
      <c r="BC26" s="48">
        <f>BE26-BB26</f>
        <v>0</v>
      </c>
      <c r="BD26" s="48">
        <f>BC26+BA26</f>
        <v>0</v>
      </c>
      <c r="BE26" s="62">
        <f>'Income Statement'!AN27</f>
        <v>0</v>
      </c>
      <c r="BF26" s="372"/>
      <c r="BG26" s="62"/>
      <c r="BH26" s="62"/>
      <c r="BI26" s="62"/>
      <c r="BJ26" s="62"/>
      <c r="BK26" s="62"/>
      <c r="BL26" s="62"/>
      <c r="BM26" s="62"/>
      <c r="BN26" s="396"/>
      <c r="BO26" s="46">
        <f t="shared" ref="BO26:BO33" si="140">BP26-BN26</f>
        <v>0</v>
      </c>
      <c r="BP26" s="239"/>
      <c r="BQ26" s="46">
        <f t="shared" ref="BQ26:BQ33" si="141">BR26-BP26</f>
        <v>0</v>
      </c>
      <c r="BR26" s="239"/>
      <c r="BS26" s="48">
        <f>BU26-BR26</f>
        <v>0</v>
      </c>
      <c r="BT26" s="48">
        <f>BS26+BQ26</f>
        <v>0</v>
      </c>
      <c r="BU26" s="62">
        <f>'Income Statement'!AV27</f>
        <v>0</v>
      </c>
      <c r="BV26" s="396"/>
      <c r="BW26" s="46">
        <f t="shared" ref="BW26:BW33" si="142">BX26-BV26</f>
        <v>0</v>
      </c>
      <c r="BX26" s="239"/>
      <c r="BY26" s="46">
        <f t="shared" ref="BY26:BY33" si="143">BZ26-BX26</f>
        <v>0</v>
      </c>
      <c r="BZ26" s="239"/>
      <c r="CA26" s="48">
        <f>CC26-BZ26</f>
        <v>0</v>
      </c>
      <c r="CB26" s="48">
        <f>CA26+BY26</f>
        <v>0</v>
      </c>
      <c r="CC26" s="62">
        <f>'Income Statement'!BD27</f>
        <v>0</v>
      </c>
      <c r="CD26" s="396"/>
      <c r="CE26" s="46">
        <f t="shared" ref="CE26:CE33" si="144">CF26-CD26</f>
        <v>0</v>
      </c>
      <c r="CF26" s="239"/>
      <c r="CG26" s="46">
        <f t="shared" ref="CG26:CG33" si="145">CH26-CF26</f>
        <v>0</v>
      </c>
      <c r="CH26" s="239"/>
      <c r="CI26" s="48">
        <f>CK26-CH26</f>
        <v>0</v>
      </c>
      <c r="CJ26" s="48">
        <f>CI26+CG26</f>
        <v>0</v>
      </c>
      <c r="CK26" s="62">
        <f>'Income Statement'!BL27</f>
        <v>0</v>
      </c>
      <c r="CL26" s="372"/>
      <c r="CM26" s="62"/>
      <c r="CN26" s="62"/>
      <c r="CO26" s="62"/>
      <c r="CP26" s="62"/>
      <c r="CQ26" s="62"/>
      <c r="CR26" s="62"/>
      <c r="CS26" s="62">
        <f>'Income Statement'!BT27</f>
        <v>0</v>
      </c>
      <c r="CT26" s="372"/>
      <c r="CU26" s="62"/>
      <c r="CV26" s="62"/>
      <c r="CW26" s="62"/>
      <c r="CX26" s="62"/>
      <c r="CY26" s="62"/>
      <c r="CZ26" s="62"/>
      <c r="DA26" s="62">
        <f>'Income Statement'!CB27</f>
        <v>0</v>
      </c>
      <c r="DB26" s="372"/>
      <c r="DC26" s="62"/>
      <c r="DD26" s="62"/>
      <c r="DE26" s="62"/>
      <c r="DF26" s="62"/>
      <c r="DG26" s="62"/>
      <c r="DH26" s="62"/>
      <c r="DI26" s="62">
        <f>'Income Statement'!CJ27</f>
        <v>0</v>
      </c>
      <c r="DJ26" s="372"/>
      <c r="DK26" s="62"/>
      <c r="DL26" s="62"/>
      <c r="DM26" s="62"/>
      <c r="DN26" s="62"/>
      <c r="DO26" s="62"/>
      <c r="DP26" s="62"/>
      <c r="DQ26" s="62">
        <f>'Income Statement'!CR27</f>
        <v>0</v>
      </c>
      <c r="DR26" s="372"/>
      <c r="DS26" s="62"/>
      <c r="DT26" s="62"/>
      <c r="DU26" s="62"/>
      <c r="DV26" s="62"/>
      <c r="DW26" s="62"/>
      <c r="DX26" s="62"/>
      <c r="DY26" s="62"/>
      <c r="DZ26" s="372"/>
      <c r="EA26" s="62"/>
      <c r="EB26" s="62"/>
      <c r="EC26" s="62"/>
      <c r="ED26" s="62"/>
      <c r="EE26" s="62"/>
      <c r="EF26" s="62"/>
      <c r="EG26" s="49"/>
      <c r="EH26" s="406"/>
    </row>
    <row r="27" spans="1:138" hidden="1" outlineLevel="1">
      <c r="A27" s="8" t="s">
        <v>201</v>
      </c>
      <c r="B27" s="238">
        <v>125</v>
      </c>
      <c r="C27" s="46">
        <f t="shared" si="126"/>
        <v>98</v>
      </c>
      <c r="D27" s="239">
        <v>223</v>
      </c>
      <c r="E27" s="46">
        <f t="shared" si="126"/>
        <v>83</v>
      </c>
      <c r="F27" s="239">
        <v>306</v>
      </c>
      <c r="G27" s="46">
        <f t="shared" ref="G27:G33" si="146">I27-F27</f>
        <v>179</v>
      </c>
      <c r="H27" s="46">
        <f>G27+E27</f>
        <v>262</v>
      </c>
      <c r="I27" s="46">
        <f>'Income Statement'!G27</f>
        <v>485</v>
      </c>
      <c r="J27" s="396">
        <v>277</v>
      </c>
      <c r="K27" s="46">
        <f t="shared" si="127"/>
        <v>563</v>
      </c>
      <c r="L27" s="239">
        <v>840</v>
      </c>
      <c r="M27" s="46">
        <f t="shared" si="128"/>
        <v>317</v>
      </c>
      <c r="N27" s="239">
        <v>1157</v>
      </c>
      <c r="O27" s="46">
        <f t="shared" ref="O27:O33" si="147">Q27-N27</f>
        <v>512</v>
      </c>
      <c r="P27" s="46">
        <f>O27+M27</f>
        <v>829</v>
      </c>
      <c r="Q27" s="46">
        <f>'Income Statement'!H27</f>
        <v>1669</v>
      </c>
      <c r="R27" s="396">
        <v>608</v>
      </c>
      <c r="S27" s="46">
        <f t="shared" si="129"/>
        <v>-291</v>
      </c>
      <c r="T27" s="239">
        <v>1228</v>
      </c>
      <c r="U27" s="46">
        <f t="shared" si="130"/>
        <v>1393</v>
      </c>
      <c r="V27" s="239">
        <v>1710</v>
      </c>
      <c r="W27" s="48">
        <f t="shared" ref="W27:W33" si="148">Y27-V27</f>
        <v>506</v>
      </c>
      <c r="X27" s="48">
        <f>W27+U27</f>
        <v>1899</v>
      </c>
      <c r="Y27" s="62">
        <f>'Income Statement'!I27</f>
        <v>2216</v>
      </c>
      <c r="Z27" s="396"/>
      <c r="AA27" s="46">
        <f t="shared" si="131"/>
        <v>0</v>
      </c>
      <c r="AB27" s="239"/>
      <c r="AC27" s="46">
        <f t="shared" si="132"/>
        <v>0</v>
      </c>
      <c r="AD27" s="239"/>
      <c r="AE27" s="48">
        <f t="shared" ref="AE27:AE33" si="149">AG27-AD27</f>
        <v>2529</v>
      </c>
      <c r="AF27" s="48">
        <f>AE27+AC27</f>
        <v>2529</v>
      </c>
      <c r="AG27" s="62">
        <f>'Income Statement'!J27</f>
        <v>2529</v>
      </c>
      <c r="AH27" s="396"/>
      <c r="AI27" s="46">
        <f t="shared" si="133"/>
        <v>0</v>
      </c>
      <c r="AJ27" s="239"/>
      <c r="AK27" s="46">
        <f t="shared" si="134"/>
        <v>0</v>
      </c>
      <c r="AL27" s="239"/>
      <c r="AM27" s="48">
        <f t="shared" ref="AM27:AM33" si="150">AO27-AL27</f>
        <v>4600</v>
      </c>
      <c r="AN27" s="48">
        <f>AM27+AK27</f>
        <v>4600</v>
      </c>
      <c r="AO27" s="62">
        <f>'Income Statement'!R27</f>
        <v>4600</v>
      </c>
      <c r="AP27" s="396"/>
      <c r="AQ27" s="46">
        <f t="shared" si="135"/>
        <v>0</v>
      </c>
      <c r="AR27" s="239"/>
      <c r="AS27" s="48">
        <f t="shared" si="136"/>
        <v>4600</v>
      </c>
      <c r="AT27" s="239"/>
      <c r="AU27" s="48">
        <f t="shared" si="137"/>
        <v>-4600</v>
      </c>
      <c r="AV27" s="48">
        <f>AU27+AS27</f>
        <v>0</v>
      </c>
      <c r="AW27" s="62">
        <f>'Income Statement'!AF27</f>
        <v>0</v>
      </c>
      <c r="AX27" s="396"/>
      <c r="AY27" s="46">
        <f t="shared" si="138"/>
        <v>0</v>
      </c>
      <c r="AZ27" s="239"/>
      <c r="BA27" s="46">
        <f t="shared" si="139"/>
        <v>0</v>
      </c>
      <c r="BB27" s="239"/>
      <c r="BC27" s="48">
        <f t="shared" ref="BC27:BC33" si="151">BE27-BB27</f>
        <v>0</v>
      </c>
      <c r="BD27" s="48">
        <f>BC27+BA27</f>
        <v>0</v>
      </c>
      <c r="BE27" s="62">
        <f>'Income Statement'!AN27</f>
        <v>0</v>
      </c>
      <c r="BF27" s="372"/>
      <c r="BG27" s="62"/>
      <c r="BH27" s="62"/>
      <c r="BI27" s="62"/>
      <c r="BJ27" s="62"/>
      <c r="BK27" s="62"/>
      <c r="BL27" s="62"/>
      <c r="BM27" s="62"/>
      <c r="BN27" s="396"/>
      <c r="BO27" s="46">
        <f t="shared" si="140"/>
        <v>0</v>
      </c>
      <c r="BP27" s="239"/>
      <c r="BQ27" s="46">
        <f t="shared" si="141"/>
        <v>0</v>
      </c>
      <c r="BR27" s="239"/>
      <c r="BS27" s="48">
        <f t="shared" ref="BS27:BS33" si="152">BU27-BR27</f>
        <v>0</v>
      </c>
      <c r="BT27" s="48">
        <f>BS27+BQ27</f>
        <v>0</v>
      </c>
      <c r="BU27" s="62">
        <f>'Income Statement'!AV27</f>
        <v>0</v>
      </c>
      <c r="BV27" s="396"/>
      <c r="BW27" s="46">
        <f t="shared" si="142"/>
        <v>0</v>
      </c>
      <c r="BX27" s="239"/>
      <c r="BY27" s="46">
        <f t="shared" si="143"/>
        <v>0</v>
      </c>
      <c r="BZ27" s="239"/>
      <c r="CA27" s="48">
        <f t="shared" ref="CA27:CA33" si="153">CC27-BZ27</f>
        <v>0</v>
      </c>
      <c r="CB27" s="48">
        <f>CA27+BY27</f>
        <v>0</v>
      </c>
      <c r="CC27" s="62">
        <f>'Income Statement'!BD27</f>
        <v>0</v>
      </c>
      <c r="CD27" s="396"/>
      <c r="CE27" s="46">
        <f t="shared" si="144"/>
        <v>0</v>
      </c>
      <c r="CF27" s="239"/>
      <c r="CG27" s="46">
        <f t="shared" si="145"/>
        <v>0</v>
      </c>
      <c r="CH27" s="239"/>
      <c r="CI27" s="48">
        <f t="shared" ref="CI27:CI33" si="154">CK27-CH27</f>
        <v>0</v>
      </c>
      <c r="CJ27" s="48">
        <f>CI27+CG27</f>
        <v>0</v>
      </c>
      <c r="CK27" s="62">
        <f>'Income Statement'!BL27</f>
        <v>0</v>
      </c>
      <c r="CL27" s="372"/>
      <c r="CM27" s="62"/>
      <c r="CN27" s="62"/>
      <c r="CO27" s="62"/>
      <c r="CP27" s="62"/>
      <c r="CQ27" s="62"/>
      <c r="CR27" s="62"/>
      <c r="CS27" s="62">
        <f>'Income Statement'!BT27</f>
        <v>0</v>
      </c>
      <c r="CT27" s="372"/>
      <c r="CU27" s="62"/>
      <c r="CV27" s="62"/>
      <c r="CW27" s="62"/>
      <c r="CX27" s="62"/>
      <c r="CY27" s="62"/>
      <c r="CZ27" s="62"/>
      <c r="DA27" s="62">
        <f>'Income Statement'!CB27</f>
        <v>0</v>
      </c>
      <c r="DB27" s="372"/>
      <c r="DC27" s="62"/>
      <c r="DD27" s="62"/>
      <c r="DE27" s="62"/>
      <c r="DF27" s="62"/>
      <c r="DG27" s="62"/>
      <c r="DH27" s="62"/>
      <c r="DI27" s="62">
        <f>'Income Statement'!CJ27</f>
        <v>0</v>
      </c>
      <c r="DJ27" s="372"/>
      <c r="DK27" s="62"/>
      <c r="DL27" s="62"/>
      <c r="DM27" s="62"/>
      <c r="DN27" s="62"/>
      <c r="DO27" s="62"/>
      <c r="DP27" s="62"/>
      <c r="DQ27" s="62">
        <f>'Income Statement'!CR27</f>
        <v>0</v>
      </c>
      <c r="DR27" s="372"/>
      <c r="DS27" s="62"/>
      <c r="DT27" s="62"/>
      <c r="DU27" s="62"/>
      <c r="DV27" s="62"/>
      <c r="DW27" s="62"/>
      <c r="DX27" s="62"/>
      <c r="DY27" s="62"/>
      <c r="DZ27" s="372"/>
      <c r="EA27" s="62"/>
      <c r="EB27" s="62"/>
      <c r="EC27" s="62"/>
      <c r="ED27" s="62"/>
      <c r="EE27" s="62"/>
      <c r="EF27" s="62"/>
      <c r="EG27" s="49"/>
      <c r="EH27" s="406"/>
    </row>
    <row r="28" spans="1:138" hidden="1" outlineLevel="1">
      <c r="A28" s="8" t="s">
        <v>408</v>
      </c>
      <c r="B28" s="238">
        <v>1</v>
      </c>
      <c r="C28" s="46">
        <f t="shared" si="126"/>
        <v>2</v>
      </c>
      <c r="D28" s="239">
        <v>3</v>
      </c>
      <c r="E28" s="46">
        <f t="shared" si="126"/>
        <v>2</v>
      </c>
      <c r="F28" s="239">
        <v>5</v>
      </c>
      <c r="G28" s="46" t="e">
        <f t="shared" si="146"/>
        <v>#REF!</v>
      </c>
      <c r="H28" s="46" t="e">
        <f t="shared" ref="H28:H34" si="155">G28+E28</f>
        <v>#REF!</v>
      </c>
      <c r="I28" s="46" t="e">
        <f>'Income Statement'!#REF!</f>
        <v>#REF!</v>
      </c>
      <c r="J28" s="396">
        <v>11</v>
      </c>
      <c r="K28" s="46">
        <f t="shared" si="127"/>
        <v>-9</v>
      </c>
      <c r="L28" s="239">
        <v>2</v>
      </c>
      <c r="M28" s="46">
        <f t="shared" si="128"/>
        <v>6</v>
      </c>
      <c r="N28" s="239">
        <v>8</v>
      </c>
      <c r="O28" s="46" t="e">
        <f t="shared" si="147"/>
        <v>#REF!</v>
      </c>
      <c r="P28" s="46" t="e">
        <f t="shared" ref="P28:P33" si="156">O28+M28</f>
        <v>#REF!</v>
      </c>
      <c r="Q28" s="46" t="e">
        <f>'Income Statement'!#REF!</f>
        <v>#REF!</v>
      </c>
      <c r="R28" s="396">
        <v>15</v>
      </c>
      <c r="S28" s="46">
        <f t="shared" si="129"/>
        <v>-9</v>
      </c>
      <c r="T28" s="239">
        <v>10</v>
      </c>
      <c r="U28" s="46">
        <f t="shared" si="130"/>
        <v>2</v>
      </c>
      <c r="V28" s="239">
        <v>8</v>
      </c>
      <c r="W28" s="48" t="e">
        <f t="shared" si="148"/>
        <v>#REF!</v>
      </c>
      <c r="X28" s="48" t="e">
        <f t="shared" ref="X28:X33" si="157">W28+U28</f>
        <v>#REF!</v>
      </c>
      <c r="Y28" s="62" t="e">
        <f>'Income Statement'!#REF!</f>
        <v>#REF!</v>
      </c>
      <c r="Z28" s="396"/>
      <c r="AA28" s="46">
        <f t="shared" si="131"/>
        <v>0</v>
      </c>
      <c r="AB28" s="239"/>
      <c r="AC28" s="46">
        <f t="shared" si="132"/>
        <v>0</v>
      </c>
      <c r="AD28" s="239"/>
      <c r="AE28" s="48" t="e">
        <f t="shared" si="149"/>
        <v>#REF!</v>
      </c>
      <c r="AF28" s="48" t="e">
        <f t="shared" ref="AF28:AF33" si="158">AE28+AC28</f>
        <v>#REF!</v>
      </c>
      <c r="AG28" s="62" t="e">
        <f>'Income Statement'!#REF!</f>
        <v>#REF!</v>
      </c>
      <c r="AH28" s="396"/>
      <c r="AI28" s="46">
        <f t="shared" si="133"/>
        <v>0</v>
      </c>
      <c r="AJ28" s="239"/>
      <c r="AK28" s="46">
        <f t="shared" si="134"/>
        <v>0</v>
      </c>
      <c r="AL28" s="239"/>
      <c r="AM28" s="48" t="e">
        <f t="shared" si="150"/>
        <v>#REF!</v>
      </c>
      <c r="AN28" s="48" t="e">
        <f t="shared" ref="AN28:AN33" si="159">AM28+AK28</f>
        <v>#REF!</v>
      </c>
      <c r="AO28" s="62" t="e">
        <f>'Income Statement'!#REF!</f>
        <v>#REF!</v>
      </c>
      <c r="AP28" s="396"/>
      <c r="AQ28" s="46">
        <f t="shared" si="135"/>
        <v>0</v>
      </c>
      <c r="AR28" s="239"/>
      <c r="AS28" s="48" t="e">
        <f t="shared" si="136"/>
        <v>#REF!</v>
      </c>
      <c r="AT28" s="239"/>
      <c r="AU28" s="48" t="e">
        <f t="shared" si="137"/>
        <v>#REF!</v>
      </c>
      <c r="AV28" s="48" t="e">
        <f t="shared" ref="AV28:AV33" si="160">AU28+AS28</f>
        <v>#REF!</v>
      </c>
      <c r="AW28" s="62" t="e">
        <f>'Income Statement'!#REF!</f>
        <v>#REF!</v>
      </c>
      <c r="AX28" s="396"/>
      <c r="AY28" s="46">
        <f t="shared" si="138"/>
        <v>0</v>
      </c>
      <c r="AZ28" s="239"/>
      <c r="BA28" s="46">
        <f t="shared" si="139"/>
        <v>0</v>
      </c>
      <c r="BB28" s="239"/>
      <c r="BC28" s="48" t="e">
        <f t="shared" si="151"/>
        <v>#REF!</v>
      </c>
      <c r="BD28" s="48" t="e">
        <f t="shared" ref="BD28:BD33" si="161">BC28+BA28</f>
        <v>#REF!</v>
      </c>
      <c r="BE28" s="62" t="e">
        <f>'Income Statement'!#REF!</f>
        <v>#REF!</v>
      </c>
      <c r="BF28" s="372"/>
      <c r="BG28" s="62"/>
      <c r="BH28" s="62"/>
      <c r="BI28" s="62"/>
      <c r="BJ28" s="62"/>
      <c r="BK28" s="62"/>
      <c r="BL28" s="62"/>
      <c r="BM28" s="62"/>
      <c r="BN28" s="396"/>
      <c r="BO28" s="46">
        <f t="shared" si="140"/>
        <v>0</v>
      </c>
      <c r="BP28" s="239"/>
      <c r="BQ28" s="46">
        <f t="shared" si="141"/>
        <v>0</v>
      </c>
      <c r="BR28" s="239"/>
      <c r="BS28" s="48" t="e">
        <f t="shared" si="152"/>
        <v>#REF!</v>
      </c>
      <c r="BT28" s="48" t="e">
        <f t="shared" ref="BT28:BT33" si="162">BS28+BQ28</f>
        <v>#REF!</v>
      </c>
      <c r="BU28" s="62" t="e">
        <f>'Income Statement'!#REF!</f>
        <v>#REF!</v>
      </c>
      <c r="BV28" s="396"/>
      <c r="BW28" s="46">
        <f t="shared" si="142"/>
        <v>0</v>
      </c>
      <c r="BX28" s="239"/>
      <c r="BY28" s="46">
        <f t="shared" si="143"/>
        <v>0</v>
      </c>
      <c r="BZ28" s="239"/>
      <c r="CA28" s="48" t="e">
        <f t="shared" si="153"/>
        <v>#REF!</v>
      </c>
      <c r="CB28" s="48" t="e">
        <f t="shared" ref="CB28:CB33" si="163">CA28+BY28</f>
        <v>#REF!</v>
      </c>
      <c r="CC28" s="62" t="e">
        <f>'Income Statement'!#REF!</f>
        <v>#REF!</v>
      </c>
      <c r="CD28" s="396"/>
      <c r="CE28" s="46">
        <f t="shared" si="144"/>
        <v>0</v>
      </c>
      <c r="CF28" s="239"/>
      <c r="CG28" s="46">
        <f t="shared" si="145"/>
        <v>0</v>
      </c>
      <c r="CH28" s="239"/>
      <c r="CI28" s="48" t="e">
        <f t="shared" si="154"/>
        <v>#REF!</v>
      </c>
      <c r="CJ28" s="48" t="e">
        <f t="shared" ref="CJ28:CJ33" si="164">CI28+CG28</f>
        <v>#REF!</v>
      </c>
      <c r="CK28" s="62" t="e">
        <f>'Income Statement'!#REF!</f>
        <v>#REF!</v>
      </c>
      <c r="CL28" s="372"/>
      <c r="CM28" s="62"/>
      <c r="CN28" s="62"/>
      <c r="CO28" s="62"/>
      <c r="CP28" s="62"/>
      <c r="CQ28" s="62"/>
      <c r="CR28" s="62"/>
      <c r="CS28" s="62" t="e">
        <f>'Income Statement'!#REF!</f>
        <v>#REF!</v>
      </c>
      <c r="CT28" s="372"/>
      <c r="CU28" s="62"/>
      <c r="CV28" s="62"/>
      <c r="CW28" s="62"/>
      <c r="CX28" s="62"/>
      <c r="CY28" s="62"/>
      <c r="CZ28" s="62"/>
      <c r="DA28" s="62" t="e">
        <f>'Income Statement'!#REF!</f>
        <v>#REF!</v>
      </c>
      <c r="DB28" s="372"/>
      <c r="DC28" s="62"/>
      <c r="DD28" s="62"/>
      <c r="DE28" s="62"/>
      <c r="DF28" s="62"/>
      <c r="DG28" s="62"/>
      <c r="DH28" s="62"/>
      <c r="DI28" s="62" t="e">
        <f>'Income Statement'!#REF!</f>
        <v>#REF!</v>
      </c>
      <c r="DJ28" s="372"/>
      <c r="DK28" s="62"/>
      <c r="DL28" s="62"/>
      <c r="DM28" s="62"/>
      <c r="DN28" s="62"/>
      <c r="DO28" s="62"/>
      <c r="DP28" s="62"/>
      <c r="DQ28" s="62" t="e">
        <f>'Income Statement'!#REF!</f>
        <v>#REF!</v>
      </c>
      <c r="DR28" s="372"/>
      <c r="DS28" s="62"/>
      <c r="DT28" s="62"/>
      <c r="DU28" s="62"/>
      <c r="DV28" s="62"/>
      <c r="DW28" s="62"/>
      <c r="DX28" s="62"/>
      <c r="DY28" s="62"/>
      <c r="DZ28" s="372"/>
      <c r="EA28" s="62"/>
      <c r="EB28" s="62"/>
      <c r="EC28" s="62"/>
      <c r="ED28" s="62"/>
      <c r="EE28" s="62"/>
      <c r="EF28" s="62"/>
      <c r="EG28" s="49"/>
      <c r="EH28" s="406"/>
    </row>
    <row r="29" spans="1:138" hidden="1" outlineLevel="1">
      <c r="A29" s="1" t="s">
        <v>409</v>
      </c>
      <c r="B29" s="238">
        <v>31</v>
      </c>
      <c r="C29" s="46">
        <f t="shared" si="126"/>
        <v>63</v>
      </c>
      <c r="D29" s="239">
        <v>94</v>
      </c>
      <c r="E29" s="46">
        <f t="shared" si="126"/>
        <v>63</v>
      </c>
      <c r="F29" s="239">
        <v>157</v>
      </c>
      <c r="G29" s="46">
        <f t="shared" si="146"/>
        <v>102</v>
      </c>
      <c r="H29" s="46">
        <f t="shared" si="155"/>
        <v>165</v>
      </c>
      <c r="I29" s="46">
        <f>'Income Statement'!G28</f>
        <v>259</v>
      </c>
      <c r="J29" s="396">
        <v>64</v>
      </c>
      <c r="K29" s="46">
        <f t="shared" si="127"/>
        <v>134</v>
      </c>
      <c r="L29" s="239">
        <v>198</v>
      </c>
      <c r="M29" s="46">
        <f t="shared" si="128"/>
        <v>77</v>
      </c>
      <c r="N29" s="239">
        <v>275</v>
      </c>
      <c r="O29" s="46">
        <f t="shared" si="147"/>
        <v>34</v>
      </c>
      <c r="P29" s="46">
        <f t="shared" si="156"/>
        <v>111</v>
      </c>
      <c r="Q29" s="46">
        <f>'Income Statement'!H28</f>
        <v>309</v>
      </c>
      <c r="R29" s="396">
        <v>20</v>
      </c>
      <c r="S29" s="46">
        <f t="shared" si="129"/>
        <v>57</v>
      </c>
      <c r="T29" s="239">
        <v>128</v>
      </c>
      <c r="U29" s="46">
        <f t="shared" si="130"/>
        <v>140</v>
      </c>
      <c r="V29" s="239">
        <v>217</v>
      </c>
      <c r="W29" s="48">
        <f t="shared" si="148"/>
        <v>180</v>
      </c>
      <c r="X29" s="48">
        <f t="shared" si="157"/>
        <v>320</v>
      </c>
      <c r="Y29" s="62">
        <f>'Income Statement'!I28</f>
        <v>397</v>
      </c>
      <c r="Z29" s="396"/>
      <c r="AA29" s="46">
        <f t="shared" si="131"/>
        <v>0</v>
      </c>
      <c r="AB29" s="239"/>
      <c r="AC29" s="46">
        <f t="shared" si="132"/>
        <v>0</v>
      </c>
      <c r="AD29" s="239"/>
      <c r="AE29" s="48">
        <f t="shared" si="149"/>
        <v>413</v>
      </c>
      <c r="AF29" s="48">
        <f t="shared" si="158"/>
        <v>413</v>
      </c>
      <c r="AG29" s="62">
        <f>'Income Statement'!J28</f>
        <v>413</v>
      </c>
      <c r="AH29" s="396"/>
      <c r="AI29" s="46">
        <f t="shared" si="133"/>
        <v>0</v>
      </c>
      <c r="AJ29" s="239"/>
      <c r="AK29" s="46">
        <f t="shared" si="134"/>
        <v>0</v>
      </c>
      <c r="AL29" s="239"/>
      <c r="AM29" s="48">
        <f t="shared" si="150"/>
        <v>639</v>
      </c>
      <c r="AN29" s="48">
        <f t="shared" si="159"/>
        <v>639</v>
      </c>
      <c r="AO29" s="62">
        <f>'Income Statement'!R28</f>
        <v>639</v>
      </c>
      <c r="AP29" s="396"/>
      <c r="AQ29" s="46">
        <f t="shared" si="135"/>
        <v>0</v>
      </c>
      <c r="AR29" s="239"/>
      <c r="AS29" s="48">
        <f t="shared" si="136"/>
        <v>639</v>
      </c>
      <c r="AT29" s="239"/>
      <c r="AU29" s="48">
        <f t="shared" si="137"/>
        <v>-639</v>
      </c>
      <c r="AV29" s="48">
        <f t="shared" si="160"/>
        <v>0</v>
      </c>
      <c r="AW29" s="62">
        <f>'Income Statement'!AF28</f>
        <v>0</v>
      </c>
      <c r="AX29" s="396"/>
      <c r="AY29" s="46">
        <f t="shared" si="138"/>
        <v>0</v>
      </c>
      <c r="AZ29" s="239"/>
      <c r="BA29" s="46">
        <f t="shared" si="139"/>
        <v>0</v>
      </c>
      <c r="BB29" s="239"/>
      <c r="BC29" s="48">
        <f t="shared" si="151"/>
        <v>0</v>
      </c>
      <c r="BD29" s="48">
        <f t="shared" si="161"/>
        <v>0</v>
      </c>
      <c r="BE29" s="62">
        <f>'Income Statement'!AN28</f>
        <v>0</v>
      </c>
      <c r="BF29" s="372"/>
      <c r="BG29" s="62"/>
      <c r="BH29" s="62"/>
      <c r="BI29" s="62"/>
      <c r="BJ29" s="62"/>
      <c r="BK29" s="62"/>
      <c r="BL29" s="62"/>
      <c r="BM29" s="62"/>
      <c r="BN29" s="396"/>
      <c r="BO29" s="46">
        <f t="shared" si="140"/>
        <v>0</v>
      </c>
      <c r="BP29" s="239"/>
      <c r="BQ29" s="46">
        <f t="shared" si="141"/>
        <v>0</v>
      </c>
      <c r="BR29" s="239"/>
      <c r="BS29" s="48">
        <f t="shared" si="152"/>
        <v>0</v>
      </c>
      <c r="BT29" s="48">
        <f t="shared" si="162"/>
        <v>0</v>
      </c>
      <c r="BU29" s="62">
        <f>'Income Statement'!AV28</f>
        <v>0</v>
      </c>
      <c r="BV29" s="396"/>
      <c r="BW29" s="46">
        <f t="shared" si="142"/>
        <v>0</v>
      </c>
      <c r="BX29" s="239"/>
      <c r="BY29" s="46">
        <f t="shared" si="143"/>
        <v>0</v>
      </c>
      <c r="BZ29" s="239"/>
      <c r="CA29" s="48">
        <f t="shared" si="153"/>
        <v>0</v>
      </c>
      <c r="CB29" s="48">
        <f t="shared" si="163"/>
        <v>0</v>
      </c>
      <c r="CC29" s="62">
        <f>'Income Statement'!BD28</f>
        <v>0</v>
      </c>
      <c r="CD29" s="396"/>
      <c r="CE29" s="46">
        <f t="shared" si="144"/>
        <v>0</v>
      </c>
      <c r="CF29" s="239"/>
      <c r="CG29" s="46">
        <f t="shared" si="145"/>
        <v>0</v>
      </c>
      <c r="CH29" s="239"/>
      <c r="CI29" s="48">
        <f t="shared" si="154"/>
        <v>0</v>
      </c>
      <c r="CJ29" s="48">
        <f t="shared" si="164"/>
        <v>0</v>
      </c>
      <c r="CK29" s="62">
        <f>'Income Statement'!BL28</f>
        <v>0</v>
      </c>
      <c r="CL29" s="372"/>
      <c r="CM29" s="62"/>
      <c r="CN29" s="62"/>
      <c r="CO29" s="62"/>
      <c r="CP29" s="62"/>
      <c r="CQ29" s="62"/>
      <c r="CR29" s="62"/>
      <c r="CS29" s="62">
        <f>'Income Statement'!BT28</f>
        <v>0</v>
      </c>
      <c r="CT29" s="372"/>
      <c r="CU29" s="62"/>
      <c r="CV29" s="62"/>
      <c r="CW29" s="62"/>
      <c r="CX29" s="62"/>
      <c r="CY29" s="62"/>
      <c r="CZ29" s="62"/>
      <c r="DA29" s="62">
        <f>'Income Statement'!CB28</f>
        <v>0</v>
      </c>
      <c r="DB29" s="372"/>
      <c r="DC29" s="62"/>
      <c r="DD29" s="62"/>
      <c r="DE29" s="62"/>
      <c r="DF29" s="62"/>
      <c r="DG29" s="62"/>
      <c r="DH29" s="62"/>
      <c r="DI29" s="62">
        <f>'Income Statement'!CJ28</f>
        <v>0</v>
      </c>
      <c r="DJ29" s="372"/>
      <c r="DK29" s="62"/>
      <c r="DL29" s="62"/>
      <c r="DM29" s="62"/>
      <c r="DN29" s="62"/>
      <c r="DO29" s="62"/>
      <c r="DP29" s="62"/>
      <c r="DQ29" s="62">
        <f>'Income Statement'!CR28</f>
        <v>0</v>
      </c>
      <c r="DR29" s="372"/>
      <c r="DS29" s="62"/>
      <c r="DT29" s="62"/>
      <c r="DU29" s="62"/>
      <c r="DV29" s="62"/>
      <c r="DW29" s="62"/>
      <c r="DX29" s="62"/>
      <c r="DY29" s="62"/>
      <c r="DZ29" s="372"/>
      <c r="EA29" s="62"/>
      <c r="EB29" s="62"/>
      <c r="EC29" s="62"/>
      <c r="ED29" s="62"/>
      <c r="EE29" s="62"/>
      <c r="EF29" s="62"/>
      <c r="EG29" s="49"/>
      <c r="EH29" s="406"/>
    </row>
    <row r="30" spans="1:138" hidden="1" outlineLevel="1">
      <c r="A30" s="1" t="s">
        <v>410</v>
      </c>
      <c r="B30" s="238">
        <v>52</v>
      </c>
      <c r="C30" s="46">
        <f t="shared" si="126"/>
        <v>51</v>
      </c>
      <c r="D30" s="239">
        <v>103</v>
      </c>
      <c r="E30" s="46">
        <f t="shared" si="126"/>
        <v>62</v>
      </c>
      <c r="F30" s="239">
        <v>165</v>
      </c>
      <c r="G30" s="46" t="e">
        <f t="shared" si="146"/>
        <v>#REF!</v>
      </c>
      <c r="H30" s="46" t="e">
        <f t="shared" si="155"/>
        <v>#REF!</v>
      </c>
      <c r="I30" s="46" t="e">
        <f>'Income Statement'!#REF!</f>
        <v>#REF!</v>
      </c>
      <c r="J30" s="396">
        <v>65</v>
      </c>
      <c r="K30" s="46">
        <f t="shared" si="127"/>
        <v>64</v>
      </c>
      <c r="L30" s="239">
        <v>129</v>
      </c>
      <c r="M30" s="46">
        <f t="shared" si="128"/>
        <v>61</v>
      </c>
      <c r="N30" s="239">
        <v>190</v>
      </c>
      <c r="O30" s="46" t="e">
        <f t="shared" si="147"/>
        <v>#REF!</v>
      </c>
      <c r="P30" s="46" t="e">
        <f t="shared" si="156"/>
        <v>#REF!</v>
      </c>
      <c r="Q30" s="46" t="e">
        <f>'Income Statement'!#REF!</f>
        <v>#REF!</v>
      </c>
      <c r="R30" s="396">
        <v>66</v>
      </c>
      <c r="S30" s="46">
        <f t="shared" si="129"/>
        <v>-5</v>
      </c>
      <c r="T30" s="239">
        <v>123</v>
      </c>
      <c r="U30" s="46">
        <f t="shared" si="130"/>
        <v>144</v>
      </c>
      <c r="V30" s="239">
        <v>205</v>
      </c>
      <c r="W30" s="48" t="e">
        <f t="shared" si="148"/>
        <v>#REF!</v>
      </c>
      <c r="X30" s="48" t="e">
        <f t="shared" si="157"/>
        <v>#REF!</v>
      </c>
      <c r="Y30" s="62" t="e">
        <f>'Income Statement'!#REF!</f>
        <v>#REF!</v>
      </c>
      <c r="Z30" s="396"/>
      <c r="AA30" s="46">
        <f t="shared" si="131"/>
        <v>0</v>
      </c>
      <c r="AB30" s="239"/>
      <c r="AC30" s="46">
        <f t="shared" si="132"/>
        <v>0</v>
      </c>
      <c r="AD30" s="239"/>
      <c r="AE30" s="48" t="e">
        <f t="shared" si="149"/>
        <v>#REF!</v>
      </c>
      <c r="AF30" s="48" t="e">
        <f t="shared" si="158"/>
        <v>#REF!</v>
      </c>
      <c r="AG30" s="62" t="e">
        <f>'Income Statement'!#REF!</f>
        <v>#REF!</v>
      </c>
      <c r="AH30" s="396"/>
      <c r="AI30" s="46">
        <f t="shared" si="133"/>
        <v>0</v>
      </c>
      <c r="AJ30" s="239"/>
      <c r="AK30" s="46">
        <f t="shared" si="134"/>
        <v>0</v>
      </c>
      <c r="AL30" s="239"/>
      <c r="AM30" s="48" t="e">
        <f t="shared" si="150"/>
        <v>#REF!</v>
      </c>
      <c r="AN30" s="48" t="e">
        <f t="shared" si="159"/>
        <v>#REF!</v>
      </c>
      <c r="AO30" s="62" t="e">
        <f>'Income Statement'!#REF!</f>
        <v>#REF!</v>
      </c>
      <c r="AP30" s="396"/>
      <c r="AQ30" s="46">
        <f t="shared" si="135"/>
        <v>0</v>
      </c>
      <c r="AR30" s="239"/>
      <c r="AS30" s="48" t="e">
        <f t="shared" si="136"/>
        <v>#REF!</v>
      </c>
      <c r="AT30" s="239"/>
      <c r="AU30" s="48" t="e">
        <f t="shared" si="137"/>
        <v>#REF!</v>
      </c>
      <c r="AV30" s="48" t="e">
        <f t="shared" si="160"/>
        <v>#REF!</v>
      </c>
      <c r="AW30" s="62" t="e">
        <f>'Income Statement'!#REF!</f>
        <v>#REF!</v>
      </c>
      <c r="AX30" s="396"/>
      <c r="AY30" s="46">
        <f t="shared" si="138"/>
        <v>0</v>
      </c>
      <c r="AZ30" s="239"/>
      <c r="BA30" s="46">
        <f t="shared" si="139"/>
        <v>0</v>
      </c>
      <c r="BB30" s="239"/>
      <c r="BC30" s="48" t="e">
        <f t="shared" si="151"/>
        <v>#REF!</v>
      </c>
      <c r="BD30" s="48" t="e">
        <f t="shared" si="161"/>
        <v>#REF!</v>
      </c>
      <c r="BE30" s="62" t="e">
        <f>'Income Statement'!#REF!</f>
        <v>#REF!</v>
      </c>
      <c r="BF30" s="372"/>
      <c r="BG30" s="62"/>
      <c r="BH30" s="62"/>
      <c r="BI30" s="62"/>
      <c r="BJ30" s="62"/>
      <c r="BK30" s="62"/>
      <c r="BL30" s="62"/>
      <c r="BM30" s="62"/>
      <c r="BN30" s="396"/>
      <c r="BO30" s="46">
        <f t="shared" si="140"/>
        <v>0</v>
      </c>
      <c r="BP30" s="239"/>
      <c r="BQ30" s="46">
        <f t="shared" si="141"/>
        <v>0</v>
      </c>
      <c r="BR30" s="239"/>
      <c r="BS30" s="48" t="e">
        <f t="shared" si="152"/>
        <v>#REF!</v>
      </c>
      <c r="BT30" s="48" t="e">
        <f t="shared" si="162"/>
        <v>#REF!</v>
      </c>
      <c r="BU30" s="62" t="e">
        <f>'Income Statement'!#REF!</f>
        <v>#REF!</v>
      </c>
      <c r="BV30" s="396"/>
      <c r="BW30" s="46">
        <f t="shared" si="142"/>
        <v>0</v>
      </c>
      <c r="BX30" s="239"/>
      <c r="BY30" s="46">
        <f t="shared" si="143"/>
        <v>0</v>
      </c>
      <c r="BZ30" s="239"/>
      <c r="CA30" s="48" t="e">
        <f t="shared" si="153"/>
        <v>#REF!</v>
      </c>
      <c r="CB30" s="48" t="e">
        <f t="shared" si="163"/>
        <v>#REF!</v>
      </c>
      <c r="CC30" s="62" t="e">
        <f>'Income Statement'!#REF!</f>
        <v>#REF!</v>
      </c>
      <c r="CD30" s="396"/>
      <c r="CE30" s="46">
        <f t="shared" si="144"/>
        <v>0</v>
      </c>
      <c r="CF30" s="239"/>
      <c r="CG30" s="46">
        <f t="shared" si="145"/>
        <v>0</v>
      </c>
      <c r="CH30" s="239"/>
      <c r="CI30" s="48" t="e">
        <f t="shared" si="154"/>
        <v>#REF!</v>
      </c>
      <c r="CJ30" s="48" t="e">
        <f t="shared" si="164"/>
        <v>#REF!</v>
      </c>
      <c r="CK30" s="62" t="e">
        <f>'Income Statement'!#REF!</f>
        <v>#REF!</v>
      </c>
      <c r="CL30" s="372"/>
      <c r="CM30" s="62"/>
      <c r="CN30" s="62"/>
      <c r="CO30" s="62"/>
      <c r="CP30" s="62"/>
      <c r="CQ30" s="62"/>
      <c r="CR30" s="62"/>
      <c r="CS30" s="62" t="e">
        <f>'Income Statement'!#REF!</f>
        <v>#REF!</v>
      </c>
      <c r="CT30" s="372"/>
      <c r="CU30" s="62"/>
      <c r="CV30" s="62"/>
      <c r="CW30" s="62"/>
      <c r="CX30" s="62"/>
      <c r="CY30" s="62"/>
      <c r="CZ30" s="62"/>
      <c r="DA30" s="62" t="e">
        <f>'Income Statement'!#REF!</f>
        <v>#REF!</v>
      </c>
      <c r="DB30" s="372"/>
      <c r="DC30" s="62"/>
      <c r="DD30" s="62"/>
      <c r="DE30" s="62"/>
      <c r="DF30" s="62"/>
      <c r="DG30" s="62"/>
      <c r="DH30" s="62"/>
      <c r="DI30" s="62" t="e">
        <f>'Income Statement'!#REF!</f>
        <v>#REF!</v>
      </c>
      <c r="DJ30" s="372"/>
      <c r="DK30" s="62"/>
      <c r="DL30" s="62"/>
      <c r="DM30" s="62"/>
      <c r="DN30" s="62"/>
      <c r="DO30" s="62"/>
      <c r="DP30" s="62"/>
      <c r="DQ30" s="62" t="e">
        <f>'Income Statement'!#REF!</f>
        <v>#REF!</v>
      </c>
      <c r="DR30" s="372"/>
      <c r="DS30" s="62"/>
      <c r="DT30" s="62"/>
      <c r="DU30" s="62"/>
      <c r="DV30" s="62"/>
      <c r="DW30" s="62"/>
      <c r="DX30" s="62"/>
      <c r="DY30" s="62"/>
      <c r="DZ30" s="372"/>
      <c r="EA30" s="62"/>
      <c r="EB30" s="62"/>
      <c r="EC30" s="62"/>
      <c r="ED30" s="62"/>
      <c r="EE30" s="62"/>
      <c r="EF30" s="62"/>
      <c r="EG30" s="49"/>
      <c r="EH30" s="406"/>
    </row>
    <row r="31" spans="1:138" hidden="1" outlineLevel="1">
      <c r="A31" s="1" t="s">
        <v>224</v>
      </c>
      <c r="B31" s="238">
        <v>8</v>
      </c>
      <c r="C31" s="46">
        <f t="shared" si="126"/>
        <v>81</v>
      </c>
      <c r="D31" s="239">
        <v>89</v>
      </c>
      <c r="E31" s="46">
        <f t="shared" si="126"/>
        <v>81</v>
      </c>
      <c r="F31" s="239">
        <v>170</v>
      </c>
      <c r="G31" s="46" t="e">
        <f t="shared" si="146"/>
        <v>#REF!</v>
      </c>
      <c r="H31" s="46" t="e">
        <f t="shared" si="155"/>
        <v>#REF!</v>
      </c>
      <c r="I31" s="46" t="e">
        <f>'Income Statement'!#REF!</f>
        <v>#REF!</v>
      </c>
      <c r="J31" s="396">
        <v>5</v>
      </c>
      <c r="K31" s="46">
        <f t="shared" si="127"/>
        <v>76</v>
      </c>
      <c r="L31" s="239">
        <v>81</v>
      </c>
      <c r="M31" s="46">
        <f t="shared" si="128"/>
        <v>64</v>
      </c>
      <c r="N31" s="239">
        <v>145</v>
      </c>
      <c r="O31" s="46" t="e">
        <f t="shared" si="147"/>
        <v>#REF!</v>
      </c>
      <c r="P31" s="46" t="e">
        <f t="shared" si="156"/>
        <v>#REF!</v>
      </c>
      <c r="Q31" s="46" t="e">
        <f>'Income Statement'!#REF!</f>
        <v>#REF!</v>
      </c>
      <c r="R31" s="396">
        <v>7</v>
      </c>
      <c r="S31" s="46">
        <f t="shared" si="129"/>
        <v>57</v>
      </c>
      <c r="T31" s="239">
        <v>86</v>
      </c>
      <c r="U31" s="46">
        <f t="shared" si="130"/>
        <v>89</v>
      </c>
      <c r="V31" s="239">
        <v>153</v>
      </c>
      <c r="W31" s="48" t="e">
        <f t="shared" si="148"/>
        <v>#REF!</v>
      </c>
      <c r="X31" s="48" t="e">
        <f t="shared" si="157"/>
        <v>#REF!</v>
      </c>
      <c r="Y31" s="62" t="e">
        <f>'Income Statement'!#REF!</f>
        <v>#REF!</v>
      </c>
      <c r="Z31" s="396"/>
      <c r="AA31" s="46">
        <f t="shared" si="131"/>
        <v>0</v>
      </c>
      <c r="AB31" s="239"/>
      <c r="AC31" s="46">
        <f t="shared" si="132"/>
        <v>0</v>
      </c>
      <c r="AD31" s="239"/>
      <c r="AE31" s="48" t="e">
        <f t="shared" si="149"/>
        <v>#REF!</v>
      </c>
      <c r="AF31" s="48" t="e">
        <f t="shared" si="158"/>
        <v>#REF!</v>
      </c>
      <c r="AG31" s="62" t="e">
        <f>'Income Statement'!#REF!</f>
        <v>#REF!</v>
      </c>
      <c r="AH31" s="396"/>
      <c r="AI31" s="46">
        <f t="shared" si="133"/>
        <v>0</v>
      </c>
      <c r="AJ31" s="239"/>
      <c r="AK31" s="46">
        <f t="shared" si="134"/>
        <v>0</v>
      </c>
      <c r="AL31" s="239"/>
      <c r="AM31" s="48" t="e">
        <f t="shared" si="150"/>
        <v>#REF!</v>
      </c>
      <c r="AN31" s="48" t="e">
        <f t="shared" si="159"/>
        <v>#REF!</v>
      </c>
      <c r="AO31" s="62" t="e">
        <f>'Income Statement'!#REF!</f>
        <v>#REF!</v>
      </c>
      <c r="AP31" s="396"/>
      <c r="AQ31" s="46">
        <f t="shared" si="135"/>
        <v>0</v>
      </c>
      <c r="AR31" s="239"/>
      <c r="AS31" s="48" t="e">
        <f t="shared" si="136"/>
        <v>#REF!</v>
      </c>
      <c r="AT31" s="239"/>
      <c r="AU31" s="48" t="e">
        <f t="shared" si="137"/>
        <v>#REF!</v>
      </c>
      <c r="AV31" s="48" t="e">
        <f t="shared" si="160"/>
        <v>#REF!</v>
      </c>
      <c r="AW31" s="62" t="e">
        <f>'Income Statement'!#REF!</f>
        <v>#REF!</v>
      </c>
      <c r="AX31" s="396"/>
      <c r="AY31" s="46">
        <f t="shared" si="138"/>
        <v>0</v>
      </c>
      <c r="AZ31" s="239"/>
      <c r="BA31" s="46">
        <f t="shared" si="139"/>
        <v>0</v>
      </c>
      <c r="BB31" s="239"/>
      <c r="BC31" s="48" t="e">
        <f t="shared" si="151"/>
        <v>#REF!</v>
      </c>
      <c r="BD31" s="48" t="e">
        <f t="shared" si="161"/>
        <v>#REF!</v>
      </c>
      <c r="BE31" s="62" t="e">
        <f>'Income Statement'!#REF!</f>
        <v>#REF!</v>
      </c>
      <c r="BF31" s="372"/>
      <c r="BG31" s="62"/>
      <c r="BH31" s="62"/>
      <c r="BI31" s="62"/>
      <c r="BJ31" s="62"/>
      <c r="BK31" s="62"/>
      <c r="BL31" s="62"/>
      <c r="BM31" s="62"/>
      <c r="BN31" s="396"/>
      <c r="BO31" s="46">
        <f t="shared" si="140"/>
        <v>0</v>
      </c>
      <c r="BP31" s="239"/>
      <c r="BQ31" s="46">
        <f t="shared" si="141"/>
        <v>0</v>
      </c>
      <c r="BR31" s="239"/>
      <c r="BS31" s="48" t="e">
        <f t="shared" si="152"/>
        <v>#REF!</v>
      </c>
      <c r="BT31" s="48" t="e">
        <f t="shared" si="162"/>
        <v>#REF!</v>
      </c>
      <c r="BU31" s="62" t="e">
        <f>'Income Statement'!#REF!</f>
        <v>#REF!</v>
      </c>
      <c r="BV31" s="396"/>
      <c r="BW31" s="46">
        <f t="shared" si="142"/>
        <v>0</v>
      </c>
      <c r="BX31" s="239"/>
      <c r="BY31" s="46">
        <f t="shared" si="143"/>
        <v>0</v>
      </c>
      <c r="BZ31" s="239"/>
      <c r="CA31" s="48" t="e">
        <f t="shared" si="153"/>
        <v>#REF!</v>
      </c>
      <c r="CB31" s="48" t="e">
        <f t="shared" si="163"/>
        <v>#REF!</v>
      </c>
      <c r="CC31" s="62" t="e">
        <f>'Income Statement'!#REF!</f>
        <v>#REF!</v>
      </c>
      <c r="CD31" s="396"/>
      <c r="CE31" s="46">
        <f t="shared" si="144"/>
        <v>0</v>
      </c>
      <c r="CF31" s="239"/>
      <c r="CG31" s="46">
        <f t="shared" si="145"/>
        <v>0</v>
      </c>
      <c r="CH31" s="239"/>
      <c r="CI31" s="48" t="e">
        <f t="shared" si="154"/>
        <v>#REF!</v>
      </c>
      <c r="CJ31" s="48" t="e">
        <f t="shared" si="164"/>
        <v>#REF!</v>
      </c>
      <c r="CK31" s="62" t="e">
        <f>'Income Statement'!#REF!</f>
        <v>#REF!</v>
      </c>
      <c r="CL31" s="372"/>
      <c r="CM31" s="62"/>
      <c r="CN31" s="62"/>
      <c r="CO31" s="62"/>
      <c r="CP31" s="62"/>
      <c r="CQ31" s="62"/>
      <c r="CR31" s="62"/>
      <c r="CS31" s="62" t="e">
        <f>'Income Statement'!#REF!</f>
        <v>#REF!</v>
      </c>
      <c r="CT31" s="372"/>
      <c r="CU31" s="62"/>
      <c r="CV31" s="62"/>
      <c r="CW31" s="62"/>
      <c r="CX31" s="62"/>
      <c r="CY31" s="62"/>
      <c r="CZ31" s="62"/>
      <c r="DA31" s="62" t="e">
        <f>'Income Statement'!#REF!</f>
        <v>#REF!</v>
      </c>
      <c r="DB31" s="372"/>
      <c r="DC31" s="62"/>
      <c r="DD31" s="62"/>
      <c r="DE31" s="62"/>
      <c r="DF31" s="62"/>
      <c r="DG31" s="62"/>
      <c r="DH31" s="62"/>
      <c r="DI31" s="62" t="e">
        <f>'Income Statement'!#REF!</f>
        <v>#REF!</v>
      </c>
      <c r="DJ31" s="372"/>
      <c r="DK31" s="62"/>
      <c r="DL31" s="62"/>
      <c r="DM31" s="62"/>
      <c r="DN31" s="62"/>
      <c r="DO31" s="62"/>
      <c r="DP31" s="62"/>
      <c r="DQ31" s="62" t="e">
        <f>'Income Statement'!#REF!</f>
        <v>#REF!</v>
      </c>
      <c r="DR31" s="372"/>
      <c r="DS31" s="62"/>
      <c r="DT31" s="62"/>
      <c r="DU31" s="62"/>
      <c r="DV31" s="62"/>
      <c r="DW31" s="62"/>
      <c r="DX31" s="62"/>
      <c r="DY31" s="62"/>
      <c r="DZ31" s="372"/>
      <c r="EA31" s="62"/>
      <c r="EB31" s="62"/>
      <c r="EC31" s="62"/>
      <c r="ED31" s="62"/>
      <c r="EE31" s="62"/>
      <c r="EF31" s="62"/>
      <c r="EG31" s="49"/>
      <c r="EH31" s="406"/>
    </row>
    <row r="32" spans="1:138" hidden="1" outlineLevel="1">
      <c r="A32" s="1" t="s">
        <v>411</v>
      </c>
      <c r="B32" s="238">
        <v>-3</v>
      </c>
      <c r="C32" s="46">
        <f t="shared" si="126"/>
        <v>15</v>
      </c>
      <c r="D32" s="239">
        <v>12</v>
      </c>
      <c r="E32" s="46">
        <f t="shared" si="126"/>
        <v>8</v>
      </c>
      <c r="F32" s="239">
        <v>20</v>
      </c>
      <c r="G32" s="46">
        <f t="shared" si="146"/>
        <v>1030</v>
      </c>
      <c r="H32" s="46">
        <f t="shared" si="155"/>
        <v>1038</v>
      </c>
      <c r="I32" s="46">
        <f>'Income Statement'!G30</f>
        <v>1050</v>
      </c>
      <c r="J32" s="396">
        <v>-10</v>
      </c>
      <c r="K32" s="46">
        <f t="shared" si="127"/>
        <v>20</v>
      </c>
      <c r="L32" s="239">
        <v>10</v>
      </c>
      <c r="M32" s="46">
        <f t="shared" si="128"/>
        <v>0</v>
      </c>
      <c r="N32" s="239">
        <v>10</v>
      </c>
      <c r="O32" s="46">
        <f t="shared" si="147"/>
        <v>256</v>
      </c>
      <c r="P32" s="46">
        <f t="shared" si="156"/>
        <v>256</v>
      </c>
      <c r="Q32" s="46">
        <f>'Income Statement'!H30</f>
        <v>266</v>
      </c>
      <c r="R32" s="396">
        <v>-4</v>
      </c>
      <c r="S32" s="46">
        <f t="shared" si="129"/>
        <v>4</v>
      </c>
      <c r="T32" s="239">
        <v>2</v>
      </c>
      <c r="U32" s="46">
        <f t="shared" si="130"/>
        <v>-4</v>
      </c>
      <c r="V32" s="239">
        <v>-4</v>
      </c>
      <c r="W32" s="48">
        <f t="shared" si="148"/>
        <v>23</v>
      </c>
      <c r="X32" s="48">
        <f t="shared" si="157"/>
        <v>19</v>
      </c>
      <c r="Y32" s="62">
        <f>'Income Statement'!I30</f>
        <v>19</v>
      </c>
      <c r="Z32" s="396"/>
      <c r="AA32" s="46">
        <f t="shared" si="131"/>
        <v>0</v>
      </c>
      <c r="AB32" s="239"/>
      <c r="AC32" s="46">
        <f t="shared" si="132"/>
        <v>0</v>
      </c>
      <c r="AD32" s="239"/>
      <c r="AE32" s="48">
        <f t="shared" si="149"/>
        <v>204</v>
      </c>
      <c r="AF32" s="48">
        <f t="shared" si="158"/>
        <v>204</v>
      </c>
      <c r="AG32" s="62">
        <f>'Income Statement'!J30</f>
        <v>204</v>
      </c>
      <c r="AH32" s="396"/>
      <c r="AI32" s="46">
        <f t="shared" si="133"/>
        <v>0</v>
      </c>
      <c r="AJ32" s="239"/>
      <c r="AK32" s="46">
        <f t="shared" si="134"/>
        <v>0</v>
      </c>
      <c r="AL32" s="239"/>
      <c r="AM32" s="48">
        <f t="shared" si="150"/>
        <v>4</v>
      </c>
      <c r="AN32" s="48">
        <f t="shared" si="159"/>
        <v>4</v>
      </c>
      <c r="AO32" s="62">
        <f>'Income Statement'!R30</f>
        <v>4</v>
      </c>
      <c r="AP32" s="396"/>
      <c r="AQ32" s="46">
        <f t="shared" si="135"/>
        <v>0</v>
      </c>
      <c r="AR32" s="239"/>
      <c r="AS32" s="48">
        <f t="shared" si="136"/>
        <v>4</v>
      </c>
      <c r="AT32" s="239"/>
      <c r="AU32" s="48">
        <f t="shared" si="137"/>
        <v>-4</v>
      </c>
      <c r="AV32" s="48">
        <f t="shared" si="160"/>
        <v>0</v>
      </c>
      <c r="AW32" s="62">
        <f>'Income Statement'!AF30</f>
        <v>0</v>
      </c>
      <c r="AX32" s="396"/>
      <c r="AY32" s="46">
        <f t="shared" si="138"/>
        <v>0</v>
      </c>
      <c r="AZ32" s="239"/>
      <c r="BA32" s="46">
        <f t="shared" si="139"/>
        <v>0</v>
      </c>
      <c r="BB32" s="239"/>
      <c r="BC32" s="48">
        <f t="shared" si="151"/>
        <v>0</v>
      </c>
      <c r="BD32" s="48">
        <f t="shared" si="161"/>
        <v>0</v>
      </c>
      <c r="BE32" s="62">
        <f>'Income Statement'!AN30</f>
        <v>0</v>
      </c>
      <c r="BF32" s="372"/>
      <c r="BG32" s="62"/>
      <c r="BH32" s="62"/>
      <c r="BI32" s="62"/>
      <c r="BJ32" s="62"/>
      <c r="BK32" s="62"/>
      <c r="BL32" s="62"/>
      <c r="BM32" s="62"/>
      <c r="BN32" s="396"/>
      <c r="BO32" s="46">
        <f t="shared" si="140"/>
        <v>0</v>
      </c>
      <c r="BP32" s="239"/>
      <c r="BQ32" s="46">
        <f t="shared" si="141"/>
        <v>0</v>
      </c>
      <c r="BR32" s="239"/>
      <c r="BS32" s="48">
        <f t="shared" si="152"/>
        <v>0</v>
      </c>
      <c r="BT32" s="48">
        <f t="shared" si="162"/>
        <v>0</v>
      </c>
      <c r="BU32" s="62">
        <f>'Income Statement'!AV30</f>
        <v>0</v>
      </c>
      <c r="BV32" s="396"/>
      <c r="BW32" s="46">
        <f t="shared" si="142"/>
        <v>0</v>
      </c>
      <c r="BX32" s="239"/>
      <c r="BY32" s="46">
        <f t="shared" si="143"/>
        <v>0</v>
      </c>
      <c r="BZ32" s="239"/>
      <c r="CA32" s="48">
        <f t="shared" si="153"/>
        <v>0</v>
      </c>
      <c r="CB32" s="48">
        <f t="shared" si="163"/>
        <v>0</v>
      </c>
      <c r="CC32" s="62">
        <f>'Income Statement'!BD30</f>
        <v>0</v>
      </c>
      <c r="CD32" s="396"/>
      <c r="CE32" s="46">
        <f t="shared" si="144"/>
        <v>0</v>
      </c>
      <c r="CF32" s="239"/>
      <c r="CG32" s="46">
        <f t="shared" si="145"/>
        <v>0</v>
      </c>
      <c r="CH32" s="239"/>
      <c r="CI32" s="48">
        <f t="shared" si="154"/>
        <v>0</v>
      </c>
      <c r="CJ32" s="48">
        <f t="shared" si="164"/>
        <v>0</v>
      </c>
      <c r="CK32" s="62">
        <f>'Income Statement'!BL30</f>
        <v>0</v>
      </c>
      <c r="CL32" s="372"/>
      <c r="CM32" s="62"/>
      <c r="CN32" s="62"/>
      <c r="CO32" s="62"/>
      <c r="CP32" s="62"/>
      <c r="CQ32" s="62"/>
      <c r="CR32" s="62"/>
      <c r="CS32" s="62">
        <f>'Income Statement'!BT30</f>
        <v>0</v>
      </c>
      <c r="CT32" s="372"/>
      <c r="CU32" s="62"/>
      <c r="CV32" s="62"/>
      <c r="CW32" s="62"/>
      <c r="CX32" s="62"/>
      <c r="CY32" s="62"/>
      <c r="CZ32" s="62"/>
      <c r="DA32" s="62">
        <f>'Income Statement'!CB30</f>
        <v>0</v>
      </c>
      <c r="DB32" s="372"/>
      <c r="DC32" s="62"/>
      <c r="DD32" s="62"/>
      <c r="DE32" s="62"/>
      <c r="DF32" s="62"/>
      <c r="DG32" s="62"/>
      <c r="DH32" s="62"/>
      <c r="DI32" s="62">
        <f>'Income Statement'!CJ30</f>
        <v>0</v>
      </c>
      <c r="DJ32" s="372"/>
      <c r="DK32" s="62"/>
      <c r="DL32" s="62"/>
      <c r="DM32" s="62"/>
      <c r="DN32" s="62"/>
      <c r="DO32" s="62"/>
      <c r="DP32" s="62"/>
      <c r="DQ32" s="62">
        <f>'Income Statement'!CR30</f>
        <v>0</v>
      </c>
      <c r="DR32" s="372"/>
      <c r="DS32" s="62"/>
      <c r="DT32" s="62"/>
      <c r="DU32" s="62"/>
      <c r="DV32" s="62"/>
      <c r="DW32" s="62"/>
      <c r="DX32" s="62"/>
      <c r="DY32" s="62"/>
      <c r="DZ32" s="372"/>
      <c r="EA32" s="62"/>
      <c r="EB32" s="62"/>
      <c r="EC32" s="62"/>
      <c r="ED32" s="62"/>
      <c r="EE32" s="62"/>
      <c r="EF32" s="62"/>
      <c r="EG32" s="49"/>
      <c r="EH32" s="406"/>
    </row>
    <row r="33" spans="1:138" hidden="1" outlineLevel="1">
      <c r="A33" s="1" t="s">
        <v>413</v>
      </c>
      <c r="B33" s="238">
        <v>-11</v>
      </c>
      <c r="C33" s="46">
        <f t="shared" si="126"/>
        <v>74</v>
      </c>
      <c r="D33" s="239">
        <v>63</v>
      </c>
      <c r="E33" s="46">
        <f t="shared" si="126"/>
        <v>15</v>
      </c>
      <c r="F33" s="239">
        <v>78</v>
      </c>
      <c r="G33" s="46" t="e">
        <f t="shared" si="146"/>
        <v>#REF!</v>
      </c>
      <c r="H33" s="46" t="e">
        <f t="shared" si="155"/>
        <v>#REF!</v>
      </c>
      <c r="I33" s="46" t="e">
        <f>'Income Statement'!#REF!</f>
        <v>#REF!</v>
      </c>
      <c r="J33" s="397">
        <f>J34-SUM(J26,J29:J32)</f>
        <v>42</v>
      </c>
      <c r="K33" s="46">
        <f t="shared" si="127"/>
        <v>50</v>
      </c>
      <c r="L33" s="240">
        <f>L34-SUM(L26,L29:L32)</f>
        <v>92</v>
      </c>
      <c r="M33" s="46">
        <f t="shared" si="128"/>
        <v>48</v>
      </c>
      <c r="N33" s="240">
        <v>140</v>
      </c>
      <c r="O33" s="46" t="e">
        <f t="shared" si="147"/>
        <v>#REF!</v>
      </c>
      <c r="P33" s="46" t="e">
        <f t="shared" si="156"/>
        <v>#REF!</v>
      </c>
      <c r="Q33" s="46" t="e">
        <f>'Income Statement'!#REF!</f>
        <v>#REF!</v>
      </c>
      <c r="R33" s="396">
        <v>51</v>
      </c>
      <c r="S33" s="46">
        <f t="shared" si="129"/>
        <v>-3</v>
      </c>
      <c r="T33" s="239">
        <v>51</v>
      </c>
      <c r="U33" s="62">
        <f t="shared" si="130"/>
        <v>3</v>
      </c>
      <c r="V33" s="240">
        <f>V34-SUM(V27:V32)</f>
        <v>51</v>
      </c>
      <c r="W33" s="48" t="e">
        <f t="shared" si="148"/>
        <v>#REF!</v>
      </c>
      <c r="X33" s="48" t="e">
        <f t="shared" si="157"/>
        <v>#REF!</v>
      </c>
      <c r="Y33" s="62" t="e">
        <f>'Income Statement'!#REF!</f>
        <v>#REF!</v>
      </c>
      <c r="Z33" s="396"/>
      <c r="AA33" s="46">
        <f t="shared" si="131"/>
        <v>0</v>
      </c>
      <c r="AB33" s="239"/>
      <c r="AC33" s="46">
        <f t="shared" si="132"/>
        <v>0</v>
      </c>
      <c r="AD33" s="239"/>
      <c r="AE33" s="48" t="e">
        <f t="shared" si="149"/>
        <v>#REF!</v>
      </c>
      <c r="AF33" s="48" t="e">
        <f t="shared" si="158"/>
        <v>#REF!</v>
      </c>
      <c r="AG33" s="62" t="e">
        <f>'Income Statement'!#REF!</f>
        <v>#REF!</v>
      </c>
      <c r="AH33" s="396"/>
      <c r="AI33" s="46">
        <f t="shared" si="133"/>
        <v>0</v>
      </c>
      <c r="AJ33" s="239"/>
      <c r="AK33" s="46">
        <f t="shared" si="134"/>
        <v>0</v>
      </c>
      <c r="AL33" s="239"/>
      <c r="AM33" s="48" t="e">
        <f t="shared" si="150"/>
        <v>#REF!</v>
      </c>
      <c r="AN33" s="48" t="e">
        <f t="shared" si="159"/>
        <v>#REF!</v>
      </c>
      <c r="AO33" s="62" t="e">
        <f>'Income Statement'!#REF!</f>
        <v>#REF!</v>
      </c>
      <c r="AP33" s="396"/>
      <c r="AQ33" s="46">
        <f t="shared" si="135"/>
        <v>0</v>
      </c>
      <c r="AR33" s="239"/>
      <c r="AS33" s="48" t="e">
        <f t="shared" si="136"/>
        <v>#REF!</v>
      </c>
      <c r="AT33" s="239"/>
      <c r="AU33" s="48" t="e">
        <f t="shared" si="137"/>
        <v>#REF!</v>
      </c>
      <c r="AV33" s="48" t="e">
        <f t="shared" si="160"/>
        <v>#REF!</v>
      </c>
      <c r="AW33" s="62" t="e">
        <f>'Income Statement'!#REF!</f>
        <v>#REF!</v>
      </c>
      <c r="AX33" s="396"/>
      <c r="AY33" s="46">
        <f t="shared" si="138"/>
        <v>0</v>
      </c>
      <c r="AZ33" s="239"/>
      <c r="BA33" s="46">
        <f t="shared" si="139"/>
        <v>0</v>
      </c>
      <c r="BB33" s="239"/>
      <c r="BC33" s="48" t="e">
        <f t="shared" si="151"/>
        <v>#REF!</v>
      </c>
      <c r="BD33" s="48" t="e">
        <f t="shared" si="161"/>
        <v>#REF!</v>
      </c>
      <c r="BE33" s="62" t="e">
        <f>'Income Statement'!#REF!</f>
        <v>#REF!</v>
      </c>
      <c r="BF33" s="372"/>
      <c r="BG33" s="62"/>
      <c r="BH33" s="62"/>
      <c r="BI33" s="62"/>
      <c r="BJ33" s="62"/>
      <c r="BK33" s="62"/>
      <c r="BL33" s="62"/>
      <c r="BM33" s="62"/>
      <c r="BN33" s="396"/>
      <c r="BO33" s="46">
        <f t="shared" si="140"/>
        <v>0</v>
      </c>
      <c r="BP33" s="239"/>
      <c r="BQ33" s="46">
        <f t="shared" si="141"/>
        <v>0</v>
      </c>
      <c r="BR33" s="239"/>
      <c r="BS33" s="48" t="e">
        <f t="shared" si="152"/>
        <v>#REF!</v>
      </c>
      <c r="BT33" s="48" t="e">
        <f t="shared" si="162"/>
        <v>#REF!</v>
      </c>
      <c r="BU33" s="62" t="e">
        <f>'Income Statement'!#REF!</f>
        <v>#REF!</v>
      </c>
      <c r="BV33" s="396"/>
      <c r="BW33" s="46">
        <f t="shared" si="142"/>
        <v>0</v>
      </c>
      <c r="BX33" s="239"/>
      <c r="BY33" s="46">
        <f t="shared" si="143"/>
        <v>0</v>
      </c>
      <c r="BZ33" s="239"/>
      <c r="CA33" s="48" t="e">
        <f t="shared" si="153"/>
        <v>#REF!</v>
      </c>
      <c r="CB33" s="48" t="e">
        <f t="shared" si="163"/>
        <v>#REF!</v>
      </c>
      <c r="CC33" s="62" t="e">
        <f>'Income Statement'!#REF!</f>
        <v>#REF!</v>
      </c>
      <c r="CD33" s="396"/>
      <c r="CE33" s="46">
        <f t="shared" si="144"/>
        <v>0</v>
      </c>
      <c r="CF33" s="239"/>
      <c r="CG33" s="46">
        <f t="shared" si="145"/>
        <v>0</v>
      </c>
      <c r="CH33" s="239"/>
      <c r="CI33" s="48" t="e">
        <f t="shared" si="154"/>
        <v>#REF!</v>
      </c>
      <c r="CJ33" s="48" t="e">
        <f t="shared" si="164"/>
        <v>#REF!</v>
      </c>
      <c r="CK33" s="62" t="e">
        <f>'Income Statement'!#REF!</f>
        <v>#REF!</v>
      </c>
      <c r="CL33" s="372"/>
      <c r="CM33" s="62"/>
      <c r="CN33" s="62"/>
      <c r="CO33" s="62"/>
      <c r="CP33" s="62"/>
      <c r="CQ33" s="62"/>
      <c r="CR33" s="62"/>
      <c r="CS33" s="62" t="e">
        <f>'Income Statement'!#REF!</f>
        <v>#REF!</v>
      </c>
      <c r="CT33" s="372"/>
      <c r="CU33" s="62"/>
      <c r="CV33" s="62"/>
      <c r="CW33" s="62"/>
      <c r="CX33" s="62"/>
      <c r="CY33" s="62"/>
      <c r="CZ33" s="62"/>
      <c r="DA33" s="62" t="e">
        <f>'Income Statement'!#REF!</f>
        <v>#REF!</v>
      </c>
      <c r="DB33" s="372"/>
      <c r="DC33" s="62"/>
      <c r="DD33" s="62"/>
      <c r="DE33" s="62"/>
      <c r="DF33" s="62"/>
      <c r="DG33" s="62"/>
      <c r="DH33" s="62"/>
      <c r="DI33" s="62" t="e">
        <f>'Income Statement'!#REF!</f>
        <v>#REF!</v>
      </c>
      <c r="DJ33" s="372"/>
      <c r="DK33" s="62"/>
      <c r="DL33" s="62"/>
      <c r="DM33" s="62"/>
      <c r="DN33" s="62"/>
      <c r="DO33" s="62"/>
      <c r="DP33" s="62"/>
      <c r="DQ33" s="62" t="e">
        <f>'Income Statement'!#REF!</f>
        <v>#REF!</v>
      </c>
      <c r="DR33" s="372"/>
      <c r="DS33" s="62"/>
      <c r="DT33" s="62"/>
      <c r="DU33" s="62"/>
      <c r="DV33" s="62"/>
      <c r="DW33" s="62"/>
      <c r="DX33" s="62"/>
      <c r="DY33" s="62"/>
      <c r="DZ33" s="372"/>
      <c r="EA33" s="62"/>
      <c r="EB33" s="62"/>
      <c r="EC33" s="62"/>
      <c r="ED33" s="62"/>
      <c r="EE33" s="62"/>
      <c r="EF33" s="62"/>
      <c r="EG33" s="49"/>
      <c r="EH33" s="406"/>
    </row>
    <row r="34" spans="1:138" hidden="1" outlineLevel="1">
      <c r="A34" s="11" t="s">
        <v>225</v>
      </c>
      <c r="B34" s="61">
        <f>SUM(B29:B33,B26)</f>
        <v>192</v>
      </c>
      <c r="C34" s="50">
        <f>SUM(C29:C33,C26)</f>
        <v>371</v>
      </c>
      <c r="D34" s="50">
        <f>B34+C34</f>
        <v>563</v>
      </c>
      <c r="E34" s="50">
        <f>SUM(E29:E33,E26)</f>
        <v>322</v>
      </c>
      <c r="F34" s="50">
        <f>D34+E34</f>
        <v>885</v>
      </c>
      <c r="G34" s="51" t="e">
        <f>SUM(G29:G33,G26)</f>
        <v>#REF!</v>
      </c>
      <c r="H34" s="51" t="e">
        <f t="shared" si="155"/>
        <v>#REF!</v>
      </c>
      <c r="I34" s="51" t="e">
        <f>SUM(I29:I33,I26)</f>
        <v>#REF!</v>
      </c>
      <c r="J34" s="373">
        <v>480</v>
      </c>
      <c r="K34" s="51">
        <f>SUM(K29:K33,K26)</f>
        <v>860</v>
      </c>
      <c r="L34" s="51">
        <v>1340</v>
      </c>
      <c r="M34" s="51">
        <f>SUM(M29:M33,M26)</f>
        <v>598</v>
      </c>
      <c r="N34" s="51">
        <v>1583</v>
      </c>
      <c r="O34" s="51" t="e">
        <f>SUM(O29:O33,O26)</f>
        <v>#REF!</v>
      </c>
      <c r="P34" s="51" t="e">
        <f>O34+M34</f>
        <v>#REF!</v>
      </c>
      <c r="Q34" s="51" t="e">
        <f>SUM(Q29:Q33,Q26)</f>
        <v>#REF!</v>
      </c>
      <c r="R34" s="373">
        <f>SUM(R29:R33,R26)</f>
        <v>741</v>
      </c>
      <c r="S34" s="51">
        <f>SUM(S29:S33,S26)</f>
        <v>-143</v>
      </c>
      <c r="T34" s="51">
        <f>R34+S34</f>
        <v>598</v>
      </c>
      <c r="U34" s="51">
        <f>SUM(U29:U33,U26)</f>
        <v>1715</v>
      </c>
      <c r="V34" s="51">
        <v>2340</v>
      </c>
      <c r="W34" s="51" t="e">
        <f>SUM(W29:W33,W26)</f>
        <v>#REF!</v>
      </c>
      <c r="X34" s="51" t="e">
        <f>W34+U34</f>
        <v>#REF!</v>
      </c>
      <c r="Y34" s="51" t="e">
        <f>SUM(Y29:Y33,Y26)</f>
        <v>#REF!</v>
      </c>
      <c r="Z34" s="373">
        <f>SUM(Z29:Z33,Z26)</f>
        <v>0</v>
      </c>
      <c r="AA34" s="51">
        <f>SUM(AA29:AA33,AA26)</f>
        <v>0</v>
      </c>
      <c r="AB34" s="51">
        <f>Z34+AA34</f>
        <v>0</v>
      </c>
      <c r="AC34" s="51">
        <f>SUM(AC29:AC33,AC26)</f>
        <v>0</v>
      </c>
      <c r="AD34" s="51">
        <f>AC34+AB34</f>
        <v>0</v>
      </c>
      <c r="AE34" s="51" t="e">
        <f>SUM(AE29:AE33,AE26)</f>
        <v>#REF!</v>
      </c>
      <c r="AF34" s="51" t="e">
        <f>AE34+AC34</f>
        <v>#REF!</v>
      </c>
      <c r="AG34" s="51" t="e">
        <f>SUM(AG29:AG33,AG26)</f>
        <v>#REF!</v>
      </c>
      <c r="AH34" s="373">
        <f>SUM(AH29:AH33,AH26)</f>
        <v>0</v>
      </c>
      <c r="AI34" s="51">
        <f>SUM(AI29:AI33,AI26)</f>
        <v>0</v>
      </c>
      <c r="AJ34" s="51">
        <f>AH34+AI34</f>
        <v>0</v>
      </c>
      <c r="AK34" s="51">
        <f>SUM(AK29:AK33,AK26)</f>
        <v>0</v>
      </c>
      <c r="AL34" s="51">
        <f>AK34+AJ34</f>
        <v>0</v>
      </c>
      <c r="AM34" s="51" t="e">
        <f>SUM(AM29:AM33,AM26)</f>
        <v>#REF!</v>
      </c>
      <c r="AN34" s="51" t="e">
        <f>AM34+AK34</f>
        <v>#REF!</v>
      </c>
      <c r="AO34" s="51" t="e">
        <f>SUM(AO29:AO33,AO26)</f>
        <v>#REF!</v>
      </c>
      <c r="AP34" s="373">
        <f>SUM(AP29:AP33,AP26)</f>
        <v>0</v>
      </c>
      <c r="AQ34" s="51">
        <f>SUM(AQ29:AQ33,AQ26)</f>
        <v>0</v>
      </c>
      <c r="AR34" s="51">
        <f>AP34+AQ34</f>
        <v>0</v>
      </c>
      <c r="AS34" s="51" t="e">
        <f>SUM(AS29:AS33,AS26)</f>
        <v>#REF!</v>
      </c>
      <c r="AT34" s="51" t="e">
        <f>AS34+AR34</f>
        <v>#REF!</v>
      </c>
      <c r="AU34" s="51" t="e">
        <f>SUM(AU29:AU33,AU26)</f>
        <v>#REF!</v>
      </c>
      <c r="AV34" s="51" t="e">
        <f>AU34+AS34</f>
        <v>#REF!</v>
      </c>
      <c r="AW34" s="51" t="e">
        <f>SUM(AW29:AW33,AW26)</f>
        <v>#REF!</v>
      </c>
      <c r="AX34" s="373">
        <f>SUM(AX29:AX33,AX26)</f>
        <v>0</v>
      </c>
      <c r="AY34" s="51">
        <f>SUM(AY29:AY33,AY26)</f>
        <v>0</v>
      </c>
      <c r="AZ34" s="51">
        <f>AX34+AY34</f>
        <v>0</v>
      </c>
      <c r="BA34" s="51">
        <f>SUM(BA29:BA33,BA26)</f>
        <v>0</v>
      </c>
      <c r="BB34" s="51">
        <f>BA34+AZ34</f>
        <v>0</v>
      </c>
      <c r="BC34" s="51" t="e">
        <f>SUM(BC29:BC33,BC26)</f>
        <v>#REF!</v>
      </c>
      <c r="BD34" s="51" t="e">
        <f>BC34+BA34</f>
        <v>#REF!</v>
      </c>
      <c r="BE34" s="51" t="e">
        <f>SUM(BE29:BE33,BE26)</f>
        <v>#REF!</v>
      </c>
      <c r="BF34" s="373"/>
      <c r="BG34" s="117"/>
      <c r="BH34" s="117"/>
      <c r="BI34" s="117"/>
      <c r="BJ34" s="117"/>
      <c r="BK34" s="117"/>
      <c r="BL34" s="117"/>
      <c r="BM34" s="51"/>
      <c r="BN34" s="373">
        <f>SUM(BN29:BN33,BN26)</f>
        <v>0</v>
      </c>
      <c r="BO34" s="51">
        <f>SUM(BO29:BO33,BO26)</f>
        <v>0</v>
      </c>
      <c r="BP34" s="51">
        <f>BN34+BO34</f>
        <v>0</v>
      </c>
      <c r="BQ34" s="51">
        <f>SUM(BQ29:BQ33,BQ26)</f>
        <v>0</v>
      </c>
      <c r="BR34" s="51">
        <f>BQ34+BP34</f>
        <v>0</v>
      </c>
      <c r="BS34" s="51" t="e">
        <f>SUM(BS29:BS33,BS26)</f>
        <v>#REF!</v>
      </c>
      <c r="BT34" s="51" t="e">
        <f>BS34+BQ34</f>
        <v>#REF!</v>
      </c>
      <c r="BU34" s="51" t="e">
        <f>SUM(BU29:BU33,BU26)</f>
        <v>#REF!</v>
      </c>
      <c r="BV34" s="373">
        <f>SUM(BV29:BV33,BV26)</f>
        <v>0</v>
      </c>
      <c r="BW34" s="51">
        <f>SUM(BW29:BW33,BW26)</f>
        <v>0</v>
      </c>
      <c r="BX34" s="51">
        <f>BV34+BW34</f>
        <v>0</v>
      </c>
      <c r="BY34" s="51">
        <f>SUM(BY29:BY33,BY26)</f>
        <v>0</v>
      </c>
      <c r="BZ34" s="51">
        <f>BY34+BX34</f>
        <v>0</v>
      </c>
      <c r="CA34" s="51" t="e">
        <f>SUM(CA29:CA33,CA26)</f>
        <v>#REF!</v>
      </c>
      <c r="CB34" s="51" t="e">
        <f>CA34+BY34</f>
        <v>#REF!</v>
      </c>
      <c r="CC34" s="51" t="e">
        <f>SUM(CC29:CC33,CC26)</f>
        <v>#REF!</v>
      </c>
      <c r="CD34" s="373">
        <f>SUM(CD29:CD33,CD26)</f>
        <v>0</v>
      </c>
      <c r="CE34" s="51">
        <f>SUM(CE29:CE33,CE26)</f>
        <v>0</v>
      </c>
      <c r="CF34" s="51">
        <f>CD34+CE34</f>
        <v>0</v>
      </c>
      <c r="CG34" s="51">
        <f>SUM(CG29:CG33,CG26)</f>
        <v>0</v>
      </c>
      <c r="CH34" s="51">
        <f>CG34+CF34</f>
        <v>0</v>
      </c>
      <c r="CI34" s="51" t="e">
        <f>SUM(CI29:CI33,CI26)</f>
        <v>#REF!</v>
      </c>
      <c r="CJ34" s="51" t="e">
        <f>CI34+CG34</f>
        <v>#REF!</v>
      </c>
      <c r="CK34" s="51" t="e">
        <f>SUM(CK29:CK33,CK26)</f>
        <v>#REF!</v>
      </c>
      <c r="CL34" s="373"/>
      <c r="CM34" s="51"/>
      <c r="CN34" s="117"/>
      <c r="CO34" s="117"/>
      <c r="CP34" s="117"/>
      <c r="CQ34" s="117"/>
      <c r="CR34" s="117"/>
      <c r="CS34" s="51" t="e">
        <f>SUM(CS29:CS33,CS26)</f>
        <v>#REF!</v>
      </c>
      <c r="CT34" s="373"/>
      <c r="CU34" s="117"/>
      <c r="CV34" s="117"/>
      <c r="CW34" s="117"/>
      <c r="CX34" s="117"/>
      <c r="CY34" s="117"/>
      <c r="CZ34" s="117"/>
      <c r="DA34" s="51" t="e">
        <f>SUM(DA29:DA33,DA26)</f>
        <v>#REF!</v>
      </c>
      <c r="DB34" s="373"/>
      <c r="DC34" s="117"/>
      <c r="DD34" s="117"/>
      <c r="DE34" s="117"/>
      <c r="DF34" s="117"/>
      <c r="DG34" s="117"/>
      <c r="DH34" s="117"/>
      <c r="DI34" s="51" t="e">
        <f>SUM(DI29:DI33,DI26)</f>
        <v>#REF!</v>
      </c>
      <c r="DJ34" s="373"/>
      <c r="DK34" s="117"/>
      <c r="DL34" s="117"/>
      <c r="DM34" s="117"/>
      <c r="DN34" s="117"/>
      <c r="DO34" s="117"/>
      <c r="DP34" s="117"/>
      <c r="DQ34" s="51" t="e">
        <f>SUM(DQ29:DQ33,DQ26)</f>
        <v>#REF!</v>
      </c>
      <c r="DR34" s="373"/>
      <c r="DS34" s="117"/>
      <c r="DT34" s="117"/>
      <c r="DU34" s="117"/>
      <c r="DV34" s="117"/>
      <c r="DW34" s="117"/>
      <c r="DX34" s="117"/>
      <c r="DY34" s="51"/>
      <c r="DZ34" s="373"/>
      <c r="EA34" s="117"/>
      <c r="EB34" s="117"/>
      <c r="EC34" s="117"/>
      <c r="ED34" s="117"/>
      <c r="EE34" s="117"/>
      <c r="EF34" s="117"/>
      <c r="EG34" s="52"/>
      <c r="EH34" s="406"/>
    </row>
    <row r="35" spans="1:138" hidden="1" outlineLevel="1">
      <c r="A35" s="1"/>
      <c r="B35" s="45"/>
      <c r="C35" s="46"/>
      <c r="D35" s="46"/>
      <c r="E35" s="46"/>
      <c r="F35" s="46"/>
      <c r="G35" s="46"/>
      <c r="H35" s="46"/>
      <c r="I35" s="46"/>
      <c r="J35" s="371"/>
      <c r="K35" s="46"/>
      <c r="L35" s="62"/>
      <c r="M35" s="62"/>
      <c r="N35" s="46"/>
      <c r="O35" s="46"/>
      <c r="P35" s="46"/>
      <c r="Q35" s="46"/>
      <c r="R35" s="371"/>
      <c r="S35" s="46"/>
      <c r="T35" s="46"/>
      <c r="U35" s="46"/>
      <c r="V35" s="46"/>
      <c r="W35" s="46"/>
      <c r="X35" s="46"/>
      <c r="Y35" s="46"/>
      <c r="Z35" s="371"/>
      <c r="AA35" s="46"/>
      <c r="AB35" s="46"/>
      <c r="AC35" s="46"/>
      <c r="AD35" s="46"/>
      <c r="AE35" s="46"/>
      <c r="AF35" s="46"/>
      <c r="AG35" s="46"/>
      <c r="AH35" s="371"/>
      <c r="AI35" s="46"/>
      <c r="AJ35" s="46"/>
      <c r="AK35" s="46"/>
      <c r="AL35" s="46"/>
      <c r="AM35" s="46"/>
      <c r="AN35" s="46"/>
      <c r="AO35" s="46"/>
      <c r="AP35" s="371"/>
      <c r="AQ35" s="46"/>
      <c r="AR35" s="46"/>
      <c r="AS35" s="46"/>
      <c r="AT35" s="46"/>
      <c r="AU35" s="46"/>
      <c r="AV35" s="46"/>
      <c r="AW35" s="46"/>
      <c r="AX35" s="371"/>
      <c r="AY35" s="46"/>
      <c r="AZ35" s="46"/>
      <c r="BA35" s="46"/>
      <c r="BB35" s="46"/>
      <c r="BC35" s="46"/>
      <c r="BD35" s="46"/>
      <c r="BE35" s="46"/>
      <c r="BF35" s="371"/>
      <c r="BG35" s="46"/>
      <c r="BH35" s="46"/>
      <c r="BI35" s="46"/>
      <c r="BJ35" s="46"/>
      <c r="BK35" s="46"/>
      <c r="BL35" s="46"/>
      <c r="BM35" s="46"/>
      <c r="BN35" s="371"/>
      <c r="BO35" s="46"/>
      <c r="BP35" s="46"/>
      <c r="BQ35" s="46"/>
      <c r="BR35" s="46"/>
      <c r="BS35" s="46"/>
      <c r="BT35" s="46"/>
      <c r="BU35" s="46"/>
      <c r="BV35" s="371"/>
      <c r="BW35" s="46"/>
      <c r="BX35" s="46"/>
      <c r="BY35" s="46"/>
      <c r="BZ35" s="46"/>
      <c r="CA35" s="46"/>
      <c r="CB35" s="46"/>
      <c r="CC35" s="46"/>
      <c r="CD35" s="371"/>
      <c r="CE35" s="46"/>
      <c r="CF35" s="46"/>
      <c r="CG35" s="46"/>
      <c r="CH35" s="46"/>
      <c r="CI35" s="46"/>
      <c r="CJ35" s="46"/>
      <c r="CK35" s="46"/>
      <c r="CL35" s="371"/>
      <c r="CM35" s="46"/>
      <c r="CN35" s="46"/>
      <c r="CO35" s="46"/>
      <c r="CP35" s="46"/>
      <c r="CQ35" s="46"/>
      <c r="CR35" s="46"/>
      <c r="CS35" s="46"/>
      <c r="CT35" s="371"/>
      <c r="CU35" s="46"/>
      <c r="CV35" s="46"/>
      <c r="CW35" s="46"/>
      <c r="CX35" s="46"/>
      <c r="CY35" s="46"/>
      <c r="CZ35" s="46"/>
      <c r="DA35" s="46"/>
      <c r="DB35" s="371"/>
      <c r="DC35" s="46"/>
      <c r="DD35" s="46"/>
      <c r="DE35" s="46"/>
      <c r="DF35" s="46"/>
      <c r="DG35" s="46"/>
      <c r="DH35" s="46"/>
      <c r="DI35" s="46"/>
      <c r="DJ35" s="371"/>
      <c r="DK35" s="46"/>
      <c r="DL35" s="46"/>
      <c r="DM35" s="46"/>
      <c r="DN35" s="46"/>
      <c r="DO35" s="46"/>
      <c r="DP35" s="46"/>
      <c r="DQ35" s="46"/>
      <c r="DR35" s="371"/>
      <c r="DS35" s="46"/>
      <c r="DT35" s="46"/>
      <c r="DU35" s="46"/>
      <c r="DV35" s="46"/>
      <c r="DW35" s="46"/>
      <c r="DX35" s="46"/>
      <c r="DY35" s="46"/>
      <c r="DZ35" s="371"/>
      <c r="EA35" s="46"/>
      <c r="EB35" s="46"/>
      <c r="EC35" s="46"/>
      <c r="ED35" s="46"/>
      <c r="EE35" s="46"/>
      <c r="EF35" s="46"/>
      <c r="EG35" s="47"/>
      <c r="EH35" s="406"/>
    </row>
    <row r="36" spans="1:138" hidden="1" outlineLevel="1">
      <c r="A36" s="12" t="s">
        <v>416</v>
      </c>
      <c r="B36" s="45"/>
      <c r="C36" s="46"/>
      <c r="D36" s="46"/>
      <c r="E36" s="46"/>
      <c r="F36" s="46"/>
      <c r="G36" s="46"/>
      <c r="H36" s="46"/>
      <c r="I36" s="46"/>
      <c r="J36" s="371"/>
      <c r="K36" s="46"/>
      <c r="L36" s="46"/>
      <c r="M36" s="46"/>
      <c r="N36" s="46"/>
      <c r="O36" s="46"/>
      <c r="P36" s="46"/>
      <c r="Q36" s="46"/>
      <c r="R36" s="371"/>
      <c r="S36" s="46"/>
      <c r="T36" s="46"/>
      <c r="U36" s="46"/>
      <c r="V36" s="46"/>
      <c r="W36" s="46"/>
      <c r="X36" s="46"/>
      <c r="Y36" s="46"/>
      <c r="Z36" s="371"/>
      <c r="AA36" s="46"/>
      <c r="AB36" s="46"/>
      <c r="AC36" s="46"/>
      <c r="AD36" s="46"/>
      <c r="AE36" s="46"/>
      <c r="AF36" s="46"/>
      <c r="AG36" s="46"/>
      <c r="AH36" s="371"/>
      <c r="AI36" s="46"/>
      <c r="AJ36" s="46"/>
      <c r="AK36" s="46"/>
      <c r="AL36" s="46"/>
      <c r="AM36" s="46"/>
      <c r="AN36" s="46"/>
      <c r="AO36" s="46"/>
      <c r="AP36" s="371"/>
      <c r="AQ36" s="46"/>
      <c r="AR36" s="46"/>
      <c r="AS36" s="46"/>
      <c r="AT36" s="46"/>
      <c r="AU36" s="46"/>
      <c r="AV36" s="46"/>
      <c r="AW36" s="46"/>
      <c r="AX36" s="371"/>
      <c r="AY36" s="46"/>
      <c r="AZ36" s="46"/>
      <c r="BA36" s="46"/>
      <c r="BB36" s="46"/>
      <c r="BC36" s="46"/>
      <c r="BD36" s="46"/>
      <c r="BE36" s="46"/>
      <c r="BF36" s="371"/>
      <c r="BG36" s="46"/>
      <c r="BH36" s="46"/>
      <c r="BI36" s="46"/>
      <c r="BJ36" s="46"/>
      <c r="BK36" s="46"/>
      <c r="BL36" s="46"/>
      <c r="BM36" s="46"/>
      <c r="BN36" s="371"/>
      <c r="BO36" s="46"/>
      <c r="BP36" s="46"/>
      <c r="BQ36" s="46"/>
      <c r="BR36" s="46"/>
      <c r="BS36" s="46"/>
      <c r="BT36" s="46"/>
      <c r="BU36" s="46"/>
      <c r="BV36" s="371"/>
      <c r="BW36" s="46"/>
      <c r="BX36" s="46"/>
      <c r="BY36" s="46"/>
      <c r="BZ36" s="46"/>
      <c r="CA36" s="46"/>
      <c r="CB36" s="46"/>
      <c r="CC36" s="46"/>
      <c r="CD36" s="371"/>
      <c r="CE36" s="46"/>
      <c r="CF36" s="46"/>
      <c r="CG36" s="46"/>
      <c r="CH36" s="46"/>
      <c r="CI36" s="46"/>
      <c r="CJ36" s="46"/>
      <c r="CK36" s="46"/>
      <c r="CL36" s="371"/>
      <c r="CM36" s="46"/>
      <c r="CN36" s="46"/>
      <c r="CO36" s="46"/>
      <c r="CP36" s="46"/>
      <c r="CQ36" s="46"/>
      <c r="CR36" s="46"/>
      <c r="CS36" s="46"/>
      <c r="CT36" s="371"/>
      <c r="CU36" s="46"/>
      <c r="CV36" s="46"/>
      <c r="CW36" s="46"/>
      <c r="CX36" s="46"/>
      <c r="CY36" s="46"/>
      <c r="CZ36" s="46"/>
      <c r="DA36" s="46"/>
      <c r="DB36" s="371"/>
      <c r="DC36" s="46"/>
      <c r="DD36" s="46"/>
      <c r="DE36" s="46"/>
      <c r="DF36" s="46"/>
      <c r="DG36" s="46"/>
      <c r="DH36" s="46"/>
      <c r="DI36" s="46"/>
      <c r="DJ36" s="371"/>
      <c r="DK36" s="46"/>
      <c r="DL36" s="46"/>
      <c r="DM36" s="46"/>
      <c r="DN36" s="46"/>
      <c r="DO36" s="46"/>
      <c r="DP36" s="46"/>
      <c r="DQ36" s="46"/>
      <c r="DR36" s="371"/>
      <c r="DS36" s="46"/>
      <c r="DT36" s="46"/>
      <c r="DU36" s="46"/>
      <c r="DV36" s="46"/>
      <c r="DW36" s="46"/>
      <c r="DX36" s="46"/>
      <c r="DY36" s="46"/>
      <c r="DZ36" s="371"/>
      <c r="EA36" s="46"/>
      <c r="EB36" s="46"/>
      <c r="EC36" s="46"/>
      <c r="ED36" s="46"/>
      <c r="EE36" s="46"/>
      <c r="EF36" s="46"/>
      <c r="EG36" s="47"/>
      <c r="EH36" s="406"/>
    </row>
    <row r="37" spans="1:138" hidden="1" outlineLevel="1">
      <c r="A37" s="1" t="s">
        <v>201</v>
      </c>
      <c r="B37" s="56">
        <f t="shared" ref="B37:AG37" si="165">IFERROR(B27/B6,0)</f>
        <v>1.8637244669748025E-2</v>
      </c>
      <c r="C37" s="55">
        <f t="shared" si="165"/>
        <v>1.2633750161144772E-2</v>
      </c>
      <c r="D37" s="55">
        <f t="shared" si="165"/>
        <v>1.5417588495575221E-2</v>
      </c>
      <c r="E37" s="55">
        <f t="shared" si="165"/>
        <v>1.2469951923076924E-2</v>
      </c>
      <c r="F37" s="55">
        <f t="shared" si="165"/>
        <v>1.4488636363636363E-2</v>
      </c>
      <c r="G37" s="55">
        <f t="shared" si="165"/>
        <v>1.7830461201314873E-2</v>
      </c>
      <c r="H37" s="55">
        <f t="shared" si="165"/>
        <v>1.5693321353698712E-2</v>
      </c>
      <c r="I37" s="55">
        <f t="shared" si="165"/>
        <v>1.5565326229981706E-2</v>
      </c>
      <c r="J37" s="374">
        <f t="shared" si="165"/>
        <v>3.6404258115389672E-2</v>
      </c>
      <c r="K37" s="55">
        <f t="shared" si="165"/>
        <v>6.0831982712047539E-2</v>
      </c>
      <c r="L37" s="55">
        <f t="shared" si="165"/>
        <v>4.981024667931689E-2</v>
      </c>
      <c r="M37" s="55">
        <f t="shared" si="165"/>
        <v>3.8234229887830179E-2</v>
      </c>
      <c r="N37" s="55">
        <f t="shared" si="165"/>
        <v>4.5994832041343671E-2</v>
      </c>
      <c r="O37" s="55">
        <f t="shared" si="165"/>
        <v>4.1061833346699814E-2</v>
      </c>
      <c r="P37" s="55">
        <f t="shared" si="165"/>
        <v>3.9932562620423891E-2</v>
      </c>
      <c r="Q37" s="55">
        <f t="shared" si="165"/>
        <v>4.4359982989581118E-2</v>
      </c>
      <c r="R37" s="374">
        <f t="shared" si="165"/>
        <v>6.8918612559510317E-2</v>
      </c>
      <c r="S37" s="55">
        <f t="shared" si="165"/>
        <v>0.54802259887005644</v>
      </c>
      <c r="T37" s="55">
        <f t="shared" ref="T37:T42" si="166">IFERROR(M27/M6,0)</f>
        <v>3.8234229887830179E-2</v>
      </c>
      <c r="U37" s="55">
        <f t="shared" si="165"/>
        <v>7.2322309329733658E-2</v>
      </c>
      <c r="V37" s="55">
        <f t="shared" si="165"/>
        <v>6.2064459930313585E-2</v>
      </c>
      <c r="W37" s="55">
        <f t="shared" si="165"/>
        <v>4.1014833427899813E-2</v>
      </c>
      <c r="X37" s="55">
        <f t="shared" si="165"/>
        <v>6.009874042660928E-2</v>
      </c>
      <c r="Y37" s="55">
        <f t="shared" si="165"/>
        <v>5.5554162801774928E-2</v>
      </c>
      <c r="Z37" s="374">
        <f t="shared" si="165"/>
        <v>0</v>
      </c>
      <c r="AA37" s="55">
        <f t="shared" si="165"/>
        <v>0</v>
      </c>
      <c r="AB37" s="55">
        <f t="shared" si="165"/>
        <v>0</v>
      </c>
      <c r="AC37" s="55">
        <f t="shared" si="165"/>
        <v>0</v>
      </c>
      <c r="AD37" s="55">
        <f t="shared" si="165"/>
        <v>0</v>
      </c>
      <c r="AE37" s="55">
        <f t="shared" si="165"/>
        <v>5.9815515610217598E-2</v>
      </c>
      <c r="AF37" s="55">
        <f t="shared" si="165"/>
        <v>5.9815515610217598E-2</v>
      </c>
      <c r="AG37" s="55">
        <f t="shared" si="165"/>
        <v>5.9815515610217598E-2</v>
      </c>
      <c r="AH37" s="374">
        <f t="shared" ref="AH37:AO37" si="167">IFERROR(AH27/AH6,0)</f>
        <v>0</v>
      </c>
      <c r="AI37" s="55">
        <f t="shared" si="167"/>
        <v>0</v>
      </c>
      <c r="AJ37" s="55">
        <f t="shared" si="167"/>
        <v>0</v>
      </c>
      <c r="AK37" s="55">
        <f t="shared" si="167"/>
        <v>0</v>
      </c>
      <c r="AL37" s="55">
        <f t="shared" si="167"/>
        <v>0</v>
      </c>
      <c r="AM37" s="55">
        <f t="shared" si="167"/>
        <v>0.11103601428985227</v>
      </c>
      <c r="AN37" s="55">
        <f t="shared" si="167"/>
        <v>0.11103601428985227</v>
      </c>
      <c r="AO37" s="55">
        <f t="shared" si="167"/>
        <v>0.11103601428985227</v>
      </c>
      <c r="AP37" s="374">
        <f t="shared" ref="AP37:AW37" si="168">IFERROR(AP27/AP6,0)</f>
        <v>0</v>
      </c>
      <c r="AQ37" s="55">
        <f t="shared" si="168"/>
        <v>0</v>
      </c>
      <c r="AR37" s="55">
        <f t="shared" si="168"/>
        <v>0</v>
      </c>
      <c r="AS37" s="55">
        <f t="shared" si="168"/>
        <v>0.11103601428985227</v>
      </c>
      <c r="AT37" s="55">
        <f t="shared" ref="AT37:AT42" si="169">IFERROR(AM27/AM6,0)</f>
        <v>0.11103601428985227</v>
      </c>
      <c r="AU37" s="55">
        <f t="shared" si="168"/>
        <v>0.11103601428985227</v>
      </c>
      <c r="AV37" s="55">
        <f t="shared" si="168"/>
        <v>0</v>
      </c>
      <c r="AW37" s="55">
        <f t="shared" si="168"/>
        <v>0</v>
      </c>
      <c r="AX37" s="374">
        <f t="shared" ref="AX37:BE37" si="170">IFERROR(AX27/AX6,0)</f>
        <v>0</v>
      </c>
      <c r="AY37" s="55">
        <f t="shared" si="170"/>
        <v>0</v>
      </c>
      <c r="AZ37" s="55">
        <f t="shared" si="170"/>
        <v>0</v>
      </c>
      <c r="BA37" s="55">
        <f t="shared" si="170"/>
        <v>0</v>
      </c>
      <c r="BB37" s="55">
        <f t="shared" si="170"/>
        <v>0</v>
      </c>
      <c r="BC37" s="55">
        <f t="shared" si="170"/>
        <v>0</v>
      </c>
      <c r="BD37" s="55">
        <f t="shared" si="170"/>
        <v>0</v>
      </c>
      <c r="BE37" s="55">
        <f t="shared" si="170"/>
        <v>0</v>
      </c>
      <c r="BF37" s="374"/>
      <c r="BG37" s="55"/>
      <c r="BH37" s="55"/>
      <c r="BI37" s="55"/>
      <c r="BJ37" s="55"/>
      <c r="BK37" s="55"/>
      <c r="BL37" s="55"/>
      <c r="BM37" s="55"/>
      <c r="BN37" s="374">
        <f t="shared" ref="BN37:BU42" si="171">IFERROR(BN27/BN6,0)</f>
        <v>0</v>
      </c>
      <c r="BO37" s="55">
        <f t="shared" si="171"/>
        <v>0</v>
      </c>
      <c r="BP37" s="55">
        <f t="shared" si="171"/>
        <v>0</v>
      </c>
      <c r="BQ37" s="55">
        <f t="shared" si="171"/>
        <v>0</v>
      </c>
      <c r="BR37" s="55">
        <f t="shared" si="171"/>
        <v>0</v>
      </c>
      <c r="BS37" s="55">
        <f t="shared" si="171"/>
        <v>0</v>
      </c>
      <c r="BT37" s="55">
        <f t="shared" si="171"/>
        <v>0</v>
      </c>
      <c r="BU37" s="55">
        <f t="shared" si="171"/>
        <v>0</v>
      </c>
      <c r="BV37" s="374">
        <f t="shared" ref="BV37:CC37" si="172">IFERROR(BV27/BV6,0)</f>
        <v>0</v>
      </c>
      <c r="BW37" s="55">
        <f t="shared" si="172"/>
        <v>0</v>
      </c>
      <c r="BX37" s="55">
        <f t="shared" si="172"/>
        <v>0</v>
      </c>
      <c r="BY37" s="55">
        <f t="shared" si="172"/>
        <v>0</v>
      </c>
      <c r="BZ37" s="55">
        <f t="shared" si="172"/>
        <v>0</v>
      </c>
      <c r="CA37" s="55">
        <f t="shared" si="172"/>
        <v>0</v>
      </c>
      <c r="CB37" s="55">
        <f t="shared" si="172"/>
        <v>0</v>
      </c>
      <c r="CC37" s="55">
        <f t="shared" si="172"/>
        <v>0</v>
      </c>
      <c r="CD37" s="374">
        <f t="shared" ref="CD37:CK37" si="173">IFERROR(CD27/CD6,0)</f>
        <v>0</v>
      </c>
      <c r="CE37" s="55">
        <f t="shared" si="173"/>
        <v>0</v>
      </c>
      <c r="CF37" s="55">
        <f t="shared" si="173"/>
        <v>0</v>
      </c>
      <c r="CG37" s="55">
        <f t="shared" si="173"/>
        <v>0</v>
      </c>
      <c r="CH37" s="55">
        <f t="shared" si="173"/>
        <v>0</v>
      </c>
      <c r="CI37" s="55">
        <f t="shared" si="173"/>
        <v>0</v>
      </c>
      <c r="CJ37" s="55">
        <f t="shared" si="173"/>
        <v>0</v>
      </c>
      <c r="CK37" s="55">
        <f t="shared" si="173"/>
        <v>0</v>
      </c>
      <c r="CL37" s="374"/>
      <c r="CM37" s="55"/>
      <c r="CN37" s="55"/>
      <c r="CO37" s="55"/>
      <c r="CP37" s="55"/>
      <c r="CQ37" s="55"/>
      <c r="CR37" s="55"/>
      <c r="CS37" s="55">
        <f t="shared" ref="CS37:CS42" si="174">IFERROR(CS27/CS6,0)</f>
        <v>0</v>
      </c>
      <c r="CT37" s="374"/>
      <c r="CU37" s="55"/>
      <c r="CV37" s="55"/>
      <c r="CW37" s="55"/>
      <c r="CX37" s="55"/>
      <c r="CY37" s="55"/>
      <c r="CZ37" s="55"/>
      <c r="DA37" s="55">
        <f t="shared" ref="DA37:DA42" si="175">IFERROR(DA27/DA6,0)</f>
        <v>0</v>
      </c>
      <c r="DB37" s="374"/>
      <c r="DC37" s="55"/>
      <c r="DD37" s="55"/>
      <c r="DE37" s="55"/>
      <c r="DF37" s="55"/>
      <c r="DG37" s="55"/>
      <c r="DH37" s="55"/>
      <c r="DI37" s="55">
        <f t="shared" ref="DI37:DI42" si="176">IFERROR(DI27/DI6,0)</f>
        <v>0</v>
      </c>
      <c r="DJ37" s="374"/>
      <c r="DK37" s="55"/>
      <c r="DL37" s="55"/>
      <c r="DM37" s="55"/>
      <c r="DN37" s="55"/>
      <c r="DO37" s="55"/>
      <c r="DP37" s="55"/>
      <c r="DQ37" s="55">
        <f t="shared" ref="DQ37:DQ42" si="177">IFERROR(DQ27/DQ6,0)</f>
        <v>0</v>
      </c>
      <c r="DR37" s="374"/>
      <c r="DS37" s="55"/>
      <c r="DT37" s="55"/>
      <c r="DU37" s="55"/>
      <c r="DV37" s="55"/>
      <c r="DW37" s="55"/>
      <c r="DX37" s="55"/>
      <c r="DY37" s="55"/>
      <c r="DZ37" s="374"/>
      <c r="EA37" s="55"/>
      <c r="EB37" s="55"/>
      <c r="EC37" s="55"/>
      <c r="ED37" s="55"/>
      <c r="EE37" s="55"/>
      <c r="EF37" s="55"/>
      <c r="EG37" s="57"/>
      <c r="EH37" s="406"/>
    </row>
    <row r="38" spans="1:138" hidden="1" outlineLevel="1">
      <c r="A38" s="1" t="s">
        <v>408</v>
      </c>
      <c r="B38" s="56">
        <f>IFERROR(B28/B7,0)</f>
        <v>2.304147465437788E-3</v>
      </c>
      <c r="C38" s="55">
        <f t="shared" ref="C38:I38" si="178">IFERROR(C28/C7,0)</f>
        <v>2.9498525073746312E-3</v>
      </c>
      <c r="D38" s="55">
        <f t="shared" si="178"/>
        <v>2.6978417266187052E-3</v>
      </c>
      <c r="E38" s="55">
        <f t="shared" si="178"/>
        <v>3.1496062992125984E-3</v>
      </c>
      <c r="F38" s="55">
        <f t="shared" si="178"/>
        <v>2.8620492272467086E-3</v>
      </c>
      <c r="G38" s="55">
        <f t="shared" si="178"/>
        <v>0</v>
      </c>
      <c r="H38" s="55">
        <f t="shared" si="178"/>
        <v>0</v>
      </c>
      <c r="I38" s="55">
        <f t="shared" si="178"/>
        <v>0</v>
      </c>
      <c r="J38" s="374">
        <f>IFERROR(J28/J7,0)</f>
        <v>2.5882352941176471E-2</v>
      </c>
      <c r="K38" s="55">
        <f t="shared" ref="K38:Q38" si="179">IFERROR(K28/K7,0)</f>
        <v>-2.1531100478468901E-2</v>
      </c>
      <c r="L38" s="55">
        <f t="shared" si="179"/>
        <v>2.3724792408066431E-3</v>
      </c>
      <c r="M38" s="55">
        <f t="shared" si="179"/>
        <v>1.7094017094017096E-2</v>
      </c>
      <c r="N38" s="55">
        <f t="shared" si="179"/>
        <v>6.7001675041876048E-3</v>
      </c>
      <c r="O38" s="55">
        <f t="shared" si="179"/>
        <v>0</v>
      </c>
      <c r="P38" s="55">
        <f t="shared" si="179"/>
        <v>0</v>
      </c>
      <c r="Q38" s="55">
        <f t="shared" si="179"/>
        <v>0</v>
      </c>
      <c r="R38" s="374">
        <f>IFERROR(R28/R7,0)</f>
        <v>2.4390243902439025E-2</v>
      </c>
      <c r="S38" s="55">
        <f t="shared" ref="S38:Y38" si="180">IFERROR(S28/S7,0)</f>
        <v>3.4090909090909088E-2</v>
      </c>
      <c r="T38" s="55">
        <f t="shared" si="166"/>
        <v>1.7094017094017096E-2</v>
      </c>
      <c r="U38" s="55">
        <f t="shared" si="180"/>
        <v>1.4104372355430183E-3</v>
      </c>
      <c r="V38" s="55">
        <f t="shared" si="180"/>
        <v>4.5223289994347085E-3</v>
      </c>
      <c r="W38" s="55">
        <f t="shared" si="180"/>
        <v>0</v>
      </c>
      <c r="X38" s="55">
        <f t="shared" si="180"/>
        <v>0</v>
      </c>
      <c r="Y38" s="55">
        <f t="shared" si="180"/>
        <v>0</v>
      </c>
      <c r="Z38" s="374">
        <f>IFERROR(Z28/Z7,0)</f>
        <v>0</v>
      </c>
      <c r="AA38" s="55">
        <f t="shared" ref="AA38:AG38" si="181">IFERROR(AA28/AA7,0)</f>
        <v>0</v>
      </c>
      <c r="AB38" s="55">
        <f t="shared" si="181"/>
        <v>0</v>
      </c>
      <c r="AC38" s="55">
        <f t="shared" si="181"/>
        <v>0</v>
      </c>
      <c r="AD38" s="55">
        <f t="shared" si="181"/>
        <v>0</v>
      </c>
      <c r="AE38" s="55">
        <f t="shared" si="181"/>
        <v>0</v>
      </c>
      <c r="AF38" s="55">
        <f t="shared" si="181"/>
        <v>0</v>
      </c>
      <c r="AG38" s="55">
        <f t="shared" si="181"/>
        <v>0</v>
      </c>
      <c r="AH38" s="374">
        <f>IFERROR(AH28/AH7,0)</f>
        <v>0</v>
      </c>
      <c r="AI38" s="55">
        <f t="shared" ref="AI38:AO38" si="182">IFERROR(AI28/AI7,0)</f>
        <v>0</v>
      </c>
      <c r="AJ38" s="55">
        <f t="shared" si="182"/>
        <v>0</v>
      </c>
      <c r="AK38" s="55">
        <f t="shared" si="182"/>
        <v>0</v>
      </c>
      <c r="AL38" s="55">
        <f t="shared" si="182"/>
        <v>0</v>
      </c>
      <c r="AM38" s="55">
        <f t="shared" si="182"/>
        <v>0</v>
      </c>
      <c r="AN38" s="55">
        <f t="shared" si="182"/>
        <v>0</v>
      </c>
      <c r="AO38" s="55">
        <f t="shared" si="182"/>
        <v>0</v>
      </c>
      <c r="AP38" s="374">
        <f>IFERROR(AP28/AP7,0)</f>
        <v>0</v>
      </c>
      <c r="AQ38" s="55">
        <f t="shared" ref="AQ38:AW38" si="183">IFERROR(AQ28/AQ7,0)</f>
        <v>0</v>
      </c>
      <c r="AR38" s="55">
        <f t="shared" si="183"/>
        <v>0</v>
      </c>
      <c r="AS38" s="55">
        <f t="shared" si="183"/>
        <v>0</v>
      </c>
      <c r="AT38" s="55">
        <f t="shared" si="169"/>
        <v>0</v>
      </c>
      <c r="AU38" s="55">
        <f t="shared" si="183"/>
        <v>0</v>
      </c>
      <c r="AV38" s="55">
        <f t="shared" si="183"/>
        <v>0</v>
      </c>
      <c r="AW38" s="55">
        <f t="shared" si="183"/>
        <v>0</v>
      </c>
      <c r="AX38" s="374">
        <f>IFERROR(AX28/AX7,0)</f>
        <v>0</v>
      </c>
      <c r="AY38" s="55">
        <f t="shared" ref="AY38:BE38" si="184">IFERROR(AY28/AY7,0)</f>
        <v>0</v>
      </c>
      <c r="AZ38" s="55">
        <f t="shared" si="184"/>
        <v>0</v>
      </c>
      <c r="BA38" s="55">
        <f t="shared" si="184"/>
        <v>0</v>
      </c>
      <c r="BB38" s="55">
        <f t="shared" si="184"/>
        <v>0</v>
      </c>
      <c r="BC38" s="55">
        <f t="shared" si="184"/>
        <v>0</v>
      </c>
      <c r="BD38" s="55">
        <f t="shared" si="184"/>
        <v>0</v>
      </c>
      <c r="BE38" s="55">
        <f t="shared" si="184"/>
        <v>0</v>
      </c>
      <c r="BF38" s="374"/>
      <c r="BG38" s="55"/>
      <c r="BH38" s="55"/>
      <c r="BI38" s="55"/>
      <c r="BJ38" s="55"/>
      <c r="BK38" s="55"/>
      <c r="BL38" s="55"/>
      <c r="BM38" s="55"/>
      <c r="BN38" s="374">
        <f>IFERROR(BN28/BN7,0)</f>
        <v>0</v>
      </c>
      <c r="BO38" s="55">
        <f t="shared" si="171"/>
        <v>0</v>
      </c>
      <c r="BP38" s="55">
        <f t="shared" si="171"/>
        <v>0</v>
      </c>
      <c r="BQ38" s="55">
        <f t="shared" si="171"/>
        <v>0</v>
      </c>
      <c r="BR38" s="55">
        <f t="shared" si="171"/>
        <v>0</v>
      </c>
      <c r="BS38" s="55">
        <f t="shared" si="171"/>
        <v>0</v>
      </c>
      <c r="BT38" s="55">
        <f t="shared" si="171"/>
        <v>0</v>
      </c>
      <c r="BU38" s="55">
        <f t="shared" si="171"/>
        <v>0</v>
      </c>
      <c r="BV38" s="374">
        <f>IFERROR(BV28/BV7,0)</f>
        <v>0</v>
      </c>
      <c r="BW38" s="55">
        <f t="shared" ref="BW38:CC38" si="185">IFERROR(BW28/BW7,0)</f>
        <v>0</v>
      </c>
      <c r="BX38" s="55">
        <f t="shared" si="185"/>
        <v>0</v>
      </c>
      <c r="BY38" s="55">
        <f t="shared" si="185"/>
        <v>0</v>
      </c>
      <c r="BZ38" s="55">
        <f t="shared" si="185"/>
        <v>0</v>
      </c>
      <c r="CA38" s="55">
        <f t="shared" si="185"/>
        <v>0</v>
      </c>
      <c r="CB38" s="55">
        <f t="shared" si="185"/>
        <v>0</v>
      </c>
      <c r="CC38" s="55">
        <f t="shared" si="185"/>
        <v>0</v>
      </c>
      <c r="CD38" s="374">
        <f>IFERROR(CD28/CD7,0)</f>
        <v>0</v>
      </c>
      <c r="CE38" s="55">
        <f t="shared" ref="CE38:CK38" si="186">IFERROR(CE28/CE7,0)</f>
        <v>0</v>
      </c>
      <c r="CF38" s="55">
        <f t="shared" si="186"/>
        <v>0</v>
      </c>
      <c r="CG38" s="55">
        <f t="shared" si="186"/>
        <v>0</v>
      </c>
      <c r="CH38" s="55">
        <f t="shared" si="186"/>
        <v>0</v>
      </c>
      <c r="CI38" s="55">
        <f t="shared" si="186"/>
        <v>0</v>
      </c>
      <c r="CJ38" s="55">
        <f t="shared" si="186"/>
        <v>0</v>
      </c>
      <c r="CK38" s="55">
        <f t="shared" si="186"/>
        <v>0</v>
      </c>
      <c r="CL38" s="374"/>
      <c r="CM38" s="55"/>
      <c r="CN38" s="55"/>
      <c r="CO38" s="55"/>
      <c r="CP38" s="55"/>
      <c r="CQ38" s="55"/>
      <c r="CR38" s="55"/>
      <c r="CS38" s="55">
        <f t="shared" si="174"/>
        <v>0</v>
      </c>
      <c r="CT38" s="374"/>
      <c r="CU38" s="55"/>
      <c r="CV38" s="55"/>
      <c r="CW38" s="55"/>
      <c r="CX38" s="55"/>
      <c r="CY38" s="55"/>
      <c r="CZ38" s="55"/>
      <c r="DA38" s="55">
        <f t="shared" si="175"/>
        <v>0</v>
      </c>
      <c r="DB38" s="374"/>
      <c r="DC38" s="55"/>
      <c r="DD38" s="55"/>
      <c r="DE38" s="55"/>
      <c r="DF38" s="55"/>
      <c r="DG38" s="55"/>
      <c r="DH38" s="55"/>
      <c r="DI38" s="55">
        <f t="shared" si="176"/>
        <v>0</v>
      </c>
      <c r="DJ38" s="374"/>
      <c r="DK38" s="55"/>
      <c r="DL38" s="55"/>
      <c r="DM38" s="55"/>
      <c r="DN38" s="55"/>
      <c r="DO38" s="55"/>
      <c r="DP38" s="55"/>
      <c r="DQ38" s="55">
        <f t="shared" si="177"/>
        <v>0</v>
      </c>
      <c r="DR38" s="374"/>
      <c r="DS38" s="55"/>
      <c r="DT38" s="55"/>
      <c r="DU38" s="55"/>
      <c r="DV38" s="55"/>
      <c r="DW38" s="55"/>
      <c r="DX38" s="55"/>
      <c r="DY38" s="55"/>
      <c r="DZ38" s="374"/>
      <c r="EA38" s="55"/>
      <c r="EB38" s="55"/>
      <c r="EC38" s="55"/>
      <c r="ED38" s="55"/>
      <c r="EE38" s="55"/>
      <c r="EF38" s="55"/>
      <c r="EG38" s="57"/>
      <c r="EH38" s="406"/>
    </row>
    <row r="39" spans="1:138" hidden="1" outlineLevel="1">
      <c r="A39" s="1" t="s">
        <v>409</v>
      </c>
      <c r="B39" s="56">
        <f>IFERROR(B29/B8,0)</f>
        <v>3.7667071688942892E-2</v>
      </c>
      <c r="C39" s="55">
        <f t="shared" ref="C39:I39" si="187">IFERROR(C29/C8,0)</f>
        <v>4.6735905044510383E-2</v>
      </c>
      <c r="D39" s="55">
        <f t="shared" si="187"/>
        <v>4.329801934592354E-2</v>
      </c>
      <c r="E39" s="55">
        <f t="shared" si="187"/>
        <v>4.8951048951048952E-2</v>
      </c>
      <c r="F39" s="55">
        <f t="shared" si="187"/>
        <v>4.5401966454598035E-2</v>
      </c>
      <c r="G39" s="55">
        <f t="shared" si="187"/>
        <v>5.2120592743995914E-2</v>
      </c>
      <c r="H39" s="55">
        <f t="shared" si="187"/>
        <v>5.0863131935881628E-2</v>
      </c>
      <c r="I39" s="55">
        <f t="shared" si="187"/>
        <v>4.7830101569713755E-2</v>
      </c>
      <c r="J39" s="374">
        <f>IFERROR(J29/J8,0)</f>
        <v>5.3377814845704752E-2</v>
      </c>
      <c r="K39" s="55">
        <f t="shared" ref="K39:Q39" si="188">IFERROR(K29/K8,0)</f>
        <v>8.5241730279898217E-2</v>
      </c>
      <c r="L39" s="55">
        <f t="shared" si="188"/>
        <v>7.1454348610609883E-2</v>
      </c>
      <c r="M39" s="55">
        <f t="shared" si="188"/>
        <v>5.724907063197026E-2</v>
      </c>
      <c r="N39" s="55">
        <f t="shared" si="188"/>
        <v>6.681243926141886E-2</v>
      </c>
      <c r="O39" s="55">
        <f t="shared" si="188"/>
        <v>1.5828677839851025E-2</v>
      </c>
      <c r="P39" s="55">
        <f t="shared" si="188"/>
        <v>3.1777841397079877E-2</v>
      </c>
      <c r="Q39" s="55">
        <f t="shared" si="188"/>
        <v>4.9329501915708812E-2</v>
      </c>
      <c r="R39" s="374">
        <f>IFERROR(R29/R8,0)</f>
        <v>1.9267822736030827E-2</v>
      </c>
      <c r="S39" s="55">
        <f t="shared" ref="S39:Y39" si="189">IFERROR(S29/S8,0)</f>
        <v>0.18566775244299674</v>
      </c>
      <c r="T39" s="55">
        <f t="shared" si="166"/>
        <v>5.724907063197026E-2</v>
      </c>
      <c r="U39" s="55">
        <f t="shared" si="189"/>
        <v>5.0233225690706852E-2</v>
      </c>
      <c r="V39" s="55">
        <f t="shared" si="189"/>
        <v>5.2516940948693129E-2</v>
      </c>
      <c r="W39" s="55">
        <f t="shared" si="189"/>
        <v>8.3140877598152418E-2</v>
      </c>
      <c r="X39" s="55">
        <f t="shared" si="189"/>
        <v>6.4620355411954766E-2</v>
      </c>
      <c r="Y39" s="55">
        <f t="shared" si="189"/>
        <v>6.3045894870573285E-2</v>
      </c>
      <c r="Z39" s="374">
        <f>IFERROR(Z29/Z8,0)</f>
        <v>0</v>
      </c>
      <c r="AA39" s="55">
        <f t="shared" ref="AA39:AG39" si="190">IFERROR(AA29/AA8,0)</f>
        <v>0</v>
      </c>
      <c r="AB39" s="55">
        <f t="shared" si="190"/>
        <v>0</v>
      </c>
      <c r="AC39" s="55">
        <f t="shared" si="190"/>
        <v>0</v>
      </c>
      <c r="AD39" s="55">
        <f t="shared" si="190"/>
        <v>0</v>
      </c>
      <c r="AE39" s="55">
        <f t="shared" si="190"/>
        <v>6.3304721030042921E-2</v>
      </c>
      <c r="AF39" s="55">
        <f t="shared" si="190"/>
        <v>6.3304721030042921E-2</v>
      </c>
      <c r="AG39" s="55">
        <f t="shared" si="190"/>
        <v>6.3304721030042921E-2</v>
      </c>
      <c r="AH39" s="374">
        <f>IFERROR(AH29/AH8,0)</f>
        <v>0</v>
      </c>
      <c r="AI39" s="55">
        <f t="shared" ref="AI39:AO39" si="191">IFERROR(AI29/AI8,0)</f>
        <v>0</v>
      </c>
      <c r="AJ39" s="55">
        <f t="shared" si="191"/>
        <v>0</v>
      </c>
      <c r="AK39" s="55">
        <f t="shared" si="191"/>
        <v>0</v>
      </c>
      <c r="AL39" s="55">
        <f t="shared" si="191"/>
        <v>0</v>
      </c>
      <c r="AM39" s="55">
        <f t="shared" si="191"/>
        <v>9.0664018161180471E-2</v>
      </c>
      <c r="AN39" s="55">
        <f t="shared" si="191"/>
        <v>9.0664018161180471E-2</v>
      </c>
      <c r="AO39" s="55">
        <f t="shared" si="191"/>
        <v>9.0664018161180471E-2</v>
      </c>
      <c r="AP39" s="374">
        <f>IFERROR(AP29/AP8,0)</f>
        <v>0</v>
      </c>
      <c r="AQ39" s="55">
        <f t="shared" ref="AQ39:AW39" si="192">IFERROR(AQ29/AQ8,0)</f>
        <v>0</v>
      </c>
      <c r="AR39" s="55">
        <f t="shared" si="192"/>
        <v>0</v>
      </c>
      <c r="AS39" s="55">
        <f t="shared" si="192"/>
        <v>9.0664018161180471E-2</v>
      </c>
      <c r="AT39" s="55">
        <f t="shared" si="169"/>
        <v>9.0664018161180471E-2</v>
      </c>
      <c r="AU39" s="55">
        <f t="shared" si="192"/>
        <v>9.0664018161180471E-2</v>
      </c>
      <c r="AV39" s="55">
        <f t="shared" si="192"/>
        <v>0</v>
      </c>
      <c r="AW39" s="55">
        <f t="shared" si="192"/>
        <v>0</v>
      </c>
      <c r="AX39" s="374">
        <f>IFERROR(AX29/AX8,0)</f>
        <v>0</v>
      </c>
      <c r="AY39" s="55">
        <f t="shared" ref="AY39:BE39" si="193">IFERROR(AY29/AY8,0)</f>
        <v>0</v>
      </c>
      <c r="AZ39" s="55">
        <f t="shared" si="193"/>
        <v>0</v>
      </c>
      <c r="BA39" s="55">
        <f t="shared" si="193"/>
        <v>0</v>
      </c>
      <c r="BB39" s="55">
        <f t="shared" si="193"/>
        <v>0</v>
      </c>
      <c r="BC39" s="55">
        <f t="shared" si="193"/>
        <v>0</v>
      </c>
      <c r="BD39" s="55">
        <f t="shared" si="193"/>
        <v>0</v>
      </c>
      <c r="BE39" s="55">
        <f t="shared" si="193"/>
        <v>0</v>
      </c>
      <c r="BF39" s="374"/>
      <c r="BG39" s="55"/>
      <c r="BH39" s="55"/>
      <c r="BI39" s="55"/>
      <c r="BJ39" s="55"/>
      <c r="BK39" s="55"/>
      <c r="BL39" s="55"/>
      <c r="BM39" s="55"/>
      <c r="BN39" s="374">
        <f>IFERROR(BN29/BN8,0)</f>
        <v>0</v>
      </c>
      <c r="BO39" s="55">
        <f t="shared" si="171"/>
        <v>0</v>
      </c>
      <c r="BP39" s="55">
        <f t="shared" si="171"/>
        <v>0</v>
      </c>
      <c r="BQ39" s="55">
        <f t="shared" si="171"/>
        <v>0</v>
      </c>
      <c r="BR39" s="55">
        <f t="shared" si="171"/>
        <v>0</v>
      </c>
      <c r="BS39" s="55">
        <f t="shared" si="171"/>
        <v>0</v>
      </c>
      <c r="BT39" s="55">
        <f t="shared" si="171"/>
        <v>0</v>
      </c>
      <c r="BU39" s="55">
        <f t="shared" si="171"/>
        <v>0</v>
      </c>
      <c r="BV39" s="374">
        <f>IFERROR(BV29/BV8,0)</f>
        <v>0</v>
      </c>
      <c r="BW39" s="55">
        <f t="shared" ref="BW39:CC39" si="194">IFERROR(BW29/BW8,0)</f>
        <v>0</v>
      </c>
      <c r="BX39" s="55">
        <f t="shared" si="194"/>
        <v>0</v>
      </c>
      <c r="BY39" s="55">
        <f t="shared" si="194"/>
        <v>0</v>
      </c>
      <c r="BZ39" s="55">
        <f t="shared" si="194"/>
        <v>0</v>
      </c>
      <c r="CA39" s="55">
        <f t="shared" si="194"/>
        <v>0</v>
      </c>
      <c r="CB39" s="55">
        <f t="shared" si="194"/>
        <v>0</v>
      </c>
      <c r="CC39" s="55">
        <f t="shared" si="194"/>
        <v>0</v>
      </c>
      <c r="CD39" s="374">
        <f>IFERROR(CD29/CD8,0)</f>
        <v>0</v>
      </c>
      <c r="CE39" s="55">
        <f t="shared" ref="CE39:CK39" si="195">IFERROR(CE29/CE8,0)</f>
        <v>0</v>
      </c>
      <c r="CF39" s="55">
        <f t="shared" si="195"/>
        <v>0</v>
      </c>
      <c r="CG39" s="55">
        <f t="shared" si="195"/>
        <v>0</v>
      </c>
      <c r="CH39" s="55">
        <f t="shared" si="195"/>
        <v>0</v>
      </c>
      <c r="CI39" s="55">
        <f t="shared" si="195"/>
        <v>0</v>
      </c>
      <c r="CJ39" s="55">
        <f t="shared" si="195"/>
        <v>0</v>
      </c>
      <c r="CK39" s="55">
        <f t="shared" si="195"/>
        <v>0</v>
      </c>
      <c r="CL39" s="374"/>
      <c r="CM39" s="55"/>
      <c r="CN39" s="55"/>
      <c r="CO39" s="55"/>
      <c r="CP39" s="55"/>
      <c r="CQ39" s="55"/>
      <c r="CR39" s="55"/>
      <c r="CS39" s="55">
        <f t="shared" si="174"/>
        <v>0</v>
      </c>
      <c r="CT39" s="374"/>
      <c r="CU39" s="55"/>
      <c r="CV39" s="55"/>
      <c r="CW39" s="55"/>
      <c r="CX39" s="55"/>
      <c r="CY39" s="55"/>
      <c r="CZ39" s="55"/>
      <c r="DA39" s="55">
        <f t="shared" si="175"/>
        <v>0</v>
      </c>
      <c r="DB39" s="374"/>
      <c r="DC39" s="55"/>
      <c r="DD39" s="55"/>
      <c r="DE39" s="55"/>
      <c r="DF39" s="55"/>
      <c r="DG39" s="55"/>
      <c r="DH39" s="55"/>
      <c r="DI39" s="55">
        <f t="shared" si="176"/>
        <v>0</v>
      </c>
      <c r="DJ39" s="374"/>
      <c r="DK39" s="55"/>
      <c r="DL39" s="55"/>
      <c r="DM39" s="55"/>
      <c r="DN39" s="55"/>
      <c r="DO39" s="55"/>
      <c r="DP39" s="55"/>
      <c r="DQ39" s="55">
        <f t="shared" si="177"/>
        <v>0</v>
      </c>
      <c r="DR39" s="374"/>
      <c r="DS39" s="55"/>
      <c r="DT39" s="55"/>
      <c r="DU39" s="55"/>
      <c r="DV39" s="55"/>
      <c r="DW39" s="55"/>
      <c r="DX39" s="55"/>
      <c r="DY39" s="55"/>
      <c r="DZ39" s="374"/>
      <c r="EA39" s="55"/>
      <c r="EB39" s="55"/>
      <c r="EC39" s="55"/>
      <c r="ED39" s="55"/>
      <c r="EE39" s="55"/>
      <c r="EF39" s="55"/>
      <c r="EG39" s="57"/>
      <c r="EH39" s="406"/>
    </row>
    <row r="40" spans="1:138" hidden="1" outlineLevel="1">
      <c r="A40" s="1" t="s">
        <v>410</v>
      </c>
      <c r="B40" s="56">
        <f>IFERROR(B30/B9,0)</f>
        <v>4.4406490179333902E-2</v>
      </c>
      <c r="C40" s="55">
        <f t="shared" ref="C40:I40" si="196">IFERROR(C30/C9,0)</f>
        <v>4.336734693877551E-2</v>
      </c>
      <c r="D40" s="55">
        <f t="shared" si="196"/>
        <v>4.388581167447806E-2</v>
      </c>
      <c r="E40" s="55">
        <f t="shared" si="196"/>
        <v>5.6724611161939616E-2</v>
      </c>
      <c r="F40" s="55">
        <f t="shared" si="196"/>
        <v>4.7965116279069769E-2</v>
      </c>
      <c r="G40" s="55">
        <f t="shared" si="196"/>
        <v>0</v>
      </c>
      <c r="H40" s="55">
        <f t="shared" si="196"/>
        <v>0</v>
      </c>
      <c r="I40" s="55">
        <f t="shared" si="196"/>
        <v>0</v>
      </c>
      <c r="J40" s="374">
        <f>IFERROR(J30/J9,0)</f>
        <v>4.9056603773584909E-2</v>
      </c>
      <c r="K40" s="55">
        <f t="shared" ref="K40:Q40" si="197">IFERROR(K30/K9,0)</f>
        <v>4.790419161676647E-2</v>
      </c>
      <c r="L40" s="55">
        <f t="shared" si="197"/>
        <v>4.8478015783540024E-2</v>
      </c>
      <c r="M40" s="55">
        <f t="shared" si="197"/>
        <v>4.7918303220738416E-2</v>
      </c>
      <c r="N40" s="55">
        <f t="shared" si="197"/>
        <v>4.8296898830706661E-2</v>
      </c>
      <c r="O40" s="55">
        <f t="shared" si="197"/>
        <v>0</v>
      </c>
      <c r="P40" s="55">
        <f t="shared" si="197"/>
        <v>0</v>
      </c>
      <c r="Q40" s="55">
        <f t="shared" si="197"/>
        <v>0</v>
      </c>
      <c r="R40" s="374">
        <f>IFERROR(R30/R9,0)</f>
        <v>4.8210372534696858E-2</v>
      </c>
      <c r="S40" s="55">
        <f t="shared" ref="S40:Y40" si="198">IFERROR(S30/S9,0)</f>
        <v>5.2083333333333336E-2</v>
      </c>
      <c r="T40" s="55">
        <f t="shared" si="166"/>
        <v>4.7918303220738416E-2</v>
      </c>
      <c r="U40" s="55">
        <f t="shared" si="198"/>
        <v>5.2535570959503827E-2</v>
      </c>
      <c r="V40" s="55">
        <f t="shared" si="198"/>
        <v>5.1071250622820127E-2</v>
      </c>
      <c r="W40" s="55">
        <f t="shared" si="198"/>
        <v>0</v>
      </c>
      <c r="X40" s="55">
        <f t="shared" si="198"/>
        <v>0</v>
      </c>
      <c r="Y40" s="55">
        <f t="shared" si="198"/>
        <v>0</v>
      </c>
      <c r="Z40" s="374">
        <f>IFERROR(Z30/Z9,0)</f>
        <v>0</v>
      </c>
      <c r="AA40" s="55">
        <f t="shared" ref="AA40:AG40" si="199">IFERROR(AA30/AA9,0)</f>
        <v>0</v>
      </c>
      <c r="AB40" s="55">
        <f t="shared" si="199"/>
        <v>0</v>
      </c>
      <c r="AC40" s="55">
        <f t="shared" si="199"/>
        <v>0</v>
      </c>
      <c r="AD40" s="55">
        <f t="shared" si="199"/>
        <v>0</v>
      </c>
      <c r="AE40" s="55">
        <f t="shared" si="199"/>
        <v>0</v>
      </c>
      <c r="AF40" s="55">
        <f t="shared" si="199"/>
        <v>0</v>
      </c>
      <c r="AG40" s="55">
        <f t="shared" si="199"/>
        <v>0</v>
      </c>
      <c r="AH40" s="374">
        <f>IFERROR(AH30/AH9,0)</f>
        <v>0</v>
      </c>
      <c r="AI40" s="55">
        <f t="shared" ref="AI40:AO40" si="200">IFERROR(AI30/AI9,0)</f>
        <v>0</v>
      </c>
      <c r="AJ40" s="55">
        <f t="shared" si="200"/>
        <v>0</v>
      </c>
      <c r="AK40" s="55">
        <f t="shared" si="200"/>
        <v>0</v>
      </c>
      <c r="AL40" s="55">
        <f t="shared" si="200"/>
        <v>0</v>
      </c>
      <c r="AM40" s="55">
        <f t="shared" si="200"/>
        <v>0</v>
      </c>
      <c r="AN40" s="55">
        <f t="shared" si="200"/>
        <v>0</v>
      </c>
      <c r="AO40" s="55">
        <f t="shared" si="200"/>
        <v>0</v>
      </c>
      <c r="AP40" s="374">
        <f>IFERROR(AP30/AP9,0)</f>
        <v>0</v>
      </c>
      <c r="AQ40" s="55">
        <f t="shared" ref="AQ40:AW40" si="201">IFERROR(AQ30/AQ9,0)</f>
        <v>0</v>
      </c>
      <c r="AR40" s="55">
        <f t="shared" si="201"/>
        <v>0</v>
      </c>
      <c r="AS40" s="55">
        <f t="shared" si="201"/>
        <v>0</v>
      </c>
      <c r="AT40" s="55">
        <f t="shared" si="169"/>
        <v>0</v>
      </c>
      <c r="AU40" s="55">
        <f t="shared" si="201"/>
        <v>0</v>
      </c>
      <c r="AV40" s="55">
        <f t="shared" si="201"/>
        <v>0</v>
      </c>
      <c r="AW40" s="55">
        <f t="shared" si="201"/>
        <v>0</v>
      </c>
      <c r="AX40" s="374">
        <f>IFERROR(AX30/AX9,0)</f>
        <v>0</v>
      </c>
      <c r="AY40" s="55">
        <f t="shared" ref="AY40:BE40" si="202">IFERROR(AY30/AY9,0)</f>
        <v>0</v>
      </c>
      <c r="AZ40" s="55">
        <f t="shared" si="202"/>
        <v>0</v>
      </c>
      <c r="BA40" s="55">
        <f t="shared" si="202"/>
        <v>0</v>
      </c>
      <c r="BB40" s="55">
        <f t="shared" si="202"/>
        <v>0</v>
      </c>
      <c r="BC40" s="55">
        <f t="shared" si="202"/>
        <v>0</v>
      </c>
      <c r="BD40" s="55">
        <f t="shared" si="202"/>
        <v>0</v>
      </c>
      <c r="BE40" s="55">
        <f t="shared" si="202"/>
        <v>0</v>
      </c>
      <c r="BF40" s="374"/>
      <c r="BG40" s="55"/>
      <c r="BH40" s="55"/>
      <c r="BI40" s="55"/>
      <c r="BJ40" s="55"/>
      <c r="BK40" s="55"/>
      <c r="BL40" s="55"/>
      <c r="BM40" s="55"/>
      <c r="BN40" s="374">
        <f>IFERROR(BN30/BN9,0)</f>
        <v>0</v>
      </c>
      <c r="BO40" s="55">
        <f t="shared" si="171"/>
        <v>0</v>
      </c>
      <c r="BP40" s="55">
        <f t="shared" si="171"/>
        <v>0</v>
      </c>
      <c r="BQ40" s="55">
        <f t="shared" si="171"/>
        <v>0</v>
      </c>
      <c r="BR40" s="55">
        <f t="shared" si="171"/>
        <v>0</v>
      </c>
      <c r="BS40" s="55">
        <f t="shared" si="171"/>
        <v>0</v>
      </c>
      <c r="BT40" s="55">
        <f t="shared" si="171"/>
        <v>0</v>
      </c>
      <c r="BU40" s="55">
        <f t="shared" si="171"/>
        <v>0</v>
      </c>
      <c r="BV40" s="374">
        <f>IFERROR(BV30/BV9,0)</f>
        <v>0</v>
      </c>
      <c r="BW40" s="55">
        <f t="shared" ref="BW40:CC40" si="203">IFERROR(BW30/BW9,0)</f>
        <v>0</v>
      </c>
      <c r="BX40" s="55">
        <f t="shared" si="203"/>
        <v>0</v>
      </c>
      <c r="BY40" s="55">
        <f t="shared" si="203"/>
        <v>0</v>
      </c>
      <c r="BZ40" s="55">
        <f t="shared" si="203"/>
        <v>0</v>
      </c>
      <c r="CA40" s="55">
        <f t="shared" si="203"/>
        <v>0</v>
      </c>
      <c r="CB40" s="55">
        <f t="shared" si="203"/>
        <v>0</v>
      </c>
      <c r="CC40" s="55">
        <f t="shared" si="203"/>
        <v>0</v>
      </c>
      <c r="CD40" s="374">
        <f>IFERROR(CD30/CD9,0)</f>
        <v>0</v>
      </c>
      <c r="CE40" s="55">
        <f t="shared" ref="CE40:CK40" si="204">IFERROR(CE30/CE9,0)</f>
        <v>0</v>
      </c>
      <c r="CF40" s="55">
        <f t="shared" si="204"/>
        <v>0</v>
      </c>
      <c r="CG40" s="55">
        <f t="shared" si="204"/>
        <v>0</v>
      </c>
      <c r="CH40" s="55">
        <f t="shared" si="204"/>
        <v>0</v>
      </c>
      <c r="CI40" s="55">
        <f t="shared" si="204"/>
        <v>0</v>
      </c>
      <c r="CJ40" s="55">
        <f t="shared" si="204"/>
        <v>0</v>
      </c>
      <c r="CK40" s="55">
        <f t="shared" si="204"/>
        <v>0</v>
      </c>
      <c r="CL40" s="374"/>
      <c r="CM40" s="55"/>
      <c r="CN40" s="55"/>
      <c r="CO40" s="55"/>
      <c r="CP40" s="55"/>
      <c r="CQ40" s="55"/>
      <c r="CR40" s="55"/>
      <c r="CS40" s="55">
        <f t="shared" si="174"/>
        <v>0</v>
      </c>
      <c r="CT40" s="374"/>
      <c r="CU40" s="55"/>
      <c r="CV40" s="55"/>
      <c r="CW40" s="55"/>
      <c r="CX40" s="55"/>
      <c r="CY40" s="55"/>
      <c r="CZ40" s="55"/>
      <c r="DA40" s="55">
        <f t="shared" si="175"/>
        <v>0</v>
      </c>
      <c r="DB40" s="374"/>
      <c r="DC40" s="55"/>
      <c r="DD40" s="55"/>
      <c r="DE40" s="55"/>
      <c r="DF40" s="55"/>
      <c r="DG40" s="55"/>
      <c r="DH40" s="55"/>
      <c r="DI40" s="55">
        <f t="shared" si="176"/>
        <v>0</v>
      </c>
      <c r="DJ40" s="374"/>
      <c r="DK40" s="55"/>
      <c r="DL40" s="55"/>
      <c r="DM40" s="55"/>
      <c r="DN40" s="55"/>
      <c r="DO40" s="55"/>
      <c r="DP40" s="55"/>
      <c r="DQ40" s="55">
        <f t="shared" si="177"/>
        <v>0</v>
      </c>
      <c r="DR40" s="374"/>
      <c r="DS40" s="55"/>
      <c r="DT40" s="55"/>
      <c r="DU40" s="55"/>
      <c r="DV40" s="55"/>
      <c r="DW40" s="55"/>
      <c r="DX40" s="55"/>
      <c r="DY40" s="55"/>
      <c r="DZ40" s="374"/>
      <c r="EA40" s="55"/>
      <c r="EB40" s="55"/>
      <c r="EC40" s="55"/>
      <c r="ED40" s="55"/>
      <c r="EE40" s="55"/>
      <c r="EF40" s="55"/>
      <c r="EG40" s="57"/>
      <c r="EH40" s="406"/>
    </row>
    <row r="41" spans="1:138" hidden="1" outlineLevel="1">
      <c r="A41" s="1" t="s">
        <v>224</v>
      </c>
      <c r="B41" s="56">
        <f>IFERROR(B31/B10,0)</f>
        <v>9.1116173120728925E-3</v>
      </c>
      <c r="C41" s="55">
        <f t="shared" ref="C41:I41" si="205">IFERROR(C31/C10,0)</f>
        <v>6.4541832669322716E-2</v>
      </c>
      <c r="D41" s="55">
        <f t="shared" si="205"/>
        <v>4.1725269573370839E-2</v>
      </c>
      <c r="E41" s="55">
        <f t="shared" si="205"/>
        <v>6.2986003110419908E-2</v>
      </c>
      <c r="F41" s="55">
        <f t="shared" si="205"/>
        <v>4.9722140976893828E-2</v>
      </c>
      <c r="G41" s="55">
        <f t="shared" si="205"/>
        <v>0</v>
      </c>
      <c r="H41" s="55">
        <f t="shared" si="205"/>
        <v>0</v>
      </c>
      <c r="I41" s="55">
        <f t="shared" si="205"/>
        <v>0</v>
      </c>
      <c r="J41" s="374">
        <f>IFERROR(J31/J10,0)</f>
        <v>5.4054054054054057E-3</v>
      </c>
      <c r="K41" s="55">
        <f t="shared" ref="K41:Q42" si="206">IFERROR(K31/K10,0)</f>
        <v>6.0269627279936559E-2</v>
      </c>
      <c r="L41" s="55">
        <f t="shared" si="206"/>
        <v>3.7053979871912168E-2</v>
      </c>
      <c r="M41" s="55">
        <f t="shared" si="206"/>
        <v>4.930662557781202E-2</v>
      </c>
      <c r="N41" s="55">
        <f t="shared" si="206"/>
        <v>4.1618828932261771E-2</v>
      </c>
      <c r="O41" s="55">
        <f t="shared" si="206"/>
        <v>0</v>
      </c>
      <c r="P41" s="55">
        <f t="shared" si="206"/>
        <v>0</v>
      </c>
      <c r="Q41" s="55">
        <f t="shared" si="206"/>
        <v>0</v>
      </c>
      <c r="R41" s="374">
        <f>IFERROR(R31/R10,0)</f>
        <v>7.4388947927736451E-3</v>
      </c>
      <c r="S41" s="55">
        <f t="shared" ref="S41:Y42" si="207">IFERROR(S31/S10,0)</f>
        <v>0.15966386554621848</v>
      </c>
      <c r="T41" s="55">
        <f t="shared" si="166"/>
        <v>4.930662557781202E-2</v>
      </c>
      <c r="U41" s="55">
        <f t="shared" si="207"/>
        <v>4.0454545454545451E-2</v>
      </c>
      <c r="V41" s="55">
        <f t="shared" si="207"/>
        <v>4.3739279588336191E-2</v>
      </c>
      <c r="W41" s="55">
        <f t="shared" si="207"/>
        <v>0</v>
      </c>
      <c r="X41" s="55">
        <f t="shared" si="207"/>
        <v>0</v>
      </c>
      <c r="Y41" s="55">
        <f t="shared" si="207"/>
        <v>0</v>
      </c>
      <c r="Z41" s="374">
        <f>IFERROR(Z31/Z10,0)</f>
        <v>0</v>
      </c>
      <c r="AA41" s="55">
        <f t="shared" ref="AA41:AG41" si="208">IFERROR(AA31/AA10,0)</f>
        <v>0</v>
      </c>
      <c r="AB41" s="55">
        <f t="shared" si="208"/>
        <v>0</v>
      </c>
      <c r="AC41" s="55">
        <f t="shared" si="208"/>
        <v>0</v>
      </c>
      <c r="AD41" s="55">
        <f t="shared" si="208"/>
        <v>0</v>
      </c>
      <c r="AE41" s="55">
        <f t="shared" si="208"/>
        <v>0</v>
      </c>
      <c r="AF41" s="55">
        <f t="shared" si="208"/>
        <v>0</v>
      </c>
      <c r="AG41" s="55">
        <f t="shared" si="208"/>
        <v>0</v>
      </c>
      <c r="AH41" s="374">
        <f>IFERROR(AH31/AH10,0)</f>
        <v>0</v>
      </c>
      <c r="AI41" s="55">
        <f t="shared" ref="AI41:AO41" si="209">IFERROR(AI31/AI10,0)</f>
        <v>0</v>
      </c>
      <c r="AJ41" s="55">
        <f t="shared" si="209"/>
        <v>0</v>
      </c>
      <c r="AK41" s="55">
        <f t="shared" si="209"/>
        <v>0</v>
      </c>
      <c r="AL41" s="55">
        <f t="shared" si="209"/>
        <v>0</v>
      </c>
      <c r="AM41" s="55">
        <f t="shared" si="209"/>
        <v>0</v>
      </c>
      <c r="AN41" s="55">
        <f t="shared" si="209"/>
        <v>0</v>
      </c>
      <c r="AO41" s="55">
        <f t="shared" si="209"/>
        <v>0</v>
      </c>
      <c r="AP41" s="374">
        <f>IFERROR(AP31/AP10,0)</f>
        <v>0</v>
      </c>
      <c r="AQ41" s="55">
        <f t="shared" ref="AQ41:AW41" si="210">IFERROR(AQ31/AQ10,0)</f>
        <v>0</v>
      </c>
      <c r="AR41" s="55">
        <f t="shared" si="210"/>
        <v>0</v>
      </c>
      <c r="AS41" s="55">
        <f t="shared" si="210"/>
        <v>0</v>
      </c>
      <c r="AT41" s="55">
        <f t="shared" si="169"/>
        <v>0</v>
      </c>
      <c r="AU41" s="55">
        <f t="shared" si="210"/>
        <v>0</v>
      </c>
      <c r="AV41" s="55">
        <f t="shared" si="210"/>
        <v>0</v>
      </c>
      <c r="AW41" s="55">
        <f t="shared" si="210"/>
        <v>0</v>
      </c>
      <c r="AX41" s="374">
        <f>IFERROR(AX31/AX10,0)</f>
        <v>0</v>
      </c>
      <c r="AY41" s="55">
        <f t="shared" ref="AY41:BE41" si="211">IFERROR(AY31/AY10,0)</f>
        <v>0</v>
      </c>
      <c r="AZ41" s="55">
        <f t="shared" si="211"/>
        <v>0</v>
      </c>
      <c r="BA41" s="55">
        <f t="shared" si="211"/>
        <v>0</v>
      </c>
      <c r="BB41" s="55">
        <f t="shared" si="211"/>
        <v>0</v>
      </c>
      <c r="BC41" s="55">
        <f t="shared" si="211"/>
        <v>0</v>
      </c>
      <c r="BD41" s="55">
        <f t="shared" si="211"/>
        <v>0</v>
      </c>
      <c r="BE41" s="55">
        <f t="shared" si="211"/>
        <v>0</v>
      </c>
      <c r="BF41" s="374"/>
      <c r="BG41" s="55"/>
      <c r="BH41" s="55"/>
      <c r="BI41" s="55"/>
      <c r="BJ41" s="55"/>
      <c r="BK41" s="55"/>
      <c r="BL41" s="55"/>
      <c r="BM41" s="55"/>
      <c r="BN41" s="374">
        <f>IFERROR(BN31/BN10,0)</f>
        <v>0</v>
      </c>
      <c r="BO41" s="55">
        <f t="shared" si="171"/>
        <v>0</v>
      </c>
      <c r="BP41" s="55">
        <f t="shared" si="171"/>
        <v>0</v>
      </c>
      <c r="BQ41" s="55">
        <f t="shared" si="171"/>
        <v>0</v>
      </c>
      <c r="BR41" s="55">
        <f t="shared" si="171"/>
        <v>0</v>
      </c>
      <c r="BS41" s="55">
        <f t="shared" si="171"/>
        <v>0</v>
      </c>
      <c r="BT41" s="55">
        <f t="shared" si="171"/>
        <v>0</v>
      </c>
      <c r="BU41" s="55">
        <f t="shared" si="171"/>
        <v>0</v>
      </c>
      <c r="BV41" s="374">
        <f>IFERROR(BV31/BV10,0)</f>
        <v>0</v>
      </c>
      <c r="BW41" s="55">
        <f t="shared" ref="BW41:CC41" si="212">IFERROR(BW31/BW10,0)</f>
        <v>0</v>
      </c>
      <c r="BX41" s="55">
        <f t="shared" si="212"/>
        <v>0</v>
      </c>
      <c r="BY41" s="55">
        <f t="shared" si="212"/>
        <v>0</v>
      </c>
      <c r="BZ41" s="55">
        <f t="shared" si="212"/>
        <v>0</v>
      </c>
      <c r="CA41" s="55">
        <f t="shared" si="212"/>
        <v>0</v>
      </c>
      <c r="CB41" s="55">
        <f t="shared" si="212"/>
        <v>0</v>
      </c>
      <c r="CC41" s="55">
        <f t="shared" si="212"/>
        <v>0</v>
      </c>
      <c r="CD41" s="374">
        <f>IFERROR(CD31/CD10,0)</f>
        <v>0</v>
      </c>
      <c r="CE41" s="55">
        <f t="shared" ref="CE41:CK41" si="213">IFERROR(CE31/CE10,0)</f>
        <v>0</v>
      </c>
      <c r="CF41" s="55">
        <f t="shared" si="213"/>
        <v>0</v>
      </c>
      <c r="CG41" s="55">
        <f t="shared" si="213"/>
        <v>0</v>
      </c>
      <c r="CH41" s="55">
        <f t="shared" si="213"/>
        <v>0</v>
      </c>
      <c r="CI41" s="55">
        <f t="shared" si="213"/>
        <v>0</v>
      </c>
      <c r="CJ41" s="55">
        <f t="shared" si="213"/>
        <v>0</v>
      </c>
      <c r="CK41" s="55">
        <f t="shared" si="213"/>
        <v>0</v>
      </c>
      <c r="CL41" s="374"/>
      <c r="CM41" s="55"/>
      <c r="CN41" s="55"/>
      <c r="CO41" s="55"/>
      <c r="CP41" s="55"/>
      <c r="CQ41" s="55"/>
      <c r="CR41" s="55"/>
      <c r="CS41" s="55">
        <f t="shared" si="174"/>
        <v>0</v>
      </c>
      <c r="CT41" s="374"/>
      <c r="CU41" s="55"/>
      <c r="CV41" s="55"/>
      <c r="CW41" s="55"/>
      <c r="CX41" s="55"/>
      <c r="CY41" s="55"/>
      <c r="CZ41" s="55"/>
      <c r="DA41" s="55">
        <f t="shared" si="175"/>
        <v>0</v>
      </c>
      <c r="DB41" s="374"/>
      <c r="DC41" s="55"/>
      <c r="DD41" s="55"/>
      <c r="DE41" s="55"/>
      <c r="DF41" s="55"/>
      <c r="DG41" s="55"/>
      <c r="DH41" s="55"/>
      <c r="DI41" s="55">
        <f t="shared" si="176"/>
        <v>0</v>
      </c>
      <c r="DJ41" s="374"/>
      <c r="DK41" s="55"/>
      <c r="DL41" s="55"/>
      <c r="DM41" s="55"/>
      <c r="DN41" s="55"/>
      <c r="DO41" s="55"/>
      <c r="DP41" s="55"/>
      <c r="DQ41" s="55">
        <f t="shared" si="177"/>
        <v>0</v>
      </c>
      <c r="DR41" s="374"/>
      <c r="DS41" s="55"/>
      <c r="DT41" s="55"/>
      <c r="DU41" s="55"/>
      <c r="DV41" s="55"/>
      <c r="DW41" s="55"/>
      <c r="DX41" s="55"/>
      <c r="DY41" s="55"/>
      <c r="DZ41" s="374"/>
      <c r="EA41" s="55"/>
      <c r="EB41" s="55"/>
      <c r="EC41" s="55"/>
      <c r="ED41" s="55"/>
      <c r="EE41" s="55"/>
      <c r="EF41" s="55"/>
      <c r="EG41" s="57"/>
      <c r="EH41" s="406"/>
    </row>
    <row r="42" spans="1:138" hidden="1" outlineLevel="1">
      <c r="A42" s="1" t="s">
        <v>411</v>
      </c>
      <c r="B42" s="56">
        <f>IFERROR(B32/B11,0)</f>
        <v>-1.2195121951219513E-2</v>
      </c>
      <c r="C42" s="55">
        <f t="shared" ref="C42:I42" si="214">IFERROR(C32/C11,0)</f>
        <v>5.3956834532374098E-2</v>
      </c>
      <c r="D42" s="55">
        <f t="shared" si="214"/>
        <v>2.2900763358778626E-2</v>
      </c>
      <c r="E42" s="55">
        <f t="shared" si="214"/>
        <v>2.5889967637540454E-2</v>
      </c>
      <c r="F42" s="55">
        <f t="shared" si="214"/>
        <v>2.4009603841536616E-2</v>
      </c>
      <c r="G42" s="55">
        <f t="shared" si="214"/>
        <v>0</v>
      </c>
      <c r="H42" s="55">
        <f t="shared" si="214"/>
        <v>0</v>
      </c>
      <c r="I42" s="55">
        <f t="shared" si="214"/>
        <v>0</v>
      </c>
      <c r="J42" s="374">
        <f>IFERROR(J32/J11,0)</f>
        <v>-5.0761421319796954E-2</v>
      </c>
      <c r="K42" s="55">
        <f>IFERROR(K32/K11,0)</f>
        <v>0.14925373134328357</v>
      </c>
      <c r="L42" s="55">
        <f t="shared" si="206"/>
        <v>3.0211480362537766E-2</v>
      </c>
      <c r="M42" s="55">
        <f t="shared" si="206"/>
        <v>0</v>
      </c>
      <c r="N42" s="55">
        <f t="shared" si="206"/>
        <v>2.1691973969631236E-2</v>
      </c>
      <c r="O42" s="55">
        <f t="shared" si="206"/>
        <v>-0.23813953488372094</v>
      </c>
      <c r="P42" s="55">
        <f t="shared" si="206"/>
        <v>-0.27089947089947092</v>
      </c>
      <c r="Q42" s="55">
        <f>IFERROR(Q32/Q11,0)</f>
        <v>-0.43322475570032576</v>
      </c>
      <c r="R42" s="374">
        <f>IFERROR(R32/R11,0)</f>
        <v>-5.128205128205128E-2</v>
      </c>
      <c r="S42" s="55">
        <f>IFERROR(S32/S11,0)</f>
        <v>7.6923076923076927E-2</v>
      </c>
      <c r="T42" s="55">
        <f t="shared" si="166"/>
        <v>0</v>
      </c>
      <c r="U42" s="55">
        <f t="shared" si="207"/>
        <v>-2.4096385542168676E-2</v>
      </c>
      <c r="V42" s="55">
        <f t="shared" si="207"/>
        <v>-1.3513513513513514E-2</v>
      </c>
      <c r="W42" s="55">
        <f t="shared" si="207"/>
        <v>-1.3956310679611651E-2</v>
      </c>
      <c r="X42" s="55">
        <f t="shared" si="207"/>
        <v>-1.282051282051282E-2</v>
      </c>
      <c r="Y42" s="55">
        <f>IFERROR(Y32/Y11,0)</f>
        <v>-1.4053254437869823E-2</v>
      </c>
      <c r="Z42" s="374">
        <f>IFERROR(Z32/Z11,0)</f>
        <v>0</v>
      </c>
      <c r="AA42" s="55">
        <f t="shared" ref="AA42:AG42" si="215">IFERROR(AA32/AA11,0)</f>
        <v>0</v>
      </c>
      <c r="AB42" s="55">
        <f t="shared" si="215"/>
        <v>0</v>
      </c>
      <c r="AC42" s="55">
        <f t="shared" si="215"/>
        <v>0</v>
      </c>
      <c r="AD42" s="55">
        <f t="shared" si="215"/>
        <v>0</v>
      </c>
      <c r="AE42" s="55">
        <f t="shared" si="215"/>
        <v>-0.18279569892473119</v>
      </c>
      <c r="AF42" s="55">
        <f t="shared" si="215"/>
        <v>-0.18279569892473119</v>
      </c>
      <c r="AG42" s="55">
        <f t="shared" si="215"/>
        <v>-0.18279569892473119</v>
      </c>
      <c r="AH42" s="374">
        <f>IFERROR(AH32/AH11,0)</f>
        <v>0</v>
      </c>
      <c r="AI42" s="55">
        <f t="shared" ref="AI42:AO42" si="216">IFERROR(AI32/AI11,0)</f>
        <v>0</v>
      </c>
      <c r="AJ42" s="55">
        <f t="shared" si="216"/>
        <v>0</v>
      </c>
      <c r="AK42" s="55">
        <f t="shared" si="216"/>
        <v>0</v>
      </c>
      <c r="AL42" s="55">
        <f t="shared" si="216"/>
        <v>0</v>
      </c>
      <c r="AM42" s="55">
        <f t="shared" si="216"/>
        <v>-4.11522633744856E-3</v>
      </c>
      <c r="AN42" s="55">
        <f t="shared" si="216"/>
        <v>-4.11522633744856E-3</v>
      </c>
      <c r="AO42" s="55">
        <f t="shared" si="216"/>
        <v>-4.11522633744856E-3</v>
      </c>
      <c r="AP42" s="374">
        <f>IFERROR(AP32/AP11,0)</f>
        <v>0</v>
      </c>
      <c r="AQ42" s="55">
        <f t="shared" ref="AQ42:AW42" si="217">IFERROR(AQ32/AQ11,0)</f>
        <v>0</v>
      </c>
      <c r="AR42" s="55">
        <f t="shared" si="217"/>
        <v>0</v>
      </c>
      <c r="AS42" s="55">
        <f t="shared" si="217"/>
        <v>-4.11522633744856E-3</v>
      </c>
      <c r="AT42" s="55">
        <f t="shared" si="169"/>
        <v>-4.11522633744856E-3</v>
      </c>
      <c r="AU42" s="55">
        <f t="shared" si="217"/>
        <v>-4.11522633744856E-3</v>
      </c>
      <c r="AV42" s="55">
        <f t="shared" si="217"/>
        <v>0</v>
      </c>
      <c r="AW42" s="55">
        <f t="shared" si="217"/>
        <v>0</v>
      </c>
      <c r="AX42" s="374">
        <f>IFERROR(AX32/AX11,0)</f>
        <v>0</v>
      </c>
      <c r="AY42" s="55">
        <f t="shared" ref="AY42:BE42" si="218">IFERROR(AY32/AY11,0)</f>
        <v>0</v>
      </c>
      <c r="AZ42" s="55">
        <f t="shared" si="218"/>
        <v>0</v>
      </c>
      <c r="BA42" s="55">
        <f t="shared" si="218"/>
        <v>0</v>
      </c>
      <c r="BB42" s="55">
        <f t="shared" si="218"/>
        <v>0</v>
      </c>
      <c r="BC42" s="55">
        <f t="shared" si="218"/>
        <v>0</v>
      </c>
      <c r="BD42" s="55">
        <f t="shared" si="218"/>
        <v>0</v>
      </c>
      <c r="BE42" s="55">
        <f t="shared" si="218"/>
        <v>0</v>
      </c>
      <c r="BF42" s="374"/>
      <c r="BG42" s="55"/>
      <c r="BH42" s="55"/>
      <c r="BI42" s="55"/>
      <c r="BJ42" s="55"/>
      <c r="BK42" s="55"/>
      <c r="BL42" s="55"/>
      <c r="BM42" s="55"/>
      <c r="BN42" s="374">
        <f>IFERROR(BN32/BN11,0)</f>
        <v>0</v>
      </c>
      <c r="BO42" s="55">
        <f t="shared" si="171"/>
        <v>0</v>
      </c>
      <c r="BP42" s="55">
        <f t="shared" si="171"/>
        <v>0</v>
      </c>
      <c r="BQ42" s="55">
        <f t="shared" si="171"/>
        <v>0</v>
      </c>
      <c r="BR42" s="55">
        <f t="shared" si="171"/>
        <v>0</v>
      </c>
      <c r="BS42" s="55">
        <f t="shared" si="171"/>
        <v>0</v>
      </c>
      <c r="BT42" s="55">
        <f t="shared" si="171"/>
        <v>0</v>
      </c>
      <c r="BU42" s="55">
        <f t="shared" si="171"/>
        <v>0</v>
      </c>
      <c r="BV42" s="374">
        <f>IFERROR(BV32/BV11,0)</f>
        <v>0</v>
      </c>
      <c r="BW42" s="55">
        <f t="shared" ref="BW42:CC42" si="219">IFERROR(BW32/BW11,0)</f>
        <v>0</v>
      </c>
      <c r="BX42" s="55">
        <f t="shared" si="219"/>
        <v>0</v>
      </c>
      <c r="BY42" s="55">
        <f t="shared" si="219"/>
        <v>0</v>
      </c>
      <c r="BZ42" s="55">
        <f t="shared" si="219"/>
        <v>0</v>
      </c>
      <c r="CA42" s="55">
        <f t="shared" si="219"/>
        <v>0</v>
      </c>
      <c r="CB42" s="55">
        <f t="shared" si="219"/>
        <v>0</v>
      </c>
      <c r="CC42" s="55">
        <f t="shared" si="219"/>
        <v>0</v>
      </c>
      <c r="CD42" s="374">
        <f>IFERROR(CD32/CD11,0)</f>
        <v>0</v>
      </c>
      <c r="CE42" s="55">
        <f t="shared" ref="CE42:CK42" si="220">IFERROR(CE32/CE11,0)</f>
        <v>0</v>
      </c>
      <c r="CF42" s="55">
        <f t="shared" si="220"/>
        <v>0</v>
      </c>
      <c r="CG42" s="55">
        <f t="shared" si="220"/>
        <v>0</v>
      </c>
      <c r="CH42" s="55">
        <f t="shared" si="220"/>
        <v>0</v>
      </c>
      <c r="CI42" s="55">
        <f t="shared" si="220"/>
        <v>0</v>
      </c>
      <c r="CJ42" s="55">
        <f t="shared" si="220"/>
        <v>0</v>
      </c>
      <c r="CK42" s="55">
        <f t="shared" si="220"/>
        <v>0</v>
      </c>
      <c r="CL42" s="374"/>
      <c r="CM42" s="55"/>
      <c r="CN42" s="55"/>
      <c r="CO42" s="55"/>
      <c r="CP42" s="55"/>
      <c r="CQ42" s="55"/>
      <c r="CR42" s="55"/>
      <c r="CS42" s="55">
        <f t="shared" si="174"/>
        <v>0</v>
      </c>
      <c r="CT42" s="374"/>
      <c r="CU42" s="55"/>
      <c r="CV42" s="55"/>
      <c r="CW42" s="55"/>
      <c r="CX42" s="55"/>
      <c r="CY42" s="55"/>
      <c r="CZ42" s="55"/>
      <c r="DA42" s="55">
        <f t="shared" si="175"/>
        <v>0</v>
      </c>
      <c r="DB42" s="374"/>
      <c r="DC42" s="55"/>
      <c r="DD42" s="55"/>
      <c r="DE42" s="55"/>
      <c r="DF42" s="55"/>
      <c r="DG42" s="55"/>
      <c r="DH42" s="55"/>
      <c r="DI42" s="55">
        <f t="shared" si="176"/>
        <v>0</v>
      </c>
      <c r="DJ42" s="374"/>
      <c r="DK42" s="55"/>
      <c r="DL42" s="55"/>
      <c r="DM42" s="55"/>
      <c r="DN42" s="55"/>
      <c r="DO42" s="55"/>
      <c r="DP42" s="55"/>
      <c r="DQ42" s="55">
        <f t="shared" si="177"/>
        <v>0</v>
      </c>
      <c r="DR42" s="374"/>
      <c r="DS42" s="55"/>
      <c r="DT42" s="55"/>
      <c r="DU42" s="55"/>
      <c r="DV42" s="55"/>
      <c r="DW42" s="55"/>
      <c r="DX42" s="55"/>
      <c r="DY42" s="55"/>
      <c r="DZ42" s="374"/>
      <c r="EA42" s="55"/>
      <c r="EB42" s="55"/>
      <c r="EC42" s="55"/>
      <c r="ED42" s="55"/>
      <c r="EE42" s="55"/>
      <c r="EF42" s="55"/>
      <c r="EG42" s="57"/>
      <c r="EH42" s="406"/>
    </row>
    <row r="43" spans="1:138" hidden="1" outlineLevel="1">
      <c r="A43" s="11" t="s">
        <v>225</v>
      </c>
      <c r="B43" s="58">
        <f t="shared" ref="B43:AG43" si="221">IFERROR(B34/B14,0)</f>
        <v>1.9484473310330829E-2</v>
      </c>
      <c r="C43" s="59">
        <f t="shared" si="221"/>
        <v>3.0706836616454229E-2</v>
      </c>
      <c r="D43" s="59">
        <f t="shared" si="221"/>
        <v>2.5665572574762947E-2</v>
      </c>
      <c r="E43" s="59">
        <f t="shared" si="221"/>
        <v>2.9950702260254859E-2</v>
      </c>
      <c r="F43" s="59">
        <f t="shared" si="221"/>
        <v>2.7074983938568851E-2</v>
      </c>
      <c r="G43" s="59">
        <f t="shared" si="221"/>
        <v>0</v>
      </c>
      <c r="H43" s="59">
        <f t="shared" si="221"/>
        <v>0</v>
      </c>
      <c r="I43" s="59">
        <f t="shared" si="221"/>
        <v>0</v>
      </c>
      <c r="J43" s="375">
        <f t="shared" si="221"/>
        <v>4.2090494563311119E-2</v>
      </c>
      <c r="K43" s="59">
        <f t="shared" si="221"/>
        <v>6.3562453806356251E-2</v>
      </c>
      <c r="L43" s="59">
        <f t="shared" si="221"/>
        <v>5.3741878559396807E-2</v>
      </c>
      <c r="M43" s="59">
        <f t="shared" si="221"/>
        <v>4.852320675105485E-2</v>
      </c>
      <c r="N43" s="59">
        <f t="shared" si="221"/>
        <v>4.2487519458908156E-2</v>
      </c>
      <c r="O43" s="59">
        <f t="shared" si="221"/>
        <v>0</v>
      </c>
      <c r="P43" s="59">
        <f t="shared" si="221"/>
        <v>0</v>
      </c>
      <c r="Q43" s="59">
        <f t="shared" si="221"/>
        <v>0</v>
      </c>
      <c r="R43" s="375">
        <f t="shared" si="221"/>
        <v>5.9820779849842576E-2</v>
      </c>
      <c r="S43" s="59">
        <f t="shared" si="221"/>
        <v>2.2698412698412698</v>
      </c>
      <c r="T43" s="59">
        <f>IFERROR(M34/M14,0)</f>
        <v>4.852320675105485E-2</v>
      </c>
      <c r="U43" s="59">
        <f t="shared" si="221"/>
        <v>6.2043267491498445E-2</v>
      </c>
      <c r="V43" s="59">
        <f t="shared" si="221"/>
        <v>5.8549767302206873E-2</v>
      </c>
      <c r="W43" s="59">
        <f t="shared" si="221"/>
        <v>0</v>
      </c>
      <c r="X43" s="59">
        <f t="shared" si="221"/>
        <v>0</v>
      </c>
      <c r="Y43" s="59">
        <f t="shared" si="221"/>
        <v>0</v>
      </c>
      <c r="Z43" s="375">
        <f t="shared" si="221"/>
        <v>0</v>
      </c>
      <c r="AA43" s="59">
        <f t="shared" si="221"/>
        <v>0</v>
      </c>
      <c r="AB43" s="59">
        <f t="shared" si="221"/>
        <v>0</v>
      </c>
      <c r="AC43" s="59">
        <f t="shared" si="221"/>
        <v>0</v>
      </c>
      <c r="AD43" s="59">
        <f t="shared" si="221"/>
        <v>0</v>
      </c>
      <c r="AE43" s="59">
        <f t="shared" si="221"/>
        <v>0</v>
      </c>
      <c r="AF43" s="59">
        <f t="shared" si="221"/>
        <v>0</v>
      </c>
      <c r="AG43" s="59">
        <f t="shared" si="221"/>
        <v>0</v>
      </c>
      <c r="AH43" s="375">
        <f t="shared" ref="AH43:AO43" si="222">IFERROR(AH34/AH14,0)</f>
        <v>0</v>
      </c>
      <c r="AI43" s="59">
        <f t="shared" si="222"/>
        <v>0</v>
      </c>
      <c r="AJ43" s="59">
        <f t="shared" si="222"/>
        <v>0</v>
      </c>
      <c r="AK43" s="59">
        <f t="shared" si="222"/>
        <v>0</v>
      </c>
      <c r="AL43" s="59">
        <f t="shared" si="222"/>
        <v>0</v>
      </c>
      <c r="AM43" s="59">
        <f t="shared" si="222"/>
        <v>0</v>
      </c>
      <c r="AN43" s="59">
        <f t="shared" si="222"/>
        <v>0</v>
      </c>
      <c r="AO43" s="59">
        <f t="shared" si="222"/>
        <v>0</v>
      </c>
      <c r="AP43" s="375">
        <f t="shared" ref="AP43:AW43" si="223">IFERROR(AP34/AP14,0)</f>
        <v>0</v>
      </c>
      <c r="AQ43" s="59">
        <f t="shared" si="223"/>
        <v>0</v>
      </c>
      <c r="AR43" s="59">
        <f t="shared" si="223"/>
        <v>0</v>
      </c>
      <c r="AS43" s="59">
        <f t="shared" si="223"/>
        <v>0</v>
      </c>
      <c r="AT43" s="59">
        <f>IFERROR(AM34/AM14,0)</f>
        <v>0</v>
      </c>
      <c r="AU43" s="59">
        <f t="shared" si="223"/>
        <v>0</v>
      </c>
      <c r="AV43" s="59">
        <f t="shared" si="223"/>
        <v>0</v>
      </c>
      <c r="AW43" s="59">
        <f t="shared" si="223"/>
        <v>0</v>
      </c>
      <c r="AX43" s="375">
        <f t="shared" ref="AX43:BE43" si="224">IFERROR(AX34/AX14,0)</f>
        <v>0</v>
      </c>
      <c r="AY43" s="59">
        <f t="shared" si="224"/>
        <v>0</v>
      </c>
      <c r="AZ43" s="59">
        <f t="shared" si="224"/>
        <v>0</v>
      </c>
      <c r="BA43" s="59">
        <f t="shared" si="224"/>
        <v>0</v>
      </c>
      <c r="BB43" s="59">
        <f t="shared" si="224"/>
        <v>0</v>
      </c>
      <c r="BC43" s="59">
        <f t="shared" si="224"/>
        <v>0</v>
      </c>
      <c r="BD43" s="59">
        <f t="shared" si="224"/>
        <v>0</v>
      </c>
      <c r="BE43" s="59">
        <f t="shared" si="224"/>
        <v>0</v>
      </c>
      <c r="BF43" s="375"/>
      <c r="BG43" s="118"/>
      <c r="BH43" s="118"/>
      <c r="BI43" s="118"/>
      <c r="BJ43" s="118"/>
      <c r="BK43" s="118"/>
      <c r="BL43" s="118"/>
      <c r="BM43" s="59"/>
      <c r="BN43" s="375">
        <f t="shared" ref="BN43:BU43" si="225">IFERROR(BN34/BN14,0)</f>
        <v>0</v>
      </c>
      <c r="BO43" s="59">
        <f t="shared" si="225"/>
        <v>0</v>
      </c>
      <c r="BP43" s="59">
        <f t="shared" si="225"/>
        <v>0</v>
      </c>
      <c r="BQ43" s="59">
        <f t="shared" si="225"/>
        <v>0</v>
      </c>
      <c r="BR43" s="59">
        <f t="shared" si="225"/>
        <v>0</v>
      </c>
      <c r="BS43" s="59">
        <f t="shared" si="225"/>
        <v>0</v>
      </c>
      <c r="BT43" s="59">
        <f t="shared" si="225"/>
        <v>0</v>
      </c>
      <c r="BU43" s="59">
        <f t="shared" si="225"/>
        <v>0</v>
      </c>
      <c r="BV43" s="375">
        <f t="shared" ref="BV43:CC43" si="226">IFERROR(BV34/BV14,0)</f>
        <v>0</v>
      </c>
      <c r="BW43" s="59">
        <f t="shared" si="226"/>
        <v>0</v>
      </c>
      <c r="BX43" s="59">
        <f t="shared" si="226"/>
        <v>0</v>
      </c>
      <c r="BY43" s="59">
        <f t="shared" si="226"/>
        <v>0</v>
      </c>
      <c r="BZ43" s="59">
        <f t="shared" si="226"/>
        <v>0</v>
      </c>
      <c r="CA43" s="59">
        <f t="shared" si="226"/>
        <v>0</v>
      </c>
      <c r="CB43" s="59">
        <f t="shared" si="226"/>
        <v>0</v>
      </c>
      <c r="CC43" s="59">
        <f t="shared" si="226"/>
        <v>0</v>
      </c>
      <c r="CD43" s="375">
        <f t="shared" ref="CD43:CK43" si="227">IFERROR(CD34/CD14,0)</f>
        <v>0</v>
      </c>
      <c r="CE43" s="59">
        <f t="shared" si="227"/>
        <v>0</v>
      </c>
      <c r="CF43" s="59">
        <f t="shared" si="227"/>
        <v>0</v>
      </c>
      <c r="CG43" s="59">
        <f t="shared" si="227"/>
        <v>0</v>
      </c>
      <c r="CH43" s="59">
        <f t="shared" si="227"/>
        <v>0</v>
      </c>
      <c r="CI43" s="59">
        <f t="shared" si="227"/>
        <v>0</v>
      </c>
      <c r="CJ43" s="59">
        <f t="shared" si="227"/>
        <v>0</v>
      </c>
      <c r="CK43" s="59">
        <f t="shared" si="227"/>
        <v>0</v>
      </c>
      <c r="CL43" s="375"/>
      <c r="CM43" s="59"/>
      <c r="CN43" s="118"/>
      <c r="CO43" s="118"/>
      <c r="CP43" s="118"/>
      <c r="CQ43" s="118"/>
      <c r="CR43" s="118"/>
      <c r="CS43" s="59">
        <f>IFERROR(CS34/CS14,0)</f>
        <v>0</v>
      </c>
      <c r="CT43" s="375"/>
      <c r="CU43" s="118"/>
      <c r="CV43" s="118"/>
      <c r="CW43" s="118"/>
      <c r="CX43" s="118"/>
      <c r="CY43" s="118"/>
      <c r="CZ43" s="118"/>
      <c r="DA43" s="59">
        <f>IFERROR(DA34/DA14,0)</f>
        <v>0</v>
      </c>
      <c r="DB43" s="375"/>
      <c r="DC43" s="118"/>
      <c r="DD43" s="118"/>
      <c r="DE43" s="118"/>
      <c r="DF43" s="118"/>
      <c r="DG43" s="118"/>
      <c r="DH43" s="118"/>
      <c r="DI43" s="59">
        <f>IFERROR(DI34/DI14,0)</f>
        <v>0</v>
      </c>
      <c r="DJ43" s="375"/>
      <c r="DK43" s="118"/>
      <c r="DL43" s="118"/>
      <c r="DM43" s="118"/>
      <c r="DN43" s="118"/>
      <c r="DO43" s="118"/>
      <c r="DP43" s="118"/>
      <c r="DQ43" s="59">
        <f>IFERROR(DQ34/DQ14,0)</f>
        <v>0</v>
      </c>
      <c r="DR43" s="375"/>
      <c r="DS43" s="118"/>
      <c r="DT43" s="118"/>
      <c r="DU43" s="118"/>
      <c r="DV43" s="118"/>
      <c r="DW43" s="118"/>
      <c r="DX43" s="118"/>
      <c r="DY43" s="59"/>
      <c r="DZ43" s="375"/>
      <c r="EA43" s="118"/>
      <c r="EB43" s="118"/>
      <c r="EC43" s="118"/>
      <c r="ED43" s="118"/>
      <c r="EE43" s="118"/>
      <c r="EF43" s="118"/>
      <c r="EG43" s="60"/>
      <c r="EH43" s="406"/>
    </row>
    <row r="44" spans="1:138" hidden="1" outlineLevel="1">
      <c r="A44" s="1"/>
      <c r="B44" s="56"/>
      <c r="C44" s="55"/>
      <c r="D44" s="55"/>
      <c r="E44" s="55"/>
      <c r="F44" s="55"/>
      <c r="G44" s="55"/>
      <c r="H44" s="55"/>
      <c r="I44" s="55"/>
      <c r="J44" s="374"/>
      <c r="K44" s="55"/>
      <c r="L44" s="55"/>
      <c r="M44" s="55"/>
      <c r="N44" s="55"/>
      <c r="O44" s="55"/>
      <c r="P44" s="55"/>
      <c r="Q44" s="55"/>
      <c r="R44" s="374"/>
      <c r="S44" s="55"/>
      <c r="T44" s="55"/>
      <c r="U44" s="55"/>
      <c r="V44" s="55"/>
      <c r="W44" s="55"/>
      <c r="X44" s="55"/>
      <c r="Y44" s="55"/>
      <c r="Z44" s="374"/>
      <c r="AA44" s="55"/>
      <c r="AB44" s="55"/>
      <c r="AC44" s="55"/>
      <c r="AD44" s="55"/>
      <c r="AE44" s="55"/>
      <c r="AF44" s="55"/>
      <c r="AG44" s="55"/>
      <c r="AH44" s="374"/>
      <c r="AI44" s="55"/>
      <c r="AJ44" s="55"/>
      <c r="AK44" s="55"/>
      <c r="AL44" s="55"/>
      <c r="AM44" s="55"/>
      <c r="AN44" s="55"/>
      <c r="AO44" s="55"/>
      <c r="AP44" s="374"/>
      <c r="AQ44" s="55"/>
      <c r="AR44" s="55"/>
      <c r="AS44" s="55"/>
      <c r="AT44" s="55"/>
      <c r="AU44" s="55"/>
      <c r="AV44" s="55"/>
      <c r="AW44" s="55"/>
      <c r="AX44" s="374"/>
      <c r="AY44" s="55"/>
      <c r="AZ44" s="55"/>
      <c r="BA44" s="55"/>
      <c r="BB44" s="55"/>
      <c r="BC44" s="55"/>
      <c r="BD44" s="55"/>
      <c r="BE44" s="55"/>
      <c r="BF44" s="374"/>
      <c r="BG44" s="55"/>
      <c r="BH44" s="55"/>
      <c r="BI44" s="55"/>
      <c r="BJ44" s="55"/>
      <c r="BK44" s="55"/>
      <c r="BL44" s="55"/>
      <c r="BM44" s="55"/>
      <c r="BN44" s="374"/>
      <c r="BO44" s="55"/>
      <c r="BP44" s="55"/>
      <c r="BQ44" s="55"/>
      <c r="BR44" s="55"/>
      <c r="BS44" s="55"/>
      <c r="BT44" s="55"/>
      <c r="BU44" s="55"/>
      <c r="BV44" s="374"/>
      <c r="BW44" s="55"/>
      <c r="BX44" s="55"/>
      <c r="BY44" s="55"/>
      <c r="BZ44" s="55"/>
      <c r="CA44" s="55"/>
      <c r="CB44" s="55"/>
      <c r="CC44" s="55"/>
      <c r="CD44" s="374"/>
      <c r="CE44" s="55"/>
      <c r="CF44" s="55"/>
      <c r="CG44" s="55"/>
      <c r="CH44" s="55"/>
      <c r="CI44" s="55"/>
      <c r="CJ44" s="55"/>
      <c r="CK44" s="55"/>
      <c r="CL44" s="374"/>
      <c r="CM44" s="55"/>
      <c r="CN44" s="55"/>
      <c r="CO44" s="55"/>
      <c r="CP44" s="55"/>
      <c r="CQ44" s="55"/>
      <c r="CR44" s="55"/>
      <c r="CS44" s="55"/>
      <c r="CT44" s="374"/>
      <c r="CU44" s="55"/>
      <c r="CV44" s="55"/>
      <c r="CW44" s="55"/>
      <c r="CX44" s="55"/>
      <c r="CY44" s="55"/>
      <c r="CZ44" s="55"/>
      <c r="DA44" s="55"/>
      <c r="DB44" s="374"/>
      <c r="DC44" s="55"/>
      <c r="DD44" s="55"/>
      <c r="DE44" s="55"/>
      <c r="DF44" s="55"/>
      <c r="DG44" s="55"/>
      <c r="DH44" s="55"/>
      <c r="DI44" s="55"/>
      <c r="DJ44" s="374"/>
      <c r="DK44" s="55"/>
      <c r="DL44" s="55"/>
      <c r="DM44" s="55"/>
      <c r="DN44" s="55"/>
      <c r="DO44" s="55"/>
      <c r="DP44" s="55"/>
      <c r="DQ44" s="55"/>
      <c r="DR44" s="374"/>
      <c r="DS44" s="55"/>
      <c r="DT44" s="55"/>
      <c r="DU44" s="55"/>
      <c r="DV44" s="55"/>
      <c r="DW44" s="55"/>
      <c r="DX44" s="55"/>
      <c r="DY44" s="55"/>
      <c r="DZ44" s="374"/>
      <c r="EA44" s="55"/>
      <c r="EB44" s="55"/>
      <c r="EC44" s="55"/>
      <c r="ED44" s="55"/>
      <c r="EE44" s="55"/>
      <c r="EF44" s="55"/>
      <c r="EG44" s="57"/>
      <c r="EH44" s="406"/>
    </row>
    <row r="45" spans="1:138" hidden="1" outlineLevel="1">
      <c r="A45" s="12" t="s">
        <v>417</v>
      </c>
      <c r="B45" s="56"/>
      <c r="C45" s="55"/>
      <c r="D45" s="55"/>
      <c r="E45" s="55"/>
      <c r="F45" s="55"/>
      <c r="G45" s="55"/>
      <c r="H45" s="55"/>
      <c r="I45" s="55"/>
      <c r="J45" s="374"/>
      <c r="K45" s="55"/>
      <c r="L45" s="55"/>
      <c r="M45" s="55"/>
      <c r="N45" s="55"/>
      <c r="O45" s="55"/>
      <c r="P45" s="55"/>
      <c r="Q45" s="55"/>
      <c r="R45" s="374"/>
      <c r="S45" s="55"/>
      <c r="T45" s="55"/>
      <c r="U45" s="55"/>
      <c r="V45" s="55"/>
      <c r="W45" s="55"/>
      <c r="X45" s="55"/>
      <c r="Y45" s="55"/>
      <c r="Z45" s="374"/>
      <c r="AA45" s="55"/>
      <c r="AB45" s="55"/>
      <c r="AC45" s="55"/>
      <c r="AD45" s="55"/>
      <c r="AE45" s="55"/>
      <c r="AF45" s="55"/>
      <c r="AG45" s="55"/>
      <c r="AH45" s="374"/>
      <c r="AI45" s="55"/>
      <c r="AJ45" s="55"/>
      <c r="AK45" s="55"/>
      <c r="AL45" s="55"/>
      <c r="AM45" s="55"/>
      <c r="AN45" s="55"/>
      <c r="AO45" s="55"/>
      <c r="AP45" s="374"/>
      <c r="AQ45" s="55"/>
      <c r="AR45" s="55"/>
      <c r="AS45" s="55"/>
      <c r="AT45" s="55"/>
      <c r="AU45" s="55"/>
      <c r="AV45" s="55"/>
      <c r="AW45" s="55"/>
      <c r="AX45" s="374"/>
      <c r="AY45" s="55"/>
      <c r="AZ45" s="55"/>
      <c r="BA45" s="55"/>
      <c r="BB45" s="55"/>
      <c r="BC45" s="55"/>
      <c r="BD45" s="55"/>
      <c r="BE45" s="55"/>
      <c r="BF45" s="374"/>
      <c r="BG45" s="55"/>
      <c r="BH45" s="55"/>
      <c r="BI45" s="55"/>
      <c r="BJ45" s="55"/>
      <c r="BK45" s="55"/>
      <c r="BL45" s="55"/>
      <c r="BM45" s="55"/>
      <c r="BN45" s="374"/>
      <c r="BO45" s="55"/>
      <c r="BP45" s="55"/>
      <c r="BQ45" s="55"/>
      <c r="BR45" s="55"/>
      <c r="BS45" s="55"/>
      <c r="BT45" s="55"/>
      <c r="BU45" s="55"/>
      <c r="BV45" s="374"/>
      <c r="BW45" s="55"/>
      <c r="BX45" s="55"/>
      <c r="BY45" s="55"/>
      <c r="BZ45" s="55"/>
      <c r="CA45" s="55"/>
      <c r="CB45" s="55"/>
      <c r="CC45" s="55"/>
      <c r="CD45" s="374"/>
      <c r="CE45" s="55"/>
      <c r="CF45" s="55"/>
      <c r="CG45" s="55"/>
      <c r="CH45" s="55"/>
      <c r="CI45" s="55"/>
      <c r="CJ45" s="55"/>
      <c r="CK45" s="55"/>
      <c r="CL45" s="374"/>
      <c r="CM45" s="55"/>
      <c r="CN45" s="55"/>
      <c r="CO45" s="55"/>
      <c r="CP45" s="55"/>
      <c r="CQ45" s="55"/>
      <c r="CR45" s="55"/>
      <c r="CS45" s="55"/>
      <c r="CT45" s="374"/>
      <c r="CU45" s="55"/>
      <c r="CV45" s="55"/>
      <c r="CW45" s="55"/>
      <c r="CX45" s="55"/>
      <c r="CY45" s="55"/>
      <c r="CZ45" s="55"/>
      <c r="DA45" s="55"/>
      <c r="DB45" s="374"/>
      <c r="DC45" s="55"/>
      <c r="DD45" s="55"/>
      <c r="DE45" s="55"/>
      <c r="DF45" s="55"/>
      <c r="DG45" s="55"/>
      <c r="DH45" s="55"/>
      <c r="DI45" s="55"/>
      <c r="DJ45" s="374"/>
      <c r="DK45" s="55"/>
      <c r="DL45" s="55"/>
      <c r="DM45" s="55"/>
      <c r="DN45" s="55"/>
      <c r="DO45" s="55"/>
      <c r="DP45" s="55"/>
      <c r="DQ45" s="55"/>
      <c r="DR45" s="374"/>
      <c r="DS45" s="55"/>
      <c r="DT45" s="55"/>
      <c r="DU45" s="55"/>
      <c r="DV45" s="55"/>
      <c r="DW45" s="55"/>
      <c r="DX45" s="55"/>
      <c r="DY45" s="55"/>
      <c r="DZ45" s="374"/>
      <c r="EA45" s="55"/>
      <c r="EB45" s="55"/>
      <c r="EC45" s="55"/>
      <c r="ED45" s="55"/>
      <c r="EE45" s="55"/>
      <c r="EF45" s="55"/>
      <c r="EG45" s="57"/>
      <c r="EH45" s="406"/>
    </row>
    <row r="46" spans="1:138" hidden="1" outlineLevel="1">
      <c r="A46" s="1" t="s">
        <v>201</v>
      </c>
      <c r="B46" s="56"/>
      <c r="C46" s="55"/>
      <c r="D46" s="55"/>
      <c r="E46" s="55"/>
      <c r="F46" s="55"/>
      <c r="G46" s="55"/>
      <c r="H46" s="55"/>
      <c r="I46" s="55"/>
      <c r="J46" s="374">
        <f t="shared" ref="J46:S46" si="228">IFERROR(J27/B27-1,0)</f>
        <v>1.2160000000000002</v>
      </c>
      <c r="K46" s="55">
        <f t="shared" si="228"/>
        <v>4.7448979591836737</v>
      </c>
      <c r="L46" s="55">
        <f t="shared" si="228"/>
        <v>2.7668161434977581</v>
      </c>
      <c r="M46" s="55">
        <f t="shared" si="228"/>
        <v>2.8192771084337349</v>
      </c>
      <c r="N46" s="55">
        <f t="shared" si="228"/>
        <v>2.7810457516339868</v>
      </c>
      <c r="O46" s="55">
        <f t="shared" si="228"/>
        <v>1.8603351955307263</v>
      </c>
      <c r="P46" s="55">
        <f t="shared" si="228"/>
        <v>2.16412213740458</v>
      </c>
      <c r="Q46" s="55">
        <f t="shared" si="228"/>
        <v>2.4412371134020621</v>
      </c>
      <c r="R46" s="374">
        <f t="shared" si="228"/>
        <v>1.1949458483754514</v>
      </c>
      <c r="S46" s="55">
        <f t="shared" si="228"/>
        <v>-1.516873889875666</v>
      </c>
      <c r="T46" s="55">
        <f t="shared" ref="T46:T51" si="229">IFERROR(M27/L27-1,0)</f>
        <v>-0.62261904761904763</v>
      </c>
      <c r="U46" s="55">
        <f t="shared" ref="U46:U51" si="230">IFERROR(U27/M27-1,0)</f>
        <v>3.3943217665615144</v>
      </c>
      <c r="V46" s="55">
        <f t="shared" ref="V46:V51" si="231">IFERROR(V27/N27-1,0)</f>
        <v>0.47796024200518583</v>
      </c>
      <c r="W46" s="55">
        <f t="shared" ref="W46:W51" si="232">IFERROR(W27/O27-1,0)</f>
        <v>-1.171875E-2</v>
      </c>
      <c r="X46" s="55">
        <f t="shared" ref="X46:X51" si="233">IFERROR(X27/P27-1,0)</f>
        <v>1.2907117008443909</v>
      </c>
      <c r="Y46" s="55">
        <f t="shared" ref="Y46:AA51" si="234">IFERROR(Y27/Q27-1,0)</f>
        <v>0.32774116237267825</v>
      </c>
      <c r="Z46" s="374">
        <f t="shared" si="234"/>
        <v>-1</v>
      </c>
      <c r="AA46" s="55">
        <f t="shared" si="234"/>
        <v>-1</v>
      </c>
      <c r="AB46" s="55">
        <f t="shared" ref="AB46:AB51" si="235">IFERROR(AB27/M27-1,0)</f>
        <v>-1</v>
      </c>
      <c r="AC46" s="55">
        <f t="shared" ref="AC46:AC51" si="236">IFERROR(AC27/U27-1,0)</f>
        <v>-1</v>
      </c>
      <c r="AD46" s="55">
        <f t="shared" ref="AD46:AD51" si="237">IFERROR(AD27/V27-1,0)</f>
        <v>-1</v>
      </c>
      <c r="AE46" s="55">
        <f t="shared" ref="AE46:AE51" si="238">IFERROR(AE27/W27-1,0)</f>
        <v>3.9980237154150196</v>
      </c>
      <c r="AF46" s="55">
        <f t="shared" ref="AF46:AF51" si="239">IFERROR(AF27/X27-1,0)</f>
        <v>0.33175355450236976</v>
      </c>
      <c r="AG46" s="55">
        <f t="shared" ref="AG46:AG51" si="240">IFERROR(AG27/Y27-1,0)</f>
        <v>0.14124548736462095</v>
      </c>
      <c r="AH46" s="374">
        <f t="shared" ref="AH46:AH51" si="241">IFERROR(AH27/Z27-1,0)</f>
        <v>0</v>
      </c>
      <c r="AI46" s="55">
        <f t="shared" ref="AI46:AI51" si="242">IFERROR(AI27/AA27-1,0)</f>
        <v>0</v>
      </c>
      <c r="AJ46" s="55">
        <f t="shared" ref="AJ46:AJ51" si="243">IFERROR(AJ27/AB27-1,0)</f>
        <v>0</v>
      </c>
      <c r="AK46" s="55">
        <f t="shared" ref="AK46:AK51" si="244">IFERROR(AK27/AC27-1,0)</f>
        <v>0</v>
      </c>
      <c r="AL46" s="55">
        <f t="shared" ref="AL46:AL51" si="245">IFERROR(AL27/AD27-1,0)</f>
        <v>0</v>
      </c>
      <c r="AM46" s="55">
        <f t="shared" ref="AM46:AM51" si="246">IFERROR(AM27/AE27-1,0)</f>
        <v>0.81890075128509299</v>
      </c>
      <c r="AN46" s="55">
        <f t="shared" ref="AN46:AN51" si="247">IFERROR(AN27/AF27-1,0)</f>
        <v>0.81890075128509299</v>
      </c>
      <c r="AO46" s="55">
        <f t="shared" ref="AO46:AO51" si="248">IFERROR(AO27/AG27-1,0)</f>
        <v>0.81890075128509299</v>
      </c>
      <c r="AP46" s="374">
        <f t="shared" ref="AP46:AP51" si="249">IFERROR(AP27/AH27-1,0)</f>
        <v>0</v>
      </c>
      <c r="AQ46" s="55">
        <f t="shared" ref="AQ46:AQ51" si="250">IFERROR(AQ27/AI27-1,0)</f>
        <v>0</v>
      </c>
      <c r="AR46" s="55">
        <f t="shared" ref="AR46:AR51" si="251">IFERROR(AR27/AJ27-1,0)</f>
        <v>0</v>
      </c>
      <c r="AS46" s="55">
        <f t="shared" ref="AS46:AS51" si="252">IFERROR(AS27/AK27-1,0)</f>
        <v>0</v>
      </c>
      <c r="AT46" s="55">
        <f t="shared" ref="AT46:AT51" si="253">IFERROR(AM27/AL27-1,0)</f>
        <v>0</v>
      </c>
      <c r="AU46" s="55">
        <f t="shared" ref="AU46:AU51" si="254">IFERROR(AU27/AM27-1,0)</f>
        <v>-2</v>
      </c>
      <c r="AV46" s="55">
        <f t="shared" ref="AV46:AV51" si="255">IFERROR(AV27/AN27-1,0)</f>
        <v>-1</v>
      </c>
      <c r="AW46" s="55">
        <f t="shared" ref="AW46:AW51" si="256">IFERROR(AW27/AO27-1,0)</f>
        <v>-1</v>
      </c>
      <c r="AX46" s="374">
        <f t="shared" ref="AX46:AX51" si="257">IFERROR(AX27/AP27-1,0)</f>
        <v>0</v>
      </c>
      <c r="AY46" s="55">
        <f t="shared" ref="AY46:AY51" si="258">IFERROR(AY27/AQ27-1,0)</f>
        <v>0</v>
      </c>
      <c r="AZ46" s="55">
        <f t="shared" ref="AZ46:AZ51" si="259">IFERROR(AZ27/AR27-1,0)</f>
        <v>0</v>
      </c>
      <c r="BA46" s="55">
        <f t="shared" ref="BA46:BA51" si="260">IFERROR(BA27/AS27-1,0)</f>
        <v>-1</v>
      </c>
      <c r="BB46" s="55">
        <f t="shared" ref="BB46:BB51" si="261">IFERROR(BB27/AM27-1,0)</f>
        <v>-1</v>
      </c>
      <c r="BC46" s="55">
        <f t="shared" ref="BC46:BC51" si="262">IFERROR(BC27/AU27-1,0)</f>
        <v>-1</v>
      </c>
      <c r="BD46" s="55">
        <f t="shared" ref="BD46:BD51" si="263">IFERROR(BD27/AV27-1,0)</f>
        <v>0</v>
      </c>
      <c r="BE46" s="55">
        <f t="shared" ref="BE46:BE51" si="264">IFERROR(BE27/AW27-1,0)</f>
        <v>0</v>
      </c>
      <c r="BF46" s="374"/>
      <c r="BG46" s="55"/>
      <c r="BH46" s="55"/>
      <c r="BI46" s="55"/>
      <c r="BJ46" s="55"/>
      <c r="BK46" s="55"/>
      <c r="BL46" s="55"/>
      <c r="BM46" s="55"/>
      <c r="BN46" s="374">
        <f t="shared" ref="BN46:BQ51" si="265">IFERROR(BN27/AX27-1,0)</f>
        <v>0</v>
      </c>
      <c r="BO46" s="55">
        <f t="shared" si="265"/>
        <v>0</v>
      </c>
      <c r="BP46" s="55">
        <f t="shared" si="265"/>
        <v>0</v>
      </c>
      <c r="BQ46" s="55">
        <f t="shared" si="265"/>
        <v>0</v>
      </c>
      <c r="BR46" s="55">
        <f t="shared" ref="BR46:BR51" si="266">IFERROR(BR27/AU27-1,0)</f>
        <v>-1</v>
      </c>
      <c r="BS46" s="55">
        <f t="shared" ref="BS46:BU51" si="267">IFERROR(BS27/BC27-1,0)</f>
        <v>0</v>
      </c>
      <c r="BT46" s="55">
        <f t="shared" si="267"/>
        <v>0</v>
      </c>
      <c r="BU46" s="55">
        <f t="shared" si="267"/>
        <v>0</v>
      </c>
      <c r="BV46" s="374">
        <f t="shared" ref="BV46:BV51" si="268">IFERROR(BV27/BN27-1,0)</f>
        <v>0</v>
      </c>
      <c r="BW46" s="55">
        <f t="shared" ref="BW46:BW51" si="269">IFERROR(BW27/BO27-1,0)</f>
        <v>0</v>
      </c>
      <c r="BX46" s="55">
        <f t="shared" ref="BX46:BX51" si="270">IFERROR(BX27/BP27-1,0)</f>
        <v>0</v>
      </c>
      <c r="BY46" s="55">
        <f t="shared" ref="BY46:BY51" si="271">IFERROR(BY27/BQ27-1,0)</f>
        <v>0</v>
      </c>
      <c r="BZ46" s="55">
        <f t="shared" ref="BZ46:BZ51" si="272">IFERROR(BZ27/BC27-1,0)</f>
        <v>0</v>
      </c>
      <c r="CA46" s="55">
        <f t="shared" ref="CA46:CA51" si="273">IFERROR(CA27/BS27-1,0)</f>
        <v>0</v>
      </c>
      <c r="CB46" s="55">
        <f t="shared" ref="CB46:CB51" si="274">IFERROR(CB27/BT27-1,0)</f>
        <v>0</v>
      </c>
      <c r="CC46" s="55">
        <f t="shared" ref="CC46:CC51" si="275">IFERROR(CC27/BU27-1,0)</f>
        <v>0</v>
      </c>
      <c r="CD46" s="374">
        <f t="shared" ref="CD46:CG51" si="276">IFERROR(CD27/BV27-1,0)</f>
        <v>0</v>
      </c>
      <c r="CE46" s="55">
        <f t="shared" si="276"/>
        <v>0</v>
      </c>
      <c r="CF46" s="55">
        <f t="shared" si="276"/>
        <v>0</v>
      </c>
      <c r="CG46" s="55">
        <f t="shared" si="276"/>
        <v>0</v>
      </c>
      <c r="CH46" s="55">
        <f t="shared" ref="CH46:CH51" si="277">IFERROR(CH27/BS27-1,0)</f>
        <v>0</v>
      </c>
      <c r="CI46" s="55">
        <f t="shared" ref="CI46:CK51" si="278">IFERROR(CI27/CA27-1,0)</f>
        <v>0</v>
      </c>
      <c r="CJ46" s="55">
        <f t="shared" si="278"/>
        <v>0</v>
      </c>
      <c r="CK46" s="55">
        <f t="shared" si="278"/>
        <v>0</v>
      </c>
      <c r="CL46" s="374"/>
      <c r="CM46" s="55"/>
      <c r="CN46" s="55"/>
      <c r="CO46" s="55"/>
      <c r="CP46" s="55"/>
      <c r="CQ46" s="55"/>
      <c r="CR46" s="55"/>
      <c r="CS46" s="55">
        <f t="shared" ref="CS46:CS51" si="279">IFERROR(CS27/CK27-1,0)</f>
        <v>0</v>
      </c>
      <c r="CT46" s="374"/>
      <c r="CU46" s="55"/>
      <c r="CV46" s="55"/>
      <c r="CW46" s="55"/>
      <c r="CX46" s="55"/>
      <c r="CY46" s="55"/>
      <c r="CZ46" s="55"/>
      <c r="DA46" s="55">
        <f t="shared" ref="DA46:DA51" si="280">IFERROR(DA27/CS27-1,0)</f>
        <v>0</v>
      </c>
      <c r="DB46" s="374"/>
      <c r="DC46" s="55"/>
      <c r="DD46" s="55"/>
      <c r="DE46" s="55"/>
      <c r="DF46" s="55"/>
      <c r="DG46" s="55"/>
      <c r="DH46" s="55"/>
      <c r="DI46" s="55">
        <f t="shared" ref="DI46:DI51" si="281">IFERROR(DI27/DA27-1,0)</f>
        <v>0</v>
      </c>
      <c r="DJ46" s="374"/>
      <c r="DK46" s="55"/>
      <c r="DL46" s="55"/>
      <c r="DM46" s="55"/>
      <c r="DN46" s="55"/>
      <c r="DO46" s="55"/>
      <c r="DP46" s="55"/>
      <c r="DQ46" s="55">
        <f t="shared" ref="DQ46:DQ51" si="282">IFERROR(DQ27/DI27-1,0)</f>
        <v>0</v>
      </c>
      <c r="DR46" s="374"/>
      <c r="DS46" s="55"/>
      <c r="DT46" s="55"/>
      <c r="DU46" s="55"/>
      <c r="DV46" s="55"/>
      <c r="DW46" s="55"/>
      <c r="DX46" s="55"/>
      <c r="DY46" s="55"/>
      <c r="DZ46" s="374"/>
      <c r="EA46" s="55"/>
      <c r="EB46" s="55"/>
      <c r="EC46" s="55"/>
      <c r="ED46" s="55"/>
      <c r="EE46" s="55"/>
      <c r="EF46" s="55"/>
      <c r="EG46" s="57"/>
      <c r="EH46" s="406"/>
    </row>
    <row r="47" spans="1:138" hidden="1" outlineLevel="1">
      <c r="A47" s="1" t="s">
        <v>408</v>
      </c>
      <c r="B47" s="56"/>
      <c r="C47" s="55"/>
      <c r="D47" s="55"/>
      <c r="E47" s="55"/>
      <c r="F47" s="55"/>
      <c r="G47" s="55"/>
      <c r="H47" s="55"/>
      <c r="I47" s="55"/>
      <c r="J47" s="374">
        <f>IFERROR(J28/B28-1,0)</f>
        <v>10</v>
      </c>
      <c r="K47" s="55">
        <f t="shared" ref="K47:Q47" si="283">IFERROR(K28/C28-1,0)</f>
        <v>-5.5</v>
      </c>
      <c r="L47" s="55">
        <f t="shared" si="283"/>
        <v>-0.33333333333333337</v>
      </c>
      <c r="M47" s="55">
        <f t="shared" si="283"/>
        <v>2</v>
      </c>
      <c r="N47" s="55">
        <f t="shared" si="283"/>
        <v>0.60000000000000009</v>
      </c>
      <c r="O47" s="55">
        <f t="shared" si="283"/>
        <v>0</v>
      </c>
      <c r="P47" s="55">
        <f t="shared" si="283"/>
        <v>0</v>
      </c>
      <c r="Q47" s="55">
        <f t="shared" si="283"/>
        <v>0</v>
      </c>
      <c r="R47" s="374">
        <f t="shared" ref="R47:S51" si="284">IFERROR(R28/J28-1,0)</f>
        <v>0.36363636363636354</v>
      </c>
      <c r="S47" s="55">
        <f t="shared" si="284"/>
        <v>0</v>
      </c>
      <c r="T47" s="55">
        <f t="shared" si="229"/>
        <v>2</v>
      </c>
      <c r="U47" s="55">
        <f t="shared" si="230"/>
        <v>-0.66666666666666674</v>
      </c>
      <c r="V47" s="55">
        <f t="shared" si="231"/>
        <v>0</v>
      </c>
      <c r="W47" s="55">
        <f t="shared" si="232"/>
        <v>0</v>
      </c>
      <c r="X47" s="55">
        <f t="shared" si="233"/>
        <v>0</v>
      </c>
      <c r="Y47" s="55">
        <f t="shared" si="234"/>
        <v>0</v>
      </c>
      <c r="Z47" s="374">
        <f t="shared" si="234"/>
        <v>-1</v>
      </c>
      <c r="AA47" s="55">
        <f t="shared" si="234"/>
        <v>-1</v>
      </c>
      <c r="AB47" s="55">
        <f t="shared" si="235"/>
        <v>-1</v>
      </c>
      <c r="AC47" s="55">
        <f t="shared" si="236"/>
        <v>-1</v>
      </c>
      <c r="AD47" s="55">
        <f t="shared" si="237"/>
        <v>-1</v>
      </c>
      <c r="AE47" s="55">
        <f t="shared" si="238"/>
        <v>0</v>
      </c>
      <c r="AF47" s="55">
        <f t="shared" si="239"/>
        <v>0</v>
      </c>
      <c r="AG47" s="55">
        <f t="shared" si="240"/>
        <v>0</v>
      </c>
      <c r="AH47" s="374">
        <f t="shared" si="241"/>
        <v>0</v>
      </c>
      <c r="AI47" s="55">
        <f t="shared" si="242"/>
        <v>0</v>
      </c>
      <c r="AJ47" s="55">
        <f t="shared" si="243"/>
        <v>0</v>
      </c>
      <c r="AK47" s="55">
        <f t="shared" si="244"/>
        <v>0</v>
      </c>
      <c r="AL47" s="55">
        <f t="shared" si="245"/>
        <v>0</v>
      </c>
      <c r="AM47" s="55">
        <f t="shared" si="246"/>
        <v>0</v>
      </c>
      <c r="AN47" s="55">
        <f t="shared" si="247"/>
        <v>0</v>
      </c>
      <c r="AO47" s="55">
        <f t="shared" si="248"/>
        <v>0</v>
      </c>
      <c r="AP47" s="374">
        <f t="shared" si="249"/>
        <v>0</v>
      </c>
      <c r="AQ47" s="55">
        <f t="shared" si="250"/>
        <v>0</v>
      </c>
      <c r="AR47" s="55">
        <f t="shared" si="251"/>
        <v>0</v>
      </c>
      <c r="AS47" s="55">
        <f t="shared" si="252"/>
        <v>0</v>
      </c>
      <c r="AT47" s="55">
        <f t="shared" si="253"/>
        <v>0</v>
      </c>
      <c r="AU47" s="55">
        <f t="shared" si="254"/>
        <v>0</v>
      </c>
      <c r="AV47" s="55">
        <f t="shared" si="255"/>
        <v>0</v>
      </c>
      <c r="AW47" s="55">
        <f t="shared" si="256"/>
        <v>0</v>
      </c>
      <c r="AX47" s="374">
        <f t="shared" si="257"/>
        <v>0</v>
      </c>
      <c r="AY47" s="55">
        <f t="shared" si="258"/>
        <v>0</v>
      </c>
      <c r="AZ47" s="55">
        <f t="shared" si="259"/>
        <v>0</v>
      </c>
      <c r="BA47" s="55">
        <f t="shared" si="260"/>
        <v>0</v>
      </c>
      <c r="BB47" s="55">
        <f t="shared" si="261"/>
        <v>0</v>
      </c>
      <c r="BC47" s="55">
        <f t="shared" si="262"/>
        <v>0</v>
      </c>
      <c r="BD47" s="55">
        <f t="shared" si="263"/>
        <v>0</v>
      </c>
      <c r="BE47" s="55">
        <f t="shared" si="264"/>
        <v>0</v>
      </c>
      <c r="BF47" s="374"/>
      <c r="BG47" s="55"/>
      <c r="BH47" s="55"/>
      <c r="BI47" s="55"/>
      <c r="BJ47" s="55"/>
      <c r="BK47" s="55"/>
      <c r="BL47" s="55"/>
      <c r="BM47" s="55"/>
      <c r="BN47" s="374">
        <f t="shared" si="265"/>
        <v>0</v>
      </c>
      <c r="BO47" s="55">
        <f t="shared" si="265"/>
        <v>0</v>
      </c>
      <c r="BP47" s="55">
        <f t="shared" si="265"/>
        <v>0</v>
      </c>
      <c r="BQ47" s="55">
        <f t="shared" si="265"/>
        <v>0</v>
      </c>
      <c r="BR47" s="55">
        <f t="shared" si="266"/>
        <v>0</v>
      </c>
      <c r="BS47" s="55">
        <f t="shared" si="267"/>
        <v>0</v>
      </c>
      <c r="BT47" s="55">
        <f t="shared" si="267"/>
        <v>0</v>
      </c>
      <c r="BU47" s="55">
        <f t="shared" si="267"/>
        <v>0</v>
      </c>
      <c r="BV47" s="374">
        <f t="shared" si="268"/>
        <v>0</v>
      </c>
      <c r="BW47" s="55">
        <f t="shared" si="269"/>
        <v>0</v>
      </c>
      <c r="BX47" s="55">
        <f t="shared" si="270"/>
        <v>0</v>
      </c>
      <c r="BY47" s="55">
        <f t="shared" si="271"/>
        <v>0</v>
      </c>
      <c r="BZ47" s="55">
        <f t="shared" si="272"/>
        <v>0</v>
      </c>
      <c r="CA47" s="55">
        <f t="shared" si="273"/>
        <v>0</v>
      </c>
      <c r="CB47" s="55">
        <f t="shared" si="274"/>
        <v>0</v>
      </c>
      <c r="CC47" s="55">
        <f t="shared" si="275"/>
        <v>0</v>
      </c>
      <c r="CD47" s="374">
        <f t="shared" si="276"/>
        <v>0</v>
      </c>
      <c r="CE47" s="55">
        <f t="shared" si="276"/>
        <v>0</v>
      </c>
      <c r="CF47" s="55">
        <f t="shared" si="276"/>
        <v>0</v>
      </c>
      <c r="CG47" s="55">
        <f t="shared" si="276"/>
        <v>0</v>
      </c>
      <c r="CH47" s="55">
        <f t="shared" si="277"/>
        <v>0</v>
      </c>
      <c r="CI47" s="55">
        <f t="shared" si="278"/>
        <v>0</v>
      </c>
      <c r="CJ47" s="55">
        <f t="shared" si="278"/>
        <v>0</v>
      </c>
      <c r="CK47" s="55">
        <f t="shared" si="278"/>
        <v>0</v>
      </c>
      <c r="CL47" s="374"/>
      <c r="CM47" s="55"/>
      <c r="CN47" s="55"/>
      <c r="CO47" s="55"/>
      <c r="CP47" s="55"/>
      <c r="CQ47" s="55"/>
      <c r="CR47" s="55"/>
      <c r="CS47" s="55">
        <f t="shared" si="279"/>
        <v>0</v>
      </c>
      <c r="CT47" s="374"/>
      <c r="CU47" s="55"/>
      <c r="CV47" s="55"/>
      <c r="CW47" s="55"/>
      <c r="CX47" s="55"/>
      <c r="CY47" s="55"/>
      <c r="CZ47" s="55"/>
      <c r="DA47" s="55">
        <f t="shared" si="280"/>
        <v>0</v>
      </c>
      <c r="DB47" s="374"/>
      <c r="DC47" s="55"/>
      <c r="DD47" s="55"/>
      <c r="DE47" s="55"/>
      <c r="DF47" s="55"/>
      <c r="DG47" s="55"/>
      <c r="DH47" s="55"/>
      <c r="DI47" s="55">
        <f t="shared" si="281"/>
        <v>0</v>
      </c>
      <c r="DJ47" s="374"/>
      <c r="DK47" s="55"/>
      <c r="DL47" s="55"/>
      <c r="DM47" s="55"/>
      <c r="DN47" s="55"/>
      <c r="DO47" s="55"/>
      <c r="DP47" s="55"/>
      <c r="DQ47" s="55">
        <f t="shared" si="282"/>
        <v>0</v>
      </c>
      <c r="DR47" s="374"/>
      <c r="DS47" s="55"/>
      <c r="DT47" s="55"/>
      <c r="DU47" s="55"/>
      <c r="DV47" s="55"/>
      <c r="DW47" s="55"/>
      <c r="DX47" s="55"/>
      <c r="DY47" s="55"/>
      <c r="DZ47" s="374"/>
      <c r="EA47" s="55"/>
      <c r="EB47" s="55"/>
      <c r="EC47" s="55"/>
      <c r="ED47" s="55"/>
      <c r="EE47" s="55"/>
      <c r="EF47" s="55"/>
      <c r="EG47" s="57"/>
      <c r="EH47" s="406"/>
    </row>
    <row r="48" spans="1:138" hidden="1" outlineLevel="1">
      <c r="A48" s="1" t="s">
        <v>409</v>
      </c>
      <c r="B48" s="56"/>
      <c r="C48" s="55"/>
      <c r="D48" s="55"/>
      <c r="E48" s="55"/>
      <c r="F48" s="55"/>
      <c r="G48" s="55"/>
      <c r="H48" s="55"/>
      <c r="I48" s="55"/>
      <c r="J48" s="374">
        <f>IFERROR(J29/B29-1,0)</f>
        <v>1.064516129032258</v>
      </c>
      <c r="K48" s="55">
        <f t="shared" ref="K48:Q48" si="285">IFERROR(K29/C29-1,0)</f>
        <v>1.126984126984127</v>
      </c>
      <c r="L48" s="55">
        <f t="shared" si="285"/>
        <v>1.1063829787234041</v>
      </c>
      <c r="M48" s="55">
        <f t="shared" si="285"/>
        <v>0.22222222222222232</v>
      </c>
      <c r="N48" s="55">
        <f t="shared" si="285"/>
        <v>0.75159235668789814</v>
      </c>
      <c r="O48" s="55">
        <f t="shared" si="285"/>
        <v>-0.66666666666666674</v>
      </c>
      <c r="P48" s="55">
        <f t="shared" si="285"/>
        <v>-0.32727272727272727</v>
      </c>
      <c r="Q48" s="55">
        <f t="shared" si="285"/>
        <v>0.19305019305019311</v>
      </c>
      <c r="R48" s="374">
        <f t="shared" si="284"/>
        <v>-0.6875</v>
      </c>
      <c r="S48" s="55">
        <f t="shared" si="284"/>
        <v>-0.57462686567164178</v>
      </c>
      <c r="T48" s="55">
        <f t="shared" si="229"/>
        <v>-0.61111111111111116</v>
      </c>
      <c r="U48" s="55">
        <f t="shared" si="230"/>
        <v>0.81818181818181812</v>
      </c>
      <c r="V48" s="55">
        <f t="shared" si="231"/>
        <v>-0.21090909090909093</v>
      </c>
      <c r="W48" s="55">
        <f t="shared" si="232"/>
        <v>4.2941176470588234</v>
      </c>
      <c r="X48" s="55">
        <f t="shared" si="233"/>
        <v>1.8828828828828827</v>
      </c>
      <c r="Y48" s="55">
        <f t="shared" si="234"/>
        <v>0.28478964401294493</v>
      </c>
      <c r="Z48" s="374">
        <f t="shared" si="234"/>
        <v>-1</v>
      </c>
      <c r="AA48" s="55">
        <f t="shared" si="234"/>
        <v>-1</v>
      </c>
      <c r="AB48" s="55">
        <f t="shared" si="235"/>
        <v>-1</v>
      </c>
      <c r="AC48" s="55">
        <f t="shared" si="236"/>
        <v>-1</v>
      </c>
      <c r="AD48" s="55">
        <f t="shared" si="237"/>
        <v>-1</v>
      </c>
      <c r="AE48" s="55">
        <f t="shared" si="238"/>
        <v>1.2944444444444443</v>
      </c>
      <c r="AF48" s="55">
        <f t="shared" si="239"/>
        <v>0.29062499999999991</v>
      </c>
      <c r="AG48" s="55">
        <f t="shared" si="240"/>
        <v>4.0302267002518821E-2</v>
      </c>
      <c r="AH48" s="374">
        <f t="shared" si="241"/>
        <v>0</v>
      </c>
      <c r="AI48" s="55">
        <f t="shared" si="242"/>
        <v>0</v>
      </c>
      <c r="AJ48" s="55">
        <f t="shared" si="243"/>
        <v>0</v>
      </c>
      <c r="AK48" s="55">
        <f t="shared" si="244"/>
        <v>0</v>
      </c>
      <c r="AL48" s="55">
        <f t="shared" si="245"/>
        <v>0</v>
      </c>
      <c r="AM48" s="55">
        <f t="shared" si="246"/>
        <v>0.54721549636803868</v>
      </c>
      <c r="AN48" s="55">
        <f t="shared" si="247"/>
        <v>0.54721549636803868</v>
      </c>
      <c r="AO48" s="55">
        <f t="shared" si="248"/>
        <v>0.54721549636803868</v>
      </c>
      <c r="AP48" s="374">
        <f t="shared" si="249"/>
        <v>0</v>
      </c>
      <c r="AQ48" s="55">
        <f t="shared" si="250"/>
        <v>0</v>
      </c>
      <c r="AR48" s="55">
        <f t="shared" si="251"/>
        <v>0</v>
      </c>
      <c r="AS48" s="55">
        <f t="shared" si="252"/>
        <v>0</v>
      </c>
      <c r="AT48" s="55">
        <f t="shared" si="253"/>
        <v>0</v>
      </c>
      <c r="AU48" s="55">
        <f t="shared" si="254"/>
        <v>-2</v>
      </c>
      <c r="AV48" s="55">
        <f t="shared" si="255"/>
        <v>-1</v>
      </c>
      <c r="AW48" s="55">
        <f t="shared" si="256"/>
        <v>-1</v>
      </c>
      <c r="AX48" s="374">
        <f t="shared" si="257"/>
        <v>0</v>
      </c>
      <c r="AY48" s="55">
        <f t="shared" si="258"/>
        <v>0</v>
      </c>
      <c r="AZ48" s="55">
        <f t="shared" si="259"/>
        <v>0</v>
      </c>
      <c r="BA48" s="55">
        <f t="shared" si="260"/>
        <v>-1</v>
      </c>
      <c r="BB48" s="55">
        <f t="shared" si="261"/>
        <v>-1</v>
      </c>
      <c r="BC48" s="55">
        <f t="shared" si="262"/>
        <v>-1</v>
      </c>
      <c r="BD48" s="55">
        <f t="shared" si="263"/>
        <v>0</v>
      </c>
      <c r="BE48" s="55">
        <f t="shared" si="264"/>
        <v>0</v>
      </c>
      <c r="BF48" s="374"/>
      <c r="BG48" s="55"/>
      <c r="BH48" s="55"/>
      <c r="BI48" s="55"/>
      <c r="BJ48" s="55"/>
      <c r="BK48" s="55"/>
      <c r="BL48" s="55"/>
      <c r="BM48" s="55"/>
      <c r="BN48" s="374">
        <f t="shared" si="265"/>
        <v>0</v>
      </c>
      <c r="BO48" s="55">
        <f t="shared" si="265"/>
        <v>0</v>
      </c>
      <c r="BP48" s="55">
        <f t="shared" si="265"/>
        <v>0</v>
      </c>
      <c r="BQ48" s="55">
        <f t="shared" si="265"/>
        <v>0</v>
      </c>
      <c r="BR48" s="55">
        <f t="shared" si="266"/>
        <v>-1</v>
      </c>
      <c r="BS48" s="55">
        <f t="shared" si="267"/>
        <v>0</v>
      </c>
      <c r="BT48" s="55">
        <f t="shared" si="267"/>
        <v>0</v>
      </c>
      <c r="BU48" s="55">
        <f t="shared" si="267"/>
        <v>0</v>
      </c>
      <c r="BV48" s="374">
        <f t="shared" si="268"/>
        <v>0</v>
      </c>
      <c r="BW48" s="55">
        <f t="shared" si="269"/>
        <v>0</v>
      </c>
      <c r="BX48" s="55">
        <f t="shared" si="270"/>
        <v>0</v>
      </c>
      <c r="BY48" s="55">
        <f t="shared" si="271"/>
        <v>0</v>
      </c>
      <c r="BZ48" s="55">
        <f t="shared" si="272"/>
        <v>0</v>
      </c>
      <c r="CA48" s="55">
        <f t="shared" si="273"/>
        <v>0</v>
      </c>
      <c r="CB48" s="55">
        <f t="shared" si="274"/>
        <v>0</v>
      </c>
      <c r="CC48" s="55">
        <f t="shared" si="275"/>
        <v>0</v>
      </c>
      <c r="CD48" s="374">
        <f t="shared" si="276"/>
        <v>0</v>
      </c>
      <c r="CE48" s="55">
        <f t="shared" si="276"/>
        <v>0</v>
      </c>
      <c r="CF48" s="55">
        <f t="shared" si="276"/>
        <v>0</v>
      </c>
      <c r="CG48" s="55">
        <f t="shared" si="276"/>
        <v>0</v>
      </c>
      <c r="CH48" s="55">
        <f t="shared" si="277"/>
        <v>0</v>
      </c>
      <c r="CI48" s="55">
        <f t="shared" si="278"/>
        <v>0</v>
      </c>
      <c r="CJ48" s="55">
        <f t="shared" si="278"/>
        <v>0</v>
      </c>
      <c r="CK48" s="55">
        <f t="shared" si="278"/>
        <v>0</v>
      </c>
      <c r="CL48" s="374"/>
      <c r="CM48" s="55"/>
      <c r="CN48" s="55"/>
      <c r="CO48" s="55"/>
      <c r="CP48" s="55"/>
      <c r="CQ48" s="55"/>
      <c r="CR48" s="55"/>
      <c r="CS48" s="55">
        <f t="shared" si="279"/>
        <v>0</v>
      </c>
      <c r="CT48" s="374"/>
      <c r="CU48" s="55"/>
      <c r="CV48" s="55"/>
      <c r="CW48" s="55"/>
      <c r="CX48" s="55"/>
      <c r="CY48" s="55"/>
      <c r="CZ48" s="55"/>
      <c r="DA48" s="55">
        <f t="shared" si="280"/>
        <v>0</v>
      </c>
      <c r="DB48" s="374"/>
      <c r="DC48" s="55"/>
      <c r="DD48" s="55"/>
      <c r="DE48" s="55"/>
      <c r="DF48" s="55"/>
      <c r="DG48" s="55"/>
      <c r="DH48" s="55"/>
      <c r="DI48" s="55">
        <f t="shared" si="281"/>
        <v>0</v>
      </c>
      <c r="DJ48" s="374"/>
      <c r="DK48" s="55"/>
      <c r="DL48" s="55"/>
      <c r="DM48" s="55"/>
      <c r="DN48" s="55"/>
      <c r="DO48" s="55"/>
      <c r="DP48" s="55"/>
      <c r="DQ48" s="55">
        <f t="shared" si="282"/>
        <v>0</v>
      </c>
      <c r="DR48" s="374"/>
      <c r="DS48" s="55"/>
      <c r="DT48" s="55"/>
      <c r="DU48" s="55"/>
      <c r="DV48" s="55"/>
      <c r="DW48" s="55"/>
      <c r="DX48" s="55"/>
      <c r="DY48" s="55"/>
      <c r="DZ48" s="374"/>
      <c r="EA48" s="55"/>
      <c r="EB48" s="55"/>
      <c r="EC48" s="55"/>
      <c r="ED48" s="55"/>
      <c r="EE48" s="55"/>
      <c r="EF48" s="55"/>
      <c r="EG48" s="57"/>
      <c r="EH48" s="406"/>
    </row>
    <row r="49" spans="1:140" hidden="1" outlineLevel="1">
      <c r="A49" s="1" t="s">
        <v>410</v>
      </c>
      <c r="B49" s="56"/>
      <c r="C49" s="55"/>
      <c r="D49" s="55"/>
      <c r="E49" s="55"/>
      <c r="F49" s="55"/>
      <c r="G49" s="55"/>
      <c r="H49" s="55"/>
      <c r="I49" s="55"/>
      <c r="J49" s="374">
        <f>IFERROR(J30/B30-1,0)</f>
        <v>0.25</v>
      </c>
      <c r="K49" s="55">
        <f t="shared" ref="K49:Q49" si="286">IFERROR(K30/C30-1,0)</f>
        <v>0.25490196078431371</v>
      </c>
      <c r="L49" s="55">
        <f t="shared" si="286"/>
        <v>0.25242718446601953</v>
      </c>
      <c r="M49" s="55">
        <f t="shared" si="286"/>
        <v>-1.6129032258064502E-2</v>
      </c>
      <c r="N49" s="55">
        <f t="shared" si="286"/>
        <v>0.1515151515151516</v>
      </c>
      <c r="O49" s="55">
        <f t="shared" si="286"/>
        <v>0</v>
      </c>
      <c r="P49" s="55">
        <f t="shared" si="286"/>
        <v>0</v>
      </c>
      <c r="Q49" s="55">
        <f t="shared" si="286"/>
        <v>0</v>
      </c>
      <c r="R49" s="374">
        <f t="shared" si="284"/>
        <v>1.538461538461533E-2</v>
      </c>
      <c r="S49" s="55">
        <f t="shared" si="284"/>
        <v>-1.078125</v>
      </c>
      <c r="T49" s="55">
        <f t="shared" si="229"/>
        <v>-0.52713178294573648</v>
      </c>
      <c r="U49" s="55">
        <f t="shared" si="230"/>
        <v>1.360655737704918</v>
      </c>
      <c r="V49" s="55">
        <f t="shared" si="231"/>
        <v>7.8947368421052655E-2</v>
      </c>
      <c r="W49" s="55">
        <f t="shared" si="232"/>
        <v>0</v>
      </c>
      <c r="X49" s="55">
        <f t="shared" si="233"/>
        <v>0</v>
      </c>
      <c r="Y49" s="55">
        <f t="shared" si="234"/>
        <v>0</v>
      </c>
      <c r="Z49" s="374">
        <f t="shared" si="234"/>
        <v>-1</v>
      </c>
      <c r="AA49" s="55">
        <f t="shared" si="234"/>
        <v>-1</v>
      </c>
      <c r="AB49" s="55">
        <f t="shared" si="235"/>
        <v>-1</v>
      </c>
      <c r="AC49" s="55">
        <f t="shared" si="236"/>
        <v>-1</v>
      </c>
      <c r="AD49" s="55">
        <f t="shared" si="237"/>
        <v>-1</v>
      </c>
      <c r="AE49" s="55">
        <f t="shared" si="238"/>
        <v>0</v>
      </c>
      <c r="AF49" s="55">
        <f t="shared" si="239"/>
        <v>0</v>
      </c>
      <c r="AG49" s="55">
        <f t="shared" si="240"/>
        <v>0</v>
      </c>
      <c r="AH49" s="374">
        <f t="shared" si="241"/>
        <v>0</v>
      </c>
      <c r="AI49" s="55">
        <f t="shared" si="242"/>
        <v>0</v>
      </c>
      <c r="AJ49" s="55">
        <f t="shared" si="243"/>
        <v>0</v>
      </c>
      <c r="AK49" s="55">
        <f t="shared" si="244"/>
        <v>0</v>
      </c>
      <c r="AL49" s="55">
        <f t="shared" si="245"/>
        <v>0</v>
      </c>
      <c r="AM49" s="55">
        <f t="shared" si="246"/>
        <v>0</v>
      </c>
      <c r="AN49" s="55">
        <f t="shared" si="247"/>
        <v>0</v>
      </c>
      <c r="AO49" s="55">
        <f t="shared" si="248"/>
        <v>0</v>
      </c>
      <c r="AP49" s="374">
        <f t="shared" si="249"/>
        <v>0</v>
      </c>
      <c r="AQ49" s="55">
        <f t="shared" si="250"/>
        <v>0</v>
      </c>
      <c r="AR49" s="55">
        <f t="shared" si="251"/>
        <v>0</v>
      </c>
      <c r="AS49" s="55">
        <f t="shared" si="252"/>
        <v>0</v>
      </c>
      <c r="AT49" s="55">
        <f t="shared" si="253"/>
        <v>0</v>
      </c>
      <c r="AU49" s="55">
        <f t="shared" si="254"/>
        <v>0</v>
      </c>
      <c r="AV49" s="55">
        <f t="shared" si="255"/>
        <v>0</v>
      </c>
      <c r="AW49" s="55">
        <f t="shared" si="256"/>
        <v>0</v>
      </c>
      <c r="AX49" s="374">
        <f t="shared" si="257"/>
        <v>0</v>
      </c>
      <c r="AY49" s="55">
        <f t="shared" si="258"/>
        <v>0</v>
      </c>
      <c r="AZ49" s="55">
        <f t="shared" si="259"/>
        <v>0</v>
      </c>
      <c r="BA49" s="55">
        <f t="shared" si="260"/>
        <v>0</v>
      </c>
      <c r="BB49" s="55">
        <f t="shared" si="261"/>
        <v>0</v>
      </c>
      <c r="BC49" s="55">
        <f t="shared" si="262"/>
        <v>0</v>
      </c>
      <c r="BD49" s="55">
        <f t="shared" si="263"/>
        <v>0</v>
      </c>
      <c r="BE49" s="55">
        <f t="shared" si="264"/>
        <v>0</v>
      </c>
      <c r="BF49" s="374"/>
      <c r="BG49" s="55"/>
      <c r="BH49" s="55"/>
      <c r="BI49" s="55"/>
      <c r="BJ49" s="55"/>
      <c r="BK49" s="55"/>
      <c r="BL49" s="55"/>
      <c r="BM49" s="55"/>
      <c r="BN49" s="374">
        <f t="shared" si="265"/>
        <v>0</v>
      </c>
      <c r="BO49" s="55">
        <f t="shared" si="265"/>
        <v>0</v>
      </c>
      <c r="BP49" s="55">
        <f t="shared" si="265"/>
        <v>0</v>
      </c>
      <c r="BQ49" s="55">
        <f t="shared" si="265"/>
        <v>0</v>
      </c>
      <c r="BR49" s="55">
        <f t="shared" si="266"/>
        <v>0</v>
      </c>
      <c r="BS49" s="55">
        <f t="shared" si="267"/>
        <v>0</v>
      </c>
      <c r="BT49" s="55">
        <f t="shared" si="267"/>
        <v>0</v>
      </c>
      <c r="BU49" s="55">
        <f t="shared" si="267"/>
        <v>0</v>
      </c>
      <c r="BV49" s="374">
        <f t="shared" si="268"/>
        <v>0</v>
      </c>
      <c r="BW49" s="55">
        <f t="shared" si="269"/>
        <v>0</v>
      </c>
      <c r="BX49" s="55">
        <f t="shared" si="270"/>
        <v>0</v>
      </c>
      <c r="BY49" s="55">
        <f t="shared" si="271"/>
        <v>0</v>
      </c>
      <c r="BZ49" s="55">
        <f t="shared" si="272"/>
        <v>0</v>
      </c>
      <c r="CA49" s="55">
        <f t="shared" si="273"/>
        <v>0</v>
      </c>
      <c r="CB49" s="55">
        <f t="shared" si="274"/>
        <v>0</v>
      </c>
      <c r="CC49" s="55">
        <f t="shared" si="275"/>
        <v>0</v>
      </c>
      <c r="CD49" s="374">
        <f t="shared" si="276"/>
        <v>0</v>
      </c>
      <c r="CE49" s="55">
        <f t="shared" si="276"/>
        <v>0</v>
      </c>
      <c r="CF49" s="55">
        <f t="shared" si="276"/>
        <v>0</v>
      </c>
      <c r="CG49" s="55">
        <f t="shared" si="276"/>
        <v>0</v>
      </c>
      <c r="CH49" s="55">
        <f t="shared" si="277"/>
        <v>0</v>
      </c>
      <c r="CI49" s="55">
        <f t="shared" si="278"/>
        <v>0</v>
      </c>
      <c r="CJ49" s="55">
        <f t="shared" si="278"/>
        <v>0</v>
      </c>
      <c r="CK49" s="55">
        <f t="shared" si="278"/>
        <v>0</v>
      </c>
      <c r="CL49" s="374"/>
      <c r="CM49" s="55"/>
      <c r="CN49" s="55"/>
      <c r="CO49" s="55"/>
      <c r="CP49" s="55"/>
      <c r="CQ49" s="55"/>
      <c r="CR49" s="55"/>
      <c r="CS49" s="55">
        <f t="shared" si="279"/>
        <v>0</v>
      </c>
      <c r="CT49" s="374"/>
      <c r="CU49" s="55"/>
      <c r="CV49" s="55"/>
      <c r="CW49" s="55"/>
      <c r="CX49" s="55"/>
      <c r="CY49" s="55"/>
      <c r="CZ49" s="55"/>
      <c r="DA49" s="55">
        <f t="shared" si="280"/>
        <v>0</v>
      </c>
      <c r="DB49" s="374"/>
      <c r="DC49" s="55"/>
      <c r="DD49" s="55"/>
      <c r="DE49" s="55"/>
      <c r="DF49" s="55"/>
      <c r="DG49" s="55"/>
      <c r="DH49" s="55"/>
      <c r="DI49" s="55">
        <f t="shared" si="281"/>
        <v>0</v>
      </c>
      <c r="DJ49" s="374"/>
      <c r="DK49" s="55"/>
      <c r="DL49" s="55"/>
      <c r="DM49" s="55"/>
      <c r="DN49" s="55"/>
      <c r="DO49" s="55"/>
      <c r="DP49" s="55"/>
      <c r="DQ49" s="55">
        <f t="shared" si="282"/>
        <v>0</v>
      </c>
      <c r="DR49" s="374"/>
      <c r="DS49" s="55"/>
      <c r="DT49" s="55"/>
      <c r="DU49" s="55"/>
      <c r="DV49" s="55"/>
      <c r="DW49" s="55"/>
      <c r="DX49" s="55"/>
      <c r="DY49" s="55"/>
      <c r="DZ49" s="374"/>
      <c r="EA49" s="55"/>
      <c r="EB49" s="55"/>
      <c r="EC49" s="55"/>
      <c r="ED49" s="55"/>
      <c r="EE49" s="55"/>
      <c r="EF49" s="55"/>
      <c r="EG49" s="57"/>
      <c r="EH49" s="406"/>
    </row>
    <row r="50" spans="1:140" hidden="1" outlineLevel="1">
      <c r="A50" s="1" t="s">
        <v>224</v>
      </c>
      <c r="B50" s="56"/>
      <c r="C50" s="55"/>
      <c r="D50" s="55"/>
      <c r="E50" s="55"/>
      <c r="F50" s="55"/>
      <c r="G50" s="55"/>
      <c r="H50" s="55"/>
      <c r="I50" s="55"/>
      <c r="J50" s="374">
        <f>IFERROR(J31/B31-1,0)</f>
        <v>-0.375</v>
      </c>
      <c r="K50" s="55">
        <f t="shared" ref="K50:Q50" si="287">IFERROR(K31/C31-1,0)</f>
        <v>-6.1728395061728447E-2</v>
      </c>
      <c r="L50" s="55">
        <f t="shared" si="287"/>
        <v>-8.98876404494382E-2</v>
      </c>
      <c r="M50" s="55">
        <f t="shared" si="287"/>
        <v>-0.20987654320987659</v>
      </c>
      <c r="N50" s="55">
        <f t="shared" si="287"/>
        <v>-0.1470588235294118</v>
      </c>
      <c r="O50" s="55">
        <f t="shared" si="287"/>
        <v>0</v>
      </c>
      <c r="P50" s="55">
        <f t="shared" si="287"/>
        <v>0</v>
      </c>
      <c r="Q50" s="55">
        <f t="shared" si="287"/>
        <v>0</v>
      </c>
      <c r="R50" s="374">
        <f t="shared" si="284"/>
        <v>0.39999999999999991</v>
      </c>
      <c r="S50" s="55">
        <f t="shared" si="284"/>
        <v>-0.25</v>
      </c>
      <c r="T50" s="55">
        <f t="shared" si="229"/>
        <v>-0.20987654320987659</v>
      </c>
      <c r="U50" s="55">
        <f t="shared" si="230"/>
        <v>0.390625</v>
      </c>
      <c r="V50" s="55">
        <f t="shared" si="231"/>
        <v>5.5172413793103559E-2</v>
      </c>
      <c r="W50" s="55">
        <f t="shared" si="232"/>
        <v>0</v>
      </c>
      <c r="X50" s="55">
        <f t="shared" si="233"/>
        <v>0</v>
      </c>
      <c r="Y50" s="55">
        <f t="shared" si="234"/>
        <v>0</v>
      </c>
      <c r="Z50" s="374">
        <f t="shared" si="234"/>
        <v>-1</v>
      </c>
      <c r="AA50" s="55">
        <f t="shared" si="234"/>
        <v>-1</v>
      </c>
      <c r="AB50" s="55">
        <f t="shared" si="235"/>
        <v>-1</v>
      </c>
      <c r="AC50" s="55">
        <f t="shared" si="236"/>
        <v>-1</v>
      </c>
      <c r="AD50" s="55">
        <f t="shared" si="237"/>
        <v>-1</v>
      </c>
      <c r="AE50" s="55">
        <f t="shared" si="238"/>
        <v>0</v>
      </c>
      <c r="AF50" s="55">
        <f t="shared" si="239"/>
        <v>0</v>
      </c>
      <c r="AG50" s="55">
        <f t="shared" si="240"/>
        <v>0</v>
      </c>
      <c r="AH50" s="374">
        <f t="shared" si="241"/>
        <v>0</v>
      </c>
      <c r="AI50" s="55">
        <f t="shared" si="242"/>
        <v>0</v>
      </c>
      <c r="AJ50" s="55">
        <f t="shared" si="243"/>
        <v>0</v>
      </c>
      <c r="AK50" s="55">
        <f t="shared" si="244"/>
        <v>0</v>
      </c>
      <c r="AL50" s="55">
        <f t="shared" si="245"/>
        <v>0</v>
      </c>
      <c r="AM50" s="55">
        <f t="shared" si="246"/>
        <v>0</v>
      </c>
      <c r="AN50" s="55">
        <f t="shared" si="247"/>
        <v>0</v>
      </c>
      <c r="AO50" s="55">
        <f t="shared" si="248"/>
        <v>0</v>
      </c>
      <c r="AP50" s="374">
        <f t="shared" si="249"/>
        <v>0</v>
      </c>
      <c r="AQ50" s="55">
        <f t="shared" si="250"/>
        <v>0</v>
      </c>
      <c r="AR50" s="55">
        <f t="shared" si="251"/>
        <v>0</v>
      </c>
      <c r="AS50" s="55">
        <f t="shared" si="252"/>
        <v>0</v>
      </c>
      <c r="AT50" s="55">
        <f t="shared" si="253"/>
        <v>0</v>
      </c>
      <c r="AU50" s="55">
        <f t="shared" si="254"/>
        <v>0</v>
      </c>
      <c r="AV50" s="55">
        <f t="shared" si="255"/>
        <v>0</v>
      </c>
      <c r="AW50" s="55">
        <f t="shared" si="256"/>
        <v>0</v>
      </c>
      <c r="AX50" s="374">
        <f t="shared" si="257"/>
        <v>0</v>
      </c>
      <c r="AY50" s="55">
        <f t="shared" si="258"/>
        <v>0</v>
      </c>
      <c r="AZ50" s="55">
        <f t="shared" si="259"/>
        <v>0</v>
      </c>
      <c r="BA50" s="55">
        <f t="shared" si="260"/>
        <v>0</v>
      </c>
      <c r="BB50" s="55">
        <f t="shared" si="261"/>
        <v>0</v>
      </c>
      <c r="BC50" s="55">
        <f t="shared" si="262"/>
        <v>0</v>
      </c>
      <c r="BD50" s="55">
        <f t="shared" si="263"/>
        <v>0</v>
      </c>
      <c r="BE50" s="55">
        <f t="shared" si="264"/>
        <v>0</v>
      </c>
      <c r="BF50" s="374"/>
      <c r="BG50" s="55"/>
      <c r="BH50" s="55"/>
      <c r="BI50" s="55"/>
      <c r="BJ50" s="55"/>
      <c r="BK50" s="55"/>
      <c r="BL50" s="55"/>
      <c r="BM50" s="55"/>
      <c r="BN50" s="374">
        <f t="shared" si="265"/>
        <v>0</v>
      </c>
      <c r="BO50" s="55">
        <f t="shared" si="265"/>
        <v>0</v>
      </c>
      <c r="BP50" s="55">
        <f t="shared" si="265"/>
        <v>0</v>
      </c>
      <c r="BQ50" s="55">
        <f t="shared" si="265"/>
        <v>0</v>
      </c>
      <c r="BR50" s="55">
        <f t="shared" si="266"/>
        <v>0</v>
      </c>
      <c r="BS50" s="55">
        <f t="shared" si="267"/>
        <v>0</v>
      </c>
      <c r="BT50" s="55">
        <f t="shared" si="267"/>
        <v>0</v>
      </c>
      <c r="BU50" s="55">
        <f t="shared" si="267"/>
        <v>0</v>
      </c>
      <c r="BV50" s="374">
        <f t="shared" si="268"/>
        <v>0</v>
      </c>
      <c r="BW50" s="55">
        <f t="shared" si="269"/>
        <v>0</v>
      </c>
      <c r="BX50" s="55">
        <f t="shared" si="270"/>
        <v>0</v>
      </c>
      <c r="BY50" s="55">
        <f t="shared" si="271"/>
        <v>0</v>
      </c>
      <c r="BZ50" s="55">
        <f t="shared" si="272"/>
        <v>0</v>
      </c>
      <c r="CA50" s="55">
        <f t="shared" si="273"/>
        <v>0</v>
      </c>
      <c r="CB50" s="55">
        <f t="shared" si="274"/>
        <v>0</v>
      </c>
      <c r="CC50" s="55">
        <f t="shared" si="275"/>
        <v>0</v>
      </c>
      <c r="CD50" s="374">
        <f t="shared" si="276"/>
        <v>0</v>
      </c>
      <c r="CE50" s="55">
        <f t="shared" si="276"/>
        <v>0</v>
      </c>
      <c r="CF50" s="55">
        <f t="shared" si="276"/>
        <v>0</v>
      </c>
      <c r="CG50" s="55">
        <f t="shared" si="276"/>
        <v>0</v>
      </c>
      <c r="CH50" s="55">
        <f t="shared" si="277"/>
        <v>0</v>
      </c>
      <c r="CI50" s="55">
        <f t="shared" si="278"/>
        <v>0</v>
      </c>
      <c r="CJ50" s="55">
        <f t="shared" si="278"/>
        <v>0</v>
      </c>
      <c r="CK50" s="55">
        <f t="shared" si="278"/>
        <v>0</v>
      </c>
      <c r="CL50" s="374"/>
      <c r="CM50" s="55"/>
      <c r="CN50" s="55"/>
      <c r="CO50" s="55"/>
      <c r="CP50" s="55"/>
      <c r="CQ50" s="55"/>
      <c r="CR50" s="55"/>
      <c r="CS50" s="55">
        <f t="shared" si="279"/>
        <v>0</v>
      </c>
      <c r="CT50" s="374"/>
      <c r="CU50" s="55"/>
      <c r="CV50" s="55"/>
      <c r="CW50" s="55"/>
      <c r="CX50" s="55"/>
      <c r="CY50" s="55"/>
      <c r="CZ50" s="55"/>
      <c r="DA50" s="55">
        <f t="shared" si="280"/>
        <v>0</v>
      </c>
      <c r="DB50" s="374"/>
      <c r="DC50" s="55"/>
      <c r="DD50" s="55"/>
      <c r="DE50" s="55"/>
      <c r="DF50" s="55"/>
      <c r="DG50" s="55"/>
      <c r="DH50" s="55"/>
      <c r="DI50" s="55">
        <f t="shared" si="281"/>
        <v>0</v>
      </c>
      <c r="DJ50" s="374"/>
      <c r="DK50" s="55"/>
      <c r="DL50" s="55"/>
      <c r="DM50" s="55"/>
      <c r="DN50" s="55"/>
      <c r="DO50" s="55"/>
      <c r="DP50" s="55"/>
      <c r="DQ50" s="55">
        <f t="shared" si="282"/>
        <v>0</v>
      </c>
      <c r="DR50" s="374"/>
      <c r="DS50" s="55"/>
      <c r="DT50" s="55"/>
      <c r="DU50" s="55"/>
      <c r="DV50" s="55"/>
      <c r="DW50" s="55"/>
      <c r="DX50" s="55"/>
      <c r="DY50" s="55"/>
      <c r="DZ50" s="374"/>
      <c r="EA50" s="55"/>
      <c r="EB50" s="55"/>
      <c r="EC50" s="55"/>
      <c r="ED50" s="55"/>
      <c r="EE50" s="55"/>
      <c r="EF50" s="55"/>
      <c r="EG50" s="57"/>
      <c r="EH50" s="406"/>
    </row>
    <row r="51" spans="1:140" hidden="1" outlineLevel="1">
      <c r="A51" s="1" t="s">
        <v>411</v>
      </c>
      <c r="B51" s="56"/>
      <c r="C51" s="55"/>
      <c r="D51" s="55"/>
      <c r="E51" s="55"/>
      <c r="F51" s="55"/>
      <c r="G51" s="55"/>
      <c r="H51" s="55"/>
      <c r="I51" s="55"/>
      <c r="J51" s="374">
        <f>IFERROR(J32/B32-1,0)</f>
        <v>2.3333333333333335</v>
      </c>
      <c r="K51" s="55">
        <f t="shared" ref="K51:Q51" si="288">IFERROR(K32/C32-1,0)</f>
        <v>0.33333333333333326</v>
      </c>
      <c r="L51" s="55">
        <f t="shared" si="288"/>
        <v>-0.16666666666666663</v>
      </c>
      <c r="M51" s="55">
        <f t="shared" si="288"/>
        <v>-1</v>
      </c>
      <c r="N51" s="55">
        <f t="shared" si="288"/>
        <v>-0.5</v>
      </c>
      <c r="O51" s="55">
        <f t="shared" si="288"/>
        <v>-0.75145631067961172</v>
      </c>
      <c r="P51" s="55">
        <f t="shared" si="288"/>
        <v>-0.75337186897880537</v>
      </c>
      <c r="Q51" s="55">
        <f t="shared" si="288"/>
        <v>-0.74666666666666659</v>
      </c>
      <c r="R51" s="374">
        <f t="shared" si="284"/>
        <v>-0.6</v>
      </c>
      <c r="S51" s="55">
        <f t="shared" si="284"/>
        <v>-0.8</v>
      </c>
      <c r="T51" s="55">
        <f t="shared" si="229"/>
        <v>-1</v>
      </c>
      <c r="U51" s="55">
        <f t="shared" si="230"/>
        <v>0</v>
      </c>
      <c r="V51" s="55">
        <f t="shared" si="231"/>
        <v>-1.4</v>
      </c>
      <c r="W51" s="55">
        <f t="shared" si="232"/>
        <v>-0.91015625</v>
      </c>
      <c r="X51" s="55">
        <f t="shared" si="233"/>
        <v>-0.92578125</v>
      </c>
      <c r="Y51" s="55">
        <f t="shared" si="234"/>
        <v>-0.9285714285714286</v>
      </c>
      <c r="Z51" s="374">
        <f t="shared" si="234"/>
        <v>-1</v>
      </c>
      <c r="AA51" s="55">
        <f t="shared" si="234"/>
        <v>-1</v>
      </c>
      <c r="AB51" s="55">
        <f t="shared" si="235"/>
        <v>0</v>
      </c>
      <c r="AC51" s="55">
        <f t="shared" si="236"/>
        <v>-1</v>
      </c>
      <c r="AD51" s="55">
        <f t="shared" si="237"/>
        <v>-1</v>
      </c>
      <c r="AE51" s="55">
        <f t="shared" si="238"/>
        <v>7.8695652173913047</v>
      </c>
      <c r="AF51" s="55">
        <f t="shared" si="239"/>
        <v>9.7368421052631575</v>
      </c>
      <c r="AG51" s="55">
        <f t="shared" si="240"/>
        <v>9.7368421052631575</v>
      </c>
      <c r="AH51" s="374">
        <f t="shared" si="241"/>
        <v>0</v>
      </c>
      <c r="AI51" s="55">
        <f t="shared" si="242"/>
        <v>0</v>
      </c>
      <c r="AJ51" s="55">
        <f t="shared" si="243"/>
        <v>0</v>
      </c>
      <c r="AK51" s="55">
        <f t="shared" si="244"/>
        <v>0</v>
      </c>
      <c r="AL51" s="55">
        <f t="shared" si="245"/>
        <v>0</v>
      </c>
      <c r="AM51" s="55">
        <f t="shared" si="246"/>
        <v>-0.98039215686274506</v>
      </c>
      <c r="AN51" s="55">
        <f t="shared" si="247"/>
        <v>-0.98039215686274506</v>
      </c>
      <c r="AO51" s="55">
        <f t="shared" si="248"/>
        <v>-0.98039215686274506</v>
      </c>
      <c r="AP51" s="374">
        <f t="shared" si="249"/>
        <v>0</v>
      </c>
      <c r="AQ51" s="55">
        <f t="shared" si="250"/>
        <v>0</v>
      </c>
      <c r="AR51" s="55">
        <f t="shared" si="251"/>
        <v>0</v>
      </c>
      <c r="AS51" s="55">
        <f t="shared" si="252"/>
        <v>0</v>
      </c>
      <c r="AT51" s="55">
        <f t="shared" si="253"/>
        <v>0</v>
      </c>
      <c r="AU51" s="55">
        <f t="shared" si="254"/>
        <v>-2</v>
      </c>
      <c r="AV51" s="55">
        <f t="shared" si="255"/>
        <v>-1</v>
      </c>
      <c r="AW51" s="55">
        <f t="shared" si="256"/>
        <v>-1</v>
      </c>
      <c r="AX51" s="374">
        <f t="shared" si="257"/>
        <v>0</v>
      </c>
      <c r="AY51" s="55">
        <f t="shared" si="258"/>
        <v>0</v>
      </c>
      <c r="AZ51" s="55">
        <f t="shared" si="259"/>
        <v>0</v>
      </c>
      <c r="BA51" s="55">
        <f t="shared" si="260"/>
        <v>-1</v>
      </c>
      <c r="BB51" s="55">
        <f t="shared" si="261"/>
        <v>-1</v>
      </c>
      <c r="BC51" s="55">
        <f t="shared" si="262"/>
        <v>-1</v>
      </c>
      <c r="BD51" s="55">
        <f t="shared" si="263"/>
        <v>0</v>
      </c>
      <c r="BE51" s="55">
        <f t="shared" si="264"/>
        <v>0</v>
      </c>
      <c r="BF51" s="374"/>
      <c r="BG51" s="55"/>
      <c r="BH51" s="55"/>
      <c r="BI51" s="55"/>
      <c r="BJ51" s="55"/>
      <c r="BK51" s="55"/>
      <c r="BL51" s="55"/>
      <c r="BM51" s="55"/>
      <c r="BN51" s="374">
        <f t="shared" si="265"/>
        <v>0</v>
      </c>
      <c r="BO51" s="55">
        <f t="shared" si="265"/>
        <v>0</v>
      </c>
      <c r="BP51" s="55">
        <f t="shared" si="265"/>
        <v>0</v>
      </c>
      <c r="BQ51" s="55">
        <f t="shared" si="265"/>
        <v>0</v>
      </c>
      <c r="BR51" s="55">
        <f t="shared" si="266"/>
        <v>-1</v>
      </c>
      <c r="BS51" s="55">
        <f t="shared" si="267"/>
        <v>0</v>
      </c>
      <c r="BT51" s="55">
        <f t="shared" si="267"/>
        <v>0</v>
      </c>
      <c r="BU51" s="55">
        <f t="shared" si="267"/>
        <v>0</v>
      </c>
      <c r="BV51" s="374">
        <f t="shared" si="268"/>
        <v>0</v>
      </c>
      <c r="BW51" s="55">
        <f t="shared" si="269"/>
        <v>0</v>
      </c>
      <c r="BX51" s="55">
        <f t="shared" si="270"/>
        <v>0</v>
      </c>
      <c r="BY51" s="55">
        <f t="shared" si="271"/>
        <v>0</v>
      </c>
      <c r="BZ51" s="55">
        <f t="shared" si="272"/>
        <v>0</v>
      </c>
      <c r="CA51" s="55">
        <f t="shared" si="273"/>
        <v>0</v>
      </c>
      <c r="CB51" s="55">
        <f t="shared" si="274"/>
        <v>0</v>
      </c>
      <c r="CC51" s="55">
        <f t="shared" si="275"/>
        <v>0</v>
      </c>
      <c r="CD51" s="374">
        <f t="shared" si="276"/>
        <v>0</v>
      </c>
      <c r="CE51" s="55">
        <f t="shared" si="276"/>
        <v>0</v>
      </c>
      <c r="CF51" s="55">
        <f t="shared" si="276"/>
        <v>0</v>
      </c>
      <c r="CG51" s="55">
        <f t="shared" si="276"/>
        <v>0</v>
      </c>
      <c r="CH51" s="55">
        <f t="shared" si="277"/>
        <v>0</v>
      </c>
      <c r="CI51" s="55">
        <f t="shared" si="278"/>
        <v>0</v>
      </c>
      <c r="CJ51" s="55">
        <f t="shared" si="278"/>
        <v>0</v>
      </c>
      <c r="CK51" s="55">
        <f t="shared" si="278"/>
        <v>0</v>
      </c>
      <c r="CL51" s="374"/>
      <c r="CM51" s="55"/>
      <c r="CN51" s="55"/>
      <c r="CO51" s="55"/>
      <c r="CP51" s="55"/>
      <c r="CQ51" s="55"/>
      <c r="CR51" s="55"/>
      <c r="CS51" s="55">
        <f t="shared" si="279"/>
        <v>0</v>
      </c>
      <c r="CT51" s="374"/>
      <c r="CU51" s="55"/>
      <c r="CV51" s="55"/>
      <c r="CW51" s="55"/>
      <c r="CX51" s="55"/>
      <c r="CY51" s="55"/>
      <c r="CZ51" s="55"/>
      <c r="DA51" s="55">
        <f t="shared" si="280"/>
        <v>0</v>
      </c>
      <c r="DB51" s="374"/>
      <c r="DC51" s="55"/>
      <c r="DD51" s="55"/>
      <c r="DE51" s="55"/>
      <c r="DF51" s="55"/>
      <c r="DG51" s="55"/>
      <c r="DH51" s="55"/>
      <c r="DI51" s="55">
        <f t="shared" si="281"/>
        <v>0</v>
      </c>
      <c r="DJ51" s="374"/>
      <c r="DK51" s="55"/>
      <c r="DL51" s="55"/>
      <c r="DM51" s="55"/>
      <c r="DN51" s="55"/>
      <c r="DO51" s="55"/>
      <c r="DP51" s="55"/>
      <c r="DQ51" s="55">
        <f t="shared" si="282"/>
        <v>0</v>
      </c>
      <c r="DR51" s="374"/>
      <c r="DS51" s="55"/>
      <c r="DT51" s="55"/>
      <c r="DU51" s="55"/>
      <c r="DV51" s="55"/>
      <c r="DW51" s="55"/>
      <c r="DX51" s="55"/>
      <c r="DY51" s="55"/>
      <c r="DZ51" s="374"/>
      <c r="EA51" s="55"/>
      <c r="EB51" s="55"/>
      <c r="EC51" s="55"/>
      <c r="ED51" s="55"/>
      <c r="EE51" s="55"/>
      <c r="EF51" s="55"/>
      <c r="EG51" s="57"/>
      <c r="EH51" s="406"/>
    </row>
    <row r="52" spans="1:140" hidden="1" outlineLevel="1">
      <c r="A52" s="11" t="s">
        <v>225</v>
      </c>
      <c r="B52" s="58"/>
      <c r="C52" s="59"/>
      <c r="D52" s="59"/>
      <c r="E52" s="59"/>
      <c r="F52" s="59"/>
      <c r="G52" s="59"/>
      <c r="H52" s="59"/>
      <c r="I52" s="59"/>
      <c r="J52" s="375">
        <f t="shared" ref="J52:AG52" si="289">IFERROR(J34/B34-1,0)</f>
        <v>1.5</v>
      </c>
      <c r="K52" s="59">
        <f t="shared" si="289"/>
        <v>1.3180592991913747</v>
      </c>
      <c r="L52" s="59">
        <f t="shared" si="289"/>
        <v>1.3801065719360568</v>
      </c>
      <c r="M52" s="59">
        <f t="shared" si="289"/>
        <v>0.85714285714285721</v>
      </c>
      <c r="N52" s="59">
        <f t="shared" si="289"/>
        <v>0.78870056497175134</v>
      </c>
      <c r="O52" s="59">
        <f t="shared" si="289"/>
        <v>0</v>
      </c>
      <c r="P52" s="59">
        <f t="shared" si="289"/>
        <v>0</v>
      </c>
      <c r="Q52" s="59">
        <f t="shared" si="289"/>
        <v>0</v>
      </c>
      <c r="R52" s="375">
        <f t="shared" si="289"/>
        <v>0.54374999999999996</v>
      </c>
      <c r="S52" s="59">
        <f t="shared" si="289"/>
        <v>-1.1662790697674419</v>
      </c>
      <c r="T52" s="59">
        <f>IFERROR(M34/L34-1,0)</f>
        <v>-0.55373134328358209</v>
      </c>
      <c r="U52" s="59">
        <f t="shared" si="289"/>
        <v>1.867892976588629</v>
      </c>
      <c r="V52" s="59">
        <f t="shared" si="289"/>
        <v>0.47820593809222989</v>
      </c>
      <c r="W52" s="59">
        <f t="shared" si="289"/>
        <v>0</v>
      </c>
      <c r="X52" s="59">
        <f t="shared" si="289"/>
        <v>0</v>
      </c>
      <c r="Y52" s="59">
        <f t="shared" si="289"/>
        <v>0</v>
      </c>
      <c r="Z52" s="375">
        <f t="shared" si="289"/>
        <v>-1</v>
      </c>
      <c r="AA52" s="59">
        <f t="shared" si="289"/>
        <v>-1</v>
      </c>
      <c r="AB52" s="59">
        <f>IFERROR(AB34/M34-1,0)</f>
        <v>-1</v>
      </c>
      <c r="AC52" s="59">
        <f t="shared" si="289"/>
        <v>-1</v>
      </c>
      <c r="AD52" s="59">
        <f t="shared" si="289"/>
        <v>-1</v>
      </c>
      <c r="AE52" s="59">
        <f t="shared" si="289"/>
        <v>0</v>
      </c>
      <c r="AF52" s="59">
        <f t="shared" si="289"/>
        <v>0</v>
      </c>
      <c r="AG52" s="59">
        <f t="shared" si="289"/>
        <v>0</v>
      </c>
      <c r="AH52" s="375">
        <f t="shared" ref="AH52:AO52" si="290">IFERROR(AH34/Z34-1,0)</f>
        <v>0</v>
      </c>
      <c r="AI52" s="59">
        <f t="shared" si="290"/>
        <v>0</v>
      </c>
      <c r="AJ52" s="59">
        <f t="shared" si="290"/>
        <v>0</v>
      </c>
      <c r="AK52" s="59">
        <f t="shared" si="290"/>
        <v>0</v>
      </c>
      <c r="AL52" s="59">
        <f t="shared" si="290"/>
        <v>0</v>
      </c>
      <c r="AM52" s="59">
        <f t="shared" si="290"/>
        <v>0</v>
      </c>
      <c r="AN52" s="59">
        <f t="shared" si="290"/>
        <v>0</v>
      </c>
      <c r="AO52" s="59">
        <f t="shared" si="290"/>
        <v>0</v>
      </c>
      <c r="AP52" s="375">
        <f>IFERROR(AP34/AH34-1,0)</f>
        <v>0</v>
      </c>
      <c r="AQ52" s="59">
        <f>IFERROR(AQ34/AI34-1,0)</f>
        <v>0</v>
      </c>
      <c r="AR52" s="59">
        <f>IFERROR(AR34/AJ34-1,0)</f>
        <v>0</v>
      </c>
      <c r="AS52" s="59">
        <f>IFERROR(AS34/AK34-1,0)</f>
        <v>0</v>
      </c>
      <c r="AT52" s="59">
        <f>IFERROR(AM34/AL34-1,0)</f>
        <v>0</v>
      </c>
      <c r="AU52" s="59">
        <f t="shared" ref="AU52:BA52" si="291">IFERROR(AU34/AM34-1,0)</f>
        <v>0</v>
      </c>
      <c r="AV52" s="59">
        <f t="shared" si="291"/>
        <v>0</v>
      </c>
      <c r="AW52" s="59">
        <f t="shared" si="291"/>
        <v>0</v>
      </c>
      <c r="AX52" s="375">
        <f t="shared" si="291"/>
        <v>0</v>
      </c>
      <c r="AY52" s="59">
        <f t="shared" si="291"/>
        <v>0</v>
      </c>
      <c r="AZ52" s="59">
        <f t="shared" si="291"/>
        <v>0</v>
      </c>
      <c r="BA52" s="59">
        <f t="shared" si="291"/>
        <v>0</v>
      </c>
      <c r="BB52" s="59">
        <f>IFERROR(BB34/AM34-1,0)</f>
        <v>0</v>
      </c>
      <c r="BC52" s="59">
        <f>IFERROR(BC34/AU34-1,0)</f>
        <v>0</v>
      </c>
      <c r="BD52" s="59">
        <f>IFERROR(BD34/AV34-1,0)</f>
        <v>0</v>
      </c>
      <c r="BE52" s="59">
        <f>IFERROR(BE34/AW34-1,0)</f>
        <v>0</v>
      </c>
      <c r="BF52" s="375"/>
      <c r="BG52" s="118"/>
      <c r="BH52" s="118"/>
      <c r="BI52" s="118"/>
      <c r="BJ52" s="118"/>
      <c r="BK52" s="118"/>
      <c r="BL52" s="118"/>
      <c r="BM52" s="59"/>
      <c r="BN52" s="375">
        <f>IFERROR(BN34/AX34-1,0)</f>
        <v>0</v>
      </c>
      <c r="BO52" s="59">
        <f>IFERROR(BO34/AY34-1,0)</f>
        <v>0</v>
      </c>
      <c r="BP52" s="59">
        <f>IFERROR(BP34/AZ34-1,0)</f>
        <v>0</v>
      </c>
      <c r="BQ52" s="59">
        <f>IFERROR(BQ34/BA34-1,0)</f>
        <v>0</v>
      </c>
      <c r="BR52" s="59">
        <f>IFERROR(BR34/AU34-1,0)</f>
        <v>0</v>
      </c>
      <c r="BS52" s="59">
        <f>IFERROR(BS34/BC34-1,0)</f>
        <v>0</v>
      </c>
      <c r="BT52" s="59">
        <f>IFERROR(BT34/BD34-1,0)</f>
        <v>0</v>
      </c>
      <c r="BU52" s="59">
        <f>IFERROR(BU34/BE34-1,0)</f>
        <v>0</v>
      </c>
      <c r="BV52" s="375">
        <f>IFERROR(BV34/BN34-1,0)</f>
        <v>0</v>
      </c>
      <c r="BW52" s="59">
        <f>IFERROR(BW34/BO34-1,0)</f>
        <v>0</v>
      </c>
      <c r="BX52" s="59">
        <f>IFERROR(BX34/BP34-1,0)</f>
        <v>0</v>
      </c>
      <c r="BY52" s="59">
        <f>IFERROR(BY34/BQ34-1,0)</f>
        <v>0</v>
      </c>
      <c r="BZ52" s="59">
        <f>IFERROR(BZ34/BC34-1,0)</f>
        <v>0</v>
      </c>
      <c r="CA52" s="59">
        <f t="shared" ref="CA52:CG52" si="292">IFERROR(CA34/BS34-1,0)</f>
        <v>0</v>
      </c>
      <c r="CB52" s="59">
        <f t="shared" si="292"/>
        <v>0</v>
      </c>
      <c r="CC52" s="59">
        <f t="shared" si="292"/>
        <v>0</v>
      </c>
      <c r="CD52" s="375">
        <f t="shared" si="292"/>
        <v>0</v>
      </c>
      <c r="CE52" s="59">
        <f t="shared" si="292"/>
        <v>0</v>
      </c>
      <c r="CF52" s="59">
        <f t="shared" si="292"/>
        <v>0</v>
      </c>
      <c r="CG52" s="59">
        <f t="shared" si="292"/>
        <v>0</v>
      </c>
      <c r="CH52" s="59">
        <f>IFERROR(CH34/BS34-1,0)</f>
        <v>0</v>
      </c>
      <c r="CI52" s="59">
        <f>IFERROR(CI34/CA34-1,0)</f>
        <v>0</v>
      </c>
      <c r="CJ52" s="59">
        <f>IFERROR(CJ34/CB34-1,0)</f>
        <v>0</v>
      </c>
      <c r="CK52" s="59">
        <f>IFERROR(CK34/CC34-1,0)</f>
        <v>0</v>
      </c>
      <c r="CL52" s="375"/>
      <c r="CM52" s="59"/>
      <c r="CN52" s="118"/>
      <c r="CO52" s="118"/>
      <c r="CP52" s="118"/>
      <c r="CQ52" s="118"/>
      <c r="CR52" s="118"/>
      <c r="CS52" s="59">
        <f>IFERROR(CS34/CK34-1,0)</f>
        <v>0</v>
      </c>
      <c r="CT52" s="375"/>
      <c r="CU52" s="118"/>
      <c r="CV52" s="118"/>
      <c r="CW52" s="118"/>
      <c r="CX52" s="118"/>
      <c r="CY52" s="118"/>
      <c r="CZ52" s="118"/>
      <c r="DA52" s="59">
        <f>IFERROR(DA34/CS34-1,0)</f>
        <v>0</v>
      </c>
      <c r="DB52" s="375"/>
      <c r="DC52" s="118"/>
      <c r="DD52" s="118"/>
      <c r="DE52" s="118"/>
      <c r="DF52" s="118"/>
      <c r="DG52" s="118"/>
      <c r="DH52" s="118"/>
      <c r="DI52" s="59">
        <f>IFERROR(DI34/DA34-1,0)</f>
        <v>0</v>
      </c>
      <c r="DJ52" s="375"/>
      <c r="DK52" s="118"/>
      <c r="DL52" s="118"/>
      <c r="DM52" s="118"/>
      <c r="DN52" s="118"/>
      <c r="DO52" s="118"/>
      <c r="DP52" s="118"/>
      <c r="DQ52" s="59">
        <f>IFERROR(DQ34/DI34-1,0)</f>
        <v>0</v>
      </c>
      <c r="DR52" s="375"/>
      <c r="DS52" s="118"/>
      <c r="DT52" s="118"/>
      <c r="DU52" s="118"/>
      <c r="DV52" s="118"/>
      <c r="DW52" s="118"/>
      <c r="DX52" s="118"/>
      <c r="DY52" s="59"/>
      <c r="DZ52" s="375"/>
      <c r="EA52" s="118"/>
      <c r="EB52" s="118"/>
      <c r="EC52" s="118"/>
      <c r="ED52" s="118"/>
      <c r="EE52" s="118"/>
      <c r="EF52" s="118"/>
      <c r="EG52" s="60"/>
      <c r="EH52" s="406"/>
    </row>
    <row r="53" spans="1:140" collapsed="1">
      <c r="B53" s="42"/>
      <c r="J53" s="369"/>
      <c r="R53" s="376"/>
      <c r="S53" s="123"/>
      <c r="T53" s="123"/>
      <c r="U53" s="123"/>
      <c r="V53" s="123"/>
      <c r="W53" s="123"/>
      <c r="X53" s="123"/>
      <c r="Y53" s="123"/>
      <c r="Z53" s="376"/>
      <c r="AA53" s="123"/>
      <c r="AB53" s="123"/>
      <c r="AC53" s="123"/>
      <c r="AD53" s="123"/>
      <c r="AE53" s="123"/>
      <c r="AF53" s="123"/>
      <c r="AG53" s="123"/>
      <c r="AH53" s="376"/>
      <c r="AI53" s="123"/>
      <c r="AJ53" s="123"/>
      <c r="AK53" s="123"/>
      <c r="AL53" s="123"/>
      <c r="AM53" s="123"/>
      <c r="AN53" s="123"/>
      <c r="AO53" s="123"/>
      <c r="AP53" s="376"/>
      <c r="AQ53" s="123"/>
      <c r="AR53" s="123"/>
      <c r="AS53" s="123"/>
      <c r="AT53" s="123"/>
      <c r="AU53" s="123"/>
      <c r="AV53" s="123"/>
      <c r="AW53" s="123"/>
      <c r="AX53" s="376"/>
      <c r="AY53" s="123"/>
      <c r="AZ53" s="123"/>
      <c r="BA53" s="123"/>
      <c r="BB53" s="123"/>
      <c r="BC53" s="123"/>
      <c r="BD53" s="123"/>
      <c r="BE53" s="123"/>
      <c r="BF53" s="376"/>
      <c r="BG53" s="123"/>
      <c r="BH53" s="123"/>
      <c r="BI53" s="123"/>
      <c r="BJ53" s="123"/>
      <c r="BK53" s="123"/>
      <c r="BL53" s="123"/>
      <c r="BM53" s="123"/>
      <c r="BN53" s="376"/>
      <c r="BO53" s="123"/>
      <c r="BP53" s="123"/>
      <c r="BQ53" s="123"/>
      <c r="BR53" s="123"/>
      <c r="BS53" s="123"/>
      <c r="BT53" s="123"/>
      <c r="BU53" s="123"/>
      <c r="BV53" s="376"/>
      <c r="BW53" s="123"/>
      <c r="BX53" s="123"/>
      <c r="BY53" s="123"/>
      <c r="BZ53" s="123"/>
      <c r="CA53" s="123"/>
      <c r="CB53" s="123"/>
      <c r="CC53" s="123"/>
      <c r="CD53" s="376"/>
      <c r="CE53" s="123"/>
      <c r="CF53" s="123"/>
      <c r="CG53" s="123"/>
      <c r="CH53" s="123"/>
      <c r="CI53" s="123"/>
      <c r="CJ53" s="123"/>
      <c r="CK53" s="123"/>
      <c r="CL53" s="376"/>
      <c r="CM53" s="123"/>
      <c r="CN53" s="123"/>
      <c r="CO53" s="123"/>
      <c r="CP53" s="123"/>
      <c r="CQ53" s="123"/>
      <c r="CR53" s="123"/>
      <c r="CS53" s="123"/>
      <c r="CT53" s="376"/>
      <c r="CU53" s="123"/>
      <c r="CV53" s="123"/>
      <c r="CW53" s="123"/>
      <c r="CX53" s="123"/>
      <c r="CY53" s="123"/>
      <c r="CZ53" s="123"/>
      <c r="DA53" s="123"/>
      <c r="DB53" s="376"/>
      <c r="DC53" s="123"/>
      <c r="DD53" s="123"/>
      <c r="DE53" s="123"/>
      <c r="DF53" s="123"/>
      <c r="DG53" s="123"/>
      <c r="DH53" s="123"/>
      <c r="DI53" s="123"/>
      <c r="DJ53" s="376"/>
      <c r="DK53" s="123"/>
      <c r="DL53" s="123"/>
      <c r="DM53" s="123"/>
      <c r="DN53" s="123"/>
      <c r="DO53" s="123"/>
      <c r="DP53" s="123"/>
      <c r="DQ53" s="123"/>
      <c r="DR53" s="376"/>
      <c r="DS53" s="123"/>
      <c r="DT53" s="123"/>
      <c r="DU53" s="123"/>
      <c r="DV53" s="123"/>
      <c r="DW53" s="123"/>
      <c r="DX53" s="123"/>
      <c r="DY53" s="123"/>
      <c r="DZ53" s="376"/>
      <c r="EA53" s="123"/>
      <c r="EB53" s="123"/>
      <c r="EC53" s="123"/>
      <c r="ED53" s="123"/>
      <c r="EE53" s="123"/>
      <c r="EF53" s="123"/>
      <c r="EG53" s="124"/>
      <c r="EH53" s="406"/>
    </row>
    <row r="54" spans="1:140">
      <c r="A54" s="12" t="s">
        <v>517</v>
      </c>
      <c r="B54" s="42"/>
      <c r="J54" s="369"/>
      <c r="R54" s="376"/>
      <c r="S54" s="123"/>
      <c r="T54" s="123"/>
      <c r="U54" s="123"/>
      <c r="V54" s="123"/>
      <c r="W54" s="123"/>
      <c r="X54" s="123"/>
      <c r="Y54" s="123"/>
      <c r="Z54" s="376"/>
      <c r="AA54" s="123"/>
      <c r="AB54" s="123"/>
      <c r="AC54" s="123"/>
      <c r="AD54" s="123"/>
      <c r="AE54" s="123"/>
      <c r="AF54" s="123"/>
      <c r="AG54" s="123"/>
      <c r="AH54" s="376"/>
      <c r="AI54" s="123"/>
      <c r="AJ54" s="123"/>
      <c r="AK54" s="123"/>
      <c r="AL54" s="123"/>
      <c r="AM54" s="123"/>
      <c r="AN54" s="123"/>
      <c r="AO54" s="123"/>
      <c r="AP54" s="376"/>
      <c r="AQ54" s="123"/>
      <c r="AR54" s="123"/>
      <c r="AS54" s="123"/>
      <c r="AT54" s="123"/>
      <c r="AU54" s="123"/>
      <c r="AV54" s="123"/>
      <c r="AW54" s="123"/>
      <c r="AX54" s="376"/>
      <c r="AY54" s="123"/>
      <c r="AZ54" s="123"/>
      <c r="BA54" s="123"/>
      <c r="BB54" s="123"/>
      <c r="BC54" s="123"/>
      <c r="BD54" s="123"/>
      <c r="BE54" s="123"/>
      <c r="BF54" s="376"/>
      <c r="BG54" s="123"/>
      <c r="BH54" s="123"/>
      <c r="BI54" s="123"/>
      <c r="BJ54" s="123"/>
      <c r="BK54" s="123"/>
      <c r="BL54" s="123"/>
      <c r="BM54" s="123"/>
      <c r="BN54" s="376"/>
      <c r="BO54" s="123"/>
      <c r="BP54" s="123"/>
      <c r="BQ54" s="123"/>
      <c r="BR54" s="123"/>
      <c r="BS54" s="123"/>
      <c r="BT54" s="123"/>
      <c r="BU54" s="123"/>
      <c r="BV54" s="376"/>
      <c r="BW54" s="123"/>
      <c r="BX54" s="123"/>
      <c r="BY54" s="123"/>
      <c r="BZ54" s="123"/>
      <c r="CA54" s="123"/>
      <c r="CB54" s="123"/>
      <c r="CC54" s="123"/>
      <c r="CD54" s="376"/>
      <c r="CE54" s="123"/>
      <c r="CF54" s="123"/>
      <c r="CG54" s="123"/>
      <c r="CH54" s="123"/>
      <c r="CI54" s="123"/>
      <c r="CJ54" s="123"/>
      <c r="CK54" s="123"/>
      <c r="CL54" s="376"/>
      <c r="CM54" s="123"/>
      <c r="CN54" s="123"/>
      <c r="CO54" s="123"/>
      <c r="CP54" s="123"/>
      <c r="CQ54" s="123"/>
      <c r="CR54" s="123"/>
      <c r="CS54" s="123"/>
      <c r="CT54" s="376"/>
      <c r="CU54" s="123"/>
      <c r="CV54" s="123"/>
      <c r="CW54" s="123"/>
      <c r="CX54" s="123"/>
      <c r="CY54" s="123"/>
      <c r="CZ54" s="123"/>
      <c r="DA54" s="123"/>
      <c r="DB54" s="376"/>
      <c r="DC54" s="123"/>
      <c r="DD54" s="123"/>
      <c r="DE54" s="123"/>
      <c r="DF54" s="123"/>
      <c r="DG54" s="123"/>
      <c r="DH54" s="123"/>
      <c r="DI54" s="123"/>
      <c r="DJ54" s="376"/>
      <c r="DK54" s="123"/>
      <c r="DL54" s="123"/>
      <c r="DM54" s="123"/>
      <c r="DN54" s="123"/>
      <c r="DO54" s="123"/>
      <c r="DP54" s="123"/>
      <c r="DQ54" s="123"/>
      <c r="DR54" s="376"/>
      <c r="DS54" s="123"/>
      <c r="DT54" s="123"/>
      <c r="DU54" s="123"/>
      <c r="DV54" s="123"/>
      <c r="DW54" s="123"/>
      <c r="DX54" s="123"/>
      <c r="DY54" s="123"/>
      <c r="DZ54" s="376"/>
      <c r="EA54" s="123"/>
      <c r="EB54" s="123"/>
      <c r="EC54" s="123"/>
      <c r="ED54" s="123"/>
      <c r="EE54" s="123"/>
      <c r="EF54" s="123"/>
      <c r="EG54" s="124"/>
      <c r="EH54" s="406"/>
    </row>
    <row r="55" spans="1:140">
      <c r="A55" s="13" t="s">
        <v>14</v>
      </c>
      <c r="B55" s="42"/>
      <c r="J55" s="369"/>
      <c r="R55" s="387">
        <v>410</v>
      </c>
      <c r="S55" s="125">
        <f>T55-R55</f>
        <v>312</v>
      </c>
      <c r="T55" s="149">
        <v>722</v>
      </c>
      <c r="U55" s="125">
        <f>V55-T55</f>
        <v>340</v>
      </c>
      <c r="V55" s="149">
        <v>1062</v>
      </c>
      <c r="W55" s="125">
        <f>Y55-V55</f>
        <v>441</v>
      </c>
      <c r="X55" s="125">
        <f>Y55-T55</f>
        <v>781</v>
      </c>
      <c r="Y55" s="149">
        <v>1503</v>
      </c>
      <c r="Z55" s="387">
        <v>103</v>
      </c>
      <c r="AA55" s="125">
        <f>AB55-Z55</f>
        <v>187</v>
      </c>
      <c r="AB55" s="149">
        <v>290</v>
      </c>
      <c r="AC55" s="125">
        <f>AD55-AB55</f>
        <v>501</v>
      </c>
      <c r="AD55" s="149">
        <v>791</v>
      </c>
      <c r="AE55" s="125">
        <f>AG55-AD55</f>
        <v>665</v>
      </c>
      <c r="AF55" s="125">
        <f>AG55-AB55</f>
        <v>1166</v>
      </c>
      <c r="AG55" s="149">
        <v>1456</v>
      </c>
      <c r="AH55" s="387">
        <v>101</v>
      </c>
      <c r="AI55" s="125">
        <f>AJ55-AH55</f>
        <v>247</v>
      </c>
      <c r="AJ55" s="149">
        <v>348</v>
      </c>
      <c r="AK55" s="125">
        <f>AL55-AJ55</f>
        <v>467</v>
      </c>
      <c r="AL55" s="149">
        <v>815</v>
      </c>
      <c r="AM55" s="125">
        <f>AO55-AL55</f>
        <v>265</v>
      </c>
      <c r="AN55" s="125">
        <f>AO55-AJ55</f>
        <v>732</v>
      </c>
      <c r="AO55" s="149">
        <v>1080</v>
      </c>
      <c r="AP55" s="387">
        <v>10</v>
      </c>
      <c r="AQ55" s="125">
        <f>AR55-AP55</f>
        <v>173</v>
      </c>
      <c r="AR55" s="149">
        <v>183</v>
      </c>
      <c r="AS55" s="125">
        <f>AT55-AR55</f>
        <v>197</v>
      </c>
      <c r="AT55" s="149">
        <v>380</v>
      </c>
      <c r="AU55" s="125">
        <f>AW55-AT55</f>
        <v>351</v>
      </c>
      <c r="AV55" s="125">
        <f>AW55-AR55</f>
        <v>548</v>
      </c>
      <c r="AW55" s="149">
        <v>731</v>
      </c>
      <c r="AX55" s="387">
        <v>6</v>
      </c>
      <c r="AY55" s="125">
        <f>AZ55-AX55</f>
        <v>197</v>
      </c>
      <c r="AZ55" s="149">
        <v>203</v>
      </c>
      <c r="BA55" s="125">
        <f>BB55-AZ55</f>
        <v>68</v>
      </c>
      <c r="BB55" s="149">
        <v>271</v>
      </c>
      <c r="BC55" s="125">
        <f>BE55-BB55</f>
        <v>838</v>
      </c>
      <c r="BD55" s="125">
        <f>BE55-AZ55</f>
        <v>906</v>
      </c>
      <c r="BE55" s="149">
        <v>1109</v>
      </c>
      <c r="BF55" s="379"/>
      <c r="BG55" s="125"/>
      <c r="BH55" s="150"/>
      <c r="BI55" s="125"/>
      <c r="BJ55" s="150"/>
      <c r="BK55" s="125"/>
      <c r="BL55" s="125"/>
      <c r="BM55" s="150"/>
      <c r="BN55" s="387">
        <v>45</v>
      </c>
      <c r="BO55" s="125">
        <f>BP55-BN55</f>
        <v>161</v>
      </c>
      <c r="BP55" s="149">
        <v>206</v>
      </c>
      <c r="BQ55" s="125">
        <f>BR55-BP55</f>
        <v>50</v>
      </c>
      <c r="BR55" s="149">
        <v>256</v>
      </c>
      <c r="BS55" s="125">
        <f>BU55-BR55</f>
        <v>491</v>
      </c>
      <c r="BT55" s="125">
        <f>BU55-BP55</f>
        <v>541</v>
      </c>
      <c r="BU55" s="149">
        <v>747</v>
      </c>
      <c r="BV55" s="387">
        <v>-58</v>
      </c>
      <c r="BW55" s="125">
        <f>BX55-BV55</f>
        <v>146</v>
      </c>
      <c r="BX55" s="149">
        <v>88</v>
      </c>
      <c r="BY55" s="125">
        <f>BZ55-BX55</f>
        <v>39</v>
      </c>
      <c r="BZ55" s="149">
        <v>127</v>
      </c>
      <c r="CA55" s="125">
        <f>CC55-BZ55</f>
        <v>641</v>
      </c>
      <c r="CB55" s="125">
        <f>CC55-BX55</f>
        <v>680</v>
      </c>
      <c r="CC55" s="149">
        <v>768</v>
      </c>
      <c r="CD55" s="387">
        <v>290</v>
      </c>
      <c r="CE55" s="125">
        <f>CF55-CD55</f>
        <v>8</v>
      </c>
      <c r="CF55" s="149">
        <v>298</v>
      </c>
      <c r="CG55" s="125">
        <f>CH55-CF55</f>
        <v>2</v>
      </c>
      <c r="CH55" s="149">
        <v>300</v>
      </c>
      <c r="CI55" s="125">
        <f>CK55-CH55</f>
        <v>-32</v>
      </c>
      <c r="CJ55" s="125">
        <f>CK55-CF55</f>
        <v>-30</v>
      </c>
      <c r="CK55" s="149">
        <v>268</v>
      </c>
      <c r="CL55" s="387">
        <v>-61</v>
      </c>
      <c r="CM55" s="125">
        <f>CN55-CL55</f>
        <v>99</v>
      </c>
      <c r="CN55" s="149">
        <v>38</v>
      </c>
      <c r="CO55" s="125">
        <f>CP55-CN55</f>
        <v>95</v>
      </c>
      <c r="CP55" s="149">
        <v>133</v>
      </c>
      <c r="CQ55" s="125">
        <f>CS55-CP55</f>
        <v>374</v>
      </c>
      <c r="CR55" s="125">
        <f>CS55-CN55</f>
        <v>469</v>
      </c>
      <c r="CS55" s="149">
        <v>507</v>
      </c>
      <c r="CT55" s="387">
        <v>83</v>
      </c>
      <c r="CU55" s="125">
        <f>CV55-CT55</f>
        <v>176</v>
      </c>
      <c r="CV55" s="149">
        <v>259</v>
      </c>
      <c r="CW55" s="125">
        <f>CX55-CV55</f>
        <v>388</v>
      </c>
      <c r="CX55" s="149">
        <v>647</v>
      </c>
      <c r="CY55" s="125">
        <f>DA55-CX55</f>
        <v>173</v>
      </c>
      <c r="CZ55" s="125">
        <f>DA55-CV55</f>
        <v>561</v>
      </c>
      <c r="DA55" s="149">
        <v>820</v>
      </c>
      <c r="DB55" s="377">
        <v>142</v>
      </c>
      <c r="DC55" s="125">
        <f>DD55-DB55</f>
        <v>902</v>
      </c>
      <c r="DD55" s="149">
        <v>1044</v>
      </c>
      <c r="DE55" s="125">
        <f>DF55-DD55</f>
        <v>197</v>
      </c>
      <c r="DF55" s="149">
        <v>1241</v>
      </c>
      <c r="DG55" s="125">
        <f>DI55-DF55</f>
        <v>853</v>
      </c>
      <c r="DH55" s="125">
        <f>DI55-DD55</f>
        <v>1050</v>
      </c>
      <c r="DI55" s="149">
        <v>2094</v>
      </c>
      <c r="DJ55" s="377">
        <v>170</v>
      </c>
      <c r="DK55" s="125">
        <f>DL55-DJ55</f>
        <v>140</v>
      </c>
      <c r="DL55" s="150">
        <v>310</v>
      </c>
      <c r="DM55" s="125">
        <f>DN55-DL55</f>
        <v>338</v>
      </c>
      <c r="DN55" s="149">
        <v>648</v>
      </c>
      <c r="DO55" s="125">
        <f>DQ55-DN55</f>
        <v>178</v>
      </c>
      <c r="DP55" s="125">
        <f>DQ55-DL55</f>
        <v>516</v>
      </c>
      <c r="DQ55" s="149">
        <v>826</v>
      </c>
      <c r="DR55" s="377">
        <v>280</v>
      </c>
      <c r="DS55" s="125">
        <f>DT55-DR55</f>
        <v>122</v>
      </c>
      <c r="DT55" s="150">
        <v>402</v>
      </c>
      <c r="DU55" s="125">
        <f>DV55-DT55</f>
        <v>112</v>
      </c>
      <c r="DV55" s="149">
        <v>514</v>
      </c>
      <c r="DW55" s="125"/>
      <c r="DX55" s="125"/>
      <c r="DY55" s="149"/>
      <c r="DZ55" s="377">
        <v>408</v>
      </c>
      <c r="EA55" s="125">
        <f>EB55-DZ55</f>
        <v>413</v>
      </c>
      <c r="EB55" s="150">
        <v>821</v>
      </c>
      <c r="EC55" s="125"/>
      <c r="ED55" s="149"/>
      <c r="EE55" s="125"/>
      <c r="EF55" s="125"/>
      <c r="EG55" s="152"/>
      <c r="EH55" s="406"/>
      <c r="EJ55" s="19"/>
    </row>
    <row r="56" spans="1:140">
      <c r="A56" s="107" t="s">
        <v>385</v>
      </c>
      <c r="B56" s="42"/>
      <c r="J56" s="369"/>
      <c r="R56" s="387">
        <v>51</v>
      </c>
      <c r="S56" s="125">
        <f>T56-R56</f>
        <v>97</v>
      </c>
      <c r="T56" s="149">
        <v>148</v>
      </c>
      <c r="U56" s="125">
        <f>V56-T56</f>
        <v>128</v>
      </c>
      <c r="V56" s="149">
        <v>276</v>
      </c>
      <c r="W56" s="125">
        <f>Y56-V56</f>
        <v>146</v>
      </c>
      <c r="X56" s="125">
        <f>Y56-T56</f>
        <v>274</v>
      </c>
      <c r="Y56" s="149">
        <v>422</v>
      </c>
      <c r="Z56" s="387">
        <v>78</v>
      </c>
      <c r="AA56" s="125">
        <f>AB56-Z56</f>
        <v>89</v>
      </c>
      <c r="AB56" s="149">
        <v>167</v>
      </c>
      <c r="AC56" s="125">
        <f>AD56-AB56</f>
        <v>41</v>
      </c>
      <c r="AD56" s="149">
        <v>208</v>
      </c>
      <c r="AE56" s="125">
        <f>AG56-AD56</f>
        <v>161</v>
      </c>
      <c r="AF56" s="125">
        <f>AG56-AB56</f>
        <v>202</v>
      </c>
      <c r="AG56" s="149">
        <v>369</v>
      </c>
      <c r="AH56" s="387">
        <v>86</v>
      </c>
      <c r="AI56" s="125">
        <f>AJ56-AH56</f>
        <v>49</v>
      </c>
      <c r="AJ56" s="149">
        <v>135</v>
      </c>
      <c r="AK56" s="125">
        <f>AL56-AJ56</f>
        <v>46</v>
      </c>
      <c r="AL56" s="149">
        <v>181</v>
      </c>
      <c r="AM56" s="125">
        <f>AO56-AL56</f>
        <v>152</v>
      </c>
      <c r="AN56" s="125">
        <f>AO56-AJ56</f>
        <v>198</v>
      </c>
      <c r="AO56" s="149">
        <v>333</v>
      </c>
      <c r="AP56" s="387">
        <v>51</v>
      </c>
      <c r="AQ56" s="125">
        <f>AR56-AP56</f>
        <v>76</v>
      </c>
      <c r="AR56" s="149">
        <v>127</v>
      </c>
      <c r="AS56" s="125">
        <f>AT56-AR56</f>
        <v>84</v>
      </c>
      <c r="AT56" s="149">
        <v>211</v>
      </c>
      <c r="AU56" s="125">
        <f>AW56-AT56</f>
        <v>142</v>
      </c>
      <c r="AV56" s="125">
        <f>AW56-AR56</f>
        <v>226</v>
      </c>
      <c r="AW56" s="149">
        <v>353</v>
      </c>
      <c r="AX56" s="387">
        <v>60</v>
      </c>
      <c r="AY56" s="125">
        <f>AZ56-AX56</f>
        <v>91</v>
      </c>
      <c r="AZ56" s="149">
        <v>151</v>
      </c>
      <c r="BA56" s="125">
        <f>BB56-AZ56</f>
        <v>59</v>
      </c>
      <c r="BB56" s="149">
        <v>210</v>
      </c>
      <c r="BC56" s="125">
        <f>BE56-BB56</f>
        <v>125</v>
      </c>
      <c r="BD56" s="125">
        <f>BE56-AZ56</f>
        <v>184</v>
      </c>
      <c r="BE56" s="149">
        <v>335</v>
      </c>
      <c r="BF56" s="379"/>
      <c r="BG56" s="125"/>
      <c r="BH56" s="150"/>
      <c r="BI56" s="125"/>
      <c r="BJ56" s="150"/>
      <c r="BK56" s="125"/>
      <c r="BL56" s="125"/>
      <c r="BM56" s="150"/>
      <c r="BN56" s="387">
        <v>104</v>
      </c>
      <c r="BO56" s="125">
        <f>BP56-BN56</f>
        <v>39</v>
      </c>
      <c r="BP56" s="149">
        <v>143</v>
      </c>
      <c r="BQ56" s="125">
        <f>BR56-BP56</f>
        <v>87</v>
      </c>
      <c r="BR56" s="149">
        <v>230</v>
      </c>
      <c r="BS56" s="125">
        <f>BU56-BR56</f>
        <v>151</v>
      </c>
      <c r="BT56" s="125">
        <f>BU56-BP56</f>
        <v>238</v>
      </c>
      <c r="BU56" s="149">
        <v>381</v>
      </c>
      <c r="BV56" s="387">
        <v>66</v>
      </c>
      <c r="BW56" s="125">
        <f>BX56-BV56</f>
        <v>57</v>
      </c>
      <c r="BX56" s="149">
        <v>123</v>
      </c>
      <c r="BY56" s="125">
        <f>BZ56-BX56</f>
        <v>50</v>
      </c>
      <c r="BZ56" s="149">
        <v>173</v>
      </c>
      <c r="CA56" s="125">
        <f>CC56-BZ56</f>
        <v>137</v>
      </c>
      <c r="CB56" s="125">
        <f>CC56-BX56</f>
        <v>187</v>
      </c>
      <c r="CC56" s="149">
        <v>310</v>
      </c>
      <c r="CD56" s="387">
        <v>54</v>
      </c>
      <c r="CE56" s="125">
        <f>CF56-CD56</f>
        <v>21</v>
      </c>
      <c r="CF56" s="149">
        <v>75</v>
      </c>
      <c r="CG56" s="125">
        <f>CH56-CF56</f>
        <v>68</v>
      </c>
      <c r="CH56" s="149">
        <v>143</v>
      </c>
      <c r="CI56" s="125">
        <f>CK56-CH56</f>
        <v>125</v>
      </c>
      <c r="CJ56" s="125">
        <f>CK56-CF56</f>
        <v>193</v>
      </c>
      <c r="CK56" s="149">
        <v>268</v>
      </c>
      <c r="CL56" s="387">
        <v>40</v>
      </c>
      <c r="CM56" s="125">
        <f>CN56-CL56</f>
        <v>83</v>
      </c>
      <c r="CN56" s="149">
        <v>123</v>
      </c>
      <c r="CO56" s="125">
        <f>CP56-CN56</f>
        <v>62</v>
      </c>
      <c r="CP56" s="149">
        <v>185</v>
      </c>
      <c r="CQ56" s="125">
        <f>CS56-CP56</f>
        <v>229</v>
      </c>
      <c r="CR56" s="125">
        <f>CS56-CN56</f>
        <v>291</v>
      </c>
      <c r="CS56" s="150">
        <v>414</v>
      </c>
      <c r="CT56" s="387">
        <v>56</v>
      </c>
      <c r="CU56" s="125">
        <f>CV56-CT56</f>
        <v>107</v>
      </c>
      <c r="CV56" s="149">
        <v>163</v>
      </c>
      <c r="CW56" s="125">
        <f>CX56-CV56</f>
        <v>83</v>
      </c>
      <c r="CX56" s="149">
        <v>246</v>
      </c>
      <c r="CY56" s="125">
        <f>DA56-CX56</f>
        <v>116</v>
      </c>
      <c r="CZ56" s="125">
        <f>DA56-CV56</f>
        <v>199</v>
      </c>
      <c r="DA56" s="149">
        <v>362</v>
      </c>
      <c r="DB56" s="377">
        <v>39</v>
      </c>
      <c r="DC56" s="125">
        <f>DD56-DB56</f>
        <v>92</v>
      </c>
      <c r="DD56" s="149">
        <v>131</v>
      </c>
      <c r="DE56" s="125">
        <f>DF56-DD56</f>
        <v>60</v>
      </c>
      <c r="DF56" s="149">
        <v>191</v>
      </c>
      <c r="DG56" s="125">
        <f>DI56-DF56</f>
        <v>202</v>
      </c>
      <c r="DH56" s="125">
        <f>DI56-DD56</f>
        <v>262</v>
      </c>
      <c r="DI56" s="149">
        <v>393</v>
      </c>
      <c r="DJ56" s="377">
        <v>63</v>
      </c>
      <c r="DK56" s="125">
        <f>DL56-DJ56</f>
        <v>170</v>
      </c>
      <c r="DL56" s="150">
        <v>233</v>
      </c>
      <c r="DM56" s="125">
        <f>DN56-DL56</f>
        <v>75</v>
      </c>
      <c r="DN56" s="149">
        <v>308</v>
      </c>
      <c r="DO56" s="125">
        <f>DQ56-DN56</f>
        <v>142</v>
      </c>
      <c r="DP56" s="125">
        <f>DQ56-DL56</f>
        <v>217</v>
      </c>
      <c r="DQ56" s="149">
        <v>450</v>
      </c>
      <c r="DR56" s="377">
        <v>100</v>
      </c>
      <c r="DS56" s="125">
        <f>DT56-DR56</f>
        <v>71</v>
      </c>
      <c r="DT56" s="150">
        <v>171</v>
      </c>
      <c r="DU56" s="125">
        <f>DV56-DT56</f>
        <v>135</v>
      </c>
      <c r="DV56" s="149">
        <v>306</v>
      </c>
      <c r="DW56" s="125"/>
      <c r="DX56" s="125"/>
      <c r="DY56" s="149"/>
      <c r="DZ56" s="377">
        <v>79</v>
      </c>
      <c r="EA56" s="125">
        <f>EB56-DZ56</f>
        <v>136</v>
      </c>
      <c r="EB56" s="150">
        <v>215</v>
      </c>
      <c r="EC56" s="125"/>
      <c r="ED56" s="149"/>
      <c r="EE56" s="125"/>
      <c r="EF56" s="125"/>
      <c r="EG56" s="152"/>
      <c r="EH56" s="406"/>
    </row>
    <row r="57" spans="1:140">
      <c r="A57" s="13" t="s">
        <v>384</v>
      </c>
      <c r="B57" s="42"/>
      <c r="J57" s="369"/>
      <c r="R57" s="377" t="s">
        <v>491</v>
      </c>
      <c r="S57" s="150" t="s">
        <v>491</v>
      </c>
      <c r="T57" s="150" t="s">
        <v>491</v>
      </c>
      <c r="U57" s="150" t="s">
        <v>491</v>
      </c>
      <c r="V57" s="150" t="s">
        <v>491</v>
      </c>
      <c r="W57" s="150" t="s">
        <v>491</v>
      </c>
      <c r="X57" s="150" t="s">
        <v>491</v>
      </c>
      <c r="Y57" s="150" t="s">
        <v>491</v>
      </c>
      <c r="Z57" s="377" t="s">
        <v>491</v>
      </c>
      <c r="AA57" s="150" t="s">
        <v>491</v>
      </c>
      <c r="AB57" s="150" t="s">
        <v>491</v>
      </c>
      <c r="AC57" s="150" t="s">
        <v>491</v>
      </c>
      <c r="AD57" s="150" t="s">
        <v>491</v>
      </c>
      <c r="AE57" s="150" t="s">
        <v>491</v>
      </c>
      <c r="AF57" s="150" t="s">
        <v>491</v>
      </c>
      <c r="AG57" s="150" t="s">
        <v>491</v>
      </c>
      <c r="AH57" s="377" t="s">
        <v>491</v>
      </c>
      <c r="AI57" s="150" t="s">
        <v>491</v>
      </c>
      <c r="AJ57" s="150" t="s">
        <v>491</v>
      </c>
      <c r="AK57" s="150" t="s">
        <v>491</v>
      </c>
      <c r="AL57" s="150" t="s">
        <v>491</v>
      </c>
      <c r="AM57" s="150" t="s">
        <v>491</v>
      </c>
      <c r="AN57" s="150" t="s">
        <v>491</v>
      </c>
      <c r="AO57" s="150" t="s">
        <v>491</v>
      </c>
      <c r="AP57" s="377" t="s">
        <v>491</v>
      </c>
      <c r="AQ57" s="150" t="s">
        <v>491</v>
      </c>
      <c r="AR57" s="150" t="s">
        <v>491</v>
      </c>
      <c r="AS57" s="150" t="s">
        <v>491</v>
      </c>
      <c r="AT57" s="150" t="s">
        <v>491</v>
      </c>
      <c r="AU57" s="150" t="s">
        <v>491</v>
      </c>
      <c r="AV57" s="150" t="s">
        <v>491</v>
      </c>
      <c r="AW57" s="150" t="s">
        <v>491</v>
      </c>
      <c r="AX57" s="377" t="s">
        <v>491</v>
      </c>
      <c r="AY57" s="150" t="s">
        <v>491</v>
      </c>
      <c r="AZ57" s="150" t="s">
        <v>491</v>
      </c>
      <c r="BA57" s="150" t="s">
        <v>491</v>
      </c>
      <c r="BB57" s="150" t="s">
        <v>491</v>
      </c>
      <c r="BC57" s="150" t="s">
        <v>491</v>
      </c>
      <c r="BD57" s="150" t="s">
        <v>491</v>
      </c>
      <c r="BE57" s="150" t="s">
        <v>491</v>
      </c>
      <c r="BF57" s="377"/>
      <c r="BG57" s="150"/>
      <c r="BH57" s="150"/>
      <c r="BI57" s="150"/>
      <c r="BJ57" s="150"/>
      <c r="BK57" s="150"/>
      <c r="BL57" s="150"/>
      <c r="BM57" s="150"/>
      <c r="BN57" s="377" t="s">
        <v>491</v>
      </c>
      <c r="BO57" s="150" t="s">
        <v>491</v>
      </c>
      <c r="BP57" s="150" t="s">
        <v>491</v>
      </c>
      <c r="BQ57" s="150" t="s">
        <v>491</v>
      </c>
      <c r="BR57" s="150" t="s">
        <v>491</v>
      </c>
      <c r="BS57" s="150" t="s">
        <v>491</v>
      </c>
      <c r="BT57" s="150" t="s">
        <v>491</v>
      </c>
      <c r="BU57" s="150" t="s">
        <v>491</v>
      </c>
      <c r="BV57" s="377" t="s">
        <v>491</v>
      </c>
      <c r="BW57" s="150" t="s">
        <v>491</v>
      </c>
      <c r="BX57" s="150" t="s">
        <v>491</v>
      </c>
      <c r="BY57" s="150" t="s">
        <v>491</v>
      </c>
      <c r="BZ57" s="150" t="s">
        <v>491</v>
      </c>
      <c r="CA57" s="150" t="s">
        <v>491</v>
      </c>
      <c r="CB57" s="150" t="s">
        <v>491</v>
      </c>
      <c r="CC57" s="150" t="s">
        <v>491</v>
      </c>
      <c r="CD57" s="377" t="s">
        <v>491</v>
      </c>
      <c r="CE57" s="150" t="s">
        <v>491</v>
      </c>
      <c r="CF57" s="150" t="s">
        <v>491</v>
      </c>
      <c r="CG57" s="150" t="s">
        <v>491</v>
      </c>
      <c r="CH57" s="150" t="s">
        <v>491</v>
      </c>
      <c r="CI57" s="150" t="s">
        <v>491</v>
      </c>
      <c r="CJ57" s="150" t="s">
        <v>491</v>
      </c>
      <c r="CK57" s="150" t="s">
        <v>491</v>
      </c>
      <c r="CL57" s="377" t="s">
        <v>491</v>
      </c>
      <c r="CM57" s="150" t="s">
        <v>491</v>
      </c>
      <c r="CN57" s="150" t="s">
        <v>491</v>
      </c>
      <c r="CO57" s="150" t="s">
        <v>491</v>
      </c>
      <c r="CP57" s="150" t="s">
        <v>491</v>
      </c>
      <c r="CQ57" s="150" t="s">
        <v>491</v>
      </c>
      <c r="CR57" s="150" t="s">
        <v>491</v>
      </c>
      <c r="CS57" s="149" t="s">
        <v>491</v>
      </c>
      <c r="CT57" s="377" t="s">
        <v>491</v>
      </c>
      <c r="CU57" s="150" t="s">
        <v>491</v>
      </c>
      <c r="CV57" s="150" t="s">
        <v>491</v>
      </c>
      <c r="CW57" s="150" t="s">
        <v>491</v>
      </c>
      <c r="CX57" s="150" t="s">
        <v>491</v>
      </c>
      <c r="CY57" s="150" t="s">
        <v>491</v>
      </c>
      <c r="CZ57" s="150" t="s">
        <v>491</v>
      </c>
      <c r="DA57" s="150" t="s">
        <v>491</v>
      </c>
      <c r="DB57" s="377" t="s">
        <v>491</v>
      </c>
      <c r="DC57" s="150" t="s">
        <v>491</v>
      </c>
      <c r="DD57" s="150" t="s">
        <v>491</v>
      </c>
      <c r="DE57" s="150" t="s">
        <v>491</v>
      </c>
      <c r="DF57" s="150" t="s">
        <v>491</v>
      </c>
      <c r="DG57" s="150" t="s">
        <v>491</v>
      </c>
      <c r="DH57" s="150" t="s">
        <v>491</v>
      </c>
      <c r="DI57" s="150" t="s">
        <v>491</v>
      </c>
      <c r="DJ57" s="377" t="s">
        <v>491</v>
      </c>
      <c r="DK57" s="125" t="s">
        <v>491</v>
      </c>
      <c r="DL57" s="125" t="s">
        <v>491</v>
      </c>
      <c r="DM57" s="150" t="s">
        <v>491</v>
      </c>
      <c r="DN57" s="150" t="s">
        <v>491</v>
      </c>
      <c r="DO57" s="150" t="s">
        <v>491</v>
      </c>
      <c r="DP57" s="150" t="s">
        <v>491</v>
      </c>
      <c r="DQ57" s="150" t="s">
        <v>491</v>
      </c>
      <c r="DR57" s="377" t="s">
        <v>491</v>
      </c>
      <c r="DS57" s="125"/>
      <c r="DT57" s="125"/>
      <c r="DU57" s="150"/>
      <c r="DV57" s="150"/>
      <c r="DW57" s="150"/>
      <c r="DX57" s="150"/>
      <c r="DY57" s="150"/>
      <c r="DZ57" s="377"/>
      <c r="EA57" s="125"/>
      <c r="EB57" s="125"/>
      <c r="EC57" s="150"/>
      <c r="ED57" s="150"/>
      <c r="EE57" s="150"/>
      <c r="EF57" s="150"/>
      <c r="EG57" s="476"/>
      <c r="EH57" s="406"/>
      <c r="EJ57" s="19"/>
    </row>
    <row r="58" spans="1:140">
      <c r="A58" s="107" t="s">
        <v>388</v>
      </c>
      <c r="B58" s="42"/>
      <c r="J58" s="369"/>
      <c r="R58" s="377" t="s">
        <v>491</v>
      </c>
      <c r="S58" s="150" t="s">
        <v>491</v>
      </c>
      <c r="T58" s="150" t="s">
        <v>491</v>
      </c>
      <c r="U58" s="150" t="s">
        <v>491</v>
      </c>
      <c r="V58" s="150" t="s">
        <v>491</v>
      </c>
      <c r="W58" s="150" t="s">
        <v>491</v>
      </c>
      <c r="X58" s="150" t="s">
        <v>491</v>
      </c>
      <c r="Y58" s="150" t="s">
        <v>491</v>
      </c>
      <c r="Z58" s="377" t="s">
        <v>491</v>
      </c>
      <c r="AA58" s="150" t="s">
        <v>491</v>
      </c>
      <c r="AB58" s="150" t="s">
        <v>491</v>
      </c>
      <c r="AC58" s="150" t="s">
        <v>491</v>
      </c>
      <c r="AD58" s="150" t="s">
        <v>491</v>
      </c>
      <c r="AE58" s="150" t="s">
        <v>491</v>
      </c>
      <c r="AF58" s="150" t="s">
        <v>491</v>
      </c>
      <c r="AG58" s="150" t="s">
        <v>491</v>
      </c>
      <c r="AH58" s="377" t="s">
        <v>491</v>
      </c>
      <c r="AI58" s="150" t="s">
        <v>491</v>
      </c>
      <c r="AJ58" s="150" t="s">
        <v>491</v>
      </c>
      <c r="AK58" s="150" t="s">
        <v>491</v>
      </c>
      <c r="AL58" s="150" t="s">
        <v>491</v>
      </c>
      <c r="AM58" s="150" t="s">
        <v>491</v>
      </c>
      <c r="AN58" s="150" t="s">
        <v>491</v>
      </c>
      <c r="AO58" s="150" t="s">
        <v>491</v>
      </c>
      <c r="AP58" s="377" t="s">
        <v>491</v>
      </c>
      <c r="AQ58" s="150" t="s">
        <v>491</v>
      </c>
      <c r="AR58" s="150" t="s">
        <v>491</v>
      </c>
      <c r="AS58" s="150" t="s">
        <v>491</v>
      </c>
      <c r="AT58" s="150" t="s">
        <v>491</v>
      </c>
      <c r="AU58" s="150" t="s">
        <v>491</v>
      </c>
      <c r="AV58" s="150" t="s">
        <v>491</v>
      </c>
      <c r="AW58" s="150" t="s">
        <v>491</v>
      </c>
      <c r="AX58" s="377" t="s">
        <v>491</v>
      </c>
      <c r="AY58" s="150" t="s">
        <v>491</v>
      </c>
      <c r="AZ58" s="150" t="s">
        <v>491</v>
      </c>
      <c r="BA58" s="150" t="s">
        <v>491</v>
      </c>
      <c r="BB58" s="150" t="s">
        <v>491</v>
      </c>
      <c r="BC58" s="150" t="s">
        <v>491</v>
      </c>
      <c r="BD58" s="150" t="s">
        <v>491</v>
      </c>
      <c r="BE58" s="150" t="s">
        <v>491</v>
      </c>
      <c r="BF58" s="377"/>
      <c r="BG58" s="150"/>
      <c r="BH58" s="150"/>
      <c r="BI58" s="150"/>
      <c r="BJ58" s="150"/>
      <c r="BK58" s="150"/>
      <c r="BL58" s="150"/>
      <c r="BM58" s="150"/>
      <c r="BN58" s="377" t="s">
        <v>491</v>
      </c>
      <c r="BO58" s="150" t="s">
        <v>491</v>
      </c>
      <c r="BP58" s="150" t="s">
        <v>491</v>
      </c>
      <c r="BQ58" s="150" t="s">
        <v>491</v>
      </c>
      <c r="BR58" s="150" t="s">
        <v>491</v>
      </c>
      <c r="BS58" s="150" t="s">
        <v>491</v>
      </c>
      <c r="BT58" s="150" t="s">
        <v>491</v>
      </c>
      <c r="BU58" s="150" t="s">
        <v>491</v>
      </c>
      <c r="BV58" s="377" t="s">
        <v>491</v>
      </c>
      <c r="BW58" s="150" t="s">
        <v>491</v>
      </c>
      <c r="BX58" s="150" t="s">
        <v>491</v>
      </c>
      <c r="BY58" s="150" t="s">
        <v>491</v>
      </c>
      <c r="BZ58" s="150" t="s">
        <v>491</v>
      </c>
      <c r="CA58" s="150" t="s">
        <v>491</v>
      </c>
      <c r="CB58" s="150" t="s">
        <v>491</v>
      </c>
      <c r="CC58" s="150" t="s">
        <v>491</v>
      </c>
      <c r="CD58" s="377" t="s">
        <v>491</v>
      </c>
      <c r="CE58" s="150" t="s">
        <v>491</v>
      </c>
      <c r="CF58" s="150" t="s">
        <v>491</v>
      </c>
      <c r="CG58" s="150" t="s">
        <v>491</v>
      </c>
      <c r="CH58" s="150" t="s">
        <v>491</v>
      </c>
      <c r="CI58" s="150" t="s">
        <v>491</v>
      </c>
      <c r="CJ58" s="150" t="s">
        <v>491</v>
      </c>
      <c r="CK58" s="150" t="s">
        <v>491</v>
      </c>
      <c r="CL58" s="377" t="s">
        <v>491</v>
      </c>
      <c r="CM58" s="150" t="s">
        <v>491</v>
      </c>
      <c r="CN58" s="150" t="s">
        <v>491</v>
      </c>
      <c r="CO58" s="150" t="s">
        <v>491</v>
      </c>
      <c r="CP58" s="150" t="s">
        <v>491</v>
      </c>
      <c r="CQ58" s="150" t="s">
        <v>491</v>
      </c>
      <c r="CR58" s="150" t="s">
        <v>491</v>
      </c>
      <c r="CS58" s="150" t="s">
        <v>491</v>
      </c>
      <c r="CT58" s="377" t="s">
        <v>491</v>
      </c>
      <c r="CU58" s="150" t="s">
        <v>491</v>
      </c>
      <c r="CV58" s="150" t="s">
        <v>491</v>
      </c>
      <c r="CW58" s="150" t="s">
        <v>491</v>
      </c>
      <c r="CX58" s="150" t="s">
        <v>491</v>
      </c>
      <c r="CY58" s="150" t="s">
        <v>491</v>
      </c>
      <c r="CZ58" s="150" t="s">
        <v>491</v>
      </c>
      <c r="DA58" s="150" t="s">
        <v>491</v>
      </c>
      <c r="DB58" s="377" t="s">
        <v>491</v>
      </c>
      <c r="DC58" s="150" t="s">
        <v>491</v>
      </c>
      <c r="DD58" s="150" t="s">
        <v>491</v>
      </c>
      <c r="DE58" s="150" t="s">
        <v>491</v>
      </c>
      <c r="DF58" s="150" t="s">
        <v>491</v>
      </c>
      <c r="DG58" s="150" t="s">
        <v>491</v>
      </c>
      <c r="DH58" s="150" t="s">
        <v>491</v>
      </c>
      <c r="DI58" s="150" t="s">
        <v>491</v>
      </c>
      <c r="DJ58" s="377" t="s">
        <v>491</v>
      </c>
      <c r="DK58" s="125" t="s">
        <v>491</v>
      </c>
      <c r="DL58" s="125" t="s">
        <v>491</v>
      </c>
      <c r="DM58" s="150" t="s">
        <v>491</v>
      </c>
      <c r="DN58" s="150" t="s">
        <v>491</v>
      </c>
      <c r="DO58" s="150" t="s">
        <v>491</v>
      </c>
      <c r="DP58" s="150" t="s">
        <v>491</v>
      </c>
      <c r="DQ58" s="150" t="s">
        <v>491</v>
      </c>
      <c r="DR58" s="377" t="s">
        <v>491</v>
      </c>
      <c r="DS58" s="125"/>
      <c r="DT58" s="125"/>
      <c r="DU58" s="150"/>
      <c r="DV58" s="150"/>
      <c r="DW58" s="150"/>
      <c r="DX58" s="150"/>
      <c r="DY58" s="150"/>
      <c r="DZ58" s="377"/>
      <c r="EA58" s="125"/>
      <c r="EB58" s="125"/>
      <c r="EC58" s="150"/>
      <c r="ED58" s="150"/>
      <c r="EE58" s="150"/>
      <c r="EF58" s="150"/>
      <c r="EG58" s="476"/>
      <c r="EH58" s="406"/>
    </row>
    <row r="59" spans="1:140">
      <c r="A59" s="37" t="s">
        <v>225</v>
      </c>
      <c r="B59" s="91"/>
      <c r="C59" s="68"/>
      <c r="D59" s="68"/>
      <c r="E59" s="68"/>
      <c r="F59" s="68"/>
      <c r="G59" s="68"/>
      <c r="H59" s="68"/>
      <c r="I59" s="68"/>
      <c r="J59" s="468"/>
      <c r="K59" s="68"/>
      <c r="L59" s="68"/>
      <c r="M59" s="68"/>
      <c r="N59" s="68"/>
      <c r="O59" s="68"/>
      <c r="P59" s="68"/>
      <c r="Q59" s="68"/>
      <c r="R59" s="326">
        <f>SUM(R55:R58)</f>
        <v>461</v>
      </c>
      <c r="S59" s="324">
        <f>T59-R59</f>
        <v>409</v>
      </c>
      <c r="T59" s="324">
        <f>SUM(T55:T58)</f>
        <v>870</v>
      </c>
      <c r="U59" s="324">
        <f>V59-T59</f>
        <v>468</v>
      </c>
      <c r="V59" s="324">
        <f>SUM(V55:V58)</f>
        <v>1338</v>
      </c>
      <c r="W59" s="324">
        <f>Y59-V59</f>
        <v>587</v>
      </c>
      <c r="X59" s="324">
        <f>Y59-T59</f>
        <v>1055</v>
      </c>
      <c r="Y59" s="324">
        <f>SUM(Y55:Y58)</f>
        <v>1925</v>
      </c>
      <c r="Z59" s="326">
        <f>SUM(Z55:Z58)</f>
        <v>181</v>
      </c>
      <c r="AA59" s="324">
        <f>AB59-Z59</f>
        <v>276</v>
      </c>
      <c r="AB59" s="324">
        <f>SUM(AB55:AB58)</f>
        <v>457</v>
      </c>
      <c r="AC59" s="324">
        <f>AD59-AB59</f>
        <v>542</v>
      </c>
      <c r="AD59" s="324">
        <f>SUM(AD55:AD58)</f>
        <v>999</v>
      </c>
      <c r="AE59" s="324">
        <f>AG59-AD59</f>
        <v>826</v>
      </c>
      <c r="AF59" s="324">
        <f>AG59-AB59</f>
        <v>1368</v>
      </c>
      <c r="AG59" s="324">
        <f>SUM(AG55:AG58)</f>
        <v>1825</v>
      </c>
      <c r="AH59" s="326">
        <f>SUM(AH55:AH58)</f>
        <v>187</v>
      </c>
      <c r="AI59" s="324">
        <f>AJ59-AH59</f>
        <v>296</v>
      </c>
      <c r="AJ59" s="324">
        <f>SUM(AJ55:AJ58)</f>
        <v>483</v>
      </c>
      <c r="AK59" s="324">
        <f>AL59-AJ59</f>
        <v>513</v>
      </c>
      <c r="AL59" s="324">
        <f>SUM(AL55:AL58)</f>
        <v>996</v>
      </c>
      <c r="AM59" s="324">
        <f>AO59-AL59</f>
        <v>417</v>
      </c>
      <c r="AN59" s="324">
        <f>AO59-AJ59</f>
        <v>930</v>
      </c>
      <c r="AO59" s="324">
        <f>SUM(AO55:AO58)</f>
        <v>1413</v>
      </c>
      <c r="AP59" s="326">
        <f>SUM(AP55:AP58)</f>
        <v>61</v>
      </c>
      <c r="AQ59" s="324">
        <f>AR59-AP59</f>
        <v>249</v>
      </c>
      <c r="AR59" s="324">
        <f>SUM(AR55:AR58)</f>
        <v>310</v>
      </c>
      <c r="AS59" s="324">
        <f>AT59-AR59</f>
        <v>281</v>
      </c>
      <c r="AT59" s="324">
        <f>SUM(AT55:AT58)</f>
        <v>591</v>
      </c>
      <c r="AU59" s="324">
        <f>AW59-AT59</f>
        <v>493</v>
      </c>
      <c r="AV59" s="324">
        <f>AW59-AR59</f>
        <v>774</v>
      </c>
      <c r="AW59" s="324">
        <f>SUM(AW55:AW58)</f>
        <v>1084</v>
      </c>
      <c r="AX59" s="326">
        <f>SUM(AX55:AX58)</f>
        <v>66</v>
      </c>
      <c r="AY59" s="324">
        <f>AZ59-AX59</f>
        <v>288</v>
      </c>
      <c r="AZ59" s="324">
        <f>SUM(AZ55:AZ58)</f>
        <v>354</v>
      </c>
      <c r="BA59" s="324">
        <f>BB59-AZ59</f>
        <v>127</v>
      </c>
      <c r="BB59" s="324">
        <f>SUM(BB55:BB58)</f>
        <v>481</v>
      </c>
      <c r="BC59" s="324">
        <f>BE59-BB59</f>
        <v>963</v>
      </c>
      <c r="BD59" s="324">
        <f>BE59-AZ59</f>
        <v>1090</v>
      </c>
      <c r="BE59" s="324">
        <f>SUM(BE55:BE58)</f>
        <v>1444</v>
      </c>
      <c r="BF59" s="326"/>
      <c r="BG59" s="324"/>
      <c r="BH59" s="324"/>
      <c r="BI59" s="324"/>
      <c r="BJ59" s="324"/>
      <c r="BK59" s="324"/>
      <c r="BL59" s="324"/>
      <c r="BM59" s="324"/>
      <c r="BN59" s="326">
        <f>SUM(BN55:BN58)</f>
        <v>149</v>
      </c>
      <c r="BO59" s="324">
        <f>BP59-BN59</f>
        <v>200</v>
      </c>
      <c r="BP59" s="324">
        <f>SUM(BP55:BP58)</f>
        <v>349</v>
      </c>
      <c r="BQ59" s="324">
        <f>BR59-BP59</f>
        <v>137</v>
      </c>
      <c r="BR59" s="324">
        <f>SUM(BR55:BR58)</f>
        <v>486</v>
      </c>
      <c r="BS59" s="324">
        <f>BU59-BR59</f>
        <v>642</v>
      </c>
      <c r="BT59" s="324">
        <f>BU59-BP59</f>
        <v>779</v>
      </c>
      <c r="BU59" s="324">
        <f>SUM(BU55:BU58)</f>
        <v>1128</v>
      </c>
      <c r="BV59" s="326">
        <f>SUM(BV55:BV58)</f>
        <v>8</v>
      </c>
      <c r="BW59" s="324">
        <f>BX59-BV59</f>
        <v>203</v>
      </c>
      <c r="BX59" s="324">
        <f>SUM(BX55:BX58)</f>
        <v>211</v>
      </c>
      <c r="BY59" s="324">
        <f>BZ59-BX59</f>
        <v>89</v>
      </c>
      <c r="BZ59" s="324">
        <f>SUM(BZ55:BZ58)</f>
        <v>300</v>
      </c>
      <c r="CA59" s="324">
        <f>CC59-BZ59</f>
        <v>778</v>
      </c>
      <c r="CB59" s="324">
        <f>CC59-BX59</f>
        <v>867</v>
      </c>
      <c r="CC59" s="324">
        <f>SUM(CC55:CC58)</f>
        <v>1078</v>
      </c>
      <c r="CD59" s="326">
        <f>SUM(CD55:CD58)</f>
        <v>344</v>
      </c>
      <c r="CE59" s="324">
        <f>CF59-CD59</f>
        <v>29</v>
      </c>
      <c r="CF59" s="324">
        <f>SUM(CF55:CF58)</f>
        <v>373</v>
      </c>
      <c r="CG59" s="324">
        <f>CH59-CF59</f>
        <v>70</v>
      </c>
      <c r="CH59" s="324">
        <f>SUM(CH55:CH58)</f>
        <v>443</v>
      </c>
      <c r="CI59" s="324">
        <f>CK59-CH59</f>
        <v>93</v>
      </c>
      <c r="CJ59" s="324">
        <f>CK59-CF59</f>
        <v>163</v>
      </c>
      <c r="CK59" s="324">
        <f>SUM(CK55:CK58)</f>
        <v>536</v>
      </c>
      <c r="CL59" s="326">
        <f>SUM(CL55:CL58)</f>
        <v>-21</v>
      </c>
      <c r="CM59" s="324">
        <f>CN59-CL59</f>
        <v>182</v>
      </c>
      <c r="CN59" s="324">
        <f>SUM(CN55:CN58)</f>
        <v>161</v>
      </c>
      <c r="CO59" s="324">
        <f>CP59-CN59</f>
        <v>157</v>
      </c>
      <c r="CP59" s="324">
        <f>SUM(CP55:CP58)</f>
        <v>318</v>
      </c>
      <c r="CQ59" s="324">
        <f>CS59-CP59</f>
        <v>603</v>
      </c>
      <c r="CR59" s="324">
        <f>CS59-CN59</f>
        <v>760</v>
      </c>
      <c r="CS59" s="324">
        <f>SUM(CS55:CS58)</f>
        <v>921</v>
      </c>
      <c r="CT59" s="326">
        <f>SUM(CT55:CT58)</f>
        <v>139</v>
      </c>
      <c r="CU59" s="324">
        <f>CV59-CT59</f>
        <v>283</v>
      </c>
      <c r="CV59" s="324">
        <f>SUM(CV55:CV58)</f>
        <v>422</v>
      </c>
      <c r="CW59" s="324">
        <f>CX59-CV59</f>
        <v>471</v>
      </c>
      <c r="CX59" s="324">
        <f>SUM(CX55:CX58)</f>
        <v>893</v>
      </c>
      <c r="CY59" s="324">
        <f>DA59-CX59</f>
        <v>289</v>
      </c>
      <c r="CZ59" s="324">
        <f>DA59-CV59</f>
        <v>760</v>
      </c>
      <c r="DA59" s="324">
        <f>SUM(DA55:DA58)</f>
        <v>1182</v>
      </c>
      <c r="DB59" s="326">
        <f>SUM(DB55:DB58)</f>
        <v>181</v>
      </c>
      <c r="DC59" s="324">
        <f>DD59-DB59</f>
        <v>994</v>
      </c>
      <c r="DD59" s="324">
        <f>SUM(DD55:DD58)</f>
        <v>1175</v>
      </c>
      <c r="DE59" s="324">
        <f>DF59-DD59</f>
        <v>257</v>
      </c>
      <c r="DF59" s="324">
        <f>SUM(DF55:DF58)</f>
        <v>1432</v>
      </c>
      <c r="DG59" s="324">
        <f>DI59-DF59</f>
        <v>1055</v>
      </c>
      <c r="DH59" s="324">
        <f>DI59-DD59</f>
        <v>1312</v>
      </c>
      <c r="DI59" s="324">
        <f>SUM(DI55:DI58)</f>
        <v>2487</v>
      </c>
      <c r="DJ59" s="326">
        <f>SUM(DJ55:DJ58)</f>
        <v>233</v>
      </c>
      <c r="DK59" s="324">
        <f>DL59-DJ59</f>
        <v>310</v>
      </c>
      <c r="DL59" s="324">
        <f>SUM(DL55:DL58)</f>
        <v>543</v>
      </c>
      <c r="DM59" s="324">
        <f>DN59-DL59</f>
        <v>413</v>
      </c>
      <c r="DN59" s="324">
        <f>SUM(DN55:DN58)</f>
        <v>956</v>
      </c>
      <c r="DO59" s="324">
        <f>DQ59-DN59</f>
        <v>320</v>
      </c>
      <c r="DP59" s="324">
        <f>DQ59-DL59</f>
        <v>733</v>
      </c>
      <c r="DQ59" s="324">
        <f>SUM(DQ55:DQ58)</f>
        <v>1276</v>
      </c>
      <c r="DR59" s="326">
        <f>SUM(DR55:DR58)</f>
        <v>380</v>
      </c>
      <c r="DS59" s="324">
        <f t="shared" ref="DS59:DV59" si="293">SUM(DS55:DS58)</f>
        <v>193</v>
      </c>
      <c r="DT59" s="324">
        <f t="shared" si="293"/>
        <v>573</v>
      </c>
      <c r="DU59" s="324">
        <f t="shared" si="293"/>
        <v>247</v>
      </c>
      <c r="DV59" s="324">
        <f t="shared" si="293"/>
        <v>820</v>
      </c>
      <c r="DW59" s="324"/>
      <c r="DX59" s="324"/>
      <c r="DY59" s="324"/>
      <c r="DZ59" s="326">
        <f>SUM(DZ55:DZ58)</f>
        <v>487</v>
      </c>
      <c r="EA59" s="324">
        <f>EB59-DZ59</f>
        <v>549</v>
      </c>
      <c r="EB59" s="324">
        <v>1036</v>
      </c>
      <c r="EC59" s="324"/>
      <c r="ED59" s="324"/>
      <c r="EE59" s="324"/>
      <c r="EF59" s="477"/>
      <c r="EG59" s="478"/>
      <c r="EH59" s="406"/>
    </row>
    <row r="60" spans="1:140" s="177" customFormat="1">
      <c r="B60" s="178"/>
      <c r="C60" s="179"/>
      <c r="D60" s="179"/>
      <c r="E60" s="179"/>
      <c r="F60" s="179"/>
      <c r="G60" s="179"/>
      <c r="H60" s="179"/>
      <c r="I60" s="179"/>
      <c r="J60" s="464"/>
      <c r="K60" s="179"/>
      <c r="L60" s="179"/>
      <c r="M60" s="179"/>
      <c r="N60" s="179"/>
      <c r="O60" s="179"/>
      <c r="P60" s="179"/>
      <c r="Q60" s="179"/>
      <c r="R60" s="383"/>
      <c r="S60" s="333"/>
      <c r="T60" s="333"/>
      <c r="U60" s="333"/>
      <c r="V60" s="333"/>
      <c r="W60" s="333"/>
      <c r="X60" s="333"/>
      <c r="Y60" s="333"/>
      <c r="Z60" s="383"/>
      <c r="AA60" s="333"/>
      <c r="AB60" s="333"/>
      <c r="AC60" s="333"/>
      <c r="AD60" s="333"/>
      <c r="AE60" s="333"/>
      <c r="AF60" s="333"/>
      <c r="AG60" s="333"/>
      <c r="AH60" s="383"/>
      <c r="AI60" s="333"/>
      <c r="AJ60" s="333"/>
      <c r="AK60" s="333"/>
      <c r="AL60" s="333"/>
      <c r="AM60" s="333"/>
      <c r="AN60" s="333"/>
      <c r="AO60" s="333"/>
      <c r="AP60" s="383"/>
      <c r="AQ60" s="333"/>
      <c r="AR60" s="333"/>
      <c r="AS60" s="333"/>
      <c r="AT60" s="333"/>
      <c r="AU60" s="333"/>
      <c r="AV60" s="333"/>
      <c r="AW60" s="333"/>
      <c r="AX60" s="383"/>
      <c r="AY60" s="333"/>
      <c r="AZ60" s="333"/>
      <c r="BA60" s="333"/>
      <c r="BB60" s="333"/>
      <c r="BC60" s="333"/>
      <c r="BD60" s="333"/>
      <c r="BE60" s="333"/>
      <c r="BF60" s="383"/>
      <c r="BG60" s="333"/>
      <c r="BH60" s="333"/>
      <c r="BI60" s="333"/>
      <c r="BJ60" s="333"/>
      <c r="BK60" s="333"/>
      <c r="BL60" s="333"/>
      <c r="BM60" s="333"/>
      <c r="BN60" s="383"/>
      <c r="BO60" s="333"/>
      <c r="BP60" s="333"/>
      <c r="BQ60" s="333"/>
      <c r="BR60" s="333"/>
      <c r="BS60" s="333"/>
      <c r="BT60" s="333"/>
      <c r="BU60" s="333"/>
      <c r="BV60" s="383"/>
      <c r="BW60" s="333"/>
      <c r="BX60" s="333"/>
      <c r="BY60" s="333"/>
      <c r="BZ60" s="333"/>
      <c r="CA60" s="333"/>
      <c r="CB60" s="333"/>
      <c r="CC60" s="333"/>
      <c r="CD60" s="383"/>
      <c r="CE60" s="333"/>
      <c r="CF60" s="333"/>
      <c r="CG60" s="333"/>
      <c r="CH60" s="333"/>
      <c r="CI60" s="333"/>
      <c r="CJ60" s="333"/>
      <c r="CK60" s="333"/>
      <c r="CL60" s="383"/>
      <c r="CM60" s="333"/>
      <c r="CN60" s="333"/>
      <c r="CO60" s="333"/>
      <c r="CP60" s="333"/>
      <c r="CQ60" s="333"/>
      <c r="CR60" s="333"/>
      <c r="CS60" s="333"/>
      <c r="CT60" s="383"/>
      <c r="CU60" s="333"/>
      <c r="CV60" s="333"/>
      <c r="CW60" s="333"/>
      <c r="CX60" s="333"/>
      <c r="CY60" s="333"/>
      <c r="CZ60" s="333"/>
      <c r="DA60" s="333"/>
      <c r="DB60" s="378"/>
      <c r="DC60" s="333"/>
      <c r="DD60" s="333"/>
      <c r="DE60" s="333"/>
      <c r="DF60" s="333"/>
      <c r="DG60" s="333"/>
      <c r="DH60" s="333"/>
      <c r="DI60" s="333"/>
      <c r="DJ60" s="378"/>
      <c r="DK60" s="337"/>
      <c r="DL60" s="337"/>
      <c r="DM60" s="337"/>
      <c r="DN60" s="337"/>
      <c r="DO60" s="333"/>
      <c r="DP60" s="333"/>
      <c r="DQ60" s="333"/>
      <c r="DR60" s="378"/>
      <c r="DS60" s="337"/>
      <c r="DT60" s="337"/>
      <c r="DU60" s="337"/>
      <c r="DV60" s="337"/>
      <c r="DW60" s="333"/>
      <c r="DX60" s="333"/>
      <c r="DY60" s="333"/>
      <c r="DZ60" s="378"/>
      <c r="EA60" s="337"/>
      <c r="EB60" s="337"/>
      <c r="EC60" s="337"/>
      <c r="ED60" s="337"/>
      <c r="EE60" s="333"/>
      <c r="EF60" s="333"/>
      <c r="EG60" s="479"/>
      <c r="EH60" s="610"/>
    </row>
    <row r="61" spans="1:140">
      <c r="B61" s="42"/>
      <c r="J61" s="369"/>
      <c r="R61" s="379"/>
      <c r="S61" s="125"/>
      <c r="T61" s="125"/>
      <c r="U61" s="125"/>
      <c r="V61" s="125"/>
      <c r="W61" s="125"/>
      <c r="X61" s="125"/>
      <c r="Y61" s="125"/>
      <c r="Z61" s="379"/>
      <c r="AA61" s="125"/>
      <c r="AB61" s="125"/>
      <c r="AC61" s="125"/>
      <c r="AD61" s="125"/>
      <c r="AE61" s="125"/>
      <c r="AF61" s="125"/>
      <c r="AG61" s="125"/>
      <c r="AH61" s="379"/>
      <c r="AI61" s="125"/>
      <c r="AJ61" s="125"/>
      <c r="AK61" s="125"/>
      <c r="AL61" s="125"/>
      <c r="AM61" s="125"/>
      <c r="AN61" s="125"/>
      <c r="AO61" s="125"/>
      <c r="AP61" s="379"/>
      <c r="AQ61" s="125"/>
      <c r="AR61" s="125"/>
      <c r="AS61" s="125"/>
      <c r="AT61" s="125"/>
      <c r="AU61" s="125"/>
      <c r="AV61" s="125"/>
      <c r="AW61" s="125"/>
      <c r="AX61" s="379"/>
      <c r="AY61" s="125"/>
      <c r="AZ61" s="125"/>
      <c r="BA61" s="125"/>
      <c r="BB61" s="125"/>
      <c r="BC61" s="125"/>
      <c r="BD61" s="125"/>
      <c r="BE61" s="125"/>
      <c r="BF61" s="379"/>
      <c r="BG61" s="125"/>
      <c r="BH61" s="125"/>
      <c r="BI61" s="125"/>
      <c r="BJ61" s="125"/>
      <c r="BK61" s="125"/>
      <c r="BL61" s="125"/>
      <c r="BM61" s="125"/>
      <c r="BN61" s="379"/>
      <c r="BO61" s="125"/>
      <c r="BP61" s="125"/>
      <c r="BQ61" s="125"/>
      <c r="BR61" s="125"/>
      <c r="BS61" s="125"/>
      <c r="BT61" s="125"/>
      <c r="BU61" s="125"/>
      <c r="BV61" s="379"/>
      <c r="BW61" s="125"/>
      <c r="BX61" s="125"/>
      <c r="BY61" s="125"/>
      <c r="BZ61" s="125"/>
      <c r="CA61" s="125"/>
      <c r="CB61" s="125"/>
      <c r="CC61" s="125"/>
      <c r="CD61" s="379"/>
      <c r="CE61" s="125"/>
      <c r="CF61" s="125"/>
      <c r="CG61" s="125"/>
      <c r="CH61" s="125"/>
      <c r="CI61" s="125"/>
      <c r="CJ61" s="125"/>
      <c r="CK61" s="125"/>
      <c r="CL61" s="379"/>
      <c r="CM61" s="125"/>
      <c r="CN61" s="125"/>
      <c r="CO61" s="125"/>
      <c r="CP61" s="125"/>
      <c r="CQ61" s="125"/>
      <c r="CR61" s="125"/>
      <c r="CS61" s="125"/>
      <c r="CT61" s="379"/>
      <c r="CU61" s="125"/>
      <c r="CV61" s="125"/>
      <c r="CW61" s="125"/>
      <c r="CX61" s="125"/>
      <c r="CY61" s="125"/>
      <c r="CZ61" s="125"/>
      <c r="DA61" s="125"/>
      <c r="DB61" s="379"/>
      <c r="DC61" s="125"/>
      <c r="DD61" s="125"/>
      <c r="DE61" s="125"/>
      <c r="DF61" s="125"/>
      <c r="DG61" s="125"/>
      <c r="DH61" s="125"/>
      <c r="DI61" s="125"/>
      <c r="DJ61" s="379"/>
      <c r="DK61" s="125"/>
      <c r="DL61" s="125"/>
      <c r="DM61" s="125"/>
      <c r="DN61" s="125"/>
      <c r="DO61" s="125"/>
      <c r="DP61" s="125"/>
      <c r="DQ61" s="125"/>
      <c r="DR61" s="379"/>
      <c r="DS61" s="125"/>
      <c r="DT61" s="125"/>
      <c r="DU61" s="125"/>
      <c r="DV61" s="125"/>
      <c r="DW61" s="125"/>
      <c r="DX61" s="125"/>
      <c r="DY61" s="125"/>
      <c r="DZ61" s="379"/>
      <c r="EA61" s="125"/>
      <c r="EB61" s="125"/>
      <c r="EC61" s="125"/>
      <c r="ED61" s="125"/>
      <c r="EE61" s="125"/>
      <c r="EF61" s="125"/>
      <c r="EG61" s="480"/>
      <c r="EH61" s="406"/>
    </row>
    <row r="62" spans="1:140">
      <c r="A62" s="12" t="s">
        <v>518</v>
      </c>
      <c r="B62" s="42"/>
      <c r="J62" s="369"/>
      <c r="R62" s="379"/>
      <c r="S62" s="125"/>
      <c r="T62" s="125"/>
      <c r="U62" s="125"/>
      <c r="V62" s="125"/>
      <c r="W62" s="125"/>
      <c r="X62" s="125"/>
      <c r="Y62" s="125"/>
      <c r="Z62" s="379"/>
      <c r="AA62" s="125"/>
      <c r="AB62" s="125"/>
      <c r="AC62" s="125"/>
      <c r="AD62" s="125"/>
      <c r="AE62" s="125"/>
      <c r="AF62" s="125"/>
      <c r="AG62" s="125"/>
      <c r="AH62" s="379"/>
      <c r="AI62" s="125"/>
      <c r="AJ62" s="125"/>
      <c r="AK62" s="125"/>
      <c r="AL62" s="125"/>
      <c r="AM62" s="125"/>
      <c r="AN62" s="125"/>
      <c r="AO62" s="125"/>
      <c r="AP62" s="379"/>
      <c r="AQ62" s="125"/>
      <c r="AR62" s="125"/>
      <c r="AS62" s="125"/>
      <c r="AT62" s="125"/>
      <c r="AU62" s="125"/>
      <c r="AV62" s="125"/>
      <c r="AW62" s="125"/>
      <c r="AX62" s="379"/>
      <c r="AY62" s="125"/>
      <c r="AZ62" s="125"/>
      <c r="BA62" s="125"/>
      <c r="BB62" s="125"/>
      <c r="BC62" s="125"/>
      <c r="BD62" s="125"/>
      <c r="BE62" s="125"/>
      <c r="BF62" s="379"/>
      <c r="BG62" s="125"/>
      <c r="BH62" s="125"/>
      <c r="BI62" s="125"/>
      <c r="BJ62" s="125"/>
      <c r="BK62" s="125"/>
      <c r="BL62" s="125"/>
      <c r="BM62" s="125"/>
      <c r="BN62" s="379"/>
      <c r="BO62" s="125"/>
      <c r="BP62" s="125"/>
      <c r="BQ62" s="125"/>
      <c r="BR62" s="125"/>
      <c r="BS62" s="125"/>
      <c r="BT62" s="125"/>
      <c r="BU62" s="125"/>
      <c r="BV62" s="379"/>
      <c r="BW62" s="125"/>
      <c r="BX62" s="125"/>
      <c r="BY62" s="125"/>
      <c r="BZ62" s="125"/>
      <c r="CA62" s="125"/>
      <c r="CB62" s="125"/>
      <c r="CC62" s="125"/>
      <c r="CD62" s="379"/>
      <c r="CE62" s="125"/>
      <c r="CF62" s="125"/>
      <c r="CG62" s="125"/>
      <c r="CH62" s="125"/>
      <c r="CI62" s="125"/>
      <c r="CJ62" s="125"/>
      <c r="CK62" s="125"/>
      <c r="CL62" s="379"/>
      <c r="CM62" s="125"/>
      <c r="CN62" s="125"/>
      <c r="CO62" s="125"/>
      <c r="CP62" s="125"/>
      <c r="CQ62" s="125"/>
      <c r="CR62" s="125"/>
      <c r="CS62" s="125"/>
      <c r="CT62" s="379"/>
      <c r="CU62" s="125"/>
      <c r="CV62" s="125"/>
      <c r="CW62" s="125"/>
      <c r="CX62" s="125"/>
      <c r="CY62" s="125"/>
      <c r="CZ62" s="125"/>
      <c r="DA62" s="125"/>
      <c r="DB62" s="379"/>
      <c r="DC62" s="125"/>
      <c r="DD62" s="125"/>
      <c r="DE62" s="125"/>
      <c r="DF62" s="125"/>
      <c r="DG62" s="125"/>
      <c r="DH62" s="125"/>
      <c r="DI62" s="125"/>
      <c r="DJ62" s="379"/>
      <c r="DK62" s="125"/>
      <c r="DL62" s="125"/>
      <c r="DM62" s="125"/>
      <c r="DN62" s="125"/>
      <c r="DO62" s="125"/>
      <c r="DP62" s="125"/>
      <c r="DQ62" s="125"/>
      <c r="DR62" s="379"/>
      <c r="DS62" s="125"/>
      <c r="DT62" s="125"/>
      <c r="DU62" s="125"/>
      <c r="DV62" s="125"/>
      <c r="DW62" s="125"/>
      <c r="DX62" s="125"/>
      <c r="DY62" s="125"/>
      <c r="DZ62" s="379"/>
      <c r="EA62" s="125"/>
      <c r="EB62" s="125"/>
      <c r="EC62" s="125"/>
      <c r="ED62" s="125"/>
      <c r="EE62" s="125"/>
      <c r="EF62" s="125"/>
      <c r="EG62" s="480"/>
      <c r="EH62" s="406"/>
    </row>
    <row r="63" spans="1:140">
      <c r="A63" s="13" t="s">
        <v>14</v>
      </c>
      <c r="B63" s="42"/>
      <c r="J63" s="369"/>
      <c r="R63" s="387">
        <v>4948</v>
      </c>
      <c r="S63" s="150">
        <v>5109</v>
      </c>
      <c r="T63" s="149">
        <v>5109</v>
      </c>
      <c r="U63" s="150">
        <v>5299</v>
      </c>
      <c r="V63" s="149">
        <v>5299</v>
      </c>
      <c r="W63" s="150">
        <v>5559</v>
      </c>
      <c r="X63" s="150">
        <v>5559</v>
      </c>
      <c r="Y63" s="149">
        <v>5559</v>
      </c>
      <c r="Z63" s="387">
        <v>5521</v>
      </c>
      <c r="AA63" s="150">
        <v>5546</v>
      </c>
      <c r="AB63" s="149">
        <v>5546</v>
      </c>
      <c r="AC63" s="150">
        <v>5907</v>
      </c>
      <c r="AD63" s="149">
        <v>5907</v>
      </c>
      <c r="AE63" s="150">
        <v>6386</v>
      </c>
      <c r="AF63" s="150">
        <v>6386</v>
      </c>
      <c r="AG63" s="149">
        <v>6386</v>
      </c>
      <c r="AH63" s="387">
        <v>6353</v>
      </c>
      <c r="AI63" s="150">
        <v>6430</v>
      </c>
      <c r="AJ63" s="149">
        <v>6430</v>
      </c>
      <c r="AK63" s="150">
        <v>6755</v>
      </c>
      <c r="AL63" s="149">
        <v>6755</v>
      </c>
      <c r="AM63" s="150">
        <v>6831</v>
      </c>
      <c r="AN63" s="150">
        <v>6831</v>
      </c>
      <c r="AO63" s="149">
        <v>6831</v>
      </c>
      <c r="AP63" s="387">
        <v>6716</v>
      </c>
      <c r="AQ63" s="150">
        <v>6716</v>
      </c>
      <c r="AR63" s="149">
        <v>6716</v>
      </c>
      <c r="AS63" s="150">
        <v>6749</v>
      </c>
      <c r="AT63" s="149">
        <v>6749</v>
      </c>
      <c r="AU63" s="150">
        <v>6874</v>
      </c>
      <c r="AV63" s="150">
        <v>6874</v>
      </c>
      <c r="AW63" s="149">
        <v>6874</v>
      </c>
      <c r="AX63" s="387">
        <v>6744</v>
      </c>
      <c r="AY63" s="150">
        <v>6771</v>
      </c>
      <c r="AZ63" s="149">
        <v>6771</v>
      </c>
      <c r="BA63" s="150">
        <v>6991</v>
      </c>
      <c r="BB63" s="149">
        <v>6991</v>
      </c>
      <c r="BC63" s="150">
        <v>7265</v>
      </c>
      <c r="BD63" s="150">
        <v>7265</v>
      </c>
      <c r="BE63" s="149">
        <v>7265</v>
      </c>
      <c r="BF63" s="379"/>
      <c r="BG63" s="125"/>
      <c r="BH63" s="150"/>
      <c r="BI63" s="125"/>
      <c r="BJ63" s="150"/>
      <c r="BK63" s="125"/>
      <c r="BL63" s="125"/>
      <c r="BM63" s="150"/>
      <c r="BN63" s="387">
        <v>7189</v>
      </c>
      <c r="BO63" s="150">
        <v>7168</v>
      </c>
      <c r="BP63" s="149">
        <v>7168</v>
      </c>
      <c r="BQ63" s="150">
        <v>7383</v>
      </c>
      <c r="BR63" s="149">
        <v>7383</v>
      </c>
      <c r="BS63" s="150">
        <v>7577</v>
      </c>
      <c r="BT63" s="150">
        <v>7577</v>
      </c>
      <c r="BU63" s="149">
        <v>7577</v>
      </c>
      <c r="BV63" s="387">
        <v>7357</v>
      </c>
      <c r="BW63" s="150">
        <v>7584</v>
      </c>
      <c r="BX63" s="149">
        <v>7584</v>
      </c>
      <c r="BY63" s="150">
        <v>7133</v>
      </c>
      <c r="BZ63" s="149">
        <v>7133</v>
      </c>
      <c r="CA63" s="150">
        <v>7482</v>
      </c>
      <c r="CB63" s="150">
        <v>7482</v>
      </c>
      <c r="CC63" s="149">
        <v>7482</v>
      </c>
      <c r="CD63" s="387">
        <v>7650</v>
      </c>
      <c r="CE63" s="150">
        <v>7276</v>
      </c>
      <c r="CF63" s="149">
        <v>7276</v>
      </c>
      <c r="CG63" s="150">
        <v>7441</v>
      </c>
      <c r="CH63" s="149">
        <v>7441</v>
      </c>
      <c r="CI63" s="150">
        <v>7184</v>
      </c>
      <c r="CJ63" s="150">
        <v>7184</v>
      </c>
      <c r="CK63" s="149">
        <v>7184</v>
      </c>
      <c r="CL63" s="387">
        <v>6998</v>
      </c>
      <c r="CM63" s="150">
        <v>6925</v>
      </c>
      <c r="CN63" s="149">
        <v>6925</v>
      </c>
      <c r="CO63" s="150">
        <v>6894</v>
      </c>
      <c r="CP63" s="149">
        <v>6894</v>
      </c>
      <c r="CQ63" s="150">
        <v>7082</v>
      </c>
      <c r="CR63" s="150">
        <v>7082</v>
      </c>
      <c r="CS63" s="149">
        <v>7082</v>
      </c>
      <c r="CT63" s="387">
        <v>7023</v>
      </c>
      <c r="CU63" s="150">
        <v>7046</v>
      </c>
      <c r="CV63" s="149">
        <v>7046</v>
      </c>
      <c r="CW63" s="150">
        <v>7294</v>
      </c>
      <c r="CX63" s="149">
        <v>7294</v>
      </c>
      <c r="CY63" s="150">
        <v>7239</v>
      </c>
      <c r="CZ63" s="150">
        <v>7239</v>
      </c>
      <c r="DA63" s="149">
        <v>7239</v>
      </c>
      <c r="DB63" s="377">
        <v>7254</v>
      </c>
      <c r="DC63" s="472">
        <f>DD63</f>
        <v>7967</v>
      </c>
      <c r="DD63" s="149">
        <v>7967</v>
      </c>
      <c r="DE63" s="150">
        <v>7992</v>
      </c>
      <c r="DF63" s="149">
        <v>7992</v>
      </c>
      <c r="DG63" s="150">
        <v>8598</v>
      </c>
      <c r="DH63" s="472">
        <f>DG63</f>
        <v>8598</v>
      </c>
      <c r="DI63" s="495">
        <f>DG63</f>
        <v>8598</v>
      </c>
      <c r="DJ63" s="377">
        <v>8626</v>
      </c>
      <c r="DK63" s="125">
        <f>DL63</f>
        <v>8585</v>
      </c>
      <c r="DL63" s="150">
        <v>8585</v>
      </c>
      <c r="DM63" s="125">
        <f>DN63</f>
        <v>8749</v>
      </c>
      <c r="DN63" s="150">
        <v>8749</v>
      </c>
      <c r="DO63" s="150">
        <v>8658</v>
      </c>
      <c r="DP63" s="472">
        <f>DO63</f>
        <v>8658</v>
      </c>
      <c r="DQ63" s="495">
        <f>DO63</f>
        <v>8658</v>
      </c>
      <c r="DR63" s="377">
        <v>8726</v>
      </c>
      <c r="DS63" s="125">
        <f>DT63</f>
        <v>8754</v>
      </c>
      <c r="DT63" s="150">
        <v>8754</v>
      </c>
      <c r="DU63" s="125">
        <f>DV63</f>
        <v>8665</v>
      </c>
      <c r="DV63" s="150">
        <v>8665</v>
      </c>
      <c r="DW63" s="150"/>
      <c r="DX63" s="150"/>
      <c r="DY63" s="149"/>
      <c r="DZ63" s="377">
        <v>9037</v>
      </c>
      <c r="EA63" s="125">
        <f>EB63</f>
        <v>9222</v>
      </c>
      <c r="EB63" s="150">
        <v>9222</v>
      </c>
      <c r="EC63" s="125"/>
      <c r="ED63" s="150"/>
      <c r="EE63" s="150"/>
      <c r="EF63" s="150"/>
      <c r="EG63" s="152"/>
      <c r="EH63" s="406"/>
      <c r="EJ63" s="19"/>
    </row>
    <row r="64" spans="1:140">
      <c r="A64" s="107" t="s">
        <v>385</v>
      </c>
      <c r="B64" s="42"/>
      <c r="J64" s="369"/>
      <c r="R64" s="387">
        <v>1063</v>
      </c>
      <c r="S64" s="150">
        <v>1047</v>
      </c>
      <c r="T64" s="149">
        <v>1047</v>
      </c>
      <c r="U64" s="150">
        <v>1034</v>
      </c>
      <c r="V64" s="149">
        <v>1034</v>
      </c>
      <c r="W64" s="150">
        <v>995</v>
      </c>
      <c r="X64" s="150">
        <v>995</v>
      </c>
      <c r="Y64" s="149">
        <v>995</v>
      </c>
      <c r="Z64" s="387">
        <v>999</v>
      </c>
      <c r="AA64" s="150">
        <v>943</v>
      </c>
      <c r="AB64" s="149">
        <v>943</v>
      </c>
      <c r="AC64" s="150">
        <v>908</v>
      </c>
      <c r="AD64" s="149">
        <v>908</v>
      </c>
      <c r="AE64" s="150">
        <v>893</v>
      </c>
      <c r="AF64" s="150">
        <v>893</v>
      </c>
      <c r="AG64" s="149">
        <v>893</v>
      </c>
      <c r="AH64" s="387">
        <v>917</v>
      </c>
      <c r="AI64" s="150">
        <v>876</v>
      </c>
      <c r="AJ64" s="149">
        <v>876</v>
      </c>
      <c r="AK64" s="150">
        <v>837</v>
      </c>
      <c r="AL64" s="149">
        <v>837</v>
      </c>
      <c r="AM64" s="150">
        <v>831</v>
      </c>
      <c r="AN64" s="150">
        <v>831</v>
      </c>
      <c r="AO64" s="149">
        <v>831</v>
      </c>
      <c r="AP64" s="387">
        <v>826</v>
      </c>
      <c r="AQ64" s="150">
        <v>795</v>
      </c>
      <c r="AR64" s="149">
        <v>795</v>
      </c>
      <c r="AS64" s="150">
        <v>784</v>
      </c>
      <c r="AT64" s="149">
        <v>784</v>
      </c>
      <c r="AU64" s="150">
        <v>766</v>
      </c>
      <c r="AV64" s="150">
        <v>766</v>
      </c>
      <c r="AW64" s="149">
        <v>766</v>
      </c>
      <c r="AX64" s="387">
        <v>748</v>
      </c>
      <c r="AY64" s="150">
        <v>727</v>
      </c>
      <c r="AZ64" s="149">
        <v>727</v>
      </c>
      <c r="BA64" s="150">
        <v>710</v>
      </c>
      <c r="BB64" s="149">
        <v>710</v>
      </c>
      <c r="BC64" s="150">
        <v>692</v>
      </c>
      <c r="BD64" s="150">
        <v>692</v>
      </c>
      <c r="BE64" s="149">
        <v>692</v>
      </c>
      <c r="BF64" s="379"/>
      <c r="BG64" s="125"/>
      <c r="BH64" s="150"/>
      <c r="BI64" s="125"/>
      <c r="BJ64" s="150"/>
      <c r="BK64" s="125"/>
      <c r="BL64" s="125"/>
      <c r="BM64" s="150"/>
      <c r="BN64" s="387">
        <v>744</v>
      </c>
      <c r="BO64" s="150">
        <v>694</v>
      </c>
      <c r="BP64" s="149">
        <v>694</v>
      </c>
      <c r="BQ64" s="150">
        <v>704</v>
      </c>
      <c r="BR64" s="149">
        <v>704</v>
      </c>
      <c r="BS64" s="150">
        <v>717</v>
      </c>
      <c r="BT64" s="150">
        <v>717</v>
      </c>
      <c r="BU64" s="149">
        <v>717</v>
      </c>
      <c r="BV64" s="387">
        <v>737</v>
      </c>
      <c r="BW64" s="150">
        <v>697</v>
      </c>
      <c r="BX64" s="149">
        <v>697</v>
      </c>
      <c r="BY64" s="150">
        <v>681</v>
      </c>
      <c r="BZ64" s="149">
        <v>681</v>
      </c>
      <c r="CA64" s="150">
        <v>695</v>
      </c>
      <c r="CB64" s="150">
        <v>695</v>
      </c>
      <c r="CC64" s="149">
        <v>695</v>
      </c>
      <c r="CD64" s="387">
        <v>702</v>
      </c>
      <c r="CE64" s="150">
        <v>666</v>
      </c>
      <c r="CF64" s="149">
        <v>666</v>
      </c>
      <c r="CG64" s="150">
        <v>669</v>
      </c>
      <c r="CH64" s="149">
        <v>669</v>
      </c>
      <c r="CI64" s="150">
        <v>663</v>
      </c>
      <c r="CJ64" s="150">
        <v>663</v>
      </c>
      <c r="CK64" s="149">
        <v>663</v>
      </c>
      <c r="CL64" s="387">
        <v>664</v>
      </c>
      <c r="CM64" s="150">
        <v>671</v>
      </c>
      <c r="CN64" s="149">
        <v>671</v>
      </c>
      <c r="CO64" s="150">
        <v>654</v>
      </c>
      <c r="CP64" s="149">
        <v>654</v>
      </c>
      <c r="CQ64" s="150">
        <v>739</v>
      </c>
      <c r="CR64" s="150">
        <v>739</v>
      </c>
      <c r="CS64" s="149">
        <v>739</v>
      </c>
      <c r="CT64" s="387">
        <v>756</v>
      </c>
      <c r="CU64" s="150">
        <v>787</v>
      </c>
      <c r="CV64" s="149">
        <v>787</v>
      </c>
      <c r="CW64" s="150">
        <v>792</v>
      </c>
      <c r="CX64" s="149">
        <v>792</v>
      </c>
      <c r="CY64" s="150">
        <v>757</v>
      </c>
      <c r="CZ64" s="150">
        <v>757</v>
      </c>
      <c r="DA64" s="149">
        <v>757</v>
      </c>
      <c r="DB64" s="377">
        <v>725</v>
      </c>
      <c r="DC64" s="472">
        <f>DD64</f>
        <v>743</v>
      </c>
      <c r="DD64" s="149">
        <v>743</v>
      </c>
      <c r="DE64" s="150">
        <v>751</v>
      </c>
      <c r="DF64" s="149">
        <v>751</v>
      </c>
      <c r="DG64" s="150">
        <v>804</v>
      </c>
      <c r="DH64" s="472">
        <f>DG64</f>
        <v>804</v>
      </c>
      <c r="DI64" s="495">
        <f>DG64</f>
        <v>804</v>
      </c>
      <c r="DJ64" s="377">
        <v>817</v>
      </c>
      <c r="DK64" s="125">
        <f>DL64</f>
        <v>913</v>
      </c>
      <c r="DL64" s="150">
        <v>913</v>
      </c>
      <c r="DM64" s="125">
        <f>DN64</f>
        <v>922</v>
      </c>
      <c r="DN64" s="150">
        <v>922</v>
      </c>
      <c r="DO64" s="150">
        <v>893</v>
      </c>
      <c r="DP64" s="472">
        <f>DO64</f>
        <v>893</v>
      </c>
      <c r="DQ64" s="495">
        <f>DO64</f>
        <v>893</v>
      </c>
      <c r="DR64" s="377">
        <v>942</v>
      </c>
      <c r="DS64" s="125">
        <f>DT64</f>
        <v>926</v>
      </c>
      <c r="DT64" s="150">
        <v>926</v>
      </c>
      <c r="DU64" s="125">
        <f>DV64</f>
        <v>981</v>
      </c>
      <c r="DV64" s="150">
        <v>981</v>
      </c>
      <c r="DW64" s="150"/>
      <c r="DX64" s="150"/>
      <c r="DY64" s="149"/>
      <c r="DZ64" s="377">
        <v>1060</v>
      </c>
      <c r="EA64" s="125">
        <f>EB64</f>
        <v>1108</v>
      </c>
      <c r="EB64" s="150">
        <v>1108</v>
      </c>
      <c r="EC64" s="125"/>
      <c r="ED64" s="150"/>
      <c r="EE64" s="150"/>
      <c r="EF64" s="150"/>
      <c r="EG64" s="152"/>
      <c r="EH64" s="406"/>
    </row>
    <row r="65" spans="1:140">
      <c r="A65" s="13" t="s">
        <v>384</v>
      </c>
      <c r="B65" s="42"/>
      <c r="J65" s="369"/>
      <c r="R65" s="377" t="s">
        <v>491</v>
      </c>
      <c r="S65" s="150" t="s">
        <v>491</v>
      </c>
      <c r="T65" s="150" t="s">
        <v>491</v>
      </c>
      <c r="U65" s="150" t="s">
        <v>491</v>
      </c>
      <c r="V65" s="150" t="s">
        <v>491</v>
      </c>
      <c r="W65" s="150" t="s">
        <v>491</v>
      </c>
      <c r="X65" s="150" t="s">
        <v>491</v>
      </c>
      <c r="Y65" s="150" t="s">
        <v>491</v>
      </c>
      <c r="Z65" s="377" t="s">
        <v>491</v>
      </c>
      <c r="AA65" s="150" t="s">
        <v>491</v>
      </c>
      <c r="AB65" s="150" t="s">
        <v>491</v>
      </c>
      <c r="AC65" s="150" t="s">
        <v>491</v>
      </c>
      <c r="AD65" s="150" t="s">
        <v>491</v>
      </c>
      <c r="AE65" s="150" t="s">
        <v>491</v>
      </c>
      <c r="AF65" s="150" t="s">
        <v>491</v>
      </c>
      <c r="AG65" s="150" t="s">
        <v>491</v>
      </c>
      <c r="AH65" s="377" t="s">
        <v>491</v>
      </c>
      <c r="AI65" s="150" t="s">
        <v>491</v>
      </c>
      <c r="AJ65" s="150" t="s">
        <v>491</v>
      </c>
      <c r="AK65" s="150" t="s">
        <v>491</v>
      </c>
      <c r="AL65" s="150" t="s">
        <v>491</v>
      </c>
      <c r="AM65" s="150" t="s">
        <v>491</v>
      </c>
      <c r="AN65" s="150" t="s">
        <v>491</v>
      </c>
      <c r="AO65" s="150" t="s">
        <v>491</v>
      </c>
      <c r="AP65" s="377" t="s">
        <v>491</v>
      </c>
      <c r="AQ65" s="150" t="s">
        <v>491</v>
      </c>
      <c r="AR65" s="150" t="s">
        <v>491</v>
      </c>
      <c r="AS65" s="150" t="s">
        <v>491</v>
      </c>
      <c r="AT65" s="150" t="s">
        <v>491</v>
      </c>
      <c r="AU65" s="150" t="s">
        <v>491</v>
      </c>
      <c r="AV65" s="150" t="s">
        <v>491</v>
      </c>
      <c r="AW65" s="150" t="s">
        <v>491</v>
      </c>
      <c r="AX65" s="377" t="s">
        <v>491</v>
      </c>
      <c r="AY65" s="150" t="s">
        <v>491</v>
      </c>
      <c r="AZ65" s="150" t="s">
        <v>491</v>
      </c>
      <c r="BA65" s="150" t="s">
        <v>491</v>
      </c>
      <c r="BB65" s="150" t="s">
        <v>491</v>
      </c>
      <c r="BC65" s="150" t="s">
        <v>491</v>
      </c>
      <c r="BD65" s="150" t="s">
        <v>491</v>
      </c>
      <c r="BE65" s="150" t="s">
        <v>491</v>
      </c>
      <c r="BF65" s="377"/>
      <c r="BG65" s="150"/>
      <c r="BH65" s="150"/>
      <c r="BI65" s="150"/>
      <c r="BJ65" s="150"/>
      <c r="BK65" s="150"/>
      <c r="BL65" s="150"/>
      <c r="BM65" s="150"/>
      <c r="BN65" s="377" t="s">
        <v>491</v>
      </c>
      <c r="BO65" s="150" t="s">
        <v>491</v>
      </c>
      <c r="BP65" s="150" t="s">
        <v>491</v>
      </c>
      <c r="BQ65" s="150" t="s">
        <v>491</v>
      </c>
      <c r="BR65" s="150" t="s">
        <v>491</v>
      </c>
      <c r="BS65" s="150" t="s">
        <v>491</v>
      </c>
      <c r="BT65" s="150" t="s">
        <v>491</v>
      </c>
      <c r="BU65" s="150" t="s">
        <v>491</v>
      </c>
      <c r="BV65" s="377" t="s">
        <v>491</v>
      </c>
      <c r="BW65" s="150" t="s">
        <v>491</v>
      </c>
      <c r="BX65" s="150" t="s">
        <v>491</v>
      </c>
      <c r="BY65" s="150" t="s">
        <v>491</v>
      </c>
      <c r="BZ65" s="150" t="s">
        <v>491</v>
      </c>
      <c r="CA65" s="150" t="s">
        <v>491</v>
      </c>
      <c r="CB65" s="150" t="s">
        <v>491</v>
      </c>
      <c r="CC65" s="150" t="s">
        <v>491</v>
      </c>
      <c r="CD65" s="377" t="s">
        <v>491</v>
      </c>
      <c r="CE65" s="150" t="s">
        <v>491</v>
      </c>
      <c r="CF65" s="150" t="s">
        <v>491</v>
      </c>
      <c r="CG65" s="150" t="s">
        <v>491</v>
      </c>
      <c r="CH65" s="150" t="s">
        <v>491</v>
      </c>
      <c r="CI65" s="150" t="s">
        <v>491</v>
      </c>
      <c r="CJ65" s="150" t="s">
        <v>491</v>
      </c>
      <c r="CK65" s="150" t="s">
        <v>491</v>
      </c>
      <c r="CL65" s="377" t="s">
        <v>491</v>
      </c>
      <c r="CM65" s="150" t="s">
        <v>491</v>
      </c>
      <c r="CN65" s="150" t="s">
        <v>491</v>
      </c>
      <c r="CO65" s="150" t="s">
        <v>491</v>
      </c>
      <c r="CP65" s="150" t="s">
        <v>491</v>
      </c>
      <c r="CQ65" s="150" t="s">
        <v>491</v>
      </c>
      <c r="CR65" s="150" t="s">
        <v>491</v>
      </c>
      <c r="CS65" s="150" t="s">
        <v>491</v>
      </c>
      <c r="CT65" s="377" t="s">
        <v>491</v>
      </c>
      <c r="CU65" s="150" t="s">
        <v>491</v>
      </c>
      <c r="CV65" s="150" t="s">
        <v>491</v>
      </c>
      <c r="CW65" s="150" t="s">
        <v>491</v>
      </c>
      <c r="CX65" s="150" t="s">
        <v>491</v>
      </c>
      <c r="CY65" s="150" t="s">
        <v>491</v>
      </c>
      <c r="CZ65" s="150" t="s">
        <v>491</v>
      </c>
      <c r="DA65" s="150" t="s">
        <v>491</v>
      </c>
      <c r="DB65" s="377" t="s">
        <v>491</v>
      </c>
      <c r="DC65" s="150" t="s">
        <v>491</v>
      </c>
      <c r="DD65" s="150" t="s">
        <v>491</v>
      </c>
      <c r="DE65" s="150" t="s">
        <v>491</v>
      </c>
      <c r="DF65" s="150" t="s">
        <v>491</v>
      </c>
      <c r="DG65" s="150"/>
      <c r="DH65" s="150"/>
      <c r="DI65" s="150"/>
      <c r="DJ65" s="377" t="s">
        <v>491</v>
      </c>
      <c r="DK65" s="125" t="s">
        <v>491</v>
      </c>
      <c r="DL65" s="125" t="s">
        <v>491</v>
      </c>
      <c r="DM65" s="125" t="str">
        <f>DN65</f>
        <v>-</v>
      </c>
      <c r="DN65" s="150" t="s">
        <v>491</v>
      </c>
      <c r="DO65" s="150"/>
      <c r="DP65" s="150"/>
      <c r="DQ65" s="150"/>
      <c r="DR65" s="377" t="s">
        <v>491</v>
      </c>
      <c r="DS65" s="125"/>
      <c r="DT65" s="125"/>
      <c r="DU65" s="125"/>
      <c r="DV65" s="150"/>
      <c r="DW65" s="150"/>
      <c r="DX65" s="150"/>
      <c r="DY65" s="150"/>
      <c r="DZ65" s="377"/>
      <c r="EA65" s="125"/>
      <c r="EB65" s="125"/>
      <c r="EC65" s="125"/>
      <c r="ED65" s="150"/>
      <c r="EE65" s="150"/>
      <c r="EF65" s="150"/>
      <c r="EG65" s="476"/>
      <c r="EH65" s="406"/>
      <c r="EJ65" s="19"/>
    </row>
    <row r="66" spans="1:140">
      <c r="A66" s="107" t="s">
        <v>388</v>
      </c>
      <c r="B66" s="42"/>
      <c r="J66" s="369"/>
      <c r="R66" s="377" t="s">
        <v>491</v>
      </c>
      <c r="S66" s="150" t="s">
        <v>491</v>
      </c>
      <c r="T66" s="150" t="s">
        <v>491</v>
      </c>
      <c r="U66" s="150" t="s">
        <v>491</v>
      </c>
      <c r="V66" s="150" t="s">
        <v>491</v>
      </c>
      <c r="W66" s="150" t="s">
        <v>491</v>
      </c>
      <c r="X66" s="150" t="s">
        <v>491</v>
      </c>
      <c r="Y66" s="150" t="s">
        <v>491</v>
      </c>
      <c r="Z66" s="377" t="s">
        <v>491</v>
      </c>
      <c r="AA66" s="150" t="s">
        <v>491</v>
      </c>
      <c r="AB66" s="150" t="s">
        <v>491</v>
      </c>
      <c r="AC66" s="150" t="s">
        <v>491</v>
      </c>
      <c r="AD66" s="150" t="s">
        <v>491</v>
      </c>
      <c r="AE66" s="150" t="s">
        <v>491</v>
      </c>
      <c r="AF66" s="150" t="s">
        <v>491</v>
      </c>
      <c r="AG66" s="150" t="s">
        <v>491</v>
      </c>
      <c r="AH66" s="377" t="s">
        <v>491</v>
      </c>
      <c r="AI66" s="150" t="s">
        <v>491</v>
      </c>
      <c r="AJ66" s="150" t="s">
        <v>491</v>
      </c>
      <c r="AK66" s="150" t="s">
        <v>491</v>
      </c>
      <c r="AL66" s="150" t="s">
        <v>491</v>
      </c>
      <c r="AM66" s="150" t="s">
        <v>491</v>
      </c>
      <c r="AN66" s="150" t="s">
        <v>491</v>
      </c>
      <c r="AO66" s="150" t="s">
        <v>491</v>
      </c>
      <c r="AP66" s="377" t="s">
        <v>491</v>
      </c>
      <c r="AQ66" s="150" t="s">
        <v>491</v>
      </c>
      <c r="AR66" s="150" t="s">
        <v>491</v>
      </c>
      <c r="AS66" s="150" t="s">
        <v>491</v>
      </c>
      <c r="AT66" s="150" t="s">
        <v>491</v>
      </c>
      <c r="AU66" s="150" t="s">
        <v>491</v>
      </c>
      <c r="AV66" s="150" t="s">
        <v>491</v>
      </c>
      <c r="AW66" s="150" t="s">
        <v>491</v>
      </c>
      <c r="AX66" s="377" t="s">
        <v>491</v>
      </c>
      <c r="AY66" s="150" t="s">
        <v>491</v>
      </c>
      <c r="AZ66" s="150" t="s">
        <v>491</v>
      </c>
      <c r="BA66" s="150" t="s">
        <v>491</v>
      </c>
      <c r="BB66" s="150" t="s">
        <v>491</v>
      </c>
      <c r="BC66" s="150" t="s">
        <v>491</v>
      </c>
      <c r="BD66" s="150" t="s">
        <v>491</v>
      </c>
      <c r="BE66" s="150" t="s">
        <v>491</v>
      </c>
      <c r="BF66" s="377"/>
      <c r="BG66" s="150"/>
      <c r="BH66" s="150"/>
      <c r="BI66" s="150"/>
      <c r="BJ66" s="150"/>
      <c r="BK66" s="150"/>
      <c r="BL66" s="150"/>
      <c r="BM66" s="150"/>
      <c r="BN66" s="377" t="s">
        <v>491</v>
      </c>
      <c r="BO66" s="150" t="s">
        <v>491</v>
      </c>
      <c r="BP66" s="150" t="s">
        <v>491</v>
      </c>
      <c r="BQ66" s="150" t="s">
        <v>491</v>
      </c>
      <c r="BR66" s="150" t="s">
        <v>491</v>
      </c>
      <c r="BS66" s="150" t="s">
        <v>491</v>
      </c>
      <c r="BT66" s="150" t="s">
        <v>491</v>
      </c>
      <c r="BU66" s="150" t="s">
        <v>491</v>
      </c>
      <c r="BV66" s="377" t="s">
        <v>491</v>
      </c>
      <c r="BW66" s="150" t="s">
        <v>491</v>
      </c>
      <c r="BX66" s="150" t="s">
        <v>491</v>
      </c>
      <c r="BY66" s="150" t="s">
        <v>491</v>
      </c>
      <c r="BZ66" s="150" t="s">
        <v>491</v>
      </c>
      <c r="CA66" s="150" t="s">
        <v>491</v>
      </c>
      <c r="CB66" s="150" t="s">
        <v>491</v>
      </c>
      <c r="CC66" s="150" t="s">
        <v>491</v>
      </c>
      <c r="CD66" s="377" t="s">
        <v>491</v>
      </c>
      <c r="CE66" s="150" t="s">
        <v>491</v>
      </c>
      <c r="CF66" s="150" t="s">
        <v>491</v>
      </c>
      <c r="CG66" s="150" t="s">
        <v>491</v>
      </c>
      <c r="CH66" s="150" t="s">
        <v>491</v>
      </c>
      <c r="CI66" s="150" t="s">
        <v>491</v>
      </c>
      <c r="CJ66" s="150" t="s">
        <v>491</v>
      </c>
      <c r="CK66" s="150" t="s">
        <v>491</v>
      </c>
      <c r="CL66" s="377" t="s">
        <v>491</v>
      </c>
      <c r="CM66" s="150" t="s">
        <v>491</v>
      </c>
      <c r="CN66" s="150" t="s">
        <v>491</v>
      </c>
      <c r="CO66" s="150" t="s">
        <v>491</v>
      </c>
      <c r="CP66" s="150" t="s">
        <v>491</v>
      </c>
      <c r="CQ66" s="150" t="s">
        <v>491</v>
      </c>
      <c r="CR66" s="150" t="s">
        <v>491</v>
      </c>
      <c r="CS66" s="150" t="s">
        <v>491</v>
      </c>
      <c r="CT66" s="377" t="s">
        <v>491</v>
      </c>
      <c r="CU66" s="150" t="s">
        <v>491</v>
      </c>
      <c r="CV66" s="150" t="s">
        <v>491</v>
      </c>
      <c r="CW66" s="150" t="s">
        <v>491</v>
      </c>
      <c r="CX66" s="150" t="s">
        <v>491</v>
      </c>
      <c r="CY66" s="150" t="s">
        <v>491</v>
      </c>
      <c r="CZ66" s="150" t="s">
        <v>491</v>
      </c>
      <c r="DA66" s="150" t="s">
        <v>491</v>
      </c>
      <c r="DB66" s="377" t="s">
        <v>491</v>
      </c>
      <c r="DC66" s="150" t="s">
        <v>491</v>
      </c>
      <c r="DD66" s="150" t="s">
        <v>491</v>
      </c>
      <c r="DE66" s="150" t="s">
        <v>491</v>
      </c>
      <c r="DF66" s="150" t="s">
        <v>491</v>
      </c>
      <c r="DG66" s="150"/>
      <c r="DH66" s="150"/>
      <c r="DI66" s="150"/>
      <c r="DJ66" s="377" t="s">
        <v>491</v>
      </c>
      <c r="DK66" s="125" t="s">
        <v>491</v>
      </c>
      <c r="DL66" s="125" t="s">
        <v>491</v>
      </c>
      <c r="DM66" s="125" t="str">
        <f>DN66</f>
        <v>-</v>
      </c>
      <c r="DN66" s="150" t="s">
        <v>491</v>
      </c>
      <c r="DO66" s="150"/>
      <c r="DP66" s="150"/>
      <c r="DQ66" s="150"/>
      <c r="DR66" s="377" t="s">
        <v>491</v>
      </c>
      <c r="DS66" s="125"/>
      <c r="DT66" s="125"/>
      <c r="DU66" s="125"/>
      <c r="DV66" s="150"/>
      <c r="DW66" s="150"/>
      <c r="DX66" s="150"/>
      <c r="DY66" s="150"/>
      <c r="DZ66" s="377"/>
      <c r="EA66" s="125"/>
      <c r="EB66" s="125"/>
      <c r="EC66" s="125"/>
      <c r="ED66" s="150"/>
      <c r="EE66" s="150"/>
      <c r="EF66" s="150"/>
      <c r="EG66" s="476"/>
      <c r="EH66" s="406"/>
    </row>
    <row r="67" spans="1:140">
      <c r="A67" s="37" t="s">
        <v>225</v>
      </c>
      <c r="B67" s="91"/>
      <c r="C67" s="68"/>
      <c r="D67" s="68"/>
      <c r="E67" s="68"/>
      <c r="F67" s="68"/>
      <c r="G67" s="68"/>
      <c r="H67" s="68"/>
      <c r="I67" s="68"/>
      <c r="J67" s="468"/>
      <c r="K67" s="68"/>
      <c r="L67" s="68"/>
      <c r="M67" s="68"/>
      <c r="N67" s="68"/>
      <c r="O67" s="68"/>
      <c r="P67" s="68"/>
      <c r="Q67" s="68"/>
      <c r="R67" s="326">
        <f t="shared" ref="R67:BE67" si="294">SUM(R63:R66)</f>
        <v>6011</v>
      </c>
      <c r="S67" s="324">
        <f t="shared" si="294"/>
        <v>6156</v>
      </c>
      <c r="T67" s="324">
        <f t="shared" si="294"/>
        <v>6156</v>
      </c>
      <c r="U67" s="324">
        <f t="shared" si="294"/>
        <v>6333</v>
      </c>
      <c r="V67" s="324">
        <f t="shared" si="294"/>
        <v>6333</v>
      </c>
      <c r="W67" s="324">
        <f t="shared" si="294"/>
        <v>6554</v>
      </c>
      <c r="X67" s="324">
        <f t="shared" si="294"/>
        <v>6554</v>
      </c>
      <c r="Y67" s="324">
        <f t="shared" si="294"/>
        <v>6554</v>
      </c>
      <c r="Z67" s="326">
        <f t="shared" si="294"/>
        <v>6520</v>
      </c>
      <c r="AA67" s="324">
        <f t="shared" si="294"/>
        <v>6489</v>
      </c>
      <c r="AB67" s="324">
        <f t="shared" si="294"/>
        <v>6489</v>
      </c>
      <c r="AC67" s="324">
        <f t="shared" si="294"/>
        <v>6815</v>
      </c>
      <c r="AD67" s="324">
        <f t="shared" si="294"/>
        <v>6815</v>
      </c>
      <c r="AE67" s="324">
        <f t="shared" si="294"/>
        <v>7279</v>
      </c>
      <c r="AF67" s="324">
        <f t="shared" si="294"/>
        <v>7279</v>
      </c>
      <c r="AG67" s="324">
        <f t="shared" si="294"/>
        <v>7279</v>
      </c>
      <c r="AH67" s="326">
        <f t="shared" si="294"/>
        <v>7270</v>
      </c>
      <c r="AI67" s="324">
        <f t="shared" si="294"/>
        <v>7306</v>
      </c>
      <c r="AJ67" s="324">
        <f t="shared" si="294"/>
        <v>7306</v>
      </c>
      <c r="AK67" s="324">
        <f t="shared" si="294"/>
        <v>7592</v>
      </c>
      <c r="AL67" s="324">
        <f t="shared" si="294"/>
        <v>7592</v>
      </c>
      <c r="AM67" s="324">
        <f t="shared" si="294"/>
        <v>7662</v>
      </c>
      <c r="AN67" s="324">
        <f t="shared" si="294"/>
        <v>7662</v>
      </c>
      <c r="AO67" s="324">
        <f t="shared" si="294"/>
        <v>7662</v>
      </c>
      <c r="AP67" s="326">
        <f t="shared" si="294"/>
        <v>7542</v>
      </c>
      <c r="AQ67" s="324">
        <f t="shared" si="294"/>
        <v>7511</v>
      </c>
      <c r="AR67" s="324">
        <f t="shared" si="294"/>
        <v>7511</v>
      </c>
      <c r="AS67" s="324">
        <f t="shared" si="294"/>
        <v>7533</v>
      </c>
      <c r="AT67" s="324">
        <f t="shared" si="294"/>
        <v>7533</v>
      </c>
      <c r="AU67" s="324">
        <f t="shared" si="294"/>
        <v>7640</v>
      </c>
      <c r="AV67" s="324">
        <f t="shared" si="294"/>
        <v>7640</v>
      </c>
      <c r="AW67" s="324">
        <f t="shared" si="294"/>
        <v>7640</v>
      </c>
      <c r="AX67" s="326">
        <f t="shared" si="294"/>
        <v>7492</v>
      </c>
      <c r="AY67" s="324">
        <f t="shared" si="294"/>
        <v>7498</v>
      </c>
      <c r="AZ67" s="324">
        <f t="shared" si="294"/>
        <v>7498</v>
      </c>
      <c r="BA67" s="324">
        <f t="shared" si="294"/>
        <v>7701</v>
      </c>
      <c r="BB67" s="324">
        <f t="shared" si="294"/>
        <v>7701</v>
      </c>
      <c r="BC67" s="324">
        <f t="shared" si="294"/>
        <v>7957</v>
      </c>
      <c r="BD67" s="324">
        <f t="shared" si="294"/>
        <v>7957</v>
      </c>
      <c r="BE67" s="324">
        <f t="shared" si="294"/>
        <v>7957</v>
      </c>
      <c r="BF67" s="326"/>
      <c r="BG67" s="324"/>
      <c r="BH67" s="324"/>
      <c r="BI67" s="324"/>
      <c r="BJ67" s="324"/>
      <c r="BK67" s="324"/>
      <c r="BL67" s="324"/>
      <c r="BM67" s="324"/>
      <c r="BN67" s="326">
        <f t="shared" ref="BN67:DB67" si="295">SUM(BN63:BN66)</f>
        <v>7933</v>
      </c>
      <c r="BO67" s="324">
        <f t="shared" si="295"/>
        <v>7862</v>
      </c>
      <c r="BP67" s="324">
        <f t="shared" si="295"/>
        <v>7862</v>
      </c>
      <c r="BQ67" s="324">
        <f t="shared" si="295"/>
        <v>8087</v>
      </c>
      <c r="BR67" s="324">
        <f t="shared" si="295"/>
        <v>8087</v>
      </c>
      <c r="BS67" s="324">
        <f t="shared" si="295"/>
        <v>8294</v>
      </c>
      <c r="BT67" s="324">
        <f t="shared" si="295"/>
        <v>8294</v>
      </c>
      <c r="BU67" s="324">
        <f t="shared" si="295"/>
        <v>8294</v>
      </c>
      <c r="BV67" s="326">
        <f t="shared" si="295"/>
        <v>8094</v>
      </c>
      <c r="BW67" s="324">
        <f t="shared" si="295"/>
        <v>8281</v>
      </c>
      <c r="BX67" s="324">
        <f t="shared" si="295"/>
        <v>8281</v>
      </c>
      <c r="BY67" s="324">
        <f t="shared" si="295"/>
        <v>7814</v>
      </c>
      <c r="BZ67" s="324">
        <f t="shared" si="295"/>
        <v>7814</v>
      </c>
      <c r="CA67" s="324">
        <f t="shared" si="295"/>
        <v>8177</v>
      </c>
      <c r="CB67" s="324">
        <f t="shared" si="295"/>
        <v>8177</v>
      </c>
      <c r="CC67" s="324">
        <f t="shared" si="295"/>
        <v>8177</v>
      </c>
      <c r="CD67" s="326">
        <f t="shared" si="295"/>
        <v>8352</v>
      </c>
      <c r="CE67" s="324">
        <f t="shared" si="295"/>
        <v>7942</v>
      </c>
      <c r="CF67" s="324">
        <f t="shared" si="295"/>
        <v>7942</v>
      </c>
      <c r="CG67" s="324">
        <f t="shared" si="295"/>
        <v>8110</v>
      </c>
      <c r="CH67" s="324">
        <f t="shared" si="295"/>
        <v>8110</v>
      </c>
      <c r="CI67" s="324">
        <f t="shared" si="295"/>
        <v>7847</v>
      </c>
      <c r="CJ67" s="324">
        <f t="shared" si="295"/>
        <v>7847</v>
      </c>
      <c r="CK67" s="324">
        <f t="shared" si="295"/>
        <v>7847</v>
      </c>
      <c r="CL67" s="326">
        <f t="shared" si="295"/>
        <v>7662</v>
      </c>
      <c r="CM67" s="324">
        <f t="shared" si="295"/>
        <v>7596</v>
      </c>
      <c r="CN67" s="324">
        <f t="shared" si="295"/>
        <v>7596</v>
      </c>
      <c r="CO67" s="324">
        <f t="shared" si="295"/>
        <v>7548</v>
      </c>
      <c r="CP67" s="324">
        <f t="shared" si="295"/>
        <v>7548</v>
      </c>
      <c r="CQ67" s="324">
        <f t="shared" si="295"/>
        <v>7821</v>
      </c>
      <c r="CR67" s="324">
        <f t="shared" si="295"/>
        <v>7821</v>
      </c>
      <c r="CS67" s="324">
        <f t="shared" si="295"/>
        <v>7821</v>
      </c>
      <c r="CT67" s="326">
        <f t="shared" si="295"/>
        <v>7779</v>
      </c>
      <c r="CU67" s="324">
        <f t="shared" si="295"/>
        <v>7833</v>
      </c>
      <c r="CV67" s="324">
        <f t="shared" si="295"/>
        <v>7833</v>
      </c>
      <c r="CW67" s="324">
        <f t="shared" si="295"/>
        <v>8086</v>
      </c>
      <c r="CX67" s="324">
        <f t="shared" si="295"/>
        <v>8086</v>
      </c>
      <c r="CY67" s="324">
        <f t="shared" si="295"/>
        <v>7996</v>
      </c>
      <c r="CZ67" s="324">
        <f t="shared" si="295"/>
        <v>7996</v>
      </c>
      <c r="DA67" s="324">
        <f t="shared" si="295"/>
        <v>7996</v>
      </c>
      <c r="DB67" s="326">
        <f t="shared" si="295"/>
        <v>7979</v>
      </c>
      <c r="DC67" s="324">
        <f t="shared" ref="DC67:DP67" si="296">SUM(DC63:DC66)</f>
        <v>8710</v>
      </c>
      <c r="DD67" s="324">
        <f t="shared" si="296"/>
        <v>8710</v>
      </c>
      <c r="DE67" s="324">
        <f t="shared" si="296"/>
        <v>8743</v>
      </c>
      <c r="DF67" s="324">
        <f t="shared" si="296"/>
        <v>8743</v>
      </c>
      <c r="DG67" s="324">
        <f>SUM(DG63:DG66)</f>
        <v>9402</v>
      </c>
      <c r="DH67" s="324">
        <f>SUM(DH63:DH66)</f>
        <v>9402</v>
      </c>
      <c r="DI67" s="324">
        <f>SUM(DI63:DI66)</f>
        <v>9402</v>
      </c>
      <c r="DJ67" s="326">
        <f t="shared" si="296"/>
        <v>9443</v>
      </c>
      <c r="DK67" s="324">
        <f t="shared" si="296"/>
        <v>9498</v>
      </c>
      <c r="DL67" s="324">
        <f t="shared" si="296"/>
        <v>9498</v>
      </c>
      <c r="DM67" s="475">
        <f>DN67</f>
        <v>9671</v>
      </c>
      <c r="DN67" s="324">
        <f t="shared" si="296"/>
        <v>9671</v>
      </c>
      <c r="DO67" s="324">
        <f t="shared" si="296"/>
        <v>9551</v>
      </c>
      <c r="DP67" s="324">
        <f t="shared" si="296"/>
        <v>9551</v>
      </c>
      <c r="DQ67" s="324">
        <f>SUM(DQ63:DQ66)</f>
        <v>9551</v>
      </c>
      <c r="DR67" s="326">
        <f>SUM(DR63:DR66)</f>
        <v>9668</v>
      </c>
      <c r="DS67" s="324">
        <f t="shared" ref="DS67:DV67" si="297">SUM(DS63:DS66)</f>
        <v>9680</v>
      </c>
      <c r="DT67" s="324">
        <f t="shared" si="297"/>
        <v>9680</v>
      </c>
      <c r="DU67" s="324">
        <f t="shared" si="297"/>
        <v>9646</v>
      </c>
      <c r="DV67" s="324">
        <f t="shared" si="297"/>
        <v>9646</v>
      </c>
      <c r="DW67" s="324"/>
      <c r="DX67" s="324"/>
      <c r="DY67" s="324"/>
      <c r="DZ67" s="326">
        <f>SUM(DZ63:DZ66)</f>
        <v>10097</v>
      </c>
      <c r="EA67" s="324">
        <f>EB67</f>
        <v>10330</v>
      </c>
      <c r="EB67" s="324">
        <v>10330</v>
      </c>
      <c r="EC67" s="475"/>
      <c r="ED67" s="324"/>
      <c r="EE67" s="324"/>
      <c r="EF67" s="477"/>
      <c r="EG67" s="478"/>
      <c r="EH67" s="406"/>
    </row>
    <row r="68" spans="1:140" s="177" customFormat="1">
      <c r="B68" s="178"/>
      <c r="C68" s="179"/>
      <c r="D68" s="179"/>
      <c r="E68" s="179"/>
      <c r="F68" s="179"/>
      <c r="G68" s="179"/>
      <c r="H68" s="179"/>
      <c r="I68" s="179"/>
      <c r="J68" s="464"/>
      <c r="K68" s="179"/>
      <c r="L68" s="179"/>
      <c r="M68" s="179"/>
      <c r="N68" s="179"/>
      <c r="O68" s="179"/>
      <c r="P68" s="179"/>
      <c r="Q68" s="179"/>
      <c r="R68" s="385"/>
      <c r="S68" s="334"/>
      <c r="T68" s="334"/>
      <c r="U68" s="334"/>
      <c r="V68" s="334"/>
      <c r="W68" s="334"/>
      <c r="X68" s="334"/>
      <c r="Y68" s="334"/>
      <c r="Z68" s="385"/>
      <c r="AA68" s="334"/>
      <c r="AB68" s="334"/>
      <c r="AC68" s="334"/>
      <c r="AD68" s="334"/>
      <c r="AE68" s="334"/>
      <c r="AF68" s="334"/>
      <c r="AG68" s="334"/>
      <c r="AH68" s="385"/>
      <c r="AI68" s="334"/>
      <c r="AJ68" s="334"/>
      <c r="AK68" s="334"/>
      <c r="AL68" s="334"/>
      <c r="AM68" s="334"/>
      <c r="AN68" s="334"/>
      <c r="AO68" s="334"/>
      <c r="AP68" s="385"/>
      <c r="AQ68" s="334"/>
      <c r="AR68" s="334"/>
      <c r="AS68" s="334"/>
      <c r="AT68" s="334"/>
      <c r="AU68" s="334"/>
      <c r="AV68" s="334"/>
      <c r="AW68" s="334"/>
      <c r="AX68" s="385"/>
      <c r="AY68" s="334"/>
      <c r="AZ68" s="334"/>
      <c r="BA68" s="334"/>
      <c r="BB68" s="334"/>
      <c r="BC68" s="334"/>
      <c r="BD68" s="334"/>
      <c r="BE68" s="334"/>
      <c r="BF68" s="385"/>
      <c r="BG68" s="334"/>
      <c r="BH68" s="334"/>
      <c r="BI68" s="334"/>
      <c r="BJ68" s="334"/>
      <c r="BK68" s="334"/>
      <c r="BL68" s="334"/>
      <c r="BM68" s="334"/>
      <c r="BN68" s="385"/>
      <c r="BO68" s="334"/>
      <c r="BP68" s="334"/>
      <c r="BQ68" s="334"/>
      <c r="BR68" s="334"/>
      <c r="BS68" s="334"/>
      <c r="BT68" s="334"/>
      <c r="BU68" s="334"/>
      <c r="BV68" s="385"/>
      <c r="BW68" s="334"/>
      <c r="BX68" s="334"/>
      <c r="BY68" s="334"/>
      <c r="BZ68" s="334"/>
      <c r="CA68" s="334"/>
      <c r="CB68" s="334"/>
      <c r="CC68" s="334"/>
      <c r="CD68" s="385"/>
      <c r="CE68" s="334"/>
      <c r="CF68" s="334"/>
      <c r="CG68" s="334"/>
      <c r="CH68" s="334"/>
      <c r="CI68" s="334"/>
      <c r="CJ68" s="334"/>
      <c r="CK68" s="334"/>
      <c r="CL68" s="385"/>
      <c r="CM68" s="334"/>
      <c r="CN68" s="334"/>
      <c r="CO68" s="334"/>
      <c r="CP68" s="334"/>
      <c r="CQ68" s="334"/>
      <c r="CR68" s="334"/>
      <c r="CS68" s="334"/>
      <c r="CT68" s="385"/>
      <c r="CU68" s="334"/>
      <c r="CV68" s="334"/>
      <c r="CW68" s="334"/>
      <c r="CX68" s="334"/>
      <c r="CY68" s="334"/>
      <c r="CZ68" s="334"/>
      <c r="DA68" s="334"/>
      <c r="DB68" s="378"/>
      <c r="DC68" s="334"/>
      <c r="DD68" s="334"/>
      <c r="DE68" s="334"/>
      <c r="DF68" s="334"/>
      <c r="DG68" s="334"/>
      <c r="DH68" s="334"/>
      <c r="DI68" s="334"/>
      <c r="DJ68" s="378"/>
      <c r="DK68" s="337"/>
      <c r="DL68" s="337"/>
      <c r="DM68" s="337"/>
      <c r="DN68" s="337"/>
      <c r="DO68" s="334"/>
      <c r="DP68" s="334"/>
      <c r="DQ68" s="334"/>
      <c r="DR68" s="378"/>
      <c r="DS68" s="337"/>
      <c r="DT68" s="337"/>
      <c r="DU68" s="337"/>
      <c r="DV68" s="337"/>
      <c r="DW68" s="334"/>
      <c r="DX68" s="334"/>
      <c r="DY68" s="334"/>
      <c r="DZ68" s="378"/>
      <c r="EA68" s="337"/>
      <c r="EB68" s="337"/>
      <c r="EC68" s="337"/>
      <c r="ED68" s="337"/>
      <c r="EE68" s="334"/>
      <c r="EF68" s="334"/>
      <c r="EG68" s="335"/>
      <c r="EH68" s="610"/>
    </row>
    <row r="69" spans="1:140">
      <c r="A69" s="12" t="s">
        <v>523</v>
      </c>
      <c r="B69" s="42"/>
      <c r="J69" s="369"/>
      <c r="R69" s="392"/>
      <c r="S69" s="64"/>
      <c r="T69" s="64"/>
      <c r="U69" s="64"/>
      <c r="V69" s="64"/>
      <c r="W69" s="64"/>
      <c r="X69" s="64"/>
      <c r="Y69" s="64"/>
      <c r="Z69" s="392"/>
      <c r="AA69" s="64"/>
      <c r="AB69" s="64"/>
      <c r="AC69" s="64"/>
      <c r="AD69" s="64"/>
      <c r="AE69" s="64"/>
      <c r="AF69" s="64"/>
      <c r="AG69" s="64"/>
      <c r="AH69" s="392"/>
      <c r="AI69" s="64"/>
      <c r="AJ69" s="64"/>
      <c r="AK69" s="64"/>
      <c r="AL69" s="64"/>
      <c r="AM69" s="64"/>
      <c r="AN69" s="64"/>
      <c r="AO69" s="64"/>
      <c r="AP69" s="392"/>
      <c r="AQ69" s="64"/>
      <c r="AR69" s="64"/>
      <c r="AS69" s="64"/>
      <c r="AT69" s="64"/>
      <c r="AU69" s="64"/>
      <c r="AV69" s="64"/>
      <c r="AW69" s="64"/>
      <c r="AX69" s="392"/>
      <c r="AY69" s="64"/>
      <c r="AZ69" s="64"/>
      <c r="BA69" s="64"/>
      <c r="BB69" s="64"/>
      <c r="BC69" s="64"/>
      <c r="BD69" s="64"/>
      <c r="BE69" s="64"/>
      <c r="BF69" s="392"/>
      <c r="BG69" s="64"/>
      <c r="BH69" s="64"/>
      <c r="BI69" s="64"/>
      <c r="BJ69" s="64"/>
      <c r="BK69" s="64"/>
      <c r="BL69" s="64"/>
      <c r="BM69" s="64"/>
      <c r="BN69" s="376"/>
      <c r="BO69" s="123"/>
      <c r="BP69" s="123"/>
      <c r="BQ69" s="123"/>
      <c r="BR69" s="123"/>
      <c r="BS69" s="123"/>
      <c r="BT69" s="123"/>
      <c r="BU69" s="123"/>
      <c r="BV69" s="392"/>
      <c r="BW69" s="64"/>
      <c r="BX69" s="64"/>
      <c r="BY69" s="64"/>
      <c r="BZ69" s="64"/>
      <c r="CA69" s="64"/>
      <c r="CB69" s="64"/>
      <c r="CC69" s="64"/>
      <c r="CD69" s="392"/>
      <c r="CE69" s="64"/>
      <c r="CF69" s="64"/>
      <c r="CG69" s="64"/>
      <c r="CH69" s="64"/>
      <c r="CI69" s="64"/>
      <c r="CJ69" s="64"/>
      <c r="CK69" s="64"/>
      <c r="CL69" s="392"/>
      <c r="CM69" s="64"/>
      <c r="CN69" s="64"/>
      <c r="CO69" s="64"/>
      <c r="CP69" s="64"/>
      <c r="CQ69" s="64"/>
      <c r="CR69" s="64"/>
      <c r="CS69" s="64"/>
      <c r="CT69" s="392"/>
      <c r="CU69" s="64"/>
      <c r="CV69" s="64"/>
      <c r="CW69" s="64"/>
      <c r="CX69" s="64"/>
      <c r="CY69" s="64"/>
      <c r="CZ69" s="64"/>
      <c r="DA69" s="64"/>
      <c r="DB69" s="380"/>
      <c r="DC69" s="64"/>
      <c r="DD69" s="64"/>
      <c r="DE69" s="64"/>
      <c r="DF69" s="64"/>
      <c r="DG69" s="64"/>
      <c r="DH69" s="64"/>
      <c r="DI69" s="64"/>
      <c r="DJ69" s="380"/>
      <c r="DK69" s="103"/>
      <c r="DL69" s="103"/>
      <c r="DM69" s="103"/>
      <c r="DN69" s="103"/>
      <c r="DO69" s="64"/>
      <c r="DP69" s="64"/>
      <c r="DQ69" s="64"/>
      <c r="DR69" s="380"/>
      <c r="DS69" s="103"/>
      <c r="DT69" s="103"/>
      <c r="DU69" s="103"/>
      <c r="DV69" s="103"/>
      <c r="DW69" s="64"/>
      <c r="DX69" s="64"/>
      <c r="DY69" s="64"/>
      <c r="DZ69" s="380"/>
      <c r="EA69" s="103"/>
      <c r="EB69" s="103"/>
      <c r="EC69" s="103"/>
      <c r="ED69" s="103"/>
      <c r="EE69" s="64"/>
      <c r="EF69" s="64"/>
      <c r="EG69" s="63"/>
      <c r="EH69" s="406"/>
    </row>
    <row r="70" spans="1:140">
      <c r="A70" s="13" t="s">
        <v>14</v>
      </c>
      <c r="B70" s="42"/>
      <c r="J70" s="369"/>
      <c r="R70" s="377" t="s">
        <v>491</v>
      </c>
      <c r="S70" s="103" t="s">
        <v>491</v>
      </c>
      <c r="T70" s="150" t="s">
        <v>491</v>
      </c>
      <c r="U70" s="103" t="s">
        <v>491</v>
      </c>
      <c r="V70" s="150" t="s">
        <v>491</v>
      </c>
      <c r="W70" s="103" t="s">
        <v>491</v>
      </c>
      <c r="X70" s="103" t="s">
        <v>491</v>
      </c>
      <c r="Y70" s="150" t="s">
        <v>491</v>
      </c>
      <c r="Z70" s="377" t="s">
        <v>491</v>
      </c>
      <c r="AA70" s="150" t="s">
        <v>491</v>
      </c>
      <c r="AB70" s="103" t="s">
        <v>491</v>
      </c>
      <c r="AC70" s="150" t="s">
        <v>491</v>
      </c>
      <c r="AD70" s="103" t="s">
        <v>491</v>
      </c>
      <c r="AE70" s="103" t="s">
        <v>491</v>
      </c>
      <c r="AF70" s="103" t="s">
        <v>491</v>
      </c>
      <c r="AG70" s="103" t="s">
        <v>491</v>
      </c>
      <c r="AH70" s="377" t="s">
        <v>491</v>
      </c>
      <c r="AI70" s="150" t="s">
        <v>491</v>
      </c>
      <c r="AJ70" s="103" t="s">
        <v>491</v>
      </c>
      <c r="AK70" s="103" t="s">
        <v>491</v>
      </c>
      <c r="AL70" s="150" t="s">
        <v>491</v>
      </c>
      <c r="AM70" s="103" t="s">
        <v>491</v>
      </c>
      <c r="AN70" s="103" t="s">
        <v>491</v>
      </c>
      <c r="AO70" s="103" t="s">
        <v>491</v>
      </c>
      <c r="AP70" s="377" t="s">
        <v>491</v>
      </c>
      <c r="AQ70" s="150" t="s">
        <v>491</v>
      </c>
      <c r="AR70" s="103" t="s">
        <v>491</v>
      </c>
      <c r="AS70" s="103" t="s">
        <v>491</v>
      </c>
      <c r="AT70" s="150" t="s">
        <v>491</v>
      </c>
      <c r="AU70" s="103" t="s">
        <v>491</v>
      </c>
      <c r="AV70" s="103" t="s">
        <v>491</v>
      </c>
      <c r="AW70" s="150" t="s">
        <v>491</v>
      </c>
      <c r="AX70" s="377" t="s">
        <v>491</v>
      </c>
      <c r="AY70" s="150" t="s">
        <v>491</v>
      </c>
      <c r="AZ70" s="103" t="s">
        <v>491</v>
      </c>
      <c r="BA70" s="150" t="s">
        <v>491</v>
      </c>
      <c r="BB70" s="103" t="s">
        <v>491</v>
      </c>
      <c r="BC70" s="103" t="s">
        <v>491</v>
      </c>
      <c r="BD70" s="103" t="s">
        <v>491</v>
      </c>
      <c r="BE70" s="150" t="s">
        <v>491</v>
      </c>
      <c r="BF70" s="377"/>
      <c r="BG70" s="103"/>
      <c r="BH70" s="150"/>
      <c r="BI70" s="103"/>
      <c r="BJ70" s="150"/>
      <c r="BK70" s="103"/>
      <c r="BL70" s="103"/>
      <c r="BM70" s="150"/>
      <c r="BN70" s="377" t="s">
        <v>491</v>
      </c>
      <c r="BO70" s="125" t="s">
        <v>491</v>
      </c>
      <c r="BP70" s="150" t="s">
        <v>491</v>
      </c>
      <c r="BQ70" s="150" t="s">
        <v>491</v>
      </c>
      <c r="BR70" s="125" t="s">
        <v>491</v>
      </c>
      <c r="BS70" s="125" t="s">
        <v>491</v>
      </c>
      <c r="BT70" s="125" t="s">
        <v>491</v>
      </c>
      <c r="BU70" s="125" t="s">
        <v>491</v>
      </c>
      <c r="BV70" s="377" t="s">
        <v>491</v>
      </c>
      <c r="BW70" s="150" t="s">
        <v>491</v>
      </c>
      <c r="BX70" s="125" t="s">
        <v>491</v>
      </c>
      <c r="BY70" s="150" t="s">
        <v>491</v>
      </c>
      <c r="BZ70" s="103" t="s">
        <v>491</v>
      </c>
      <c r="CA70" s="103" t="s">
        <v>491</v>
      </c>
      <c r="CB70" s="103" t="s">
        <v>491</v>
      </c>
      <c r="CC70" s="103" t="s">
        <v>491</v>
      </c>
      <c r="CD70" s="381">
        <v>122</v>
      </c>
      <c r="CE70" s="328">
        <v>74</v>
      </c>
      <c r="CF70" s="125">
        <f>CD70+CE70</f>
        <v>196</v>
      </c>
      <c r="CG70" s="328">
        <v>145</v>
      </c>
      <c r="CH70" s="125">
        <f>CF70+CG70</f>
        <v>341</v>
      </c>
      <c r="CI70" s="328">
        <v>221</v>
      </c>
      <c r="CJ70" s="125">
        <f>CG70+CI70</f>
        <v>366</v>
      </c>
      <c r="CK70" s="362">
        <f>'Airbus Commercial'!P69</f>
        <v>566</v>
      </c>
      <c r="CL70" s="381">
        <v>125</v>
      </c>
      <c r="CM70" s="328">
        <v>170</v>
      </c>
      <c r="CN70" s="125">
        <f>CL70+CM70</f>
        <v>295</v>
      </c>
      <c r="CO70" s="328">
        <v>127</v>
      </c>
      <c r="CP70" s="125">
        <f>CN70+CO70</f>
        <v>422</v>
      </c>
      <c r="CQ70" s="328">
        <v>184</v>
      </c>
      <c r="CR70" s="125">
        <f>CO70+CQ70</f>
        <v>311</v>
      </c>
      <c r="CS70" s="362">
        <f>'Airbus Commercial'!Q69</f>
        <v>582</v>
      </c>
      <c r="CT70" s="381">
        <v>140</v>
      </c>
      <c r="CU70" s="328">
        <v>155</v>
      </c>
      <c r="CV70" s="125">
        <f>CT70+CU70</f>
        <v>295</v>
      </c>
      <c r="CW70" s="328">
        <v>140</v>
      </c>
      <c r="CX70" s="125">
        <f>CV70+CW70</f>
        <v>435</v>
      </c>
      <c r="CY70" s="328">
        <v>226</v>
      </c>
      <c r="CZ70" s="125">
        <f>CW70+CY70</f>
        <v>366</v>
      </c>
      <c r="DA70" s="362">
        <f>'Airbus Commercial'!R69</f>
        <v>652</v>
      </c>
      <c r="DB70" s="381">
        <v>127</v>
      </c>
      <c r="DC70" s="328">
        <v>189</v>
      </c>
      <c r="DD70" s="125">
        <f>DB70+DC70</f>
        <v>316</v>
      </c>
      <c r="DE70" s="328">
        <v>172</v>
      </c>
      <c r="DF70" s="125">
        <f>DD70+DE70</f>
        <v>488</v>
      </c>
      <c r="DG70" s="328">
        <v>247</v>
      </c>
      <c r="DH70" s="125">
        <f>DE70+DG70</f>
        <v>419</v>
      </c>
      <c r="DI70" s="362">
        <f>'Airbus Commercial'!S69</f>
        <v>735</v>
      </c>
      <c r="DJ70" s="381">
        <v>142</v>
      </c>
      <c r="DK70" s="328">
        <v>181</v>
      </c>
      <c r="DL70" s="125">
        <f>DJ70+DK70</f>
        <v>323</v>
      </c>
      <c r="DM70" s="328">
        <v>174</v>
      </c>
      <c r="DN70" s="125">
        <f>DL70+DM70</f>
        <v>497</v>
      </c>
      <c r="DO70" s="328">
        <v>269</v>
      </c>
      <c r="DP70" s="125">
        <f>DM70+DO70</f>
        <v>443</v>
      </c>
      <c r="DQ70" s="362">
        <f>'Airbus Commercial'!T69</f>
        <v>766</v>
      </c>
      <c r="DR70" s="377">
        <v>136</v>
      </c>
      <c r="DS70" s="125">
        <f>DT70-DR70</f>
        <v>170</v>
      </c>
      <c r="DT70" s="150">
        <v>306</v>
      </c>
      <c r="DU70" s="125">
        <f>DV70-DT70</f>
        <v>201</v>
      </c>
      <c r="DV70" s="150">
        <v>507</v>
      </c>
      <c r="DW70" s="328"/>
      <c r="DX70" s="125"/>
      <c r="DY70" s="362"/>
      <c r="DZ70" s="377">
        <v>114</v>
      </c>
      <c r="EA70" s="125">
        <v>237</v>
      </c>
      <c r="EB70" s="150">
        <v>351</v>
      </c>
      <c r="EC70" s="328"/>
      <c r="ED70" s="125"/>
      <c r="EE70" s="328"/>
      <c r="EF70" s="125"/>
      <c r="EG70" s="329"/>
      <c r="EH70" s="406"/>
      <c r="EJ70" s="19"/>
    </row>
    <row r="71" spans="1:140">
      <c r="A71" s="107" t="s">
        <v>385</v>
      </c>
      <c r="B71" s="42"/>
      <c r="J71" s="369"/>
      <c r="R71" s="377" t="s">
        <v>491</v>
      </c>
      <c r="S71" s="103" t="s">
        <v>491</v>
      </c>
      <c r="T71" s="150" t="s">
        <v>491</v>
      </c>
      <c r="U71" s="103" t="s">
        <v>491</v>
      </c>
      <c r="V71" s="150" t="s">
        <v>491</v>
      </c>
      <c r="W71" s="103" t="s">
        <v>491</v>
      </c>
      <c r="X71" s="103" t="s">
        <v>491</v>
      </c>
      <c r="Y71" s="150" t="s">
        <v>491</v>
      </c>
      <c r="Z71" s="377" t="s">
        <v>491</v>
      </c>
      <c r="AA71" s="150" t="s">
        <v>491</v>
      </c>
      <c r="AB71" s="103" t="s">
        <v>491</v>
      </c>
      <c r="AC71" s="150" t="s">
        <v>491</v>
      </c>
      <c r="AD71" s="103" t="s">
        <v>491</v>
      </c>
      <c r="AE71" s="103" t="s">
        <v>491</v>
      </c>
      <c r="AF71" s="103" t="s">
        <v>491</v>
      </c>
      <c r="AG71" s="103" t="s">
        <v>491</v>
      </c>
      <c r="AH71" s="377" t="s">
        <v>491</v>
      </c>
      <c r="AI71" s="150" t="s">
        <v>491</v>
      </c>
      <c r="AJ71" s="103" t="s">
        <v>491</v>
      </c>
      <c r="AK71" s="103" t="s">
        <v>491</v>
      </c>
      <c r="AL71" s="150" t="s">
        <v>491</v>
      </c>
      <c r="AM71" s="103" t="s">
        <v>491</v>
      </c>
      <c r="AN71" s="103" t="s">
        <v>491</v>
      </c>
      <c r="AO71" s="103" t="s">
        <v>491</v>
      </c>
      <c r="AP71" s="377" t="s">
        <v>491</v>
      </c>
      <c r="AQ71" s="150" t="s">
        <v>491</v>
      </c>
      <c r="AR71" s="103" t="s">
        <v>491</v>
      </c>
      <c r="AS71" s="103" t="s">
        <v>491</v>
      </c>
      <c r="AT71" s="150" t="s">
        <v>491</v>
      </c>
      <c r="AU71" s="103" t="s">
        <v>491</v>
      </c>
      <c r="AV71" s="103" t="s">
        <v>491</v>
      </c>
      <c r="AW71" s="150" t="s">
        <v>491</v>
      </c>
      <c r="AX71" s="377" t="s">
        <v>491</v>
      </c>
      <c r="AY71" s="150" t="s">
        <v>491</v>
      </c>
      <c r="AZ71" s="103" t="s">
        <v>491</v>
      </c>
      <c r="BA71" s="150" t="s">
        <v>491</v>
      </c>
      <c r="BB71" s="103" t="s">
        <v>491</v>
      </c>
      <c r="BC71" s="103" t="s">
        <v>491</v>
      </c>
      <c r="BD71" s="103" t="s">
        <v>491</v>
      </c>
      <c r="BE71" s="150" t="s">
        <v>491</v>
      </c>
      <c r="BF71" s="377"/>
      <c r="BG71" s="103"/>
      <c r="BH71" s="150"/>
      <c r="BI71" s="103"/>
      <c r="BJ71" s="150"/>
      <c r="BK71" s="103"/>
      <c r="BL71" s="103"/>
      <c r="BM71" s="150"/>
      <c r="BN71" s="377" t="s">
        <v>491</v>
      </c>
      <c r="BO71" s="125" t="s">
        <v>491</v>
      </c>
      <c r="BP71" s="150" t="s">
        <v>491</v>
      </c>
      <c r="BQ71" s="150" t="s">
        <v>491</v>
      </c>
      <c r="BR71" s="125" t="s">
        <v>491</v>
      </c>
      <c r="BS71" s="125" t="s">
        <v>491</v>
      </c>
      <c r="BT71" s="125" t="s">
        <v>491</v>
      </c>
      <c r="BU71" s="125" t="s">
        <v>491</v>
      </c>
      <c r="BV71" s="377" t="s">
        <v>491</v>
      </c>
      <c r="BW71" s="150" t="s">
        <v>491</v>
      </c>
      <c r="BX71" s="125" t="s">
        <v>491</v>
      </c>
      <c r="BY71" s="150" t="s">
        <v>491</v>
      </c>
      <c r="BZ71" s="103" t="s">
        <v>491</v>
      </c>
      <c r="CA71" s="103" t="s">
        <v>491</v>
      </c>
      <c r="CB71" s="103" t="s">
        <v>491</v>
      </c>
      <c r="CC71" s="103" t="s">
        <v>491</v>
      </c>
      <c r="CD71" s="377" t="s">
        <v>491</v>
      </c>
      <c r="CE71" s="150" t="s">
        <v>491</v>
      </c>
      <c r="CF71" s="103" t="s">
        <v>491</v>
      </c>
      <c r="CG71" s="150" t="s">
        <v>491</v>
      </c>
      <c r="CH71" s="103" t="s">
        <v>491</v>
      </c>
      <c r="CI71" s="103" t="s">
        <v>491</v>
      </c>
      <c r="CJ71" s="103" t="s">
        <v>491</v>
      </c>
      <c r="CK71" s="103" t="s">
        <v>491</v>
      </c>
      <c r="CL71" s="377" t="s">
        <v>491</v>
      </c>
      <c r="CM71" s="150" t="s">
        <v>491</v>
      </c>
      <c r="CN71" s="103" t="s">
        <v>491</v>
      </c>
      <c r="CO71" s="150" t="s">
        <v>491</v>
      </c>
      <c r="CP71" s="103" t="s">
        <v>491</v>
      </c>
      <c r="CQ71" s="103" t="s">
        <v>491</v>
      </c>
      <c r="CR71" s="103" t="s">
        <v>491</v>
      </c>
      <c r="CS71" s="103" t="s">
        <v>491</v>
      </c>
      <c r="CT71" s="377" t="s">
        <v>491</v>
      </c>
      <c r="CU71" s="150" t="s">
        <v>491</v>
      </c>
      <c r="CV71" s="103" t="s">
        <v>491</v>
      </c>
      <c r="CW71" s="150" t="s">
        <v>491</v>
      </c>
      <c r="CX71" s="103" t="s">
        <v>491</v>
      </c>
      <c r="CY71" s="125" t="s">
        <v>491</v>
      </c>
      <c r="CZ71" s="103" t="s">
        <v>491</v>
      </c>
      <c r="DA71" s="103" t="s">
        <v>491</v>
      </c>
      <c r="DB71" s="377">
        <v>71</v>
      </c>
      <c r="DC71" s="125">
        <f>DD71-DB71</f>
        <v>74</v>
      </c>
      <c r="DD71" s="150">
        <v>145</v>
      </c>
      <c r="DE71" s="125">
        <f>DF71-DD71</f>
        <v>52</v>
      </c>
      <c r="DF71" s="150">
        <v>197</v>
      </c>
      <c r="DG71" s="125">
        <f>DI71-DF71</f>
        <v>149</v>
      </c>
      <c r="DH71" s="103">
        <f>DI71-DD71</f>
        <v>201</v>
      </c>
      <c r="DI71" s="150">
        <v>346</v>
      </c>
      <c r="DJ71" s="377">
        <v>50</v>
      </c>
      <c r="DK71" s="125">
        <f>DL71-DJ71</f>
        <v>74</v>
      </c>
      <c r="DL71" s="150">
        <v>124</v>
      </c>
      <c r="DM71" s="125">
        <f>DN71-DL71</f>
        <v>66</v>
      </c>
      <c r="DN71" s="150">
        <v>190</v>
      </c>
      <c r="DO71" s="125">
        <f>DQ71-DN71</f>
        <v>171</v>
      </c>
      <c r="DP71" s="103">
        <f>DQ71-DL71</f>
        <v>237</v>
      </c>
      <c r="DQ71" s="150">
        <v>361</v>
      </c>
      <c r="DR71" s="377">
        <v>51</v>
      </c>
      <c r="DS71" s="150">
        <f>DT71-DR71</f>
        <v>87</v>
      </c>
      <c r="DT71" s="150">
        <v>138</v>
      </c>
      <c r="DU71" s="125">
        <f>DV71</f>
        <v>218</v>
      </c>
      <c r="DV71" s="150">
        <v>218</v>
      </c>
      <c r="DW71" s="125"/>
      <c r="DX71" s="103"/>
      <c r="DY71" s="103"/>
      <c r="DZ71" s="377">
        <v>56</v>
      </c>
      <c r="EA71" s="150">
        <v>88</v>
      </c>
      <c r="EB71" s="150">
        <v>144</v>
      </c>
      <c r="EC71" s="125"/>
      <c r="ED71" s="150"/>
      <c r="EE71" s="125"/>
      <c r="EF71" s="103"/>
      <c r="EG71" s="109"/>
      <c r="EH71" s="406"/>
    </row>
    <row r="72" spans="1:140">
      <c r="A72" s="13" t="s">
        <v>384</v>
      </c>
      <c r="B72" s="42"/>
      <c r="J72" s="369"/>
      <c r="R72" s="377" t="s">
        <v>491</v>
      </c>
      <c r="S72" s="103" t="s">
        <v>491</v>
      </c>
      <c r="T72" s="150" t="s">
        <v>491</v>
      </c>
      <c r="U72" s="103" t="s">
        <v>491</v>
      </c>
      <c r="V72" s="150" t="s">
        <v>491</v>
      </c>
      <c r="W72" s="103" t="s">
        <v>491</v>
      </c>
      <c r="X72" s="103" t="s">
        <v>491</v>
      </c>
      <c r="Y72" s="150" t="s">
        <v>491</v>
      </c>
      <c r="Z72" s="377" t="s">
        <v>491</v>
      </c>
      <c r="AA72" s="150" t="s">
        <v>491</v>
      </c>
      <c r="AB72" s="103" t="s">
        <v>491</v>
      </c>
      <c r="AC72" s="150" t="s">
        <v>491</v>
      </c>
      <c r="AD72" s="103" t="s">
        <v>491</v>
      </c>
      <c r="AE72" s="103" t="s">
        <v>491</v>
      </c>
      <c r="AF72" s="103" t="s">
        <v>491</v>
      </c>
      <c r="AG72" s="103" t="s">
        <v>491</v>
      </c>
      <c r="AH72" s="377" t="s">
        <v>491</v>
      </c>
      <c r="AI72" s="150" t="s">
        <v>491</v>
      </c>
      <c r="AJ72" s="103" t="s">
        <v>491</v>
      </c>
      <c r="AK72" s="103" t="s">
        <v>491</v>
      </c>
      <c r="AL72" s="150" t="s">
        <v>491</v>
      </c>
      <c r="AM72" s="103" t="s">
        <v>491</v>
      </c>
      <c r="AN72" s="103" t="s">
        <v>491</v>
      </c>
      <c r="AO72" s="103" t="s">
        <v>491</v>
      </c>
      <c r="AP72" s="377" t="s">
        <v>491</v>
      </c>
      <c r="AQ72" s="150" t="s">
        <v>491</v>
      </c>
      <c r="AR72" s="103" t="s">
        <v>491</v>
      </c>
      <c r="AS72" s="103" t="s">
        <v>491</v>
      </c>
      <c r="AT72" s="150" t="s">
        <v>491</v>
      </c>
      <c r="AU72" s="103" t="s">
        <v>491</v>
      </c>
      <c r="AV72" s="103" t="s">
        <v>491</v>
      </c>
      <c r="AW72" s="150" t="s">
        <v>491</v>
      </c>
      <c r="AX72" s="377" t="s">
        <v>491</v>
      </c>
      <c r="AY72" s="150" t="s">
        <v>491</v>
      </c>
      <c r="AZ72" s="103" t="s">
        <v>491</v>
      </c>
      <c r="BA72" s="150" t="s">
        <v>491</v>
      </c>
      <c r="BB72" s="103" t="s">
        <v>491</v>
      </c>
      <c r="BC72" s="103" t="s">
        <v>491</v>
      </c>
      <c r="BD72" s="103" t="s">
        <v>491</v>
      </c>
      <c r="BE72" s="150" t="s">
        <v>491</v>
      </c>
      <c r="BF72" s="377"/>
      <c r="BG72" s="103"/>
      <c r="BH72" s="150"/>
      <c r="BI72" s="103"/>
      <c r="BJ72" s="150"/>
      <c r="BK72" s="103"/>
      <c r="BL72" s="103"/>
      <c r="BM72" s="150"/>
      <c r="BN72" s="377" t="s">
        <v>491</v>
      </c>
      <c r="BO72" s="125" t="s">
        <v>491</v>
      </c>
      <c r="BP72" s="150" t="s">
        <v>491</v>
      </c>
      <c r="BQ72" s="150" t="s">
        <v>491</v>
      </c>
      <c r="BR72" s="125" t="s">
        <v>491</v>
      </c>
      <c r="BS72" s="125" t="s">
        <v>491</v>
      </c>
      <c r="BT72" s="125" t="s">
        <v>491</v>
      </c>
      <c r="BU72" s="125" t="s">
        <v>491</v>
      </c>
      <c r="BV72" s="377" t="s">
        <v>491</v>
      </c>
      <c r="BW72" s="150" t="s">
        <v>491</v>
      </c>
      <c r="BX72" s="125" t="s">
        <v>491</v>
      </c>
      <c r="BY72" s="150" t="s">
        <v>491</v>
      </c>
      <c r="BZ72" s="103" t="s">
        <v>491</v>
      </c>
      <c r="CA72" s="103" t="s">
        <v>491</v>
      </c>
      <c r="CB72" s="103" t="s">
        <v>491</v>
      </c>
      <c r="CC72" s="103" t="s">
        <v>491</v>
      </c>
      <c r="CD72" s="377" t="s">
        <v>491</v>
      </c>
      <c r="CE72" s="150" t="s">
        <v>491</v>
      </c>
      <c r="CF72" s="103" t="s">
        <v>491</v>
      </c>
      <c r="CG72" s="150" t="s">
        <v>491</v>
      </c>
      <c r="CH72" s="103" t="s">
        <v>491</v>
      </c>
      <c r="CI72" s="103" t="s">
        <v>491</v>
      </c>
      <c r="CJ72" s="103" t="s">
        <v>491</v>
      </c>
      <c r="CK72" s="103" t="s">
        <v>491</v>
      </c>
      <c r="CL72" s="377" t="s">
        <v>491</v>
      </c>
      <c r="CM72" s="150" t="s">
        <v>491</v>
      </c>
      <c r="CN72" s="103" t="s">
        <v>491</v>
      </c>
      <c r="CO72" s="150" t="s">
        <v>491</v>
      </c>
      <c r="CP72" s="103" t="s">
        <v>491</v>
      </c>
      <c r="CQ72" s="103" t="s">
        <v>491</v>
      </c>
      <c r="CR72" s="103" t="s">
        <v>491</v>
      </c>
      <c r="CS72" s="103" t="s">
        <v>491</v>
      </c>
      <c r="CT72" s="377" t="s">
        <v>491</v>
      </c>
      <c r="CU72" s="150" t="s">
        <v>491</v>
      </c>
      <c r="CV72" s="103" t="s">
        <v>491</v>
      </c>
      <c r="CW72" s="150" t="s">
        <v>491</v>
      </c>
      <c r="CX72" s="103" t="s">
        <v>491</v>
      </c>
      <c r="CY72" s="125" t="s">
        <v>491</v>
      </c>
      <c r="CZ72" s="103" t="s">
        <v>491</v>
      </c>
      <c r="DA72" s="103" t="s">
        <v>491</v>
      </c>
      <c r="DB72" s="380" t="s">
        <v>491</v>
      </c>
      <c r="DC72" s="150" t="s">
        <v>491</v>
      </c>
      <c r="DD72" s="103" t="s">
        <v>491</v>
      </c>
      <c r="DE72" s="150" t="s">
        <v>491</v>
      </c>
      <c r="DF72" s="103" t="s">
        <v>491</v>
      </c>
      <c r="DG72" s="125" t="s">
        <v>491</v>
      </c>
      <c r="DH72" s="103" t="s">
        <v>491</v>
      </c>
      <c r="DI72" s="103" t="s">
        <v>491</v>
      </c>
      <c r="DJ72" s="380" t="s">
        <v>491</v>
      </c>
      <c r="DK72" s="103" t="s">
        <v>491</v>
      </c>
      <c r="DL72" s="103" t="s">
        <v>491</v>
      </c>
      <c r="DM72" s="103" t="s">
        <v>491</v>
      </c>
      <c r="DN72" s="103" t="s">
        <v>491</v>
      </c>
      <c r="DO72" s="125" t="s">
        <v>491</v>
      </c>
      <c r="DP72" s="103" t="s">
        <v>491</v>
      </c>
      <c r="DQ72" s="103" t="s">
        <v>491</v>
      </c>
      <c r="DR72" s="380"/>
      <c r="DS72" s="103"/>
      <c r="DT72" s="103"/>
      <c r="DU72" s="103"/>
      <c r="DV72" s="103"/>
      <c r="DW72" s="125"/>
      <c r="DX72" s="103"/>
      <c r="DY72" s="103"/>
      <c r="DZ72" s="380"/>
      <c r="EA72" s="103"/>
      <c r="EB72" s="103"/>
      <c r="EC72" s="103"/>
      <c r="ED72" s="103"/>
      <c r="EE72" s="125"/>
      <c r="EF72" s="103"/>
      <c r="EG72" s="109"/>
      <c r="EH72" s="406"/>
      <c r="EJ72" s="19"/>
    </row>
    <row r="73" spans="1:140">
      <c r="A73" s="107" t="s">
        <v>388</v>
      </c>
      <c r="B73" s="42"/>
      <c r="J73" s="369"/>
      <c r="R73" s="377" t="s">
        <v>491</v>
      </c>
      <c r="S73" s="103" t="s">
        <v>491</v>
      </c>
      <c r="T73" s="150" t="s">
        <v>491</v>
      </c>
      <c r="U73" s="103" t="s">
        <v>491</v>
      </c>
      <c r="V73" s="150" t="s">
        <v>491</v>
      </c>
      <c r="W73" s="103" t="s">
        <v>491</v>
      </c>
      <c r="X73" s="103" t="s">
        <v>491</v>
      </c>
      <c r="Y73" s="150" t="s">
        <v>491</v>
      </c>
      <c r="Z73" s="377" t="s">
        <v>491</v>
      </c>
      <c r="AA73" s="150" t="s">
        <v>491</v>
      </c>
      <c r="AB73" s="103" t="s">
        <v>491</v>
      </c>
      <c r="AC73" s="150" t="s">
        <v>491</v>
      </c>
      <c r="AD73" s="103" t="s">
        <v>491</v>
      </c>
      <c r="AE73" s="103" t="s">
        <v>491</v>
      </c>
      <c r="AF73" s="103" t="s">
        <v>491</v>
      </c>
      <c r="AG73" s="103" t="s">
        <v>491</v>
      </c>
      <c r="AH73" s="377" t="s">
        <v>491</v>
      </c>
      <c r="AI73" s="150" t="s">
        <v>491</v>
      </c>
      <c r="AJ73" s="103" t="s">
        <v>491</v>
      </c>
      <c r="AK73" s="103" t="s">
        <v>491</v>
      </c>
      <c r="AL73" s="150" t="s">
        <v>491</v>
      </c>
      <c r="AM73" s="103" t="s">
        <v>491</v>
      </c>
      <c r="AN73" s="103" t="s">
        <v>491</v>
      </c>
      <c r="AO73" s="103" t="s">
        <v>491</v>
      </c>
      <c r="AP73" s="377" t="s">
        <v>491</v>
      </c>
      <c r="AQ73" s="150" t="s">
        <v>491</v>
      </c>
      <c r="AR73" s="103" t="s">
        <v>491</v>
      </c>
      <c r="AS73" s="103" t="s">
        <v>491</v>
      </c>
      <c r="AT73" s="150" t="s">
        <v>491</v>
      </c>
      <c r="AU73" s="103" t="s">
        <v>491</v>
      </c>
      <c r="AV73" s="103" t="s">
        <v>491</v>
      </c>
      <c r="AW73" s="150" t="s">
        <v>491</v>
      </c>
      <c r="AX73" s="377" t="s">
        <v>491</v>
      </c>
      <c r="AY73" s="330" t="s">
        <v>491</v>
      </c>
      <c r="AZ73" s="103" t="s">
        <v>491</v>
      </c>
      <c r="BA73" s="330" t="s">
        <v>491</v>
      </c>
      <c r="BB73" s="103" t="s">
        <v>491</v>
      </c>
      <c r="BC73" s="331" t="s">
        <v>491</v>
      </c>
      <c r="BD73" s="103" t="s">
        <v>491</v>
      </c>
      <c r="BE73" s="150" t="s">
        <v>491</v>
      </c>
      <c r="BF73" s="377"/>
      <c r="BG73" s="331"/>
      <c r="BH73" s="150"/>
      <c r="BI73" s="331"/>
      <c r="BJ73" s="150"/>
      <c r="BK73" s="331"/>
      <c r="BL73" s="103"/>
      <c r="BM73" s="150"/>
      <c r="BN73" s="377" t="s">
        <v>491</v>
      </c>
      <c r="BO73" s="125" t="s">
        <v>491</v>
      </c>
      <c r="BP73" s="150" t="s">
        <v>491</v>
      </c>
      <c r="BQ73" s="150" t="s">
        <v>491</v>
      </c>
      <c r="BR73" s="125" t="s">
        <v>491</v>
      </c>
      <c r="BS73" s="332" t="s">
        <v>491</v>
      </c>
      <c r="BT73" s="125" t="s">
        <v>491</v>
      </c>
      <c r="BU73" s="125" t="s">
        <v>491</v>
      </c>
      <c r="BV73" s="377" t="s">
        <v>491</v>
      </c>
      <c r="BW73" s="150" t="s">
        <v>491</v>
      </c>
      <c r="BX73" s="125" t="s">
        <v>491</v>
      </c>
      <c r="BY73" s="330" t="s">
        <v>491</v>
      </c>
      <c r="BZ73" s="103" t="s">
        <v>491</v>
      </c>
      <c r="CA73" s="331" t="s">
        <v>491</v>
      </c>
      <c r="CB73" s="103" t="s">
        <v>491</v>
      </c>
      <c r="CC73" s="103" t="s">
        <v>491</v>
      </c>
      <c r="CD73" s="377" t="s">
        <v>491</v>
      </c>
      <c r="CE73" s="150" t="s">
        <v>491</v>
      </c>
      <c r="CF73" s="103" t="s">
        <v>491</v>
      </c>
      <c r="CG73" s="330" t="s">
        <v>491</v>
      </c>
      <c r="CH73" s="103" t="s">
        <v>491</v>
      </c>
      <c r="CI73" s="331" t="s">
        <v>491</v>
      </c>
      <c r="CJ73" s="103" t="s">
        <v>491</v>
      </c>
      <c r="CK73" s="103" t="s">
        <v>491</v>
      </c>
      <c r="CL73" s="377" t="s">
        <v>491</v>
      </c>
      <c r="CM73" s="150" t="s">
        <v>491</v>
      </c>
      <c r="CN73" s="103" t="s">
        <v>491</v>
      </c>
      <c r="CO73" s="330" t="s">
        <v>491</v>
      </c>
      <c r="CP73" s="103" t="s">
        <v>491</v>
      </c>
      <c r="CQ73" s="331" t="s">
        <v>491</v>
      </c>
      <c r="CR73" s="103" t="s">
        <v>491</v>
      </c>
      <c r="CS73" s="103" t="s">
        <v>491</v>
      </c>
      <c r="CT73" s="377" t="s">
        <v>491</v>
      </c>
      <c r="CU73" s="150" t="s">
        <v>491</v>
      </c>
      <c r="CV73" s="103" t="s">
        <v>491</v>
      </c>
      <c r="CW73" s="150" t="s">
        <v>491</v>
      </c>
      <c r="CX73" s="103" t="s">
        <v>491</v>
      </c>
      <c r="CY73" s="125" t="s">
        <v>491</v>
      </c>
      <c r="CZ73" s="103" t="s">
        <v>491</v>
      </c>
      <c r="DA73" s="103" t="s">
        <v>491</v>
      </c>
      <c r="DB73" s="380" t="s">
        <v>491</v>
      </c>
      <c r="DC73" s="150" t="s">
        <v>491</v>
      </c>
      <c r="DD73" s="103" t="s">
        <v>491</v>
      </c>
      <c r="DE73" s="150" t="s">
        <v>491</v>
      </c>
      <c r="DF73" s="103" t="s">
        <v>491</v>
      </c>
      <c r="DG73" s="125" t="s">
        <v>491</v>
      </c>
      <c r="DH73" s="103" t="s">
        <v>491</v>
      </c>
      <c r="DI73" s="103" t="s">
        <v>491</v>
      </c>
      <c r="DJ73" s="380" t="s">
        <v>491</v>
      </c>
      <c r="DK73" s="103" t="s">
        <v>491</v>
      </c>
      <c r="DL73" s="103" t="s">
        <v>491</v>
      </c>
      <c r="DM73" s="103" t="s">
        <v>491</v>
      </c>
      <c r="DN73" s="103" t="s">
        <v>491</v>
      </c>
      <c r="DO73" s="125" t="s">
        <v>491</v>
      </c>
      <c r="DP73" s="103" t="s">
        <v>491</v>
      </c>
      <c r="DQ73" s="103" t="s">
        <v>491</v>
      </c>
      <c r="DR73" s="380"/>
      <c r="DS73" s="103"/>
      <c r="DT73" s="103"/>
      <c r="DU73" s="103"/>
      <c r="DV73" s="103"/>
      <c r="DW73" s="125"/>
      <c r="DX73" s="103"/>
      <c r="DY73" s="103"/>
      <c r="DZ73" s="380"/>
      <c r="EA73" s="103"/>
      <c r="EB73" s="103"/>
      <c r="EC73" s="103"/>
      <c r="ED73" s="103"/>
      <c r="EE73" s="125"/>
      <c r="EF73" s="103"/>
      <c r="EG73" s="109"/>
      <c r="EH73" s="406"/>
    </row>
    <row r="74" spans="1:140">
      <c r="A74" s="37" t="s">
        <v>225</v>
      </c>
      <c r="B74" s="91"/>
      <c r="C74" s="68"/>
      <c r="D74" s="68"/>
      <c r="E74" s="68"/>
      <c r="F74" s="68"/>
      <c r="G74" s="68"/>
      <c r="H74" s="68"/>
      <c r="I74" s="68"/>
      <c r="J74" s="468"/>
      <c r="K74" s="68"/>
      <c r="L74" s="68"/>
      <c r="M74" s="68"/>
      <c r="N74" s="68"/>
      <c r="O74" s="68"/>
      <c r="P74" s="68"/>
      <c r="Q74" s="68"/>
      <c r="R74" s="388">
        <f>SUM(R70:R73)</f>
        <v>0</v>
      </c>
      <c r="S74" s="67">
        <f t="shared" ref="S74:CD74" si="298">SUM(S70:S73)</f>
        <v>0</v>
      </c>
      <c r="T74" s="67">
        <f t="shared" si="298"/>
        <v>0</v>
      </c>
      <c r="U74" s="67">
        <f t="shared" si="298"/>
        <v>0</v>
      </c>
      <c r="V74" s="67">
        <f t="shared" si="298"/>
        <v>0</v>
      </c>
      <c r="W74" s="67">
        <f t="shared" si="298"/>
        <v>0</v>
      </c>
      <c r="X74" s="67">
        <f t="shared" si="298"/>
        <v>0</v>
      </c>
      <c r="Y74" s="67">
        <f t="shared" si="298"/>
        <v>0</v>
      </c>
      <c r="Z74" s="388">
        <f t="shared" si="298"/>
        <v>0</v>
      </c>
      <c r="AA74" s="67">
        <f t="shared" si="298"/>
        <v>0</v>
      </c>
      <c r="AB74" s="67">
        <f t="shared" si="298"/>
        <v>0</v>
      </c>
      <c r="AC74" s="154">
        <f t="shared" si="298"/>
        <v>0</v>
      </c>
      <c r="AD74" s="104">
        <f t="shared" si="298"/>
        <v>0</v>
      </c>
      <c r="AE74" s="104">
        <f t="shared" si="298"/>
        <v>0</v>
      </c>
      <c r="AF74" s="67">
        <f t="shared" si="298"/>
        <v>0</v>
      </c>
      <c r="AG74" s="67">
        <f t="shared" si="298"/>
        <v>0</v>
      </c>
      <c r="AH74" s="388">
        <f t="shared" si="298"/>
        <v>0</v>
      </c>
      <c r="AI74" s="67">
        <f t="shared" si="298"/>
        <v>0</v>
      </c>
      <c r="AJ74" s="67">
        <f t="shared" si="298"/>
        <v>0</v>
      </c>
      <c r="AK74" s="67">
        <f t="shared" si="298"/>
        <v>0</v>
      </c>
      <c r="AL74" s="67">
        <f t="shared" si="298"/>
        <v>0</v>
      </c>
      <c r="AM74" s="67">
        <f t="shared" si="298"/>
        <v>0</v>
      </c>
      <c r="AN74" s="67">
        <f t="shared" si="298"/>
        <v>0</v>
      </c>
      <c r="AO74" s="67">
        <f t="shared" si="298"/>
        <v>0</v>
      </c>
      <c r="AP74" s="457">
        <f t="shared" si="298"/>
        <v>0</v>
      </c>
      <c r="AQ74" s="153">
        <f t="shared" si="298"/>
        <v>0</v>
      </c>
      <c r="AR74" s="67">
        <f t="shared" si="298"/>
        <v>0</v>
      </c>
      <c r="AS74" s="67">
        <f t="shared" si="298"/>
        <v>0</v>
      </c>
      <c r="AT74" s="67">
        <f t="shared" si="298"/>
        <v>0</v>
      </c>
      <c r="AU74" s="67">
        <f t="shared" si="298"/>
        <v>0</v>
      </c>
      <c r="AV74" s="67">
        <f t="shared" si="298"/>
        <v>0</v>
      </c>
      <c r="AW74" s="67">
        <f t="shared" si="298"/>
        <v>0</v>
      </c>
      <c r="AX74" s="457">
        <f t="shared" si="298"/>
        <v>0</v>
      </c>
      <c r="AY74" s="110">
        <f t="shared" si="298"/>
        <v>0</v>
      </c>
      <c r="AZ74" s="67">
        <f t="shared" si="298"/>
        <v>0</v>
      </c>
      <c r="BA74" s="110">
        <f t="shared" si="298"/>
        <v>0</v>
      </c>
      <c r="BB74" s="67">
        <f t="shared" si="298"/>
        <v>0</v>
      </c>
      <c r="BC74" s="67">
        <f t="shared" si="298"/>
        <v>0</v>
      </c>
      <c r="BD74" s="67">
        <f t="shared" si="298"/>
        <v>0</v>
      </c>
      <c r="BE74" s="67">
        <f t="shared" si="298"/>
        <v>0</v>
      </c>
      <c r="BF74" s="388"/>
      <c r="BG74" s="110"/>
      <c r="BH74" s="67"/>
      <c r="BI74" s="110"/>
      <c r="BJ74" s="67"/>
      <c r="BK74" s="67"/>
      <c r="BL74" s="67"/>
      <c r="BM74" s="67"/>
      <c r="BN74" s="384">
        <f t="shared" si="298"/>
        <v>0</v>
      </c>
      <c r="BO74" s="127">
        <f t="shared" si="298"/>
        <v>0</v>
      </c>
      <c r="BP74" s="127">
        <f t="shared" si="298"/>
        <v>0</v>
      </c>
      <c r="BQ74" s="127">
        <f t="shared" si="298"/>
        <v>0</v>
      </c>
      <c r="BR74" s="127">
        <f t="shared" si="298"/>
        <v>0</v>
      </c>
      <c r="BS74" s="127">
        <f t="shared" si="298"/>
        <v>0</v>
      </c>
      <c r="BT74" s="127">
        <f t="shared" si="298"/>
        <v>0</v>
      </c>
      <c r="BU74" s="127">
        <f t="shared" si="298"/>
        <v>0</v>
      </c>
      <c r="BV74" s="388">
        <f t="shared" si="298"/>
        <v>0</v>
      </c>
      <c r="BW74" s="127">
        <f t="shared" si="298"/>
        <v>0</v>
      </c>
      <c r="BX74" s="127">
        <f t="shared" si="298"/>
        <v>0</v>
      </c>
      <c r="BY74" s="67">
        <f t="shared" si="298"/>
        <v>0</v>
      </c>
      <c r="BZ74" s="67">
        <f t="shared" si="298"/>
        <v>0</v>
      </c>
      <c r="CA74" s="67">
        <f t="shared" si="298"/>
        <v>0</v>
      </c>
      <c r="CB74" s="67">
        <f t="shared" si="298"/>
        <v>0</v>
      </c>
      <c r="CC74" s="67">
        <f t="shared" si="298"/>
        <v>0</v>
      </c>
      <c r="CD74" s="388">
        <f t="shared" si="298"/>
        <v>122</v>
      </c>
      <c r="CE74" s="67">
        <f t="shared" ref="CE74:DV74" si="299">SUM(CE70:CE73)</f>
        <v>74</v>
      </c>
      <c r="CF74" s="67">
        <f t="shared" si="299"/>
        <v>196</v>
      </c>
      <c r="CG74" s="67">
        <f t="shared" si="299"/>
        <v>145</v>
      </c>
      <c r="CH74" s="67">
        <f t="shared" si="299"/>
        <v>341</v>
      </c>
      <c r="CI74" s="67">
        <f t="shared" si="299"/>
        <v>221</v>
      </c>
      <c r="CJ74" s="67">
        <f t="shared" si="299"/>
        <v>366</v>
      </c>
      <c r="CK74" s="67">
        <f t="shared" si="299"/>
        <v>566</v>
      </c>
      <c r="CL74" s="388">
        <f t="shared" si="299"/>
        <v>125</v>
      </c>
      <c r="CM74" s="67">
        <f t="shared" si="299"/>
        <v>170</v>
      </c>
      <c r="CN74" s="67">
        <f t="shared" si="299"/>
        <v>295</v>
      </c>
      <c r="CO74" s="67">
        <f t="shared" si="299"/>
        <v>127</v>
      </c>
      <c r="CP74" s="67">
        <f t="shared" si="299"/>
        <v>422</v>
      </c>
      <c r="CQ74" s="67">
        <f t="shared" si="299"/>
        <v>184</v>
      </c>
      <c r="CR74" s="67">
        <f t="shared" si="299"/>
        <v>311</v>
      </c>
      <c r="CS74" s="67">
        <f t="shared" si="299"/>
        <v>582</v>
      </c>
      <c r="CT74" s="388">
        <f t="shared" si="299"/>
        <v>140</v>
      </c>
      <c r="CU74" s="67">
        <f t="shared" si="299"/>
        <v>155</v>
      </c>
      <c r="CV74" s="67">
        <f t="shared" si="299"/>
        <v>295</v>
      </c>
      <c r="CW74" s="67">
        <f t="shared" si="299"/>
        <v>140</v>
      </c>
      <c r="CX74" s="67">
        <f t="shared" si="299"/>
        <v>435</v>
      </c>
      <c r="CY74" s="127">
        <f t="shared" si="299"/>
        <v>226</v>
      </c>
      <c r="CZ74" s="67">
        <f t="shared" si="299"/>
        <v>366</v>
      </c>
      <c r="DA74" s="67">
        <f t="shared" si="299"/>
        <v>652</v>
      </c>
      <c r="DB74" s="382">
        <f t="shared" si="299"/>
        <v>198</v>
      </c>
      <c r="DC74" s="67">
        <f t="shared" si="299"/>
        <v>263</v>
      </c>
      <c r="DD74" s="67">
        <f t="shared" si="299"/>
        <v>461</v>
      </c>
      <c r="DE74" s="67">
        <f t="shared" si="299"/>
        <v>224</v>
      </c>
      <c r="DF74" s="67">
        <f t="shared" si="299"/>
        <v>685</v>
      </c>
      <c r="DG74" s="127">
        <f t="shared" si="299"/>
        <v>396</v>
      </c>
      <c r="DH74" s="67">
        <f t="shared" si="299"/>
        <v>620</v>
      </c>
      <c r="DI74" s="67">
        <f t="shared" si="299"/>
        <v>1081</v>
      </c>
      <c r="DJ74" s="382">
        <f t="shared" si="299"/>
        <v>192</v>
      </c>
      <c r="DK74" s="104">
        <f t="shared" si="299"/>
        <v>255</v>
      </c>
      <c r="DL74" s="104">
        <f t="shared" si="299"/>
        <v>447</v>
      </c>
      <c r="DM74" s="104">
        <f t="shared" si="299"/>
        <v>240</v>
      </c>
      <c r="DN74" s="104">
        <f t="shared" si="299"/>
        <v>687</v>
      </c>
      <c r="DO74" s="127">
        <f t="shared" si="299"/>
        <v>440</v>
      </c>
      <c r="DP74" s="67">
        <f t="shared" si="299"/>
        <v>680</v>
      </c>
      <c r="DQ74" s="67">
        <f t="shared" si="299"/>
        <v>1127</v>
      </c>
      <c r="DR74" s="382">
        <f>SUM(DR70:DR73)</f>
        <v>187</v>
      </c>
      <c r="DS74" s="104">
        <f t="shared" si="299"/>
        <v>257</v>
      </c>
      <c r="DT74" s="104">
        <f t="shared" si="299"/>
        <v>444</v>
      </c>
      <c r="DU74" s="104">
        <f t="shared" si="299"/>
        <v>419</v>
      </c>
      <c r="DV74" s="104">
        <f t="shared" si="299"/>
        <v>725</v>
      </c>
      <c r="DW74" s="127"/>
      <c r="DX74" s="67"/>
      <c r="DY74" s="67"/>
      <c r="DZ74" s="382">
        <f>SUM(DZ70:DZ73)</f>
        <v>170</v>
      </c>
      <c r="EA74" s="104">
        <v>325</v>
      </c>
      <c r="EB74" s="104">
        <v>495</v>
      </c>
      <c r="EC74" s="104"/>
      <c r="ED74" s="104"/>
      <c r="EE74" s="127"/>
      <c r="EF74" s="119"/>
      <c r="EG74" s="66"/>
      <c r="EH74" s="406"/>
    </row>
    <row r="75" spans="1:140" s="177" customFormat="1">
      <c r="B75" s="178"/>
      <c r="C75" s="179"/>
      <c r="D75" s="179"/>
      <c r="E75" s="179"/>
      <c r="F75" s="179"/>
      <c r="G75" s="179"/>
      <c r="H75" s="179"/>
      <c r="I75" s="179"/>
      <c r="J75" s="464"/>
      <c r="K75" s="179"/>
      <c r="L75" s="179"/>
      <c r="M75" s="179"/>
      <c r="N75" s="179"/>
      <c r="O75" s="179"/>
      <c r="P75" s="179"/>
      <c r="Q75" s="179"/>
      <c r="R75" s="385"/>
      <c r="S75" s="334"/>
      <c r="T75" s="334"/>
      <c r="U75" s="334"/>
      <c r="V75" s="334"/>
      <c r="W75" s="334"/>
      <c r="X75" s="334"/>
      <c r="Y75" s="334"/>
      <c r="Z75" s="385"/>
      <c r="AA75" s="334"/>
      <c r="AB75" s="334"/>
      <c r="AC75" s="334"/>
      <c r="AD75" s="334"/>
      <c r="AE75" s="334"/>
      <c r="AF75" s="334"/>
      <c r="AG75" s="334"/>
      <c r="AH75" s="385"/>
      <c r="AI75" s="334"/>
      <c r="AJ75" s="334"/>
      <c r="AK75" s="334"/>
      <c r="AL75" s="334"/>
      <c r="AM75" s="334"/>
      <c r="AN75" s="334"/>
      <c r="AO75" s="334"/>
      <c r="AP75" s="385"/>
      <c r="AQ75" s="334"/>
      <c r="AR75" s="334"/>
      <c r="AS75" s="334"/>
      <c r="AT75" s="334"/>
      <c r="AU75" s="334"/>
      <c r="AV75" s="334"/>
      <c r="AW75" s="334"/>
      <c r="AX75" s="385"/>
      <c r="AY75" s="334"/>
      <c r="AZ75" s="334"/>
      <c r="BA75" s="334"/>
      <c r="BB75" s="334"/>
      <c r="BC75" s="334"/>
      <c r="BD75" s="334"/>
      <c r="BE75" s="334"/>
      <c r="BF75" s="385"/>
      <c r="BG75" s="334"/>
      <c r="BH75" s="334"/>
      <c r="BI75" s="334"/>
      <c r="BJ75" s="334"/>
      <c r="BK75" s="334"/>
      <c r="BL75" s="334"/>
      <c r="BM75" s="334"/>
      <c r="BN75" s="385"/>
      <c r="BO75" s="334"/>
      <c r="BP75" s="334"/>
      <c r="BQ75" s="334"/>
      <c r="BR75" s="334"/>
      <c r="BS75" s="334"/>
      <c r="BT75" s="334"/>
      <c r="BU75" s="334"/>
      <c r="BV75" s="385"/>
      <c r="BW75" s="334"/>
      <c r="BX75" s="334"/>
      <c r="BY75" s="334"/>
      <c r="BZ75" s="334"/>
      <c r="CA75" s="334"/>
      <c r="CB75" s="334"/>
      <c r="CC75" s="334"/>
      <c r="CD75" s="385"/>
      <c r="CE75" s="334"/>
      <c r="CF75" s="334"/>
      <c r="CG75" s="334"/>
      <c r="CH75" s="334"/>
      <c r="CI75" s="334"/>
      <c r="CJ75" s="334"/>
      <c r="CK75" s="334"/>
      <c r="CL75" s="385"/>
      <c r="CM75" s="334"/>
      <c r="CN75" s="334"/>
      <c r="CO75" s="334"/>
      <c r="CP75" s="334"/>
      <c r="CQ75" s="334"/>
      <c r="CR75" s="334"/>
      <c r="CS75" s="334"/>
      <c r="CT75" s="385"/>
      <c r="CU75" s="334"/>
      <c r="CV75" s="334"/>
      <c r="CW75" s="334"/>
      <c r="CX75" s="334"/>
      <c r="CY75" s="334"/>
      <c r="CZ75" s="334"/>
      <c r="DA75" s="334"/>
      <c r="DB75" s="378"/>
      <c r="DC75" s="334"/>
      <c r="DD75" s="334"/>
      <c r="DE75" s="334"/>
      <c r="DF75" s="334"/>
      <c r="DG75" s="334"/>
      <c r="DH75" s="334"/>
      <c r="DI75" s="334"/>
      <c r="DJ75" s="378"/>
      <c r="DK75" s="337"/>
      <c r="DL75" s="337"/>
      <c r="DM75" s="337"/>
      <c r="DN75" s="337"/>
      <c r="DO75" s="334"/>
      <c r="DP75" s="334"/>
      <c r="DQ75" s="334"/>
      <c r="DR75" s="378"/>
      <c r="DS75" s="337"/>
      <c r="DT75" s="337"/>
      <c r="DU75" s="337"/>
      <c r="DV75" s="337"/>
      <c r="DW75" s="334"/>
      <c r="DX75" s="334"/>
      <c r="DY75" s="334"/>
      <c r="DZ75" s="378"/>
      <c r="EA75" s="337"/>
      <c r="EB75" s="337"/>
      <c r="EC75" s="337"/>
      <c r="ED75" s="337"/>
      <c r="EE75" s="334"/>
      <c r="EF75" s="334"/>
      <c r="EG75" s="335"/>
      <c r="EH75" s="610"/>
    </row>
    <row r="76" spans="1:140">
      <c r="A76" s="12" t="s">
        <v>519</v>
      </c>
      <c r="B76" s="42"/>
      <c r="J76" s="369"/>
      <c r="R76" s="392"/>
      <c r="S76" s="64"/>
      <c r="T76" s="64"/>
      <c r="U76" s="64"/>
      <c r="V76" s="64"/>
      <c r="W76" s="64"/>
      <c r="X76" s="64"/>
      <c r="Y76" s="64"/>
      <c r="Z76" s="392"/>
      <c r="AA76" s="64"/>
      <c r="AB76" s="64"/>
      <c r="AC76" s="64"/>
      <c r="AD76" s="64"/>
      <c r="AE76" s="64"/>
      <c r="AF76" s="64"/>
      <c r="AG76" s="64"/>
      <c r="AH76" s="392"/>
      <c r="AI76" s="64"/>
      <c r="AJ76" s="64"/>
      <c r="AK76" s="64"/>
      <c r="AL76" s="64"/>
      <c r="AM76" s="64"/>
      <c r="AN76" s="64"/>
      <c r="AO76" s="64"/>
      <c r="AP76" s="392"/>
      <c r="AQ76" s="64"/>
      <c r="AR76" s="64"/>
      <c r="AS76" s="64"/>
      <c r="AT76" s="64"/>
      <c r="AU76" s="64"/>
      <c r="AV76" s="64"/>
      <c r="AW76" s="64"/>
      <c r="AX76" s="392"/>
      <c r="AY76" s="64"/>
      <c r="AZ76" s="64"/>
      <c r="BA76" s="64"/>
      <c r="BB76" s="64"/>
      <c r="BC76" s="64"/>
      <c r="BD76" s="64"/>
      <c r="BE76" s="64"/>
      <c r="BF76" s="392"/>
      <c r="BG76" s="64"/>
      <c r="BH76" s="64"/>
      <c r="BI76" s="64"/>
      <c r="BJ76" s="64"/>
      <c r="BK76" s="64"/>
      <c r="BL76" s="64"/>
      <c r="BM76" s="64"/>
      <c r="BN76" s="376"/>
      <c r="BO76" s="123"/>
      <c r="BP76" s="123"/>
      <c r="BQ76" s="123"/>
      <c r="BR76" s="123"/>
      <c r="BS76" s="123"/>
      <c r="BT76" s="123"/>
      <c r="BU76" s="123"/>
      <c r="BV76" s="392"/>
      <c r="BW76" s="64"/>
      <c r="BX76" s="64"/>
      <c r="BY76" s="64"/>
      <c r="BZ76" s="64"/>
      <c r="CA76" s="64"/>
      <c r="CB76" s="64"/>
      <c r="CC76" s="64"/>
      <c r="CD76" s="392"/>
      <c r="CE76" s="64"/>
      <c r="CF76" s="64"/>
      <c r="CG76" s="64"/>
      <c r="CH76" s="64"/>
      <c r="CI76" s="64"/>
      <c r="CJ76" s="64"/>
      <c r="CK76" s="64"/>
      <c r="CL76" s="392"/>
      <c r="CM76" s="64"/>
      <c r="CN76" s="64"/>
      <c r="CO76" s="64"/>
      <c r="CP76" s="64"/>
      <c r="CQ76" s="64"/>
      <c r="CR76" s="64"/>
      <c r="CS76" s="64"/>
      <c r="CT76" s="392"/>
      <c r="CU76" s="64"/>
      <c r="CV76" s="64"/>
      <c r="CW76" s="64"/>
      <c r="CX76" s="64"/>
      <c r="CY76" s="64"/>
      <c r="CZ76" s="64"/>
      <c r="DA76" s="64"/>
      <c r="DB76" s="380"/>
      <c r="DC76" s="64"/>
      <c r="DD76" s="64"/>
      <c r="DE76" s="64"/>
      <c r="DF76" s="64"/>
      <c r="DG76" s="64"/>
      <c r="DH76" s="64"/>
      <c r="DI76" s="64"/>
      <c r="DJ76" s="380"/>
      <c r="DK76" s="103"/>
      <c r="DL76" s="103"/>
      <c r="DM76" s="103"/>
      <c r="DN76" s="103"/>
      <c r="DO76" s="64"/>
      <c r="DP76" s="64"/>
      <c r="DQ76" s="64"/>
      <c r="DR76" s="380"/>
      <c r="DS76" s="103"/>
      <c r="DT76" s="103"/>
      <c r="DU76" s="103"/>
      <c r="DV76" s="103"/>
      <c r="DW76" s="64"/>
      <c r="DX76" s="64"/>
      <c r="DY76" s="64"/>
      <c r="DZ76" s="380"/>
      <c r="EA76" s="103"/>
      <c r="EB76" s="103"/>
      <c r="EC76" s="103"/>
      <c r="ED76" s="103"/>
      <c r="EE76" s="64"/>
      <c r="EF76" s="64"/>
      <c r="EG76" s="63"/>
      <c r="EH76" s="406"/>
    </row>
    <row r="77" spans="1:140">
      <c r="A77" s="13" t="s">
        <v>14</v>
      </c>
      <c r="B77" s="42"/>
      <c r="J77" s="369"/>
      <c r="R77" s="387">
        <v>46668</v>
      </c>
      <c r="S77" s="125">
        <f>T77-R77</f>
        <v>42634</v>
      </c>
      <c r="T77" s="150">
        <v>89302</v>
      </c>
      <c r="U77" s="125">
        <f>V77-T77</f>
        <v>36662</v>
      </c>
      <c r="V77" s="150">
        <v>125964</v>
      </c>
      <c r="W77" s="125">
        <f>Y77-V77</f>
        <v>73297</v>
      </c>
      <c r="X77" s="125">
        <f>Y77-T77</f>
        <v>109959</v>
      </c>
      <c r="Y77" s="149">
        <v>199261</v>
      </c>
      <c r="Z77" s="387">
        <v>17938</v>
      </c>
      <c r="AA77" s="125">
        <f>AB77-Z77</f>
        <v>4942</v>
      </c>
      <c r="AB77" s="149">
        <v>22880</v>
      </c>
      <c r="AC77" s="125">
        <f>AD77-AB77</f>
        <v>45599</v>
      </c>
      <c r="AD77" s="149">
        <v>68479</v>
      </c>
      <c r="AE77" s="125">
        <f>AG77-AD77</f>
        <v>81606</v>
      </c>
      <c r="AF77" s="125">
        <f>AG77-AB77</f>
        <v>127205</v>
      </c>
      <c r="AG77" s="149">
        <v>150085</v>
      </c>
      <c r="AH77" s="387">
        <v>17217</v>
      </c>
      <c r="AI77" s="125">
        <f>AJ77-AH77</f>
        <v>29117</v>
      </c>
      <c r="AJ77" s="149">
        <v>46334</v>
      </c>
      <c r="AK77" s="125">
        <f>AL77-AJ77</f>
        <v>53727</v>
      </c>
      <c r="AL77" s="149">
        <v>100061</v>
      </c>
      <c r="AM77" s="125">
        <f>AO77-AL77</f>
        <v>39001</v>
      </c>
      <c r="AN77" s="125">
        <f>AO77-AJ77</f>
        <v>92728</v>
      </c>
      <c r="AO77" s="149">
        <v>139062</v>
      </c>
      <c r="AP77" s="387">
        <v>4311</v>
      </c>
      <c r="AQ77" s="125">
        <f>AR77-AP77</f>
        <v>27991</v>
      </c>
      <c r="AR77" s="149">
        <v>32302</v>
      </c>
      <c r="AS77" s="125">
        <f>AT77-AR77</f>
        <v>30801</v>
      </c>
      <c r="AT77" s="149">
        <v>63103</v>
      </c>
      <c r="AU77" s="125">
        <f>AW77-AT77</f>
        <v>51835</v>
      </c>
      <c r="AV77" s="125">
        <f>AW77-AR77</f>
        <v>82636</v>
      </c>
      <c r="AW77" s="149">
        <v>114938</v>
      </c>
      <c r="AX77" s="387">
        <v>1153</v>
      </c>
      <c r="AY77" s="125">
        <f>AZ77-AX77</f>
        <v>29119</v>
      </c>
      <c r="AZ77" s="149">
        <v>30272</v>
      </c>
      <c r="BA77" s="125">
        <f>BB77-AZ77</f>
        <v>10542</v>
      </c>
      <c r="BB77" s="149">
        <v>40814</v>
      </c>
      <c r="BC77" s="125">
        <f>BE77-BB77</f>
        <v>102547</v>
      </c>
      <c r="BD77" s="125">
        <f>BE77-AZ77</f>
        <v>113089</v>
      </c>
      <c r="BE77" s="149">
        <v>143361</v>
      </c>
      <c r="BF77" s="376"/>
      <c r="BG77" s="123"/>
      <c r="BH77" s="123"/>
      <c r="BI77" s="123"/>
      <c r="BJ77" s="123"/>
      <c r="BK77" s="123"/>
      <c r="BL77" s="123"/>
      <c r="BM77" s="123"/>
      <c r="BN77" s="379" t="s">
        <v>491</v>
      </c>
      <c r="BO77" s="125" t="s">
        <v>491</v>
      </c>
      <c r="BP77" s="125" t="s">
        <v>491</v>
      </c>
      <c r="BQ77" s="125" t="s">
        <v>491</v>
      </c>
      <c r="BR77" s="125" t="s">
        <v>491</v>
      </c>
      <c r="BS77" s="125" t="s">
        <v>491</v>
      </c>
      <c r="BT77" s="125" t="s">
        <v>491</v>
      </c>
      <c r="BU77" s="149">
        <v>41519</v>
      </c>
      <c r="BV77" s="379" t="s">
        <v>491</v>
      </c>
      <c r="BW77" s="125" t="s">
        <v>491</v>
      </c>
      <c r="BX77" s="125" t="s">
        <v>491</v>
      </c>
      <c r="BY77" s="125" t="s">
        <v>491</v>
      </c>
      <c r="BZ77" s="125" t="s">
        <v>491</v>
      </c>
      <c r="CA77" s="125" t="s">
        <v>491</v>
      </c>
      <c r="CB77" s="125" t="s">
        <v>491</v>
      </c>
      <c r="CC77" s="149">
        <v>65769</v>
      </c>
      <c r="CD77" s="379" t="s">
        <v>491</v>
      </c>
      <c r="CE77" s="125" t="s">
        <v>491</v>
      </c>
      <c r="CF77" s="125" t="s">
        <v>491</v>
      </c>
      <c r="CG77" s="125" t="s">
        <v>491</v>
      </c>
      <c r="CH77" s="125" t="s">
        <v>491</v>
      </c>
      <c r="CI77" s="125" t="s">
        <v>491</v>
      </c>
      <c r="CJ77" s="125" t="s">
        <v>491</v>
      </c>
      <c r="CK77" s="149">
        <v>16089</v>
      </c>
      <c r="CL77" s="379" t="s">
        <v>491</v>
      </c>
      <c r="CM77" s="125" t="s">
        <v>491</v>
      </c>
      <c r="CN77" s="125" t="s">
        <v>491</v>
      </c>
      <c r="CO77" s="125" t="s">
        <v>491</v>
      </c>
      <c r="CP77" s="125" t="s">
        <v>491</v>
      </c>
      <c r="CQ77" s="125" t="s">
        <v>491</v>
      </c>
      <c r="CR77" s="125" t="s">
        <v>491</v>
      </c>
      <c r="CS77" s="149">
        <v>40004</v>
      </c>
      <c r="CT77" s="379" t="s">
        <v>491</v>
      </c>
      <c r="CU77" s="125" t="s">
        <v>491</v>
      </c>
      <c r="CV77" s="125" t="s">
        <v>491</v>
      </c>
      <c r="CW77" s="125" t="s">
        <v>491</v>
      </c>
      <c r="CX77" s="125" t="s">
        <v>491</v>
      </c>
      <c r="CY77" s="125" t="s">
        <v>491</v>
      </c>
      <c r="CZ77" s="125" t="s">
        <v>491</v>
      </c>
      <c r="DA77" s="149">
        <v>59727</v>
      </c>
      <c r="DB77" s="379" t="s">
        <v>491</v>
      </c>
      <c r="DC77" s="125" t="s">
        <v>491</v>
      </c>
      <c r="DD77" s="125" t="s">
        <v>491</v>
      </c>
      <c r="DE77" s="125" t="s">
        <v>491</v>
      </c>
      <c r="DF77" s="125" t="s">
        <v>491</v>
      </c>
      <c r="DG77" s="125" t="s">
        <v>491</v>
      </c>
      <c r="DH77" s="125" t="s">
        <v>491</v>
      </c>
      <c r="DI77" s="149">
        <v>162571</v>
      </c>
      <c r="DJ77" s="379" t="s">
        <v>491</v>
      </c>
      <c r="DK77" s="125" t="s">
        <v>491</v>
      </c>
      <c r="DL77" s="125" t="s">
        <v>491</v>
      </c>
      <c r="DM77" s="125" t="s">
        <v>491</v>
      </c>
      <c r="DN77" s="125" t="s">
        <v>491</v>
      </c>
      <c r="DO77" s="125" t="s">
        <v>491</v>
      </c>
      <c r="DP77" s="125" t="s">
        <v>491</v>
      </c>
      <c r="DQ77" s="149">
        <v>77413</v>
      </c>
      <c r="DR77" s="377">
        <v>204</v>
      </c>
      <c r="DS77" s="125" t="s">
        <v>491</v>
      </c>
      <c r="DT77" s="125" t="s">
        <v>491</v>
      </c>
      <c r="DU77" s="125" t="s">
        <v>491</v>
      </c>
      <c r="DV77" s="125" t="s">
        <v>491</v>
      </c>
      <c r="DW77" s="125"/>
      <c r="DX77" s="125"/>
      <c r="DY77" s="149"/>
      <c r="DZ77" s="377">
        <v>398</v>
      </c>
      <c r="EA77" s="125" t="s">
        <v>491</v>
      </c>
      <c r="EB77" s="125" t="s">
        <v>491</v>
      </c>
      <c r="EC77" s="125"/>
      <c r="ED77" s="125"/>
      <c r="EE77" s="125"/>
      <c r="EF77" s="125"/>
      <c r="EG77" s="152"/>
      <c r="EH77" s="406"/>
      <c r="EJ77" s="19"/>
    </row>
    <row r="78" spans="1:140">
      <c r="A78" s="107" t="s">
        <v>385</v>
      </c>
      <c r="B78" s="42"/>
      <c r="J78" s="369"/>
      <c r="R78" s="387">
        <v>804</v>
      </c>
      <c r="S78" s="125">
        <f>T78-R78</f>
        <v>1644</v>
      </c>
      <c r="T78" s="150">
        <v>2448</v>
      </c>
      <c r="U78" s="125">
        <f>V78-T78</f>
        <v>1729</v>
      </c>
      <c r="V78" s="150">
        <v>4177</v>
      </c>
      <c r="W78" s="125">
        <f>Y78-V78</f>
        <v>1598</v>
      </c>
      <c r="X78" s="125">
        <f>Y78-T78</f>
        <v>3327</v>
      </c>
      <c r="Y78" s="149">
        <v>5775</v>
      </c>
      <c r="Z78" s="387">
        <v>1202</v>
      </c>
      <c r="AA78" s="125">
        <f>AB78-Z78</f>
        <v>981</v>
      </c>
      <c r="AB78" s="149">
        <v>2183</v>
      </c>
      <c r="AC78" s="125">
        <f>AD78-AB78</f>
        <v>1098</v>
      </c>
      <c r="AD78" s="149">
        <v>3281</v>
      </c>
      <c r="AE78" s="125">
        <f>AG78-AD78</f>
        <v>2188</v>
      </c>
      <c r="AF78" s="125">
        <f>AG78-AB78</f>
        <v>3286</v>
      </c>
      <c r="AG78" s="149">
        <v>5469</v>
      </c>
      <c r="AH78" s="387">
        <v>1428</v>
      </c>
      <c r="AI78" s="125">
        <f>AJ78-AH78</f>
        <v>1298</v>
      </c>
      <c r="AJ78" s="149">
        <v>2726</v>
      </c>
      <c r="AK78" s="125">
        <f>AL78-AJ78</f>
        <v>1287</v>
      </c>
      <c r="AL78" s="149">
        <v>4013</v>
      </c>
      <c r="AM78" s="125">
        <f>AO78-AL78</f>
        <v>2155</v>
      </c>
      <c r="AN78" s="125">
        <f>AO78-AJ78</f>
        <v>3442</v>
      </c>
      <c r="AO78" s="149">
        <v>6168</v>
      </c>
      <c r="AP78" s="387">
        <v>1004</v>
      </c>
      <c r="AQ78" s="125">
        <f>AR78-AP78</f>
        <v>1334</v>
      </c>
      <c r="AR78" s="149">
        <v>2338</v>
      </c>
      <c r="AS78" s="125">
        <f>AT78-AR78</f>
        <v>1250</v>
      </c>
      <c r="AT78" s="149">
        <v>3588</v>
      </c>
      <c r="AU78" s="125">
        <f>AW78-AT78</f>
        <v>2469</v>
      </c>
      <c r="AV78" s="125">
        <f>AW78-AR78</f>
        <v>3719</v>
      </c>
      <c r="AW78" s="149">
        <v>6057</v>
      </c>
      <c r="AX78" s="387">
        <v>1417</v>
      </c>
      <c r="AY78" s="125">
        <f>AZ78-AX78</f>
        <v>2213</v>
      </c>
      <c r="AZ78" s="149">
        <v>3630</v>
      </c>
      <c r="BA78" s="125">
        <f>BB78-AZ78</f>
        <v>1099</v>
      </c>
      <c r="BB78" s="149">
        <v>4729</v>
      </c>
      <c r="BC78" s="125">
        <f>BE78-BB78</f>
        <v>1815</v>
      </c>
      <c r="BD78" s="125">
        <f>BE78-AZ78</f>
        <v>2914</v>
      </c>
      <c r="BE78" s="149">
        <v>6544</v>
      </c>
      <c r="BF78" s="376"/>
      <c r="BG78" s="123"/>
      <c r="BH78" s="123"/>
      <c r="BI78" s="123"/>
      <c r="BJ78" s="123"/>
      <c r="BK78" s="123"/>
      <c r="BL78" s="123"/>
      <c r="BM78" s="123"/>
      <c r="BN78" s="387">
        <v>1288</v>
      </c>
      <c r="BO78" s="125">
        <f>BP78-BN78</f>
        <v>780</v>
      </c>
      <c r="BP78" s="149">
        <v>2068</v>
      </c>
      <c r="BQ78" s="125">
        <f>BR78-BP78</f>
        <v>1455</v>
      </c>
      <c r="BR78" s="149">
        <v>3523</v>
      </c>
      <c r="BS78" s="125">
        <f>BU78-BR78</f>
        <v>2816</v>
      </c>
      <c r="BT78" s="125">
        <f>BU78-BP78</f>
        <v>4271</v>
      </c>
      <c r="BU78" s="149">
        <v>6339</v>
      </c>
      <c r="BV78" s="379" t="s">
        <v>491</v>
      </c>
      <c r="BW78" s="125" t="s">
        <v>491</v>
      </c>
      <c r="BX78" s="125" t="s">
        <v>491</v>
      </c>
      <c r="BY78" s="125" t="s">
        <v>491</v>
      </c>
      <c r="BZ78" s="125" t="s">
        <v>491</v>
      </c>
      <c r="CA78" s="125" t="s">
        <v>491</v>
      </c>
      <c r="CB78" s="125" t="s">
        <v>491</v>
      </c>
      <c r="CC78" s="149">
        <v>7179</v>
      </c>
      <c r="CD78" s="379" t="s">
        <v>491</v>
      </c>
      <c r="CE78" s="125" t="s">
        <v>491</v>
      </c>
      <c r="CF78" s="125" t="s">
        <v>491</v>
      </c>
      <c r="CG78" s="125" t="s">
        <v>491</v>
      </c>
      <c r="CH78" s="125" t="s">
        <v>491</v>
      </c>
      <c r="CI78" s="125" t="s">
        <v>491</v>
      </c>
      <c r="CJ78" s="125" t="s">
        <v>491</v>
      </c>
      <c r="CK78" s="149">
        <v>5519</v>
      </c>
      <c r="CL78" s="379" t="s">
        <v>491</v>
      </c>
      <c r="CM78" s="125" t="s">
        <v>491</v>
      </c>
      <c r="CN78" s="125" t="s">
        <v>491</v>
      </c>
      <c r="CO78" s="125" t="s">
        <v>491</v>
      </c>
      <c r="CP78" s="125" t="s">
        <v>491</v>
      </c>
      <c r="CQ78" s="125" t="s">
        <v>491</v>
      </c>
      <c r="CR78" s="125" t="s">
        <v>491</v>
      </c>
      <c r="CS78" s="149">
        <v>8552</v>
      </c>
      <c r="CT78" s="379" t="s">
        <v>491</v>
      </c>
      <c r="CU78" s="125" t="s">
        <v>491</v>
      </c>
      <c r="CV78" s="125" t="s">
        <v>491</v>
      </c>
      <c r="CW78" s="125" t="s">
        <v>491</v>
      </c>
      <c r="CX78" s="125" t="s">
        <v>491</v>
      </c>
      <c r="CY78" s="125" t="s">
        <v>491</v>
      </c>
      <c r="CZ78" s="125" t="s">
        <v>491</v>
      </c>
      <c r="DA78" s="149">
        <v>9338</v>
      </c>
      <c r="DB78" s="379" t="s">
        <v>491</v>
      </c>
      <c r="DC78" s="125" t="s">
        <v>491</v>
      </c>
      <c r="DD78" s="125" t="s">
        <v>491</v>
      </c>
      <c r="DE78" s="125" t="s">
        <v>491</v>
      </c>
      <c r="DF78" s="125" t="s">
        <v>491</v>
      </c>
      <c r="DG78" s="125" t="s">
        <v>491</v>
      </c>
      <c r="DH78" s="125" t="s">
        <v>491</v>
      </c>
      <c r="DI78" s="149">
        <v>8597</v>
      </c>
      <c r="DJ78" s="379" t="s">
        <v>491</v>
      </c>
      <c r="DK78" s="125" t="s">
        <v>491</v>
      </c>
      <c r="DL78" s="125" t="s">
        <v>491</v>
      </c>
      <c r="DM78" s="125" t="s">
        <v>491</v>
      </c>
      <c r="DN78" s="125" t="s">
        <v>491</v>
      </c>
      <c r="DO78" s="125" t="s">
        <v>491</v>
      </c>
      <c r="DP78" s="125" t="s">
        <v>491</v>
      </c>
      <c r="DQ78" s="149">
        <v>10071</v>
      </c>
      <c r="DR78" s="377">
        <v>100</v>
      </c>
      <c r="DS78" s="125" t="s">
        <v>491</v>
      </c>
      <c r="DT78" s="125" t="s">
        <v>491</v>
      </c>
      <c r="DU78" s="125" t="s">
        <v>491</v>
      </c>
      <c r="DV78" s="125" t="s">
        <v>491</v>
      </c>
      <c r="DW78" s="125"/>
      <c r="DX78" s="125"/>
      <c r="DY78" s="149"/>
      <c r="DZ78" s="377">
        <v>79</v>
      </c>
      <c r="EA78" s="125" t="s">
        <v>491</v>
      </c>
      <c r="EB78" s="125" t="s">
        <v>491</v>
      </c>
      <c r="EC78" s="125"/>
      <c r="ED78" s="125"/>
      <c r="EE78" s="125"/>
      <c r="EF78" s="125"/>
      <c r="EG78" s="152"/>
      <c r="EH78" s="406"/>
    </row>
    <row r="79" spans="1:140">
      <c r="A79" s="13" t="s">
        <v>384</v>
      </c>
      <c r="B79" s="42"/>
      <c r="J79" s="369"/>
      <c r="R79" s="387">
        <v>2160</v>
      </c>
      <c r="S79" s="125">
        <f>T79-R79</f>
        <v>1788</v>
      </c>
      <c r="T79" s="150">
        <v>3948</v>
      </c>
      <c r="U79" s="125">
        <f>V79-T79</f>
        <v>3172</v>
      </c>
      <c r="V79" s="150">
        <v>7120</v>
      </c>
      <c r="W79" s="125">
        <f>Y79-V79</f>
        <v>4688</v>
      </c>
      <c r="X79" s="125">
        <f>Y79-T79</f>
        <v>7860</v>
      </c>
      <c r="Y79" s="149">
        <v>11808</v>
      </c>
      <c r="Z79" s="387">
        <v>2068</v>
      </c>
      <c r="AA79" s="125">
        <f>AB79-Z79</f>
        <v>1763</v>
      </c>
      <c r="AB79" s="149">
        <v>3831</v>
      </c>
      <c r="AC79" s="125">
        <f>AD79-AB79</f>
        <v>4396</v>
      </c>
      <c r="AD79" s="149">
        <v>8227</v>
      </c>
      <c r="AE79" s="125">
        <f>AG79-AD79</f>
        <v>3998</v>
      </c>
      <c r="AF79" s="125">
        <f>AG79-AB79</f>
        <v>8394</v>
      </c>
      <c r="AG79" s="149">
        <v>12225</v>
      </c>
      <c r="AH79" s="387">
        <v>2390</v>
      </c>
      <c r="AI79" s="125">
        <f>AJ79-AH79</f>
        <v>2981</v>
      </c>
      <c r="AJ79" s="149">
        <v>5371</v>
      </c>
      <c r="AK79" s="125">
        <f>AL79-AJ79</f>
        <v>3112</v>
      </c>
      <c r="AL79" s="149">
        <v>8483</v>
      </c>
      <c r="AM79" s="125">
        <f>AO79-AL79</f>
        <v>5957</v>
      </c>
      <c r="AN79" s="125">
        <f>AO79-AJ79</f>
        <v>9069</v>
      </c>
      <c r="AO79" s="149">
        <v>14440</v>
      </c>
      <c r="AP79" s="387">
        <v>2515</v>
      </c>
      <c r="AQ79" s="125">
        <f>AR79-AP79</f>
        <v>2674</v>
      </c>
      <c r="AR79" s="149">
        <v>5189</v>
      </c>
      <c r="AS79" s="125">
        <f>AT79-AR79</f>
        <v>3000</v>
      </c>
      <c r="AT79" s="149">
        <v>8189</v>
      </c>
      <c r="AU79" s="125">
        <f>AW79-AT79</f>
        <v>7204</v>
      </c>
      <c r="AV79" s="125">
        <f>AW79-AR79</f>
        <v>10204</v>
      </c>
      <c r="AW79" s="149">
        <v>15393</v>
      </c>
      <c r="AX79" s="387">
        <v>1521</v>
      </c>
      <c r="AY79" s="125">
        <f>AZ79-AX79</f>
        <v>2095</v>
      </c>
      <c r="AZ79" s="149">
        <v>3616</v>
      </c>
      <c r="BA79" s="125">
        <f>BB79-AZ79</f>
        <v>2098</v>
      </c>
      <c r="BB79" s="149">
        <v>5714</v>
      </c>
      <c r="BC79" s="125">
        <f>BE79-BB79</f>
        <v>3179</v>
      </c>
      <c r="BD79" s="125">
        <f>BE79-AZ79</f>
        <v>5277</v>
      </c>
      <c r="BE79" s="149">
        <v>8893</v>
      </c>
      <c r="BF79" s="376"/>
      <c r="BG79" s="123"/>
      <c r="BH79" s="123"/>
      <c r="BI79" s="123"/>
      <c r="BJ79" s="123"/>
      <c r="BK79" s="123"/>
      <c r="BL79" s="123"/>
      <c r="BM79" s="123"/>
      <c r="BN79" s="387">
        <v>1581</v>
      </c>
      <c r="BO79" s="125">
        <f>BP79-BN79</f>
        <v>1603</v>
      </c>
      <c r="BP79" s="149">
        <v>3184</v>
      </c>
      <c r="BQ79" s="125">
        <f>BR79-BP79</f>
        <v>1804</v>
      </c>
      <c r="BR79" s="149">
        <v>4988</v>
      </c>
      <c r="BS79" s="125">
        <f>BU79-BR79</f>
        <v>3453</v>
      </c>
      <c r="BT79" s="125">
        <f>BU79-BP79</f>
        <v>5257</v>
      </c>
      <c r="BU79" s="149">
        <v>8441</v>
      </c>
      <c r="BV79" s="387">
        <v>1074</v>
      </c>
      <c r="BW79" s="125">
        <f>BX79-BV79</f>
        <v>3146</v>
      </c>
      <c r="BX79" s="149">
        <v>4220</v>
      </c>
      <c r="BY79" s="125">
        <f>BZ79-BX79</f>
        <v>1844</v>
      </c>
      <c r="BZ79" s="149">
        <v>6064</v>
      </c>
      <c r="CA79" s="125">
        <f>CC79-BZ79</f>
        <v>2456</v>
      </c>
      <c r="CB79" s="125">
        <f>CC79-BX79</f>
        <v>4300</v>
      </c>
      <c r="CC79" s="149">
        <v>8520</v>
      </c>
      <c r="CD79" s="387">
        <v>1734</v>
      </c>
      <c r="CE79" s="125">
        <f>CF79-CD79</f>
        <v>3854</v>
      </c>
      <c r="CF79" s="149">
        <v>5588</v>
      </c>
      <c r="CG79" s="125">
        <f>CH79-CF79</f>
        <v>2626</v>
      </c>
      <c r="CH79" s="149">
        <v>8214</v>
      </c>
      <c r="CI79" s="125">
        <f>CK79-CH79</f>
        <v>3648</v>
      </c>
      <c r="CJ79" s="125">
        <f>CK79-CF79</f>
        <v>6274</v>
      </c>
      <c r="CK79" s="149">
        <v>11862</v>
      </c>
      <c r="CL79" s="387">
        <v>1962</v>
      </c>
      <c r="CM79" s="125">
        <f>CN79-CL79</f>
        <v>1548</v>
      </c>
      <c r="CN79" s="149">
        <v>3510</v>
      </c>
      <c r="CO79" s="125">
        <f>CP79-CN79</f>
        <v>6624</v>
      </c>
      <c r="CP79" s="149">
        <v>10134</v>
      </c>
      <c r="CQ79" s="125">
        <f>CS79-CP79</f>
        <v>3522</v>
      </c>
      <c r="CR79" s="125">
        <f>CS79-CN79</f>
        <v>10146</v>
      </c>
      <c r="CS79" s="149">
        <v>13656</v>
      </c>
      <c r="CT79" s="387">
        <v>3211</v>
      </c>
      <c r="CU79" s="125">
        <f>CV79-CT79</f>
        <v>3323</v>
      </c>
      <c r="CV79" s="149">
        <v>6534</v>
      </c>
      <c r="CW79" s="125">
        <f>CX79-CV79</f>
        <v>1457</v>
      </c>
      <c r="CX79" s="149">
        <v>7991</v>
      </c>
      <c r="CY79" s="125">
        <f>DA79-CX79</f>
        <v>5669</v>
      </c>
      <c r="CZ79" s="125">
        <f>DA79-CV79</f>
        <v>7126</v>
      </c>
      <c r="DA79" s="149">
        <v>13660</v>
      </c>
      <c r="DB79" s="377">
        <v>2521</v>
      </c>
      <c r="DC79" s="125">
        <f>DD79-DB79</f>
        <v>3517</v>
      </c>
      <c r="DD79" s="149">
        <v>6038</v>
      </c>
      <c r="DE79" s="125">
        <f>DF79-DD79</f>
        <v>2431</v>
      </c>
      <c r="DF79" s="149">
        <v>8469</v>
      </c>
      <c r="DG79" s="125">
        <f>DI79-DF79</f>
        <v>7232</v>
      </c>
      <c r="DH79" s="125">
        <f>DI79-DD79</f>
        <v>9663</v>
      </c>
      <c r="DI79" s="149">
        <v>15701</v>
      </c>
      <c r="DJ79" s="377">
        <v>1994</v>
      </c>
      <c r="DK79" s="125">
        <f>DL79-DJ79</f>
        <v>4065</v>
      </c>
      <c r="DL79" s="149">
        <v>6059</v>
      </c>
      <c r="DM79" s="125">
        <f>DN79-DL79</f>
        <v>4912</v>
      </c>
      <c r="DN79" s="150">
        <v>10971</v>
      </c>
      <c r="DO79" s="125">
        <f>DQ79-DN79</f>
        <v>5739</v>
      </c>
      <c r="DP79" s="125">
        <f>DQ79-DL79</f>
        <v>10651</v>
      </c>
      <c r="DQ79" s="149">
        <v>16710</v>
      </c>
      <c r="DR79" s="377">
        <v>2592</v>
      </c>
      <c r="DS79" s="125">
        <f>DT79-DR79</f>
        <v>2492</v>
      </c>
      <c r="DT79" s="149">
        <v>5084</v>
      </c>
      <c r="DU79" s="125">
        <f>DV79-DT79</f>
        <v>1669</v>
      </c>
      <c r="DV79" s="150">
        <v>6753</v>
      </c>
      <c r="DW79" s="125"/>
      <c r="DX79" s="125"/>
      <c r="DY79" s="149"/>
      <c r="DZ79" s="377">
        <v>4957</v>
      </c>
      <c r="EA79" s="125">
        <v>4336</v>
      </c>
      <c r="EB79" s="149">
        <v>9293</v>
      </c>
      <c r="EC79" s="125"/>
      <c r="ED79" s="150"/>
      <c r="EE79" s="125"/>
      <c r="EF79" s="125"/>
      <c r="EG79" s="152"/>
      <c r="EH79" s="406"/>
      <c r="EJ79" s="19"/>
    </row>
    <row r="80" spans="1:140">
      <c r="A80" s="107" t="s">
        <v>388</v>
      </c>
      <c r="B80" s="42"/>
      <c r="J80" s="369"/>
      <c r="R80" s="387">
        <v>-87</v>
      </c>
      <c r="S80" s="125">
        <f>T80-R80</f>
        <v>-50</v>
      </c>
      <c r="T80" s="150">
        <v>-137</v>
      </c>
      <c r="U80" s="125">
        <f>V80-T80</f>
        <v>-157</v>
      </c>
      <c r="V80" s="150">
        <v>-294</v>
      </c>
      <c r="W80" s="125">
        <f>Y80-V80</f>
        <v>-132</v>
      </c>
      <c r="X80" s="125">
        <f>Y80-T80</f>
        <v>-289</v>
      </c>
      <c r="Y80" s="149">
        <v>-426</v>
      </c>
      <c r="Z80" s="387">
        <v>-107</v>
      </c>
      <c r="AA80" s="125">
        <f>AB80-Z80</f>
        <v>-1079</v>
      </c>
      <c r="AB80" s="149">
        <v>-1186</v>
      </c>
      <c r="AC80" s="125">
        <f>AD80-AB80</f>
        <v>-105</v>
      </c>
      <c r="AD80" s="149">
        <v>-1291</v>
      </c>
      <c r="AE80" s="125">
        <f>AG80-AD80</f>
        <v>-58</v>
      </c>
      <c r="AF80" s="125">
        <f>AG80-AB80</f>
        <v>-163</v>
      </c>
      <c r="AG80" s="149">
        <v>-1349</v>
      </c>
      <c r="AH80" s="387">
        <v>-41</v>
      </c>
      <c r="AI80" s="125">
        <f>AJ80-AH80</f>
        <v>-471</v>
      </c>
      <c r="AJ80" s="149">
        <v>-512</v>
      </c>
      <c r="AK80" s="125">
        <f>AL80-AJ80</f>
        <v>-122</v>
      </c>
      <c r="AL80" s="149">
        <v>-634</v>
      </c>
      <c r="AM80" s="125">
        <f>AO80-AL80</f>
        <v>-69</v>
      </c>
      <c r="AN80" s="125">
        <f>AO80-AJ80</f>
        <v>-191</v>
      </c>
      <c r="AO80" s="149">
        <v>-703</v>
      </c>
      <c r="AP80" s="387">
        <v>-585</v>
      </c>
      <c r="AQ80" s="125">
        <f>AR80-AP80</f>
        <v>-109</v>
      </c>
      <c r="AR80" s="149">
        <v>-694</v>
      </c>
      <c r="AS80" s="125">
        <f>AT80-AR80</f>
        <v>-968</v>
      </c>
      <c r="AT80" s="149">
        <v>-1662</v>
      </c>
      <c r="AU80" s="125">
        <f>AW80-AT80</f>
        <v>-246</v>
      </c>
      <c r="AV80" s="125">
        <f>AW80-AR80</f>
        <v>-1214</v>
      </c>
      <c r="AW80" s="149">
        <v>-1908</v>
      </c>
      <c r="AX80" s="387">
        <v>-268</v>
      </c>
      <c r="AY80" s="125">
        <f>AZ80-AX80</f>
        <v>-86</v>
      </c>
      <c r="AZ80" s="149">
        <v>-354</v>
      </c>
      <c r="BA80" s="125">
        <f>BB80-AZ80</f>
        <v>-113</v>
      </c>
      <c r="BB80" s="149">
        <v>-467</v>
      </c>
      <c r="BC80" s="125">
        <f>BE80-BB80</f>
        <v>-641</v>
      </c>
      <c r="BD80" s="125">
        <f>BE80-AZ80</f>
        <v>-754</v>
      </c>
      <c r="BE80" s="149">
        <v>-1108</v>
      </c>
      <c r="BF80" s="376"/>
      <c r="BG80" s="123"/>
      <c r="BH80" s="123"/>
      <c r="BI80" s="123"/>
      <c r="BJ80" s="123"/>
      <c r="BK80" s="123"/>
      <c r="BL80" s="123"/>
      <c r="BM80" s="441"/>
      <c r="BN80" s="379"/>
      <c r="BO80" s="125"/>
      <c r="BP80" s="125"/>
      <c r="BQ80" s="125"/>
      <c r="BR80" s="125"/>
      <c r="BS80" s="125"/>
      <c r="BT80" s="125"/>
      <c r="BU80" s="438"/>
      <c r="BV80" s="379" t="s">
        <v>491</v>
      </c>
      <c r="BW80" s="125" t="s">
        <v>491</v>
      </c>
      <c r="BX80" s="125" t="s">
        <v>491</v>
      </c>
      <c r="BY80" s="125" t="s">
        <v>491</v>
      </c>
      <c r="BZ80" s="125" t="s">
        <v>491</v>
      </c>
      <c r="CA80" s="125" t="s">
        <v>491</v>
      </c>
      <c r="CB80" s="125" t="s">
        <v>491</v>
      </c>
      <c r="CC80" s="125" t="s">
        <v>491</v>
      </c>
      <c r="CD80" s="379" t="s">
        <v>491</v>
      </c>
      <c r="CE80" s="125" t="s">
        <v>491</v>
      </c>
      <c r="CF80" s="125" t="s">
        <v>491</v>
      </c>
      <c r="CG80" s="125" t="s">
        <v>491</v>
      </c>
      <c r="CH80" s="125" t="s">
        <v>491</v>
      </c>
      <c r="CI80" s="125" t="s">
        <v>491</v>
      </c>
      <c r="CJ80" s="125" t="s">
        <v>491</v>
      </c>
      <c r="CK80" s="125" t="s">
        <v>491</v>
      </c>
      <c r="CL80" s="379" t="s">
        <v>491</v>
      </c>
      <c r="CM80" s="125" t="s">
        <v>491</v>
      </c>
      <c r="CN80" s="125" t="s">
        <v>491</v>
      </c>
      <c r="CO80" s="125" t="s">
        <v>491</v>
      </c>
      <c r="CP80" s="125" t="s">
        <v>491</v>
      </c>
      <c r="CQ80" s="125" t="s">
        <v>491</v>
      </c>
      <c r="CR80" s="125" t="s">
        <v>491</v>
      </c>
      <c r="CS80" s="125" t="s">
        <v>491</v>
      </c>
      <c r="CT80" s="379" t="s">
        <v>491</v>
      </c>
      <c r="CU80" s="125" t="s">
        <v>491</v>
      </c>
      <c r="CV80" s="125" t="s">
        <v>491</v>
      </c>
      <c r="CW80" s="125" t="s">
        <v>491</v>
      </c>
      <c r="CX80" s="125" t="s">
        <v>491</v>
      </c>
      <c r="CY80" s="125" t="s">
        <v>491</v>
      </c>
      <c r="CZ80" s="125" t="s">
        <v>491</v>
      </c>
      <c r="DA80" s="125" t="s">
        <v>491</v>
      </c>
      <c r="DB80" s="379" t="s">
        <v>491</v>
      </c>
      <c r="DC80" s="125" t="s">
        <v>491</v>
      </c>
      <c r="DD80" s="125" t="s">
        <v>491</v>
      </c>
      <c r="DE80" s="125" t="s">
        <v>491</v>
      </c>
      <c r="DF80" s="125" t="s">
        <v>491</v>
      </c>
      <c r="DG80" s="125" t="s">
        <v>491</v>
      </c>
      <c r="DH80" s="125" t="s">
        <v>491</v>
      </c>
      <c r="DI80" s="125" t="s">
        <v>491</v>
      </c>
      <c r="DJ80" s="379" t="s">
        <v>491</v>
      </c>
      <c r="DK80" s="125" t="s">
        <v>491</v>
      </c>
      <c r="DL80" s="125" t="s">
        <v>491</v>
      </c>
      <c r="DM80" s="125" t="s">
        <v>491</v>
      </c>
      <c r="DN80" s="125" t="s">
        <v>491</v>
      </c>
      <c r="DO80" s="125" t="s">
        <v>491</v>
      </c>
      <c r="DP80" s="125" t="s">
        <v>491</v>
      </c>
      <c r="DQ80" s="125" t="s">
        <v>491</v>
      </c>
      <c r="DR80" s="379" t="s">
        <v>491</v>
      </c>
      <c r="DS80" s="125"/>
      <c r="DT80" s="125"/>
      <c r="DU80" s="125"/>
      <c r="DV80" s="125"/>
      <c r="DW80" s="125"/>
      <c r="DX80" s="125"/>
      <c r="DY80" s="125"/>
      <c r="DZ80" s="379"/>
      <c r="EA80" s="125"/>
      <c r="EB80" s="125"/>
      <c r="EC80" s="125"/>
      <c r="ED80" s="125"/>
      <c r="EE80" s="125"/>
      <c r="EF80" s="125"/>
      <c r="EG80" s="480"/>
      <c r="EH80" s="406"/>
    </row>
    <row r="81" spans="1:140">
      <c r="A81" s="37" t="s">
        <v>225</v>
      </c>
      <c r="B81" s="91"/>
      <c r="C81" s="68"/>
      <c r="D81" s="68"/>
      <c r="E81" s="68"/>
      <c r="F81" s="68"/>
      <c r="G81" s="68"/>
      <c r="H81" s="68"/>
      <c r="I81" s="68"/>
      <c r="J81" s="468"/>
      <c r="K81" s="68"/>
      <c r="L81" s="68"/>
      <c r="M81" s="68"/>
      <c r="N81" s="68"/>
      <c r="O81" s="68"/>
      <c r="P81" s="68"/>
      <c r="Q81" s="68"/>
      <c r="R81" s="384">
        <f>SUM(R77:R80)</f>
        <v>49545</v>
      </c>
      <c r="S81" s="127">
        <f>T81-R81</f>
        <v>46016</v>
      </c>
      <c r="T81" s="127">
        <f>SUM(T77:T80)</f>
        <v>95561</v>
      </c>
      <c r="U81" s="127">
        <f>V81-T81</f>
        <v>41406</v>
      </c>
      <c r="V81" s="127">
        <f>SUM(V77:V80)</f>
        <v>136967</v>
      </c>
      <c r="W81" s="127">
        <f>Y81-V81</f>
        <v>79451</v>
      </c>
      <c r="X81" s="127">
        <f>Y81-T81</f>
        <v>120857</v>
      </c>
      <c r="Y81" s="127">
        <f>SUM(Y77:Y80)</f>
        <v>216418</v>
      </c>
      <c r="Z81" s="467">
        <v>21101</v>
      </c>
      <c r="AA81" s="324">
        <f>SUM(AA77:AA80)</f>
        <v>6607</v>
      </c>
      <c r="AB81" s="324">
        <f>SUM(AB77:AB80)</f>
        <v>27708</v>
      </c>
      <c r="AC81" s="324">
        <f t="shared" ref="AC81:BE81" si="300">SUM(AC77:AC80)</f>
        <v>50988</v>
      </c>
      <c r="AD81" s="324">
        <f t="shared" si="300"/>
        <v>78696</v>
      </c>
      <c r="AE81" s="324">
        <f t="shared" si="300"/>
        <v>87734</v>
      </c>
      <c r="AF81" s="324">
        <f t="shared" si="300"/>
        <v>138722</v>
      </c>
      <c r="AG81" s="324">
        <f t="shared" si="300"/>
        <v>166430</v>
      </c>
      <c r="AH81" s="326">
        <f t="shared" si="300"/>
        <v>20994</v>
      </c>
      <c r="AI81" s="324">
        <f t="shared" si="300"/>
        <v>32925</v>
      </c>
      <c r="AJ81" s="324">
        <f t="shared" si="300"/>
        <v>53919</v>
      </c>
      <c r="AK81" s="324">
        <f t="shared" si="300"/>
        <v>58004</v>
      </c>
      <c r="AL81" s="324">
        <f t="shared" si="300"/>
        <v>111923</v>
      </c>
      <c r="AM81" s="324">
        <f t="shared" si="300"/>
        <v>47044</v>
      </c>
      <c r="AN81" s="324">
        <f t="shared" si="300"/>
        <v>105048</v>
      </c>
      <c r="AO81" s="324">
        <f t="shared" si="300"/>
        <v>158967</v>
      </c>
      <c r="AP81" s="326">
        <f t="shared" si="300"/>
        <v>7245</v>
      </c>
      <c r="AQ81" s="324">
        <f t="shared" si="300"/>
        <v>31890</v>
      </c>
      <c r="AR81" s="324">
        <f t="shared" si="300"/>
        <v>39135</v>
      </c>
      <c r="AS81" s="324">
        <f t="shared" si="300"/>
        <v>34083</v>
      </c>
      <c r="AT81" s="324">
        <f t="shared" si="300"/>
        <v>73218</v>
      </c>
      <c r="AU81" s="324">
        <f t="shared" si="300"/>
        <v>61262</v>
      </c>
      <c r="AV81" s="324">
        <f t="shared" si="300"/>
        <v>95345</v>
      </c>
      <c r="AW81" s="324">
        <f t="shared" si="300"/>
        <v>134480</v>
      </c>
      <c r="AX81" s="326">
        <f t="shared" si="300"/>
        <v>3823</v>
      </c>
      <c r="AY81" s="324">
        <f t="shared" si="300"/>
        <v>33341</v>
      </c>
      <c r="AZ81" s="324">
        <f t="shared" si="300"/>
        <v>37164</v>
      </c>
      <c r="BA81" s="324">
        <f t="shared" si="300"/>
        <v>13626</v>
      </c>
      <c r="BB81" s="324">
        <f t="shared" si="300"/>
        <v>50790</v>
      </c>
      <c r="BC81" s="324">
        <f t="shared" si="300"/>
        <v>106900</v>
      </c>
      <c r="BD81" s="324">
        <f t="shared" si="300"/>
        <v>120526</v>
      </c>
      <c r="BE81" s="324">
        <f t="shared" si="300"/>
        <v>157690</v>
      </c>
      <c r="BF81" s="384"/>
      <c r="BG81" s="127"/>
      <c r="BH81" s="127"/>
      <c r="BI81" s="127"/>
      <c r="BJ81" s="127"/>
      <c r="BK81" s="127"/>
      <c r="BL81" s="127"/>
      <c r="BM81" s="127"/>
      <c r="BN81" s="326">
        <f t="shared" ref="BN81:DD81" si="301">SUM(BN77:BN80)</f>
        <v>2869</v>
      </c>
      <c r="BO81" s="324">
        <f t="shared" si="301"/>
        <v>2383</v>
      </c>
      <c r="BP81" s="324">
        <f t="shared" si="301"/>
        <v>5252</v>
      </c>
      <c r="BQ81" s="324">
        <f t="shared" si="301"/>
        <v>3259</v>
      </c>
      <c r="BR81" s="324">
        <f t="shared" si="301"/>
        <v>8511</v>
      </c>
      <c r="BS81" s="324">
        <f t="shared" si="301"/>
        <v>6269</v>
      </c>
      <c r="BT81" s="324">
        <f t="shared" si="301"/>
        <v>9528</v>
      </c>
      <c r="BU81" s="324">
        <f t="shared" si="301"/>
        <v>56299</v>
      </c>
      <c r="BV81" s="326">
        <f t="shared" si="301"/>
        <v>1074</v>
      </c>
      <c r="BW81" s="324">
        <f t="shared" si="301"/>
        <v>3146</v>
      </c>
      <c r="BX81" s="324">
        <f t="shared" si="301"/>
        <v>4220</v>
      </c>
      <c r="BY81" s="324">
        <f t="shared" si="301"/>
        <v>1844</v>
      </c>
      <c r="BZ81" s="324">
        <f t="shared" si="301"/>
        <v>6064</v>
      </c>
      <c r="CA81" s="324">
        <f t="shared" si="301"/>
        <v>2456</v>
      </c>
      <c r="CB81" s="324">
        <f t="shared" si="301"/>
        <v>4300</v>
      </c>
      <c r="CC81" s="324">
        <f t="shared" si="301"/>
        <v>81468</v>
      </c>
      <c r="CD81" s="326">
        <f t="shared" si="301"/>
        <v>1734</v>
      </c>
      <c r="CE81" s="324">
        <f t="shared" si="301"/>
        <v>3854</v>
      </c>
      <c r="CF81" s="324">
        <f t="shared" si="301"/>
        <v>5588</v>
      </c>
      <c r="CG81" s="324">
        <f t="shared" si="301"/>
        <v>2626</v>
      </c>
      <c r="CH81" s="324">
        <f t="shared" si="301"/>
        <v>8214</v>
      </c>
      <c r="CI81" s="324">
        <f t="shared" si="301"/>
        <v>3648</v>
      </c>
      <c r="CJ81" s="324">
        <f t="shared" si="301"/>
        <v>6274</v>
      </c>
      <c r="CK81" s="324">
        <f t="shared" si="301"/>
        <v>33470</v>
      </c>
      <c r="CL81" s="326">
        <f t="shared" si="301"/>
        <v>1962</v>
      </c>
      <c r="CM81" s="324">
        <f t="shared" si="301"/>
        <v>1548</v>
      </c>
      <c r="CN81" s="324">
        <f t="shared" si="301"/>
        <v>3510</v>
      </c>
      <c r="CO81" s="324">
        <f t="shared" si="301"/>
        <v>6624</v>
      </c>
      <c r="CP81" s="324">
        <f t="shared" si="301"/>
        <v>10134</v>
      </c>
      <c r="CQ81" s="324">
        <f t="shared" si="301"/>
        <v>3522</v>
      </c>
      <c r="CR81" s="324">
        <f t="shared" si="301"/>
        <v>10146</v>
      </c>
      <c r="CS81" s="324">
        <f t="shared" si="301"/>
        <v>62212</v>
      </c>
      <c r="CT81" s="326">
        <f t="shared" si="301"/>
        <v>3211</v>
      </c>
      <c r="CU81" s="324">
        <f t="shared" si="301"/>
        <v>3323</v>
      </c>
      <c r="CV81" s="324">
        <f t="shared" si="301"/>
        <v>6534</v>
      </c>
      <c r="CW81" s="324">
        <f t="shared" si="301"/>
        <v>1457</v>
      </c>
      <c r="CX81" s="324">
        <f t="shared" si="301"/>
        <v>7991</v>
      </c>
      <c r="CY81" s="324">
        <f t="shared" si="301"/>
        <v>5669</v>
      </c>
      <c r="CZ81" s="324">
        <f t="shared" si="301"/>
        <v>7126</v>
      </c>
      <c r="DA81" s="324">
        <f t="shared" si="301"/>
        <v>82725</v>
      </c>
      <c r="DB81" s="326">
        <f t="shared" si="301"/>
        <v>2521</v>
      </c>
      <c r="DC81" s="324">
        <f>SUM(DC77:DC80)</f>
        <v>3517</v>
      </c>
      <c r="DD81" s="324">
        <f t="shared" si="301"/>
        <v>6038</v>
      </c>
      <c r="DE81" s="324">
        <f>SUM(DE77:DE80)</f>
        <v>2431</v>
      </c>
      <c r="DF81" s="324">
        <f t="shared" ref="DF81:DV81" si="302">SUM(DF77:DF80)</f>
        <v>8469</v>
      </c>
      <c r="DG81" s="324">
        <f t="shared" si="302"/>
        <v>7232</v>
      </c>
      <c r="DH81" s="324">
        <f t="shared" si="302"/>
        <v>9663</v>
      </c>
      <c r="DI81" s="324">
        <f t="shared" si="302"/>
        <v>186869</v>
      </c>
      <c r="DJ81" s="326">
        <f t="shared" si="302"/>
        <v>1994</v>
      </c>
      <c r="DK81" s="324">
        <f t="shared" si="302"/>
        <v>4065</v>
      </c>
      <c r="DL81" s="324">
        <f t="shared" si="302"/>
        <v>6059</v>
      </c>
      <c r="DM81" s="324">
        <f>DN81-DL81</f>
        <v>4912</v>
      </c>
      <c r="DN81" s="324">
        <f t="shared" si="302"/>
        <v>10971</v>
      </c>
      <c r="DO81" s="324">
        <f t="shared" si="302"/>
        <v>5739</v>
      </c>
      <c r="DP81" s="324">
        <f t="shared" si="302"/>
        <v>10651</v>
      </c>
      <c r="DQ81" s="324">
        <f t="shared" si="302"/>
        <v>104194</v>
      </c>
      <c r="DR81" s="326">
        <f>SUM(DR77:DR80)</f>
        <v>2896</v>
      </c>
      <c r="DS81" s="324">
        <f t="shared" si="302"/>
        <v>2492</v>
      </c>
      <c r="DT81" s="324">
        <f t="shared" si="302"/>
        <v>5084</v>
      </c>
      <c r="DU81" s="324">
        <f t="shared" si="302"/>
        <v>1669</v>
      </c>
      <c r="DV81" s="324">
        <f t="shared" si="302"/>
        <v>6753</v>
      </c>
      <c r="DW81" s="324"/>
      <c r="DX81" s="324"/>
      <c r="DY81" s="324"/>
      <c r="DZ81" s="326">
        <f>SUM(DZ77:DZ80)</f>
        <v>5434</v>
      </c>
      <c r="EA81" s="324">
        <v>4336</v>
      </c>
      <c r="EB81" s="324">
        <v>9293</v>
      </c>
      <c r="EC81" s="324"/>
      <c r="ED81" s="324"/>
      <c r="EE81" s="324"/>
      <c r="EF81" s="477"/>
      <c r="EG81" s="478"/>
      <c r="EH81" s="406"/>
    </row>
    <row r="82" spans="1:140" s="177" customFormat="1">
      <c r="B82" s="178"/>
      <c r="C82" s="179"/>
      <c r="D82" s="179"/>
      <c r="E82" s="179"/>
      <c r="F82" s="179"/>
      <c r="G82" s="179"/>
      <c r="H82" s="179"/>
      <c r="I82" s="179"/>
      <c r="J82" s="464"/>
      <c r="K82" s="179"/>
      <c r="L82" s="179"/>
      <c r="M82" s="179"/>
      <c r="N82" s="179"/>
      <c r="O82" s="179"/>
      <c r="P82" s="179"/>
      <c r="Q82" s="179"/>
      <c r="R82" s="414"/>
      <c r="S82" s="336"/>
      <c r="T82" s="336"/>
      <c r="U82" s="336"/>
      <c r="V82" s="336"/>
      <c r="W82" s="336"/>
      <c r="X82" s="336"/>
      <c r="Y82" s="336"/>
      <c r="Z82" s="414"/>
      <c r="AA82" s="336"/>
      <c r="AB82" s="336"/>
      <c r="AC82" s="336"/>
      <c r="AD82" s="336"/>
      <c r="AE82" s="336"/>
      <c r="AF82" s="336"/>
      <c r="AG82" s="336"/>
      <c r="AH82" s="414"/>
      <c r="AI82" s="336"/>
      <c r="AJ82" s="336"/>
      <c r="AK82" s="336"/>
      <c r="AL82" s="336"/>
      <c r="AM82" s="336"/>
      <c r="AN82" s="336"/>
      <c r="AO82" s="336"/>
      <c r="AP82" s="414"/>
      <c r="AQ82" s="336"/>
      <c r="AR82" s="336"/>
      <c r="AS82" s="336"/>
      <c r="AT82" s="336"/>
      <c r="AU82" s="336"/>
      <c r="AV82" s="336"/>
      <c r="AW82" s="336"/>
      <c r="AX82" s="414"/>
      <c r="AY82" s="336"/>
      <c r="AZ82" s="336"/>
      <c r="BA82" s="336"/>
      <c r="BB82" s="336"/>
      <c r="BC82" s="336"/>
      <c r="BD82" s="336"/>
      <c r="BE82" s="336"/>
      <c r="BF82" s="414"/>
      <c r="BG82" s="336"/>
      <c r="BH82" s="336"/>
      <c r="BI82" s="336"/>
      <c r="BJ82" s="336"/>
      <c r="BK82" s="336"/>
      <c r="BL82" s="336"/>
      <c r="BM82" s="336"/>
      <c r="BN82" s="414"/>
      <c r="BO82" s="336"/>
      <c r="BP82" s="336"/>
      <c r="BQ82" s="336"/>
      <c r="BR82" s="336"/>
      <c r="BS82" s="336"/>
      <c r="BT82" s="336"/>
      <c r="BU82" s="336"/>
      <c r="BV82" s="414"/>
      <c r="BW82" s="336"/>
      <c r="BX82" s="336"/>
      <c r="BY82" s="336"/>
      <c r="BZ82" s="336"/>
      <c r="CA82" s="336"/>
      <c r="CB82" s="336"/>
      <c r="CC82" s="336"/>
      <c r="CD82" s="414"/>
      <c r="CE82" s="336"/>
      <c r="CF82" s="336"/>
      <c r="CG82" s="336"/>
      <c r="CH82" s="336"/>
      <c r="CI82" s="336"/>
      <c r="CJ82" s="336"/>
      <c r="CK82" s="336"/>
      <c r="CL82" s="414"/>
      <c r="CM82" s="336"/>
      <c r="CN82" s="336"/>
      <c r="CO82" s="336"/>
      <c r="CP82" s="336"/>
      <c r="CQ82" s="336"/>
      <c r="CR82" s="336"/>
      <c r="CS82" s="336"/>
      <c r="CT82" s="414"/>
      <c r="CU82" s="336"/>
      <c r="CV82" s="336"/>
      <c r="CW82" s="336"/>
      <c r="CX82" s="336"/>
      <c r="CY82" s="336"/>
      <c r="CZ82" s="336"/>
      <c r="DA82" s="336"/>
      <c r="DB82" s="383"/>
      <c r="DC82" s="336"/>
      <c r="DD82" s="336"/>
      <c r="DE82" s="336"/>
      <c r="DF82" s="336"/>
      <c r="DG82" s="336"/>
      <c r="DH82" s="336"/>
      <c r="DI82" s="336"/>
      <c r="DJ82" s="383"/>
      <c r="DK82" s="333"/>
      <c r="DL82" s="333"/>
      <c r="DM82" s="333"/>
      <c r="DN82" s="333"/>
      <c r="DO82" s="336"/>
      <c r="DP82" s="336"/>
      <c r="DQ82" s="336"/>
      <c r="DR82" s="383"/>
      <c r="DS82" s="333"/>
      <c r="DT82" s="333"/>
      <c r="DU82" s="333"/>
      <c r="DV82" s="333"/>
      <c r="DW82" s="336"/>
      <c r="DX82" s="336"/>
      <c r="DY82" s="336"/>
      <c r="DZ82" s="383"/>
      <c r="EA82" s="333"/>
      <c r="EB82" s="333"/>
      <c r="EC82" s="333"/>
      <c r="ED82" s="333"/>
      <c r="EE82" s="336"/>
      <c r="EF82" s="336"/>
      <c r="EG82" s="481"/>
      <c r="EH82" s="610"/>
    </row>
    <row r="83" spans="1:140">
      <c r="B83" s="42"/>
      <c r="J83" s="369"/>
      <c r="R83" s="376"/>
      <c r="S83" s="123"/>
      <c r="T83" s="123"/>
      <c r="U83" s="123"/>
      <c r="V83" s="123"/>
      <c r="W83" s="123"/>
      <c r="X83" s="123"/>
      <c r="Y83" s="123"/>
      <c r="Z83" s="376"/>
      <c r="AA83" s="123"/>
      <c r="AB83" s="123"/>
      <c r="AC83" s="123"/>
      <c r="AD83" s="123"/>
      <c r="AE83" s="123"/>
      <c r="AF83" s="123"/>
      <c r="AG83" s="123"/>
      <c r="AH83" s="376"/>
      <c r="AI83" s="123"/>
      <c r="AJ83" s="123"/>
      <c r="AK83" s="123"/>
      <c r="AL83" s="123"/>
      <c r="AM83" s="123"/>
      <c r="AN83" s="123"/>
      <c r="AO83" s="123"/>
      <c r="AP83" s="376"/>
      <c r="AQ83" s="123"/>
      <c r="AR83" s="123"/>
      <c r="AS83" s="123"/>
      <c r="AT83" s="123"/>
      <c r="AU83" s="123"/>
      <c r="AV83" s="123"/>
      <c r="AW83" s="123"/>
      <c r="AX83" s="376"/>
      <c r="AY83" s="123"/>
      <c r="AZ83" s="123"/>
      <c r="BA83" s="123"/>
      <c r="BB83" s="123"/>
      <c r="BC83" s="123"/>
      <c r="BD83" s="123"/>
      <c r="BE83" s="123"/>
      <c r="BF83" s="376"/>
      <c r="BG83" s="123"/>
      <c r="BH83" s="123"/>
      <c r="BI83" s="123"/>
      <c r="BJ83" s="123"/>
      <c r="BK83" s="123"/>
      <c r="BL83" s="123"/>
      <c r="BM83" s="123"/>
      <c r="BN83" s="376"/>
      <c r="BO83" s="123"/>
      <c r="BP83" s="123"/>
      <c r="BQ83" s="123"/>
      <c r="BR83" s="123"/>
      <c r="BS83" s="123"/>
      <c r="BT83" s="123"/>
      <c r="BU83" s="123"/>
      <c r="BV83" s="376"/>
      <c r="BW83" s="123"/>
      <c r="BX83" s="123"/>
      <c r="BY83" s="123"/>
      <c r="BZ83" s="123"/>
      <c r="CA83" s="123"/>
      <c r="CB83" s="123"/>
      <c r="CC83" s="123"/>
      <c r="CD83" s="376"/>
      <c r="CE83" s="123"/>
      <c r="CF83" s="123"/>
      <c r="CG83" s="123"/>
      <c r="CH83" s="123"/>
      <c r="CI83" s="123"/>
      <c r="CJ83" s="123"/>
      <c r="CK83" s="123"/>
      <c r="CL83" s="376"/>
      <c r="CM83" s="123"/>
      <c r="CN83" s="123"/>
      <c r="CO83" s="123"/>
      <c r="CP83" s="123"/>
      <c r="CQ83" s="123"/>
      <c r="CR83" s="123"/>
      <c r="CS83" s="123"/>
      <c r="CT83" s="376"/>
      <c r="CU83" s="123"/>
      <c r="CV83" s="123"/>
      <c r="CW83" s="123"/>
      <c r="CX83" s="123"/>
      <c r="CY83" s="123"/>
      <c r="CZ83" s="123"/>
      <c r="DA83" s="123"/>
      <c r="DB83" s="379"/>
      <c r="DC83" s="123"/>
      <c r="DD83" s="123"/>
      <c r="DE83" s="123"/>
      <c r="DF83" s="123"/>
      <c r="DG83" s="123"/>
      <c r="DH83" s="123"/>
      <c r="DI83" s="123"/>
      <c r="DJ83" s="379"/>
      <c r="DK83" s="125"/>
      <c r="DL83" s="125"/>
      <c r="DM83" s="125"/>
      <c r="DN83" s="125"/>
      <c r="DO83" s="123"/>
      <c r="DP83" s="123"/>
      <c r="DQ83" s="123"/>
      <c r="DR83" s="379"/>
      <c r="DS83" s="125"/>
      <c r="DT83" s="125"/>
      <c r="DU83" s="125"/>
      <c r="DV83" s="125"/>
      <c r="DW83" s="123"/>
      <c r="DX83" s="123"/>
      <c r="DY83" s="123"/>
      <c r="DZ83" s="379"/>
      <c r="EA83" s="125"/>
      <c r="EB83" s="125"/>
      <c r="EC83" s="125"/>
      <c r="ED83" s="125"/>
      <c r="EE83" s="123"/>
      <c r="EF83" s="123"/>
      <c r="EG83" s="124"/>
      <c r="EH83" s="406"/>
    </row>
    <row r="84" spans="1:140">
      <c r="A84" s="12" t="s">
        <v>520</v>
      </c>
      <c r="B84" s="42"/>
      <c r="J84" s="369"/>
      <c r="R84" s="376"/>
      <c r="S84" s="123"/>
      <c r="T84" s="123"/>
      <c r="U84" s="123"/>
      <c r="V84" s="123"/>
      <c r="W84" s="123"/>
      <c r="X84" s="123"/>
      <c r="Y84" s="123"/>
      <c r="Z84" s="376"/>
      <c r="AA84" s="123"/>
      <c r="AB84" s="123"/>
      <c r="AC84" s="123"/>
      <c r="AD84" s="123"/>
      <c r="AE84" s="123"/>
      <c r="AF84" s="123"/>
      <c r="AG84" s="123"/>
      <c r="AH84" s="376"/>
      <c r="AI84" s="123"/>
      <c r="AJ84" s="123"/>
      <c r="AK84" s="123"/>
      <c r="AL84" s="123"/>
      <c r="AM84" s="123"/>
      <c r="AN84" s="123"/>
      <c r="AO84" s="123"/>
      <c r="AP84" s="376"/>
      <c r="AQ84" s="123"/>
      <c r="AR84" s="123"/>
      <c r="AS84" s="123"/>
      <c r="AT84" s="123"/>
      <c r="AU84" s="123"/>
      <c r="AV84" s="123"/>
      <c r="AW84" s="123"/>
      <c r="AX84" s="376"/>
      <c r="AY84" s="123"/>
      <c r="AZ84" s="123"/>
      <c r="BA84" s="123"/>
      <c r="BB84" s="123"/>
      <c r="BC84" s="123"/>
      <c r="BD84" s="123"/>
      <c r="BE84" s="123"/>
      <c r="BF84" s="376"/>
      <c r="BG84" s="123"/>
      <c r="BH84" s="123"/>
      <c r="BI84" s="123"/>
      <c r="BJ84" s="123"/>
      <c r="BK84" s="123"/>
      <c r="BL84" s="123"/>
      <c r="BM84" s="123"/>
      <c r="BN84" s="376"/>
      <c r="BO84" s="123"/>
      <c r="BP84" s="123"/>
      <c r="BQ84" s="123"/>
      <c r="BR84" s="123"/>
      <c r="BS84" s="123"/>
      <c r="BT84" s="123"/>
      <c r="BU84" s="123"/>
      <c r="BV84" s="376"/>
      <c r="BW84" s="123"/>
      <c r="BX84" s="123"/>
      <c r="BY84" s="123"/>
      <c r="BZ84" s="123"/>
      <c r="CA84" s="123"/>
      <c r="CB84" s="123"/>
      <c r="CC84" s="123"/>
      <c r="CD84" s="376"/>
      <c r="CE84" s="123"/>
      <c r="CF84" s="123"/>
      <c r="CG84" s="123"/>
      <c r="CH84" s="123"/>
      <c r="CI84" s="123"/>
      <c r="CJ84" s="123"/>
      <c r="CK84" s="123"/>
      <c r="CL84" s="376"/>
      <c r="CM84" s="123"/>
      <c r="CN84" s="123"/>
      <c r="CO84" s="123"/>
      <c r="CP84" s="123"/>
      <c r="CQ84" s="123"/>
      <c r="CR84" s="123"/>
      <c r="CS84" s="123"/>
      <c r="CT84" s="376"/>
      <c r="CU84" s="123"/>
      <c r="CV84" s="123"/>
      <c r="CW84" s="123"/>
      <c r="CX84" s="123"/>
      <c r="CY84" s="123"/>
      <c r="CZ84" s="123"/>
      <c r="DA84" s="123"/>
      <c r="DB84" s="379"/>
      <c r="DC84" s="123"/>
      <c r="DD84" s="123"/>
      <c r="DE84" s="123"/>
      <c r="DF84" s="123"/>
      <c r="DG84" s="123"/>
      <c r="DH84" s="123"/>
      <c r="DI84" s="123"/>
      <c r="DJ84" s="379"/>
      <c r="DK84" s="125"/>
      <c r="DL84" s="125"/>
      <c r="DM84" s="125"/>
      <c r="DN84" s="125"/>
      <c r="DO84" s="123"/>
      <c r="DP84" s="123"/>
      <c r="DQ84" s="123"/>
      <c r="DR84" s="379"/>
      <c r="DS84" s="125"/>
      <c r="DT84" s="125"/>
      <c r="DU84" s="125"/>
      <c r="DV84" s="125"/>
      <c r="DW84" s="123"/>
      <c r="DX84" s="123"/>
      <c r="DY84" s="123"/>
      <c r="DZ84" s="379"/>
      <c r="EA84" s="125"/>
      <c r="EB84" s="125"/>
      <c r="EC84" s="125"/>
      <c r="ED84" s="125"/>
      <c r="EE84" s="123"/>
      <c r="EF84" s="123"/>
      <c r="EG84" s="124"/>
      <c r="EH84" s="406"/>
    </row>
    <row r="85" spans="1:140">
      <c r="A85" s="13" t="s">
        <v>14</v>
      </c>
      <c r="B85" s="42"/>
      <c r="J85" s="369"/>
      <c r="R85" s="387">
        <v>552509</v>
      </c>
      <c r="S85" s="150">
        <v>573829</v>
      </c>
      <c r="T85" s="149">
        <v>573829</v>
      </c>
      <c r="U85" s="150">
        <v>581034</v>
      </c>
      <c r="V85" s="149">
        <v>581034</v>
      </c>
      <c r="W85" s="150">
        <v>625595</v>
      </c>
      <c r="X85" s="150">
        <v>625595</v>
      </c>
      <c r="Y85" s="149">
        <v>625595</v>
      </c>
      <c r="Z85" s="387">
        <v>628910</v>
      </c>
      <c r="AA85" s="150">
        <v>625620</v>
      </c>
      <c r="AB85" s="149">
        <v>625620</v>
      </c>
      <c r="AC85" s="150">
        <v>711825</v>
      </c>
      <c r="AD85" s="149">
        <v>711825</v>
      </c>
      <c r="AE85" s="150">
        <v>803633</v>
      </c>
      <c r="AF85" s="150">
        <v>803633</v>
      </c>
      <c r="AG85" s="149">
        <v>803633</v>
      </c>
      <c r="AH85" s="387">
        <v>901565</v>
      </c>
      <c r="AI85" s="150">
        <v>875018</v>
      </c>
      <c r="AJ85" s="149">
        <v>875018</v>
      </c>
      <c r="AK85" s="150">
        <v>914692</v>
      </c>
      <c r="AL85" s="149">
        <v>914692</v>
      </c>
      <c r="AM85" s="150">
        <v>952450</v>
      </c>
      <c r="AN85" s="150">
        <v>952450</v>
      </c>
      <c r="AO85" s="149">
        <v>952450</v>
      </c>
      <c r="AP85" s="387">
        <v>904589</v>
      </c>
      <c r="AQ85" s="150">
        <v>930885</v>
      </c>
      <c r="AR85" s="149">
        <v>930885</v>
      </c>
      <c r="AS85" s="150">
        <v>939079</v>
      </c>
      <c r="AT85" s="149">
        <v>939079</v>
      </c>
      <c r="AU85" s="150">
        <v>1010200</v>
      </c>
      <c r="AV85" s="150">
        <v>1010200</v>
      </c>
      <c r="AW85" s="149">
        <v>1010200</v>
      </c>
      <c r="AX85" s="387">
        <v>981958</v>
      </c>
      <c r="AY85" s="150">
        <v>932291</v>
      </c>
      <c r="AZ85" s="149">
        <v>932291</v>
      </c>
      <c r="BA85" s="150">
        <v>897128</v>
      </c>
      <c r="BB85" s="149">
        <v>897128</v>
      </c>
      <c r="BC85" s="150">
        <v>950354</v>
      </c>
      <c r="BD85" s="150">
        <v>950354</v>
      </c>
      <c r="BE85" s="149">
        <v>950354</v>
      </c>
      <c r="BF85" s="376"/>
      <c r="BG85" s="123"/>
      <c r="BH85" s="123"/>
      <c r="BI85" s="123"/>
      <c r="BJ85" s="123"/>
      <c r="BK85" s="123"/>
      <c r="BL85" s="123"/>
      <c r="BM85" s="123"/>
      <c r="BN85" s="379" t="s">
        <v>491</v>
      </c>
      <c r="BO85" s="125" t="s">
        <v>491</v>
      </c>
      <c r="BP85" s="125" t="s">
        <v>491</v>
      </c>
      <c r="BQ85" s="125" t="s">
        <v>491</v>
      </c>
      <c r="BR85" s="125" t="s">
        <v>491</v>
      </c>
      <c r="BS85" s="149">
        <v>411659</v>
      </c>
      <c r="BT85" s="149">
        <v>411659</v>
      </c>
      <c r="BU85" s="149">
        <v>411659</v>
      </c>
      <c r="BV85" s="379" t="s">
        <v>491</v>
      </c>
      <c r="BW85" s="125" t="s">
        <v>491</v>
      </c>
      <c r="BX85" s="125" t="s">
        <v>491</v>
      </c>
      <c r="BY85" s="125" t="s">
        <v>491</v>
      </c>
      <c r="BZ85" s="125" t="s">
        <v>491</v>
      </c>
      <c r="CA85" s="150">
        <v>424082</v>
      </c>
      <c r="CB85" s="150">
        <v>424082</v>
      </c>
      <c r="CC85" s="149">
        <v>424082</v>
      </c>
      <c r="CD85" s="379" t="s">
        <v>491</v>
      </c>
      <c r="CE85" s="125" t="s">
        <v>491</v>
      </c>
      <c r="CF85" s="125" t="s">
        <v>491</v>
      </c>
      <c r="CG85" s="125" t="s">
        <v>491</v>
      </c>
      <c r="CH85" s="125" t="s">
        <v>491</v>
      </c>
      <c r="CI85" s="150">
        <v>324675</v>
      </c>
      <c r="CJ85" s="150">
        <v>324675</v>
      </c>
      <c r="CK85" s="149">
        <v>324675</v>
      </c>
      <c r="CL85" s="379" t="s">
        <v>491</v>
      </c>
      <c r="CM85" s="125" t="s">
        <v>491</v>
      </c>
      <c r="CN85" s="125" t="s">
        <v>491</v>
      </c>
      <c r="CO85" s="125" t="s">
        <v>491</v>
      </c>
      <c r="CP85" s="125" t="s">
        <v>491</v>
      </c>
      <c r="CQ85" s="150">
        <v>345101</v>
      </c>
      <c r="CR85" s="150">
        <v>345101</v>
      </c>
      <c r="CS85" s="149">
        <v>345101</v>
      </c>
      <c r="CT85" s="379" t="s">
        <v>491</v>
      </c>
      <c r="CU85" s="125" t="s">
        <v>491</v>
      </c>
      <c r="CV85" s="125" t="s">
        <v>491</v>
      </c>
      <c r="CW85" s="125" t="s">
        <v>491</v>
      </c>
      <c r="CX85" s="125" t="s">
        <v>491</v>
      </c>
      <c r="CY85" s="150">
        <v>390456</v>
      </c>
      <c r="CZ85" s="150">
        <v>390456</v>
      </c>
      <c r="DA85" s="149">
        <v>390456</v>
      </c>
      <c r="DB85" s="379" t="s">
        <v>491</v>
      </c>
      <c r="DC85" s="125" t="s">
        <v>491</v>
      </c>
      <c r="DD85" s="125" t="s">
        <v>491</v>
      </c>
      <c r="DE85" s="125" t="s">
        <v>491</v>
      </c>
      <c r="DF85" s="125" t="s">
        <v>491</v>
      </c>
      <c r="DG85" s="472">
        <f>DI85</f>
        <v>490812</v>
      </c>
      <c r="DH85" s="472">
        <f>DI85</f>
        <v>490812</v>
      </c>
      <c r="DI85" s="149">
        <v>490812</v>
      </c>
      <c r="DJ85" s="379" t="s">
        <v>491</v>
      </c>
      <c r="DK85" s="125" t="s">
        <v>491</v>
      </c>
      <c r="DL85" s="125" t="s">
        <v>491</v>
      </c>
      <c r="DM85" s="125" t="s">
        <v>491</v>
      </c>
      <c r="DN85" s="125" t="s">
        <v>491</v>
      </c>
      <c r="DO85" s="472">
        <f>DQ85</f>
        <v>558925</v>
      </c>
      <c r="DP85" s="472">
        <f>DQ85</f>
        <v>558925</v>
      </c>
      <c r="DQ85" s="149">
        <v>558925</v>
      </c>
      <c r="DR85" s="379" t="s">
        <v>491</v>
      </c>
      <c r="DS85" s="125" t="s">
        <v>491</v>
      </c>
      <c r="DT85" s="125" t="s">
        <v>491</v>
      </c>
      <c r="DU85" s="125" t="s">
        <v>491</v>
      </c>
      <c r="DV85" s="125" t="s">
        <v>491</v>
      </c>
      <c r="DW85" s="125" t="s">
        <v>491</v>
      </c>
      <c r="DX85" s="150"/>
      <c r="DY85" s="149"/>
      <c r="DZ85" s="379" t="s">
        <v>491</v>
      </c>
      <c r="EA85" s="125" t="s">
        <v>491</v>
      </c>
      <c r="EB85" s="125" t="s">
        <v>491</v>
      </c>
      <c r="EC85" s="125"/>
      <c r="ED85" s="125"/>
      <c r="EE85" s="150"/>
      <c r="EF85" s="150"/>
      <c r="EG85" s="152"/>
      <c r="EH85" s="406"/>
      <c r="EJ85" s="19"/>
    </row>
    <row r="86" spans="1:140">
      <c r="A86" s="107" t="s">
        <v>385</v>
      </c>
      <c r="B86" s="42"/>
      <c r="J86" s="369"/>
      <c r="R86" s="387">
        <v>12708</v>
      </c>
      <c r="S86" s="150">
        <v>12806</v>
      </c>
      <c r="T86" s="149">
        <v>12806</v>
      </c>
      <c r="U86" s="150">
        <v>12986</v>
      </c>
      <c r="V86" s="149">
        <v>12986</v>
      </c>
      <c r="W86" s="150">
        <v>12420</v>
      </c>
      <c r="X86" s="150">
        <v>12420</v>
      </c>
      <c r="Y86" s="149">
        <v>12420</v>
      </c>
      <c r="Z86" s="387">
        <v>12439</v>
      </c>
      <c r="AA86" s="150">
        <v>11802</v>
      </c>
      <c r="AB86" s="149">
        <v>11802</v>
      </c>
      <c r="AC86" s="150">
        <v>11440</v>
      </c>
      <c r="AD86" s="149">
        <v>11440</v>
      </c>
      <c r="AE86" s="150">
        <v>12227</v>
      </c>
      <c r="AF86" s="150">
        <v>12227</v>
      </c>
      <c r="AG86" s="150">
        <v>12227</v>
      </c>
      <c r="AH86" s="387">
        <v>12371</v>
      </c>
      <c r="AI86" s="150">
        <v>12004</v>
      </c>
      <c r="AJ86" s="149">
        <v>12004</v>
      </c>
      <c r="AK86" s="150">
        <v>11818</v>
      </c>
      <c r="AL86" s="149">
        <v>11818</v>
      </c>
      <c r="AM86" s="150">
        <v>11769</v>
      </c>
      <c r="AN86" s="150">
        <v>11769</v>
      </c>
      <c r="AO86" s="149">
        <v>11769</v>
      </c>
      <c r="AP86" s="387">
        <v>11615</v>
      </c>
      <c r="AQ86" s="150">
        <v>11421</v>
      </c>
      <c r="AR86" s="149">
        <v>11421</v>
      </c>
      <c r="AS86" s="150">
        <v>11075</v>
      </c>
      <c r="AT86" s="149">
        <v>11075</v>
      </c>
      <c r="AU86" s="150">
        <v>11269</v>
      </c>
      <c r="AV86" s="150">
        <v>11269</v>
      </c>
      <c r="AW86" s="149">
        <v>11269</v>
      </c>
      <c r="AX86" s="387">
        <v>11392</v>
      </c>
      <c r="AY86" s="150">
        <v>11996</v>
      </c>
      <c r="AZ86" s="149">
        <v>11996</v>
      </c>
      <c r="BA86" s="150">
        <v>11636</v>
      </c>
      <c r="BB86" s="149">
        <v>11636</v>
      </c>
      <c r="BC86" s="150">
        <v>11201</v>
      </c>
      <c r="BD86" s="150">
        <v>11201</v>
      </c>
      <c r="BE86" s="149">
        <v>11201</v>
      </c>
      <c r="BF86" s="376"/>
      <c r="BG86" s="123"/>
      <c r="BH86" s="123"/>
      <c r="BI86" s="123"/>
      <c r="BJ86" s="123"/>
      <c r="BK86" s="123"/>
      <c r="BL86" s="123"/>
      <c r="BM86" s="123"/>
      <c r="BN86" s="387">
        <v>13176</v>
      </c>
      <c r="BO86" s="150">
        <v>12537</v>
      </c>
      <c r="BP86" s="149">
        <v>12537</v>
      </c>
      <c r="BQ86" s="150">
        <v>12594</v>
      </c>
      <c r="BR86" s="149">
        <v>12594</v>
      </c>
      <c r="BS86" s="149">
        <v>14943</v>
      </c>
      <c r="BT86" s="149">
        <v>14943</v>
      </c>
      <c r="BU86" s="149">
        <v>14943</v>
      </c>
      <c r="BV86" s="379" t="s">
        <v>491</v>
      </c>
      <c r="BW86" s="125" t="s">
        <v>491</v>
      </c>
      <c r="BX86" s="125" t="s">
        <v>491</v>
      </c>
      <c r="BY86" s="125" t="s">
        <v>491</v>
      </c>
      <c r="BZ86" s="125" t="s">
        <v>491</v>
      </c>
      <c r="CA86" s="150">
        <v>16627</v>
      </c>
      <c r="CB86" s="150">
        <v>16627</v>
      </c>
      <c r="CC86" s="149">
        <v>16627</v>
      </c>
      <c r="CD86" s="379" t="s">
        <v>491</v>
      </c>
      <c r="CE86" s="125" t="s">
        <v>491</v>
      </c>
      <c r="CF86" s="125" t="s">
        <v>491</v>
      </c>
      <c r="CG86" s="125" t="s">
        <v>491</v>
      </c>
      <c r="CH86" s="125" t="s">
        <v>491</v>
      </c>
      <c r="CI86" s="150">
        <v>15782</v>
      </c>
      <c r="CJ86" s="150">
        <v>15782</v>
      </c>
      <c r="CK86" s="149">
        <v>15782</v>
      </c>
      <c r="CL86" s="379" t="s">
        <v>491</v>
      </c>
      <c r="CM86" s="125" t="s">
        <v>491</v>
      </c>
      <c r="CN86" s="125" t="s">
        <v>491</v>
      </c>
      <c r="CO86" s="125" t="s">
        <v>491</v>
      </c>
      <c r="CP86" s="125" t="s">
        <v>491</v>
      </c>
      <c r="CQ86" s="150">
        <v>17985</v>
      </c>
      <c r="CR86" s="150">
        <v>17985</v>
      </c>
      <c r="CS86" s="149">
        <v>17985</v>
      </c>
      <c r="CT86" s="379" t="s">
        <v>491</v>
      </c>
      <c r="CU86" s="125" t="s">
        <v>491</v>
      </c>
      <c r="CV86" s="125" t="s">
        <v>491</v>
      </c>
      <c r="CW86" s="125" t="s">
        <v>491</v>
      </c>
      <c r="CX86" s="125" t="s">
        <v>491</v>
      </c>
      <c r="CY86" s="150">
        <v>20774</v>
      </c>
      <c r="CZ86" s="150">
        <v>20774</v>
      </c>
      <c r="DA86" s="149">
        <v>20774</v>
      </c>
      <c r="DB86" s="379" t="s">
        <v>491</v>
      </c>
      <c r="DC86" s="125" t="s">
        <v>491</v>
      </c>
      <c r="DD86" s="125" t="s">
        <v>491</v>
      </c>
      <c r="DE86" s="125" t="s">
        <v>491</v>
      </c>
      <c r="DF86" s="125" t="s">
        <v>491</v>
      </c>
      <c r="DG86" s="472">
        <f>DI86</f>
        <v>21525</v>
      </c>
      <c r="DH86" s="472">
        <f>DI86</f>
        <v>21525</v>
      </c>
      <c r="DI86" s="149">
        <v>21525</v>
      </c>
      <c r="DJ86" s="379" t="s">
        <v>491</v>
      </c>
      <c r="DK86" s="125" t="s">
        <v>491</v>
      </c>
      <c r="DL86" s="125" t="s">
        <v>491</v>
      </c>
      <c r="DM86" s="125" t="s">
        <v>491</v>
      </c>
      <c r="DN86" s="125" t="s">
        <v>491</v>
      </c>
      <c r="DO86" s="472">
        <f>DQ86</f>
        <v>24064</v>
      </c>
      <c r="DP86" s="472">
        <f>DQ86</f>
        <v>24064</v>
      </c>
      <c r="DQ86" s="149">
        <v>24064</v>
      </c>
      <c r="DR86" s="379" t="s">
        <v>491</v>
      </c>
      <c r="DS86" s="125" t="s">
        <v>491</v>
      </c>
      <c r="DT86" s="125" t="s">
        <v>491</v>
      </c>
      <c r="DU86" s="125" t="s">
        <v>491</v>
      </c>
      <c r="DV86" s="125" t="s">
        <v>491</v>
      </c>
      <c r="DW86" s="125" t="s">
        <v>491</v>
      </c>
      <c r="DX86" s="150"/>
      <c r="DY86" s="149"/>
      <c r="DZ86" s="379" t="s">
        <v>491</v>
      </c>
      <c r="EA86" s="125" t="s">
        <v>491</v>
      </c>
      <c r="EB86" s="125" t="s">
        <v>491</v>
      </c>
      <c r="EC86" s="125"/>
      <c r="ED86" s="125"/>
      <c r="EE86" s="150"/>
      <c r="EF86" s="150"/>
      <c r="EG86" s="152"/>
      <c r="EH86" s="406"/>
    </row>
    <row r="87" spans="1:140">
      <c r="A87" s="13" t="s">
        <v>384</v>
      </c>
      <c r="B87" s="42"/>
      <c r="J87" s="369"/>
      <c r="R87" s="387">
        <v>43894</v>
      </c>
      <c r="S87" s="150">
        <v>42738</v>
      </c>
      <c r="T87" s="149">
        <v>42738</v>
      </c>
      <c r="U87" s="150">
        <v>43323</v>
      </c>
      <c r="V87" s="149">
        <v>43323</v>
      </c>
      <c r="W87" s="150">
        <v>43208</v>
      </c>
      <c r="X87" s="150">
        <v>43208</v>
      </c>
      <c r="Y87" s="149">
        <v>43208</v>
      </c>
      <c r="Z87" s="387">
        <v>42588</v>
      </c>
      <c r="AA87" s="150">
        <v>41566</v>
      </c>
      <c r="AB87" s="149">
        <v>41566</v>
      </c>
      <c r="AC87" s="150">
        <v>43647</v>
      </c>
      <c r="AD87" s="149">
        <v>43647</v>
      </c>
      <c r="AE87" s="150">
        <v>43075</v>
      </c>
      <c r="AF87" s="150">
        <v>43075</v>
      </c>
      <c r="AG87" s="149">
        <v>43075</v>
      </c>
      <c r="AH87" s="387">
        <v>41854</v>
      </c>
      <c r="AI87" s="150">
        <v>41683</v>
      </c>
      <c r="AJ87" s="149">
        <v>41683</v>
      </c>
      <c r="AK87" s="150">
        <v>41657</v>
      </c>
      <c r="AL87" s="149">
        <v>41657</v>
      </c>
      <c r="AM87" s="150">
        <v>42861</v>
      </c>
      <c r="AN87" s="150">
        <v>42861</v>
      </c>
      <c r="AO87" s="149">
        <v>42861</v>
      </c>
      <c r="AP87" s="387">
        <v>42596</v>
      </c>
      <c r="AQ87" s="150">
        <v>37665</v>
      </c>
      <c r="AR87" s="149">
        <v>37665</v>
      </c>
      <c r="AS87" s="150">
        <v>38355</v>
      </c>
      <c r="AT87" s="149">
        <v>38355</v>
      </c>
      <c r="AU87" s="150">
        <v>41499</v>
      </c>
      <c r="AV87" s="150">
        <v>41499</v>
      </c>
      <c r="AW87" s="149">
        <v>41499</v>
      </c>
      <c r="AX87" s="387">
        <v>39421</v>
      </c>
      <c r="AY87" s="150">
        <v>38708</v>
      </c>
      <c r="AZ87" s="149">
        <v>38708</v>
      </c>
      <c r="BA87" s="150">
        <v>38551</v>
      </c>
      <c r="BB87" s="149">
        <v>38551</v>
      </c>
      <c r="BC87" s="150">
        <v>37407</v>
      </c>
      <c r="BD87" s="150">
        <v>37407</v>
      </c>
      <c r="BE87" s="149">
        <v>37407</v>
      </c>
      <c r="BF87" s="376"/>
      <c r="BG87" s="123"/>
      <c r="BH87" s="123"/>
      <c r="BI87" s="123"/>
      <c r="BJ87" s="123"/>
      <c r="BK87" s="123"/>
      <c r="BL87" s="123"/>
      <c r="BM87" s="123"/>
      <c r="BN87" s="387">
        <v>37303</v>
      </c>
      <c r="BO87" s="150">
        <v>36462</v>
      </c>
      <c r="BP87" s="149">
        <v>36462</v>
      </c>
      <c r="BQ87" s="150">
        <v>35880</v>
      </c>
      <c r="BR87" s="149">
        <v>35880</v>
      </c>
      <c r="BS87" s="149">
        <v>35316</v>
      </c>
      <c r="BT87" s="149">
        <v>35316</v>
      </c>
      <c r="BU87" s="149">
        <v>35316</v>
      </c>
      <c r="BV87" s="387">
        <v>34074</v>
      </c>
      <c r="BW87" s="125" t="s">
        <v>491</v>
      </c>
      <c r="BX87" s="125" t="s">
        <v>491</v>
      </c>
      <c r="BY87" s="125" t="s">
        <v>491</v>
      </c>
      <c r="BZ87" s="125" t="s">
        <v>491</v>
      </c>
      <c r="CA87" s="150">
        <v>32263</v>
      </c>
      <c r="CB87" s="150">
        <v>32263</v>
      </c>
      <c r="CC87" s="149">
        <v>32263</v>
      </c>
      <c r="CD87" s="387">
        <v>31921</v>
      </c>
      <c r="CE87" s="125" t="s">
        <v>491</v>
      </c>
      <c r="CF87" s="125" t="s">
        <v>491</v>
      </c>
      <c r="CG87" s="125" t="s">
        <v>491</v>
      </c>
      <c r="CH87" s="125" t="s">
        <v>491</v>
      </c>
      <c r="CI87" s="150">
        <v>33505</v>
      </c>
      <c r="CJ87" s="150">
        <v>33505</v>
      </c>
      <c r="CK87" s="149">
        <v>33505</v>
      </c>
      <c r="CL87" s="379" t="s">
        <v>491</v>
      </c>
      <c r="CM87" s="125" t="s">
        <v>491</v>
      </c>
      <c r="CN87" s="125" t="s">
        <v>491</v>
      </c>
      <c r="CO87" s="125" t="s">
        <v>491</v>
      </c>
      <c r="CP87" s="125" t="s">
        <v>491</v>
      </c>
      <c r="CQ87" s="150">
        <v>36131</v>
      </c>
      <c r="CR87" s="150">
        <v>36131</v>
      </c>
      <c r="CS87" s="149">
        <v>36131</v>
      </c>
      <c r="CT87" s="379" t="s">
        <v>491</v>
      </c>
      <c r="CU87" s="125" t="s">
        <v>491</v>
      </c>
      <c r="CV87" s="125" t="s">
        <v>491</v>
      </c>
      <c r="CW87" s="125" t="s">
        <v>491</v>
      </c>
      <c r="CX87" s="125" t="s">
        <v>491</v>
      </c>
      <c r="CY87" s="150">
        <v>38426</v>
      </c>
      <c r="CZ87" s="150">
        <v>38426</v>
      </c>
      <c r="DA87" s="149">
        <v>38426</v>
      </c>
      <c r="DB87" s="379" t="s">
        <v>491</v>
      </c>
      <c r="DC87" s="125" t="s">
        <v>491</v>
      </c>
      <c r="DD87" s="125" t="s">
        <v>491</v>
      </c>
      <c r="DE87" s="125" t="s">
        <v>491</v>
      </c>
      <c r="DF87" s="125" t="s">
        <v>491</v>
      </c>
      <c r="DG87" s="472">
        <f>DI87</f>
        <v>42195</v>
      </c>
      <c r="DH87" s="472">
        <f>DI87</f>
        <v>42195</v>
      </c>
      <c r="DI87" s="149">
        <v>42195</v>
      </c>
      <c r="DJ87" s="379" t="s">
        <v>491</v>
      </c>
      <c r="DK87" s="125" t="s">
        <v>491</v>
      </c>
      <c r="DL87" s="125" t="s">
        <v>491</v>
      </c>
      <c r="DM87" s="125" t="s">
        <v>491</v>
      </c>
      <c r="DN87" s="125" t="s">
        <v>491</v>
      </c>
      <c r="DO87" s="472">
        <f>DQ87</f>
        <v>46803</v>
      </c>
      <c r="DP87" s="472">
        <f>DQ87</f>
        <v>46803</v>
      </c>
      <c r="DQ87" s="149">
        <v>46803</v>
      </c>
      <c r="DR87" s="379" t="s">
        <v>491</v>
      </c>
      <c r="DS87" s="125" t="s">
        <v>491</v>
      </c>
      <c r="DT87" s="125" t="s">
        <v>491</v>
      </c>
      <c r="DU87" s="125" t="s">
        <v>491</v>
      </c>
      <c r="DV87" s="125" t="s">
        <v>491</v>
      </c>
      <c r="DW87" s="125" t="s">
        <v>491</v>
      </c>
      <c r="DX87" s="150"/>
      <c r="DY87" s="149"/>
      <c r="DZ87" s="379" t="s">
        <v>491</v>
      </c>
      <c r="EA87" s="125" t="s">
        <v>491</v>
      </c>
      <c r="EB87" s="125" t="s">
        <v>491</v>
      </c>
      <c r="EC87" s="125"/>
      <c r="ED87" s="125"/>
      <c r="EE87" s="150"/>
      <c r="EF87" s="150"/>
      <c r="EG87" s="152"/>
      <c r="EH87" s="406"/>
      <c r="EJ87" s="19"/>
    </row>
    <row r="88" spans="1:140">
      <c r="A88" s="107" t="s">
        <v>388</v>
      </c>
      <c r="B88" s="42"/>
      <c r="J88" s="369"/>
      <c r="R88" s="387">
        <v>-1038</v>
      </c>
      <c r="S88" s="150">
        <v>-918</v>
      </c>
      <c r="T88" s="149">
        <v>-918</v>
      </c>
      <c r="U88" s="150">
        <v>-839</v>
      </c>
      <c r="V88" s="149">
        <v>-839</v>
      </c>
      <c r="W88" s="150">
        <v>-663</v>
      </c>
      <c r="X88" s="150">
        <v>-663</v>
      </c>
      <c r="Y88" s="149">
        <v>-663</v>
      </c>
      <c r="Z88" s="387">
        <v>-689</v>
      </c>
      <c r="AA88" s="150">
        <v>-1541</v>
      </c>
      <c r="AB88" s="149">
        <v>-1541</v>
      </c>
      <c r="AC88" s="150">
        <v>-1563</v>
      </c>
      <c r="AD88" s="149">
        <v>-1563</v>
      </c>
      <c r="AE88" s="150">
        <v>-1416</v>
      </c>
      <c r="AF88" s="150">
        <v>-1416</v>
      </c>
      <c r="AG88" s="149">
        <v>-1416</v>
      </c>
      <c r="AH88" s="387">
        <v>-1226</v>
      </c>
      <c r="AI88" s="150">
        <v>-1727</v>
      </c>
      <c r="AJ88" s="149">
        <v>-1727</v>
      </c>
      <c r="AK88" s="150">
        <v>-1297</v>
      </c>
      <c r="AL88" s="149">
        <v>-1297</v>
      </c>
      <c r="AM88" s="150">
        <v>-1216</v>
      </c>
      <c r="AN88" s="150">
        <v>-1216</v>
      </c>
      <c r="AO88" s="149">
        <v>-1216</v>
      </c>
      <c r="AP88" s="387">
        <v>-1820</v>
      </c>
      <c r="AQ88" s="150">
        <v>-1884</v>
      </c>
      <c r="AR88" s="149">
        <v>-1884</v>
      </c>
      <c r="AS88" s="150">
        <v>-2508</v>
      </c>
      <c r="AT88" s="149">
        <v>-2508</v>
      </c>
      <c r="AU88" s="150">
        <v>-2521</v>
      </c>
      <c r="AV88" s="150">
        <v>-2521</v>
      </c>
      <c r="AW88" s="149">
        <v>-2521</v>
      </c>
      <c r="AX88" s="387">
        <v>-2613</v>
      </c>
      <c r="AY88" s="150">
        <v>-2138</v>
      </c>
      <c r="AZ88" s="149">
        <v>-2138</v>
      </c>
      <c r="BA88" s="150">
        <v>-2129</v>
      </c>
      <c r="BB88" s="149">
        <v>-2129</v>
      </c>
      <c r="BC88" s="150">
        <v>-2140</v>
      </c>
      <c r="BD88" s="150">
        <v>-2140</v>
      </c>
      <c r="BE88" s="149">
        <v>-2140</v>
      </c>
      <c r="BF88" s="376"/>
      <c r="BG88" s="123"/>
      <c r="BH88" s="123"/>
      <c r="BI88" s="123"/>
      <c r="BJ88" s="123"/>
      <c r="BK88" s="123"/>
      <c r="BL88" s="123"/>
      <c r="BM88" s="123"/>
      <c r="BN88" s="379" t="s">
        <v>491</v>
      </c>
      <c r="BO88" s="125" t="s">
        <v>491</v>
      </c>
      <c r="BP88" s="125" t="s">
        <v>491</v>
      </c>
      <c r="BQ88" s="125" t="s">
        <v>491</v>
      </c>
      <c r="BR88" s="125" t="s">
        <v>491</v>
      </c>
      <c r="BS88" s="125" t="s">
        <v>491</v>
      </c>
      <c r="BT88" s="125" t="s">
        <v>491</v>
      </c>
      <c r="BU88" s="125" t="s">
        <v>491</v>
      </c>
      <c r="BV88" s="379" t="s">
        <v>491</v>
      </c>
      <c r="BW88" s="125" t="s">
        <v>491</v>
      </c>
      <c r="BX88" s="125" t="s">
        <v>491</v>
      </c>
      <c r="BY88" s="125" t="s">
        <v>491</v>
      </c>
      <c r="BZ88" s="125" t="s">
        <v>491</v>
      </c>
      <c r="CA88" s="125" t="s">
        <v>491</v>
      </c>
      <c r="CB88" s="125" t="s">
        <v>491</v>
      </c>
      <c r="CC88" s="125" t="s">
        <v>491</v>
      </c>
      <c r="CD88" s="379" t="s">
        <v>491</v>
      </c>
      <c r="CE88" s="125" t="s">
        <v>491</v>
      </c>
      <c r="CF88" s="125" t="s">
        <v>491</v>
      </c>
      <c r="CG88" s="125" t="s">
        <v>491</v>
      </c>
      <c r="CH88" s="125" t="s">
        <v>491</v>
      </c>
      <c r="CI88" s="125" t="s">
        <v>491</v>
      </c>
      <c r="CJ88" s="125" t="s">
        <v>491</v>
      </c>
      <c r="CK88" s="125" t="s">
        <v>491</v>
      </c>
      <c r="CL88" s="379" t="s">
        <v>491</v>
      </c>
      <c r="CM88" s="125" t="s">
        <v>491</v>
      </c>
      <c r="CN88" s="125" t="s">
        <v>491</v>
      </c>
      <c r="CO88" s="125" t="s">
        <v>491</v>
      </c>
      <c r="CP88" s="125" t="s">
        <v>491</v>
      </c>
      <c r="CQ88" s="125" t="s">
        <v>491</v>
      </c>
      <c r="CR88" s="125" t="s">
        <v>491</v>
      </c>
      <c r="CS88" s="125" t="s">
        <v>491</v>
      </c>
      <c r="CT88" s="379" t="s">
        <v>491</v>
      </c>
      <c r="CU88" s="125" t="s">
        <v>491</v>
      </c>
      <c r="CV88" s="125" t="s">
        <v>491</v>
      </c>
      <c r="CW88" s="125" t="s">
        <v>491</v>
      </c>
      <c r="CX88" s="125" t="s">
        <v>491</v>
      </c>
      <c r="CY88" s="125" t="s">
        <v>491</v>
      </c>
      <c r="CZ88" s="125" t="s">
        <v>491</v>
      </c>
      <c r="DA88" s="125" t="s">
        <v>491</v>
      </c>
      <c r="DB88" s="379" t="s">
        <v>491</v>
      </c>
      <c r="DC88" s="125" t="s">
        <v>491</v>
      </c>
      <c r="DD88" s="125" t="s">
        <v>491</v>
      </c>
      <c r="DE88" s="125" t="s">
        <v>491</v>
      </c>
      <c r="DF88" s="125" t="s">
        <v>491</v>
      </c>
      <c r="DG88" s="125" t="s">
        <v>491</v>
      </c>
      <c r="DH88" s="125" t="s">
        <v>491</v>
      </c>
      <c r="DI88" s="125" t="s">
        <v>491</v>
      </c>
      <c r="DJ88" s="379" t="s">
        <v>491</v>
      </c>
      <c r="DK88" s="125" t="s">
        <v>491</v>
      </c>
      <c r="DL88" s="125" t="s">
        <v>491</v>
      </c>
      <c r="DM88" s="125" t="s">
        <v>491</v>
      </c>
      <c r="DN88" s="125" t="s">
        <v>491</v>
      </c>
      <c r="DO88" s="125" t="s">
        <v>491</v>
      </c>
      <c r="DP88" s="125" t="s">
        <v>491</v>
      </c>
      <c r="DQ88" s="125" t="s">
        <v>491</v>
      </c>
      <c r="DR88" s="379" t="s">
        <v>491</v>
      </c>
      <c r="DS88" s="125" t="s">
        <v>491</v>
      </c>
      <c r="DT88" s="125" t="s">
        <v>491</v>
      </c>
      <c r="DU88" s="125" t="s">
        <v>491</v>
      </c>
      <c r="DV88" s="125" t="s">
        <v>491</v>
      </c>
      <c r="DW88" s="125" t="s">
        <v>491</v>
      </c>
      <c r="DX88" s="125"/>
      <c r="DY88" s="125"/>
      <c r="DZ88" s="379" t="s">
        <v>491</v>
      </c>
      <c r="EA88" s="125" t="s">
        <v>491</v>
      </c>
      <c r="EB88" s="125" t="s">
        <v>491</v>
      </c>
      <c r="EC88" s="125"/>
      <c r="ED88" s="125"/>
      <c r="EE88" s="125"/>
      <c r="EF88" s="125"/>
      <c r="EG88" s="480"/>
      <c r="EH88" s="406"/>
    </row>
    <row r="89" spans="1:140">
      <c r="A89" s="37" t="s">
        <v>225</v>
      </c>
      <c r="B89" s="91"/>
      <c r="C89" s="68"/>
      <c r="D89" s="68"/>
      <c r="E89" s="68"/>
      <c r="F89" s="68"/>
      <c r="G89" s="68"/>
      <c r="H89" s="68"/>
      <c r="I89" s="68"/>
      <c r="J89" s="468"/>
      <c r="K89" s="68"/>
      <c r="L89" s="68"/>
      <c r="M89" s="68"/>
      <c r="N89" s="68"/>
      <c r="O89" s="68"/>
      <c r="P89" s="68"/>
      <c r="Q89" s="68"/>
      <c r="R89" s="326">
        <f t="shared" ref="R89:AF89" si="303">SUM(R85:R88)</f>
        <v>608073</v>
      </c>
      <c r="S89" s="324">
        <f t="shared" si="303"/>
        <v>628455</v>
      </c>
      <c r="T89" s="324">
        <f t="shared" si="303"/>
        <v>628455</v>
      </c>
      <c r="U89" s="324">
        <f>SUM(U85:U88)</f>
        <v>636504</v>
      </c>
      <c r="V89" s="324">
        <f t="shared" si="303"/>
        <v>636504</v>
      </c>
      <c r="W89" s="324">
        <f>SUM(W85:W88)</f>
        <v>680560</v>
      </c>
      <c r="X89" s="324">
        <f>SUM(X85:X88)</f>
        <v>680560</v>
      </c>
      <c r="Y89" s="324">
        <f t="shared" si="303"/>
        <v>680560</v>
      </c>
      <c r="Z89" s="326">
        <f t="shared" si="303"/>
        <v>683248</v>
      </c>
      <c r="AA89" s="324">
        <f t="shared" si="303"/>
        <v>677447</v>
      </c>
      <c r="AB89" s="324">
        <f t="shared" si="303"/>
        <v>677447</v>
      </c>
      <c r="AC89" s="324">
        <f>SUM(AC85:AC88)</f>
        <v>765349</v>
      </c>
      <c r="AD89" s="324">
        <f t="shared" si="303"/>
        <v>765349</v>
      </c>
      <c r="AE89" s="324">
        <f t="shared" si="303"/>
        <v>857519</v>
      </c>
      <c r="AF89" s="324">
        <f t="shared" si="303"/>
        <v>857519</v>
      </c>
      <c r="AG89" s="324">
        <f>SUM(AG85:AG88)</f>
        <v>857519</v>
      </c>
      <c r="AH89" s="326">
        <f t="shared" ref="AH89:BE89" si="304">SUM(AH85:AH88)</f>
        <v>954564</v>
      </c>
      <c r="AI89" s="324">
        <f t="shared" si="304"/>
        <v>926978</v>
      </c>
      <c r="AJ89" s="324">
        <f t="shared" si="304"/>
        <v>926978</v>
      </c>
      <c r="AK89" s="324">
        <f>SUM(AK85:AK88)</f>
        <v>966870</v>
      </c>
      <c r="AL89" s="324">
        <f t="shared" si="304"/>
        <v>966870</v>
      </c>
      <c r="AM89" s="324">
        <f>SUM(AM85:AM88)</f>
        <v>1005864</v>
      </c>
      <c r="AN89" s="324">
        <f>SUM(AN85:AN88)</f>
        <v>1005864</v>
      </c>
      <c r="AO89" s="324">
        <f t="shared" si="304"/>
        <v>1005864</v>
      </c>
      <c r="AP89" s="326">
        <f t="shared" si="304"/>
        <v>956980</v>
      </c>
      <c r="AQ89" s="324">
        <f t="shared" si="304"/>
        <v>978087</v>
      </c>
      <c r="AR89" s="324">
        <f t="shared" si="304"/>
        <v>978087</v>
      </c>
      <c r="AS89" s="324">
        <f>SUM(AS85:AS88)</f>
        <v>986001</v>
      </c>
      <c r="AT89" s="324">
        <f t="shared" si="304"/>
        <v>986001</v>
      </c>
      <c r="AU89" s="324">
        <f>SUM(AU85:AU88)</f>
        <v>1060447</v>
      </c>
      <c r="AV89" s="324">
        <f>SUM(AV85:AV88)</f>
        <v>1060447</v>
      </c>
      <c r="AW89" s="324">
        <f t="shared" si="304"/>
        <v>1060447</v>
      </c>
      <c r="AX89" s="326">
        <f t="shared" si="304"/>
        <v>1030158</v>
      </c>
      <c r="AY89" s="324">
        <f t="shared" si="304"/>
        <v>980857</v>
      </c>
      <c r="AZ89" s="324">
        <f t="shared" si="304"/>
        <v>980857</v>
      </c>
      <c r="BA89" s="324">
        <f>SUM(BA85:BA88)</f>
        <v>945186</v>
      </c>
      <c r="BB89" s="324">
        <f t="shared" si="304"/>
        <v>945186</v>
      </c>
      <c r="BC89" s="324">
        <f>SUM(BC85:BC88)</f>
        <v>996822</v>
      </c>
      <c r="BD89" s="324">
        <f>SUM(BD85:BD88)</f>
        <v>996822</v>
      </c>
      <c r="BE89" s="324">
        <f t="shared" si="304"/>
        <v>996822</v>
      </c>
      <c r="BF89" s="384"/>
      <c r="BG89" s="127"/>
      <c r="BH89" s="127"/>
      <c r="BI89" s="127"/>
      <c r="BJ89" s="127"/>
      <c r="BK89" s="127"/>
      <c r="BL89" s="127"/>
      <c r="BM89" s="127"/>
      <c r="BN89" s="326">
        <f t="shared" ref="BN89:DA89" si="305">SUM(BN85:BN88)</f>
        <v>50479</v>
      </c>
      <c r="BO89" s="324">
        <f t="shared" si="305"/>
        <v>48999</v>
      </c>
      <c r="BP89" s="324">
        <f t="shared" si="305"/>
        <v>48999</v>
      </c>
      <c r="BQ89" s="324">
        <f t="shared" si="305"/>
        <v>48474</v>
      </c>
      <c r="BR89" s="324">
        <f t="shared" si="305"/>
        <v>48474</v>
      </c>
      <c r="BS89" s="324">
        <f t="shared" si="305"/>
        <v>461918</v>
      </c>
      <c r="BT89" s="324">
        <f t="shared" si="305"/>
        <v>461918</v>
      </c>
      <c r="BU89" s="324">
        <f t="shared" si="305"/>
        <v>461918</v>
      </c>
      <c r="BV89" s="326">
        <f t="shared" si="305"/>
        <v>34074</v>
      </c>
      <c r="BW89" s="324">
        <f t="shared" si="305"/>
        <v>0</v>
      </c>
      <c r="BX89" s="324">
        <f t="shared" si="305"/>
        <v>0</v>
      </c>
      <c r="BY89" s="324">
        <f t="shared" si="305"/>
        <v>0</v>
      </c>
      <c r="BZ89" s="324">
        <f t="shared" si="305"/>
        <v>0</v>
      </c>
      <c r="CA89" s="324">
        <f t="shared" si="305"/>
        <v>472972</v>
      </c>
      <c r="CB89" s="324">
        <f t="shared" si="305"/>
        <v>472972</v>
      </c>
      <c r="CC89" s="324">
        <f t="shared" si="305"/>
        <v>472972</v>
      </c>
      <c r="CD89" s="326">
        <f t="shared" si="305"/>
        <v>31921</v>
      </c>
      <c r="CE89" s="324">
        <f t="shared" si="305"/>
        <v>0</v>
      </c>
      <c r="CF89" s="324">
        <f t="shared" si="305"/>
        <v>0</v>
      </c>
      <c r="CG89" s="324">
        <f t="shared" si="305"/>
        <v>0</v>
      </c>
      <c r="CH89" s="324">
        <f t="shared" si="305"/>
        <v>0</v>
      </c>
      <c r="CI89" s="324">
        <f t="shared" si="305"/>
        <v>373962</v>
      </c>
      <c r="CJ89" s="324">
        <f t="shared" si="305"/>
        <v>373962</v>
      </c>
      <c r="CK89" s="324">
        <f t="shared" si="305"/>
        <v>373962</v>
      </c>
      <c r="CL89" s="326">
        <f t="shared" si="305"/>
        <v>0</v>
      </c>
      <c r="CM89" s="324">
        <f t="shared" si="305"/>
        <v>0</v>
      </c>
      <c r="CN89" s="324">
        <f t="shared" si="305"/>
        <v>0</v>
      </c>
      <c r="CO89" s="324">
        <f t="shared" si="305"/>
        <v>0</v>
      </c>
      <c r="CP89" s="324">
        <f t="shared" si="305"/>
        <v>0</v>
      </c>
      <c r="CQ89" s="324">
        <f t="shared" si="305"/>
        <v>399217</v>
      </c>
      <c r="CR89" s="324">
        <f t="shared" si="305"/>
        <v>399217</v>
      </c>
      <c r="CS89" s="324">
        <f t="shared" si="305"/>
        <v>399217</v>
      </c>
      <c r="CT89" s="326" t="s">
        <v>491</v>
      </c>
      <c r="CU89" s="324" t="s">
        <v>491</v>
      </c>
      <c r="CV89" s="324" t="s">
        <v>491</v>
      </c>
      <c r="CW89" s="324" t="s">
        <v>491</v>
      </c>
      <c r="CX89" s="324" t="s">
        <v>491</v>
      </c>
      <c r="CY89" s="324">
        <f t="shared" si="305"/>
        <v>449656</v>
      </c>
      <c r="CZ89" s="324">
        <f t="shared" si="305"/>
        <v>449656</v>
      </c>
      <c r="DA89" s="324">
        <f t="shared" si="305"/>
        <v>449656</v>
      </c>
      <c r="DB89" s="384" t="s">
        <v>491</v>
      </c>
      <c r="DC89" s="324" t="s">
        <v>491</v>
      </c>
      <c r="DD89" s="324" t="s">
        <v>491</v>
      </c>
      <c r="DE89" s="324" t="s">
        <v>491</v>
      </c>
      <c r="DF89" s="324" t="s">
        <v>491</v>
      </c>
      <c r="DG89" s="324">
        <f>SUM(DG85:DG88)</f>
        <v>554532</v>
      </c>
      <c r="DH89" s="324">
        <f>SUM(DH85:DH88)</f>
        <v>554532</v>
      </c>
      <c r="DI89" s="324">
        <f>SUM(DI85:DI88)</f>
        <v>554532</v>
      </c>
      <c r="DJ89" s="384" t="s">
        <v>491</v>
      </c>
      <c r="DK89" s="324" t="s">
        <v>491</v>
      </c>
      <c r="DL89" s="324" t="s">
        <v>491</v>
      </c>
      <c r="DM89" s="324" t="s">
        <v>491</v>
      </c>
      <c r="DN89" s="324" t="s">
        <v>491</v>
      </c>
      <c r="DO89" s="324">
        <f>SUM(DO85:DO88)</f>
        <v>629792</v>
      </c>
      <c r="DP89" s="324">
        <f>SUM(DP85:DP88)</f>
        <v>629792</v>
      </c>
      <c r="DQ89" s="324">
        <f>SUM(DQ85:DQ88)</f>
        <v>629792</v>
      </c>
      <c r="DR89" s="384" t="s">
        <v>491</v>
      </c>
      <c r="DS89" s="324" t="s">
        <v>491</v>
      </c>
      <c r="DT89" s="324" t="s">
        <v>491</v>
      </c>
      <c r="DU89" s="324" t="s">
        <v>491</v>
      </c>
      <c r="DV89" s="324" t="s">
        <v>491</v>
      </c>
      <c r="DW89" s="324" t="s">
        <v>491</v>
      </c>
      <c r="DX89" s="324"/>
      <c r="DY89" s="324"/>
      <c r="DZ89" s="384" t="s">
        <v>491</v>
      </c>
      <c r="EA89" s="324" t="s">
        <v>491</v>
      </c>
      <c r="EB89" s="324" t="s">
        <v>491</v>
      </c>
      <c r="EC89" s="324"/>
      <c r="ED89" s="324"/>
      <c r="EE89" s="324"/>
      <c r="EF89" s="477"/>
      <c r="EG89" s="478"/>
      <c r="EH89" s="406"/>
    </row>
    <row r="90" spans="1:140" s="177" customFormat="1">
      <c r="B90" s="178"/>
      <c r="C90" s="179"/>
      <c r="D90" s="179"/>
      <c r="E90" s="179"/>
      <c r="F90" s="179"/>
      <c r="G90" s="179"/>
      <c r="H90" s="179"/>
      <c r="I90" s="179"/>
      <c r="J90" s="464"/>
      <c r="K90" s="179"/>
      <c r="L90" s="179"/>
      <c r="M90" s="179"/>
      <c r="N90" s="179"/>
      <c r="O90" s="179"/>
      <c r="P90" s="179"/>
      <c r="Q90" s="179"/>
      <c r="R90" s="464"/>
      <c r="S90" s="179"/>
      <c r="T90" s="179"/>
      <c r="U90" s="179"/>
      <c r="V90" s="179"/>
      <c r="W90" s="179"/>
      <c r="X90" s="179"/>
      <c r="Y90" s="179"/>
      <c r="Z90" s="464"/>
      <c r="AA90" s="179"/>
      <c r="AB90" s="179"/>
      <c r="AC90" s="179"/>
      <c r="AD90" s="179"/>
      <c r="AE90" s="179"/>
      <c r="AF90" s="179"/>
      <c r="AG90" s="179"/>
      <c r="AH90" s="464"/>
      <c r="AI90" s="179"/>
      <c r="AJ90" s="179"/>
      <c r="AK90" s="179"/>
      <c r="AL90" s="179"/>
      <c r="AM90" s="179"/>
      <c r="AN90" s="179"/>
      <c r="AO90" s="179"/>
      <c r="AP90" s="463"/>
      <c r="AQ90" s="180"/>
      <c r="AR90" s="180"/>
      <c r="AS90" s="180"/>
      <c r="AT90" s="180"/>
      <c r="AU90" s="180"/>
      <c r="AV90" s="180"/>
      <c r="AW90" s="180"/>
      <c r="AX90" s="389"/>
      <c r="AY90" s="180"/>
      <c r="AZ90" s="180"/>
      <c r="BA90" s="180"/>
      <c r="BB90" s="180"/>
      <c r="BC90" s="180"/>
      <c r="BD90" s="180"/>
      <c r="BE90" s="180"/>
      <c r="BF90" s="389"/>
      <c r="BG90" s="180"/>
      <c r="BH90" s="180"/>
      <c r="BI90" s="180"/>
      <c r="BJ90" s="180"/>
      <c r="BK90" s="180"/>
      <c r="BL90" s="180"/>
      <c r="BM90" s="180"/>
      <c r="BN90" s="389"/>
      <c r="BO90" s="180"/>
      <c r="BP90" s="180"/>
      <c r="BQ90" s="180"/>
      <c r="BR90" s="180"/>
      <c r="BS90" s="180"/>
      <c r="BT90" s="180"/>
      <c r="BU90" s="180"/>
      <c r="BV90" s="389"/>
      <c r="BW90" s="180"/>
      <c r="BX90" s="180"/>
      <c r="BY90" s="180"/>
      <c r="BZ90" s="180"/>
      <c r="CA90" s="180"/>
      <c r="CB90" s="180"/>
      <c r="CC90" s="180"/>
      <c r="CD90" s="389"/>
      <c r="CE90" s="180"/>
      <c r="CF90" s="180"/>
      <c r="CG90" s="180"/>
      <c r="CH90" s="180"/>
      <c r="CI90" s="180"/>
      <c r="CJ90" s="180"/>
      <c r="CK90" s="180"/>
      <c r="CL90" s="389"/>
      <c r="CM90" s="180"/>
      <c r="CN90" s="180"/>
      <c r="CO90" s="180"/>
      <c r="CP90" s="180"/>
      <c r="CQ90" s="180"/>
      <c r="CR90" s="180"/>
      <c r="CS90" s="180"/>
      <c r="CT90" s="389"/>
      <c r="CU90" s="180"/>
      <c r="CV90" s="334"/>
      <c r="CW90" s="334"/>
      <c r="CX90" s="334"/>
      <c r="CY90" s="334"/>
      <c r="CZ90" s="334"/>
      <c r="DA90" s="334"/>
      <c r="DB90" s="385"/>
      <c r="DC90" s="334"/>
      <c r="DD90" s="334"/>
      <c r="DE90" s="334"/>
      <c r="DF90" s="334"/>
      <c r="DG90" s="334"/>
      <c r="DH90" s="334"/>
      <c r="DI90" s="334"/>
      <c r="DJ90" s="385"/>
      <c r="DK90" s="334"/>
      <c r="DL90" s="334"/>
      <c r="DM90" s="334"/>
      <c r="DN90" s="334"/>
      <c r="DO90" s="334"/>
      <c r="DP90" s="334"/>
      <c r="DQ90" s="334"/>
      <c r="DR90" s="385"/>
      <c r="DS90" s="334"/>
      <c r="DT90" s="334"/>
      <c r="DU90" s="334"/>
      <c r="DV90" s="334"/>
      <c r="DW90" s="334"/>
      <c r="DX90" s="334"/>
      <c r="DY90" s="334"/>
      <c r="DZ90" s="385"/>
      <c r="EA90" s="334"/>
      <c r="EB90" s="334"/>
      <c r="EC90" s="334"/>
      <c r="ED90" s="334"/>
      <c r="EE90" s="334"/>
      <c r="EF90" s="334"/>
      <c r="EG90" s="335"/>
      <c r="EH90" s="610"/>
    </row>
    <row r="91" spans="1:140">
      <c r="B91" s="42"/>
      <c r="J91" s="369"/>
      <c r="R91" s="369"/>
      <c r="Z91" s="369"/>
      <c r="AH91" s="369"/>
      <c r="AP91" s="369"/>
      <c r="AQ91" s="43"/>
      <c r="AR91" s="43"/>
      <c r="AS91" s="43"/>
      <c r="AT91" s="43"/>
      <c r="AU91" s="43"/>
      <c r="AV91" s="43"/>
      <c r="AW91" s="43"/>
      <c r="AX91" s="369"/>
      <c r="AY91" s="43"/>
      <c r="AZ91" s="43"/>
      <c r="BA91" s="43"/>
      <c r="BB91" s="43"/>
      <c r="BC91" s="43"/>
      <c r="BD91" s="43"/>
      <c r="BE91" s="43"/>
      <c r="BF91" s="369"/>
      <c r="BG91" s="43"/>
      <c r="BH91" s="43"/>
      <c r="BI91" s="43"/>
      <c r="BJ91" s="43"/>
      <c r="BK91" s="43"/>
      <c r="BL91" s="43"/>
      <c r="BM91" s="43"/>
      <c r="BN91" s="408"/>
      <c r="BO91" s="122"/>
      <c r="BP91" s="122"/>
      <c r="BQ91" s="122"/>
      <c r="BR91" s="122"/>
      <c r="BS91" s="122"/>
      <c r="BT91" s="122"/>
      <c r="BU91" s="122"/>
      <c r="BV91" s="369"/>
      <c r="BW91" s="122"/>
      <c r="BX91" s="122"/>
      <c r="BY91" s="43"/>
      <c r="BZ91" s="43"/>
      <c r="CA91" s="64"/>
      <c r="CB91" s="43"/>
      <c r="CC91" s="43"/>
      <c r="CD91" s="369"/>
      <c r="CE91" s="43"/>
      <c r="CF91" s="43"/>
      <c r="CG91" s="43"/>
      <c r="CH91" s="43"/>
      <c r="CI91" s="43"/>
      <c r="CJ91" s="43"/>
      <c r="CK91" s="43"/>
      <c r="CL91" s="369"/>
      <c r="CM91" s="43"/>
      <c r="CN91" s="43"/>
      <c r="CO91" s="43"/>
      <c r="CP91" s="43"/>
      <c r="CQ91" s="43"/>
      <c r="CR91" s="43"/>
      <c r="CS91" s="43"/>
      <c r="CT91" s="369"/>
      <c r="CU91" s="43"/>
      <c r="CV91" s="64"/>
      <c r="CW91" s="64"/>
      <c r="CX91" s="64"/>
      <c r="CY91" s="123"/>
      <c r="CZ91" s="64"/>
      <c r="DA91" s="64"/>
      <c r="DB91" s="386"/>
      <c r="DC91" s="64"/>
      <c r="DD91" s="64"/>
      <c r="DE91" s="64"/>
      <c r="DF91" s="64"/>
      <c r="DG91" s="123"/>
      <c r="DH91" s="64"/>
      <c r="DI91" s="64"/>
      <c r="DJ91" s="386"/>
      <c r="DK91" s="64"/>
      <c r="DL91" s="64"/>
      <c r="DM91" s="64"/>
      <c r="DN91" s="64"/>
      <c r="DO91" s="123"/>
      <c r="DP91" s="64"/>
      <c r="DQ91" s="64"/>
      <c r="DR91" s="386"/>
      <c r="DS91" s="64"/>
      <c r="DT91" s="64"/>
      <c r="DU91" s="64"/>
      <c r="DV91" s="64"/>
      <c r="DW91" s="123"/>
      <c r="DX91" s="64"/>
      <c r="DY91" s="64"/>
      <c r="DZ91" s="386"/>
      <c r="EA91" s="64"/>
      <c r="EB91" s="64"/>
      <c r="EC91" s="64"/>
      <c r="ED91" s="64"/>
      <c r="EE91" s="123"/>
      <c r="EF91" s="64"/>
      <c r="EG91" s="63"/>
      <c r="EH91" s="406"/>
    </row>
    <row r="92" spans="1:140">
      <c r="A92" s="12" t="s">
        <v>16</v>
      </c>
      <c r="B92" s="42"/>
      <c r="J92" s="369"/>
      <c r="R92" s="369"/>
      <c r="Z92" s="369"/>
      <c r="AH92" s="369"/>
      <c r="AP92" s="369"/>
      <c r="AQ92" s="43"/>
      <c r="AR92" s="43"/>
      <c r="AS92" s="43"/>
      <c r="AT92" s="64"/>
      <c r="AU92" s="43"/>
      <c r="AV92" s="43"/>
      <c r="AW92" s="43"/>
      <c r="AX92" s="369"/>
      <c r="AY92" s="43"/>
      <c r="AZ92" s="43"/>
      <c r="BA92" s="43"/>
      <c r="BB92" s="43"/>
      <c r="BC92" s="43"/>
      <c r="BD92" s="43"/>
      <c r="BE92" s="43"/>
      <c r="BF92" s="369"/>
      <c r="BG92" s="43"/>
      <c r="BH92" s="43"/>
      <c r="BI92" s="43"/>
      <c r="BJ92" s="43"/>
      <c r="BK92" s="43"/>
      <c r="BL92" s="43"/>
      <c r="BM92" s="43"/>
      <c r="BN92" s="408"/>
      <c r="BO92" s="122"/>
      <c r="BP92" s="122"/>
      <c r="BQ92" s="122"/>
      <c r="BR92" s="122"/>
      <c r="BS92" s="122"/>
      <c r="BT92" s="122"/>
      <c r="BU92" s="122"/>
      <c r="BV92" s="369"/>
      <c r="BW92" s="43"/>
      <c r="BX92" s="43"/>
      <c r="BY92" s="43"/>
      <c r="BZ92" s="43"/>
      <c r="CA92" s="43"/>
      <c r="CB92" s="43"/>
      <c r="CC92" s="43"/>
      <c r="CD92" s="369"/>
      <c r="CE92" s="43"/>
      <c r="CF92" s="43"/>
      <c r="CG92" s="43"/>
      <c r="CH92" s="43"/>
      <c r="CI92" s="43"/>
      <c r="CJ92" s="43"/>
      <c r="CK92" s="43"/>
      <c r="CL92" s="369"/>
      <c r="CM92" s="43"/>
      <c r="CN92" s="43"/>
      <c r="CO92" s="43"/>
      <c r="CP92" s="43"/>
      <c r="CQ92" s="43"/>
      <c r="CR92" s="43"/>
      <c r="CS92" s="43"/>
      <c r="CT92" s="369"/>
      <c r="CU92" s="43"/>
      <c r="CV92" s="64"/>
      <c r="CW92" s="64"/>
      <c r="CX92" s="64"/>
      <c r="CY92" s="64"/>
      <c r="CZ92" s="64"/>
      <c r="DA92" s="64"/>
      <c r="DB92" s="386"/>
      <c r="DC92" s="64"/>
      <c r="DD92" s="64"/>
      <c r="DE92" s="64"/>
      <c r="DF92" s="64"/>
      <c r="DG92" s="64"/>
      <c r="DH92" s="64"/>
      <c r="DI92" s="64"/>
      <c r="DJ92" s="386"/>
      <c r="DK92" s="64"/>
      <c r="DL92" s="64"/>
      <c r="DM92" s="64"/>
      <c r="DN92" s="64"/>
      <c r="DO92" s="64"/>
      <c r="DP92" s="64"/>
      <c r="DQ92" s="64"/>
      <c r="DR92" s="386"/>
      <c r="DS92" s="64"/>
      <c r="DT92" s="64"/>
      <c r="DU92" s="64"/>
      <c r="DV92" s="64"/>
      <c r="DW92" s="64"/>
      <c r="DX92" s="64"/>
      <c r="DY92" s="64"/>
      <c r="DZ92" s="386"/>
      <c r="EA92" s="64"/>
      <c r="EB92" s="64"/>
      <c r="EC92" s="64"/>
      <c r="ED92" s="64"/>
      <c r="EE92" s="64"/>
      <c r="EF92" s="64"/>
      <c r="EG92" s="63"/>
      <c r="EH92" s="406"/>
    </row>
    <row r="93" spans="1:140">
      <c r="A93" s="113" t="s">
        <v>14</v>
      </c>
      <c r="B93" s="42"/>
      <c r="J93" s="369"/>
      <c r="R93" s="387">
        <v>8759</v>
      </c>
      <c r="S93" s="64">
        <f>T93-R93</f>
        <v>9343</v>
      </c>
      <c r="T93" s="149">
        <v>18102</v>
      </c>
      <c r="U93" s="64">
        <f>V93-T93</f>
        <v>9226</v>
      </c>
      <c r="V93" s="149">
        <v>27328</v>
      </c>
      <c r="W93" s="64">
        <f>Y93-V93</f>
        <v>12166</v>
      </c>
      <c r="X93" s="64">
        <f>Y93-T93</f>
        <v>21392</v>
      </c>
      <c r="Y93" s="149">
        <v>39494</v>
      </c>
      <c r="Z93" s="387">
        <v>8937</v>
      </c>
      <c r="AA93" s="149">
        <v>10492</v>
      </c>
      <c r="AB93" s="64">
        <f>Z93+AA93</f>
        <v>19429</v>
      </c>
      <c r="AC93" s="150">
        <v>9391</v>
      </c>
      <c r="AD93" s="103">
        <f>SUM(AB93:AC93)</f>
        <v>28820</v>
      </c>
      <c r="AE93" s="103">
        <f>AG93-AD93</f>
        <v>13460</v>
      </c>
      <c r="AF93" s="64">
        <f>AG93-AB93</f>
        <v>22851</v>
      </c>
      <c r="AG93" s="64">
        <f>'Income Statement'!J7</f>
        <v>42280</v>
      </c>
      <c r="AH93" s="387">
        <v>8565</v>
      </c>
      <c r="AI93" s="149">
        <v>12516</v>
      </c>
      <c r="AJ93" s="64">
        <f>AH93+AI93</f>
        <v>21081</v>
      </c>
      <c r="AK93" s="103">
        <f>AL93-AJ93</f>
        <v>10038</v>
      </c>
      <c r="AL93" s="150">
        <v>31119</v>
      </c>
      <c r="AM93" s="103">
        <f>AO93-AL93</f>
        <v>14735</v>
      </c>
      <c r="AN93" s="64">
        <f>AO93-AJ93</f>
        <v>24773</v>
      </c>
      <c r="AO93" s="64">
        <f>'Income Statement'!K7</f>
        <v>45854</v>
      </c>
      <c r="AP93" s="387">
        <v>8668</v>
      </c>
      <c r="AQ93" s="149">
        <v>12393</v>
      </c>
      <c r="AR93" s="64">
        <f>AP93+AQ93</f>
        <v>21061</v>
      </c>
      <c r="AS93" s="103">
        <f>AT93-AR93</f>
        <v>10450</v>
      </c>
      <c r="AT93" s="149">
        <v>31511</v>
      </c>
      <c r="AU93" s="103">
        <f>AW93-AT93</f>
        <v>17726</v>
      </c>
      <c r="AV93" s="64">
        <f>AW93-AR93</f>
        <v>28176</v>
      </c>
      <c r="AW93" s="149">
        <v>49237</v>
      </c>
      <c r="AX93" s="387">
        <v>9825</v>
      </c>
      <c r="AY93" s="149">
        <v>11964</v>
      </c>
      <c r="AZ93" s="64">
        <f>AY93+AX93</f>
        <v>21789</v>
      </c>
      <c r="BA93" s="149">
        <v>10854</v>
      </c>
      <c r="BB93" s="103">
        <f>BA93+AZ93</f>
        <v>32643</v>
      </c>
      <c r="BC93" s="64">
        <f>BE93-BB93</f>
        <v>18315</v>
      </c>
      <c r="BD93" s="64">
        <f>BC93+BA93</f>
        <v>29169</v>
      </c>
      <c r="BE93" s="149">
        <v>50958</v>
      </c>
      <c r="BF93" s="387">
        <v>8166</v>
      </c>
      <c r="BG93" s="64">
        <f>BH93-BF93</f>
        <v>10016</v>
      </c>
      <c r="BH93" s="149">
        <v>18182</v>
      </c>
      <c r="BI93" s="64">
        <f>BJ93-BH93</f>
        <v>9397</v>
      </c>
      <c r="BJ93" s="150">
        <v>27579</v>
      </c>
      <c r="BK93" s="64">
        <f>BL93-BI93</f>
        <v>15907</v>
      </c>
      <c r="BL93" s="64">
        <f>BM93-BH93</f>
        <v>25304</v>
      </c>
      <c r="BM93" s="149">
        <v>43486</v>
      </c>
      <c r="BN93" s="387">
        <v>7222</v>
      </c>
      <c r="BO93" s="123">
        <f>BP93-BN93</f>
        <v>11324</v>
      </c>
      <c r="BP93" s="149">
        <v>18546</v>
      </c>
      <c r="BQ93" s="149">
        <v>11932</v>
      </c>
      <c r="BR93" s="123">
        <f>BQ93+BP93</f>
        <v>30478</v>
      </c>
      <c r="BS93" s="123">
        <f>BU93-BR93</f>
        <v>17492</v>
      </c>
      <c r="BT93" s="123">
        <f>BU93-BP93</f>
        <v>29424</v>
      </c>
      <c r="BU93" s="123">
        <f>'Income Statement'!N7</f>
        <v>47970</v>
      </c>
      <c r="BV93" s="387">
        <v>9697</v>
      </c>
      <c r="BW93" s="149">
        <v>14346</v>
      </c>
      <c r="BX93" s="123">
        <f>BW93+BV93</f>
        <v>24043</v>
      </c>
      <c r="BY93" s="149">
        <v>11529</v>
      </c>
      <c r="BZ93" s="64">
        <f>BY93+BX93</f>
        <v>35572</v>
      </c>
      <c r="CA93" s="64">
        <f>CC93-BZ93</f>
        <v>19203</v>
      </c>
      <c r="CB93" s="64">
        <f>CA93+BY93</f>
        <v>30732</v>
      </c>
      <c r="CC93" s="64">
        <f>'Income Statement'!O7</f>
        <v>54775</v>
      </c>
      <c r="CD93" s="387">
        <v>7569</v>
      </c>
      <c r="CE93" s="149">
        <v>4964</v>
      </c>
      <c r="CF93" s="123">
        <f>CE93+CD93</f>
        <v>12533</v>
      </c>
      <c r="CG93" s="149">
        <v>7738</v>
      </c>
      <c r="CH93" s="123">
        <f>CG93+CF93</f>
        <v>20271</v>
      </c>
      <c r="CI93" s="64">
        <f>CK93-CH93</f>
        <v>13979</v>
      </c>
      <c r="CJ93" s="123">
        <f>CI93+CG93</f>
        <v>21717</v>
      </c>
      <c r="CK93" s="64">
        <f>'Income Statement'!P7</f>
        <v>34250</v>
      </c>
      <c r="CL93" s="387">
        <v>7272</v>
      </c>
      <c r="CM93" s="149">
        <v>10541</v>
      </c>
      <c r="CN93" s="123">
        <f>CL93+CM93</f>
        <v>17813</v>
      </c>
      <c r="CO93" s="149">
        <v>6805</v>
      </c>
      <c r="CP93" s="123">
        <f>CO93+CN93</f>
        <v>24618</v>
      </c>
      <c r="CQ93" s="64">
        <f>CS93-CP93</f>
        <v>11546</v>
      </c>
      <c r="CR93" s="123">
        <f>CQ93+CO93</f>
        <v>18351</v>
      </c>
      <c r="CS93" s="64">
        <f>'Income Statement'!Q7</f>
        <v>36164</v>
      </c>
      <c r="CT93" s="387">
        <v>8541</v>
      </c>
      <c r="CU93" s="149">
        <v>8992</v>
      </c>
      <c r="CV93" s="123">
        <f>CU93+CT93</f>
        <v>17533</v>
      </c>
      <c r="CW93" s="149">
        <v>9121</v>
      </c>
      <c r="CX93" s="123">
        <f>CW93+CV93</f>
        <v>26654</v>
      </c>
      <c r="CY93" s="123">
        <f>DA93-CW93-CU93-CT93</f>
        <v>14774</v>
      </c>
      <c r="CZ93" s="123">
        <f>CY93+CW93</f>
        <v>23895</v>
      </c>
      <c r="DA93" s="64">
        <f>'Income Statement'!R7</f>
        <v>41428</v>
      </c>
      <c r="DB93" s="387">
        <v>8110</v>
      </c>
      <c r="DC93" s="149">
        <v>12239</v>
      </c>
      <c r="DD93" s="123">
        <f>DC93+DB93</f>
        <v>20349</v>
      </c>
      <c r="DE93" s="149">
        <v>11158</v>
      </c>
      <c r="DF93" s="123">
        <f>DE93+DD93</f>
        <v>31507</v>
      </c>
      <c r="DG93" s="123">
        <f>DI93-DF93</f>
        <v>16256</v>
      </c>
      <c r="DH93" s="123">
        <f>DG93+DE93</f>
        <v>27414</v>
      </c>
      <c r="DI93" s="64">
        <f>INDEX('Income Statement'!7:7,MATCH(Interims!DI$1,'Income Statement'!$2:$2,0))</f>
        <v>47763</v>
      </c>
      <c r="DJ93" s="387">
        <v>9167</v>
      </c>
      <c r="DK93" s="149">
        <v>12048</v>
      </c>
      <c r="DL93" s="123">
        <f>DK93+DJ93</f>
        <v>21215</v>
      </c>
      <c r="DM93" s="149">
        <v>11664</v>
      </c>
      <c r="DN93" s="123">
        <f>DM93+DL93</f>
        <v>32879</v>
      </c>
      <c r="DO93" s="123">
        <f>DQ93-DN93</f>
        <v>17767</v>
      </c>
      <c r="DP93" s="123">
        <f>DO93+DM93</f>
        <v>29431</v>
      </c>
      <c r="DQ93" s="64">
        <f>INDEX('Income Statement'!7:7,MATCH(Interims!DQ$1,'Income Statement'!$2:$2,0))</f>
        <v>50646</v>
      </c>
      <c r="DR93" s="387">
        <v>9521</v>
      </c>
      <c r="DS93" s="149">
        <v>11308</v>
      </c>
      <c r="DT93" s="123">
        <f>SUM(DR93:DS93)</f>
        <v>20829</v>
      </c>
      <c r="DU93" s="149">
        <v>13057</v>
      </c>
      <c r="DV93" s="123">
        <f>DT93+DU93</f>
        <v>33886</v>
      </c>
      <c r="DW93" s="125">
        <f t="shared" ref="DW93:DW95" si="306">DY93-DV93</f>
        <v>18691</v>
      </c>
      <c r="DX93" s="123">
        <f>DW93+DU93</f>
        <v>31748</v>
      </c>
      <c r="DY93" s="64">
        <f>INDEX('Income Statement'!7:7, MATCH(Interims!$DY$1,'Income Statement'!$2:$2,0))</f>
        <v>52577</v>
      </c>
      <c r="DZ93" s="387">
        <v>8436</v>
      </c>
      <c r="EA93" s="149">
        <v>15441</v>
      </c>
      <c r="EB93" s="123">
        <f>DZ93+EA93</f>
        <v>23877</v>
      </c>
      <c r="EC93" s="123">
        <f>(DU93/DY93)*EG93</f>
        <v>14390.246416597392</v>
      </c>
      <c r="ED93" s="123">
        <f>EB93+EC93</f>
        <v>38267.246416597394</v>
      </c>
      <c r="EE93" s="123">
        <f t="shared" ref="EE93:EE95" si="307">EG93-ED93</f>
        <v>19678.375536794738</v>
      </c>
      <c r="EF93" s="123">
        <f>EE93+EC93</f>
        <v>34068.621953392132</v>
      </c>
      <c r="EG93" s="109">
        <f>INDEX('Income Statement'!7:7, MATCH(Interims!$EG$1,'Income Statement'!$2:$2,0))</f>
        <v>57945.621953392132</v>
      </c>
      <c r="EH93" s="406"/>
      <c r="EJ93" s="19"/>
    </row>
    <row r="94" spans="1:140">
      <c r="A94" s="107" t="s">
        <v>385</v>
      </c>
      <c r="B94" s="42"/>
      <c r="J94" s="369"/>
      <c r="R94" s="387">
        <v>1038</v>
      </c>
      <c r="S94" s="64">
        <f>T94-R94</f>
        <v>1546</v>
      </c>
      <c r="T94" s="149">
        <v>2584</v>
      </c>
      <c r="U94" s="64">
        <f>V94-T94</f>
        <v>1548</v>
      </c>
      <c r="V94" s="149">
        <v>4132</v>
      </c>
      <c r="W94" s="64">
        <f>Y94-V94</f>
        <v>2165</v>
      </c>
      <c r="X94" s="64">
        <f>Y94-T94</f>
        <v>3713</v>
      </c>
      <c r="Y94" s="149">
        <v>6297</v>
      </c>
      <c r="Z94" s="387">
        <v>1182</v>
      </c>
      <c r="AA94" s="149">
        <v>1619</v>
      </c>
      <c r="AB94" s="64">
        <f>Z94+AA94</f>
        <v>2801</v>
      </c>
      <c r="AC94" s="150">
        <v>1459</v>
      </c>
      <c r="AD94" s="103">
        <f>SUM(AB94:AC94)</f>
        <v>4260</v>
      </c>
      <c r="AE94" s="103">
        <f>AG94-AD94</f>
        <v>2264</v>
      </c>
      <c r="AF94" s="64">
        <f>AG94-AB94</f>
        <v>3723</v>
      </c>
      <c r="AG94" s="64">
        <f>'Income Statement'!J9</f>
        <v>6524</v>
      </c>
      <c r="AH94" s="387">
        <v>1285</v>
      </c>
      <c r="AI94" s="149">
        <v>1665</v>
      </c>
      <c r="AJ94" s="64">
        <f>AH94+AI94</f>
        <v>2950</v>
      </c>
      <c r="AK94" s="103">
        <f>AL94-AJ94</f>
        <v>1473</v>
      </c>
      <c r="AL94" s="150">
        <v>4423</v>
      </c>
      <c r="AM94" s="103">
        <f>AO94-AL94</f>
        <v>2363</v>
      </c>
      <c r="AN94" s="64">
        <f>AO94-AJ94</f>
        <v>3836</v>
      </c>
      <c r="AO94" s="64">
        <f>'Income Statement'!K9</f>
        <v>6786</v>
      </c>
      <c r="AP94" s="387">
        <v>1158</v>
      </c>
      <c r="AQ94" s="149">
        <v>1529</v>
      </c>
      <c r="AR94" s="64">
        <f>AP94+AQ94</f>
        <v>2687</v>
      </c>
      <c r="AS94" s="103">
        <f>AT94-AR94</f>
        <v>1595</v>
      </c>
      <c r="AT94" s="149">
        <v>4282</v>
      </c>
      <c r="AU94" s="103">
        <f>AW94-AT94</f>
        <v>2370</v>
      </c>
      <c r="AV94" s="64">
        <f>AW94-AR94</f>
        <v>3965</v>
      </c>
      <c r="AW94" s="149">
        <v>6652</v>
      </c>
      <c r="AX94" s="387">
        <v>1291</v>
      </c>
      <c r="AY94" s="149">
        <v>1630</v>
      </c>
      <c r="AZ94" s="64">
        <f>AY94+AX94</f>
        <v>2921</v>
      </c>
      <c r="BA94" s="149">
        <v>1467</v>
      </c>
      <c r="BB94" s="103">
        <f>BA94+AZ94</f>
        <v>4388</v>
      </c>
      <c r="BC94" s="64">
        <f>BE94-BB94</f>
        <v>2062</v>
      </c>
      <c r="BD94" s="64">
        <f>(AV94/$AW94)*$BE94</f>
        <v>3844.5956103427538</v>
      </c>
      <c r="BE94" s="149">
        <v>6450</v>
      </c>
      <c r="BF94" s="387">
        <v>1176</v>
      </c>
      <c r="BG94" s="64">
        <f t="shared" ref="BG94:BI96" si="308">BH94-BF94</f>
        <v>1540</v>
      </c>
      <c r="BH94" s="149">
        <v>2716</v>
      </c>
      <c r="BI94" s="64">
        <f t="shared" si="308"/>
        <v>1481</v>
      </c>
      <c r="BJ94" s="150">
        <v>4197</v>
      </c>
      <c r="BK94" s="64">
        <f>BL94-BI94</f>
        <v>2138</v>
      </c>
      <c r="BL94" s="64">
        <f>BM94-BH94</f>
        <v>3619</v>
      </c>
      <c r="BM94" s="149">
        <v>6335</v>
      </c>
      <c r="BN94" s="387">
        <v>961</v>
      </c>
      <c r="BO94" s="123">
        <f>BP94-BN94</f>
        <v>1427</v>
      </c>
      <c r="BP94" s="149">
        <v>2388</v>
      </c>
      <c r="BQ94" s="149">
        <v>1367</v>
      </c>
      <c r="BR94" s="123">
        <f>BQ94+BP94</f>
        <v>3755</v>
      </c>
      <c r="BS94" s="123">
        <f>BU94-BR94</f>
        <v>2179</v>
      </c>
      <c r="BT94" s="123">
        <f>BS94+BQ94</f>
        <v>3546</v>
      </c>
      <c r="BU94" s="123">
        <f>'Income Statement'!N9</f>
        <v>5934</v>
      </c>
      <c r="BV94" s="387">
        <v>1007</v>
      </c>
      <c r="BW94" s="149">
        <v>1364</v>
      </c>
      <c r="BX94" s="123">
        <f>BW94+BV94</f>
        <v>2371</v>
      </c>
      <c r="BY94" s="149">
        <v>1341</v>
      </c>
      <c r="BZ94" s="64">
        <f>BY94+BX94</f>
        <v>3712</v>
      </c>
      <c r="CA94" s="64">
        <f>CC94-BZ94</f>
        <v>2295</v>
      </c>
      <c r="CB94" s="64">
        <f>CA94+BY94</f>
        <v>3636</v>
      </c>
      <c r="CC94" s="64">
        <f>'Income Statement'!O9</f>
        <v>6007</v>
      </c>
      <c r="CD94" s="387">
        <v>1202</v>
      </c>
      <c r="CE94" s="149">
        <v>1131</v>
      </c>
      <c r="CF94" s="64">
        <f>CE94+CD94</f>
        <v>2333</v>
      </c>
      <c r="CG94" s="149">
        <v>1290</v>
      </c>
      <c r="CH94" s="64">
        <f>CG94+CF94</f>
        <v>3623</v>
      </c>
      <c r="CI94" s="64">
        <f>CK94-CH94</f>
        <v>2628</v>
      </c>
      <c r="CJ94" s="64">
        <f>CI94+CG94</f>
        <v>3918</v>
      </c>
      <c r="CK94" s="64">
        <f>'Income Statement'!P9</f>
        <v>6251</v>
      </c>
      <c r="CL94" s="387">
        <v>1177</v>
      </c>
      <c r="CM94" s="149">
        <v>1417</v>
      </c>
      <c r="CN94" s="64">
        <f>CL94+CM94</f>
        <v>2594</v>
      </c>
      <c r="CO94" s="149">
        <v>1543</v>
      </c>
      <c r="CP94" s="64">
        <f>CO94+CN94</f>
        <v>4137</v>
      </c>
      <c r="CQ94" s="64">
        <f>CS94-CP94</f>
        <v>2372</v>
      </c>
      <c r="CR94" s="64">
        <f>CQ94+CO94</f>
        <v>3915</v>
      </c>
      <c r="CS94" s="64">
        <f>'Income Statement'!Q9</f>
        <v>6509</v>
      </c>
      <c r="CT94" s="387">
        <v>1265</v>
      </c>
      <c r="CU94" s="149">
        <v>1479</v>
      </c>
      <c r="CV94" s="64">
        <f>CU94+CT94</f>
        <v>2744</v>
      </c>
      <c r="CW94" s="149">
        <v>1771</v>
      </c>
      <c r="CX94" s="64">
        <f>CW94+CV94</f>
        <v>4515</v>
      </c>
      <c r="CY94" s="123">
        <f>DA94-CW94-CU94-CT94</f>
        <v>2533</v>
      </c>
      <c r="CZ94" s="64">
        <f>CY94+CW94</f>
        <v>4304</v>
      </c>
      <c r="DA94" s="64">
        <f>'Income Statement'!R9</f>
        <v>7048</v>
      </c>
      <c r="DB94" s="387">
        <v>1598</v>
      </c>
      <c r="DC94" s="149">
        <v>1596</v>
      </c>
      <c r="DD94" s="64">
        <f>DC94+DB94</f>
        <v>3194</v>
      </c>
      <c r="DE94" s="149">
        <v>1468</v>
      </c>
      <c r="DF94" s="64">
        <f>DE94+DD94</f>
        <v>4662</v>
      </c>
      <c r="DG94" s="123">
        <f>DI94-DF94</f>
        <v>2675</v>
      </c>
      <c r="DH94" s="64">
        <f>DG94+DE94</f>
        <v>4143</v>
      </c>
      <c r="DI94" s="64">
        <f>INDEX('Income Statement'!9:9,MATCH(Interims!DI$1,'Income Statement'!$2:$2,0))</f>
        <v>7337</v>
      </c>
      <c r="DJ94" s="387">
        <v>1461</v>
      </c>
      <c r="DK94" s="149">
        <v>1730</v>
      </c>
      <c r="DL94" s="64">
        <f>DK94+DJ94</f>
        <v>3191</v>
      </c>
      <c r="DM94" s="149">
        <v>1684</v>
      </c>
      <c r="DN94" s="64">
        <f>DM94+DL94</f>
        <v>4875</v>
      </c>
      <c r="DO94" s="123">
        <f>DQ94-DN94</f>
        <v>3066</v>
      </c>
      <c r="DP94" s="64">
        <f>DO94+DM94</f>
        <v>4750</v>
      </c>
      <c r="DQ94" s="64">
        <f>INDEX('Income Statement'!9:9,MATCH(Interims!DQ$1,'Income Statement'!$2:$2,0))</f>
        <v>7941</v>
      </c>
      <c r="DR94" s="387">
        <v>1600</v>
      </c>
      <c r="DS94" s="149">
        <v>2093</v>
      </c>
      <c r="DT94" s="123">
        <f t="shared" ref="DT94:DT96" si="309">SUM(DR94:DS94)</f>
        <v>3693</v>
      </c>
      <c r="DU94" s="149">
        <v>1959</v>
      </c>
      <c r="DV94" s="64">
        <f t="shared" ref="DV94:DV97" si="310">DT94+DU94</f>
        <v>5652</v>
      </c>
      <c r="DW94" s="125">
        <f t="shared" si="306"/>
        <v>3320</v>
      </c>
      <c r="DX94" s="64">
        <f t="shared" ref="DX94:DX95" si="311">DW94+DU94</f>
        <v>5279</v>
      </c>
      <c r="DY94" s="64">
        <f>INDEX('Income Statement'!9:9, MATCH(Interims!$DY$1,'Income Statement'!$2:$2,0))</f>
        <v>8972</v>
      </c>
      <c r="DZ94" s="387">
        <v>1604</v>
      </c>
      <c r="EA94" s="149">
        <v>2076</v>
      </c>
      <c r="EB94" s="123">
        <f t="shared" ref="EB94:EB96" si="312">DZ94+EA94</f>
        <v>3680</v>
      </c>
      <c r="EC94" s="123">
        <f t="shared" ref="EC94:EC96" si="313">(DU94/DY94)*EG94</f>
        <v>2105.0944570434094</v>
      </c>
      <c r="ED94" s="64">
        <f t="shared" ref="ED94:ED97" si="314">EB94+EC94</f>
        <v>5785.0944570434094</v>
      </c>
      <c r="EE94" s="123">
        <f t="shared" si="307"/>
        <v>3856.0017494872027</v>
      </c>
      <c r="EF94" s="64">
        <f t="shared" ref="EF94:EF95" si="315">EE94+EC94</f>
        <v>5961.0962065306121</v>
      </c>
      <c r="EG94" s="109">
        <f>INDEX('Income Statement'!9:9, MATCH(Interims!$EG$1,'Income Statement'!$2:$2,0))</f>
        <v>9641.0962065306121</v>
      </c>
      <c r="EH94" s="406"/>
    </row>
    <row r="95" spans="1:140">
      <c r="A95" s="13" t="s">
        <v>384</v>
      </c>
      <c r="B95" s="42"/>
      <c r="J95" s="369"/>
      <c r="R95" s="387">
        <v>2664</v>
      </c>
      <c r="S95" s="64">
        <f>T95-R95</f>
        <v>2900</v>
      </c>
      <c r="T95" s="149">
        <v>5564</v>
      </c>
      <c r="U95" s="64">
        <f>V95-T95</f>
        <v>2818</v>
      </c>
      <c r="V95" s="149">
        <v>8382</v>
      </c>
      <c r="W95" s="64">
        <f>Y95-V95</f>
        <v>4739</v>
      </c>
      <c r="X95" s="64">
        <f>Y95-T95</f>
        <v>7557</v>
      </c>
      <c r="Y95" s="149">
        <v>13121</v>
      </c>
      <c r="Z95" s="387">
        <v>2743</v>
      </c>
      <c r="AA95" s="149">
        <v>2773</v>
      </c>
      <c r="AB95" s="64">
        <f>Z95+AA95</f>
        <v>5516</v>
      </c>
      <c r="AC95" s="150">
        <v>2681</v>
      </c>
      <c r="AD95" s="103">
        <f>SUM(AB95:AC95)</f>
        <v>8197</v>
      </c>
      <c r="AE95" s="103">
        <f>AG95-AD95</f>
        <v>4828</v>
      </c>
      <c r="AF95" s="64">
        <f>AG95-AB95</f>
        <v>7509</v>
      </c>
      <c r="AG95" s="64">
        <f>'Income Statement'!J12</f>
        <v>13025</v>
      </c>
      <c r="AH95" s="387">
        <v>2603</v>
      </c>
      <c r="AI95" s="149">
        <v>2928</v>
      </c>
      <c r="AJ95" s="64">
        <f>AH95+AI95</f>
        <v>5531</v>
      </c>
      <c r="AK95" s="103">
        <f>AL95-AJ95</f>
        <v>2852</v>
      </c>
      <c r="AL95" s="150">
        <v>8383</v>
      </c>
      <c r="AM95" s="103">
        <f>AO95-AL95</f>
        <v>4697</v>
      </c>
      <c r="AN95" s="64">
        <f>AO95-AJ95</f>
        <v>7549</v>
      </c>
      <c r="AO95" s="64">
        <f>'Income Statement'!K12</f>
        <v>13080</v>
      </c>
      <c r="AP95" s="387">
        <v>2534</v>
      </c>
      <c r="AQ95" s="149">
        <v>2906</v>
      </c>
      <c r="AR95" s="64">
        <f>AP95+AQ95</f>
        <v>5440</v>
      </c>
      <c r="AS95" s="103">
        <f>AT95-AR95</f>
        <v>2274</v>
      </c>
      <c r="AT95" s="149">
        <v>7714</v>
      </c>
      <c r="AU95" s="103">
        <f>AW95-AT95</f>
        <v>4140</v>
      </c>
      <c r="AV95" s="64">
        <f>AW95-AR95</f>
        <v>6414</v>
      </c>
      <c r="AW95" s="149">
        <v>11854</v>
      </c>
      <c r="AX95" s="377">
        <v>2114</v>
      </c>
      <c r="AY95" s="150">
        <v>2511</v>
      </c>
      <c r="AZ95" s="64">
        <f>AY95+AX95</f>
        <v>4625</v>
      </c>
      <c r="BA95" s="150">
        <v>2108</v>
      </c>
      <c r="BB95" s="103">
        <f>BA95+AZ95</f>
        <v>6733</v>
      </c>
      <c r="BC95" s="103">
        <f>BE95-BB95</f>
        <v>4071</v>
      </c>
      <c r="BD95" s="103">
        <f>BE95-AZ95</f>
        <v>6179</v>
      </c>
      <c r="BE95" s="149">
        <v>10804</v>
      </c>
      <c r="BF95" s="377">
        <v>2340</v>
      </c>
      <c r="BG95" s="103">
        <f t="shared" si="308"/>
        <v>2560</v>
      </c>
      <c r="BH95" s="149">
        <v>4900</v>
      </c>
      <c r="BI95" s="103">
        <f t="shared" si="308"/>
        <v>2174</v>
      </c>
      <c r="BJ95" s="150">
        <v>7074</v>
      </c>
      <c r="BK95" s="103">
        <f>BL95-BI95</f>
        <v>3522</v>
      </c>
      <c r="BL95" s="103">
        <f>BM95-BH95</f>
        <v>5696</v>
      </c>
      <c r="BM95" s="149">
        <v>10596</v>
      </c>
      <c r="BN95" s="377">
        <v>2217</v>
      </c>
      <c r="BO95" s="123">
        <f>BP95-BN95</f>
        <v>2435</v>
      </c>
      <c r="BP95" s="150">
        <v>4652</v>
      </c>
      <c r="BQ95" s="149">
        <v>2399</v>
      </c>
      <c r="BR95" s="125">
        <f>BQ95+BP95</f>
        <v>7051</v>
      </c>
      <c r="BS95" s="125">
        <f>BU95-BR95</f>
        <v>4012</v>
      </c>
      <c r="BT95" s="125">
        <f>BS95+BQ95</f>
        <v>6411</v>
      </c>
      <c r="BU95" s="125">
        <f>'Income Statement'!N12</f>
        <v>11063</v>
      </c>
      <c r="BV95" s="377">
        <v>2112</v>
      </c>
      <c r="BW95" s="150">
        <v>2903</v>
      </c>
      <c r="BX95" s="125">
        <f>BW95+BV95</f>
        <v>5015</v>
      </c>
      <c r="BY95" s="150">
        <v>2691</v>
      </c>
      <c r="BZ95" s="103">
        <f>BY95+BX95</f>
        <v>7706</v>
      </c>
      <c r="CA95" s="103">
        <f>CC95-BZ95</f>
        <v>3201</v>
      </c>
      <c r="CB95" s="103">
        <f>CA95+BY95</f>
        <v>5892</v>
      </c>
      <c r="CC95" s="103">
        <f>'Income Statement'!O12</f>
        <v>10907</v>
      </c>
      <c r="CD95" s="377">
        <v>2111</v>
      </c>
      <c r="CE95" s="150">
        <v>2440</v>
      </c>
      <c r="CF95" s="103">
        <f>CE95+CD95</f>
        <v>4551</v>
      </c>
      <c r="CG95" s="150">
        <v>2385</v>
      </c>
      <c r="CH95" s="103">
        <f>CG95+CF95</f>
        <v>6936</v>
      </c>
      <c r="CI95" s="103">
        <f>CK95-CH95</f>
        <v>3510</v>
      </c>
      <c r="CJ95" s="103">
        <f>CI95+CG95</f>
        <v>5895</v>
      </c>
      <c r="CK95" s="103">
        <f>'Income Statement'!P12</f>
        <v>10446</v>
      </c>
      <c r="CL95" s="377">
        <v>2115</v>
      </c>
      <c r="CM95" s="150">
        <v>2423</v>
      </c>
      <c r="CN95" s="103">
        <f>CL95+CM95</f>
        <v>4538</v>
      </c>
      <c r="CO95" s="150">
        <v>2343</v>
      </c>
      <c r="CP95" s="103">
        <f>CO95+CN95</f>
        <v>6881</v>
      </c>
      <c r="CQ95" s="103">
        <f>CS95-CP95</f>
        <v>3305</v>
      </c>
      <c r="CR95" s="103">
        <f>CQ95+CO95</f>
        <v>5648</v>
      </c>
      <c r="CS95" s="103">
        <f>'Income Statement'!Q12</f>
        <v>10186</v>
      </c>
      <c r="CT95" s="377">
        <v>2453</v>
      </c>
      <c r="CU95" s="149">
        <v>2603</v>
      </c>
      <c r="CV95" s="103">
        <f>CU95+CT95</f>
        <v>5056</v>
      </c>
      <c r="CW95" s="149">
        <v>2537</v>
      </c>
      <c r="CX95" s="103">
        <f>CW95+CV95</f>
        <v>7593</v>
      </c>
      <c r="CY95" s="123">
        <f>DA95-CW95-CU95-CT95</f>
        <v>3666</v>
      </c>
      <c r="CZ95" s="103">
        <f>CY95+CW95</f>
        <v>6203</v>
      </c>
      <c r="DA95" s="103">
        <f>'Income Statement'!R12</f>
        <v>11259</v>
      </c>
      <c r="DB95" s="377">
        <v>2299</v>
      </c>
      <c r="DC95" s="149">
        <v>2354</v>
      </c>
      <c r="DD95" s="103">
        <f>DC95+DB95</f>
        <v>4653</v>
      </c>
      <c r="DE95" s="149">
        <v>2480</v>
      </c>
      <c r="DF95" s="103">
        <f>DE95+DD95</f>
        <v>7133</v>
      </c>
      <c r="DG95" s="123">
        <f>DI95-DF95</f>
        <v>4362</v>
      </c>
      <c r="DH95" s="103">
        <f>DG95+DE95</f>
        <v>6842</v>
      </c>
      <c r="DI95" s="103">
        <f>INDEX('Income Statement'!12:12,MATCH(Interims!DI$1,'Income Statement'!$2:$2,0))</f>
        <v>11495</v>
      </c>
      <c r="DJ95" s="377">
        <v>2399</v>
      </c>
      <c r="DK95" s="149">
        <v>2586</v>
      </c>
      <c r="DL95" s="103">
        <f>DK95+DJ95</f>
        <v>4985</v>
      </c>
      <c r="DM95" s="149">
        <v>2624</v>
      </c>
      <c r="DN95" s="103">
        <f>DM95+DL95</f>
        <v>7609</v>
      </c>
      <c r="DO95" s="123">
        <f>DQ95-DN95</f>
        <v>4473</v>
      </c>
      <c r="DP95" s="103">
        <f>DO95+DM95</f>
        <v>7097</v>
      </c>
      <c r="DQ95" s="103">
        <f>INDEX('Income Statement'!12:12,MATCH(Interims!DQ$1,'Income Statement'!$2:$2,0))</f>
        <v>12082</v>
      </c>
      <c r="DR95" s="377">
        <v>2656</v>
      </c>
      <c r="DS95" s="149">
        <v>3157</v>
      </c>
      <c r="DT95" s="123">
        <f t="shared" si="309"/>
        <v>5813</v>
      </c>
      <c r="DU95" s="149">
        <v>3063</v>
      </c>
      <c r="DV95" s="103">
        <f t="shared" si="310"/>
        <v>8876</v>
      </c>
      <c r="DW95" s="125">
        <f t="shared" si="306"/>
        <v>4529</v>
      </c>
      <c r="DX95" s="103">
        <f t="shared" si="311"/>
        <v>7592</v>
      </c>
      <c r="DY95" s="64">
        <f>INDEX('Income Statement'!12:12, MATCH(Interims!$DY$1,'Income Statement'!$2:$2,0))</f>
        <v>13405</v>
      </c>
      <c r="DZ95" s="377">
        <v>2832</v>
      </c>
      <c r="EA95" s="149">
        <v>3484</v>
      </c>
      <c r="EB95" s="123">
        <f t="shared" si="312"/>
        <v>6316</v>
      </c>
      <c r="EC95" s="123">
        <f t="shared" si="313"/>
        <v>3262.4013000000009</v>
      </c>
      <c r="ED95" s="103">
        <f t="shared" si="314"/>
        <v>9578.4013000000014</v>
      </c>
      <c r="EE95" s="123">
        <f t="shared" si="307"/>
        <v>4699.2642000000014</v>
      </c>
      <c r="EF95" s="103">
        <f t="shared" si="315"/>
        <v>7961.6655000000028</v>
      </c>
      <c r="EG95" s="109">
        <f>INDEX('Income Statement'!12:12, MATCH(Interims!$EG$1,'Income Statement'!$2:$2,0))</f>
        <v>14277.665500000003</v>
      </c>
      <c r="EH95" s="406"/>
      <c r="EJ95" s="19"/>
    </row>
    <row r="96" spans="1:140">
      <c r="A96" s="107" t="s">
        <v>388</v>
      </c>
      <c r="B96" s="42"/>
      <c r="J96" s="369"/>
      <c r="R96" s="387">
        <v>-367</v>
      </c>
      <c r="S96" s="64">
        <f>T96-R96</f>
        <v>-213</v>
      </c>
      <c r="T96" s="149">
        <v>-580</v>
      </c>
      <c r="U96" s="64">
        <f>V96-T96</f>
        <v>-315</v>
      </c>
      <c r="V96" s="149">
        <v>-895</v>
      </c>
      <c r="W96" s="64">
        <f>Y96-V96</f>
        <v>-450</v>
      </c>
      <c r="X96" s="64">
        <f>Y96-T96</f>
        <v>-765</v>
      </c>
      <c r="Y96" s="149">
        <v>-1345</v>
      </c>
      <c r="Z96" s="387">
        <v>-214</v>
      </c>
      <c r="AA96" s="149">
        <v>-332</v>
      </c>
      <c r="AB96" s="64">
        <f>Z96+AA96</f>
        <v>-546</v>
      </c>
      <c r="AC96" s="150">
        <v>-234</v>
      </c>
      <c r="AD96" s="103">
        <f>SUM(AB96:AC96)</f>
        <v>-780</v>
      </c>
      <c r="AE96" s="103">
        <f>AG96-AD96</f>
        <v>-336</v>
      </c>
      <c r="AF96" s="64">
        <f>AG96-AB96</f>
        <v>-570</v>
      </c>
      <c r="AG96" s="64">
        <f>'Income Statement'!J13</f>
        <v>-1116</v>
      </c>
      <c r="AH96" s="387">
        <v>-375</v>
      </c>
      <c r="AI96" s="149">
        <v>-294</v>
      </c>
      <c r="AJ96" s="64">
        <f>AH96+AI96</f>
        <v>-669</v>
      </c>
      <c r="AK96" s="103">
        <f>AL96-AJ96</f>
        <v>-291</v>
      </c>
      <c r="AL96" s="150">
        <v>-960</v>
      </c>
      <c r="AM96" s="103">
        <f>AO96-AL96</f>
        <v>-310</v>
      </c>
      <c r="AN96" s="64">
        <f>AO96-AJ96</f>
        <v>-601</v>
      </c>
      <c r="AO96" s="64">
        <f>'Income Statement'!K13</f>
        <v>-1270</v>
      </c>
      <c r="AP96" s="387">
        <v>-177</v>
      </c>
      <c r="AQ96" s="149">
        <v>-256</v>
      </c>
      <c r="AR96" s="64">
        <f>AP96+AQ96</f>
        <v>-433</v>
      </c>
      <c r="AS96" s="103">
        <f>AT96-AR96</f>
        <v>-369</v>
      </c>
      <c r="AT96" s="149">
        <v>-802</v>
      </c>
      <c r="AU96" s="103">
        <f>AW96-AT96</f>
        <v>-360</v>
      </c>
      <c r="AV96" s="64">
        <f>AW96-AR96</f>
        <v>-729</v>
      </c>
      <c r="AW96" s="149">
        <v>-1162</v>
      </c>
      <c r="AX96" s="387">
        <v>-242</v>
      </c>
      <c r="AY96" s="151">
        <v>-384</v>
      </c>
      <c r="AZ96" s="64">
        <f>AY96+AX96</f>
        <v>-626</v>
      </c>
      <c r="BA96" s="151">
        <v>-185</v>
      </c>
      <c r="BB96" s="64">
        <f>BA96+AZ96</f>
        <v>-811</v>
      </c>
      <c r="BC96" s="110">
        <f>BE96-BB96</f>
        <v>-634</v>
      </c>
      <c r="BD96" s="64">
        <f>BE96-AZ96</f>
        <v>-819</v>
      </c>
      <c r="BE96" s="149">
        <v>-1445</v>
      </c>
      <c r="BF96" s="387">
        <v>-240</v>
      </c>
      <c r="BG96" s="110">
        <f t="shared" si="308"/>
        <v>-383</v>
      </c>
      <c r="BH96" s="149">
        <v>-623</v>
      </c>
      <c r="BI96" s="110">
        <f t="shared" si="308"/>
        <v>-198</v>
      </c>
      <c r="BJ96" s="149">
        <v>-821</v>
      </c>
      <c r="BK96" s="110">
        <f>BL96-BI96</f>
        <v>-574</v>
      </c>
      <c r="BL96" s="64">
        <f>BM96-BH96</f>
        <v>-772</v>
      </c>
      <c r="BM96" s="149">
        <v>-1395</v>
      </c>
      <c r="BN96" s="387">
        <v>-281</v>
      </c>
      <c r="BO96" s="123">
        <f>BP96-BN96</f>
        <v>-335</v>
      </c>
      <c r="BP96" s="149">
        <v>-616</v>
      </c>
      <c r="BQ96" s="149">
        <v>-247</v>
      </c>
      <c r="BR96" s="123">
        <f>BQ96+BP96</f>
        <v>-863</v>
      </c>
      <c r="BS96" s="126">
        <f>BU96-BR96</f>
        <v>-397</v>
      </c>
      <c r="BT96" s="123">
        <f>BS96+BQ96</f>
        <v>-644</v>
      </c>
      <c r="BU96" s="123">
        <f>'Income Statement'!N13</f>
        <v>-1260</v>
      </c>
      <c r="BV96" s="387">
        <v>-267</v>
      </c>
      <c r="BW96" s="149">
        <v>-296</v>
      </c>
      <c r="BX96" s="123">
        <f>BW96+BV96</f>
        <v>-563</v>
      </c>
      <c r="BY96" s="151">
        <v>-259</v>
      </c>
      <c r="BZ96" s="64">
        <f>BY96+BX96</f>
        <v>-822</v>
      </c>
      <c r="CA96" s="110">
        <f>CC96-BZ96</f>
        <v>-389</v>
      </c>
      <c r="CB96" s="64">
        <f>CA96+BY96</f>
        <v>-648</v>
      </c>
      <c r="CC96" s="64">
        <f>'Income Statement'!O13</f>
        <v>-1211</v>
      </c>
      <c r="CD96" s="387">
        <v>-251</v>
      </c>
      <c r="CE96" s="149">
        <v>-218</v>
      </c>
      <c r="CF96" s="64">
        <f>CE96+CD96</f>
        <v>-469</v>
      </c>
      <c r="CG96" s="151">
        <v>-200</v>
      </c>
      <c r="CH96" s="64">
        <f>CG96+CF96</f>
        <v>-669</v>
      </c>
      <c r="CI96" s="110">
        <f>CK96-CH96</f>
        <v>-366</v>
      </c>
      <c r="CJ96" s="64">
        <f>CI96+CG96</f>
        <v>-566</v>
      </c>
      <c r="CK96" s="64">
        <f>'Income Statement'!P13</f>
        <v>-1035</v>
      </c>
      <c r="CL96" s="387">
        <v>-104</v>
      </c>
      <c r="CM96" s="149">
        <v>-204</v>
      </c>
      <c r="CN96" s="64">
        <f>CL96+CM96</f>
        <v>-308</v>
      </c>
      <c r="CO96" s="151">
        <v>-173</v>
      </c>
      <c r="CP96" s="64">
        <f>CO96+CN96</f>
        <v>-481</v>
      </c>
      <c r="CQ96" s="110">
        <f>CS96-CP96</f>
        <v>-229</v>
      </c>
      <c r="CR96" s="64">
        <f>CQ96+CO96</f>
        <v>-402</v>
      </c>
      <c r="CS96" s="64">
        <f>'Income Statement'!Q13</f>
        <v>-710</v>
      </c>
      <c r="CT96" s="387">
        <v>-259</v>
      </c>
      <c r="CU96" s="149">
        <v>-264</v>
      </c>
      <c r="CV96" s="64">
        <f>CU96+CT96</f>
        <v>-523</v>
      </c>
      <c r="CW96" s="149">
        <v>-120</v>
      </c>
      <c r="CX96" s="64">
        <f>CW96+CV96</f>
        <v>-643</v>
      </c>
      <c r="CY96" s="123">
        <f>DA96-CW96-CU96-CT96</f>
        <v>-329</v>
      </c>
      <c r="CZ96" s="64">
        <f>CY96+CW96</f>
        <v>-449</v>
      </c>
      <c r="DA96" s="64">
        <f>'Income Statement'!R13</f>
        <v>-972</v>
      </c>
      <c r="DB96" s="387">
        <v>-244</v>
      </c>
      <c r="DC96" s="149">
        <v>-289</v>
      </c>
      <c r="DD96" s="64">
        <f>DC96+DB96</f>
        <v>-533</v>
      </c>
      <c r="DE96" s="149">
        <v>-209</v>
      </c>
      <c r="DF96" s="64">
        <f>DE96+DD96</f>
        <v>-742</v>
      </c>
      <c r="DG96" s="123">
        <f>DI96-DF96</f>
        <v>-407</v>
      </c>
      <c r="DH96" s="64">
        <f>DG96+DE96</f>
        <v>-616</v>
      </c>
      <c r="DI96" s="64">
        <f>INDEX('Income Statement'!13:13,MATCH(Interims!DI$1,'Income Statement'!$2:$2,0))</f>
        <v>-1149</v>
      </c>
      <c r="DJ96" s="387">
        <v>-197</v>
      </c>
      <c r="DK96" s="149">
        <v>-369</v>
      </c>
      <c r="DL96" s="64">
        <f>DK96+DJ96</f>
        <v>-566</v>
      </c>
      <c r="DM96" s="149">
        <v>-283</v>
      </c>
      <c r="DN96" s="64">
        <f>DM96+DL96</f>
        <v>-849</v>
      </c>
      <c r="DO96" s="123">
        <f>DQ96-DN96</f>
        <v>-590</v>
      </c>
      <c r="DP96" s="64">
        <f>DO96+DM96</f>
        <v>-873</v>
      </c>
      <c r="DQ96" s="64">
        <f>INDEX('Income Statement'!13:13,MATCH(Interims!DQ$1,'Income Statement'!$2:$2,0))</f>
        <v>-1439</v>
      </c>
      <c r="DR96" s="387">
        <v>-235</v>
      </c>
      <c r="DS96" s="149">
        <v>-490</v>
      </c>
      <c r="DT96" s="123">
        <f t="shared" si="309"/>
        <v>-725</v>
      </c>
      <c r="DU96" s="149">
        <v>-253</v>
      </c>
      <c r="DV96" s="64">
        <f t="shared" si="310"/>
        <v>-978</v>
      </c>
      <c r="DW96" s="125">
        <f>DY96-DV96</f>
        <v>-461</v>
      </c>
      <c r="DX96" s="64">
        <f>DW96+DU96</f>
        <v>-714</v>
      </c>
      <c r="DY96" s="64">
        <f>INDEX('Income Statement'!13:13, MATCH(Interims!$DY$1,'Income Statement'!$2:$2,0))</f>
        <v>-1439</v>
      </c>
      <c r="DZ96" s="387">
        <v>-221</v>
      </c>
      <c r="EA96" s="149">
        <v>-476</v>
      </c>
      <c r="EB96" s="123">
        <f t="shared" si="312"/>
        <v>-697</v>
      </c>
      <c r="EC96" s="123">
        <f t="shared" si="313"/>
        <v>-276.32533375083989</v>
      </c>
      <c r="ED96" s="64">
        <f t="shared" si="314"/>
        <v>-973.32533375083995</v>
      </c>
      <c r="EE96" s="123">
        <f>EG96-ED96</f>
        <v>-598.34326414425345</v>
      </c>
      <c r="EF96" s="64">
        <f>EE96+EC96</f>
        <v>-874.6685978950934</v>
      </c>
      <c r="EG96" s="109">
        <f>INDEX('Income Statement'!13:13, MATCH(Interims!$EG$1,'Income Statement'!$2:$2,0))</f>
        <v>-1571.6685978950934</v>
      </c>
      <c r="EH96" s="406"/>
    </row>
    <row r="97" spans="1:138">
      <c r="A97" s="37" t="s">
        <v>225</v>
      </c>
      <c r="B97" s="91"/>
      <c r="C97" s="68"/>
      <c r="D97" s="68"/>
      <c r="E97" s="68"/>
      <c r="F97" s="68"/>
      <c r="G97" s="68"/>
      <c r="H97" s="68"/>
      <c r="I97" s="68"/>
      <c r="J97" s="468"/>
      <c r="K97" s="68"/>
      <c r="L97" s="68"/>
      <c r="M97" s="68"/>
      <c r="N97" s="68"/>
      <c r="O97" s="68"/>
      <c r="P97" s="68"/>
      <c r="Q97" s="68"/>
      <c r="R97" s="388">
        <f>SUM(R93:R96)</f>
        <v>12094</v>
      </c>
      <c r="S97" s="67">
        <f>T97-R97</f>
        <v>13576</v>
      </c>
      <c r="T97" s="67">
        <f>SUM(T93:T96)</f>
        <v>25670</v>
      </c>
      <c r="U97" s="67">
        <f>V97-T97</f>
        <v>13277</v>
      </c>
      <c r="V97" s="67">
        <f>SUM(V93:V96)</f>
        <v>38947</v>
      </c>
      <c r="W97" s="67">
        <f>Y97-V97</f>
        <v>18620</v>
      </c>
      <c r="X97" s="67">
        <f>Y97-T97</f>
        <v>31897</v>
      </c>
      <c r="Y97" s="67">
        <f>SUM(Y93:Y96)</f>
        <v>57567</v>
      </c>
      <c r="Z97" s="388">
        <f>SUM(Z93:Z96)</f>
        <v>12648</v>
      </c>
      <c r="AA97" s="67">
        <f>AB97-Z97</f>
        <v>14552</v>
      </c>
      <c r="AB97" s="67">
        <f>SUM(AB93:AB96)</f>
        <v>27200</v>
      </c>
      <c r="AC97" s="154">
        <v>13297</v>
      </c>
      <c r="AD97" s="104">
        <f>SUM(AB97:AC97)</f>
        <v>40497</v>
      </c>
      <c r="AE97" s="104">
        <f>AG97-AD97</f>
        <v>20216</v>
      </c>
      <c r="AF97" s="67">
        <f>AG97-AB97</f>
        <v>33513</v>
      </c>
      <c r="AG97" s="67">
        <f>SUM(AG93:AG96)</f>
        <v>60713</v>
      </c>
      <c r="AH97" s="388">
        <f>SUM(AH93:AH96)</f>
        <v>12078</v>
      </c>
      <c r="AI97" s="67">
        <f>AJ97-AH97</f>
        <v>16815</v>
      </c>
      <c r="AJ97" s="67">
        <f>SUM(AJ93:AJ96)</f>
        <v>28893</v>
      </c>
      <c r="AK97" s="67">
        <f>SUM(AK93:AK96)</f>
        <v>14072</v>
      </c>
      <c r="AL97" s="67">
        <f>SUM(AL93:AL96)</f>
        <v>42965</v>
      </c>
      <c r="AM97" s="67">
        <f>AO97-AL97</f>
        <v>21485</v>
      </c>
      <c r="AN97" s="67">
        <f>AO97-AJ97</f>
        <v>35557</v>
      </c>
      <c r="AO97" s="67">
        <f>SUM(AO93:AO96)</f>
        <v>64450</v>
      </c>
      <c r="AP97" s="457">
        <v>12183</v>
      </c>
      <c r="AQ97" s="153">
        <v>16572</v>
      </c>
      <c r="AR97" s="67">
        <f>AP97+AQ97</f>
        <v>28755</v>
      </c>
      <c r="AS97" s="67">
        <f>AT97-AR97</f>
        <v>13950</v>
      </c>
      <c r="AT97" s="67">
        <f>SUM(AT93:AT96)</f>
        <v>42705</v>
      </c>
      <c r="AU97" s="67">
        <f>SUM(AU93:AU96)</f>
        <v>23876</v>
      </c>
      <c r="AV97" s="67">
        <f>AW97-AR97</f>
        <v>37826</v>
      </c>
      <c r="AW97" s="67">
        <f>SUM(AW93:AW96)</f>
        <v>66581</v>
      </c>
      <c r="AX97" s="457">
        <v>12988</v>
      </c>
      <c r="AY97" s="110">
        <f>SUM(AY93:AY96)</f>
        <v>15721</v>
      </c>
      <c r="AZ97" s="67">
        <f>AX97+AY97</f>
        <v>28709</v>
      </c>
      <c r="BA97" s="110">
        <f>SUM(BA93:BA96)</f>
        <v>14244</v>
      </c>
      <c r="BB97" s="67">
        <f>BA97+AZ97</f>
        <v>42953</v>
      </c>
      <c r="BC97" s="67">
        <f>BE97-BB97</f>
        <v>23814</v>
      </c>
      <c r="BD97" s="67">
        <f>BA97+BC97</f>
        <v>38058</v>
      </c>
      <c r="BE97" s="67">
        <f>SUM(BE93:BE96)</f>
        <v>66767</v>
      </c>
      <c r="BF97" s="388">
        <f>SUM(BF93:BF96)</f>
        <v>11442</v>
      </c>
      <c r="BG97" s="110">
        <f t="shared" ref="BG97:BM97" si="316">SUM(BG93:BG96)</f>
        <v>13733</v>
      </c>
      <c r="BH97" s="67">
        <f t="shared" si="316"/>
        <v>25175</v>
      </c>
      <c r="BI97" s="110">
        <f t="shared" si="316"/>
        <v>12854</v>
      </c>
      <c r="BJ97" s="67">
        <f t="shared" si="316"/>
        <v>38029</v>
      </c>
      <c r="BK97" s="67">
        <f t="shared" si="316"/>
        <v>20993</v>
      </c>
      <c r="BL97" s="67">
        <f t="shared" si="316"/>
        <v>33847</v>
      </c>
      <c r="BM97" s="67">
        <f t="shared" si="316"/>
        <v>59022</v>
      </c>
      <c r="BN97" s="384">
        <f>SUM(BN93:BN96)</f>
        <v>10119</v>
      </c>
      <c r="BO97" s="127">
        <f>SUM(BO93:BO96)</f>
        <v>14851</v>
      </c>
      <c r="BP97" s="127">
        <f>BN97+BO97</f>
        <v>24970</v>
      </c>
      <c r="BQ97" s="127">
        <f>SUM(BQ93:BQ96)</f>
        <v>15451</v>
      </c>
      <c r="BR97" s="127">
        <f>BQ97+BP97</f>
        <v>40421</v>
      </c>
      <c r="BS97" s="127">
        <f>BU97-BR97</f>
        <v>23286</v>
      </c>
      <c r="BT97" s="127">
        <f>BS97+BQ97</f>
        <v>38737</v>
      </c>
      <c r="BU97" s="127">
        <f>SUM(BU93:BU96)</f>
        <v>63707</v>
      </c>
      <c r="BV97" s="388">
        <f>SUM(BV93:BV96)</f>
        <v>12549</v>
      </c>
      <c r="BW97" s="127">
        <f>SUM(BW93:BW96)</f>
        <v>18317</v>
      </c>
      <c r="BX97" s="127">
        <f>BV97+BW97</f>
        <v>30866</v>
      </c>
      <c r="BY97" s="67">
        <f>SUM(BY93:BY96)</f>
        <v>15302</v>
      </c>
      <c r="BZ97" s="67">
        <f>BY97+BX97</f>
        <v>46168</v>
      </c>
      <c r="CA97" s="67">
        <f>CC97-BZ97</f>
        <v>24310</v>
      </c>
      <c r="CB97" s="67">
        <f>CA97+BY97</f>
        <v>39612</v>
      </c>
      <c r="CC97" s="67">
        <f>SUM(CC93:CC96)</f>
        <v>70478</v>
      </c>
      <c r="CD97" s="388">
        <f>SUM(CD93:CD96)</f>
        <v>10631</v>
      </c>
      <c r="CE97" s="67">
        <f>SUM(CE93:CE96)</f>
        <v>8317</v>
      </c>
      <c r="CF97" s="67">
        <f>CD97+CE97</f>
        <v>18948</v>
      </c>
      <c r="CG97" s="67">
        <f>SUM(CG93:CG96)</f>
        <v>11213</v>
      </c>
      <c r="CH97" s="67">
        <f>CG97+CF97</f>
        <v>30161</v>
      </c>
      <c r="CI97" s="67">
        <f>CK97-CH97</f>
        <v>19751</v>
      </c>
      <c r="CJ97" s="67">
        <f>CI97+CG97</f>
        <v>30964</v>
      </c>
      <c r="CK97" s="67">
        <f>SUM(CK93:CK96)</f>
        <v>49912</v>
      </c>
      <c r="CL97" s="388">
        <f>SUM(CL93:CL96)</f>
        <v>10460</v>
      </c>
      <c r="CM97" s="67">
        <f>SUM(CM93:CM96)</f>
        <v>14177</v>
      </c>
      <c r="CN97" s="67">
        <f>CL97+CM97</f>
        <v>24637</v>
      </c>
      <c r="CO97" s="67">
        <f>SUM(CO93:CO96)</f>
        <v>10518</v>
      </c>
      <c r="CP97" s="67">
        <f>CO97+CN97</f>
        <v>35155</v>
      </c>
      <c r="CQ97" s="67">
        <f>CS97-CP97</f>
        <v>16994</v>
      </c>
      <c r="CR97" s="67">
        <f>CQ97+CO97</f>
        <v>27512</v>
      </c>
      <c r="CS97" s="67">
        <f>SUM(CS93:CS96)</f>
        <v>52149</v>
      </c>
      <c r="CT97" s="388">
        <f>SUM(CT93:CT96)</f>
        <v>12000</v>
      </c>
      <c r="CU97" s="67">
        <f>SUM(CU93:CU96)</f>
        <v>12810</v>
      </c>
      <c r="CV97" s="67">
        <f>CT97+CU97</f>
        <v>24810</v>
      </c>
      <c r="CW97" s="67">
        <f>SUM(CW93:CW96)</f>
        <v>13309</v>
      </c>
      <c r="CX97" s="67">
        <f>CW97+CV97</f>
        <v>38119</v>
      </c>
      <c r="CY97" s="127">
        <f>DA97-CX97</f>
        <v>20644</v>
      </c>
      <c r="CZ97" s="67">
        <f>CY97+CW97</f>
        <v>33953</v>
      </c>
      <c r="DA97" s="67">
        <f>SUM(DA93:DA96)</f>
        <v>58763</v>
      </c>
      <c r="DB97" s="388">
        <f>SUM(DB93:DB96)</f>
        <v>11763</v>
      </c>
      <c r="DC97" s="67">
        <f>SUM(DC93:DC96)</f>
        <v>15900</v>
      </c>
      <c r="DD97" s="67">
        <f>DB97+DC97</f>
        <v>27663</v>
      </c>
      <c r="DE97" s="67">
        <f>SUM(DE93:DE96)</f>
        <v>14897</v>
      </c>
      <c r="DF97" s="67">
        <f>DE97+DD97</f>
        <v>42560</v>
      </c>
      <c r="DG97" s="127">
        <f>DI97-DF97</f>
        <v>22886</v>
      </c>
      <c r="DH97" s="67">
        <f>DG97+DE97</f>
        <v>37783</v>
      </c>
      <c r="DI97" s="67">
        <f>SUM(DI93:DI96)</f>
        <v>65446</v>
      </c>
      <c r="DJ97" s="388">
        <f>SUM(DJ93:DJ96)</f>
        <v>12830</v>
      </c>
      <c r="DK97" s="67">
        <f>SUM(DK93:DK96)</f>
        <v>15995</v>
      </c>
      <c r="DL97" s="67">
        <f>DJ97+DK97</f>
        <v>28825</v>
      </c>
      <c r="DM97" s="67">
        <f>SUM(DM93:DM96)</f>
        <v>15689</v>
      </c>
      <c r="DN97" s="67">
        <f>DM97+DL97</f>
        <v>44514</v>
      </c>
      <c r="DO97" s="127">
        <f>DQ97-DN97</f>
        <v>24716</v>
      </c>
      <c r="DP97" s="67">
        <f>DO97+DM97</f>
        <v>40405</v>
      </c>
      <c r="DQ97" s="67">
        <f>SUM(DQ93:DQ96)</f>
        <v>69230</v>
      </c>
      <c r="DR97" s="901">
        <f>SUM(DR93:DR96)</f>
        <v>13542</v>
      </c>
      <c r="DS97" s="902">
        <f>SUM(DS93:DS96)</f>
        <v>16068</v>
      </c>
      <c r="DT97" s="902">
        <f>SUM(DR97+DS97)</f>
        <v>29610</v>
      </c>
      <c r="DU97" s="902">
        <f>SUM(DU93:DU96)</f>
        <v>17826</v>
      </c>
      <c r="DV97" s="902">
        <f t="shared" si="310"/>
        <v>47436</v>
      </c>
      <c r="DW97" s="475">
        <f>DY97-DV97</f>
        <v>26079</v>
      </c>
      <c r="DX97" s="902">
        <f>DW97+DU97</f>
        <v>43905</v>
      </c>
      <c r="DY97" s="903">
        <f>SUM(DY93:DY96)</f>
        <v>73515</v>
      </c>
      <c r="DZ97" s="901">
        <f>SUM(DZ93:DZ96)</f>
        <v>12651</v>
      </c>
      <c r="EA97" s="902">
        <f>SUM(EA93:EA96)</f>
        <v>20525</v>
      </c>
      <c r="EB97" s="902">
        <f>SUM(EB93:EB96)</f>
        <v>33176</v>
      </c>
      <c r="EC97" s="127">
        <f>SUM(EC93:EC96)</f>
        <v>19481.416839889964</v>
      </c>
      <c r="ED97" s="67">
        <f t="shared" si="314"/>
        <v>52657.416839889964</v>
      </c>
      <c r="EE97" s="127">
        <f>EG97-ED97</f>
        <v>27635.298222137688</v>
      </c>
      <c r="EF97" s="119">
        <f>EE97+EC97</f>
        <v>47116.715062027652</v>
      </c>
      <c r="EG97" s="738">
        <f>SUM(EG93:EG96)</f>
        <v>80292.715062027652</v>
      </c>
      <c r="EH97" s="406"/>
    </row>
    <row r="98" spans="1:138" s="177" customFormat="1">
      <c r="A98" s="177" t="s">
        <v>490</v>
      </c>
      <c r="B98" s="178"/>
      <c r="C98" s="179"/>
      <c r="D98" s="179"/>
      <c r="E98" s="179"/>
      <c r="F98" s="179"/>
      <c r="G98" s="179"/>
      <c r="H98" s="179"/>
      <c r="I98" s="179"/>
      <c r="J98" s="464"/>
      <c r="K98" s="179"/>
      <c r="L98" s="179"/>
      <c r="M98" s="179"/>
      <c r="N98" s="179"/>
      <c r="O98" s="179"/>
      <c r="P98" s="179"/>
      <c r="Q98" s="179"/>
      <c r="R98" s="464"/>
      <c r="S98" s="179"/>
      <c r="T98" s="179"/>
      <c r="U98" s="179"/>
      <c r="V98" s="179"/>
      <c r="W98" s="179"/>
      <c r="X98" s="179"/>
      <c r="Y98" s="179"/>
      <c r="Z98" s="464"/>
      <c r="AA98" s="179"/>
      <c r="AB98" s="179"/>
      <c r="AC98" s="179"/>
      <c r="AD98" s="179"/>
      <c r="AE98" s="179"/>
      <c r="AF98" s="179"/>
      <c r="AG98" s="179"/>
      <c r="AH98" s="464"/>
      <c r="AI98" s="179"/>
      <c r="AJ98" s="179"/>
      <c r="AK98" s="179"/>
      <c r="AL98" s="179"/>
      <c r="AM98" s="179"/>
      <c r="AN98" s="179"/>
      <c r="AO98" s="179"/>
      <c r="AP98" s="463">
        <f>AP96/SUM(AP93:AP95)</f>
        <v>-1.4320388349514563E-2</v>
      </c>
      <c r="AQ98" s="180">
        <f t="shared" ref="AQ98:CY98" si="317">AQ96/SUM(AQ93:AQ95)</f>
        <v>-1.5212740670311385E-2</v>
      </c>
      <c r="AR98" s="180">
        <f t="shared" si="317"/>
        <v>-1.4834863642592847E-2</v>
      </c>
      <c r="AS98" s="180">
        <f t="shared" si="317"/>
        <v>-2.5769956002514142E-2</v>
      </c>
      <c r="AT98" s="180">
        <f t="shared" si="317"/>
        <v>-1.8433815248120992E-2</v>
      </c>
      <c r="AU98" s="180">
        <f t="shared" si="317"/>
        <v>-1.4853936293117676E-2</v>
      </c>
      <c r="AV98" s="180">
        <f t="shared" si="317"/>
        <v>-1.89080534301647E-2</v>
      </c>
      <c r="AW98" s="180">
        <f t="shared" si="317"/>
        <v>-1.7153063785188136E-2</v>
      </c>
      <c r="AX98" s="389">
        <f t="shared" si="317"/>
        <v>-1.8291761148904007E-2</v>
      </c>
      <c r="AY98" s="180">
        <f t="shared" si="317"/>
        <v>-2.384352685501397E-2</v>
      </c>
      <c r="AZ98" s="180">
        <f t="shared" si="317"/>
        <v>-2.1339696608147263E-2</v>
      </c>
      <c r="BA98" s="180">
        <f t="shared" si="317"/>
        <v>-1.2821401344514519E-2</v>
      </c>
      <c r="BB98" s="180">
        <f t="shared" si="317"/>
        <v>-1.8531212869024771E-2</v>
      </c>
      <c r="BC98" s="180">
        <f t="shared" si="317"/>
        <v>-2.5932591623036648E-2</v>
      </c>
      <c r="BD98" s="180">
        <f t="shared" si="317"/>
        <v>-2.0896804287794338E-2</v>
      </c>
      <c r="BE98" s="180">
        <f t="shared" si="317"/>
        <v>-2.1183955902187298E-2</v>
      </c>
      <c r="BF98" s="389">
        <f t="shared" si="317"/>
        <v>-2.054442732408834E-2</v>
      </c>
      <c r="BG98" s="180">
        <f t="shared" si="317"/>
        <v>-2.7132332105412299E-2</v>
      </c>
      <c r="BH98" s="180">
        <f t="shared" si="317"/>
        <v>-2.414915884952322E-2</v>
      </c>
      <c r="BI98" s="180">
        <f t="shared" si="317"/>
        <v>-1.5170088875268158E-2</v>
      </c>
      <c r="BJ98" s="180">
        <f t="shared" si="317"/>
        <v>-2.1132561132561133E-2</v>
      </c>
      <c r="BK98" s="180">
        <f t="shared" si="317"/>
        <v>-2.661473547549497E-2</v>
      </c>
      <c r="BL98" s="180">
        <f t="shared" si="317"/>
        <v>-2.2299893122273897E-2</v>
      </c>
      <c r="BM98" s="180">
        <f t="shared" si="317"/>
        <v>-2.3089527781915687E-2</v>
      </c>
      <c r="BN98" s="389">
        <f t="shared" si="317"/>
        <v>-2.7019230769230768E-2</v>
      </c>
      <c r="BO98" s="180">
        <f t="shared" si="317"/>
        <v>-2.2059791913604635E-2</v>
      </c>
      <c r="BP98" s="180">
        <f t="shared" si="317"/>
        <v>-2.407566638005159E-2</v>
      </c>
      <c r="BQ98" s="180">
        <f t="shared" si="317"/>
        <v>-1.5734488469868774E-2</v>
      </c>
      <c r="BR98" s="180">
        <f t="shared" si="317"/>
        <v>-2.090398217227013E-2</v>
      </c>
      <c r="BS98" s="180">
        <f t="shared" si="317"/>
        <v>-1.6763079001815648E-2</v>
      </c>
      <c r="BT98" s="180">
        <f t="shared" si="317"/>
        <v>-1.6353063660140676E-2</v>
      </c>
      <c r="BU98" s="180">
        <f t="shared" si="317"/>
        <v>-1.9394461803684947E-2</v>
      </c>
      <c r="BV98" s="389">
        <f t="shared" si="317"/>
        <v>-2.0833333333333332E-2</v>
      </c>
      <c r="BW98" s="180">
        <f t="shared" si="317"/>
        <v>-1.5902863589964004E-2</v>
      </c>
      <c r="BX98" s="180">
        <f t="shared" si="317"/>
        <v>-1.7913392090107862E-2</v>
      </c>
      <c r="BY98" s="180">
        <f t="shared" si="317"/>
        <v>-1.6644174538911382E-2</v>
      </c>
      <c r="BZ98" s="180">
        <f t="shared" si="317"/>
        <v>-1.7493083634815918E-2</v>
      </c>
      <c r="CA98" s="180">
        <f t="shared" si="317"/>
        <v>-1.5749625490910562E-2</v>
      </c>
      <c r="CB98" s="180">
        <f t="shared" si="317"/>
        <v>-1.6095380029806261E-2</v>
      </c>
      <c r="CC98" s="180">
        <f t="shared" si="317"/>
        <v>-1.6892410272147749E-2</v>
      </c>
      <c r="CD98" s="389">
        <f t="shared" si="317"/>
        <v>-2.3065612938798014E-2</v>
      </c>
      <c r="CE98" s="180">
        <f t="shared" si="317"/>
        <v>-2.5541886350322202E-2</v>
      </c>
      <c r="CF98" s="180">
        <f t="shared" si="317"/>
        <v>-2.4154091775248493E-2</v>
      </c>
      <c r="CG98" s="180">
        <f t="shared" si="317"/>
        <v>-1.7523876281433454E-2</v>
      </c>
      <c r="CH98" s="180">
        <f t="shared" si="317"/>
        <v>-2.1699643204670774E-2</v>
      </c>
      <c r="CI98" s="180">
        <f t="shared" si="317"/>
        <v>-1.8193567629368197E-2</v>
      </c>
      <c r="CJ98" s="180">
        <f t="shared" si="317"/>
        <v>-1.79511576276562E-2</v>
      </c>
      <c r="CK98" s="180">
        <f t="shared" si="317"/>
        <v>-2.031522955227982E-2</v>
      </c>
      <c r="CL98" s="389">
        <f t="shared" si="317"/>
        <v>-9.8447557743279058E-3</v>
      </c>
      <c r="CM98" s="180">
        <f t="shared" si="317"/>
        <v>-1.4185383492107642E-2</v>
      </c>
      <c r="CN98" s="180">
        <f t="shared" si="317"/>
        <v>-1.23471637602726E-2</v>
      </c>
      <c r="CO98" s="180">
        <f t="shared" si="317"/>
        <v>-1.6181835188476289E-2</v>
      </c>
      <c r="CP98" s="180">
        <f t="shared" si="317"/>
        <v>-1.349758671006847E-2</v>
      </c>
      <c r="CQ98" s="180">
        <f t="shared" si="317"/>
        <v>-1.3296173721186785E-2</v>
      </c>
      <c r="CR98" s="180">
        <f t="shared" si="317"/>
        <v>-1.4401375653793794E-2</v>
      </c>
      <c r="CS98" s="180">
        <f t="shared" si="317"/>
        <v>-1.3431960498685181E-2</v>
      </c>
      <c r="CT98" s="389">
        <f t="shared" si="317"/>
        <v>-2.112733501916959E-2</v>
      </c>
      <c r="CU98" s="180">
        <f t="shared" si="317"/>
        <v>-2.0192748967416244E-2</v>
      </c>
      <c r="CV98" s="180">
        <f t="shared" si="317"/>
        <v>-2.0645008486953775E-2</v>
      </c>
      <c r="CW98" s="180">
        <f t="shared" si="317"/>
        <v>-8.9358850249460116E-3</v>
      </c>
      <c r="CX98" s="180">
        <f t="shared" si="317"/>
        <v>-1.6588411330684692E-2</v>
      </c>
      <c r="CY98" s="180">
        <f t="shared" si="317"/>
        <v>-1.568683545510895E-2</v>
      </c>
      <c r="CZ98" s="180">
        <f t="shared" ref="CZ98:DI98" si="318">CZ96/SUM(CZ93:CZ95)</f>
        <v>-1.3051566769373874E-2</v>
      </c>
      <c r="DA98" s="363">
        <f t="shared" si="318"/>
        <v>-1.6271867414413662E-2</v>
      </c>
      <c r="DB98" s="389">
        <f t="shared" si="318"/>
        <v>-2.0321479137169984E-2</v>
      </c>
      <c r="DC98" s="180">
        <f t="shared" si="318"/>
        <v>-1.7851627648403236E-2</v>
      </c>
      <c r="DD98" s="180">
        <f t="shared" si="318"/>
        <v>-1.8903390551851328E-2</v>
      </c>
      <c r="DE98" s="180">
        <f t="shared" si="318"/>
        <v>-1.3835562028333113E-2</v>
      </c>
      <c r="DF98" s="180">
        <f t="shared" si="318"/>
        <v>-1.713546718396379E-2</v>
      </c>
      <c r="DG98" s="180">
        <f t="shared" si="318"/>
        <v>-1.7473060576138753E-2</v>
      </c>
      <c r="DH98" s="180">
        <f t="shared" si="318"/>
        <v>-1.6042084429282011E-2</v>
      </c>
      <c r="DI98" s="363">
        <f t="shared" si="318"/>
        <v>-1.7253547563630903E-2</v>
      </c>
      <c r="DJ98" s="389">
        <f t="shared" ref="DJ98:DO98" si="319">DJ96/SUM(DJ93:DJ95)</f>
        <v>-1.5122438013356875E-2</v>
      </c>
      <c r="DK98" s="180">
        <f t="shared" si="319"/>
        <v>-2.2549498900024445E-2</v>
      </c>
      <c r="DL98" s="180">
        <f t="shared" si="319"/>
        <v>-1.9257595862679052E-2</v>
      </c>
      <c r="DM98" s="180">
        <f t="shared" si="319"/>
        <v>-1.7718507387928874E-2</v>
      </c>
      <c r="DN98" s="180">
        <f t="shared" si="319"/>
        <v>-1.8715693406520732E-2</v>
      </c>
      <c r="DO98" s="180">
        <f t="shared" si="319"/>
        <v>-2.3314628941752943E-2</v>
      </c>
      <c r="DP98" s="180"/>
      <c r="DQ98" s="363">
        <f>DQ96/SUM(DQ93:DQ95)</f>
        <v>-2.0362535199309455E-2</v>
      </c>
      <c r="DR98" s="389">
        <f>DR96/SUM(DR93:DR95)</f>
        <v>-1.7057414531465486E-2</v>
      </c>
      <c r="DS98" s="180">
        <f t="shared" ref="DS98:DW98" si="320">DS96/SUM(DS93:DS95)</f>
        <v>-2.9592946007971976E-2</v>
      </c>
      <c r="DT98" s="180">
        <f t="shared" si="320"/>
        <v>-2.3899785726059008E-2</v>
      </c>
      <c r="DU98" s="180">
        <f t="shared" si="320"/>
        <v>-1.3994136843851982E-2</v>
      </c>
      <c r="DV98" s="180">
        <f t="shared" si="320"/>
        <v>-2.0200768372784731E-2</v>
      </c>
      <c r="DW98" s="180">
        <f t="shared" si="320"/>
        <v>-1.7370007535795026E-2</v>
      </c>
      <c r="DX98" s="180"/>
      <c r="DY98" s="180"/>
      <c r="DZ98" s="389"/>
      <c r="EA98" s="180"/>
      <c r="EB98" s="180"/>
      <c r="EC98" s="180"/>
      <c r="ED98" s="180"/>
      <c r="EE98" s="180"/>
      <c r="EF98" s="180"/>
      <c r="EG98" s="813"/>
      <c r="EH98" s="610"/>
    </row>
    <row r="99" spans="1:138">
      <c r="B99" s="42"/>
      <c r="J99" s="369"/>
      <c r="R99" s="369"/>
      <c r="Z99" s="369"/>
      <c r="AH99" s="369"/>
      <c r="AP99" s="369"/>
      <c r="AQ99" s="43"/>
      <c r="AR99" s="43"/>
      <c r="AS99" s="43"/>
      <c r="AT99" s="43"/>
      <c r="AU99" s="43"/>
      <c r="AV99" s="43"/>
      <c r="AW99" s="43"/>
      <c r="AX99" s="369"/>
      <c r="AY99" s="43"/>
      <c r="AZ99" s="43"/>
      <c r="BA99" s="43"/>
      <c r="BB99" s="43"/>
      <c r="BC99" s="43"/>
      <c r="BD99" s="43"/>
      <c r="BE99" s="43"/>
      <c r="BF99" s="369"/>
      <c r="BG99" s="43"/>
      <c r="BH99" s="43"/>
      <c r="BI99" s="43"/>
      <c r="BJ99" s="43"/>
      <c r="BK99" s="43"/>
      <c r="BL99" s="43"/>
      <c r="BM99" s="43"/>
      <c r="BN99" s="408"/>
      <c r="BO99" s="122"/>
      <c r="BP99" s="122"/>
      <c r="BQ99" s="122"/>
      <c r="BR99" s="122"/>
      <c r="BS99" s="122"/>
      <c r="BT99" s="122"/>
      <c r="BU99" s="122"/>
      <c r="BV99" s="369"/>
      <c r="BW99" s="122"/>
      <c r="BX99" s="122"/>
      <c r="BY99" s="43"/>
      <c r="BZ99" s="43"/>
      <c r="CA99" s="64"/>
      <c r="CB99" s="43"/>
      <c r="CC99" s="43"/>
      <c r="CD99" s="369"/>
      <c r="CE99" s="43"/>
      <c r="CF99" s="43"/>
      <c r="CG99" s="43"/>
      <c r="CH99" s="43"/>
      <c r="CI99" s="43"/>
      <c r="CJ99" s="43"/>
      <c r="CK99" s="43"/>
      <c r="CL99" s="369"/>
      <c r="CM99" s="43"/>
      <c r="CN99" s="43"/>
      <c r="CO99" s="43"/>
      <c r="CP99" s="43"/>
      <c r="CQ99" s="43"/>
      <c r="CR99" s="43"/>
      <c r="CS99" s="43"/>
      <c r="CT99" s="369"/>
      <c r="CU99" s="43"/>
      <c r="CV99" s="43"/>
      <c r="CW99" s="43"/>
      <c r="CX99" s="43"/>
      <c r="CY99" s="122"/>
      <c r="CZ99" s="43"/>
      <c r="DA99" s="43"/>
      <c r="DB99" s="369"/>
      <c r="DC99" s="43"/>
      <c r="DD99" s="43"/>
      <c r="DE99" s="43"/>
      <c r="DF99" s="43"/>
      <c r="DG99" s="122"/>
      <c r="DH99" s="43"/>
      <c r="DI99" s="43"/>
      <c r="DJ99" s="369"/>
      <c r="DK99" s="43"/>
      <c r="DL99" s="43"/>
      <c r="DM99" s="43"/>
      <c r="DN99" s="43"/>
      <c r="DO99" s="122"/>
      <c r="DP99" s="43"/>
      <c r="DQ99" s="43"/>
      <c r="DR99" s="369"/>
      <c r="DS99" s="43"/>
      <c r="DT99" s="43"/>
      <c r="DU99" s="43"/>
      <c r="DV99" s="43"/>
      <c r="DW99" s="122"/>
      <c r="DX99" s="43"/>
      <c r="DY99" s="43"/>
      <c r="DZ99" s="369"/>
      <c r="EA99" s="43"/>
      <c r="EB99" s="43"/>
      <c r="EC99" s="122"/>
      <c r="ED99" s="43"/>
      <c r="EE99" s="122"/>
      <c r="EF99" s="43"/>
      <c r="EG99" s="814"/>
      <c r="EH99" s="406"/>
    </row>
    <row r="100" spans="1:138">
      <c r="A100" s="12" t="s">
        <v>227</v>
      </c>
      <c r="B100" s="42"/>
      <c r="J100" s="369"/>
      <c r="R100" s="369"/>
      <c r="Z100" s="369"/>
      <c r="AH100" s="369"/>
      <c r="AP100" s="369"/>
      <c r="AQ100" s="43"/>
      <c r="AR100" s="43"/>
      <c r="AS100" s="43"/>
      <c r="AT100" s="43"/>
      <c r="AU100" s="43"/>
      <c r="AV100" s="43"/>
      <c r="AW100" s="43"/>
      <c r="AX100" s="369"/>
      <c r="AY100" s="43"/>
      <c r="AZ100" s="43"/>
      <c r="BA100" s="43"/>
      <c r="BB100" s="43"/>
      <c r="BC100" s="43"/>
      <c r="BD100" s="43"/>
      <c r="BE100" s="43"/>
      <c r="BF100" s="369"/>
      <c r="BG100" s="43"/>
      <c r="BH100" s="43"/>
      <c r="BI100" s="43"/>
      <c r="BJ100" s="43"/>
      <c r="BK100" s="43"/>
      <c r="BL100" s="43"/>
      <c r="BM100" s="43"/>
      <c r="BN100" s="408"/>
      <c r="BO100" s="122"/>
      <c r="BP100" s="122"/>
      <c r="BQ100" s="122"/>
      <c r="BR100" s="122"/>
      <c r="BS100" s="122"/>
      <c r="BT100" s="122"/>
      <c r="BU100" s="122"/>
      <c r="BV100" s="369"/>
      <c r="BW100" s="122"/>
      <c r="BX100" s="122"/>
      <c r="BY100" s="43"/>
      <c r="BZ100" s="43"/>
      <c r="CA100" s="43"/>
      <c r="CB100" s="43"/>
      <c r="CC100" s="43"/>
      <c r="CD100" s="369"/>
      <c r="CE100" s="43"/>
      <c r="CF100" s="43"/>
      <c r="CG100" s="43"/>
      <c r="CH100" s="43"/>
      <c r="CI100" s="43"/>
      <c r="CJ100" s="43"/>
      <c r="CK100" s="43"/>
      <c r="CL100" s="369"/>
      <c r="CM100" s="43"/>
      <c r="CN100" s="43"/>
      <c r="CO100" s="43"/>
      <c r="CP100" s="43"/>
      <c r="CQ100" s="43"/>
      <c r="CR100" s="43"/>
      <c r="CS100" s="43"/>
      <c r="CT100" s="369"/>
      <c r="CU100" s="43"/>
      <c r="CV100" s="43"/>
      <c r="CW100" s="43"/>
      <c r="CX100" s="43"/>
      <c r="CY100" s="122"/>
      <c r="CZ100" s="43"/>
      <c r="DA100" s="43"/>
      <c r="DB100" s="369"/>
      <c r="DC100" s="43"/>
      <c r="DD100" s="43"/>
      <c r="DE100" s="43"/>
      <c r="DF100" s="43"/>
      <c r="DG100" s="122"/>
      <c r="DH100" s="43"/>
      <c r="DI100" s="43"/>
      <c r="DJ100" s="369"/>
      <c r="DK100" s="43"/>
      <c r="DL100" s="43"/>
      <c r="DM100" s="43"/>
      <c r="DN100" s="43"/>
      <c r="DO100" s="122"/>
      <c r="DP100" s="43"/>
      <c r="DQ100" s="43"/>
      <c r="DR100" s="369"/>
      <c r="DS100" s="43"/>
      <c r="DT100" s="43"/>
      <c r="DU100" s="43"/>
      <c r="DV100" s="43"/>
      <c r="DW100" s="122"/>
      <c r="DX100" s="43"/>
      <c r="DY100" s="43"/>
      <c r="DZ100" s="369"/>
      <c r="EA100" s="43"/>
      <c r="EB100" s="43"/>
      <c r="EC100" s="122"/>
      <c r="ED100" s="43"/>
      <c r="EE100" s="122"/>
      <c r="EF100" s="43"/>
      <c r="EG100" s="814"/>
      <c r="EH100" s="406"/>
    </row>
    <row r="101" spans="1:138">
      <c r="A101" s="13" t="s">
        <v>14</v>
      </c>
      <c r="B101" s="42"/>
      <c r="J101" s="369"/>
      <c r="R101" s="369"/>
      <c r="Z101" s="390">
        <f>Z93/R93-1</f>
        <v>2.0321954561022926E-2</v>
      </c>
      <c r="AA101" s="77">
        <f t="shared" ref="AA101:AG101" si="321">AA93/S93-1</f>
        <v>0.12297977095151458</v>
      </c>
      <c r="AB101" s="77" t="e">
        <f>AB93/M93-1</f>
        <v>#DIV/0!</v>
      </c>
      <c r="AC101" s="77">
        <f t="shared" si="321"/>
        <v>1.7884240190765288E-2</v>
      </c>
      <c r="AD101" s="77">
        <f t="shared" si="321"/>
        <v>5.4596018735362906E-2</v>
      </c>
      <c r="AE101" s="77">
        <f t="shared" si="321"/>
        <v>0.10636199243794175</v>
      </c>
      <c r="AF101" s="77">
        <f t="shared" si="321"/>
        <v>6.8203066566940862E-2</v>
      </c>
      <c r="AG101" s="77">
        <f t="shared" si="321"/>
        <v>7.0542360864941589E-2</v>
      </c>
      <c r="AH101" s="390">
        <f t="shared" ref="AH101:BE101" si="322">AH93/Z93-1</f>
        <v>-4.1624706277274215E-2</v>
      </c>
      <c r="AI101" s="77">
        <f t="shared" si="322"/>
        <v>0.19290888295844444</v>
      </c>
      <c r="AJ101" s="77">
        <f t="shared" si="322"/>
        <v>8.5027536157290751E-2</v>
      </c>
      <c r="AK101" s="77">
        <f t="shared" si="322"/>
        <v>6.8895751251197845E-2</v>
      </c>
      <c r="AL101" s="77">
        <f t="shared" si="322"/>
        <v>7.9770992366412274E-2</v>
      </c>
      <c r="AM101" s="77">
        <f t="shared" si="322"/>
        <v>9.4725111441307686E-2</v>
      </c>
      <c r="AN101" s="77">
        <f t="shared" si="322"/>
        <v>8.4110104590608747E-2</v>
      </c>
      <c r="AO101" s="77">
        <f t="shared" si="322"/>
        <v>8.4531693472090774E-2</v>
      </c>
      <c r="AP101" s="390">
        <f t="shared" si="322"/>
        <v>1.2025685931114971E-2</v>
      </c>
      <c r="AQ101" s="77">
        <f t="shared" si="322"/>
        <v>-9.827420901246442E-3</v>
      </c>
      <c r="AR101" s="77">
        <f t="shared" si="322"/>
        <v>-9.487215976471397E-4</v>
      </c>
      <c r="AS101" s="77">
        <f t="shared" si="322"/>
        <v>4.1044032675831899E-2</v>
      </c>
      <c r="AT101" s="77">
        <f t="shared" si="322"/>
        <v>1.2596805809955258E-2</v>
      </c>
      <c r="AU101" s="77">
        <f t="shared" si="322"/>
        <v>0.20298608754665759</v>
      </c>
      <c r="AV101" s="77">
        <f t="shared" si="322"/>
        <v>0.13736729503895373</v>
      </c>
      <c r="AW101" s="77">
        <f t="shared" si="322"/>
        <v>7.3777642081388706E-2</v>
      </c>
      <c r="AX101" s="390">
        <f t="shared" si="322"/>
        <v>0.13347946469773886</v>
      </c>
      <c r="AY101" s="77">
        <f t="shared" si="322"/>
        <v>-3.4616315662067243E-2</v>
      </c>
      <c r="AZ101" s="77">
        <f t="shared" si="322"/>
        <v>3.456625991168516E-2</v>
      </c>
      <c r="BA101" s="77">
        <f t="shared" si="322"/>
        <v>3.8660287081339728E-2</v>
      </c>
      <c r="BB101" s="77">
        <f t="shared" si="322"/>
        <v>3.5923963060518593E-2</v>
      </c>
      <c r="BC101" s="77">
        <f t="shared" si="322"/>
        <v>3.3228026627552643E-2</v>
      </c>
      <c r="BD101" s="77">
        <f t="shared" si="322"/>
        <v>3.5242759795570677E-2</v>
      </c>
      <c r="BE101" s="77">
        <f t="shared" si="322"/>
        <v>3.4953388711741251E-2</v>
      </c>
      <c r="BF101" s="390"/>
      <c r="BG101" s="77"/>
      <c r="BH101" s="77"/>
      <c r="BI101" s="77"/>
      <c r="BJ101" s="77"/>
      <c r="BK101" s="77"/>
      <c r="BL101" s="77"/>
      <c r="BM101" s="77"/>
      <c r="BN101" s="443">
        <f>BN93/BF93-1</f>
        <v>-0.11560127357335293</v>
      </c>
      <c r="BO101" s="128">
        <f t="shared" ref="BO101:BU101" si="323">BO93/BG93-1</f>
        <v>0.13059105431309903</v>
      </c>
      <c r="BP101" s="128">
        <f t="shared" si="323"/>
        <v>2.001979980200197E-2</v>
      </c>
      <c r="BQ101" s="128">
        <f t="shared" si="323"/>
        <v>0.26976694689794622</v>
      </c>
      <c r="BR101" s="128">
        <f t="shared" si="323"/>
        <v>0.10511621161028328</v>
      </c>
      <c r="BS101" s="128">
        <f t="shared" si="323"/>
        <v>9.9641667190545125E-2</v>
      </c>
      <c r="BT101" s="128">
        <f t="shared" si="323"/>
        <v>0.16282010749288656</v>
      </c>
      <c r="BU101" s="128">
        <f t="shared" si="323"/>
        <v>0.10311364577105264</v>
      </c>
      <c r="BV101" s="390">
        <f t="shared" ref="BV101:CC105" si="324">BV93/BN93-1</f>
        <v>0.34270285239545828</v>
      </c>
      <c r="BW101" s="128">
        <f t="shared" si="324"/>
        <v>0.26686683150830093</v>
      </c>
      <c r="BX101" s="128">
        <f t="shared" si="324"/>
        <v>0.29639814515259366</v>
      </c>
      <c r="BY101" s="77">
        <f t="shared" si="324"/>
        <v>-3.3774723432785758E-2</v>
      </c>
      <c r="BZ101" s="77">
        <f t="shared" si="324"/>
        <v>0.1671369512435199</v>
      </c>
      <c r="CA101" s="77">
        <f t="shared" si="324"/>
        <v>9.7816144523210635E-2</v>
      </c>
      <c r="CB101" s="77">
        <f t="shared" si="324"/>
        <v>4.4453507340946219E-2</v>
      </c>
      <c r="CC101" s="77">
        <f t="shared" si="324"/>
        <v>0.14185949551803212</v>
      </c>
      <c r="CD101" s="390">
        <f t="shared" ref="CD101:CS101" si="325">CD93/BV93-1</f>
        <v>-0.21944931422089309</v>
      </c>
      <c r="CE101" s="77">
        <f t="shared" si="325"/>
        <v>-0.65398020354105668</v>
      </c>
      <c r="CF101" s="77">
        <f t="shared" si="325"/>
        <v>-0.47872561660358526</v>
      </c>
      <c r="CG101" s="77">
        <f t="shared" si="325"/>
        <v>-0.32882296816723044</v>
      </c>
      <c r="CH101" s="77">
        <f t="shared" si="325"/>
        <v>-0.43014168447093215</v>
      </c>
      <c r="CI101" s="77">
        <f t="shared" si="325"/>
        <v>-0.27204082695412179</v>
      </c>
      <c r="CJ101" s="77">
        <f t="shared" si="325"/>
        <v>-0.29334244435767276</v>
      </c>
      <c r="CK101" s="77">
        <f t="shared" si="325"/>
        <v>-0.37471474212688272</v>
      </c>
      <c r="CL101" s="390">
        <f t="shared" si="325"/>
        <v>-3.9239001189060652E-2</v>
      </c>
      <c r="CM101" s="77">
        <f t="shared" si="325"/>
        <v>1.1234891216760676</v>
      </c>
      <c r="CN101" s="77">
        <f t="shared" si="325"/>
        <v>0.42128780020745227</v>
      </c>
      <c r="CO101" s="77">
        <f t="shared" si="325"/>
        <v>-0.12057379167743598</v>
      </c>
      <c r="CP101" s="77">
        <f t="shared" si="325"/>
        <v>0.21444428000591986</v>
      </c>
      <c r="CQ101" s="77">
        <f t="shared" si="325"/>
        <v>-0.17404678446240784</v>
      </c>
      <c r="CR101" s="77">
        <f t="shared" si="325"/>
        <v>-0.15499378367177785</v>
      </c>
      <c r="CS101" s="77">
        <f t="shared" si="325"/>
        <v>5.5883211678832145E-2</v>
      </c>
      <c r="CT101" s="390">
        <f t="shared" ref="CT101:CZ105" si="326">CT93/CL93-1</f>
        <v>0.17450495049504955</v>
      </c>
      <c r="CU101" s="77">
        <f t="shared" si="326"/>
        <v>-0.14695000474338293</v>
      </c>
      <c r="CV101" s="77">
        <f t="shared" si="326"/>
        <v>-1.57188570145399E-2</v>
      </c>
      <c r="CW101" s="77">
        <f t="shared" si="326"/>
        <v>0.3403379867744305</v>
      </c>
      <c r="CX101" s="77">
        <f t="shared" si="326"/>
        <v>8.270371273052235E-2</v>
      </c>
      <c r="CY101" s="128">
        <f t="shared" si="326"/>
        <v>0.27957734280270219</v>
      </c>
      <c r="CZ101" s="77">
        <f t="shared" si="326"/>
        <v>0.30210887690044141</v>
      </c>
      <c r="DA101" s="77">
        <f t="shared" ref="DA101:DJ105" si="327">DA93/CS93-1</f>
        <v>0.14555911956641965</v>
      </c>
      <c r="DB101" s="390">
        <f t="shared" si="327"/>
        <v>-5.0462475120009342E-2</v>
      </c>
      <c r="DC101" s="77">
        <f t="shared" si="327"/>
        <v>0.36109875444839856</v>
      </c>
      <c r="DD101" s="77">
        <f t="shared" si="327"/>
        <v>0.16061141846803162</v>
      </c>
      <c r="DE101" s="77">
        <f t="shared" si="327"/>
        <v>0.22333077513430544</v>
      </c>
      <c r="DF101" s="77">
        <f t="shared" si="327"/>
        <v>0.18207398514294293</v>
      </c>
      <c r="DG101" s="128">
        <f t="shared" si="327"/>
        <v>0.10031135779071332</v>
      </c>
      <c r="DH101" s="77">
        <f t="shared" si="327"/>
        <v>0.14726930320150666</v>
      </c>
      <c r="DI101" s="77">
        <f t="shared" si="327"/>
        <v>0.15291590228830731</v>
      </c>
      <c r="DJ101" s="390">
        <f t="shared" si="327"/>
        <v>0.13033292231812577</v>
      </c>
      <c r="DK101" s="77">
        <f t="shared" ref="DK101:DT105" si="328">DK93/DC93-1</f>
        <v>-1.560585015115612E-2</v>
      </c>
      <c r="DL101" s="77">
        <f t="shared" si="328"/>
        <v>4.2557373826723754E-2</v>
      </c>
      <c r="DM101" s="77">
        <f t="shared" si="328"/>
        <v>4.5348628786520795E-2</v>
      </c>
      <c r="DN101" s="77">
        <f t="shared" si="328"/>
        <v>4.3545878693623585E-2</v>
      </c>
      <c r="DO101" s="128">
        <f t="shared" si="328"/>
        <v>9.2950295275590511E-2</v>
      </c>
      <c r="DP101" s="77">
        <f t="shared" si="328"/>
        <v>7.3575545341796111E-2</v>
      </c>
      <c r="DQ101" s="77">
        <f t="shared" si="328"/>
        <v>6.0360530117455014E-2</v>
      </c>
      <c r="DR101" s="390">
        <f t="shared" si="328"/>
        <v>3.861677757172477E-2</v>
      </c>
      <c r="DS101" s="128">
        <f t="shared" si="328"/>
        <v>-6.1420982735723717E-2</v>
      </c>
      <c r="DT101" s="128">
        <f t="shared" si="328"/>
        <v>-1.8194673580014142E-2</v>
      </c>
      <c r="DU101" s="128">
        <f t="shared" ref="DU101:DU105" si="329">DU93/DM93-1</f>
        <v>0.11942729766803839</v>
      </c>
      <c r="DV101" s="128">
        <f t="shared" ref="DV101:DV105" si="330">DV93/DN93-1</f>
        <v>3.0627452173119574E-2</v>
      </c>
      <c r="DW101" s="128">
        <f t="shared" ref="DW101:DW105" si="331">DW93/DO93-1</f>
        <v>5.2006528958180809E-2</v>
      </c>
      <c r="DX101" s="128">
        <f t="shared" ref="DX101:DX105" si="332">DX93/DP93-1</f>
        <v>7.8726512860589182E-2</v>
      </c>
      <c r="DY101" s="807">
        <f t="shared" ref="DY101:DY105" si="333">DY93/DQ93-1</f>
        <v>3.8127394068633302E-2</v>
      </c>
      <c r="DZ101" s="390">
        <f t="shared" ref="DZ101:DZ105" si="334">DZ93/DR93-1</f>
        <v>-0.1139586177922487</v>
      </c>
      <c r="EA101" s="128">
        <f t="shared" ref="EA101:EA105" si="335">EA93/DS93-1</f>
        <v>0.36549345596038196</v>
      </c>
      <c r="EB101" s="128">
        <f t="shared" ref="EB101:EB105" si="336">EB93/DT93-1</f>
        <v>0.14633443756301312</v>
      </c>
      <c r="EC101" s="128">
        <f t="shared" ref="EC101:EC105" si="337">EC93/DU93-1</f>
        <v>0.10210970487840942</v>
      </c>
      <c r="ED101" s="77">
        <f t="shared" ref="ED101:ED105" si="338">ED93/DV93-1</f>
        <v>0.12929370290377729</v>
      </c>
      <c r="EE101" s="128">
        <f t="shared" ref="EE101:EE105" si="339">EE93/DW93-1</f>
        <v>5.2826255245558729E-2</v>
      </c>
      <c r="EF101" s="77">
        <f t="shared" ref="EF101:EF105" si="340">EF93/DX93-1</f>
        <v>7.3095059638154547E-2</v>
      </c>
      <c r="EG101" s="815">
        <f t="shared" ref="EG101:EG105" si="341">EG93/DY93-1</f>
        <v>0.10210970487840942</v>
      </c>
      <c r="EH101" s="406"/>
    </row>
    <row r="102" spans="1:138">
      <c r="A102" s="107" t="s">
        <v>385</v>
      </c>
      <c r="B102" s="42"/>
      <c r="J102" s="369"/>
      <c r="R102" s="369"/>
      <c r="Z102" s="390">
        <f t="shared" ref="Z102:AH102" si="342">Z94/R94-1</f>
        <v>0.1387283236994219</v>
      </c>
      <c r="AA102" s="77">
        <f t="shared" si="342"/>
        <v>4.7218628719275513E-2</v>
      </c>
      <c r="AB102" s="77" t="e">
        <f>AB94/M94-1</f>
        <v>#DIV/0!</v>
      </c>
      <c r="AC102" s="77">
        <f t="shared" si="342"/>
        <v>-5.7493540051679615E-2</v>
      </c>
      <c r="AD102" s="77">
        <f t="shared" si="342"/>
        <v>3.0977734753146136E-2</v>
      </c>
      <c r="AE102" s="77">
        <f t="shared" si="342"/>
        <v>4.5727482678983744E-2</v>
      </c>
      <c r="AF102" s="77">
        <f t="shared" si="342"/>
        <v>2.6932399676811158E-3</v>
      </c>
      <c r="AG102" s="77">
        <f t="shared" si="342"/>
        <v>3.6048912180403292E-2</v>
      </c>
      <c r="AH102" s="390">
        <f t="shared" si="342"/>
        <v>8.7140439932318126E-2</v>
      </c>
      <c r="AI102" s="77">
        <f t="shared" ref="AI102:AR105" si="343">AI94/AA94-1</f>
        <v>2.8412600370599117E-2</v>
      </c>
      <c r="AJ102" s="77">
        <f t="shared" si="343"/>
        <v>5.3195287397358015E-2</v>
      </c>
      <c r="AK102" s="77">
        <f t="shared" si="343"/>
        <v>9.5956134338588406E-3</v>
      </c>
      <c r="AL102" s="77">
        <f t="shared" si="343"/>
        <v>3.8262910798122052E-2</v>
      </c>
      <c r="AM102" s="77">
        <f t="shared" si="343"/>
        <v>4.3727915194346378E-2</v>
      </c>
      <c r="AN102" s="77">
        <f t="shared" si="343"/>
        <v>3.035186677410695E-2</v>
      </c>
      <c r="AO102" s="77">
        <f t="shared" si="343"/>
        <v>4.0159411404046663E-2</v>
      </c>
      <c r="AP102" s="390">
        <f t="shared" si="343"/>
        <v>-9.8832684824902706E-2</v>
      </c>
      <c r="AQ102" s="77">
        <f t="shared" si="343"/>
        <v>-8.1681681681681662E-2</v>
      </c>
      <c r="AR102" s="77">
        <f t="shared" si="343"/>
        <v>-8.9152542372881394E-2</v>
      </c>
      <c r="AS102" s="77">
        <f t="shared" ref="AS102:BB105" si="344">AS94/AK94-1</f>
        <v>8.2824168363883288E-2</v>
      </c>
      <c r="AT102" s="77">
        <f t="shared" si="344"/>
        <v>-3.1878815283744033E-2</v>
      </c>
      <c r="AU102" s="77">
        <f t="shared" si="344"/>
        <v>2.9623360135420107E-3</v>
      </c>
      <c r="AV102" s="77">
        <f t="shared" si="344"/>
        <v>3.362877997914504E-2</v>
      </c>
      <c r="AW102" s="77">
        <f t="shared" si="344"/>
        <v>-1.9746536987916286E-2</v>
      </c>
      <c r="AX102" s="390">
        <f t="shared" si="344"/>
        <v>0.11485319516407588</v>
      </c>
      <c r="AY102" s="77">
        <f t="shared" si="344"/>
        <v>6.6056245912361033E-2</v>
      </c>
      <c r="AZ102" s="77">
        <f t="shared" si="344"/>
        <v>8.7085969482694425E-2</v>
      </c>
      <c r="BA102" s="77">
        <f t="shared" si="344"/>
        <v>-8.025078369905958E-2</v>
      </c>
      <c r="BB102" s="77">
        <f t="shared" si="344"/>
        <v>2.4754787482484719E-2</v>
      </c>
      <c r="BC102" s="77">
        <f t="shared" ref="BC102:BE105" si="345">BC94/AU94-1</f>
        <v>-0.12995780590717299</v>
      </c>
      <c r="BD102" s="77">
        <f t="shared" si="345"/>
        <v>-3.0366806975345773E-2</v>
      </c>
      <c r="BE102" s="77">
        <f t="shared" si="345"/>
        <v>-3.0366806975345773E-2</v>
      </c>
      <c r="BF102" s="390"/>
      <c r="BG102" s="77"/>
      <c r="BH102" s="77"/>
      <c r="BI102" s="77"/>
      <c r="BJ102" s="77"/>
      <c r="BK102" s="77"/>
      <c r="BL102" s="77"/>
      <c r="BM102" s="77"/>
      <c r="BN102" s="443">
        <f>BN94/BF94-1</f>
        <v>-0.18282312925170063</v>
      </c>
      <c r="BO102" s="128">
        <f t="shared" ref="BO102:BU105" si="346">BO94/BG94-1</f>
        <v>-7.3376623376623429E-2</v>
      </c>
      <c r="BP102" s="128">
        <f t="shared" si="346"/>
        <v>-0.12076583210603831</v>
      </c>
      <c r="BQ102" s="128">
        <f t="shared" si="346"/>
        <v>-7.6975016880486136E-2</v>
      </c>
      <c r="BR102" s="128">
        <f t="shared" si="346"/>
        <v>-0.1053133190374077</v>
      </c>
      <c r="BS102" s="128">
        <f t="shared" si="346"/>
        <v>1.9176800748363032E-2</v>
      </c>
      <c r="BT102" s="128">
        <f t="shared" si="346"/>
        <v>-2.0171318043658459E-2</v>
      </c>
      <c r="BU102" s="128">
        <f t="shared" si="346"/>
        <v>-6.3299131807419085E-2</v>
      </c>
      <c r="BV102" s="390">
        <f t="shared" si="324"/>
        <v>4.7866805411030278E-2</v>
      </c>
      <c r="BW102" s="128">
        <f t="shared" si="324"/>
        <v>-4.4148563419761699E-2</v>
      </c>
      <c r="BX102" s="128">
        <f t="shared" si="324"/>
        <v>-7.1189279731993516E-3</v>
      </c>
      <c r="BY102" s="77">
        <f t="shared" si="324"/>
        <v>-1.9019751280175523E-2</v>
      </c>
      <c r="BZ102" s="77">
        <f t="shared" si="324"/>
        <v>-1.1451398135818858E-2</v>
      </c>
      <c r="CA102" s="77">
        <f t="shared" si="324"/>
        <v>5.323542909591561E-2</v>
      </c>
      <c r="CB102" s="77">
        <f t="shared" si="324"/>
        <v>2.5380710659898442E-2</v>
      </c>
      <c r="CC102" s="77">
        <f t="shared" si="324"/>
        <v>1.2301988540613484E-2</v>
      </c>
      <c r="CD102" s="390">
        <f t="shared" ref="CD102:CS105" si="347">CD94/BV94-1</f>
        <v>0.19364448857994043</v>
      </c>
      <c r="CE102" s="77">
        <f t="shared" si="347"/>
        <v>-0.17082111436950143</v>
      </c>
      <c r="CF102" s="77">
        <f t="shared" si="347"/>
        <v>-1.6026992830029507E-2</v>
      </c>
      <c r="CG102" s="77">
        <f t="shared" si="347"/>
        <v>-3.8031319910514561E-2</v>
      </c>
      <c r="CH102" s="77">
        <f t="shared" si="347"/>
        <v>-2.3976293103448287E-2</v>
      </c>
      <c r="CI102" s="77">
        <f t="shared" si="347"/>
        <v>0.1450980392156862</v>
      </c>
      <c r="CJ102" s="77">
        <f t="shared" si="347"/>
        <v>7.7557755775577553E-2</v>
      </c>
      <c r="CK102" s="77">
        <f t="shared" si="347"/>
        <v>4.0619277509572171E-2</v>
      </c>
      <c r="CL102" s="390">
        <f t="shared" si="347"/>
        <v>-2.0798668885191329E-2</v>
      </c>
      <c r="CM102" s="77">
        <f t="shared" si="347"/>
        <v>0.25287356321839072</v>
      </c>
      <c r="CN102" s="77">
        <f t="shared" si="347"/>
        <v>0.11187312473210453</v>
      </c>
      <c r="CO102" s="77">
        <f t="shared" si="347"/>
        <v>0.19612403100775189</v>
      </c>
      <c r="CP102" s="77">
        <f t="shared" si="347"/>
        <v>0.14187137731162025</v>
      </c>
      <c r="CQ102" s="77">
        <f t="shared" si="347"/>
        <v>-9.7412480974124804E-2</v>
      </c>
      <c r="CR102" s="77">
        <f t="shared" si="347"/>
        <v>-7.6569678407345521E-4</v>
      </c>
      <c r="CS102" s="77">
        <f t="shared" si="347"/>
        <v>4.1273396256598982E-2</v>
      </c>
      <c r="CT102" s="390">
        <f t="shared" si="326"/>
        <v>7.4766355140186924E-2</v>
      </c>
      <c r="CU102" s="77">
        <f t="shared" si="326"/>
        <v>4.3754410726887683E-2</v>
      </c>
      <c r="CV102" s="77">
        <f t="shared" si="326"/>
        <v>5.7825751734772446E-2</v>
      </c>
      <c r="CW102" s="77">
        <f t="shared" si="326"/>
        <v>0.14776409591704476</v>
      </c>
      <c r="CX102" s="77">
        <f t="shared" si="326"/>
        <v>9.137055837563457E-2</v>
      </c>
      <c r="CY102" s="128">
        <f t="shared" si="326"/>
        <v>6.7875210792580187E-2</v>
      </c>
      <c r="CZ102" s="77">
        <f t="shared" si="326"/>
        <v>9.9361430395913164E-2</v>
      </c>
      <c r="DA102" s="77">
        <f t="shared" si="327"/>
        <v>8.2808419111998877E-2</v>
      </c>
      <c r="DB102" s="390">
        <f t="shared" si="327"/>
        <v>0.26324110671936762</v>
      </c>
      <c r="DC102" s="77">
        <f t="shared" si="327"/>
        <v>7.9107505070993955E-2</v>
      </c>
      <c r="DD102" s="77">
        <f t="shared" si="327"/>
        <v>0.1639941690962099</v>
      </c>
      <c r="DE102" s="77">
        <f t="shared" si="327"/>
        <v>-0.17108977978543194</v>
      </c>
      <c r="DF102" s="77">
        <f t="shared" si="327"/>
        <v>3.2558139534883734E-2</v>
      </c>
      <c r="DG102" s="128">
        <f t="shared" si="327"/>
        <v>5.606000789577581E-2</v>
      </c>
      <c r="DH102" s="77">
        <f t="shared" si="327"/>
        <v>-3.7407063197026025E-2</v>
      </c>
      <c r="DI102" s="77">
        <f t="shared" si="327"/>
        <v>4.100454029511913E-2</v>
      </c>
      <c r="DJ102" s="390">
        <f t="shared" si="327"/>
        <v>-8.5732165206508171E-2</v>
      </c>
      <c r="DK102" s="77">
        <f t="shared" si="328"/>
        <v>8.3959899749373346E-2</v>
      </c>
      <c r="DL102" s="77">
        <f t="shared" si="328"/>
        <v>-9.3926111458986217E-4</v>
      </c>
      <c r="DM102" s="77">
        <f t="shared" si="328"/>
        <v>0.14713896457765663</v>
      </c>
      <c r="DN102" s="77">
        <f t="shared" si="328"/>
        <v>4.5688545688545634E-2</v>
      </c>
      <c r="DO102" s="128">
        <f t="shared" si="328"/>
        <v>0.1461682242990654</v>
      </c>
      <c r="DP102" s="77">
        <f t="shared" si="328"/>
        <v>0.14651218923485398</v>
      </c>
      <c r="DQ102" s="77">
        <f t="shared" si="328"/>
        <v>8.232247512607338E-2</v>
      </c>
      <c r="DR102" s="390">
        <f t="shared" si="328"/>
        <v>9.5140314852840469E-2</v>
      </c>
      <c r="DS102" s="128">
        <f t="shared" si="328"/>
        <v>0.2098265895953757</v>
      </c>
      <c r="DT102" s="128">
        <f t="shared" si="328"/>
        <v>0.15731745534315267</v>
      </c>
      <c r="DU102" s="128">
        <f t="shared" si="329"/>
        <v>0.16330166270783852</v>
      </c>
      <c r="DV102" s="128">
        <f t="shared" si="330"/>
        <v>0.15938461538461546</v>
      </c>
      <c r="DW102" s="128">
        <f t="shared" si="331"/>
        <v>8.284409654272662E-2</v>
      </c>
      <c r="DX102" s="128">
        <f t="shared" si="332"/>
        <v>0.11136842105263156</v>
      </c>
      <c r="DY102" s="807">
        <f t="shared" si="333"/>
        <v>0.12983251479662505</v>
      </c>
      <c r="DZ102" s="390">
        <f t="shared" si="334"/>
        <v>2.4999999999999467E-3</v>
      </c>
      <c r="EA102" s="128">
        <f t="shared" si="335"/>
        <v>-8.1223124701385041E-3</v>
      </c>
      <c r="EB102" s="128">
        <f t="shared" si="336"/>
        <v>-3.5201733008394243E-3</v>
      </c>
      <c r="EC102" s="128">
        <f t="shared" si="337"/>
        <v>7.4576037286069097E-2</v>
      </c>
      <c r="ED102" s="77">
        <f t="shared" si="338"/>
        <v>2.3548205421693114E-2</v>
      </c>
      <c r="EE102" s="128">
        <f t="shared" si="339"/>
        <v>0.16144631008650689</v>
      </c>
      <c r="EF102" s="77">
        <f t="shared" si="340"/>
        <v>0.12920935907001563</v>
      </c>
      <c r="EG102" s="815">
        <f t="shared" si="341"/>
        <v>7.4576037286069097E-2</v>
      </c>
      <c r="EH102" s="406"/>
    </row>
    <row r="103" spans="1:138">
      <c r="A103" s="13" t="s">
        <v>384</v>
      </c>
      <c r="B103" s="42"/>
      <c r="J103" s="369"/>
      <c r="R103" s="369"/>
      <c r="Z103" s="390">
        <f t="shared" ref="Z103:AH103" si="348">Z95/R95-1</f>
        <v>2.9654654654654555E-2</v>
      </c>
      <c r="AA103" s="77">
        <f t="shared" si="348"/>
        <v>-4.3793103448275916E-2</v>
      </c>
      <c r="AB103" s="77" t="e">
        <f>AB95/M95-1</f>
        <v>#DIV/0!</v>
      </c>
      <c r="AC103" s="77">
        <f t="shared" si="348"/>
        <v>-4.8616039744499684E-2</v>
      </c>
      <c r="AD103" s="77">
        <f t="shared" si="348"/>
        <v>-2.2071104748270121E-2</v>
      </c>
      <c r="AE103" s="77">
        <f t="shared" si="348"/>
        <v>1.8780333403671579E-2</v>
      </c>
      <c r="AF103" s="77">
        <f t="shared" si="348"/>
        <v>-6.3517268757443679E-3</v>
      </c>
      <c r="AG103" s="77">
        <f t="shared" si="348"/>
        <v>-7.3165155094886414E-3</v>
      </c>
      <c r="AH103" s="390">
        <f t="shared" si="348"/>
        <v>-5.1039008384979989E-2</v>
      </c>
      <c r="AI103" s="77">
        <f t="shared" si="343"/>
        <v>5.5896141363144691E-2</v>
      </c>
      <c r="AJ103" s="77">
        <f t="shared" si="343"/>
        <v>2.7193618564176347E-3</v>
      </c>
      <c r="AK103" s="77">
        <f t="shared" si="343"/>
        <v>6.3782170831779172E-2</v>
      </c>
      <c r="AL103" s="77">
        <f t="shared" si="343"/>
        <v>2.269122849823102E-2</v>
      </c>
      <c r="AM103" s="77">
        <f t="shared" si="343"/>
        <v>-2.7133388566694339E-2</v>
      </c>
      <c r="AN103" s="77">
        <f t="shared" si="343"/>
        <v>5.3269410041283383E-3</v>
      </c>
      <c r="AO103" s="77">
        <f t="shared" si="343"/>
        <v>4.222648752399305E-3</v>
      </c>
      <c r="AP103" s="390">
        <f t="shared" si="343"/>
        <v>-2.6507875528236635E-2</v>
      </c>
      <c r="AQ103" s="77">
        <f t="shared" si="343"/>
        <v>-7.5136612021857729E-3</v>
      </c>
      <c r="AR103" s="77">
        <f t="shared" si="343"/>
        <v>-1.6452721026939066E-2</v>
      </c>
      <c r="AS103" s="77">
        <f t="shared" si="344"/>
        <v>-0.2026647966339411</v>
      </c>
      <c r="AT103" s="77">
        <f t="shared" si="344"/>
        <v>-7.9804365978766501E-2</v>
      </c>
      <c r="AU103" s="77">
        <f t="shared" si="344"/>
        <v>-0.11858633170108579</v>
      </c>
      <c r="AV103" s="77">
        <f t="shared" si="344"/>
        <v>-0.15035103987283083</v>
      </c>
      <c r="AW103" s="77">
        <f t="shared" si="344"/>
        <v>-9.373088685015285E-2</v>
      </c>
      <c r="AX103" s="390">
        <f t="shared" si="344"/>
        <v>-0.16574585635359118</v>
      </c>
      <c r="AY103" s="77">
        <f t="shared" si="344"/>
        <v>-0.1359256710254646</v>
      </c>
      <c r="AZ103" s="77">
        <f t="shared" si="344"/>
        <v>-0.1498161764705882</v>
      </c>
      <c r="BA103" s="77">
        <f t="shared" si="344"/>
        <v>-7.2999120492524217E-2</v>
      </c>
      <c r="BB103" s="77">
        <f t="shared" si="344"/>
        <v>-0.12717137671765621</v>
      </c>
      <c r="BC103" s="77">
        <f t="shared" si="345"/>
        <v>-1.6666666666666718E-2</v>
      </c>
      <c r="BD103" s="77">
        <f t="shared" si="345"/>
        <v>-3.6638603055815455E-2</v>
      </c>
      <c r="BE103" s="77">
        <f t="shared" si="345"/>
        <v>-8.8577695292728187E-2</v>
      </c>
      <c r="BF103" s="390"/>
      <c r="BG103" s="77"/>
      <c r="BH103" s="77"/>
      <c r="BI103" s="77"/>
      <c r="BJ103" s="77"/>
      <c r="BK103" s="77"/>
      <c r="BL103" s="77"/>
      <c r="BM103" s="77"/>
      <c r="BN103" s="443">
        <f>BN95/BF95-1</f>
        <v>-5.2564102564102599E-2</v>
      </c>
      <c r="BO103" s="128">
        <f t="shared" si="346"/>
        <v>-4.8828125E-2</v>
      </c>
      <c r="BP103" s="128">
        <f t="shared" si="346"/>
        <v>-5.0612244897959235E-2</v>
      </c>
      <c r="BQ103" s="128">
        <f t="shared" si="346"/>
        <v>0.10349586016559331</v>
      </c>
      <c r="BR103" s="128">
        <f t="shared" si="346"/>
        <v>-3.2513429459993803E-3</v>
      </c>
      <c r="BS103" s="128">
        <f t="shared" si="346"/>
        <v>0.13912549687677456</v>
      </c>
      <c r="BT103" s="128">
        <f t="shared" si="346"/>
        <v>0.1255266853932584</v>
      </c>
      <c r="BU103" s="128">
        <f t="shared" si="346"/>
        <v>4.4073235183087922E-2</v>
      </c>
      <c r="BV103" s="390">
        <f t="shared" si="324"/>
        <v>-4.7361299052773975E-2</v>
      </c>
      <c r="BW103" s="128">
        <f t="shared" si="324"/>
        <v>0.19219712525667343</v>
      </c>
      <c r="BX103" s="128">
        <f t="shared" si="324"/>
        <v>7.8030954428202959E-2</v>
      </c>
      <c r="BY103" s="77">
        <f t="shared" si="324"/>
        <v>0.12171738224260098</v>
      </c>
      <c r="BZ103" s="77">
        <f t="shared" si="324"/>
        <v>9.2894624875904164E-2</v>
      </c>
      <c r="CA103" s="77">
        <f t="shared" si="324"/>
        <v>-0.20214356929212363</v>
      </c>
      <c r="CB103" s="77">
        <f t="shared" si="324"/>
        <v>-8.0954609265325272E-2</v>
      </c>
      <c r="CC103" s="77">
        <f t="shared" si="324"/>
        <v>-1.4101057579318454E-2</v>
      </c>
      <c r="CD103" s="390">
        <f t="shared" si="347"/>
        <v>-4.7348484848486194E-4</v>
      </c>
      <c r="CE103" s="77">
        <f t="shared" si="347"/>
        <v>-0.15949018256975545</v>
      </c>
      <c r="CF103" s="77">
        <f t="shared" si="347"/>
        <v>-9.2522432701894308E-2</v>
      </c>
      <c r="CG103" s="77">
        <f t="shared" si="347"/>
        <v>-0.11371237458193983</v>
      </c>
      <c r="CH103" s="77">
        <f t="shared" si="347"/>
        <v>-9.99221385933039E-2</v>
      </c>
      <c r="CI103" s="77">
        <f t="shared" si="347"/>
        <v>9.6532333645735768E-2</v>
      </c>
      <c r="CJ103" s="77">
        <f t="shared" si="347"/>
        <v>5.0916496945019318E-4</v>
      </c>
      <c r="CK103" s="77">
        <f t="shared" si="347"/>
        <v>-4.2266434399926611E-2</v>
      </c>
      <c r="CL103" s="390">
        <f t="shared" si="347"/>
        <v>1.8948365703457259E-3</v>
      </c>
      <c r="CM103" s="77">
        <f t="shared" si="347"/>
        <v>-6.9672131147541227E-3</v>
      </c>
      <c r="CN103" s="77">
        <f t="shared" si="347"/>
        <v>-2.8565150516369764E-3</v>
      </c>
      <c r="CO103" s="77">
        <f t="shared" si="347"/>
        <v>-1.7610062893081757E-2</v>
      </c>
      <c r="CP103" s="77">
        <f t="shared" si="347"/>
        <v>-7.9296424452133252E-3</v>
      </c>
      <c r="CQ103" s="77">
        <f t="shared" si="347"/>
        <v>-5.8404558404558382E-2</v>
      </c>
      <c r="CR103" s="77">
        <f t="shared" si="347"/>
        <v>-4.1899915182357916E-2</v>
      </c>
      <c r="CS103" s="77">
        <f t="shared" si="347"/>
        <v>-2.4889910013402239E-2</v>
      </c>
      <c r="CT103" s="390">
        <f t="shared" si="326"/>
        <v>0.15981087470449173</v>
      </c>
      <c r="CU103" s="77">
        <f t="shared" si="326"/>
        <v>7.4288072637226588E-2</v>
      </c>
      <c r="CV103" s="77">
        <f t="shared" si="326"/>
        <v>0.11414720141031287</v>
      </c>
      <c r="CW103" s="77">
        <f t="shared" si="326"/>
        <v>8.2799829278702441E-2</v>
      </c>
      <c r="CX103" s="77">
        <f t="shared" si="326"/>
        <v>0.10347333236448186</v>
      </c>
      <c r="CY103" s="128">
        <f t="shared" si="326"/>
        <v>0.10922844175491675</v>
      </c>
      <c r="CZ103" s="77">
        <f t="shared" si="326"/>
        <v>9.8264872521246494E-2</v>
      </c>
      <c r="DA103" s="77">
        <f t="shared" si="327"/>
        <v>0.10534066365599837</v>
      </c>
      <c r="DB103" s="390">
        <f t="shared" si="327"/>
        <v>-6.2780269058295923E-2</v>
      </c>
      <c r="DC103" s="77">
        <f t="shared" si="327"/>
        <v>-9.565885516711492E-2</v>
      </c>
      <c r="DD103" s="77">
        <f t="shared" si="327"/>
        <v>-7.9707278481012667E-2</v>
      </c>
      <c r="DE103" s="77">
        <f t="shared" si="327"/>
        <v>-2.2467481277098966E-2</v>
      </c>
      <c r="DF103" s="77">
        <f t="shared" si="327"/>
        <v>-6.0582115106018741E-2</v>
      </c>
      <c r="DG103" s="128">
        <f t="shared" si="327"/>
        <v>0.18985270049099845</v>
      </c>
      <c r="DH103" s="77">
        <f t="shared" si="327"/>
        <v>0.10301467032081257</v>
      </c>
      <c r="DI103" s="77">
        <f t="shared" si="327"/>
        <v>2.096100897060138E-2</v>
      </c>
      <c r="DJ103" s="390">
        <f t="shared" si="327"/>
        <v>4.349717268377562E-2</v>
      </c>
      <c r="DK103" s="77">
        <f t="shared" si="328"/>
        <v>9.8555649957519087E-2</v>
      </c>
      <c r="DL103" s="77">
        <f t="shared" si="328"/>
        <v>7.1351816032667159E-2</v>
      </c>
      <c r="DM103" s="77">
        <f t="shared" si="328"/>
        <v>5.8064516129032295E-2</v>
      </c>
      <c r="DN103" s="77">
        <f t="shared" si="328"/>
        <v>6.6732090284592704E-2</v>
      </c>
      <c r="DO103" s="128">
        <f t="shared" si="328"/>
        <v>2.5447042640990292E-2</v>
      </c>
      <c r="DP103" s="77">
        <f t="shared" si="328"/>
        <v>3.726980415083303E-2</v>
      </c>
      <c r="DQ103" s="77">
        <f t="shared" si="328"/>
        <v>5.1065680730752572E-2</v>
      </c>
      <c r="DR103" s="390">
        <f t="shared" si="328"/>
        <v>0.10712796998749474</v>
      </c>
      <c r="DS103" s="128">
        <f t="shared" si="328"/>
        <v>0.22080433101314778</v>
      </c>
      <c r="DT103" s="128">
        <f t="shared" si="328"/>
        <v>0.16609829488465389</v>
      </c>
      <c r="DU103" s="128">
        <f t="shared" si="329"/>
        <v>0.16730182926829262</v>
      </c>
      <c r="DV103" s="128">
        <f t="shared" si="330"/>
        <v>0.16651333946642133</v>
      </c>
      <c r="DW103" s="862">
        <f t="shared" si="331"/>
        <v>1.2519561815336422E-2</v>
      </c>
      <c r="DX103" s="128">
        <f t="shared" si="332"/>
        <v>6.974778075243071E-2</v>
      </c>
      <c r="DY103" s="807">
        <f t="shared" si="333"/>
        <v>0.10950173812282737</v>
      </c>
      <c r="DZ103" s="390">
        <f t="shared" si="334"/>
        <v>6.6265060240963791E-2</v>
      </c>
      <c r="EA103" s="128">
        <f t="shared" si="335"/>
        <v>0.10357934748178654</v>
      </c>
      <c r="EB103" s="128">
        <f t="shared" si="336"/>
        <v>8.6530190951316088E-2</v>
      </c>
      <c r="EC103" s="128">
        <f t="shared" si="337"/>
        <v>6.510000000000038E-2</v>
      </c>
      <c r="ED103" s="77">
        <f t="shared" si="338"/>
        <v>7.9134891843172683E-2</v>
      </c>
      <c r="EE103" s="128">
        <f t="shared" si="339"/>
        <v>3.7594215058512237E-2</v>
      </c>
      <c r="EF103" s="77">
        <f t="shared" si="340"/>
        <v>4.8691451527924423E-2</v>
      </c>
      <c r="EG103" s="815">
        <f t="shared" si="341"/>
        <v>6.5100000000000158E-2</v>
      </c>
      <c r="EH103" s="406"/>
    </row>
    <row r="104" spans="1:138">
      <c r="A104" s="107" t="s">
        <v>388</v>
      </c>
      <c r="B104" s="42"/>
      <c r="J104" s="369"/>
      <c r="R104" s="369"/>
      <c r="Z104" s="390">
        <f t="shared" ref="Z104:AH104" si="349">Z96/R96-1</f>
        <v>-0.4168937329700273</v>
      </c>
      <c r="AA104" s="77">
        <f t="shared" si="349"/>
        <v>0.55868544600938974</v>
      </c>
      <c r="AB104" s="77" t="e">
        <f>AB96/M96-1</f>
        <v>#DIV/0!</v>
      </c>
      <c r="AC104" s="77">
        <f t="shared" si="349"/>
        <v>-0.25714285714285712</v>
      </c>
      <c r="AD104" s="77">
        <f t="shared" si="349"/>
        <v>-0.12849162011173187</v>
      </c>
      <c r="AE104" s="77">
        <f t="shared" si="349"/>
        <v>-0.2533333333333333</v>
      </c>
      <c r="AF104" s="77">
        <f t="shared" si="349"/>
        <v>-0.25490196078431371</v>
      </c>
      <c r="AG104" s="77">
        <f t="shared" si="349"/>
        <v>-0.17026022304832711</v>
      </c>
      <c r="AH104" s="390">
        <f t="shared" si="349"/>
        <v>0.75233644859813076</v>
      </c>
      <c r="AI104" s="77">
        <f t="shared" si="343"/>
        <v>-0.11445783132530118</v>
      </c>
      <c r="AJ104" s="77">
        <f t="shared" si="343"/>
        <v>0.22527472527472536</v>
      </c>
      <c r="AK104" s="77">
        <f t="shared" si="343"/>
        <v>0.24358974358974361</v>
      </c>
      <c r="AL104" s="77">
        <f t="shared" si="343"/>
        <v>0.23076923076923084</v>
      </c>
      <c r="AM104" s="77">
        <f t="shared" si="343"/>
        <v>-7.7380952380952328E-2</v>
      </c>
      <c r="AN104" s="77">
        <f t="shared" si="343"/>
        <v>5.4385964912280649E-2</v>
      </c>
      <c r="AO104" s="77">
        <f t="shared" si="343"/>
        <v>0.13799283154121866</v>
      </c>
      <c r="AP104" s="390">
        <f t="shared" si="343"/>
        <v>-0.52800000000000002</v>
      </c>
      <c r="AQ104" s="77">
        <f t="shared" si="343"/>
        <v>-0.12925170068027214</v>
      </c>
      <c r="AR104" s="77">
        <f t="shared" si="343"/>
        <v>-0.35276532137518679</v>
      </c>
      <c r="AS104" s="77">
        <f t="shared" si="344"/>
        <v>0.268041237113402</v>
      </c>
      <c r="AT104" s="77">
        <f t="shared" si="344"/>
        <v>-0.1645833333333333</v>
      </c>
      <c r="AU104" s="77">
        <f t="shared" si="344"/>
        <v>0.16129032258064524</v>
      </c>
      <c r="AV104" s="77">
        <f t="shared" si="344"/>
        <v>0.21297836938435943</v>
      </c>
      <c r="AW104" s="77">
        <f t="shared" si="344"/>
        <v>-8.5039370078740184E-2</v>
      </c>
      <c r="AX104" s="390">
        <f t="shared" si="344"/>
        <v>0.36723163841807915</v>
      </c>
      <c r="AY104" s="77">
        <f t="shared" si="344"/>
        <v>0.5</v>
      </c>
      <c r="AZ104" s="77">
        <f t="shared" si="344"/>
        <v>0.44572748267898388</v>
      </c>
      <c r="BA104" s="77">
        <f t="shared" si="344"/>
        <v>-0.49864498644986455</v>
      </c>
      <c r="BB104" s="77">
        <f t="shared" si="344"/>
        <v>1.122194513715713E-2</v>
      </c>
      <c r="BC104" s="77">
        <f t="shared" si="345"/>
        <v>0.76111111111111107</v>
      </c>
      <c r="BD104" s="77">
        <f t="shared" si="345"/>
        <v>0.12345679012345689</v>
      </c>
      <c r="BE104" s="77">
        <f t="shared" si="345"/>
        <v>0.24354561101549055</v>
      </c>
      <c r="BF104" s="390"/>
      <c r="BG104" s="77"/>
      <c r="BH104" s="77"/>
      <c r="BI104" s="77"/>
      <c r="BJ104" s="77"/>
      <c r="BK104" s="77"/>
      <c r="BL104" s="77"/>
      <c r="BM104" s="442"/>
      <c r="BN104" s="443">
        <f>BN96/BF96-1</f>
        <v>0.17083333333333339</v>
      </c>
      <c r="BO104" s="128">
        <f t="shared" si="346"/>
        <v>-0.12532637075718012</v>
      </c>
      <c r="BP104" s="128">
        <f t="shared" si="346"/>
        <v>-1.1235955056179803E-2</v>
      </c>
      <c r="BQ104" s="128">
        <f t="shared" si="346"/>
        <v>0.2474747474747474</v>
      </c>
      <c r="BR104" s="128">
        <f t="shared" si="346"/>
        <v>5.1157125456759989E-2</v>
      </c>
      <c r="BS104" s="128">
        <f t="shared" si="346"/>
        <v>-0.30836236933797911</v>
      </c>
      <c r="BT104" s="128">
        <f t="shared" si="346"/>
        <v>-0.16580310880829019</v>
      </c>
      <c r="BU104" s="128">
        <f t="shared" si="346"/>
        <v>-9.6774193548387122E-2</v>
      </c>
      <c r="BV104" s="390">
        <f t="shared" si="324"/>
        <v>-4.9822064056939452E-2</v>
      </c>
      <c r="BW104" s="128">
        <f t="shared" si="324"/>
        <v>-0.11641791044776117</v>
      </c>
      <c r="BX104" s="128">
        <f t="shared" si="324"/>
        <v>-8.6038961038961026E-2</v>
      </c>
      <c r="BY104" s="77">
        <f t="shared" si="324"/>
        <v>4.8582995951417018E-2</v>
      </c>
      <c r="BZ104" s="77">
        <f t="shared" si="324"/>
        <v>-4.7508690614136762E-2</v>
      </c>
      <c r="CA104" s="77">
        <f t="shared" si="324"/>
        <v>-2.0151133501259411E-2</v>
      </c>
      <c r="CB104" s="77">
        <f t="shared" si="324"/>
        <v>6.2111801242235032E-3</v>
      </c>
      <c r="CC104" s="77">
        <f t="shared" si="324"/>
        <v>-3.8888888888888862E-2</v>
      </c>
      <c r="CD104" s="390">
        <f t="shared" si="347"/>
        <v>-5.9925093632958837E-2</v>
      </c>
      <c r="CE104" s="77">
        <f t="shared" si="347"/>
        <v>-0.26351351351351349</v>
      </c>
      <c r="CF104" s="77">
        <f t="shared" si="347"/>
        <v>-0.1669626998223801</v>
      </c>
      <c r="CG104" s="77">
        <f t="shared" si="347"/>
        <v>-0.22779922779922779</v>
      </c>
      <c r="CH104" s="77">
        <f t="shared" si="347"/>
        <v>-0.18613138686131392</v>
      </c>
      <c r="CI104" s="77">
        <f t="shared" si="347"/>
        <v>-5.9125964010282805E-2</v>
      </c>
      <c r="CJ104" s="77">
        <f t="shared" si="347"/>
        <v>-0.12654320987654322</v>
      </c>
      <c r="CK104" s="77">
        <f t="shared" si="347"/>
        <v>-0.1453344343517754</v>
      </c>
      <c r="CL104" s="390">
        <f t="shared" si="347"/>
        <v>-0.58565737051792821</v>
      </c>
      <c r="CM104" s="77">
        <f t="shared" si="347"/>
        <v>-6.422018348623848E-2</v>
      </c>
      <c r="CN104" s="77">
        <f t="shared" si="347"/>
        <v>-0.34328358208955223</v>
      </c>
      <c r="CO104" s="77">
        <f t="shared" si="347"/>
        <v>-0.13500000000000001</v>
      </c>
      <c r="CP104" s="77">
        <f t="shared" si="347"/>
        <v>-0.28101644245141999</v>
      </c>
      <c r="CQ104" s="77">
        <f t="shared" si="347"/>
        <v>-0.37431693989071035</v>
      </c>
      <c r="CR104" s="77">
        <f t="shared" si="347"/>
        <v>-0.28975265017667839</v>
      </c>
      <c r="CS104" s="77">
        <f t="shared" si="347"/>
        <v>-0.31400966183574874</v>
      </c>
      <c r="CT104" s="390">
        <f t="shared" si="326"/>
        <v>1.4903846153846154</v>
      </c>
      <c r="CU104" s="77">
        <f t="shared" si="326"/>
        <v>0.29411764705882359</v>
      </c>
      <c r="CV104" s="77">
        <f t="shared" si="326"/>
        <v>0.69805194805194803</v>
      </c>
      <c r="CW104" s="77">
        <f t="shared" si="326"/>
        <v>-0.30635838150289019</v>
      </c>
      <c r="CX104" s="77">
        <f t="shared" si="326"/>
        <v>0.33679833679833671</v>
      </c>
      <c r="CY104" s="128">
        <f t="shared" si="326"/>
        <v>0.43668122270742349</v>
      </c>
      <c r="CZ104" s="77">
        <f t="shared" si="326"/>
        <v>0.11691542288557222</v>
      </c>
      <c r="DA104" s="77">
        <f t="shared" si="327"/>
        <v>0.36901408450704221</v>
      </c>
      <c r="DB104" s="390">
        <f t="shared" si="327"/>
        <v>-5.791505791505791E-2</v>
      </c>
      <c r="DC104" s="77">
        <f t="shared" si="327"/>
        <v>9.4696969696969724E-2</v>
      </c>
      <c r="DD104" s="77">
        <f t="shared" si="327"/>
        <v>1.9120458891013437E-2</v>
      </c>
      <c r="DE104" s="77">
        <f t="shared" si="327"/>
        <v>0.7416666666666667</v>
      </c>
      <c r="DF104" s="77">
        <f t="shared" si="327"/>
        <v>0.15396578538102634</v>
      </c>
      <c r="DG104" s="128">
        <f t="shared" si="327"/>
        <v>0.237082066869301</v>
      </c>
      <c r="DH104" s="77">
        <f t="shared" si="327"/>
        <v>0.37193763919821832</v>
      </c>
      <c r="DI104" s="77">
        <f t="shared" si="327"/>
        <v>0.18209876543209869</v>
      </c>
      <c r="DJ104" s="390">
        <f t="shared" si="327"/>
        <v>-0.19262295081967218</v>
      </c>
      <c r="DK104" s="77">
        <f t="shared" si="328"/>
        <v>0.27681660899653981</v>
      </c>
      <c r="DL104" s="77">
        <f t="shared" si="328"/>
        <v>6.1913696060037493E-2</v>
      </c>
      <c r="DM104" s="77">
        <f t="shared" si="328"/>
        <v>0.35406698564593309</v>
      </c>
      <c r="DN104" s="77">
        <f t="shared" si="328"/>
        <v>0.14420485175202158</v>
      </c>
      <c r="DO104" s="128">
        <f t="shared" si="328"/>
        <v>0.44963144963144974</v>
      </c>
      <c r="DP104" s="77">
        <f t="shared" si="328"/>
        <v>0.41720779220779214</v>
      </c>
      <c r="DQ104" s="77">
        <f t="shared" si="328"/>
        <v>0.25239338555265456</v>
      </c>
      <c r="DR104" s="390">
        <f t="shared" si="328"/>
        <v>0.19289340101522834</v>
      </c>
      <c r="DS104" s="128">
        <f t="shared" si="328"/>
        <v>0.32791327913279122</v>
      </c>
      <c r="DT104" s="128">
        <f t="shared" si="328"/>
        <v>0.28091872791519434</v>
      </c>
      <c r="DU104" s="128">
        <f t="shared" si="329"/>
        <v>-0.10600706713780916</v>
      </c>
      <c r="DV104" s="128">
        <f t="shared" si="330"/>
        <v>0.15194346289752647</v>
      </c>
      <c r="DW104" s="128">
        <f t="shared" si="331"/>
        <v>-0.21864406779661016</v>
      </c>
      <c r="DX104" s="128">
        <f t="shared" si="332"/>
        <v>-0.18213058419243988</v>
      </c>
      <c r="DY104" s="808">
        <f t="shared" si="333"/>
        <v>0</v>
      </c>
      <c r="DZ104" s="390">
        <f t="shared" si="334"/>
        <v>-5.9574468085106358E-2</v>
      </c>
      <c r="EA104" s="128">
        <f t="shared" si="335"/>
        <v>-2.8571428571428581E-2</v>
      </c>
      <c r="EB104" s="128">
        <f t="shared" si="336"/>
        <v>-3.8620689655172402E-2</v>
      </c>
      <c r="EC104" s="128">
        <f t="shared" si="337"/>
        <v>9.2194995062608198E-2</v>
      </c>
      <c r="ED104" s="77">
        <f t="shared" si="338"/>
        <v>-4.7798223406544382E-3</v>
      </c>
      <c r="EE104" s="128">
        <f t="shared" si="339"/>
        <v>0.2979246510721334</v>
      </c>
      <c r="EF104" s="77">
        <f t="shared" si="340"/>
        <v>0.22502604747211952</v>
      </c>
      <c r="EG104" s="815">
        <f t="shared" si="341"/>
        <v>9.219499506260842E-2</v>
      </c>
      <c r="EH104" s="406"/>
    </row>
    <row r="105" spans="1:138">
      <c r="A105" s="37" t="s">
        <v>225</v>
      </c>
      <c r="B105" s="91"/>
      <c r="C105" s="68"/>
      <c r="D105" s="68"/>
      <c r="E105" s="68"/>
      <c r="F105" s="68"/>
      <c r="G105" s="68"/>
      <c r="H105" s="68"/>
      <c r="I105" s="68"/>
      <c r="J105" s="468"/>
      <c r="K105" s="68"/>
      <c r="L105" s="68"/>
      <c r="M105" s="68"/>
      <c r="N105" s="68"/>
      <c r="O105" s="68"/>
      <c r="P105" s="68"/>
      <c r="Q105" s="68"/>
      <c r="R105" s="468"/>
      <c r="S105" s="68"/>
      <c r="T105" s="68"/>
      <c r="U105" s="68"/>
      <c r="V105" s="68"/>
      <c r="W105" s="68"/>
      <c r="X105" s="68"/>
      <c r="Y105" s="68"/>
      <c r="Z105" s="391">
        <f t="shared" ref="Z105:AH105" si="350">Z97/R97-1</f>
        <v>4.5807838597651696E-2</v>
      </c>
      <c r="AA105" s="93">
        <f t="shared" si="350"/>
        <v>7.1891573364761374E-2</v>
      </c>
      <c r="AB105" s="93" t="e">
        <f>AB97/M97-1</f>
        <v>#DIV/0!</v>
      </c>
      <c r="AC105" s="93">
        <f t="shared" si="350"/>
        <v>1.5063643895458778E-3</v>
      </c>
      <c r="AD105" s="93">
        <f t="shared" si="350"/>
        <v>3.9797673761778896E-2</v>
      </c>
      <c r="AE105" s="93">
        <f t="shared" si="350"/>
        <v>8.5714285714285632E-2</v>
      </c>
      <c r="AF105" s="93">
        <f t="shared" si="350"/>
        <v>5.0663071762234724E-2</v>
      </c>
      <c r="AG105" s="93">
        <f t="shared" si="350"/>
        <v>5.4649365087636959E-2</v>
      </c>
      <c r="AH105" s="391">
        <f t="shared" si="350"/>
        <v>-4.5066413662239069E-2</v>
      </c>
      <c r="AI105" s="93">
        <f t="shared" si="343"/>
        <v>0.15551126992853215</v>
      </c>
      <c r="AJ105" s="93">
        <f t="shared" si="343"/>
        <v>6.2242647058823541E-2</v>
      </c>
      <c r="AK105" s="93">
        <f t="shared" si="343"/>
        <v>5.8283823418816327E-2</v>
      </c>
      <c r="AL105" s="93">
        <f t="shared" si="343"/>
        <v>6.0942785885374162E-2</v>
      </c>
      <c r="AM105" s="93">
        <f t="shared" si="343"/>
        <v>6.2772061733280538E-2</v>
      </c>
      <c r="AN105" s="93">
        <f t="shared" si="343"/>
        <v>6.0991257124101139E-2</v>
      </c>
      <c r="AO105" s="93">
        <f t="shared" si="343"/>
        <v>6.1551891687118054E-2</v>
      </c>
      <c r="AP105" s="391">
        <f t="shared" si="343"/>
        <v>8.6934923000496767E-3</v>
      </c>
      <c r="AQ105" s="93">
        <f t="shared" si="343"/>
        <v>-1.445138269402324E-2</v>
      </c>
      <c r="AR105" s="93">
        <f t="shared" si="343"/>
        <v>-4.7762433807496674E-3</v>
      </c>
      <c r="AS105" s="93">
        <f t="shared" si="344"/>
        <v>-8.669698692438832E-3</v>
      </c>
      <c r="AT105" s="93">
        <f t="shared" si="344"/>
        <v>-6.0514372163388286E-3</v>
      </c>
      <c r="AU105" s="93">
        <f t="shared" si="344"/>
        <v>0.11128694437979991</v>
      </c>
      <c r="AV105" s="93">
        <f t="shared" si="344"/>
        <v>6.3813032595550823E-2</v>
      </c>
      <c r="AW105" s="93">
        <f t="shared" si="344"/>
        <v>3.3064391000775739E-2</v>
      </c>
      <c r="AX105" s="391">
        <f t="shared" si="344"/>
        <v>6.6075679225149786E-2</v>
      </c>
      <c r="AY105" s="93">
        <f t="shared" si="344"/>
        <v>-5.1351677528361117E-2</v>
      </c>
      <c r="AZ105" s="93">
        <f t="shared" si="344"/>
        <v>-1.5997217875152181E-3</v>
      </c>
      <c r="BA105" s="93">
        <f t="shared" si="344"/>
        <v>2.1075268817204229E-2</v>
      </c>
      <c r="BB105" s="93">
        <f t="shared" si="344"/>
        <v>5.8072825196113786E-3</v>
      </c>
      <c r="BC105" s="93">
        <f t="shared" si="345"/>
        <v>-2.5967498743507678E-3</v>
      </c>
      <c r="BD105" s="93">
        <f t="shared" si="345"/>
        <v>6.1333474329825499E-3</v>
      </c>
      <c r="BE105" s="93">
        <f t="shared" si="345"/>
        <v>2.7935897628452722E-3</v>
      </c>
      <c r="BF105" s="391"/>
      <c r="BG105" s="120"/>
      <c r="BH105" s="120"/>
      <c r="BI105" s="120"/>
      <c r="BJ105" s="120"/>
      <c r="BK105" s="120"/>
      <c r="BL105" s="120"/>
      <c r="BM105" s="93"/>
      <c r="BN105" s="444">
        <f>BN97/BF97-1</f>
        <v>-0.11562663869952805</v>
      </c>
      <c r="BO105" s="129">
        <f t="shared" si="346"/>
        <v>8.140974295492609E-2</v>
      </c>
      <c r="BP105" s="129">
        <f t="shared" si="346"/>
        <v>-8.142999006951368E-3</v>
      </c>
      <c r="BQ105" s="129">
        <f t="shared" si="346"/>
        <v>0.20203827602302793</v>
      </c>
      <c r="BR105" s="129">
        <f t="shared" si="346"/>
        <v>6.2899366273107438E-2</v>
      </c>
      <c r="BS105" s="129">
        <f t="shared" si="346"/>
        <v>0.10922688515219359</v>
      </c>
      <c r="BT105" s="129">
        <f t="shared" si="346"/>
        <v>0.14447366088575064</v>
      </c>
      <c r="BU105" s="129">
        <f t="shared" si="346"/>
        <v>7.937718138999017E-2</v>
      </c>
      <c r="BV105" s="391">
        <f t="shared" si="324"/>
        <v>0.24014230655203073</v>
      </c>
      <c r="BW105" s="129">
        <f t="shared" si="324"/>
        <v>0.23338495724193664</v>
      </c>
      <c r="BX105" s="129">
        <f t="shared" si="324"/>
        <v>0.23612334801762125</v>
      </c>
      <c r="BY105" s="93">
        <f t="shared" si="324"/>
        <v>-9.6433887774254323E-3</v>
      </c>
      <c r="BZ105" s="93">
        <f t="shared" si="324"/>
        <v>0.14217857054501382</v>
      </c>
      <c r="CA105" s="93">
        <f t="shared" si="324"/>
        <v>4.3974920553122132E-2</v>
      </c>
      <c r="CB105" s="93">
        <f t="shared" si="324"/>
        <v>2.2588223145829645E-2</v>
      </c>
      <c r="CC105" s="93">
        <f t="shared" si="324"/>
        <v>0.10628345393755789</v>
      </c>
      <c r="CD105" s="391">
        <f t="shared" si="347"/>
        <v>-0.15284086381384976</v>
      </c>
      <c r="CE105" s="93">
        <f t="shared" si="347"/>
        <v>-0.54594092919146142</v>
      </c>
      <c r="CF105" s="93">
        <f t="shared" si="347"/>
        <v>-0.38612065055400768</v>
      </c>
      <c r="CG105" s="93">
        <f t="shared" si="347"/>
        <v>-0.26721997124558883</v>
      </c>
      <c r="CH105" s="93">
        <f t="shared" si="347"/>
        <v>-0.34671200831744931</v>
      </c>
      <c r="CI105" s="93">
        <f t="shared" si="347"/>
        <v>-0.18753599341834637</v>
      </c>
      <c r="CJ105" s="93">
        <f t="shared" si="347"/>
        <v>-0.21831768151065334</v>
      </c>
      <c r="CK105" s="93">
        <f t="shared" si="347"/>
        <v>-0.29180737251340849</v>
      </c>
      <c r="CL105" s="391">
        <f t="shared" si="347"/>
        <v>-1.6085034333552795E-2</v>
      </c>
      <c r="CM105" s="93">
        <f t="shared" si="347"/>
        <v>0.70458097871828795</v>
      </c>
      <c r="CN105" s="93">
        <f t="shared" si="347"/>
        <v>0.30024276968545482</v>
      </c>
      <c r="CO105" s="93">
        <f t="shared" si="347"/>
        <v>-6.1981628466957983E-2</v>
      </c>
      <c r="CP105" s="93">
        <f t="shared" si="347"/>
        <v>0.16557806438778555</v>
      </c>
      <c r="CQ105" s="93">
        <f t="shared" si="347"/>
        <v>-0.13958786896865982</v>
      </c>
      <c r="CR105" s="93">
        <f t="shared" si="347"/>
        <v>-0.1114843043534427</v>
      </c>
      <c r="CS105" s="93">
        <f t="shared" si="347"/>
        <v>4.4818881230966445E-2</v>
      </c>
      <c r="CT105" s="391">
        <f t="shared" si="326"/>
        <v>0.14722753346080308</v>
      </c>
      <c r="CU105" s="93">
        <f t="shared" si="326"/>
        <v>-9.6423785003879492E-2</v>
      </c>
      <c r="CV105" s="93">
        <f t="shared" si="326"/>
        <v>7.0219588423914292E-3</v>
      </c>
      <c r="CW105" s="93">
        <f t="shared" si="326"/>
        <v>0.26535463015782468</v>
      </c>
      <c r="CX105" s="93">
        <f t="shared" si="326"/>
        <v>8.4312331105105942E-2</v>
      </c>
      <c r="CY105" s="129">
        <f t="shared" si="326"/>
        <v>0.21478168765446637</v>
      </c>
      <c r="CZ105" s="93">
        <f t="shared" si="326"/>
        <v>0.2341160220994476</v>
      </c>
      <c r="DA105" s="93">
        <f t="shared" si="327"/>
        <v>0.12682889413028064</v>
      </c>
      <c r="DB105" s="391">
        <f t="shared" si="327"/>
        <v>-1.9750000000000045E-2</v>
      </c>
      <c r="DC105" s="93">
        <f t="shared" si="327"/>
        <v>0.24121779859484782</v>
      </c>
      <c r="DD105" s="93">
        <f t="shared" si="327"/>
        <v>0.11499395405078605</v>
      </c>
      <c r="DE105" s="93">
        <f t="shared" si="327"/>
        <v>0.11931775490269736</v>
      </c>
      <c r="DF105" s="93">
        <f t="shared" si="327"/>
        <v>0.11650358089141899</v>
      </c>
      <c r="DG105" s="129">
        <f t="shared" si="327"/>
        <v>0.10860298391784529</v>
      </c>
      <c r="DH105" s="93">
        <f t="shared" si="327"/>
        <v>0.11280299237180813</v>
      </c>
      <c r="DI105" s="93">
        <f t="shared" si="327"/>
        <v>0.11372802613889688</v>
      </c>
      <c r="DJ105" s="391">
        <f t="shared" si="327"/>
        <v>9.0708152682138943E-2</v>
      </c>
      <c r="DK105" s="93">
        <f t="shared" si="328"/>
        <v>5.9748427672956517E-3</v>
      </c>
      <c r="DL105" s="93">
        <f t="shared" si="328"/>
        <v>4.2005567002855848E-2</v>
      </c>
      <c r="DM105" s="93">
        <f t="shared" si="328"/>
        <v>5.3165066791971638E-2</v>
      </c>
      <c r="DN105" s="93">
        <f t="shared" si="328"/>
        <v>4.5911654135338376E-2</v>
      </c>
      <c r="DO105" s="129">
        <f t="shared" si="328"/>
        <v>7.9961548544962069E-2</v>
      </c>
      <c r="DP105" s="93">
        <f t="shared" si="328"/>
        <v>6.9396289336474126E-2</v>
      </c>
      <c r="DQ105" s="93">
        <f t="shared" si="328"/>
        <v>5.7818659658344318E-2</v>
      </c>
      <c r="DR105" s="391">
        <f t="shared" si="328"/>
        <v>5.549493374902581E-2</v>
      </c>
      <c r="DS105" s="129">
        <f t="shared" si="328"/>
        <v>4.5639262269459024E-3</v>
      </c>
      <c r="DT105" s="129">
        <f t="shared" si="328"/>
        <v>2.7233304423243787E-2</v>
      </c>
      <c r="DU105" s="129">
        <f t="shared" si="329"/>
        <v>0.13621008349799224</v>
      </c>
      <c r="DV105" s="129">
        <f t="shared" si="330"/>
        <v>6.5642269847688395E-2</v>
      </c>
      <c r="DW105" s="129">
        <f t="shared" si="331"/>
        <v>5.5146463829098602E-2</v>
      </c>
      <c r="DX105" s="129">
        <f t="shared" si="332"/>
        <v>8.6622942705110839E-2</v>
      </c>
      <c r="DY105" s="868">
        <f t="shared" si="333"/>
        <v>6.1895132168135136E-2</v>
      </c>
      <c r="DZ105" s="391">
        <f t="shared" si="334"/>
        <v>-6.5795303500221558E-2</v>
      </c>
      <c r="EA105" s="129">
        <f t="shared" si="335"/>
        <v>0.27738361961662927</v>
      </c>
      <c r="EB105" s="129">
        <f t="shared" si="336"/>
        <v>0.12043228638973313</v>
      </c>
      <c r="EC105" s="129">
        <f t="shared" si="337"/>
        <v>9.2865300117242366E-2</v>
      </c>
      <c r="ED105" s="93">
        <f t="shared" si="338"/>
        <v>0.11007287376443964</v>
      </c>
      <c r="EE105" s="129">
        <f t="shared" si="339"/>
        <v>5.9676299786713072E-2</v>
      </c>
      <c r="EF105" s="120">
        <f t="shared" si="340"/>
        <v>7.3151464799627641E-2</v>
      </c>
      <c r="EG105" s="816">
        <f t="shared" si="341"/>
        <v>9.219499506260842E-2</v>
      </c>
      <c r="EH105" s="406"/>
    </row>
    <row r="106" spans="1:138">
      <c r="B106" s="42"/>
      <c r="J106" s="369"/>
      <c r="R106" s="369"/>
      <c r="Z106" s="369"/>
      <c r="AH106" s="369"/>
      <c r="AP106" s="369"/>
      <c r="AQ106" s="43"/>
      <c r="AR106" s="43"/>
      <c r="AS106" s="43"/>
      <c r="AT106" s="43"/>
      <c r="AU106" s="43"/>
      <c r="AV106" s="43"/>
      <c r="AW106" s="43"/>
      <c r="AX106" s="369"/>
      <c r="AY106" s="43"/>
      <c r="AZ106" s="43"/>
      <c r="BA106" s="43"/>
      <c r="BB106" s="43"/>
      <c r="BC106" s="43"/>
      <c r="BD106" s="43"/>
      <c r="BE106" s="43"/>
      <c r="BF106" s="369"/>
      <c r="BG106" s="43"/>
      <c r="BH106" s="43"/>
      <c r="BI106" s="43"/>
      <c r="BJ106" s="43"/>
      <c r="BK106" s="43"/>
      <c r="BL106" s="43"/>
      <c r="BM106" s="43"/>
      <c r="BN106" s="408"/>
      <c r="BO106" s="122"/>
      <c r="BP106" s="122"/>
      <c r="BQ106" s="122"/>
      <c r="BR106" s="122"/>
      <c r="BS106" s="122"/>
      <c r="BT106" s="122"/>
      <c r="BU106" s="122"/>
      <c r="BV106" s="369"/>
      <c r="BW106" s="122"/>
      <c r="BX106" s="122"/>
      <c r="BY106" s="43"/>
      <c r="BZ106" s="43"/>
      <c r="CA106" s="43"/>
      <c r="CB106" s="43"/>
      <c r="CC106" s="43"/>
      <c r="CD106" s="369"/>
      <c r="CE106" s="43"/>
      <c r="CF106" s="43"/>
      <c r="CG106" s="43"/>
      <c r="CH106" s="43"/>
      <c r="CI106" s="43"/>
      <c r="CJ106" s="43"/>
      <c r="CK106" s="43"/>
      <c r="CL106" s="369"/>
      <c r="CM106" s="43"/>
      <c r="CN106" s="43"/>
      <c r="CO106" s="43"/>
      <c r="CP106" s="43"/>
      <c r="CQ106" s="43"/>
      <c r="CR106" s="43"/>
      <c r="CS106" s="43"/>
      <c r="CT106" s="369"/>
      <c r="CU106" s="43"/>
      <c r="CV106" s="43"/>
      <c r="CW106" s="43"/>
      <c r="CX106" s="43"/>
      <c r="CY106" s="122"/>
      <c r="CZ106" s="43"/>
      <c r="DA106" s="43"/>
      <c r="DB106" s="369"/>
      <c r="DC106" s="43"/>
      <c r="DD106" s="43"/>
      <c r="DE106" s="43"/>
      <c r="DF106" s="43"/>
      <c r="DG106" s="122"/>
      <c r="DH106" s="43"/>
      <c r="DI106" s="43"/>
      <c r="DJ106" s="369"/>
      <c r="DK106" s="43"/>
      <c r="DL106" s="43"/>
      <c r="DM106" s="43"/>
      <c r="DN106" s="43"/>
      <c r="DO106" s="122"/>
      <c r="DP106" s="43"/>
      <c r="DQ106" s="43"/>
      <c r="DR106" s="369"/>
      <c r="DS106" s="43"/>
      <c r="DT106" s="43"/>
      <c r="DU106" s="43"/>
      <c r="DV106" s="43"/>
      <c r="DW106" s="122"/>
      <c r="DX106" s="43"/>
      <c r="DY106" s="43"/>
      <c r="DZ106" s="369"/>
      <c r="EA106" s="43"/>
      <c r="EB106" s="43"/>
      <c r="EC106" s="122"/>
      <c r="ED106" s="43"/>
      <c r="EE106" s="122"/>
      <c r="EF106" s="43"/>
      <c r="EG106" s="814"/>
      <c r="EH106" s="406"/>
    </row>
    <row r="107" spans="1:138">
      <c r="B107" s="369"/>
      <c r="J107" s="369"/>
      <c r="R107" s="369"/>
      <c r="Z107" s="369"/>
      <c r="AH107" s="369"/>
      <c r="AP107" s="369"/>
      <c r="AQ107" s="43"/>
      <c r="AR107" s="43"/>
      <c r="AS107" s="43"/>
      <c r="AT107" s="43"/>
      <c r="AU107" s="43"/>
      <c r="AV107" s="43"/>
      <c r="AW107" s="43"/>
      <c r="AX107" s="369"/>
      <c r="AY107" s="43"/>
      <c r="AZ107" s="43"/>
      <c r="BA107" s="43"/>
      <c r="BB107" s="43"/>
      <c r="BC107" s="43"/>
      <c r="BD107" s="43"/>
      <c r="BE107" s="43"/>
      <c r="BF107" s="369"/>
      <c r="BG107" s="43"/>
      <c r="BH107" s="43"/>
      <c r="BI107" s="43"/>
      <c r="BJ107" s="43"/>
      <c r="BK107" s="43"/>
      <c r="BL107" s="43"/>
      <c r="BM107" s="43"/>
      <c r="BN107" s="408"/>
      <c r="BO107" s="122"/>
      <c r="BP107" s="122"/>
      <c r="BQ107" s="122"/>
      <c r="BR107" s="122"/>
      <c r="BS107" s="122"/>
      <c r="BT107" s="122"/>
      <c r="BU107" s="122"/>
      <c r="BV107" s="369"/>
      <c r="BW107" s="122"/>
      <c r="BX107" s="122"/>
      <c r="BY107" s="43"/>
      <c r="BZ107" s="43"/>
      <c r="CA107" s="43"/>
      <c r="CB107" s="43"/>
      <c r="CC107" s="43"/>
      <c r="CD107" s="369"/>
      <c r="CE107" s="43"/>
      <c r="CF107" s="43"/>
      <c r="CG107" s="43"/>
      <c r="CH107" s="43"/>
      <c r="CI107" s="43"/>
      <c r="CJ107" s="43"/>
      <c r="CK107" s="43"/>
      <c r="CL107" s="369"/>
      <c r="CM107" s="43"/>
      <c r="CN107" s="43"/>
      <c r="CO107" s="43"/>
      <c r="CP107" s="43"/>
      <c r="CQ107" s="43"/>
      <c r="CR107" s="43"/>
      <c r="CS107" s="43"/>
      <c r="CT107" s="369"/>
      <c r="CU107" s="43"/>
      <c r="CV107" s="43"/>
      <c r="CW107" s="43"/>
      <c r="CX107" s="43"/>
      <c r="CY107" s="122"/>
      <c r="CZ107" s="43"/>
      <c r="DA107" s="43"/>
      <c r="DB107" s="369"/>
      <c r="DC107" s="43"/>
      <c r="DD107" s="43"/>
      <c r="DE107" s="43"/>
      <c r="DF107" s="43"/>
      <c r="DG107" s="122"/>
      <c r="DH107" s="43"/>
      <c r="DI107" s="43"/>
      <c r="DJ107" s="369"/>
      <c r="DK107" s="43"/>
      <c r="DL107" s="43"/>
      <c r="DM107" s="43"/>
      <c r="DN107" s="43"/>
      <c r="DO107" s="122"/>
      <c r="DP107" s="43"/>
      <c r="DQ107" s="43"/>
      <c r="DR107" s="369"/>
      <c r="DS107" s="43"/>
      <c r="DT107" s="43"/>
      <c r="DU107" s="43"/>
      <c r="DV107" s="43"/>
      <c r="DW107" s="122"/>
      <c r="DX107" s="43"/>
      <c r="DY107" s="43"/>
      <c r="DZ107" s="369"/>
      <c r="EA107" s="43"/>
      <c r="EB107" s="43"/>
      <c r="EC107" s="122"/>
      <c r="ED107" s="43"/>
      <c r="EE107" s="122"/>
      <c r="EF107" s="43"/>
      <c r="EG107" s="814"/>
      <c r="EH107" s="406"/>
    </row>
    <row r="108" spans="1:138">
      <c r="A108" s="36" t="s">
        <v>652</v>
      </c>
      <c r="B108" s="369"/>
      <c r="J108" s="369"/>
      <c r="R108" s="369"/>
      <c r="Z108" s="369"/>
      <c r="AH108" s="369"/>
      <c r="AP108" s="369"/>
      <c r="AQ108" s="43"/>
      <c r="AR108" s="43"/>
      <c r="AS108" s="43"/>
      <c r="AT108" s="43"/>
      <c r="AU108" s="43"/>
      <c r="AV108" s="43"/>
      <c r="AW108" s="43"/>
      <c r="AX108" s="369"/>
      <c r="AY108" s="43"/>
      <c r="AZ108" s="43"/>
      <c r="BA108" s="43"/>
      <c r="BB108" s="43"/>
      <c r="BC108" s="43"/>
      <c r="BD108" s="43"/>
      <c r="BE108" s="43"/>
      <c r="BF108" s="369"/>
      <c r="BG108" s="43"/>
      <c r="BH108" s="43"/>
      <c r="BI108" s="43"/>
      <c r="BJ108" s="43"/>
      <c r="BK108" s="43"/>
      <c r="BL108" s="43"/>
      <c r="BM108" s="43"/>
      <c r="BN108" s="408"/>
      <c r="BO108" s="122"/>
      <c r="BP108" s="122"/>
      <c r="BQ108" s="122"/>
      <c r="BR108" s="122"/>
      <c r="BS108" s="122"/>
      <c r="BT108" s="122"/>
      <c r="BU108" s="122"/>
      <c r="BV108" s="369"/>
      <c r="BW108" s="122"/>
      <c r="BX108" s="122"/>
      <c r="BY108" s="43"/>
      <c r="BZ108" s="43"/>
      <c r="CA108" s="43"/>
      <c r="CB108" s="43"/>
      <c r="CC108" s="43"/>
      <c r="CD108" s="369"/>
      <c r="CE108" s="43"/>
      <c r="CF108" s="43"/>
      <c r="CG108" s="43"/>
      <c r="CH108" s="43"/>
      <c r="CI108" s="43"/>
      <c r="CJ108" s="43"/>
      <c r="CK108" s="43"/>
      <c r="CL108" s="369"/>
      <c r="CM108" s="43"/>
      <c r="CN108" s="43"/>
      <c r="CO108" s="43"/>
      <c r="CP108" s="43"/>
      <c r="CQ108" s="43"/>
      <c r="CR108" s="43"/>
      <c r="CS108" s="43"/>
      <c r="CT108" s="369"/>
      <c r="CU108" s="43"/>
      <c r="CV108" s="43"/>
      <c r="CW108" s="43"/>
      <c r="CX108" s="43"/>
      <c r="CY108" s="122"/>
      <c r="CZ108" s="43"/>
      <c r="DA108" s="43"/>
      <c r="DB108" s="369"/>
      <c r="DC108" s="43"/>
      <c r="DD108" s="43"/>
      <c r="DE108" s="43"/>
      <c r="DF108" s="43"/>
      <c r="DG108" s="122"/>
      <c r="DH108" s="43"/>
      <c r="DI108" s="43"/>
      <c r="DJ108" s="369"/>
      <c r="DK108" s="43"/>
      <c r="DL108" s="43"/>
      <c r="DM108" s="43"/>
      <c r="DN108" s="43"/>
      <c r="DO108" s="122"/>
      <c r="DP108" s="43"/>
      <c r="DQ108" s="43"/>
      <c r="DR108" s="369"/>
      <c r="DS108" s="43"/>
      <c r="DT108" s="43"/>
      <c r="DU108" s="43"/>
      <c r="DV108" s="43"/>
      <c r="DW108" s="122"/>
      <c r="DX108" s="43"/>
      <c r="DY108" s="43"/>
      <c r="DZ108" s="369"/>
      <c r="EA108" s="43"/>
      <c r="EB108" s="43"/>
      <c r="EC108" s="122"/>
      <c r="ED108" s="43"/>
      <c r="EE108" s="122"/>
      <c r="EF108" s="43"/>
      <c r="EG108" s="814"/>
      <c r="EH108" s="406"/>
    </row>
    <row r="109" spans="1:138">
      <c r="A109" s="13" t="s">
        <v>14</v>
      </c>
      <c r="B109" s="369"/>
      <c r="J109" s="369"/>
      <c r="R109" s="369"/>
      <c r="Z109" s="369"/>
      <c r="AH109" s="369"/>
      <c r="AP109" s="369"/>
      <c r="AQ109" s="43"/>
      <c r="AR109" s="43"/>
      <c r="AS109" s="43"/>
      <c r="AT109" s="43"/>
      <c r="AU109" s="43"/>
      <c r="AV109" s="43"/>
      <c r="AW109" s="43"/>
      <c r="AX109" s="369"/>
      <c r="AY109" s="43"/>
      <c r="AZ109" s="43"/>
      <c r="BA109" s="43"/>
      <c r="BB109" s="43"/>
      <c r="BC109" s="43"/>
      <c r="BD109" s="43"/>
      <c r="BE109" s="43"/>
      <c r="BF109" s="369"/>
      <c r="BG109" s="43"/>
      <c r="BH109" s="43"/>
      <c r="BI109" s="43"/>
      <c r="BJ109" s="43"/>
      <c r="BK109" s="43"/>
      <c r="BL109" s="43"/>
      <c r="BM109" s="43"/>
      <c r="BN109" s="408"/>
      <c r="BO109" s="122"/>
      <c r="BP109" s="122"/>
      <c r="BQ109" s="122"/>
      <c r="BR109" s="122"/>
      <c r="BS109" s="122"/>
      <c r="BT109" s="122"/>
      <c r="BU109" s="122"/>
      <c r="BV109" s="369"/>
      <c r="BW109" s="122"/>
      <c r="BX109" s="122"/>
      <c r="BY109" s="43"/>
      <c r="BZ109" s="43"/>
      <c r="CA109" s="43"/>
      <c r="CB109" s="43"/>
      <c r="CC109" s="43"/>
      <c r="CD109" s="369"/>
      <c r="CE109" s="43"/>
      <c r="CF109" s="43"/>
      <c r="CG109" s="43"/>
      <c r="CH109" s="43"/>
      <c r="CI109" s="43"/>
      <c r="CJ109" s="43"/>
      <c r="CK109" s="43"/>
      <c r="CL109" s="369"/>
      <c r="CM109" s="43"/>
      <c r="CN109" s="43"/>
      <c r="CO109" s="43"/>
      <c r="CP109" s="43"/>
      <c r="CQ109" s="43"/>
      <c r="CR109" s="43"/>
      <c r="CS109" s="43"/>
      <c r="CT109" s="369"/>
      <c r="CU109" s="43"/>
      <c r="CV109" s="43"/>
      <c r="CW109" s="43"/>
      <c r="CX109" s="43"/>
      <c r="CY109" s="122"/>
      <c r="CZ109" s="43"/>
      <c r="DA109" s="43"/>
      <c r="DB109" s="400">
        <f>DB93/$DI$93</f>
        <v>0.16979670456210874</v>
      </c>
      <c r="DC109" s="302">
        <f t="shared" ref="DC109:DI109" si="351">DC93/$DI$93</f>
        <v>0.25624437325963612</v>
      </c>
      <c r="DD109" s="302">
        <f t="shared" si="351"/>
        <v>0.42604107782174488</v>
      </c>
      <c r="DE109" s="302">
        <f t="shared" si="351"/>
        <v>0.23361179155413186</v>
      </c>
      <c r="DF109" s="302">
        <f t="shared" si="351"/>
        <v>0.65965286937587675</v>
      </c>
      <c r="DG109" s="302">
        <f t="shared" si="351"/>
        <v>0.34034713062412325</v>
      </c>
      <c r="DH109" s="302">
        <f t="shared" si="351"/>
        <v>0.57395892217825517</v>
      </c>
      <c r="DI109" s="302">
        <f t="shared" si="351"/>
        <v>1</v>
      </c>
      <c r="DJ109" s="400">
        <f>DJ93/$DQ$93</f>
        <v>0.18100146112229989</v>
      </c>
      <c r="DK109" s="284">
        <f t="shared" ref="DK109:DQ109" si="352">DK93/$DQ$93</f>
        <v>0.23788650633811159</v>
      </c>
      <c r="DL109" s="284">
        <f t="shared" si="352"/>
        <v>0.41888796746041146</v>
      </c>
      <c r="DM109" s="284">
        <f t="shared" si="352"/>
        <v>0.23030446629546261</v>
      </c>
      <c r="DN109" s="284">
        <f t="shared" si="352"/>
        <v>0.6491924337558741</v>
      </c>
      <c r="DO109" s="867">
        <f t="shared" si="352"/>
        <v>0.3508075662441259</v>
      </c>
      <c r="DP109" s="284">
        <f t="shared" si="352"/>
        <v>0.58111203253958854</v>
      </c>
      <c r="DQ109" s="284">
        <f t="shared" si="352"/>
        <v>1</v>
      </c>
      <c r="DR109" s="400">
        <f>DR93/$DY$93</f>
        <v>0.18108678699811706</v>
      </c>
      <c r="DS109" s="284">
        <f t="shared" ref="DS109:DY109" si="353">DS93/$DY$93</f>
        <v>0.21507503280902296</v>
      </c>
      <c r="DT109" s="284">
        <f t="shared" si="353"/>
        <v>0.39616181980713999</v>
      </c>
      <c r="DU109" s="284">
        <f t="shared" si="353"/>
        <v>0.24834052912870647</v>
      </c>
      <c r="DV109" s="284">
        <f t="shared" si="353"/>
        <v>0.64450234893584646</v>
      </c>
      <c r="DW109" s="867">
        <f t="shared" si="353"/>
        <v>0.35549765106415354</v>
      </c>
      <c r="DX109" s="284">
        <f t="shared" si="353"/>
        <v>0.60383818019285995</v>
      </c>
      <c r="DY109" s="284">
        <f t="shared" si="353"/>
        <v>1</v>
      </c>
      <c r="DZ109" s="400">
        <f>DZ93/$EG$93</f>
        <v>0.14558476923045879</v>
      </c>
      <c r="EA109" s="284">
        <f t="shared" ref="EA109:EG109" si="354">EA93/$EG$93</f>
        <v>0.26647397127637673</v>
      </c>
      <c r="EB109" s="284">
        <f t="shared" si="354"/>
        <v>0.4120587405068355</v>
      </c>
      <c r="EC109" s="867">
        <f t="shared" si="354"/>
        <v>0.24834052912870647</v>
      </c>
      <c r="ED109" s="284">
        <f t="shared" si="354"/>
        <v>0.66039926963554207</v>
      </c>
      <c r="EE109" s="867">
        <f t="shared" si="354"/>
        <v>0.33960073036445798</v>
      </c>
      <c r="EF109" s="284">
        <f t="shared" si="354"/>
        <v>0.58794125949316445</v>
      </c>
      <c r="EG109" s="869">
        <f t="shared" si="354"/>
        <v>1</v>
      </c>
      <c r="EH109" s="406"/>
    </row>
    <row r="110" spans="1:138">
      <c r="A110" s="107" t="s">
        <v>385</v>
      </c>
      <c r="B110" s="369"/>
      <c r="J110" s="369"/>
      <c r="R110" s="369"/>
      <c r="Z110" s="369"/>
      <c r="AH110" s="369"/>
      <c r="AP110" s="369"/>
      <c r="AQ110" s="43"/>
      <c r="AR110" s="43"/>
      <c r="AS110" s="43"/>
      <c r="AT110" s="43"/>
      <c r="AU110" s="43"/>
      <c r="AV110" s="43"/>
      <c r="AW110" s="43"/>
      <c r="AX110" s="369"/>
      <c r="AY110" s="43"/>
      <c r="AZ110" s="43"/>
      <c r="BA110" s="43"/>
      <c r="BB110" s="43"/>
      <c r="BC110" s="43"/>
      <c r="BD110" s="43"/>
      <c r="BE110" s="43"/>
      <c r="BF110" s="369"/>
      <c r="BG110" s="43"/>
      <c r="BH110" s="43"/>
      <c r="BI110" s="43"/>
      <c r="BJ110" s="43"/>
      <c r="BK110" s="43"/>
      <c r="BL110" s="43"/>
      <c r="BM110" s="43"/>
      <c r="BN110" s="408"/>
      <c r="BO110" s="122"/>
      <c r="BP110" s="122"/>
      <c r="BQ110" s="122"/>
      <c r="BR110" s="122"/>
      <c r="BS110" s="122"/>
      <c r="BT110" s="122"/>
      <c r="BU110" s="122"/>
      <c r="BV110" s="369"/>
      <c r="BW110" s="122"/>
      <c r="BX110" s="122"/>
      <c r="BY110" s="43"/>
      <c r="BZ110" s="43"/>
      <c r="CA110" s="43"/>
      <c r="CB110" s="43"/>
      <c r="CC110" s="43"/>
      <c r="CD110" s="369"/>
      <c r="CE110" s="43"/>
      <c r="CF110" s="43"/>
      <c r="CG110" s="43"/>
      <c r="CH110" s="43"/>
      <c r="CI110" s="43"/>
      <c r="CJ110" s="43"/>
      <c r="CK110" s="43"/>
      <c r="CL110" s="369"/>
      <c r="CM110" s="43"/>
      <c r="CN110" s="43"/>
      <c r="CO110" s="43"/>
      <c r="CP110" s="43"/>
      <c r="CQ110" s="43"/>
      <c r="CR110" s="43"/>
      <c r="CS110" s="43"/>
      <c r="CT110" s="369"/>
      <c r="CU110" s="43"/>
      <c r="CV110" s="43"/>
      <c r="CW110" s="43"/>
      <c r="CX110" s="43"/>
      <c r="CY110" s="122"/>
      <c r="CZ110" s="43"/>
      <c r="DA110" s="43"/>
      <c r="DB110" s="400">
        <f>DB94/$DI$94</f>
        <v>0.21780019081368407</v>
      </c>
      <c r="DC110" s="302">
        <f t="shared" ref="DC110:DI110" si="355">DC94/$DI$94</f>
        <v>0.2175275998364454</v>
      </c>
      <c r="DD110" s="302">
        <f t="shared" si="355"/>
        <v>0.4353277906501295</v>
      </c>
      <c r="DE110" s="302">
        <f t="shared" si="355"/>
        <v>0.20008177729317159</v>
      </c>
      <c r="DF110" s="302">
        <f t="shared" si="355"/>
        <v>0.63540956794330106</v>
      </c>
      <c r="DG110" s="302">
        <f t="shared" si="355"/>
        <v>0.36459043205669894</v>
      </c>
      <c r="DH110" s="302">
        <f t="shared" si="355"/>
        <v>0.5646722093498705</v>
      </c>
      <c r="DI110" s="302">
        <f t="shared" si="355"/>
        <v>1</v>
      </c>
      <c r="DJ110" s="400">
        <f>DJ94/$DQ$94</f>
        <v>0.18398186626369475</v>
      </c>
      <c r="DK110" s="284">
        <f t="shared" ref="DK110:DQ110" si="356">DK94/$DQ$94</f>
        <v>0.21785669311169878</v>
      </c>
      <c r="DL110" s="284">
        <f t="shared" si="356"/>
        <v>0.40183855937539353</v>
      </c>
      <c r="DM110" s="284">
        <f t="shared" si="356"/>
        <v>0.21206397179196576</v>
      </c>
      <c r="DN110" s="284">
        <f t="shared" si="356"/>
        <v>0.61390253116735927</v>
      </c>
      <c r="DO110" s="867">
        <f t="shared" si="356"/>
        <v>0.38609746883264073</v>
      </c>
      <c r="DP110" s="284">
        <f t="shared" si="356"/>
        <v>0.59816144062460652</v>
      </c>
      <c r="DQ110" s="284">
        <f t="shared" si="356"/>
        <v>1</v>
      </c>
      <c r="DR110" s="400">
        <f>DR94/$DY$94</f>
        <v>0.17833259028087384</v>
      </c>
      <c r="DS110" s="284">
        <f t="shared" ref="DS110:DY110" si="357">DS94/$DY$94</f>
        <v>0.23328131966116808</v>
      </c>
      <c r="DT110" s="284">
        <f t="shared" si="357"/>
        <v>0.41161390994204189</v>
      </c>
      <c r="DU110" s="284">
        <f t="shared" si="357"/>
        <v>0.21834596522514491</v>
      </c>
      <c r="DV110" s="284">
        <f t="shared" si="357"/>
        <v>0.62995987516718677</v>
      </c>
      <c r="DW110" s="867">
        <f t="shared" si="357"/>
        <v>0.37004012483281318</v>
      </c>
      <c r="DX110" s="284">
        <f t="shared" si="357"/>
        <v>0.58838609005795806</v>
      </c>
      <c r="DY110" s="284">
        <f t="shared" si="357"/>
        <v>1</v>
      </c>
      <c r="DZ110" s="400">
        <f>DZ94/$EG$94</f>
        <v>0.16637112270630541</v>
      </c>
      <c r="EA110" s="284">
        <f t="shared" ref="EA110:EG110" si="358">EA94/$EG$94</f>
        <v>0.21532821118347259</v>
      </c>
      <c r="EB110" s="284">
        <f t="shared" si="358"/>
        <v>0.381699333889778</v>
      </c>
      <c r="EC110" s="867">
        <f t="shared" si="358"/>
        <v>0.21834596522514491</v>
      </c>
      <c r="ED110" s="284">
        <f t="shared" si="358"/>
        <v>0.60004529911492288</v>
      </c>
      <c r="EE110" s="867">
        <f t="shared" si="358"/>
        <v>0.39995470088507712</v>
      </c>
      <c r="EF110" s="284">
        <f t="shared" si="358"/>
        <v>0.61830066611022205</v>
      </c>
      <c r="EG110" s="869">
        <f t="shared" si="358"/>
        <v>1</v>
      </c>
      <c r="EH110" s="406"/>
    </row>
    <row r="111" spans="1:138">
      <c r="A111" s="13" t="s">
        <v>384</v>
      </c>
      <c r="B111" s="369"/>
      <c r="J111" s="369"/>
      <c r="R111" s="369"/>
      <c r="Z111" s="369"/>
      <c r="AH111" s="369"/>
      <c r="AP111" s="369"/>
      <c r="AQ111" s="43"/>
      <c r="AR111" s="43"/>
      <c r="AS111" s="43"/>
      <c r="AT111" s="43"/>
      <c r="AU111" s="43"/>
      <c r="AV111" s="43"/>
      <c r="AW111" s="43"/>
      <c r="AX111" s="369"/>
      <c r="AY111" s="43"/>
      <c r="AZ111" s="43"/>
      <c r="BA111" s="43"/>
      <c r="BB111" s="43"/>
      <c r="BC111" s="43"/>
      <c r="BD111" s="43"/>
      <c r="BE111" s="43"/>
      <c r="BF111" s="369"/>
      <c r="BG111" s="43"/>
      <c r="BH111" s="43"/>
      <c r="BI111" s="43"/>
      <c r="BJ111" s="43"/>
      <c r="BK111" s="43"/>
      <c r="BL111" s="43"/>
      <c r="BM111" s="43"/>
      <c r="BN111" s="408"/>
      <c r="BO111" s="122"/>
      <c r="BP111" s="122"/>
      <c r="BQ111" s="122"/>
      <c r="BR111" s="122"/>
      <c r="BS111" s="122"/>
      <c r="BT111" s="122"/>
      <c r="BU111" s="122"/>
      <c r="BV111" s="369"/>
      <c r="BW111" s="122"/>
      <c r="BX111" s="122"/>
      <c r="BY111" s="43"/>
      <c r="BZ111" s="43"/>
      <c r="CA111" s="43"/>
      <c r="CB111" s="43"/>
      <c r="CC111" s="43"/>
      <c r="CD111" s="369"/>
      <c r="CE111" s="43"/>
      <c r="CF111" s="43"/>
      <c r="CG111" s="43"/>
      <c r="CH111" s="43"/>
      <c r="CI111" s="43"/>
      <c r="CJ111" s="43"/>
      <c r="CK111" s="43"/>
      <c r="CL111" s="369"/>
      <c r="CM111" s="43"/>
      <c r="CN111" s="43"/>
      <c r="CO111" s="43"/>
      <c r="CP111" s="43"/>
      <c r="CQ111" s="43"/>
      <c r="CR111" s="43"/>
      <c r="CS111" s="43"/>
      <c r="CT111" s="369"/>
      <c r="CU111" s="43"/>
      <c r="CV111" s="43"/>
      <c r="CW111" s="43"/>
      <c r="CX111" s="43"/>
      <c r="CY111" s="122"/>
      <c r="CZ111" s="43"/>
      <c r="DA111" s="43"/>
      <c r="DB111" s="400">
        <f>DB95/$DI$95</f>
        <v>0.2</v>
      </c>
      <c r="DC111" s="302">
        <f t="shared" ref="DC111:DI111" si="359">DC95/$DI$95</f>
        <v>0.20478468899521532</v>
      </c>
      <c r="DD111" s="302">
        <f t="shared" si="359"/>
        <v>0.4047846889952153</v>
      </c>
      <c r="DE111" s="302">
        <f t="shared" si="359"/>
        <v>0.21574597651152674</v>
      </c>
      <c r="DF111" s="302">
        <f t="shared" si="359"/>
        <v>0.62053066550674207</v>
      </c>
      <c r="DG111" s="302">
        <f t="shared" si="359"/>
        <v>0.37946933449325793</v>
      </c>
      <c r="DH111" s="302">
        <f t="shared" si="359"/>
        <v>0.59521531100478464</v>
      </c>
      <c r="DI111" s="302">
        <f t="shared" si="359"/>
        <v>1</v>
      </c>
      <c r="DJ111" s="400">
        <f>DJ95/$DQ$95</f>
        <v>0.19855984108591293</v>
      </c>
      <c r="DK111" s="284">
        <f t="shared" ref="DK111:DQ111" si="360">DK95/$DQ$95</f>
        <v>0.21403741102466478</v>
      </c>
      <c r="DL111" s="284">
        <f t="shared" si="360"/>
        <v>0.41259725211057774</v>
      </c>
      <c r="DM111" s="284">
        <f t="shared" si="360"/>
        <v>0.21718258566462506</v>
      </c>
      <c r="DN111" s="284">
        <f t="shared" si="360"/>
        <v>0.62977983777520274</v>
      </c>
      <c r="DO111" s="867">
        <f t="shared" si="360"/>
        <v>0.3702201622247972</v>
      </c>
      <c r="DP111" s="284">
        <f t="shared" si="360"/>
        <v>0.58740274788942226</v>
      </c>
      <c r="DQ111" s="284">
        <f t="shared" si="360"/>
        <v>1</v>
      </c>
      <c r="DR111" s="400">
        <f>DR95/$DY$95</f>
        <v>0.19813502424468482</v>
      </c>
      <c r="DS111" s="284">
        <f t="shared" ref="DS111:DY111" si="361">DS95/$DY$95</f>
        <v>0.23550913838120105</v>
      </c>
      <c r="DT111" s="284">
        <f t="shared" si="361"/>
        <v>0.43364416262588584</v>
      </c>
      <c r="DU111" s="284">
        <f t="shared" si="361"/>
        <v>0.22849682954121597</v>
      </c>
      <c r="DV111" s="284">
        <f t="shared" si="361"/>
        <v>0.66214099216710187</v>
      </c>
      <c r="DW111" s="867">
        <f t="shared" si="361"/>
        <v>0.33785900783289818</v>
      </c>
      <c r="DX111" s="284">
        <f t="shared" si="361"/>
        <v>0.5663558373741141</v>
      </c>
      <c r="DY111" s="284">
        <f t="shared" si="361"/>
        <v>1</v>
      </c>
      <c r="DZ111" s="400">
        <f>DZ95/$EG$95</f>
        <v>0.19835175435367913</v>
      </c>
      <c r="EA111" s="284">
        <f t="shared" ref="EA111:EG111" si="362">EA95/$EG$95</f>
        <v>0.24401748311024651</v>
      </c>
      <c r="EB111" s="284">
        <f t="shared" si="362"/>
        <v>0.44236923746392565</v>
      </c>
      <c r="EC111" s="867">
        <f t="shared" si="362"/>
        <v>0.22849682954121597</v>
      </c>
      <c r="ED111" s="284">
        <f t="shared" si="362"/>
        <v>0.67086606700514162</v>
      </c>
      <c r="EE111" s="867">
        <f t="shared" si="362"/>
        <v>0.32913393299485832</v>
      </c>
      <c r="EF111" s="284">
        <f t="shared" si="362"/>
        <v>0.55763076253607435</v>
      </c>
      <c r="EG111" s="869">
        <f t="shared" si="362"/>
        <v>1</v>
      </c>
      <c r="EH111" s="406"/>
    </row>
    <row r="112" spans="1:138">
      <c r="A112" s="37" t="s">
        <v>225</v>
      </c>
      <c r="B112" s="369"/>
      <c r="J112" s="369"/>
      <c r="R112" s="369"/>
      <c r="Z112" s="369"/>
      <c r="AH112" s="369"/>
      <c r="AP112" s="369"/>
      <c r="AQ112" s="43"/>
      <c r="AR112" s="43"/>
      <c r="AS112" s="43"/>
      <c r="AT112" s="43"/>
      <c r="AU112" s="43"/>
      <c r="AV112" s="43"/>
      <c r="AW112" s="43"/>
      <c r="AX112" s="369"/>
      <c r="AY112" s="43"/>
      <c r="AZ112" s="43"/>
      <c r="BA112" s="43"/>
      <c r="BB112" s="43"/>
      <c r="BC112" s="43"/>
      <c r="BD112" s="43"/>
      <c r="BE112" s="43"/>
      <c r="BF112" s="369"/>
      <c r="BG112" s="43"/>
      <c r="BH112" s="43"/>
      <c r="BI112" s="43"/>
      <c r="BJ112" s="43"/>
      <c r="BK112" s="43"/>
      <c r="BL112" s="43"/>
      <c r="BM112" s="43"/>
      <c r="BN112" s="408"/>
      <c r="BO112" s="122"/>
      <c r="BP112" s="122"/>
      <c r="BQ112" s="122"/>
      <c r="BR112" s="122"/>
      <c r="BS112" s="122"/>
      <c r="BT112" s="122"/>
      <c r="BU112" s="122"/>
      <c r="BV112" s="369"/>
      <c r="BW112" s="122"/>
      <c r="BX112" s="122"/>
      <c r="BY112" s="43"/>
      <c r="BZ112" s="43"/>
      <c r="CA112" s="43"/>
      <c r="CB112" s="43"/>
      <c r="CC112" s="43"/>
      <c r="CD112" s="369"/>
      <c r="CE112" s="43"/>
      <c r="CF112" s="43"/>
      <c r="CG112" s="43"/>
      <c r="CH112" s="43"/>
      <c r="CI112" s="43"/>
      <c r="CJ112" s="43"/>
      <c r="CK112" s="43"/>
      <c r="CL112" s="863"/>
      <c r="CM112" s="68"/>
      <c r="CN112" s="68"/>
      <c r="CO112" s="68"/>
      <c r="CP112" s="68"/>
      <c r="CQ112" s="68"/>
      <c r="CR112" s="68"/>
      <c r="CS112" s="68"/>
      <c r="CT112" s="863"/>
      <c r="CU112" s="68"/>
      <c r="CV112" s="68"/>
      <c r="CW112" s="68"/>
      <c r="CX112" s="68"/>
      <c r="CY112" s="134"/>
      <c r="CZ112" s="68"/>
      <c r="DA112" s="68"/>
      <c r="DB112" s="866">
        <f>DB97/$DI$97</f>
        <v>0.17973596552883292</v>
      </c>
      <c r="DC112" s="864">
        <f t="shared" ref="DC112:DI112" si="363">DC97/$DI$97</f>
        <v>0.24294838492803228</v>
      </c>
      <c r="DD112" s="864">
        <f t="shared" si="363"/>
        <v>0.4226843504568652</v>
      </c>
      <c r="DE112" s="864">
        <f t="shared" si="363"/>
        <v>0.22762277297313815</v>
      </c>
      <c r="DF112" s="864">
        <f t="shared" si="363"/>
        <v>0.65030712343000341</v>
      </c>
      <c r="DG112" s="865">
        <f t="shared" si="363"/>
        <v>0.34969287656999665</v>
      </c>
      <c r="DH112" s="864">
        <f t="shared" si="363"/>
        <v>0.57731564954313475</v>
      </c>
      <c r="DI112" s="864">
        <f t="shared" si="363"/>
        <v>1</v>
      </c>
      <c r="DJ112" s="866">
        <f>DJ97/$DQ$97</f>
        <v>0.18532428138090423</v>
      </c>
      <c r="DK112" s="864">
        <f t="shared" ref="DK112:DQ112" si="364">DK97/$DQ$97</f>
        <v>0.23104145601617795</v>
      </c>
      <c r="DL112" s="864">
        <f t="shared" si="364"/>
        <v>0.41636573739708221</v>
      </c>
      <c r="DM112" s="864">
        <f t="shared" si="364"/>
        <v>0.22662140690452115</v>
      </c>
      <c r="DN112" s="864">
        <f t="shared" si="364"/>
        <v>0.64298714430160331</v>
      </c>
      <c r="DO112" s="865">
        <f t="shared" si="364"/>
        <v>0.35701285569839664</v>
      </c>
      <c r="DP112" s="864">
        <f t="shared" si="364"/>
        <v>0.58363426260291784</v>
      </c>
      <c r="DQ112" s="864">
        <f t="shared" si="364"/>
        <v>1</v>
      </c>
      <c r="DR112" s="866">
        <f>DR97/$DY$97</f>
        <v>0.18420730463170781</v>
      </c>
      <c r="DS112" s="864">
        <f t="shared" ref="DS112:DY112" si="365">DS97/$DY$97</f>
        <v>0.21856763925729442</v>
      </c>
      <c r="DT112" s="864">
        <f t="shared" si="365"/>
        <v>0.40277494388900226</v>
      </c>
      <c r="DU112" s="864">
        <f t="shared" si="365"/>
        <v>0.24248112630075494</v>
      </c>
      <c r="DV112" s="864">
        <f t="shared" si="365"/>
        <v>0.64525607018975717</v>
      </c>
      <c r="DW112" s="865">
        <f t="shared" si="365"/>
        <v>0.35474392981024283</v>
      </c>
      <c r="DX112" s="864">
        <f t="shared" si="365"/>
        <v>0.59722505611099774</v>
      </c>
      <c r="DY112" s="864">
        <f t="shared" si="365"/>
        <v>1</v>
      </c>
      <c r="DZ112" s="866">
        <f>DZ97/$EG$97</f>
        <v>0.15756099404817561</v>
      </c>
      <c r="EA112" s="864">
        <f t="shared" ref="EA112:EG112" si="366">EA97/$EG$97</f>
        <v>0.25562717594172829</v>
      </c>
      <c r="EB112" s="864">
        <f t="shared" si="366"/>
        <v>0.41318816998990393</v>
      </c>
      <c r="EC112" s="865">
        <f t="shared" si="366"/>
        <v>0.24262994251521072</v>
      </c>
      <c r="ED112" s="864">
        <f t="shared" si="366"/>
        <v>0.65581811250511468</v>
      </c>
      <c r="EE112" s="865">
        <f t="shared" si="366"/>
        <v>0.34418188749488537</v>
      </c>
      <c r="EF112" s="864">
        <f t="shared" si="366"/>
        <v>0.58681183001009607</v>
      </c>
      <c r="EG112" s="870">
        <f t="shared" si="366"/>
        <v>1</v>
      </c>
      <c r="EH112" s="406"/>
    </row>
    <row r="113" spans="1:141">
      <c r="B113" s="369"/>
      <c r="J113" s="369"/>
      <c r="R113" s="369"/>
      <c r="Z113" s="369"/>
      <c r="AH113" s="369"/>
      <c r="AP113" s="369"/>
      <c r="AQ113" s="43"/>
      <c r="AR113" s="43"/>
      <c r="AS113" s="43"/>
      <c r="AT113" s="43"/>
      <c r="AU113" s="43"/>
      <c r="AV113" s="43"/>
      <c r="AW113" s="43"/>
      <c r="AX113" s="369"/>
      <c r="AY113" s="43"/>
      <c r="AZ113" s="43"/>
      <c r="BA113" s="43"/>
      <c r="BB113" s="43"/>
      <c r="BC113" s="43"/>
      <c r="BD113" s="43"/>
      <c r="BE113" s="43"/>
      <c r="BF113" s="369"/>
      <c r="BG113" s="43"/>
      <c r="BH113" s="43"/>
      <c r="BI113" s="43"/>
      <c r="BJ113" s="43"/>
      <c r="BK113" s="43"/>
      <c r="BL113" s="43"/>
      <c r="BM113" s="43"/>
      <c r="BN113" s="408"/>
      <c r="BO113" s="122"/>
      <c r="BP113" s="122"/>
      <c r="BQ113" s="122"/>
      <c r="BR113" s="122"/>
      <c r="BS113" s="122"/>
      <c r="BT113" s="122"/>
      <c r="BU113" s="122"/>
      <c r="BV113" s="369"/>
      <c r="BW113" s="122"/>
      <c r="BX113" s="122"/>
      <c r="BY113" s="43"/>
      <c r="BZ113" s="43"/>
      <c r="CA113" s="43"/>
      <c r="CB113" s="43"/>
      <c r="CC113" s="43"/>
      <c r="CD113" s="369"/>
      <c r="CE113" s="43"/>
      <c r="CF113" s="43"/>
      <c r="CG113" s="43"/>
      <c r="CH113" s="43"/>
      <c r="CI113" s="43"/>
      <c r="CJ113" s="43"/>
      <c r="CK113" s="43"/>
      <c r="CL113" s="369"/>
      <c r="CM113" s="43"/>
      <c r="CN113" s="43"/>
      <c r="CO113" s="43"/>
      <c r="CP113" s="43"/>
      <c r="CQ113" s="43"/>
      <c r="CR113" s="43"/>
      <c r="CS113" s="43"/>
      <c r="CT113" s="369"/>
      <c r="CU113" s="43"/>
      <c r="CV113" s="43"/>
      <c r="CW113" s="43"/>
      <c r="CX113" s="43"/>
      <c r="CY113" s="122"/>
      <c r="CZ113" s="43"/>
      <c r="DA113" s="43"/>
      <c r="DB113" s="369"/>
      <c r="DC113" s="43"/>
      <c r="DD113" s="43"/>
      <c r="DE113" s="43"/>
      <c r="DF113" s="43"/>
      <c r="DG113" s="122"/>
      <c r="DH113" s="43"/>
      <c r="DI113" s="43"/>
      <c r="DJ113" s="369"/>
      <c r="DK113" s="43"/>
      <c r="DL113" s="43"/>
      <c r="DM113" s="43"/>
      <c r="DN113" s="43"/>
      <c r="DO113" s="122"/>
      <c r="DP113" s="43"/>
      <c r="DQ113" s="43"/>
      <c r="DR113" s="369"/>
      <c r="DS113" s="43"/>
      <c r="DT113" s="43"/>
      <c r="DU113" s="43"/>
      <c r="DV113" s="43"/>
      <c r="DW113" s="122"/>
      <c r="DX113" s="43"/>
      <c r="DY113" s="43"/>
      <c r="DZ113" s="369"/>
      <c r="EA113" s="43"/>
      <c r="EB113" s="43"/>
      <c r="EC113" s="122"/>
      <c r="ED113" s="43"/>
      <c r="EE113" s="122"/>
      <c r="EF113" s="43"/>
      <c r="EG113" s="814"/>
      <c r="EH113" s="406"/>
    </row>
    <row r="114" spans="1:141">
      <c r="B114" s="369"/>
      <c r="J114" s="369"/>
      <c r="R114" s="369"/>
      <c r="Z114" s="369"/>
      <c r="AH114" s="369"/>
      <c r="AP114" s="369"/>
      <c r="AQ114" s="43"/>
      <c r="AR114" s="43"/>
      <c r="AS114" s="43"/>
      <c r="AT114" s="43"/>
      <c r="AU114" s="43"/>
      <c r="AV114" s="43"/>
      <c r="AW114" s="43"/>
      <c r="AX114" s="369"/>
      <c r="AY114" s="43"/>
      <c r="AZ114" s="43"/>
      <c r="BA114" s="43"/>
      <c r="BB114" s="43"/>
      <c r="BC114" s="43"/>
      <c r="BD114" s="43"/>
      <c r="BE114" s="43"/>
      <c r="BF114" s="369"/>
      <c r="BG114" s="43"/>
      <c r="BH114" s="43"/>
      <c r="BI114" s="43"/>
      <c r="BJ114" s="43"/>
      <c r="BK114" s="43"/>
      <c r="BL114" s="43"/>
      <c r="BM114" s="43"/>
      <c r="BN114" s="408"/>
      <c r="BO114" s="122"/>
      <c r="BP114" s="122"/>
      <c r="BQ114" s="122"/>
      <c r="BR114" s="122"/>
      <c r="BS114" s="122"/>
      <c r="BT114" s="122"/>
      <c r="BU114" s="122"/>
      <c r="BV114" s="369"/>
      <c r="BW114" s="122"/>
      <c r="BX114" s="122"/>
      <c r="BY114" s="43"/>
      <c r="BZ114" s="43"/>
      <c r="CA114" s="43"/>
      <c r="CB114" s="43"/>
      <c r="CC114" s="43"/>
      <c r="CD114" s="369"/>
      <c r="CE114" s="43"/>
      <c r="CF114" s="43"/>
      <c r="CG114" s="43"/>
      <c r="CH114" s="43"/>
      <c r="CI114" s="43"/>
      <c r="CJ114" s="43"/>
      <c r="CK114" s="43"/>
      <c r="CL114" s="369"/>
      <c r="CM114" s="43"/>
      <c r="CN114" s="43"/>
      <c r="CO114" s="43"/>
      <c r="CP114" s="43"/>
      <c r="CQ114" s="43"/>
      <c r="CR114" s="43"/>
      <c r="CS114" s="43"/>
      <c r="CT114" s="369"/>
      <c r="CU114" s="43"/>
      <c r="CV114" s="43"/>
      <c r="CW114" s="43"/>
      <c r="CX114" s="43"/>
      <c r="CY114" s="122"/>
      <c r="CZ114" s="43"/>
      <c r="DA114" s="43"/>
      <c r="DB114" s="369"/>
      <c r="DC114" s="43"/>
      <c r="DD114" s="43"/>
      <c r="DE114" s="43"/>
      <c r="DF114" s="43"/>
      <c r="DG114" s="122"/>
      <c r="DH114" s="43"/>
      <c r="DI114" s="43"/>
      <c r="DJ114" s="369"/>
      <c r="DK114" s="43"/>
      <c r="DL114" s="43"/>
      <c r="DM114" s="43"/>
      <c r="DN114" s="43"/>
      <c r="DO114" s="122"/>
      <c r="DP114" s="43"/>
      <c r="DQ114" s="43"/>
      <c r="DR114" s="369"/>
      <c r="DS114" s="43"/>
      <c r="DT114" s="43"/>
      <c r="DU114" s="43"/>
      <c r="DV114" s="43"/>
      <c r="DW114" s="122"/>
      <c r="DX114" s="43"/>
      <c r="DY114" s="43"/>
      <c r="DZ114" s="369"/>
      <c r="EA114" s="43"/>
      <c r="EB114" s="43"/>
      <c r="EC114" s="122"/>
      <c r="ED114" s="43"/>
      <c r="EE114" s="122"/>
      <c r="EF114" s="43"/>
      <c r="EG114" s="814"/>
      <c r="EH114" s="406"/>
    </row>
    <row r="115" spans="1:141">
      <c r="A115" s="12" t="s">
        <v>372</v>
      </c>
      <c r="B115" s="42"/>
      <c r="J115" s="369"/>
      <c r="R115" s="369"/>
      <c r="Z115" s="369"/>
      <c r="AH115" s="369"/>
      <c r="AP115" s="369"/>
      <c r="AQ115" s="43"/>
      <c r="AR115" s="43"/>
      <c r="AS115" s="43"/>
      <c r="AT115" s="43"/>
      <c r="AU115" s="43"/>
      <c r="AV115" s="43"/>
      <c r="AW115" s="43"/>
      <c r="AX115" s="369"/>
      <c r="AY115" s="43"/>
      <c r="AZ115" s="43"/>
      <c r="BA115" s="43"/>
      <c r="BB115" s="43"/>
      <c r="BC115" s="43"/>
      <c r="BD115" s="43"/>
      <c r="BE115" s="43"/>
      <c r="BF115" s="369"/>
      <c r="BG115" s="43"/>
      <c r="BH115" s="43"/>
      <c r="BI115" s="43"/>
      <c r="BJ115" s="43"/>
      <c r="BK115" s="43"/>
      <c r="BL115" s="43"/>
      <c r="BM115" s="43"/>
      <c r="BN115" s="408"/>
      <c r="BO115" s="122"/>
      <c r="BP115" s="122"/>
      <c r="BQ115" s="122"/>
      <c r="BR115" s="122"/>
      <c r="BS115" s="123"/>
      <c r="BT115" s="122"/>
      <c r="BU115" s="122"/>
      <c r="BV115" s="369"/>
      <c r="BW115" s="128"/>
      <c r="BX115" s="122"/>
      <c r="BY115" s="43"/>
      <c r="BZ115" s="43"/>
      <c r="CA115" s="43"/>
      <c r="CB115" s="43"/>
      <c r="CC115" s="64"/>
      <c r="CD115" s="369"/>
      <c r="CE115" s="43"/>
      <c r="CF115" s="43"/>
      <c r="CG115" s="43"/>
      <c r="CH115" s="43"/>
      <c r="CI115" s="43"/>
      <c r="CJ115" s="43"/>
      <c r="CK115" s="43"/>
      <c r="CL115" s="392"/>
      <c r="CM115" s="64"/>
      <c r="CN115" s="64"/>
      <c r="CO115" s="64"/>
      <c r="CP115" s="64"/>
      <c r="CQ115" s="64"/>
      <c r="CR115" s="64"/>
      <c r="CS115" s="43"/>
      <c r="CT115" s="415"/>
      <c r="CU115" s="64"/>
      <c r="CV115" s="64"/>
      <c r="CW115" s="64"/>
      <c r="CX115" s="64"/>
      <c r="CY115" s="123"/>
      <c r="CZ115" s="64"/>
      <c r="DA115" s="43"/>
      <c r="DB115" s="392"/>
      <c r="DC115" s="64"/>
      <c r="DD115" s="64"/>
      <c r="DE115" s="64"/>
      <c r="DF115" s="64"/>
      <c r="DG115" s="123"/>
      <c r="DH115" s="64"/>
      <c r="DI115" s="43"/>
      <c r="DJ115" s="392"/>
      <c r="DK115" s="64"/>
      <c r="DL115" s="64"/>
      <c r="DM115" s="64"/>
      <c r="DN115" s="64"/>
      <c r="DO115" s="123"/>
      <c r="DP115" s="64"/>
      <c r="DQ115" s="43"/>
      <c r="DR115" s="392"/>
      <c r="DS115" s="64"/>
      <c r="DT115" s="64"/>
      <c r="DU115" s="64"/>
      <c r="DV115" s="64"/>
      <c r="DW115" s="123"/>
      <c r="DX115" s="64"/>
      <c r="DY115" s="43"/>
      <c r="DZ115" s="392"/>
      <c r="EA115" s="64"/>
      <c r="EB115" s="64"/>
      <c r="EC115" s="123"/>
      <c r="ED115" s="64"/>
      <c r="EE115" s="123"/>
      <c r="EF115" s="64"/>
      <c r="EG115" s="814"/>
      <c r="EH115" s="406"/>
    </row>
    <row r="116" spans="1:141">
      <c r="A116" s="13" t="s">
        <v>14</v>
      </c>
      <c r="B116" s="42"/>
      <c r="J116" s="369"/>
      <c r="R116" s="387">
        <v>608</v>
      </c>
      <c r="S116" s="64">
        <f>T116-R116</f>
        <v>623</v>
      </c>
      <c r="T116" s="149">
        <v>1231</v>
      </c>
      <c r="U116" s="64">
        <f>V116-M116</f>
        <v>1712</v>
      </c>
      <c r="V116" s="149">
        <v>1712</v>
      </c>
      <c r="W116" s="64">
        <f>Y116-V116</f>
        <v>502</v>
      </c>
      <c r="X116" s="64">
        <f>Y116-T116</f>
        <v>983</v>
      </c>
      <c r="Y116" s="149">
        <v>2214</v>
      </c>
      <c r="Z116" s="387">
        <v>527</v>
      </c>
      <c r="AA116" s="64">
        <f>AB116-Z116</f>
        <v>760</v>
      </c>
      <c r="AB116" s="149">
        <v>1287</v>
      </c>
      <c r="AC116" s="149">
        <v>493</v>
      </c>
      <c r="AD116" s="64">
        <f>SUM(AB116:AC116)</f>
        <v>1780</v>
      </c>
      <c r="AE116" s="64">
        <f>AG116-AD116</f>
        <v>749</v>
      </c>
      <c r="AF116" s="64">
        <f>AG116-AB116</f>
        <v>1242</v>
      </c>
      <c r="AG116" s="64">
        <f>'Income Statement'!J27</f>
        <v>2529</v>
      </c>
      <c r="AH116" s="387">
        <v>569</v>
      </c>
      <c r="AI116" s="149">
        <v>964</v>
      </c>
      <c r="AJ116" s="64">
        <f>AH116+AI116</f>
        <v>1533</v>
      </c>
      <c r="AK116" s="64">
        <f>AL116-AJ116</f>
        <v>693</v>
      </c>
      <c r="AL116" s="149">
        <v>2226</v>
      </c>
      <c r="AM116" s="64">
        <f>AO116-AL116</f>
        <v>540</v>
      </c>
      <c r="AN116" s="64">
        <f>AO116-AJ116</f>
        <v>1233</v>
      </c>
      <c r="AO116" s="64">
        <f>'Income Statement'!K27</f>
        <v>2766</v>
      </c>
      <c r="AP116" s="387">
        <v>407</v>
      </c>
      <c r="AQ116" s="149">
        <v>863</v>
      </c>
      <c r="AR116" s="64">
        <f>AP116+AQ116</f>
        <v>1270</v>
      </c>
      <c r="AS116" s="103">
        <f>AT116-AR116</f>
        <v>568</v>
      </c>
      <c r="AT116" s="149">
        <v>1838</v>
      </c>
      <c r="AU116" s="103">
        <f>AW116-AT116</f>
        <v>973</v>
      </c>
      <c r="AV116" s="64">
        <f>AW116-AR116</f>
        <v>1541</v>
      </c>
      <c r="AW116" s="149">
        <v>2811</v>
      </c>
      <c r="AX116" s="387">
        <v>281</v>
      </c>
      <c r="AY116" s="149">
        <v>673</v>
      </c>
      <c r="AZ116" s="64">
        <f>SUM(AX116:AY116)</f>
        <v>954</v>
      </c>
      <c r="BA116" s="149">
        <v>591</v>
      </c>
      <c r="BB116" s="64">
        <f>BA116+AZ116</f>
        <v>1545</v>
      </c>
      <c r="BC116" s="103">
        <f>BE116-BB116</f>
        <v>2009</v>
      </c>
      <c r="BD116" s="64">
        <f>BC116+BA116</f>
        <v>2600</v>
      </c>
      <c r="BE116" s="149">
        <v>3554</v>
      </c>
      <c r="BF116" s="387">
        <v>-103</v>
      </c>
      <c r="BG116" s="64">
        <f>BH116-BF116</f>
        <v>360</v>
      </c>
      <c r="BH116" s="149">
        <v>257</v>
      </c>
      <c r="BI116" s="64">
        <f>BJ116-BH116</f>
        <v>549</v>
      </c>
      <c r="BJ116" s="149">
        <v>806</v>
      </c>
      <c r="BK116" s="103">
        <f>BL116-BI116</f>
        <v>1577</v>
      </c>
      <c r="BL116" s="64">
        <f>BM116-BH116</f>
        <v>2126</v>
      </c>
      <c r="BM116" s="149">
        <v>2383</v>
      </c>
      <c r="BN116" s="387">
        <v>-41</v>
      </c>
      <c r="BO116" s="123">
        <f>BP116-BN116</f>
        <v>908</v>
      </c>
      <c r="BP116" s="149">
        <v>867</v>
      </c>
      <c r="BQ116" s="149">
        <v>1473</v>
      </c>
      <c r="BR116" s="123">
        <f>BQ116+BP116</f>
        <v>2340</v>
      </c>
      <c r="BS116" s="125">
        <f>BU116-BR116</f>
        <v>2468</v>
      </c>
      <c r="BT116" s="123">
        <f>BS116+BQ116</f>
        <v>3941</v>
      </c>
      <c r="BU116" s="149">
        <v>4808</v>
      </c>
      <c r="BV116" s="387">
        <v>536</v>
      </c>
      <c r="BW116" s="149">
        <v>1802</v>
      </c>
      <c r="BX116" s="123">
        <f>BW116+BV116</f>
        <v>2338</v>
      </c>
      <c r="BY116" s="149">
        <v>1495</v>
      </c>
      <c r="BZ116" s="64">
        <f>BY116+BX116</f>
        <v>3833</v>
      </c>
      <c r="CA116" s="103">
        <f>CC116-BZ116</f>
        <v>2525</v>
      </c>
      <c r="CB116" s="64">
        <f>CA116+BY116</f>
        <v>4020</v>
      </c>
      <c r="CC116" s="149">
        <v>6358</v>
      </c>
      <c r="CD116" s="387">
        <v>191</v>
      </c>
      <c r="CE116" s="149">
        <v>-1498</v>
      </c>
      <c r="CF116" s="64">
        <f>CE116+CD116</f>
        <v>-1307</v>
      </c>
      <c r="CG116" s="149">
        <v>666</v>
      </c>
      <c r="CH116" s="64">
        <f>CG116+CF116</f>
        <v>-641</v>
      </c>
      <c r="CI116" s="64">
        <f>CK116-CH116</f>
        <v>1259</v>
      </c>
      <c r="CJ116" s="64">
        <f>CI116+CG116</f>
        <v>1925</v>
      </c>
      <c r="CK116" s="149">
        <v>618</v>
      </c>
      <c r="CL116" s="387">
        <v>533</v>
      </c>
      <c r="CM116" s="149">
        <v>1758</v>
      </c>
      <c r="CN116" s="64">
        <f>CL116+CM116</f>
        <v>2291</v>
      </c>
      <c r="CO116" s="149">
        <v>448</v>
      </c>
      <c r="CP116" s="64">
        <f>CO116+CN116</f>
        <v>2739</v>
      </c>
      <c r="CQ116" s="103">
        <f>CS116-CP116</f>
        <v>831</v>
      </c>
      <c r="CR116" s="64">
        <f>CQ116+CO116</f>
        <v>1279</v>
      </c>
      <c r="CS116" s="149">
        <v>3570</v>
      </c>
      <c r="CT116" s="387">
        <v>1065</v>
      </c>
      <c r="CU116" s="149">
        <v>1211</v>
      </c>
      <c r="CV116" s="64">
        <f>CU116+CT116</f>
        <v>2276</v>
      </c>
      <c r="CW116" s="149">
        <v>599</v>
      </c>
      <c r="CX116" s="64">
        <f>CW116+CV116</f>
        <v>2875</v>
      </c>
      <c r="CY116" s="123">
        <f>DA116-CW116-CU116-CT116</f>
        <v>1725</v>
      </c>
      <c r="CZ116" s="64">
        <f>CY116+CW116</f>
        <v>2324</v>
      </c>
      <c r="DA116" s="149">
        <v>4600</v>
      </c>
      <c r="DB116" s="387">
        <v>580</v>
      </c>
      <c r="DC116" s="149">
        <v>1676</v>
      </c>
      <c r="DD116" s="64">
        <f>DC116+DB116</f>
        <v>2256</v>
      </c>
      <c r="DE116" s="149">
        <v>960</v>
      </c>
      <c r="DF116" s="64">
        <f>DE116+DD116</f>
        <v>3216</v>
      </c>
      <c r="DG116" s="123">
        <f>DI116-DE116-DC116-DB116</f>
        <v>1602</v>
      </c>
      <c r="DH116" s="64">
        <f>DG116+DE116</f>
        <v>2562</v>
      </c>
      <c r="DI116" s="149">
        <v>4818</v>
      </c>
      <c r="DJ116" s="387">
        <v>507</v>
      </c>
      <c r="DK116" s="149">
        <v>1447</v>
      </c>
      <c r="DL116" s="64">
        <f>DK116+DJ116</f>
        <v>1954</v>
      </c>
      <c r="DM116" s="149">
        <v>1074</v>
      </c>
      <c r="DN116" s="64">
        <f>DM116+DL116</f>
        <v>3028</v>
      </c>
      <c r="DO116" s="123">
        <f>DQ116-DM116-DK116-DJ116</f>
        <v>2065</v>
      </c>
      <c r="DP116" s="64">
        <f>DO116+DM116</f>
        <v>3139</v>
      </c>
      <c r="DQ116" s="149">
        <v>5093</v>
      </c>
      <c r="DR116" s="387">
        <v>494</v>
      </c>
      <c r="DS116" s="149">
        <f>DT116-DR116</f>
        <v>1220</v>
      </c>
      <c r="DT116" s="64">
        <v>1714</v>
      </c>
      <c r="DU116" s="149">
        <v>1556</v>
      </c>
      <c r="DV116" s="64">
        <f>DT116+DU116</f>
        <v>3270</v>
      </c>
      <c r="DW116" s="125">
        <f t="shared" ref="DW116:DW119" si="367">DY116-DV116</f>
        <v>2200</v>
      </c>
      <c r="DX116" s="64">
        <f>DW116+DU116</f>
        <v>3756</v>
      </c>
      <c r="DY116" s="495">
        <f>INDEX('Income Statement'!27:27, MATCH(Interims!$DY$1,'Income Statement'!$2:$2,0))</f>
        <v>5470</v>
      </c>
      <c r="DZ116" s="387">
        <v>81</v>
      </c>
      <c r="EA116" s="149">
        <v>1906</v>
      </c>
      <c r="EB116" s="64">
        <f>DZ116+EA116</f>
        <v>1987</v>
      </c>
      <c r="EC116" s="123">
        <f>(DU116/DY116)*EG116</f>
        <v>1637.8517303370218</v>
      </c>
      <c r="ED116" s="64">
        <f>EB116+EC116</f>
        <v>3624.8517303370218</v>
      </c>
      <c r="EE116" s="123">
        <f t="shared" ref="EE116:EE119" si="368">EG116-ED116</f>
        <v>2132.891820397881</v>
      </c>
      <c r="EF116" s="64">
        <f>EE116+EC116</f>
        <v>3770.7435507349028</v>
      </c>
      <c r="EG116" s="480">
        <f>INDEX('Income Statement'!27:27, MATCH(Interims!$EG$1,'Income Statement'!$2:$2,0))</f>
        <v>5757.7435507349028</v>
      </c>
      <c r="EH116" s="611"/>
      <c r="EI116" s="16"/>
    </row>
    <row r="117" spans="1:141">
      <c r="A117" s="107" t="s">
        <v>385</v>
      </c>
      <c r="B117" s="42"/>
      <c r="J117" s="369"/>
      <c r="R117" s="387">
        <v>20</v>
      </c>
      <c r="S117" s="64">
        <f>T117-R117</f>
        <v>108</v>
      </c>
      <c r="T117" s="149">
        <v>128</v>
      </c>
      <c r="U117" s="64">
        <f>V117-T117</f>
        <v>89</v>
      </c>
      <c r="V117" s="149">
        <v>217</v>
      </c>
      <c r="W117" s="64">
        <f>Y117-V117</f>
        <v>180</v>
      </c>
      <c r="X117" s="64">
        <f>Y117-T117</f>
        <v>269</v>
      </c>
      <c r="Y117" s="149">
        <v>397</v>
      </c>
      <c r="Z117" s="387">
        <v>58</v>
      </c>
      <c r="AA117" s="64">
        <f>AB117-Z117</f>
        <v>92</v>
      </c>
      <c r="AB117" s="149">
        <v>150</v>
      </c>
      <c r="AC117" s="149">
        <v>91</v>
      </c>
      <c r="AD117" s="64">
        <f>SUM(AB117:AC117)</f>
        <v>241</v>
      </c>
      <c r="AE117" s="64">
        <f>AG117-AD117</f>
        <v>172</v>
      </c>
      <c r="AF117" s="64">
        <f>AG117-AB117</f>
        <v>263</v>
      </c>
      <c r="AG117" s="64">
        <f>'Income Statement'!J28</f>
        <v>413</v>
      </c>
      <c r="AH117" s="387">
        <v>52</v>
      </c>
      <c r="AI117" s="149">
        <v>110</v>
      </c>
      <c r="AJ117" s="64">
        <f>AH117+AI117</f>
        <v>162</v>
      </c>
      <c r="AK117" s="64">
        <f>AL117-AJ117</f>
        <v>79</v>
      </c>
      <c r="AL117" s="149">
        <v>241</v>
      </c>
      <c r="AM117" s="64">
        <f>AO117-AL117</f>
        <v>186</v>
      </c>
      <c r="AN117" s="64">
        <f>AO117-AJ117</f>
        <v>265</v>
      </c>
      <c r="AO117" s="64">
        <f>'Income Statement'!K28</f>
        <v>427</v>
      </c>
      <c r="AP117" s="387">
        <v>33</v>
      </c>
      <c r="AQ117" s="149">
        <v>111</v>
      </c>
      <c r="AR117" s="64">
        <f>AP117+AQ117</f>
        <v>144</v>
      </c>
      <c r="AS117" s="103">
        <f>AT117-AR117</f>
        <v>56</v>
      </c>
      <c r="AT117" s="149">
        <v>200</v>
      </c>
      <c r="AU117" s="103">
        <f>AW117-AT117</f>
        <v>150</v>
      </c>
      <c r="AV117" s="64">
        <f>AW117-AR117</f>
        <v>206</v>
      </c>
      <c r="AW117" s="149">
        <v>350</v>
      </c>
      <c r="AX117" s="387">
        <v>-2</v>
      </c>
      <c r="AY117" s="149">
        <v>95</v>
      </c>
      <c r="AZ117" s="64">
        <f>SUM(AX117:AY117)</f>
        <v>93</v>
      </c>
      <c r="BA117" s="149">
        <v>72</v>
      </c>
      <c r="BB117" s="64">
        <f>AZ117+BA117</f>
        <v>165</v>
      </c>
      <c r="BC117" s="64">
        <f>BE117-BB117</f>
        <v>172</v>
      </c>
      <c r="BD117" s="64">
        <f>BE117-AZ117</f>
        <v>244</v>
      </c>
      <c r="BE117" s="149">
        <v>337</v>
      </c>
      <c r="BF117" s="387">
        <v>-6</v>
      </c>
      <c r="BG117" s="64">
        <f t="shared" ref="BG117:BI119" si="369">BH117-BF117</f>
        <v>86</v>
      </c>
      <c r="BH117" s="149">
        <v>80</v>
      </c>
      <c r="BI117" s="64">
        <f t="shared" si="369"/>
        <v>81</v>
      </c>
      <c r="BJ117" s="149">
        <v>161</v>
      </c>
      <c r="BK117" s="64">
        <f>BL117-BI117</f>
        <v>86</v>
      </c>
      <c r="BL117" s="64">
        <f>BM117-BH117</f>
        <v>167</v>
      </c>
      <c r="BM117" s="149">
        <v>247</v>
      </c>
      <c r="BN117" s="387">
        <v>-3</v>
      </c>
      <c r="BO117" s="123">
        <f>BP117-BN117</f>
        <v>138</v>
      </c>
      <c r="BP117" s="149">
        <v>135</v>
      </c>
      <c r="BQ117" s="149">
        <v>67</v>
      </c>
      <c r="BR117" s="123">
        <f>BQ117+BP117</f>
        <v>202</v>
      </c>
      <c r="BS117" s="123">
        <f>BU117-BR117</f>
        <v>178</v>
      </c>
      <c r="BT117" s="123">
        <f>BS117+BQ117</f>
        <v>245</v>
      </c>
      <c r="BU117" s="149">
        <v>380</v>
      </c>
      <c r="BV117" s="387">
        <v>15</v>
      </c>
      <c r="BW117" s="149">
        <v>110</v>
      </c>
      <c r="BX117" s="123">
        <f>BW117+BV117</f>
        <v>125</v>
      </c>
      <c r="BY117" s="149">
        <v>80</v>
      </c>
      <c r="BZ117" s="64">
        <f>BY117+BX117</f>
        <v>205</v>
      </c>
      <c r="CA117" s="64">
        <f>CC117-BZ117</f>
        <v>217</v>
      </c>
      <c r="CB117" s="64">
        <f>CA117+BY117</f>
        <v>297</v>
      </c>
      <c r="CC117" s="149">
        <v>422</v>
      </c>
      <c r="CD117" s="387">
        <v>53</v>
      </c>
      <c r="CE117" s="149">
        <v>99</v>
      </c>
      <c r="CF117" s="64">
        <f>CE117+CD117</f>
        <v>152</v>
      </c>
      <c r="CG117" s="149">
        <v>86</v>
      </c>
      <c r="CH117" s="64">
        <f>CG117+CF117</f>
        <v>238</v>
      </c>
      <c r="CI117" s="64">
        <f>CK117-CH117</f>
        <v>233</v>
      </c>
      <c r="CJ117" s="64">
        <f>CI117+CG117</f>
        <v>319</v>
      </c>
      <c r="CK117" s="149">
        <v>471</v>
      </c>
      <c r="CL117" s="387">
        <v>62</v>
      </c>
      <c r="CM117" s="149">
        <v>121</v>
      </c>
      <c r="CN117" s="64">
        <f>CL117+CM117</f>
        <v>183</v>
      </c>
      <c r="CO117" s="149">
        <v>131</v>
      </c>
      <c r="CP117" s="64">
        <f>CO117+CN117</f>
        <v>314</v>
      </c>
      <c r="CQ117" s="64">
        <f>CS117-CP117</f>
        <v>221</v>
      </c>
      <c r="CR117" s="64">
        <f>CQ117+CO117</f>
        <v>352</v>
      </c>
      <c r="CS117" s="149">
        <v>535</v>
      </c>
      <c r="CT117" s="387">
        <v>90</v>
      </c>
      <c r="CU117" s="149">
        <v>125</v>
      </c>
      <c r="CV117" s="64">
        <f>CU117+CT117</f>
        <v>215</v>
      </c>
      <c r="CW117" s="149">
        <v>165</v>
      </c>
      <c r="CX117" s="64">
        <f>CW117+CV117</f>
        <v>380</v>
      </c>
      <c r="CY117" s="123">
        <f>DA117-CW117-CU117-CT117</f>
        <v>259</v>
      </c>
      <c r="CZ117" s="64">
        <f>CY117+CW117</f>
        <v>424</v>
      </c>
      <c r="DA117" s="149">
        <v>639</v>
      </c>
      <c r="DB117" s="387">
        <v>156</v>
      </c>
      <c r="DC117" s="149">
        <v>118</v>
      </c>
      <c r="DD117" s="64">
        <f>DC117+DB117</f>
        <v>274</v>
      </c>
      <c r="DE117" s="149">
        <v>143</v>
      </c>
      <c r="DF117" s="64">
        <f>DE117+DD117</f>
        <v>417</v>
      </c>
      <c r="DG117" s="123">
        <f>DI117-DE117-DC117-DB117</f>
        <v>318</v>
      </c>
      <c r="DH117" s="64">
        <f>DG117+DE117</f>
        <v>461</v>
      </c>
      <c r="DI117" s="149">
        <v>735</v>
      </c>
      <c r="DJ117" s="387">
        <v>71</v>
      </c>
      <c r="DK117" s="149">
        <v>159</v>
      </c>
      <c r="DL117" s="64">
        <f>DK117+DJ117</f>
        <v>230</v>
      </c>
      <c r="DM117" s="149">
        <v>190</v>
      </c>
      <c r="DN117" s="64">
        <f>DM117+DL117</f>
        <v>420</v>
      </c>
      <c r="DO117" s="123">
        <f>DQ117-DM117-DK117-DJ117</f>
        <v>398</v>
      </c>
      <c r="DP117" s="64">
        <f>DO117+DM117</f>
        <v>588</v>
      </c>
      <c r="DQ117" s="149">
        <v>818</v>
      </c>
      <c r="DR117" s="387">
        <v>78</v>
      </c>
      <c r="DS117" s="149">
        <f t="shared" ref="DS117:DS119" si="370">DT117-DR117</f>
        <v>171</v>
      </c>
      <c r="DT117" s="64">
        <v>249</v>
      </c>
      <c r="DU117" s="149">
        <v>246</v>
      </c>
      <c r="DV117" s="64">
        <f t="shared" ref="DV117:DV119" si="371">DT117+DU117</f>
        <v>495</v>
      </c>
      <c r="DW117" s="125">
        <f t="shared" si="367"/>
        <v>430</v>
      </c>
      <c r="DX117" s="64">
        <f t="shared" ref="DX117:DX119" si="372">DW117+DU117</f>
        <v>676</v>
      </c>
      <c r="DY117" s="495">
        <f>INDEX('Income Statement'!28:28, MATCH(Interims!$DY$1,'Income Statement'!$2:$2,0))</f>
        <v>925</v>
      </c>
      <c r="DZ117" s="387">
        <v>65</v>
      </c>
      <c r="EA117" s="149">
        <v>175</v>
      </c>
      <c r="EB117" s="64">
        <f t="shared" ref="EB117:EB119" si="373">DZ117+EA117</f>
        <v>240</v>
      </c>
      <c r="EC117" s="123">
        <f t="shared" ref="EC117:EC119" si="374">(DU117/DY117)*EG117</f>
        <v>263.11778192198682</v>
      </c>
      <c r="ED117" s="64">
        <f t="shared" ref="ED117:ED119" si="375">EB117+EC117</f>
        <v>503.11778192198682</v>
      </c>
      <c r="EE117" s="123">
        <f t="shared" si="368"/>
        <v>486.247861483858</v>
      </c>
      <c r="EF117" s="64">
        <f t="shared" ref="EF117:EF119" si="376">EE117+EC117</f>
        <v>749.36564340584482</v>
      </c>
      <c r="EG117" s="480">
        <f>INDEX('Income Statement'!28:28, MATCH(Interims!$EG$1,'Income Statement'!$2:$2,0))</f>
        <v>989.36564340584482</v>
      </c>
      <c r="EH117" s="611"/>
      <c r="EI117" s="16"/>
    </row>
    <row r="118" spans="1:141">
      <c r="A118" s="13" t="s">
        <v>384</v>
      </c>
      <c r="B118" s="42"/>
      <c r="J118" s="369"/>
      <c r="R118" s="387">
        <v>84</v>
      </c>
      <c r="S118" s="64">
        <f>T118-R118</f>
        <v>132</v>
      </c>
      <c r="T118" s="149">
        <v>216</v>
      </c>
      <c r="U118" s="64">
        <f>V118-T118</f>
        <v>140</v>
      </c>
      <c r="V118" s="149">
        <v>356</v>
      </c>
      <c r="W118" s="64">
        <f>Y118-V118</f>
        <v>555</v>
      </c>
      <c r="X118" s="64">
        <f>Y118-T118</f>
        <v>695</v>
      </c>
      <c r="Y118" s="149">
        <v>911</v>
      </c>
      <c r="Z118" s="387">
        <v>85</v>
      </c>
      <c r="AA118" s="64">
        <f>AB118-Z118</f>
        <v>138</v>
      </c>
      <c r="AB118" s="149">
        <v>223</v>
      </c>
      <c r="AC118" s="149">
        <v>147</v>
      </c>
      <c r="AD118" s="64">
        <f>SUM(AB118:AC118)</f>
        <v>370</v>
      </c>
      <c r="AE118" s="64">
        <f>AG118-AD118</f>
        <v>550</v>
      </c>
      <c r="AF118" s="64">
        <f>AG118-AB118</f>
        <v>697</v>
      </c>
      <c r="AG118" s="64">
        <f>'Income Statement'!J29</f>
        <v>920</v>
      </c>
      <c r="AH118" s="387">
        <v>90</v>
      </c>
      <c r="AI118" s="149">
        <v>177</v>
      </c>
      <c r="AJ118" s="64">
        <f>AH118+AI118</f>
        <v>267</v>
      </c>
      <c r="AK118" s="64">
        <f>AL118-AJ118</f>
        <v>164</v>
      </c>
      <c r="AL118" s="149">
        <v>431</v>
      </c>
      <c r="AM118" s="64">
        <f>AO118-AL118</f>
        <v>620</v>
      </c>
      <c r="AN118" s="64">
        <f>AO118-AJ118</f>
        <v>784</v>
      </c>
      <c r="AO118" s="64">
        <f>'Income Statement'!K29</f>
        <v>1051</v>
      </c>
      <c r="AP118" s="387">
        <v>109</v>
      </c>
      <c r="AQ118" s="149">
        <v>216</v>
      </c>
      <c r="AR118" s="64">
        <f>AP118+AQ118</f>
        <v>325</v>
      </c>
      <c r="AS118" s="103">
        <f>AT118-AR118</f>
        <v>115</v>
      </c>
      <c r="AT118" s="149">
        <v>440</v>
      </c>
      <c r="AU118" s="103">
        <f>AW118-AT118</f>
        <v>562</v>
      </c>
      <c r="AV118" s="64">
        <f>AW118-AR118</f>
        <v>677</v>
      </c>
      <c r="AW118" s="149">
        <v>1002</v>
      </c>
      <c r="AX118" s="377">
        <v>63</v>
      </c>
      <c r="AY118" s="150">
        <v>185</v>
      </c>
      <c r="AZ118" s="64">
        <f>SUM(AX118:AY118)</f>
        <v>248</v>
      </c>
      <c r="BA118" s="150">
        <v>109</v>
      </c>
      <c r="BB118" s="103">
        <f>AZ118+BA118</f>
        <v>357</v>
      </c>
      <c r="BC118" s="103">
        <f>BE118-BB118</f>
        <v>515</v>
      </c>
      <c r="BD118" s="103">
        <f>BE118-AZ118</f>
        <v>624</v>
      </c>
      <c r="BE118" s="149">
        <v>872</v>
      </c>
      <c r="BF118" s="377">
        <v>118</v>
      </c>
      <c r="BG118" s="103">
        <f t="shared" si="369"/>
        <v>180</v>
      </c>
      <c r="BH118" s="149">
        <v>298</v>
      </c>
      <c r="BI118" s="150">
        <v>99</v>
      </c>
      <c r="BJ118" s="150">
        <v>343</v>
      </c>
      <c r="BK118" s="103">
        <f>BL118-BI118</f>
        <v>418</v>
      </c>
      <c r="BL118" s="103">
        <f>BM118-BH118</f>
        <v>517</v>
      </c>
      <c r="BM118" s="149">
        <v>815</v>
      </c>
      <c r="BN118" s="377">
        <v>112</v>
      </c>
      <c r="BO118" s="123">
        <f>BP118-BN118</f>
        <v>197</v>
      </c>
      <c r="BP118" s="150">
        <v>309</v>
      </c>
      <c r="BQ118" s="149">
        <v>100</v>
      </c>
      <c r="BR118" s="125">
        <f>BQ118+BP118</f>
        <v>409</v>
      </c>
      <c r="BS118" s="125">
        <f>BU118-BR118</f>
        <v>526</v>
      </c>
      <c r="BT118" s="125">
        <f>BS118+BQ118</f>
        <v>626</v>
      </c>
      <c r="BU118" s="149">
        <v>935</v>
      </c>
      <c r="BV118" s="377">
        <v>101</v>
      </c>
      <c r="BW118" s="150">
        <v>132</v>
      </c>
      <c r="BX118" s="125">
        <f>BW118+BV118</f>
        <v>233</v>
      </c>
      <c r="BY118" s="150">
        <v>122</v>
      </c>
      <c r="BZ118" s="103">
        <f>BY118+BX118</f>
        <v>355</v>
      </c>
      <c r="CA118" s="103">
        <f>CC118-BZ118</f>
        <v>210</v>
      </c>
      <c r="CB118" s="103">
        <f>CA118+BY118</f>
        <v>332</v>
      </c>
      <c r="CC118" s="149">
        <v>565</v>
      </c>
      <c r="CD118" s="377">
        <v>15</v>
      </c>
      <c r="CE118" s="150">
        <v>171</v>
      </c>
      <c r="CF118" s="103">
        <f>CE118+CD118</f>
        <v>186</v>
      </c>
      <c r="CG118" s="150">
        <v>80</v>
      </c>
      <c r="CH118" s="103">
        <f>CG118+CF118</f>
        <v>266</v>
      </c>
      <c r="CI118" s="103">
        <f>CK118-CH118</f>
        <v>394</v>
      </c>
      <c r="CJ118" s="103">
        <f>CI118+CG118</f>
        <v>474</v>
      </c>
      <c r="CK118" s="149">
        <v>660</v>
      </c>
      <c r="CL118" s="377">
        <v>59</v>
      </c>
      <c r="CM118" s="150">
        <v>170</v>
      </c>
      <c r="CN118" s="103">
        <f>CL118+CM118</f>
        <v>229</v>
      </c>
      <c r="CO118" s="150">
        <v>55</v>
      </c>
      <c r="CP118" s="103">
        <f>CO118+CN118</f>
        <v>284</v>
      </c>
      <c r="CQ118" s="103">
        <f>CS118-CP118</f>
        <v>412</v>
      </c>
      <c r="CR118" s="103">
        <f>CQ118+CO118</f>
        <v>467</v>
      </c>
      <c r="CS118" s="149">
        <v>696</v>
      </c>
      <c r="CT118" s="377">
        <v>106</v>
      </c>
      <c r="CU118" s="149">
        <v>49</v>
      </c>
      <c r="CV118" s="103">
        <f>CU118+CT118</f>
        <v>155</v>
      </c>
      <c r="CW118" s="149">
        <v>76</v>
      </c>
      <c r="CX118" s="103">
        <f>CW118+CV118</f>
        <v>231</v>
      </c>
      <c r="CY118" s="123">
        <f>DA118-CW118-CU118-CT118</f>
        <v>153</v>
      </c>
      <c r="CZ118" s="103">
        <f>CY118+CW118</f>
        <v>229</v>
      </c>
      <c r="DA118" s="149">
        <v>384</v>
      </c>
      <c r="DB118" s="377">
        <v>36</v>
      </c>
      <c r="DC118" s="149">
        <v>42</v>
      </c>
      <c r="DD118" s="103">
        <f>DC118+DB118</f>
        <v>78</v>
      </c>
      <c r="DE118" s="149">
        <v>-79</v>
      </c>
      <c r="DF118" s="103">
        <f>DE118+DD118</f>
        <v>-1</v>
      </c>
      <c r="DG118" s="123">
        <f>DI118-DE118-DC118-DB118</f>
        <v>230</v>
      </c>
      <c r="DH118" s="103">
        <f>DG118+DE118</f>
        <v>151</v>
      </c>
      <c r="DI118" s="149">
        <v>229</v>
      </c>
      <c r="DJ118" s="377">
        <v>-9</v>
      </c>
      <c r="DK118" s="149">
        <v>-798</v>
      </c>
      <c r="DL118" s="103">
        <f>DK118+DJ118</f>
        <v>-807</v>
      </c>
      <c r="DM118" s="149">
        <v>146</v>
      </c>
      <c r="DN118" s="103">
        <f>DM118+DL118</f>
        <v>-661</v>
      </c>
      <c r="DO118" s="123">
        <f>DQ118-DM118-DK118-DJ118</f>
        <v>95</v>
      </c>
      <c r="DP118" s="103">
        <f>DO118+DM118</f>
        <v>241</v>
      </c>
      <c r="DQ118" s="149">
        <v>-566</v>
      </c>
      <c r="DR118" s="377">
        <v>77</v>
      </c>
      <c r="DS118" s="149">
        <f t="shared" si="370"/>
        <v>188</v>
      </c>
      <c r="DT118" s="103">
        <v>265</v>
      </c>
      <c r="DU118" s="149">
        <v>155</v>
      </c>
      <c r="DV118" s="103">
        <f t="shared" si="371"/>
        <v>420</v>
      </c>
      <c r="DW118" s="125">
        <f t="shared" si="367"/>
        <v>378</v>
      </c>
      <c r="DX118" s="103">
        <f t="shared" si="372"/>
        <v>533</v>
      </c>
      <c r="DY118" s="495">
        <f>INDEX('Income Statement'!29:29, MATCH(Interims!$DY$1,'Income Statement'!$2:$2,0))</f>
        <v>798</v>
      </c>
      <c r="DZ118" s="377">
        <v>130</v>
      </c>
      <c r="EA118" s="149">
        <v>357</v>
      </c>
      <c r="EB118" s="103">
        <f t="shared" si="373"/>
        <v>487</v>
      </c>
      <c r="EC118" s="123">
        <f t="shared" si="374"/>
        <v>180.73876701754386</v>
      </c>
      <c r="ED118" s="103">
        <f t="shared" si="375"/>
        <v>667.73876701754386</v>
      </c>
      <c r="EE118" s="123">
        <f t="shared" si="368"/>
        <v>262.77436898245628</v>
      </c>
      <c r="EF118" s="103">
        <f t="shared" si="376"/>
        <v>443.51313600000015</v>
      </c>
      <c r="EG118" s="480">
        <f>INDEX('Income Statement'!29:29, MATCH(Interims!$EG$1,'Income Statement'!$2:$2,0))</f>
        <v>930.51313600000015</v>
      </c>
      <c r="EH118" s="611"/>
      <c r="EI118" s="16"/>
    </row>
    <row r="119" spans="1:141">
      <c r="A119" s="107" t="s">
        <v>388</v>
      </c>
      <c r="B119" s="42"/>
      <c r="J119" s="369"/>
      <c r="R119" s="387">
        <v>22</v>
      </c>
      <c r="S119" s="64">
        <f>T119-R119</f>
        <v>17</v>
      </c>
      <c r="T119" s="149">
        <v>39</v>
      </c>
      <c r="U119" s="64">
        <f>V119-T119</f>
        <v>29</v>
      </c>
      <c r="V119" s="149">
        <v>68</v>
      </c>
      <c r="W119" s="64">
        <f>Y119-V119</f>
        <v>-20</v>
      </c>
      <c r="X119" s="64">
        <f>Y119-T119</f>
        <v>9</v>
      </c>
      <c r="Y119" s="149">
        <v>48</v>
      </c>
      <c r="Z119" s="387">
        <v>30</v>
      </c>
      <c r="AA119" s="64">
        <f>AB119-Z119</f>
        <v>79</v>
      </c>
      <c r="AB119" s="149">
        <v>109</v>
      </c>
      <c r="AC119" s="149">
        <v>90</v>
      </c>
      <c r="AD119" s="64">
        <f>SUM(AB119:AC119)</f>
        <v>199</v>
      </c>
      <c r="AE119" s="64">
        <f>AG119-AD119</f>
        <v>5</v>
      </c>
      <c r="AF119" s="64">
        <f>AG119-AB119</f>
        <v>95</v>
      </c>
      <c r="AG119" s="64">
        <f>'Income Statement'!J30</f>
        <v>204</v>
      </c>
      <c r="AH119" s="387">
        <v>-60</v>
      </c>
      <c r="AI119" s="149">
        <v>-19</v>
      </c>
      <c r="AJ119" s="64">
        <f>AH119+AI119</f>
        <v>-79</v>
      </c>
      <c r="AK119" s="64">
        <f>AL119-AJ119</f>
        <v>-15</v>
      </c>
      <c r="AL119" s="149">
        <v>-94</v>
      </c>
      <c r="AM119" s="64">
        <f>AO119-AL119</f>
        <v>-42</v>
      </c>
      <c r="AN119" s="64">
        <f>AO119-AJ119</f>
        <v>-57</v>
      </c>
      <c r="AO119" s="64">
        <f>'Income Statement'!K30</f>
        <v>-136</v>
      </c>
      <c r="AP119" s="387">
        <v>-48</v>
      </c>
      <c r="AQ119" s="149">
        <v>-7</v>
      </c>
      <c r="AR119" s="64">
        <f>AP119+AQ119</f>
        <v>-55</v>
      </c>
      <c r="AS119" s="103">
        <f>AT119-AR119</f>
        <v>-8</v>
      </c>
      <c r="AT119" s="64">
        <f>AT120-SUM(AT116:AT118)</f>
        <v>-63</v>
      </c>
      <c r="AU119" s="103">
        <f>AW119-AT119</f>
        <v>-145</v>
      </c>
      <c r="AV119" s="64">
        <f>AW119-AR119</f>
        <v>-153</v>
      </c>
      <c r="AW119" s="149">
        <v>-208</v>
      </c>
      <c r="AX119" s="387">
        <v>-102</v>
      </c>
      <c r="AY119" s="151">
        <v>-94</v>
      </c>
      <c r="AZ119" s="64">
        <f>AY119+AX119</f>
        <v>-196</v>
      </c>
      <c r="BA119" s="151">
        <v>-75</v>
      </c>
      <c r="BB119" s="64">
        <f>BA119+AZ119</f>
        <v>-271</v>
      </c>
      <c r="BC119" s="110">
        <f>BE119-BB119</f>
        <v>-239</v>
      </c>
      <c r="BD119" s="64">
        <f>BE119-AZ119</f>
        <v>-314</v>
      </c>
      <c r="BE119" s="149">
        <v>-510</v>
      </c>
      <c r="BF119" s="387">
        <v>-28</v>
      </c>
      <c r="BG119" s="110">
        <f t="shared" si="369"/>
        <v>-54</v>
      </c>
      <c r="BH119" s="149">
        <v>-82</v>
      </c>
      <c r="BI119" s="110">
        <f t="shared" si="369"/>
        <v>-74</v>
      </c>
      <c r="BJ119" s="149">
        <v>-156</v>
      </c>
      <c r="BK119" s="110">
        <f>BL119-BI119</f>
        <v>-99</v>
      </c>
      <c r="BL119" s="64">
        <f>BM119-BH119</f>
        <v>-173</v>
      </c>
      <c r="BM119" s="149">
        <v>-255</v>
      </c>
      <c r="BN119" s="387">
        <v>-54</v>
      </c>
      <c r="BO119" s="123">
        <f>BP119-BN119</f>
        <v>-95</v>
      </c>
      <c r="BP119" s="149">
        <v>-149</v>
      </c>
      <c r="BQ119" s="149">
        <v>-64</v>
      </c>
      <c r="BR119" s="123">
        <f>BQ119+BP119</f>
        <v>-213</v>
      </c>
      <c r="BS119" s="126">
        <f>BU119-BR119</f>
        <v>-76</v>
      </c>
      <c r="BT119" s="123">
        <f>BS119+BQ119</f>
        <v>-140</v>
      </c>
      <c r="BU119" s="149">
        <v>-289</v>
      </c>
      <c r="BV119" s="387">
        <v>-103</v>
      </c>
      <c r="BW119" s="151">
        <v>-64</v>
      </c>
      <c r="BX119" s="123">
        <f>BW119+BV119</f>
        <v>-167</v>
      </c>
      <c r="BY119" s="151">
        <v>-93</v>
      </c>
      <c r="BZ119" s="64">
        <f>BY119+BX119</f>
        <v>-260</v>
      </c>
      <c r="CA119" s="110">
        <f>CC119-BZ119</f>
        <v>-139</v>
      </c>
      <c r="CB119" s="64">
        <f>CA119+BY119</f>
        <v>-232</v>
      </c>
      <c r="CC119" s="64">
        <f>'Income Statement'!O30</f>
        <v>-399</v>
      </c>
      <c r="CD119" s="387">
        <v>22</v>
      </c>
      <c r="CE119" s="151">
        <v>2</v>
      </c>
      <c r="CF119" s="64">
        <f>CE119+CD119</f>
        <v>24</v>
      </c>
      <c r="CG119" s="151">
        <v>-12</v>
      </c>
      <c r="CH119" s="64">
        <f>CG119+CF119</f>
        <v>12</v>
      </c>
      <c r="CI119" s="110">
        <f>CK119-CH119</f>
        <v>-55</v>
      </c>
      <c r="CJ119" s="64">
        <f>CI119+CG119</f>
        <v>-67</v>
      </c>
      <c r="CK119" s="149">
        <v>-43</v>
      </c>
      <c r="CL119" s="387">
        <v>40</v>
      </c>
      <c r="CM119" s="149">
        <v>-40</v>
      </c>
      <c r="CN119" s="64">
        <f>CL119+CM119</f>
        <v>0</v>
      </c>
      <c r="CO119" s="149">
        <v>32</v>
      </c>
      <c r="CP119" s="64">
        <f>CO119+CN119</f>
        <v>32</v>
      </c>
      <c r="CQ119" s="64">
        <f>CS119-CP119</f>
        <v>32</v>
      </c>
      <c r="CR119" s="64">
        <f>CQ119+CO119</f>
        <v>64</v>
      </c>
      <c r="CS119" s="149">
        <v>64</v>
      </c>
      <c r="CT119" s="387">
        <v>2</v>
      </c>
      <c r="CU119" s="151">
        <v>-3</v>
      </c>
      <c r="CV119" s="110">
        <f>CU119+CT119</f>
        <v>-1</v>
      </c>
      <c r="CW119" s="151">
        <v>-4</v>
      </c>
      <c r="CX119" s="64">
        <f>CW119+CV119</f>
        <v>-5</v>
      </c>
      <c r="CY119" s="123">
        <f>DA119-CW119-CU119-CT119</f>
        <v>9</v>
      </c>
      <c r="CZ119" s="64">
        <f>CY119+CW119</f>
        <v>5</v>
      </c>
      <c r="DA119" s="149">
        <v>4</v>
      </c>
      <c r="DB119" s="387">
        <v>1</v>
      </c>
      <c r="DC119" s="151">
        <v>9</v>
      </c>
      <c r="DD119" s="110">
        <f>DC119+DB119</f>
        <v>10</v>
      </c>
      <c r="DE119" s="151">
        <v>-11</v>
      </c>
      <c r="DF119" s="64">
        <f>DE119+DD119</f>
        <v>-1</v>
      </c>
      <c r="DG119" s="123">
        <f>DI119-DE119-DC119-DB119</f>
        <v>57</v>
      </c>
      <c r="DH119" s="64">
        <f>DG119+DE119</f>
        <v>46</v>
      </c>
      <c r="DI119" s="149">
        <v>56</v>
      </c>
      <c r="DJ119" s="387">
        <v>8</v>
      </c>
      <c r="DK119" s="151">
        <v>6</v>
      </c>
      <c r="DL119" s="110">
        <f>DK119+DJ119</f>
        <v>14</v>
      </c>
      <c r="DM119" s="151">
        <v>-3</v>
      </c>
      <c r="DN119" s="64">
        <f>DM119+DL119</f>
        <v>11</v>
      </c>
      <c r="DO119" s="123">
        <f>DQ119-DM119-DK119-DJ119</f>
        <v>-2</v>
      </c>
      <c r="DP119" s="64">
        <f>DO119+DM119</f>
        <v>-5</v>
      </c>
      <c r="DQ119" s="149">
        <v>9</v>
      </c>
      <c r="DR119" s="387">
        <v>-25</v>
      </c>
      <c r="DS119" s="149">
        <f t="shared" si="370"/>
        <v>1</v>
      </c>
      <c r="DT119" s="110">
        <v>-24</v>
      </c>
      <c r="DU119" s="151">
        <v>-15</v>
      </c>
      <c r="DV119" s="103">
        <f t="shared" si="371"/>
        <v>-39</v>
      </c>
      <c r="DW119" s="125">
        <f t="shared" si="367"/>
        <v>-26</v>
      </c>
      <c r="DX119" s="103">
        <f t="shared" si="372"/>
        <v>-41</v>
      </c>
      <c r="DY119" s="495">
        <f>INDEX('Income Statement'!30:30, MATCH(Interims!$DY$1,'Income Statement'!$2:$2,0))</f>
        <v>-65</v>
      </c>
      <c r="DZ119" s="387">
        <v>24</v>
      </c>
      <c r="EA119" s="149">
        <v>-11</v>
      </c>
      <c r="EB119" s="110">
        <f t="shared" si="373"/>
        <v>13</v>
      </c>
      <c r="EC119" s="126">
        <f t="shared" si="374"/>
        <v>-15</v>
      </c>
      <c r="ED119" s="64">
        <f t="shared" si="375"/>
        <v>-2</v>
      </c>
      <c r="EE119" s="123">
        <f t="shared" si="368"/>
        <v>-63</v>
      </c>
      <c r="EF119" s="64">
        <f t="shared" si="376"/>
        <v>-78</v>
      </c>
      <c r="EG119" s="480">
        <f>INDEX('Income Statement'!30:30, MATCH(Interims!$EG$1,'Income Statement'!$2:$2,0))</f>
        <v>-65</v>
      </c>
      <c r="EH119" s="611"/>
      <c r="EI119" s="16"/>
    </row>
    <row r="120" spans="1:141">
      <c r="A120" s="37" t="s">
        <v>225</v>
      </c>
      <c r="B120" s="91"/>
      <c r="C120" s="68"/>
      <c r="D120" s="68"/>
      <c r="E120" s="68"/>
      <c r="F120" s="68"/>
      <c r="G120" s="68"/>
      <c r="H120" s="68"/>
      <c r="I120" s="68"/>
      <c r="J120" s="468"/>
      <c r="K120" s="68"/>
      <c r="L120" s="68"/>
      <c r="M120" s="68"/>
      <c r="N120" s="68"/>
      <c r="O120" s="68"/>
      <c r="P120" s="68"/>
      <c r="Q120" s="68"/>
      <c r="R120" s="388">
        <f>SUM(R116:R119)</f>
        <v>734</v>
      </c>
      <c r="S120" s="67">
        <f>T120-R120</f>
        <v>880</v>
      </c>
      <c r="T120" s="67">
        <f>SUM(T116:T119)</f>
        <v>1614</v>
      </c>
      <c r="U120" s="67">
        <f>V120-T120</f>
        <v>739</v>
      </c>
      <c r="V120" s="67">
        <f>SUM(V116:V119)</f>
        <v>2353</v>
      </c>
      <c r="W120" s="67">
        <f>Y120-V120</f>
        <v>1217</v>
      </c>
      <c r="X120" s="67">
        <f>Y120-T120</f>
        <v>1956</v>
      </c>
      <c r="Y120" s="67">
        <f>SUM(Y116:Y119)</f>
        <v>3570</v>
      </c>
      <c r="Z120" s="388">
        <f>SUM(Z116:Z119)</f>
        <v>700</v>
      </c>
      <c r="AA120" s="67">
        <f>AB120-Z120</f>
        <v>1069</v>
      </c>
      <c r="AB120" s="67">
        <f t="shared" ref="AB120:AG120" si="377">SUM(AB116:AB119)</f>
        <v>1769</v>
      </c>
      <c r="AC120" s="67">
        <f t="shared" si="377"/>
        <v>821</v>
      </c>
      <c r="AD120" s="67">
        <f>SUM(AB120:AC120)</f>
        <v>2590</v>
      </c>
      <c r="AE120" s="67">
        <f>AG120-AD120</f>
        <v>1476</v>
      </c>
      <c r="AF120" s="67">
        <f>AG120-AB120</f>
        <v>2297</v>
      </c>
      <c r="AG120" s="67">
        <f t="shared" si="377"/>
        <v>4066</v>
      </c>
      <c r="AH120" s="388">
        <f>AH140</f>
        <v>651</v>
      </c>
      <c r="AI120" s="67">
        <f>AJ120-AH120</f>
        <v>1232</v>
      </c>
      <c r="AJ120" s="67">
        <f>SUM(AJ116:AJ119)</f>
        <v>1883</v>
      </c>
      <c r="AK120" s="67">
        <f>SUM(AK116:AK119)</f>
        <v>921</v>
      </c>
      <c r="AL120" s="67">
        <f>SUM(AL116:AL119)</f>
        <v>2804</v>
      </c>
      <c r="AM120" s="67">
        <f>AO120-AL120</f>
        <v>1304</v>
      </c>
      <c r="AN120" s="67">
        <f>AO120-AJ120</f>
        <v>2225</v>
      </c>
      <c r="AO120" s="67">
        <f>SUM(AO116:AO119)</f>
        <v>4108</v>
      </c>
      <c r="AP120" s="457">
        <v>501</v>
      </c>
      <c r="AQ120" s="153">
        <v>1183</v>
      </c>
      <c r="AR120" s="67">
        <f>AP120+AQ120</f>
        <v>1684</v>
      </c>
      <c r="AS120" s="67">
        <f>AT120-AR120</f>
        <v>731</v>
      </c>
      <c r="AT120" s="153">
        <v>2415</v>
      </c>
      <c r="AU120" s="67">
        <f>AW120-AT120</f>
        <v>1540</v>
      </c>
      <c r="AV120" s="67">
        <f>AW120-AR120</f>
        <v>2271</v>
      </c>
      <c r="AW120" s="67">
        <f>SUM(AW116:AW119)</f>
        <v>3955</v>
      </c>
      <c r="AX120" s="457">
        <v>240</v>
      </c>
      <c r="AY120" s="67">
        <f>SUM(AY116:AY119)</f>
        <v>859</v>
      </c>
      <c r="AZ120" s="67">
        <f>AX120+AY120</f>
        <v>1099</v>
      </c>
      <c r="BA120" s="67">
        <f>SUM(BA116:BA119)</f>
        <v>697</v>
      </c>
      <c r="BB120" s="67">
        <f>BA120+AZ120</f>
        <v>1796</v>
      </c>
      <c r="BC120" s="67">
        <f>BE120-BB120</f>
        <v>2457</v>
      </c>
      <c r="BD120" s="67">
        <f>BA120+BC120</f>
        <v>3154</v>
      </c>
      <c r="BE120" s="67">
        <f>SUM(BE116:BE119)</f>
        <v>4253</v>
      </c>
      <c r="BF120" s="388">
        <f>SUM(BF116:BF119)</f>
        <v>-19</v>
      </c>
      <c r="BG120" s="119">
        <f t="shared" ref="BG120:BM120" si="378">SUM(BG116:BG119)</f>
        <v>572</v>
      </c>
      <c r="BH120" s="119">
        <f t="shared" si="378"/>
        <v>553</v>
      </c>
      <c r="BI120" s="119">
        <f t="shared" si="378"/>
        <v>655</v>
      </c>
      <c r="BJ120" s="119">
        <f t="shared" si="378"/>
        <v>1154</v>
      </c>
      <c r="BK120" s="119">
        <f t="shared" si="378"/>
        <v>1982</v>
      </c>
      <c r="BL120" s="119">
        <f t="shared" si="378"/>
        <v>2637</v>
      </c>
      <c r="BM120" s="67">
        <f t="shared" si="378"/>
        <v>3190</v>
      </c>
      <c r="BN120" s="384">
        <f>SUM(BN116:BN119)</f>
        <v>14</v>
      </c>
      <c r="BO120" s="127">
        <f>SUM(BO116:BO119)</f>
        <v>1148</v>
      </c>
      <c r="BP120" s="127">
        <f>BN120+BO120</f>
        <v>1162</v>
      </c>
      <c r="BQ120" s="127">
        <f>SUM(BQ116:BQ119)</f>
        <v>1576</v>
      </c>
      <c r="BR120" s="127">
        <f>BQ120+BP120</f>
        <v>2738</v>
      </c>
      <c r="BS120" s="127">
        <f>BU120-BR120</f>
        <v>3096</v>
      </c>
      <c r="BT120" s="127">
        <f>BS120+BQ120</f>
        <v>4672</v>
      </c>
      <c r="BU120" s="127">
        <f>SUM(BU116:BU119)</f>
        <v>5834</v>
      </c>
      <c r="BV120" s="388">
        <f>SUM(BV116:BV119)</f>
        <v>549</v>
      </c>
      <c r="BW120" s="127">
        <f>SUM(BW116:BW119)</f>
        <v>1980</v>
      </c>
      <c r="BX120" s="127">
        <f>BV120+BW120</f>
        <v>2529</v>
      </c>
      <c r="BY120" s="67">
        <f>SUM(BY116:BY119)</f>
        <v>1604</v>
      </c>
      <c r="BZ120" s="67">
        <f>BY120+BX120</f>
        <v>4133</v>
      </c>
      <c r="CA120" s="67">
        <f>CC120-BZ120</f>
        <v>2813</v>
      </c>
      <c r="CB120" s="67">
        <f>CA120+BY120</f>
        <v>4417</v>
      </c>
      <c r="CC120" s="67">
        <f>SUM(CC116:CC119)</f>
        <v>6946</v>
      </c>
      <c r="CD120" s="388">
        <f>SUM(CD116:CD119)</f>
        <v>281</v>
      </c>
      <c r="CE120" s="153">
        <v>-1226</v>
      </c>
      <c r="CF120" s="67">
        <f>CD120+CE120</f>
        <v>-945</v>
      </c>
      <c r="CG120" s="67">
        <f>SUM(CG116:CG119)</f>
        <v>820</v>
      </c>
      <c r="CH120" s="67">
        <f>CG120+CF120</f>
        <v>-125</v>
      </c>
      <c r="CI120" s="67">
        <f>CK120-CH120</f>
        <v>1831</v>
      </c>
      <c r="CJ120" s="67">
        <f>CI120+CG120</f>
        <v>2651</v>
      </c>
      <c r="CK120" s="67">
        <f>SUM(CK116:CK119)</f>
        <v>1706</v>
      </c>
      <c r="CL120" s="388">
        <f>SUM(CL116:CL119)</f>
        <v>694</v>
      </c>
      <c r="CM120" s="67">
        <f>SUM(CM116:CM119)</f>
        <v>2009</v>
      </c>
      <c r="CN120" s="119">
        <f>CL120+CM120</f>
        <v>2703</v>
      </c>
      <c r="CO120" s="119">
        <f t="shared" ref="CO120:CT120" si="379">SUM(CO116:CO119)</f>
        <v>666</v>
      </c>
      <c r="CP120" s="119">
        <f t="shared" si="379"/>
        <v>3369</v>
      </c>
      <c r="CQ120" s="119">
        <f t="shared" si="379"/>
        <v>1496</v>
      </c>
      <c r="CR120" s="119">
        <f t="shared" si="379"/>
        <v>2162</v>
      </c>
      <c r="CS120" s="67">
        <f t="shared" si="379"/>
        <v>4865</v>
      </c>
      <c r="CT120" s="388">
        <f t="shared" si="379"/>
        <v>1263</v>
      </c>
      <c r="CU120" s="119">
        <f t="shared" ref="CU120:DA120" si="380">SUM(CU116:CU119)</f>
        <v>1382</v>
      </c>
      <c r="CV120" s="119">
        <f t="shared" si="380"/>
        <v>2645</v>
      </c>
      <c r="CW120" s="119">
        <f>SUM(CW116:CW119)</f>
        <v>836</v>
      </c>
      <c r="CX120" s="119">
        <f t="shared" si="380"/>
        <v>3481</v>
      </c>
      <c r="CY120" s="315">
        <f t="shared" si="380"/>
        <v>2146</v>
      </c>
      <c r="CZ120" s="119">
        <f t="shared" si="380"/>
        <v>2982</v>
      </c>
      <c r="DA120" s="67">
        <f t="shared" si="380"/>
        <v>5627</v>
      </c>
      <c r="DB120" s="388">
        <f t="shared" ref="DB120:DR120" si="381">SUM(DB116:DB119)</f>
        <v>773</v>
      </c>
      <c r="DC120" s="119">
        <f t="shared" si="381"/>
        <v>1845</v>
      </c>
      <c r="DD120" s="119">
        <f t="shared" si="381"/>
        <v>2618</v>
      </c>
      <c r="DE120" s="119">
        <f t="shared" si="381"/>
        <v>1013</v>
      </c>
      <c r="DF120" s="119">
        <f t="shared" si="381"/>
        <v>3631</v>
      </c>
      <c r="DG120" s="315">
        <f t="shared" si="381"/>
        <v>2207</v>
      </c>
      <c r="DH120" s="119">
        <f t="shared" si="381"/>
        <v>3220</v>
      </c>
      <c r="DI120" s="67">
        <f t="shared" si="381"/>
        <v>5838</v>
      </c>
      <c r="DJ120" s="388">
        <f>SUM(DJ116:DJ119)</f>
        <v>577</v>
      </c>
      <c r="DK120" s="119">
        <f t="shared" si="381"/>
        <v>814</v>
      </c>
      <c r="DL120" s="119">
        <f t="shared" si="381"/>
        <v>1391</v>
      </c>
      <c r="DM120" s="119">
        <f t="shared" si="381"/>
        <v>1407</v>
      </c>
      <c r="DN120" s="119">
        <f t="shared" si="381"/>
        <v>2798</v>
      </c>
      <c r="DO120" s="315">
        <f t="shared" si="381"/>
        <v>2556</v>
      </c>
      <c r="DP120" s="119">
        <f t="shared" si="381"/>
        <v>3963</v>
      </c>
      <c r="DQ120" s="67">
        <f t="shared" si="381"/>
        <v>5354</v>
      </c>
      <c r="DR120" s="388">
        <f t="shared" si="381"/>
        <v>624</v>
      </c>
      <c r="DS120" s="119">
        <f>SUM(DS116:DS119)</f>
        <v>1580</v>
      </c>
      <c r="DT120" s="119">
        <f>SUM(DT116:DT119)</f>
        <v>2204</v>
      </c>
      <c r="DU120" s="793">
        <f t="shared" ref="DU120:DX120" si="382">SUM(DU116:DU119)</f>
        <v>1942</v>
      </c>
      <c r="DV120" s="119">
        <f t="shared" si="382"/>
        <v>4146</v>
      </c>
      <c r="DW120" s="877">
        <f t="shared" si="382"/>
        <v>2982</v>
      </c>
      <c r="DX120" s="119">
        <f t="shared" si="382"/>
        <v>4924</v>
      </c>
      <c r="DY120" s="793">
        <f t="shared" ref="DY120" si="383">SUM(DY116:DY119)</f>
        <v>7128</v>
      </c>
      <c r="DZ120" s="388">
        <f>SUM(DZ116:DZ119)</f>
        <v>300</v>
      </c>
      <c r="EA120" s="119">
        <f>SUM(EA116:EA119)</f>
        <v>2427</v>
      </c>
      <c r="EB120" s="119">
        <f>SUM(EB116:EB119)</f>
        <v>2727</v>
      </c>
      <c r="EC120" s="119">
        <f t="shared" ref="EC120:EG120" si="384">SUM(EC116:EC119)</f>
        <v>2066.7082792765523</v>
      </c>
      <c r="ED120" s="119">
        <f t="shared" si="384"/>
        <v>4793.7082792765523</v>
      </c>
      <c r="EE120" s="315">
        <f t="shared" si="384"/>
        <v>2818.9140508641949</v>
      </c>
      <c r="EF120" s="119">
        <f t="shared" si="384"/>
        <v>4885.6223301407481</v>
      </c>
      <c r="EG120" s="738">
        <f t="shared" si="384"/>
        <v>7612.6223301407481</v>
      </c>
      <c r="EH120" s="611"/>
      <c r="EI120" s="16"/>
    </row>
    <row r="121" spans="1:141">
      <c r="B121" s="42"/>
      <c r="J121" s="369"/>
      <c r="R121" s="369"/>
      <c r="Z121" s="369"/>
      <c r="AH121" s="369"/>
      <c r="AP121" s="369"/>
      <c r="AQ121" s="43"/>
      <c r="AR121" s="43"/>
      <c r="AS121" s="43"/>
      <c r="AT121" s="43"/>
      <c r="AU121" s="43"/>
      <c r="AV121" s="43"/>
      <c r="AW121" s="43"/>
      <c r="AX121" s="369"/>
      <c r="AY121" s="43"/>
      <c r="AZ121" s="43"/>
      <c r="BA121" s="43"/>
      <c r="BB121" s="43"/>
      <c r="BC121" s="43"/>
      <c r="BD121" s="43"/>
      <c r="BE121" s="43"/>
      <c r="BF121" s="369"/>
      <c r="BG121" s="43"/>
      <c r="BH121" s="43"/>
      <c r="BI121" s="43"/>
      <c r="BJ121" s="43"/>
      <c r="BK121" s="43"/>
      <c r="BL121" s="43"/>
      <c r="BM121" s="43"/>
      <c r="BN121" s="408"/>
      <c r="BO121" s="122"/>
      <c r="BP121" s="122"/>
      <c r="BQ121" s="122"/>
      <c r="BR121" s="122"/>
      <c r="BS121" s="122"/>
      <c r="BT121" s="122"/>
      <c r="BU121" s="122"/>
      <c r="BV121" s="369"/>
      <c r="BW121" s="122"/>
      <c r="BX121" s="123"/>
      <c r="BY121" s="64"/>
      <c r="BZ121" s="43"/>
      <c r="CA121" s="43"/>
      <c r="CB121" s="43"/>
      <c r="CC121" s="43"/>
      <c r="CD121" s="369"/>
      <c r="CE121" s="43"/>
      <c r="CF121" s="43"/>
      <c r="CG121" s="43"/>
      <c r="CH121" s="43"/>
      <c r="CI121" s="43"/>
      <c r="CJ121" s="43"/>
      <c r="CK121" s="43"/>
      <c r="CL121" s="392"/>
      <c r="CM121" s="43"/>
      <c r="CN121" s="43"/>
      <c r="CO121" s="43"/>
      <c r="CP121" s="43"/>
      <c r="CQ121" s="64"/>
      <c r="CR121" s="43"/>
      <c r="CS121" s="43"/>
      <c r="CT121" s="369"/>
      <c r="CU121" s="43"/>
      <c r="CV121" s="43"/>
      <c r="CW121" s="43"/>
      <c r="CX121" s="43"/>
      <c r="CY121" s="122"/>
      <c r="CZ121" s="43"/>
      <c r="DA121" s="43"/>
      <c r="DB121" s="369"/>
      <c r="DC121" s="43"/>
      <c r="DD121" s="43"/>
      <c r="DE121" s="43"/>
      <c r="DF121" s="43"/>
      <c r="DG121" s="122"/>
      <c r="DH121" s="43"/>
      <c r="DI121" s="43"/>
      <c r="DJ121" s="369"/>
      <c r="DK121" s="43"/>
      <c r="DL121" s="43"/>
      <c r="DM121" s="43"/>
      <c r="DN121" s="43"/>
      <c r="DO121" s="122"/>
      <c r="DP121" s="43"/>
      <c r="DQ121" s="43"/>
      <c r="DR121" s="392">
        <f>DR116-DJ116</f>
        <v>-13</v>
      </c>
      <c r="DS121" s="43"/>
      <c r="DT121" s="43"/>
      <c r="DU121" s="43"/>
      <c r="DV121" s="43"/>
      <c r="DW121" s="122"/>
      <c r="DX121" s="43"/>
      <c r="DY121" s="43"/>
      <c r="DZ121" s="392"/>
      <c r="EA121" s="43"/>
      <c r="EB121" s="43"/>
      <c r="EC121" s="43"/>
      <c r="ED121" s="43"/>
      <c r="EE121" s="122"/>
      <c r="EF121" s="43"/>
      <c r="EG121" s="44"/>
      <c r="EH121" s="406"/>
    </row>
    <row r="122" spans="1:141">
      <c r="A122" s="12" t="s">
        <v>228</v>
      </c>
      <c r="B122" s="42"/>
      <c r="J122" s="369"/>
      <c r="R122" s="369"/>
      <c r="Z122" s="369"/>
      <c r="AH122" s="369"/>
      <c r="AP122" s="369"/>
      <c r="AQ122" s="43"/>
      <c r="AR122" s="43"/>
      <c r="AS122" s="43"/>
      <c r="AT122" s="43"/>
      <c r="AU122" s="43"/>
      <c r="AV122" s="64">
        <f>AT116+804</f>
        <v>2642</v>
      </c>
      <c r="AW122" s="64">
        <f>AW120-AW116+AV122-50</f>
        <v>3736</v>
      </c>
      <c r="AX122" s="393"/>
      <c r="AY122" s="43"/>
      <c r="AZ122" s="43"/>
      <c r="BA122" s="43"/>
      <c r="BB122" s="43"/>
      <c r="BC122" s="43"/>
      <c r="BD122" s="43"/>
      <c r="BE122" s="43"/>
      <c r="BF122" s="369"/>
      <c r="BG122" s="43"/>
      <c r="BH122" s="43"/>
      <c r="BI122" s="43"/>
      <c r="BJ122" s="43"/>
      <c r="BK122" s="43"/>
      <c r="BL122" s="43"/>
      <c r="BM122" s="43"/>
      <c r="BN122" s="445"/>
      <c r="BO122" s="122"/>
      <c r="BP122" s="122"/>
      <c r="BQ122" s="122"/>
      <c r="BR122" s="122"/>
      <c r="BS122" s="122"/>
      <c r="BT122" s="122"/>
      <c r="BU122" s="122"/>
      <c r="BV122" s="393"/>
      <c r="BW122" s="122"/>
      <c r="BX122" s="122"/>
      <c r="BY122" s="43"/>
      <c r="BZ122" s="43"/>
      <c r="CA122" s="43"/>
      <c r="CB122" s="43"/>
      <c r="CC122" s="64"/>
      <c r="CD122" s="393"/>
      <c r="CE122" s="43"/>
      <c r="CF122" s="43"/>
      <c r="CG122" s="43"/>
      <c r="CH122" s="43"/>
      <c r="CI122" s="43"/>
      <c r="CJ122" s="43"/>
      <c r="CK122" s="43"/>
      <c r="CL122" s="392"/>
      <c r="CM122" s="64"/>
      <c r="CN122" s="64"/>
      <c r="CO122" s="64"/>
      <c r="CP122" s="64"/>
      <c r="CQ122" s="43"/>
      <c r="CR122" s="64"/>
      <c r="CS122" s="43"/>
      <c r="CT122" s="392"/>
      <c r="CU122" s="64"/>
      <c r="CV122" s="64"/>
      <c r="CW122" s="64"/>
      <c r="CX122" s="64"/>
      <c r="CY122" s="123"/>
      <c r="CZ122" s="64"/>
      <c r="DA122" s="43"/>
      <c r="DB122" s="392"/>
      <c r="DC122" s="64"/>
      <c r="DD122" s="64"/>
      <c r="DE122" s="64"/>
      <c r="DF122" s="64"/>
      <c r="DG122" s="123"/>
      <c r="DH122" s="64"/>
      <c r="DI122" s="43"/>
      <c r="DJ122" s="392"/>
      <c r="DK122" s="64"/>
      <c r="DL122" s="64"/>
      <c r="DM122" s="64"/>
      <c r="DN122" s="64"/>
      <c r="DO122" s="123"/>
      <c r="DP122" s="64"/>
      <c r="DQ122" s="43"/>
      <c r="DR122" s="392"/>
      <c r="DS122" s="64"/>
      <c r="DT122" s="64"/>
      <c r="DU122" s="64"/>
      <c r="DV122" s="64"/>
      <c r="DW122" s="123"/>
      <c r="DX122" s="64"/>
      <c r="DY122" s="43"/>
      <c r="DZ122" s="392"/>
      <c r="EA122" s="64"/>
      <c r="EB122" s="64"/>
      <c r="EC122" s="64"/>
      <c r="ED122" s="64"/>
      <c r="EE122" s="123"/>
      <c r="EF122" s="64"/>
      <c r="EG122" s="44"/>
      <c r="EH122" s="406"/>
    </row>
    <row r="123" spans="1:141">
      <c r="A123" s="13" t="s">
        <v>14</v>
      </c>
      <c r="B123" s="42"/>
      <c r="J123" s="369"/>
      <c r="R123" s="393">
        <f t="shared" ref="R123:AW123" si="385">R116/R93</f>
        <v>6.9414316702819959E-2</v>
      </c>
      <c r="S123" s="95">
        <f t="shared" si="385"/>
        <v>6.6680937600342507E-2</v>
      </c>
      <c r="T123" s="95">
        <f t="shared" si="385"/>
        <v>6.8003535520936909E-2</v>
      </c>
      <c r="U123" s="95">
        <f t="shared" si="385"/>
        <v>0.18556254064600045</v>
      </c>
      <c r="V123" s="95">
        <f t="shared" si="385"/>
        <v>6.2646370023419204E-2</v>
      </c>
      <c r="W123" s="95">
        <f t="shared" si="385"/>
        <v>4.1262534933421011E-2</v>
      </c>
      <c r="X123" s="95">
        <f t="shared" si="385"/>
        <v>4.5951757666417355E-2</v>
      </c>
      <c r="Y123" s="95">
        <f t="shared" si="385"/>
        <v>5.6059148225046845E-2</v>
      </c>
      <c r="Z123" s="393">
        <f t="shared" si="385"/>
        <v>5.8968333892805189E-2</v>
      </c>
      <c r="AA123" s="95">
        <f t="shared" si="385"/>
        <v>7.243614182234083E-2</v>
      </c>
      <c r="AB123" s="95">
        <f t="shared" si="385"/>
        <v>6.6241185856194346E-2</v>
      </c>
      <c r="AC123" s="95">
        <f t="shared" si="385"/>
        <v>5.249707166435949E-2</v>
      </c>
      <c r="AD123" s="95">
        <f t="shared" si="385"/>
        <v>6.1762664816099933E-2</v>
      </c>
      <c r="AE123" s="95">
        <f t="shared" si="385"/>
        <v>5.5646359583952448E-2</v>
      </c>
      <c r="AF123" s="95">
        <f t="shared" si="385"/>
        <v>5.4352107128790864E-2</v>
      </c>
      <c r="AG123" s="95">
        <f t="shared" si="385"/>
        <v>5.9815515610217598E-2</v>
      </c>
      <c r="AH123" s="393">
        <f t="shared" si="385"/>
        <v>6.6433158201984824E-2</v>
      </c>
      <c r="AI123" s="95">
        <f t="shared" si="385"/>
        <v>7.7021412591882388E-2</v>
      </c>
      <c r="AJ123" s="95">
        <f t="shared" si="385"/>
        <v>7.271951045965562E-2</v>
      </c>
      <c r="AK123" s="95">
        <f t="shared" si="385"/>
        <v>6.903765690376569E-2</v>
      </c>
      <c r="AL123" s="95">
        <f t="shared" si="385"/>
        <v>7.1531861563674928E-2</v>
      </c>
      <c r="AM123" s="95">
        <f t="shared" si="385"/>
        <v>3.6647438072616223E-2</v>
      </c>
      <c r="AN123" s="95">
        <f t="shared" si="385"/>
        <v>4.9771929116376699E-2</v>
      </c>
      <c r="AO123" s="95">
        <f t="shared" si="385"/>
        <v>6.0321891219958998E-2</v>
      </c>
      <c r="AP123" s="393">
        <f t="shared" si="385"/>
        <v>4.6954314720812185E-2</v>
      </c>
      <c r="AQ123" s="95">
        <f t="shared" si="385"/>
        <v>6.9636084886629548E-2</v>
      </c>
      <c r="AR123" s="95">
        <f t="shared" si="385"/>
        <v>6.0301030340439675E-2</v>
      </c>
      <c r="AS123" s="95">
        <f t="shared" si="385"/>
        <v>5.4354066985645932E-2</v>
      </c>
      <c r="AT123" s="95">
        <f t="shared" si="385"/>
        <v>5.8328837548792485E-2</v>
      </c>
      <c r="AU123" s="95">
        <f t="shared" si="385"/>
        <v>5.4891120388130432E-2</v>
      </c>
      <c r="AV123" s="95">
        <f t="shared" si="385"/>
        <v>5.4691936399772857E-2</v>
      </c>
      <c r="AW123" s="95">
        <f t="shared" si="385"/>
        <v>5.7091211893494732E-2</v>
      </c>
      <c r="AX123" s="393">
        <f t="shared" ref="AX123:BD126" si="386">IFERROR(AX116/AX93,"")</f>
        <v>2.8600508905852418E-2</v>
      </c>
      <c r="AY123" s="95">
        <f t="shared" si="386"/>
        <v>5.6252089602139753E-2</v>
      </c>
      <c r="AZ123" s="95">
        <f t="shared" si="386"/>
        <v>4.378356051218505E-2</v>
      </c>
      <c r="BA123" s="95">
        <f t="shared" si="386"/>
        <v>5.4449972360420124E-2</v>
      </c>
      <c r="BB123" s="95">
        <f t="shared" si="386"/>
        <v>4.7330208620531201E-2</v>
      </c>
      <c r="BC123" s="95">
        <f t="shared" si="386"/>
        <v>0.10969150969150969</v>
      </c>
      <c r="BD123" s="95">
        <f t="shared" si="386"/>
        <v>8.9135726284754357E-2</v>
      </c>
      <c r="BE123" s="95">
        <f>BE116/BE93</f>
        <v>6.9743710506691786E-2</v>
      </c>
      <c r="BF123" s="393">
        <f t="shared" ref="BF123:BL126" si="387">IFERROR(BF116/BF93,"")</f>
        <v>-1.2613274553024736E-2</v>
      </c>
      <c r="BG123" s="95">
        <f t="shared" si="387"/>
        <v>3.5942492012779555E-2</v>
      </c>
      <c r="BH123" s="95">
        <f t="shared" si="387"/>
        <v>1.4134858651413486E-2</v>
      </c>
      <c r="BI123" s="95">
        <f t="shared" si="387"/>
        <v>5.8422900925827394E-2</v>
      </c>
      <c r="BJ123" s="95">
        <f t="shared" si="387"/>
        <v>2.9225135066536134E-2</v>
      </c>
      <c r="BK123" s="95">
        <f t="shared" si="387"/>
        <v>9.9138743949204758E-2</v>
      </c>
      <c r="BL123" s="95">
        <f t="shared" si="387"/>
        <v>8.4018337021814729E-2</v>
      </c>
      <c r="BM123" s="95">
        <f>BM116/BM93</f>
        <v>5.4799245734259303E-2</v>
      </c>
      <c r="BN123" s="445">
        <f t="shared" ref="BN123:BT126" si="388">IFERROR(BN116/BN93,"")</f>
        <v>-5.6770977568540567E-3</v>
      </c>
      <c r="BO123" s="130">
        <f t="shared" si="388"/>
        <v>8.0183680678205582E-2</v>
      </c>
      <c r="BP123" s="130">
        <f t="shared" si="388"/>
        <v>4.6748625040439987E-2</v>
      </c>
      <c r="BQ123" s="130">
        <f t="shared" si="388"/>
        <v>0.12344954743546765</v>
      </c>
      <c r="BR123" s="130">
        <f t="shared" si="388"/>
        <v>7.6776691383949075E-2</v>
      </c>
      <c r="BS123" s="130">
        <f t="shared" si="388"/>
        <v>0.14109307111822547</v>
      </c>
      <c r="BT123" s="130">
        <f t="shared" si="388"/>
        <v>0.13393828167482327</v>
      </c>
      <c r="BU123" s="130">
        <f>BU116/BU93</f>
        <v>0.10022930998540755</v>
      </c>
      <c r="BV123" s="393">
        <f t="shared" ref="BV123:CB124" si="389">IFERROR(BV116/BV93,"")</f>
        <v>5.527482726616479E-2</v>
      </c>
      <c r="BW123" s="130">
        <f t="shared" si="389"/>
        <v>0.12560992611180816</v>
      </c>
      <c r="BX123" s="130">
        <f t="shared" si="389"/>
        <v>9.7242440627209589E-2</v>
      </c>
      <c r="BY123" s="95">
        <f t="shared" si="389"/>
        <v>0.12967299852545755</v>
      </c>
      <c r="BZ123" s="95">
        <f t="shared" si="389"/>
        <v>0.10775328910378949</v>
      </c>
      <c r="CA123" s="95">
        <f t="shared" si="389"/>
        <v>0.13148987137426443</v>
      </c>
      <c r="CB123" s="95">
        <f t="shared" si="389"/>
        <v>0.13080827801639985</v>
      </c>
      <c r="CC123" s="95">
        <f>CC116/CC93</f>
        <v>0.11607485166590598</v>
      </c>
      <c r="CD123" s="393">
        <f t="shared" ref="CD123:CJ126" si="390">IFERROR(CD116/CD93,"")</f>
        <v>2.5234509182190515E-2</v>
      </c>
      <c r="CE123" s="95">
        <f t="shared" si="390"/>
        <v>-0.30177276390008057</v>
      </c>
      <c r="CF123" s="95">
        <f t="shared" si="390"/>
        <v>-0.10428468842256443</v>
      </c>
      <c r="CG123" s="95">
        <f t="shared" si="390"/>
        <v>8.6068751615404504E-2</v>
      </c>
      <c r="CH123" s="95">
        <f t="shared" si="390"/>
        <v>-3.1621528291648167E-2</v>
      </c>
      <c r="CI123" s="95">
        <f t="shared" si="390"/>
        <v>9.0063666928964878E-2</v>
      </c>
      <c r="CJ123" s="95">
        <f t="shared" si="390"/>
        <v>8.8640235760003683E-2</v>
      </c>
      <c r="CK123" s="95">
        <f>CK116/CK93</f>
        <v>1.8043795620437956E-2</v>
      </c>
      <c r="CL123" s="393">
        <f t="shared" ref="CL123:CR126" si="391">IFERROR(CL116/CL93,"")</f>
        <v>7.3294829482948298E-2</v>
      </c>
      <c r="CM123" s="95">
        <f t="shared" si="391"/>
        <v>0.16677734560288399</v>
      </c>
      <c r="CN123" s="95">
        <f t="shared" si="391"/>
        <v>0.12861393364396789</v>
      </c>
      <c r="CO123" s="95">
        <f t="shared" si="391"/>
        <v>6.5833945628214555E-2</v>
      </c>
      <c r="CP123" s="95">
        <f t="shared" si="391"/>
        <v>0.11126005361930295</v>
      </c>
      <c r="CQ123" s="95">
        <f t="shared" si="391"/>
        <v>7.1972977654598994E-2</v>
      </c>
      <c r="CR123" s="95">
        <f t="shared" si="391"/>
        <v>6.96964743065773E-2</v>
      </c>
      <c r="CS123" s="95">
        <f>CS116/CS93</f>
        <v>9.871695608892822E-2</v>
      </c>
      <c r="CT123" s="393">
        <f t="shared" ref="CT123:CZ126" si="392">IFERROR(CT116/CT93,"")</f>
        <v>0.12469265893923429</v>
      </c>
      <c r="CU123" s="95">
        <f t="shared" si="392"/>
        <v>0.1346752669039146</v>
      </c>
      <c r="CV123" s="95">
        <f t="shared" si="392"/>
        <v>0.12981235384703133</v>
      </c>
      <c r="CW123" s="95">
        <f t="shared" si="392"/>
        <v>6.5672623615831593E-2</v>
      </c>
      <c r="CX123" s="95">
        <f t="shared" si="392"/>
        <v>0.10786373527425527</v>
      </c>
      <c r="CY123" s="130">
        <f t="shared" si="392"/>
        <v>0.11675917151753079</v>
      </c>
      <c r="CZ123" s="95">
        <f t="shared" si="392"/>
        <v>9.7258840761665619E-2</v>
      </c>
      <c r="DA123" s="95">
        <f>DA116/DA93</f>
        <v>0.11103601428985227</v>
      </c>
      <c r="DB123" s="393">
        <f t="shared" ref="DB123:DH126" si="393">IFERROR(DB116/DB93,"")</f>
        <v>7.1516646115906288E-2</v>
      </c>
      <c r="DC123" s="95">
        <f t="shared" si="393"/>
        <v>0.13693929242585179</v>
      </c>
      <c r="DD123" s="95">
        <f t="shared" si="393"/>
        <v>0.11086539879109539</v>
      </c>
      <c r="DE123" s="95">
        <f t="shared" si="393"/>
        <v>8.6036924179960561E-2</v>
      </c>
      <c r="DF123" s="95">
        <f t="shared" si="393"/>
        <v>0.10207255530517027</v>
      </c>
      <c r="DG123" s="130">
        <f t="shared" si="393"/>
        <v>9.8548228346456698E-2</v>
      </c>
      <c r="DH123" s="95">
        <f t="shared" si="393"/>
        <v>9.3455898446049457E-2</v>
      </c>
      <c r="DI123" s="95">
        <f>DI116/DI93</f>
        <v>0.10087306073739087</v>
      </c>
      <c r="DJ123" s="393">
        <f t="shared" ref="DJ123:EG123" si="394">IFERROR(DJ116/DJ93,"")</f>
        <v>5.5307079742554818E-2</v>
      </c>
      <c r="DK123" s="95">
        <f t="shared" si="394"/>
        <v>0.12010292164674635</v>
      </c>
      <c r="DL123" s="95">
        <f t="shared" si="394"/>
        <v>9.210464294131511E-2</v>
      </c>
      <c r="DM123" s="95">
        <f t="shared" si="394"/>
        <v>9.207818930041152E-2</v>
      </c>
      <c r="DN123" s="95">
        <f t="shared" si="394"/>
        <v>9.2095258371604982E-2</v>
      </c>
      <c r="DO123" s="130">
        <f t="shared" si="394"/>
        <v>0.11622671244441943</v>
      </c>
      <c r="DP123" s="95">
        <f t="shared" si="394"/>
        <v>0.10665624681458326</v>
      </c>
      <c r="DQ123" s="95">
        <f t="shared" si="394"/>
        <v>0.10056075504482091</v>
      </c>
      <c r="DR123" s="393">
        <f t="shared" si="394"/>
        <v>5.1885306165318772E-2</v>
      </c>
      <c r="DS123" s="95">
        <f t="shared" si="394"/>
        <v>0.10788822072868766</v>
      </c>
      <c r="DT123" s="95">
        <f t="shared" si="394"/>
        <v>8.2289116136156318E-2</v>
      </c>
      <c r="DU123" s="95">
        <f t="shared" si="394"/>
        <v>0.11916979398024048</v>
      </c>
      <c r="DV123" s="95">
        <f t="shared" si="394"/>
        <v>9.650002951071239E-2</v>
      </c>
      <c r="DW123" s="95">
        <f t="shared" si="394"/>
        <v>0.1177037076667915</v>
      </c>
      <c r="DX123" s="95">
        <f t="shared" si="394"/>
        <v>0.11830666498677082</v>
      </c>
      <c r="DY123" s="95">
        <f t="shared" si="394"/>
        <v>0.10403788728911882</v>
      </c>
      <c r="DZ123" s="393">
        <f t="shared" si="394"/>
        <v>9.6017069701280228E-3</v>
      </c>
      <c r="EA123" s="95">
        <f t="shared" si="394"/>
        <v>0.12343760119163266</v>
      </c>
      <c r="EB123" s="95">
        <f t="shared" si="394"/>
        <v>8.3218159735310132E-2</v>
      </c>
      <c r="EC123" s="95">
        <f t="shared" si="394"/>
        <v>0.11381679527377375</v>
      </c>
      <c r="ED123" s="95">
        <f t="shared" si="394"/>
        <v>9.4724655410921843E-2</v>
      </c>
      <c r="EE123" s="130">
        <f t="shared" si="394"/>
        <v>0.10838759614124589</v>
      </c>
      <c r="EF123" s="95">
        <f t="shared" si="394"/>
        <v>0.1106808357524264</v>
      </c>
      <c r="EG123" s="96">
        <f t="shared" si="394"/>
        <v>9.936460006186619E-2</v>
      </c>
      <c r="EH123" s="406"/>
    </row>
    <row r="124" spans="1:141">
      <c r="A124" s="13" t="s">
        <v>385</v>
      </c>
      <c r="B124" s="42"/>
      <c r="J124" s="369"/>
      <c r="R124" s="393">
        <f t="shared" ref="R124:AW124" si="395">R117/R94</f>
        <v>1.9267822736030827E-2</v>
      </c>
      <c r="S124" s="95">
        <f t="shared" si="395"/>
        <v>6.9857697283311773E-2</v>
      </c>
      <c r="T124" s="95">
        <f t="shared" si="395"/>
        <v>4.9535603715170282E-2</v>
      </c>
      <c r="U124" s="95">
        <f t="shared" si="395"/>
        <v>5.7493540051679587E-2</v>
      </c>
      <c r="V124" s="95">
        <f t="shared" si="395"/>
        <v>5.2516940948693129E-2</v>
      </c>
      <c r="W124" s="95">
        <f t="shared" si="395"/>
        <v>8.3140877598152418E-2</v>
      </c>
      <c r="X124" s="95">
        <f t="shared" si="395"/>
        <v>7.2448155130622138E-2</v>
      </c>
      <c r="Y124" s="95">
        <f t="shared" si="395"/>
        <v>6.3045894870573285E-2</v>
      </c>
      <c r="Z124" s="393">
        <f t="shared" si="395"/>
        <v>4.9069373942470386E-2</v>
      </c>
      <c r="AA124" s="95">
        <f t="shared" si="395"/>
        <v>5.6825200741198269E-2</v>
      </c>
      <c r="AB124" s="95">
        <f t="shared" si="395"/>
        <v>5.3552302749018205E-2</v>
      </c>
      <c r="AC124" s="95">
        <f t="shared" si="395"/>
        <v>6.2371487320082249E-2</v>
      </c>
      <c r="AD124" s="95">
        <f t="shared" si="395"/>
        <v>5.6572769953051646E-2</v>
      </c>
      <c r="AE124" s="95">
        <f t="shared" si="395"/>
        <v>7.5971731448763249E-2</v>
      </c>
      <c r="AF124" s="95">
        <f t="shared" si="395"/>
        <v>7.0641955412301907E-2</v>
      </c>
      <c r="AG124" s="95">
        <f t="shared" si="395"/>
        <v>6.3304721030042921E-2</v>
      </c>
      <c r="AH124" s="393">
        <f t="shared" si="395"/>
        <v>4.0466926070038912E-2</v>
      </c>
      <c r="AI124" s="95">
        <f t="shared" si="395"/>
        <v>6.6066066066066062E-2</v>
      </c>
      <c r="AJ124" s="95">
        <f t="shared" si="395"/>
        <v>5.4915254237288137E-2</v>
      </c>
      <c r="AK124" s="95">
        <f t="shared" si="395"/>
        <v>5.363204344874406E-2</v>
      </c>
      <c r="AL124" s="95">
        <f t="shared" si="395"/>
        <v>5.448790413746326E-2</v>
      </c>
      <c r="AM124" s="95">
        <f t="shared" si="395"/>
        <v>7.871349978840457E-2</v>
      </c>
      <c r="AN124" s="95">
        <f t="shared" si="395"/>
        <v>6.9082377476538059E-2</v>
      </c>
      <c r="AO124" s="95">
        <f t="shared" si="395"/>
        <v>6.292366637194223E-2</v>
      </c>
      <c r="AP124" s="393">
        <f t="shared" si="395"/>
        <v>2.8497409326424871E-2</v>
      </c>
      <c r="AQ124" s="95">
        <f t="shared" si="395"/>
        <v>7.2596468279921514E-2</v>
      </c>
      <c r="AR124" s="95">
        <f t="shared" si="395"/>
        <v>5.3591365835504279E-2</v>
      </c>
      <c r="AS124" s="95">
        <f t="shared" si="395"/>
        <v>3.5109717868338559E-2</v>
      </c>
      <c r="AT124" s="95">
        <f t="shared" si="395"/>
        <v>4.6707146193367584E-2</v>
      </c>
      <c r="AU124" s="95">
        <f t="shared" si="395"/>
        <v>6.3291139240506333E-2</v>
      </c>
      <c r="AV124" s="95">
        <f t="shared" si="395"/>
        <v>5.1954602774274904E-2</v>
      </c>
      <c r="AW124" s="95">
        <f t="shared" si="395"/>
        <v>5.2615754660252555E-2</v>
      </c>
      <c r="AX124" s="393">
        <f t="shared" si="386"/>
        <v>-1.5491866769945779E-3</v>
      </c>
      <c r="AY124" s="95">
        <f t="shared" si="386"/>
        <v>5.8282208588957052E-2</v>
      </c>
      <c r="AZ124" s="95">
        <f t="shared" si="386"/>
        <v>3.1838411502909961E-2</v>
      </c>
      <c r="BA124" s="95">
        <f t="shared" si="386"/>
        <v>4.9079754601226995E-2</v>
      </c>
      <c r="BB124" s="95">
        <f t="shared" si="386"/>
        <v>3.7602552415679127E-2</v>
      </c>
      <c r="BC124" s="95">
        <f t="shared" si="386"/>
        <v>8.3414161008729393E-2</v>
      </c>
      <c r="BD124" s="95">
        <f t="shared" si="386"/>
        <v>6.3465712581991657E-2</v>
      </c>
      <c r="BE124" s="95">
        <f>BE117/BE94</f>
        <v>5.2248062015503874E-2</v>
      </c>
      <c r="BF124" s="393">
        <f t="shared" si="387"/>
        <v>-5.1020408163265302E-3</v>
      </c>
      <c r="BG124" s="95">
        <f t="shared" si="387"/>
        <v>5.5844155844155842E-2</v>
      </c>
      <c r="BH124" s="95">
        <f t="shared" si="387"/>
        <v>2.9455081001472753E-2</v>
      </c>
      <c r="BI124" s="95">
        <f t="shared" si="387"/>
        <v>5.4692775151924375E-2</v>
      </c>
      <c r="BJ124" s="95">
        <f t="shared" si="387"/>
        <v>3.8360733857517273E-2</v>
      </c>
      <c r="BK124" s="95">
        <f t="shared" si="387"/>
        <v>4.0224508886810104E-2</v>
      </c>
      <c r="BL124" s="95">
        <f t="shared" si="387"/>
        <v>4.6145344017684442E-2</v>
      </c>
      <c r="BM124" s="95">
        <f>BM117/BM94</f>
        <v>3.8989739542225732E-2</v>
      </c>
      <c r="BN124" s="445">
        <f t="shared" si="388"/>
        <v>-3.1217481789802288E-3</v>
      </c>
      <c r="BO124" s="130">
        <f t="shared" si="388"/>
        <v>9.6706377014716183E-2</v>
      </c>
      <c r="BP124" s="130">
        <f t="shared" si="388"/>
        <v>5.6532663316582916E-2</v>
      </c>
      <c r="BQ124" s="130">
        <f t="shared" si="388"/>
        <v>4.9012435991221653E-2</v>
      </c>
      <c r="BR124" s="130">
        <f t="shared" si="388"/>
        <v>5.3794940079893473E-2</v>
      </c>
      <c r="BS124" s="130">
        <f t="shared" si="388"/>
        <v>8.1688848095456637E-2</v>
      </c>
      <c r="BT124" s="130">
        <f t="shared" si="388"/>
        <v>6.9091934574168082E-2</v>
      </c>
      <c r="BU124" s="130">
        <f>BU117/BU94</f>
        <v>6.4037748567576672E-2</v>
      </c>
      <c r="BV124" s="393">
        <f t="shared" si="389"/>
        <v>1.4895729890764648E-2</v>
      </c>
      <c r="BW124" s="130">
        <f t="shared" si="389"/>
        <v>8.0645161290322578E-2</v>
      </c>
      <c r="BX124" s="130">
        <f t="shared" si="389"/>
        <v>5.2720371151412905E-2</v>
      </c>
      <c r="BY124" s="95">
        <f t="shared" si="389"/>
        <v>5.9656972408650262E-2</v>
      </c>
      <c r="BZ124" s="95">
        <f t="shared" si="389"/>
        <v>5.5226293103448273E-2</v>
      </c>
      <c r="CA124" s="95">
        <f t="shared" si="389"/>
        <v>9.4553376906318085E-2</v>
      </c>
      <c r="CB124" s="95">
        <f t="shared" si="389"/>
        <v>8.1683168316831686E-2</v>
      </c>
      <c r="CC124" s="95">
        <f>CC117/CC94</f>
        <v>7.0251373397702682E-2</v>
      </c>
      <c r="CD124" s="393">
        <f t="shared" si="390"/>
        <v>4.409317803660566E-2</v>
      </c>
      <c r="CE124" s="95">
        <f t="shared" si="390"/>
        <v>8.7533156498673742E-2</v>
      </c>
      <c r="CF124" s="95">
        <f t="shared" si="390"/>
        <v>6.5152164594942136E-2</v>
      </c>
      <c r="CG124" s="95">
        <f t="shared" si="390"/>
        <v>6.6666666666666666E-2</v>
      </c>
      <c r="CH124" s="95">
        <f t="shared" si="390"/>
        <v>6.5691415953629595E-2</v>
      </c>
      <c r="CI124" s="95">
        <f t="shared" si="390"/>
        <v>8.8660578386605779E-2</v>
      </c>
      <c r="CJ124" s="95">
        <f t="shared" si="390"/>
        <v>8.1419091373149566E-2</v>
      </c>
      <c r="CK124" s="95">
        <f>CK117/CK94</f>
        <v>7.5347944328907374E-2</v>
      </c>
      <c r="CL124" s="393">
        <f t="shared" si="391"/>
        <v>5.2676295666949875E-2</v>
      </c>
      <c r="CM124" s="95">
        <f t="shared" si="391"/>
        <v>8.5391672547635855E-2</v>
      </c>
      <c r="CN124" s="95">
        <f t="shared" si="391"/>
        <v>7.0547417116422512E-2</v>
      </c>
      <c r="CO124" s="95">
        <f t="shared" si="391"/>
        <v>8.4899546338302004E-2</v>
      </c>
      <c r="CP124" s="95">
        <f t="shared" si="391"/>
        <v>7.5900410925791639E-2</v>
      </c>
      <c r="CQ124" s="95">
        <f t="shared" si="391"/>
        <v>9.3170320404721757E-2</v>
      </c>
      <c r="CR124" s="95">
        <f t="shared" si="391"/>
        <v>8.9910600255427839E-2</v>
      </c>
      <c r="CS124" s="95">
        <f>CS117/CS94</f>
        <v>8.219388538946075E-2</v>
      </c>
      <c r="CT124" s="393">
        <f t="shared" si="392"/>
        <v>7.1146245059288543E-2</v>
      </c>
      <c r="CU124" s="95">
        <f t="shared" si="392"/>
        <v>8.4516565246788369E-2</v>
      </c>
      <c r="CV124" s="95">
        <f t="shared" si="392"/>
        <v>7.8352769679300285E-2</v>
      </c>
      <c r="CW124" s="95">
        <f t="shared" si="392"/>
        <v>9.3167701863354033E-2</v>
      </c>
      <c r="CX124" s="95">
        <f t="shared" si="392"/>
        <v>8.416389811738649E-2</v>
      </c>
      <c r="CY124" s="130">
        <f t="shared" si="392"/>
        <v>0.102250296091591</v>
      </c>
      <c r="CZ124" s="95">
        <f t="shared" si="392"/>
        <v>9.8513011152416355E-2</v>
      </c>
      <c r="DA124" s="95">
        <f>DA117/DA94</f>
        <v>9.0664018161180471E-2</v>
      </c>
      <c r="DB124" s="394">
        <f t="shared" si="393"/>
        <v>9.7622027534418024E-2</v>
      </c>
      <c r="DC124" s="95">
        <f t="shared" si="393"/>
        <v>7.3934837092731825E-2</v>
      </c>
      <c r="DD124" s="95">
        <f t="shared" si="393"/>
        <v>8.5785848465873518E-2</v>
      </c>
      <c r="DE124" s="95">
        <f t="shared" si="393"/>
        <v>9.7411444141689368E-2</v>
      </c>
      <c r="DF124" s="95">
        <f t="shared" si="393"/>
        <v>8.9446589446589453E-2</v>
      </c>
      <c r="DG124" s="130">
        <f t="shared" si="393"/>
        <v>0.11887850467289719</v>
      </c>
      <c r="DH124" s="95">
        <f t="shared" si="393"/>
        <v>0.11127202510258268</v>
      </c>
      <c r="DI124" s="95">
        <f>DI117/DI94</f>
        <v>0.10017718413520513</v>
      </c>
      <c r="DJ124" s="394">
        <f t="shared" ref="DJ124:EG124" si="396">IFERROR(DJ117/DJ94,"")</f>
        <v>4.8596851471594801E-2</v>
      </c>
      <c r="DK124" s="95">
        <f t="shared" si="396"/>
        <v>9.1907514450867048E-2</v>
      </c>
      <c r="DL124" s="95">
        <f t="shared" si="396"/>
        <v>7.2077718583516137E-2</v>
      </c>
      <c r="DM124" s="95">
        <f t="shared" si="396"/>
        <v>0.11282660332541568</v>
      </c>
      <c r="DN124" s="95">
        <f t="shared" si="396"/>
        <v>8.615384615384615E-2</v>
      </c>
      <c r="DO124" s="130">
        <f t="shared" si="396"/>
        <v>0.12981082844096542</v>
      </c>
      <c r="DP124" s="95">
        <f t="shared" si="396"/>
        <v>0.12378947368421053</v>
      </c>
      <c r="DQ124" s="95">
        <f t="shared" si="396"/>
        <v>0.10300969651177433</v>
      </c>
      <c r="DR124" s="394">
        <f t="shared" si="396"/>
        <v>4.8750000000000002E-2</v>
      </c>
      <c r="DS124" s="95">
        <f t="shared" si="396"/>
        <v>8.1700907787864305E-2</v>
      </c>
      <c r="DT124" s="95">
        <f t="shared" si="396"/>
        <v>6.7424857839155153E-2</v>
      </c>
      <c r="DU124" s="95">
        <f t="shared" si="396"/>
        <v>0.12557427258805512</v>
      </c>
      <c r="DV124" s="95">
        <f t="shared" si="396"/>
        <v>8.7579617834394899E-2</v>
      </c>
      <c r="DW124" s="95">
        <f t="shared" si="396"/>
        <v>0.12951807228915663</v>
      </c>
      <c r="DX124" s="95">
        <f t="shared" si="396"/>
        <v>0.12805455578708089</v>
      </c>
      <c r="DY124" s="95">
        <f t="shared" si="396"/>
        <v>0.10309852875613018</v>
      </c>
      <c r="DZ124" s="394">
        <f t="shared" si="396"/>
        <v>4.0523690773067333E-2</v>
      </c>
      <c r="EA124" s="95">
        <f t="shared" si="396"/>
        <v>8.4296724470134879E-2</v>
      </c>
      <c r="EB124" s="95">
        <f t="shared" si="396"/>
        <v>6.5217391304347824E-2</v>
      </c>
      <c r="EC124" s="95">
        <f t="shared" si="396"/>
        <v>0.1249909623017743</v>
      </c>
      <c r="ED124" s="95">
        <f t="shared" si="396"/>
        <v>8.6967945926870044E-2</v>
      </c>
      <c r="EE124" s="130">
        <f t="shared" si="396"/>
        <v>0.12610156661586644</v>
      </c>
      <c r="EF124" s="95">
        <f t="shared" si="396"/>
        <v>0.12570936912323033</v>
      </c>
      <c r="EG124" s="96">
        <f t="shared" si="396"/>
        <v>0.10261962148408765</v>
      </c>
      <c r="EH124" s="406"/>
    </row>
    <row r="125" spans="1:141">
      <c r="A125" s="13" t="s">
        <v>384</v>
      </c>
      <c r="B125" s="42"/>
      <c r="J125" s="369"/>
      <c r="R125" s="393">
        <f t="shared" ref="R125:AW125" si="397">R118/R95</f>
        <v>3.1531531531531529E-2</v>
      </c>
      <c r="S125" s="95">
        <f t="shared" si="397"/>
        <v>4.5517241379310347E-2</v>
      </c>
      <c r="T125" s="95">
        <f t="shared" si="397"/>
        <v>3.8820992092020126E-2</v>
      </c>
      <c r="U125" s="95">
        <f t="shared" si="397"/>
        <v>4.9680624556422998E-2</v>
      </c>
      <c r="V125" s="95">
        <f t="shared" si="397"/>
        <v>4.2471963731806249E-2</v>
      </c>
      <c r="W125" s="95">
        <f t="shared" si="397"/>
        <v>0.11711331504536822</v>
      </c>
      <c r="X125" s="95">
        <f t="shared" si="397"/>
        <v>9.1967712055048306E-2</v>
      </c>
      <c r="Y125" s="95">
        <f t="shared" si="397"/>
        <v>6.9430683636917914E-2</v>
      </c>
      <c r="Z125" s="393">
        <f t="shared" si="397"/>
        <v>3.0987969376594968E-2</v>
      </c>
      <c r="AA125" s="95">
        <f t="shared" si="397"/>
        <v>4.976559682654165E-2</v>
      </c>
      <c r="AB125" s="95">
        <f t="shared" si="397"/>
        <v>4.0427846265409718E-2</v>
      </c>
      <c r="AC125" s="95">
        <f t="shared" si="397"/>
        <v>5.4830287206266322E-2</v>
      </c>
      <c r="AD125" s="95">
        <f t="shared" si="397"/>
        <v>4.5138465292180067E-2</v>
      </c>
      <c r="AE125" s="95">
        <f t="shared" si="397"/>
        <v>0.11391880695940348</v>
      </c>
      <c r="AF125" s="95">
        <f t="shared" si="397"/>
        <v>9.2821946996937008E-2</v>
      </c>
      <c r="AG125" s="95">
        <f t="shared" si="397"/>
        <v>7.0633397312859891E-2</v>
      </c>
      <c r="AH125" s="393">
        <f t="shared" si="397"/>
        <v>3.4575489819439108E-2</v>
      </c>
      <c r="AI125" s="95">
        <f t="shared" si="397"/>
        <v>6.0450819672131145E-2</v>
      </c>
      <c r="AJ125" s="95">
        <f t="shared" si="397"/>
        <v>4.827336828783222E-2</v>
      </c>
      <c r="AK125" s="95">
        <f t="shared" si="397"/>
        <v>5.7503506311360447E-2</v>
      </c>
      <c r="AL125" s="95">
        <f t="shared" si="397"/>
        <v>5.1413575092449003E-2</v>
      </c>
      <c r="AM125" s="95">
        <f t="shared" si="397"/>
        <v>0.13199914839259103</v>
      </c>
      <c r="AN125" s="95">
        <f t="shared" si="397"/>
        <v>0.10385481520731223</v>
      </c>
      <c r="AO125" s="95">
        <f t="shared" si="397"/>
        <v>8.0351681957186546E-2</v>
      </c>
      <c r="AP125" s="393">
        <f t="shared" si="397"/>
        <v>4.3014996053670089E-2</v>
      </c>
      <c r="AQ125" s="95">
        <f t="shared" si="397"/>
        <v>7.4328974535443904E-2</v>
      </c>
      <c r="AR125" s="95">
        <f t="shared" si="397"/>
        <v>5.9742647058823532E-2</v>
      </c>
      <c r="AS125" s="95">
        <f t="shared" si="397"/>
        <v>5.0571679859278802E-2</v>
      </c>
      <c r="AT125" s="95">
        <f t="shared" si="397"/>
        <v>5.7039149598133262E-2</v>
      </c>
      <c r="AU125" s="95">
        <f t="shared" si="397"/>
        <v>0.13574879227053141</v>
      </c>
      <c r="AV125" s="95">
        <f t="shared" si="397"/>
        <v>0.10555035859058309</v>
      </c>
      <c r="AW125" s="95">
        <f t="shared" si="397"/>
        <v>8.452842922220348E-2</v>
      </c>
      <c r="AX125" s="393">
        <f t="shared" si="386"/>
        <v>2.9801324503311258E-2</v>
      </c>
      <c r="AY125" s="95">
        <f t="shared" si="386"/>
        <v>7.3675826363998401E-2</v>
      </c>
      <c r="AZ125" s="95">
        <f t="shared" si="386"/>
        <v>5.3621621621621623E-2</v>
      </c>
      <c r="BA125" s="95">
        <f t="shared" si="386"/>
        <v>5.1707779886148005E-2</v>
      </c>
      <c r="BB125" s="95">
        <f t="shared" si="386"/>
        <v>5.3022426852814497E-2</v>
      </c>
      <c r="BC125" s="95">
        <f t="shared" si="386"/>
        <v>0.12650454433800049</v>
      </c>
      <c r="BD125" s="95">
        <f t="shared" si="386"/>
        <v>0.10098721475966985</v>
      </c>
      <c r="BE125" s="95">
        <f>BE118/BE95</f>
        <v>8.0710847834135499E-2</v>
      </c>
      <c r="BF125" s="393">
        <f t="shared" si="387"/>
        <v>5.0427350427350429E-2</v>
      </c>
      <c r="BG125" s="95">
        <f t="shared" si="387"/>
        <v>7.03125E-2</v>
      </c>
      <c r="BH125" s="95">
        <f t="shared" si="387"/>
        <v>6.0816326530612246E-2</v>
      </c>
      <c r="BI125" s="95">
        <f t="shared" si="387"/>
        <v>4.5538178472861082E-2</v>
      </c>
      <c r="BJ125" s="95">
        <f t="shared" si="387"/>
        <v>4.8487418716426353E-2</v>
      </c>
      <c r="BK125" s="95">
        <f t="shared" si="387"/>
        <v>0.11868256672345258</v>
      </c>
      <c r="BL125" s="95">
        <f t="shared" si="387"/>
        <v>9.076544943820225E-2</v>
      </c>
      <c r="BM125" s="95">
        <f>BM118/BM95</f>
        <v>7.691581728954322E-2</v>
      </c>
      <c r="BN125" s="445">
        <f t="shared" si="388"/>
        <v>5.0518718989625622E-2</v>
      </c>
      <c r="BO125" s="130">
        <f t="shared" si="388"/>
        <v>8.0903490759753588E-2</v>
      </c>
      <c r="BP125" s="130">
        <f t="shared" si="388"/>
        <v>6.6423043852106622E-2</v>
      </c>
      <c r="BQ125" s="130">
        <f t="shared" si="388"/>
        <v>4.1684035014589414E-2</v>
      </c>
      <c r="BR125" s="130">
        <f t="shared" si="388"/>
        <v>5.8005956601900437E-2</v>
      </c>
      <c r="BS125" s="130">
        <f t="shared" si="388"/>
        <v>0.13110667996011965</v>
      </c>
      <c r="BT125" s="130">
        <f t="shared" si="388"/>
        <v>9.7644673217906722E-2</v>
      </c>
      <c r="BU125" s="130">
        <f>BU118/BU95</f>
        <v>8.4515954081171477E-2</v>
      </c>
      <c r="BV125" s="393">
        <f t="shared" ref="BV125:BX126" si="398">IFERROR(BV118/BV95,"")</f>
        <v>4.7821969696969696E-2</v>
      </c>
      <c r="BW125" s="130">
        <f t="shared" si="398"/>
        <v>4.5470203238029624E-2</v>
      </c>
      <c r="BX125" s="130">
        <f t="shared" si="398"/>
        <v>4.6460618145563307E-2</v>
      </c>
      <c r="BY125" s="95">
        <f>BQ125-0.5%</f>
        <v>3.6684035014589417E-2</v>
      </c>
      <c r="BZ125" s="95">
        <f t="shared" ref="BZ125:CB126" si="399">IFERROR(BZ118/BZ95,"")</f>
        <v>4.6067998961847913E-2</v>
      </c>
      <c r="CA125" s="95">
        <f t="shared" si="399"/>
        <v>6.560449859418932E-2</v>
      </c>
      <c r="CB125" s="95">
        <f t="shared" si="399"/>
        <v>5.6347589952477933E-2</v>
      </c>
      <c r="CC125" s="95">
        <f>CC118/CC95</f>
        <v>5.1801595305766938E-2</v>
      </c>
      <c r="CD125" s="393">
        <f t="shared" si="390"/>
        <v>7.1056371387967785E-3</v>
      </c>
      <c r="CE125" s="95">
        <f t="shared" si="390"/>
        <v>7.0081967213114757E-2</v>
      </c>
      <c r="CF125" s="95">
        <f t="shared" si="390"/>
        <v>4.0870138431114041E-2</v>
      </c>
      <c r="CG125" s="95">
        <f t="shared" si="390"/>
        <v>3.3542976939203356E-2</v>
      </c>
      <c r="CH125" s="95">
        <f t="shared" si="390"/>
        <v>3.8350634371395617E-2</v>
      </c>
      <c r="CI125" s="95">
        <f t="shared" si="390"/>
        <v>0.11225071225071225</v>
      </c>
      <c r="CJ125" s="95">
        <f t="shared" si="390"/>
        <v>8.0407124681933839E-2</v>
      </c>
      <c r="CK125" s="95">
        <f>CK118/CK95</f>
        <v>6.3182079264790345E-2</v>
      </c>
      <c r="CL125" s="393">
        <f t="shared" si="391"/>
        <v>2.7895981087470448E-2</v>
      </c>
      <c r="CM125" s="95">
        <f t="shared" si="391"/>
        <v>7.0160957490713993E-2</v>
      </c>
      <c r="CN125" s="95">
        <f t="shared" si="391"/>
        <v>5.0462758924636406E-2</v>
      </c>
      <c r="CO125" s="95">
        <f t="shared" si="391"/>
        <v>2.3474178403755867E-2</v>
      </c>
      <c r="CP125" s="95">
        <f t="shared" si="391"/>
        <v>4.1273070774596715E-2</v>
      </c>
      <c r="CQ125" s="95">
        <f t="shared" si="391"/>
        <v>0.12465960665658093</v>
      </c>
      <c r="CR125" s="95">
        <f t="shared" si="391"/>
        <v>8.2684135977337106E-2</v>
      </c>
      <c r="CS125" s="95">
        <f>CS118/CS95</f>
        <v>6.8329079128215203E-2</v>
      </c>
      <c r="CT125" s="393">
        <f t="shared" si="392"/>
        <v>4.3212392988177743E-2</v>
      </c>
      <c r="CU125" s="95">
        <f t="shared" si="392"/>
        <v>1.882443334613907E-2</v>
      </c>
      <c r="CV125" s="95">
        <f t="shared" si="392"/>
        <v>3.0656645569620253E-2</v>
      </c>
      <c r="CW125" s="95">
        <f t="shared" si="392"/>
        <v>2.9956641702798582E-2</v>
      </c>
      <c r="CX125" s="95">
        <f t="shared" si="392"/>
        <v>3.0422757803239827E-2</v>
      </c>
      <c r="CY125" s="130">
        <f t="shared" si="392"/>
        <v>4.1734860883797055E-2</v>
      </c>
      <c r="CZ125" s="95">
        <f t="shared" si="392"/>
        <v>3.6917620506206672E-2</v>
      </c>
      <c r="DA125" s="95">
        <f>DA118/DA95</f>
        <v>3.4106048494537702E-2</v>
      </c>
      <c r="DB125" s="394">
        <f t="shared" si="393"/>
        <v>1.5658982166159199E-2</v>
      </c>
      <c r="DC125" s="95">
        <f t="shared" si="393"/>
        <v>1.784197111299915E-2</v>
      </c>
      <c r="DD125" s="95">
        <f t="shared" si="393"/>
        <v>1.6763378465506126E-2</v>
      </c>
      <c r="DE125" s="95">
        <f t="shared" si="393"/>
        <v>-3.1854838709677417E-2</v>
      </c>
      <c r="DF125" s="95">
        <f t="shared" si="393"/>
        <v>-1.4019346698443852E-4</v>
      </c>
      <c r="DG125" s="130">
        <f t="shared" si="393"/>
        <v>5.2728106373223289E-2</v>
      </c>
      <c r="DH125" s="95">
        <f t="shared" si="393"/>
        <v>2.2069570301081556E-2</v>
      </c>
      <c r="DI125" s="95">
        <f>DI118/DI95</f>
        <v>1.9921705089169205E-2</v>
      </c>
      <c r="DJ125" s="394">
        <f t="shared" ref="DJ125:EG125" si="400">IFERROR(DJ118/DJ95,"")</f>
        <v>-3.751563151313047E-3</v>
      </c>
      <c r="DK125" s="95">
        <f t="shared" si="400"/>
        <v>-0.308584686774942</v>
      </c>
      <c r="DL125" s="95">
        <f t="shared" si="400"/>
        <v>-0.16188565697091273</v>
      </c>
      <c r="DM125" s="95">
        <f t="shared" si="400"/>
        <v>5.5640243902439025E-2</v>
      </c>
      <c r="DN125" s="95">
        <f t="shared" si="400"/>
        <v>-8.6870810881850447E-2</v>
      </c>
      <c r="DO125" s="130">
        <f t="shared" si="400"/>
        <v>2.1238542365302929E-2</v>
      </c>
      <c r="DP125" s="95">
        <f t="shared" si="400"/>
        <v>3.3958010426940959E-2</v>
      </c>
      <c r="DQ125" s="95">
        <f t="shared" si="400"/>
        <v>-4.684654858467141E-2</v>
      </c>
      <c r="DR125" s="394">
        <f t="shared" si="400"/>
        <v>2.8990963855421686E-2</v>
      </c>
      <c r="DS125" s="95">
        <f t="shared" si="400"/>
        <v>5.955020589166931E-2</v>
      </c>
      <c r="DT125" s="95">
        <f t="shared" si="400"/>
        <v>4.5587476346120766E-2</v>
      </c>
      <c r="DU125" s="95">
        <f t="shared" si="400"/>
        <v>5.0603983023179887E-2</v>
      </c>
      <c r="DV125" s="95">
        <f t="shared" si="400"/>
        <v>4.7318611987381701E-2</v>
      </c>
      <c r="DW125" s="95">
        <f t="shared" si="400"/>
        <v>8.3462132921174659E-2</v>
      </c>
      <c r="DX125" s="95">
        <f t="shared" si="400"/>
        <v>7.0205479452054798E-2</v>
      </c>
      <c r="DY125" s="95">
        <f t="shared" si="400"/>
        <v>5.9530026109660572E-2</v>
      </c>
      <c r="DZ125" s="394">
        <f t="shared" si="400"/>
        <v>4.5903954802259887E-2</v>
      </c>
      <c r="EA125" s="95">
        <f t="shared" si="400"/>
        <v>0.10246842709529276</v>
      </c>
      <c r="EB125" s="95">
        <f t="shared" si="400"/>
        <v>7.710576314122862E-2</v>
      </c>
      <c r="EC125" s="95">
        <f t="shared" si="400"/>
        <v>5.5400531816102397E-2</v>
      </c>
      <c r="ED125" s="95">
        <f t="shared" si="400"/>
        <v>6.971296629820091E-2</v>
      </c>
      <c r="EE125" s="130">
        <f t="shared" si="400"/>
        <v>5.5918194380825875E-2</v>
      </c>
      <c r="EF125" s="95">
        <f t="shared" si="400"/>
        <v>5.570607506683118E-2</v>
      </c>
      <c r="EG125" s="96">
        <f t="shared" si="400"/>
        <v>6.517263876226824E-2</v>
      </c>
      <c r="EH125" s="612"/>
      <c r="EI125" s="36"/>
    </row>
    <row r="126" spans="1:141">
      <c r="A126" s="13" t="s">
        <v>388</v>
      </c>
      <c r="B126" s="42"/>
      <c r="J126" s="369"/>
      <c r="R126" s="393">
        <f t="shared" ref="R126:AW126" si="401">R119/R96</f>
        <v>-5.9945504087193457E-2</v>
      </c>
      <c r="S126" s="95">
        <f t="shared" si="401"/>
        <v>-7.9812206572769953E-2</v>
      </c>
      <c r="T126" s="95">
        <f t="shared" si="401"/>
        <v>-6.7241379310344823E-2</v>
      </c>
      <c r="U126" s="95">
        <f t="shared" si="401"/>
        <v>-9.2063492063492069E-2</v>
      </c>
      <c r="V126" s="95">
        <f t="shared" si="401"/>
        <v>-7.5977653631284919E-2</v>
      </c>
      <c r="W126" s="95">
        <f t="shared" si="401"/>
        <v>4.4444444444444446E-2</v>
      </c>
      <c r="X126" s="95">
        <f t="shared" si="401"/>
        <v>-1.1764705882352941E-2</v>
      </c>
      <c r="Y126" s="95">
        <f t="shared" si="401"/>
        <v>-3.5687732342007436E-2</v>
      </c>
      <c r="Z126" s="393">
        <f t="shared" si="401"/>
        <v>-0.14018691588785046</v>
      </c>
      <c r="AA126" s="95">
        <f t="shared" si="401"/>
        <v>-0.23795180722891565</v>
      </c>
      <c r="AB126" s="95">
        <f t="shared" si="401"/>
        <v>-0.19963369963369965</v>
      </c>
      <c r="AC126" s="95">
        <f t="shared" si="401"/>
        <v>-0.38461538461538464</v>
      </c>
      <c r="AD126" s="95">
        <f t="shared" si="401"/>
        <v>-0.25512820512820511</v>
      </c>
      <c r="AE126" s="95">
        <f t="shared" si="401"/>
        <v>-1.488095238095238E-2</v>
      </c>
      <c r="AF126" s="95">
        <f t="shared" si="401"/>
        <v>-0.16666666666666666</v>
      </c>
      <c r="AG126" s="95">
        <f t="shared" si="401"/>
        <v>-0.18279569892473119</v>
      </c>
      <c r="AH126" s="393">
        <f t="shared" si="401"/>
        <v>0.16</v>
      </c>
      <c r="AI126" s="95">
        <f t="shared" si="401"/>
        <v>6.4625850340136057E-2</v>
      </c>
      <c r="AJ126" s="95">
        <f t="shared" si="401"/>
        <v>0.11808669656203288</v>
      </c>
      <c r="AK126" s="95">
        <f t="shared" si="401"/>
        <v>5.1546391752577317E-2</v>
      </c>
      <c r="AL126" s="95">
        <f t="shared" si="401"/>
        <v>9.7916666666666666E-2</v>
      </c>
      <c r="AM126" s="95">
        <f t="shared" si="401"/>
        <v>0.13548387096774195</v>
      </c>
      <c r="AN126" s="95">
        <f t="shared" si="401"/>
        <v>9.4841930116472545E-2</v>
      </c>
      <c r="AO126" s="95">
        <f t="shared" si="401"/>
        <v>0.10708661417322834</v>
      </c>
      <c r="AP126" s="393">
        <f t="shared" si="401"/>
        <v>0.2711864406779661</v>
      </c>
      <c r="AQ126" s="95">
        <f t="shared" si="401"/>
        <v>2.734375E-2</v>
      </c>
      <c r="AR126" s="95">
        <f t="shared" si="401"/>
        <v>0.12702078521939955</v>
      </c>
      <c r="AS126" s="95">
        <f t="shared" si="401"/>
        <v>2.1680216802168022E-2</v>
      </c>
      <c r="AT126" s="95">
        <f t="shared" si="401"/>
        <v>7.8553615960099757E-2</v>
      </c>
      <c r="AU126" s="95">
        <f t="shared" si="401"/>
        <v>0.40277777777777779</v>
      </c>
      <c r="AV126" s="95">
        <f t="shared" si="401"/>
        <v>0.20987654320987653</v>
      </c>
      <c r="AW126" s="95">
        <f t="shared" si="401"/>
        <v>0.17900172117039587</v>
      </c>
      <c r="AX126" s="393">
        <f t="shared" si="386"/>
        <v>0.42148760330578511</v>
      </c>
      <c r="AY126" s="95">
        <f t="shared" si="386"/>
        <v>0.24479166666666666</v>
      </c>
      <c r="AZ126" s="95">
        <f t="shared" si="386"/>
        <v>0.31309904153354634</v>
      </c>
      <c r="BA126" s="95">
        <f t="shared" si="386"/>
        <v>0.40540540540540543</v>
      </c>
      <c r="BB126" s="95">
        <f t="shared" si="386"/>
        <v>0.33415536374845867</v>
      </c>
      <c r="BC126" s="95">
        <f t="shared" si="386"/>
        <v>0.37697160883280756</v>
      </c>
      <c r="BD126" s="95">
        <f t="shared" si="386"/>
        <v>0.38339438339438342</v>
      </c>
      <c r="BE126" s="95">
        <f>BE119/BE96</f>
        <v>0.35294117647058826</v>
      </c>
      <c r="BF126" s="393">
        <f t="shared" si="387"/>
        <v>0.11666666666666667</v>
      </c>
      <c r="BG126" s="95">
        <f t="shared" si="387"/>
        <v>0.14099216710182769</v>
      </c>
      <c r="BH126" s="95">
        <f t="shared" si="387"/>
        <v>0.13162118780096307</v>
      </c>
      <c r="BI126" s="95">
        <f t="shared" si="387"/>
        <v>0.37373737373737376</v>
      </c>
      <c r="BJ126" s="95">
        <f t="shared" si="387"/>
        <v>0.1900121802679659</v>
      </c>
      <c r="BK126" s="95">
        <f t="shared" si="387"/>
        <v>0.17247386759581881</v>
      </c>
      <c r="BL126" s="95">
        <f t="shared" si="387"/>
        <v>0.22409326424870465</v>
      </c>
      <c r="BM126" s="95">
        <f>BM119/BM96</f>
        <v>0.18279569892473119</v>
      </c>
      <c r="BN126" s="445">
        <f t="shared" si="388"/>
        <v>0.19217081850533807</v>
      </c>
      <c r="BO126" s="130">
        <f t="shared" si="388"/>
        <v>0.28358208955223879</v>
      </c>
      <c r="BP126" s="130">
        <f t="shared" si="388"/>
        <v>0.24188311688311689</v>
      </c>
      <c r="BQ126" s="130">
        <f t="shared" si="388"/>
        <v>0.25910931174089069</v>
      </c>
      <c r="BR126" s="130">
        <f t="shared" si="388"/>
        <v>0.24681344148319814</v>
      </c>
      <c r="BS126" s="130">
        <f t="shared" si="388"/>
        <v>0.19143576826196473</v>
      </c>
      <c r="BT126" s="130">
        <f t="shared" si="388"/>
        <v>0.21739130434782608</v>
      </c>
      <c r="BU126" s="130">
        <f>BU119/BU96</f>
        <v>0.22936507936507936</v>
      </c>
      <c r="BV126" s="393">
        <f t="shared" si="398"/>
        <v>0.38576779026217228</v>
      </c>
      <c r="BW126" s="130">
        <f t="shared" si="398"/>
        <v>0.21621621621621623</v>
      </c>
      <c r="BX126" s="130">
        <f t="shared" si="398"/>
        <v>0.2966252220248668</v>
      </c>
      <c r="BY126" s="95">
        <f>IFERROR(BY119/BY96,"")</f>
        <v>0.35907335907335908</v>
      </c>
      <c r="BZ126" s="95">
        <f t="shared" si="399"/>
        <v>0.31630170316301703</v>
      </c>
      <c r="CA126" s="95">
        <f t="shared" si="399"/>
        <v>0.35732647814910024</v>
      </c>
      <c r="CB126" s="95">
        <f t="shared" si="399"/>
        <v>0.35802469135802467</v>
      </c>
      <c r="CC126" s="95">
        <f>CC119/CC96</f>
        <v>0.32947976878612717</v>
      </c>
      <c r="CD126" s="393">
        <f t="shared" si="390"/>
        <v>-8.7649402390438252E-2</v>
      </c>
      <c r="CE126" s="95">
        <f t="shared" si="390"/>
        <v>-9.1743119266055051E-3</v>
      </c>
      <c r="CF126" s="95">
        <f t="shared" si="390"/>
        <v>-5.1172707889125799E-2</v>
      </c>
      <c r="CG126" s="95">
        <f t="shared" si="390"/>
        <v>0.06</v>
      </c>
      <c r="CH126" s="95">
        <f t="shared" si="390"/>
        <v>-1.7937219730941704E-2</v>
      </c>
      <c r="CI126" s="95">
        <f t="shared" si="390"/>
        <v>0.15027322404371585</v>
      </c>
      <c r="CJ126" s="95">
        <f t="shared" si="390"/>
        <v>0.11837455830388692</v>
      </c>
      <c r="CK126" s="95">
        <f>CK119/CK96</f>
        <v>4.1545893719806763E-2</v>
      </c>
      <c r="CL126" s="393">
        <f t="shared" si="391"/>
        <v>-0.38461538461538464</v>
      </c>
      <c r="CM126" s="95">
        <f t="shared" si="391"/>
        <v>0.19607843137254902</v>
      </c>
      <c r="CN126" s="95">
        <f t="shared" si="391"/>
        <v>0</v>
      </c>
      <c r="CO126" s="95">
        <f t="shared" si="391"/>
        <v>-0.18497109826589594</v>
      </c>
      <c r="CP126" s="95">
        <f t="shared" si="391"/>
        <v>-6.6528066528066532E-2</v>
      </c>
      <c r="CQ126" s="95">
        <f t="shared" si="391"/>
        <v>-0.13973799126637554</v>
      </c>
      <c r="CR126" s="95">
        <f t="shared" si="391"/>
        <v>-0.15920398009950248</v>
      </c>
      <c r="CS126" s="95">
        <f>CS119/CS96</f>
        <v>-9.014084507042254E-2</v>
      </c>
      <c r="CT126" s="393">
        <f t="shared" si="392"/>
        <v>-7.7220077220077222E-3</v>
      </c>
      <c r="CU126" s="95">
        <f t="shared" si="392"/>
        <v>1.1363636363636364E-2</v>
      </c>
      <c r="CV126" s="95">
        <f t="shared" si="392"/>
        <v>1.9120458891013384E-3</v>
      </c>
      <c r="CW126" s="95">
        <f t="shared" si="392"/>
        <v>3.3333333333333333E-2</v>
      </c>
      <c r="CX126" s="95">
        <f t="shared" si="392"/>
        <v>7.7760497667185074E-3</v>
      </c>
      <c r="CY126" s="130">
        <f t="shared" si="392"/>
        <v>-2.7355623100303952E-2</v>
      </c>
      <c r="CZ126" s="95">
        <f t="shared" si="392"/>
        <v>-1.1135857461024499E-2</v>
      </c>
      <c r="DA126" s="95">
        <f>DA119/DA96</f>
        <v>-4.11522633744856E-3</v>
      </c>
      <c r="DB126" s="394">
        <f t="shared" si="393"/>
        <v>-4.0983606557377051E-3</v>
      </c>
      <c r="DC126" s="95">
        <f t="shared" si="393"/>
        <v>-3.1141868512110725E-2</v>
      </c>
      <c r="DD126" s="95">
        <f t="shared" si="393"/>
        <v>-1.8761726078799251E-2</v>
      </c>
      <c r="DE126" s="95">
        <f t="shared" si="393"/>
        <v>5.2631578947368418E-2</v>
      </c>
      <c r="DF126" s="95">
        <f t="shared" si="393"/>
        <v>1.3477088948787063E-3</v>
      </c>
      <c r="DG126" s="130">
        <f t="shared" si="393"/>
        <v>-0.14004914004914004</v>
      </c>
      <c r="DH126" s="95">
        <f t="shared" si="393"/>
        <v>-7.4675324675324672E-2</v>
      </c>
      <c r="DI126" s="95">
        <f>DI119/DI96</f>
        <v>-4.8738033072236731E-2</v>
      </c>
      <c r="DJ126" s="394">
        <f t="shared" ref="DJ126:EG126" si="402">IFERROR(DJ119/DJ96,"")</f>
        <v>-4.060913705583756E-2</v>
      </c>
      <c r="DK126" s="95">
        <f t="shared" si="402"/>
        <v>-1.6260162601626018E-2</v>
      </c>
      <c r="DL126" s="95">
        <f t="shared" si="402"/>
        <v>-2.4734982332155476E-2</v>
      </c>
      <c r="DM126" s="95">
        <f t="shared" si="402"/>
        <v>1.0600706713780919E-2</v>
      </c>
      <c r="DN126" s="95">
        <f t="shared" si="402"/>
        <v>-1.2956419316843345E-2</v>
      </c>
      <c r="DO126" s="130">
        <f t="shared" si="402"/>
        <v>3.3898305084745762E-3</v>
      </c>
      <c r="DP126" s="95">
        <f t="shared" si="402"/>
        <v>5.7273768613974796E-3</v>
      </c>
      <c r="DQ126" s="95">
        <f t="shared" si="402"/>
        <v>-6.2543432939541352E-3</v>
      </c>
      <c r="DR126" s="394">
        <f t="shared" si="402"/>
        <v>0.10638297872340426</v>
      </c>
      <c r="DS126" s="95">
        <f t="shared" si="402"/>
        <v>-2.0408163265306124E-3</v>
      </c>
      <c r="DT126" s="95">
        <f t="shared" si="402"/>
        <v>3.310344827586207E-2</v>
      </c>
      <c r="DU126" s="95">
        <f t="shared" si="402"/>
        <v>5.9288537549407112E-2</v>
      </c>
      <c r="DV126" s="95">
        <f t="shared" si="402"/>
        <v>3.9877300613496931E-2</v>
      </c>
      <c r="DW126" s="95">
        <f t="shared" si="402"/>
        <v>5.6399132321041212E-2</v>
      </c>
      <c r="DX126" s="95">
        <f t="shared" si="402"/>
        <v>5.7422969187675067E-2</v>
      </c>
      <c r="DY126" s="95">
        <f t="shared" si="402"/>
        <v>4.5170257123002086E-2</v>
      </c>
      <c r="DZ126" s="394">
        <f t="shared" si="402"/>
        <v>-0.10859728506787331</v>
      </c>
      <c r="EA126" s="95">
        <f t="shared" si="402"/>
        <v>2.3109243697478993E-2</v>
      </c>
      <c r="EB126" s="95">
        <f t="shared" si="402"/>
        <v>-1.8651362984218076E-2</v>
      </c>
      <c r="EC126" s="95">
        <f t="shared" si="402"/>
        <v>5.4283839257117723E-2</v>
      </c>
      <c r="ED126" s="95">
        <f t="shared" si="402"/>
        <v>2.054811408527436E-3</v>
      </c>
      <c r="EE126" s="130">
        <f t="shared" si="402"/>
        <v>0.10529073155039555</v>
      </c>
      <c r="EF126" s="95">
        <f t="shared" si="402"/>
        <v>8.9176632369915285E-2</v>
      </c>
      <c r="EG126" s="96">
        <f t="shared" si="402"/>
        <v>4.1357319276502241E-2</v>
      </c>
      <c r="EH126" s="401"/>
      <c r="EI126" s="19"/>
      <c r="EK126" s="19"/>
    </row>
    <row r="127" spans="1:141">
      <c r="A127" s="37" t="s">
        <v>225</v>
      </c>
      <c r="B127" s="91"/>
      <c r="C127" s="68"/>
      <c r="D127" s="68"/>
      <c r="E127" s="68"/>
      <c r="F127" s="68"/>
      <c r="G127" s="68"/>
      <c r="H127" s="68"/>
      <c r="I127" s="68"/>
      <c r="J127" s="468"/>
      <c r="K127" s="68"/>
      <c r="L127" s="68"/>
      <c r="M127" s="68"/>
      <c r="N127" s="68"/>
      <c r="O127" s="68"/>
      <c r="P127" s="68"/>
      <c r="Q127" s="68"/>
      <c r="R127" s="416">
        <f t="shared" ref="R127:AW127" si="403">R120/R97</f>
        <v>6.0691251860426655E-2</v>
      </c>
      <c r="S127" s="97">
        <f t="shared" si="403"/>
        <v>6.4820271066588095E-2</v>
      </c>
      <c r="T127" s="97">
        <f t="shared" si="403"/>
        <v>6.2874951305025323E-2</v>
      </c>
      <c r="U127" s="97">
        <f t="shared" si="403"/>
        <v>5.5660164193718463E-2</v>
      </c>
      <c r="V127" s="97">
        <f t="shared" si="403"/>
        <v>6.0415436362235862E-2</v>
      </c>
      <c r="W127" s="97">
        <f t="shared" si="403"/>
        <v>6.5359828141783025E-2</v>
      </c>
      <c r="X127" s="97">
        <f t="shared" si="403"/>
        <v>6.1322381415180108E-2</v>
      </c>
      <c r="Y127" s="97">
        <f t="shared" si="403"/>
        <v>6.2014695919537233E-2</v>
      </c>
      <c r="Z127" s="416">
        <f t="shared" si="403"/>
        <v>5.5344718532574319E-2</v>
      </c>
      <c r="AA127" s="97">
        <f t="shared" si="403"/>
        <v>7.3460692688290266E-2</v>
      </c>
      <c r="AB127" s="97">
        <f t="shared" si="403"/>
        <v>6.5036764705882349E-2</v>
      </c>
      <c r="AC127" s="97">
        <f t="shared" si="403"/>
        <v>6.1743250357223431E-2</v>
      </c>
      <c r="AD127" s="97">
        <f t="shared" si="403"/>
        <v>6.3955354717633403E-2</v>
      </c>
      <c r="AE127" s="97">
        <f t="shared" si="403"/>
        <v>7.3011476058567476E-2</v>
      </c>
      <c r="AF127" s="97">
        <f t="shared" si="403"/>
        <v>6.8540566347387574E-2</v>
      </c>
      <c r="AG127" s="97">
        <f t="shared" si="403"/>
        <v>6.6970829970517023E-2</v>
      </c>
      <c r="AH127" s="416">
        <f t="shared" si="403"/>
        <v>5.3899652260307997E-2</v>
      </c>
      <c r="AI127" s="97">
        <f t="shared" si="403"/>
        <v>7.3267915551590845E-2</v>
      </c>
      <c r="AJ127" s="97">
        <f t="shared" si="403"/>
        <v>6.5171494825736337E-2</v>
      </c>
      <c r="AK127" s="97">
        <f t="shared" si="403"/>
        <v>6.5449118817509949E-2</v>
      </c>
      <c r="AL127" s="97">
        <f t="shared" si="403"/>
        <v>6.5262422902362394E-2</v>
      </c>
      <c r="AM127" s="97">
        <f t="shared" si="403"/>
        <v>6.069350709797533E-2</v>
      </c>
      <c r="AN127" s="97">
        <f t="shared" si="403"/>
        <v>6.2575582866946033E-2</v>
      </c>
      <c r="AO127" s="97">
        <f t="shared" si="403"/>
        <v>6.3739332816136543E-2</v>
      </c>
      <c r="AP127" s="416">
        <f t="shared" si="403"/>
        <v>4.1122876138882047E-2</v>
      </c>
      <c r="AQ127" s="97">
        <f t="shared" si="403"/>
        <v>7.1385469466570123E-2</v>
      </c>
      <c r="AR127" s="97">
        <f t="shared" si="403"/>
        <v>5.8563728047296121E-2</v>
      </c>
      <c r="AS127" s="97">
        <f t="shared" si="403"/>
        <v>5.2401433691756275E-2</v>
      </c>
      <c r="AT127" s="97">
        <f t="shared" si="403"/>
        <v>5.655075518089217E-2</v>
      </c>
      <c r="AU127" s="97">
        <f t="shared" si="403"/>
        <v>6.4499916233875021E-2</v>
      </c>
      <c r="AV127" s="97">
        <f t="shared" si="403"/>
        <v>6.0038069053032307E-2</v>
      </c>
      <c r="AW127" s="97">
        <f t="shared" si="403"/>
        <v>5.9401330709962299E-2</v>
      </c>
      <c r="AX127" s="416">
        <f t="shared" ref="AX127:BD127" si="404">AX120/AX97</f>
        <v>1.8478595626732368E-2</v>
      </c>
      <c r="AY127" s="97">
        <f t="shared" si="404"/>
        <v>5.4640290057884358E-2</v>
      </c>
      <c r="AZ127" s="97">
        <f t="shared" si="404"/>
        <v>3.8280678532864258E-2</v>
      </c>
      <c r="BA127" s="97">
        <f t="shared" si="404"/>
        <v>4.893288402134232E-2</v>
      </c>
      <c r="BB127" s="97">
        <f t="shared" si="404"/>
        <v>4.1813144599911534E-2</v>
      </c>
      <c r="BC127" s="97">
        <f t="shared" si="404"/>
        <v>0.10317460317460317</v>
      </c>
      <c r="BD127" s="97">
        <f t="shared" si="404"/>
        <v>8.2873508854905673E-2</v>
      </c>
      <c r="BE127" s="97">
        <f>BE120/BE97</f>
        <v>6.3699132805128275E-2</v>
      </c>
      <c r="BF127" s="416">
        <f t="shared" ref="BF127:BL127" si="405">BF120/BF97</f>
        <v>-1.660548855095263E-3</v>
      </c>
      <c r="BG127" s="97">
        <f t="shared" si="405"/>
        <v>4.165149639554358E-2</v>
      </c>
      <c r="BH127" s="97">
        <f t="shared" si="405"/>
        <v>2.1966236345580932E-2</v>
      </c>
      <c r="BI127" s="97">
        <f t="shared" si="405"/>
        <v>5.0956900575696282E-2</v>
      </c>
      <c r="BJ127" s="97">
        <f t="shared" si="405"/>
        <v>3.0345262825738253E-2</v>
      </c>
      <c r="BK127" s="97">
        <f t="shared" si="405"/>
        <v>9.441242318868194E-2</v>
      </c>
      <c r="BL127" s="97">
        <f t="shared" si="405"/>
        <v>7.7909415900966117E-2</v>
      </c>
      <c r="BM127" s="97">
        <f>BM120/BM97</f>
        <v>5.4047643251668873E-2</v>
      </c>
      <c r="BN127" s="446">
        <f t="shared" ref="BN127:BT127" si="406">BN120/BN97</f>
        <v>1.3835359225219882E-3</v>
      </c>
      <c r="BO127" s="131">
        <f t="shared" si="406"/>
        <v>7.73011918389334E-2</v>
      </c>
      <c r="BP127" s="131">
        <f t="shared" si="406"/>
        <v>4.6535843011613939E-2</v>
      </c>
      <c r="BQ127" s="131">
        <f t="shared" si="406"/>
        <v>0.1019998705585399</v>
      </c>
      <c r="BR127" s="131">
        <f t="shared" si="406"/>
        <v>6.7737067365973139E-2</v>
      </c>
      <c r="BS127" s="131">
        <f t="shared" si="406"/>
        <v>0.13295542385982995</v>
      </c>
      <c r="BT127" s="131">
        <f t="shared" si="406"/>
        <v>0.12060820404264656</v>
      </c>
      <c r="BU127" s="131">
        <f>BU120/BU97</f>
        <v>9.1575494058737661E-2</v>
      </c>
      <c r="BV127" s="416">
        <f t="shared" ref="BV127:CB127" si="407">BV120/BV97</f>
        <v>4.3748505857040404E-2</v>
      </c>
      <c r="BW127" s="131">
        <f t="shared" si="407"/>
        <v>0.10809630397990938</v>
      </c>
      <c r="BX127" s="131">
        <f t="shared" si="407"/>
        <v>8.1934815006803607E-2</v>
      </c>
      <c r="BY127" s="97">
        <f t="shared" si="407"/>
        <v>0.10482289896745524</v>
      </c>
      <c r="BZ127" s="97">
        <f t="shared" si="407"/>
        <v>8.9520880263385894E-2</v>
      </c>
      <c r="CA127" s="97">
        <f t="shared" si="407"/>
        <v>0.11571369806663924</v>
      </c>
      <c r="CB127" s="97">
        <f t="shared" si="407"/>
        <v>0.11150661415732606</v>
      </c>
      <c r="CC127" s="97">
        <f>CC120/CC97</f>
        <v>9.8555577627060922E-2</v>
      </c>
      <c r="CD127" s="416">
        <f t="shared" ref="CD127:CJ127" si="408">CD120/CD97</f>
        <v>2.6432132442855798E-2</v>
      </c>
      <c r="CE127" s="97">
        <f t="shared" si="408"/>
        <v>-0.14740892148611279</v>
      </c>
      <c r="CF127" s="97">
        <f t="shared" si="408"/>
        <v>-4.9873337555414822E-2</v>
      </c>
      <c r="CG127" s="97">
        <f t="shared" si="408"/>
        <v>7.3129403371087129E-2</v>
      </c>
      <c r="CH127" s="97">
        <f t="shared" si="408"/>
        <v>-4.1444249195981562E-3</v>
      </c>
      <c r="CI127" s="97">
        <f t="shared" si="408"/>
        <v>9.2704166877626448E-2</v>
      </c>
      <c r="CJ127" s="97">
        <f t="shared" si="408"/>
        <v>8.5615553546053477E-2</v>
      </c>
      <c r="CK127" s="97">
        <f>CK120/CK97</f>
        <v>3.4180157076454561E-2</v>
      </c>
      <c r="CL127" s="416">
        <f t="shared" ref="CL127:CR127" si="409">CL120/CL97</f>
        <v>6.6347992351816445E-2</v>
      </c>
      <c r="CM127" s="97">
        <f t="shared" si="409"/>
        <v>0.14170840093108555</v>
      </c>
      <c r="CN127" s="97">
        <f t="shared" si="409"/>
        <v>0.10971303324268376</v>
      </c>
      <c r="CO127" s="97">
        <f t="shared" si="409"/>
        <v>6.3320022818026248E-2</v>
      </c>
      <c r="CP127" s="97">
        <f t="shared" si="409"/>
        <v>9.5832740719670031E-2</v>
      </c>
      <c r="CQ127" s="97">
        <f t="shared" si="409"/>
        <v>8.8031069789337418E-2</v>
      </c>
      <c r="CR127" s="97">
        <f t="shared" si="409"/>
        <v>7.8583890665891248E-2</v>
      </c>
      <c r="CS127" s="97">
        <f>CS120/CS97</f>
        <v>9.3290379489539582E-2</v>
      </c>
      <c r="CT127" s="416">
        <f t="shared" ref="CT127:CZ127" si="410">CT120/CT97</f>
        <v>0.10525</v>
      </c>
      <c r="CU127" s="97">
        <f t="shared" si="410"/>
        <v>0.10788446526151445</v>
      </c>
      <c r="CV127" s="97">
        <f t="shared" si="410"/>
        <v>0.10661023780733575</v>
      </c>
      <c r="CW127" s="97">
        <f t="shared" si="410"/>
        <v>6.2814636711999397E-2</v>
      </c>
      <c r="CX127" s="97">
        <f t="shared" si="410"/>
        <v>9.131928959311629E-2</v>
      </c>
      <c r="CY127" s="131">
        <f t="shared" si="410"/>
        <v>0.10395272234063166</v>
      </c>
      <c r="CZ127" s="97">
        <f t="shared" si="410"/>
        <v>8.7827290666509586E-2</v>
      </c>
      <c r="DA127" s="97">
        <f>DA120/DA97</f>
        <v>9.5757534503003588E-2</v>
      </c>
      <c r="DB127" s="395">
        <f t="shared" ref="DB127:DH127" si="411">DB120/DB97</f>
        <v>6.5714528606647962E-2</v>
      </c>
      <c r="DC127" s="97">
        <f t="shared" si="411"/>
        <v>0.11603773584905661</v>
      </c>
      <c r="DD127" s="97">
        <f t="shared" si="411"/>
        <v>9.4639048548602833E-2</v>
      </c>
      <c r="DE127" s="97">
        <f t="shared" si="411"/>
        <v>6.8000268510438347E-2</v>
      </c>
      <c r="DF127" s="97">
        <f t="shared" si="411"/>
        <v>8.5314849624060149E-2</v>
      </c>
      <c r="DG127" s="131">
        <f t="shared" si="411"/>
        <v>9.6434501441929568E-2</v>
      </c>
      <c r="DH127" s="97">
        <f t="shared" si="411"/>
        <v>8.522351322023132E-2</v>
      </c>
      <c r="DI127" s="97">
        <f>DI120/DI97</f>
        <v>8.9203312654707698E-2</v>
      </c>
      <c r="DJ127" s="395">
        <f t="shared" ref="DJ127:EG127" si="412">DJ120/DJ97</f>
        <v>4.4972720187061575E-2</v>
      </c>
      <c r="DK127" s="97">
        <f t="shared" si="412"/>
        <v>5.0890903407314787E-2</v>
      </c>
      <c r="DL127" s="97">
        <f t="shared" si="412"/>
        <v>4.8256721595836945E-2</v>
      </c>
      <c r="DM127" s="97">
        <f t="shared" si="412"/>
        <v>8.9680667983937784E-2</v>
      </c>
      <c r="DN127" s="97">
        <f t="shared" si="412"/>
        <v>6.2856629375028075E-2</v>
      </c>
      <c r="DO127" s="131">
        <f t="shared" si="412"/>
        <v>0.10341479203754653</v>
      </c>
      <c r="DP127" s="97">
        <f t="shared" si="412"/>
        <v>9.8081920554386831E-2</v>
      </c>
      <c r="DQ127" s="97">
        <f t="shared" si="412"/>
        <v>7.7336414849053875E-2</v>
      </c>
      <c r="DR127" s="395">
        <f t="shared" si="412"/>
        <v>4.60788657509969E-2</v>
      </c>
      <c r="DS127" s="97">
        <f t="shared" si="412"/>
        <v>9.8332088623350758E-2</v>
      </c>
      <c r="DT127" s="97">
        <f t="shared" si="412"/>
        <v>7.4434312732185079E-2</v>
      </c>
      <c r="DU127" s="97">
        <f t="shared" si="412"/>
        <v>0.10894199483899922</v>
      </c>
      <c r="DV127" s="97">
        <f t="shared" si="412"/>
        <v>8.7401973184922849E-2</v>
      </c>
      <c r="DW127" s="97">
        <f t="shared" si="412"/>
        <v>0.11434487518693201</v>
      </c>
      <c r="DX127" s="97">
        <f t="shared" si="412"/>
        <v>0.11215123562236648</v>
      </c>
      <c r="DY127" s="97">
        <f t="shared" si="412"/>
        <v>9.6959804121607832E-2</v>
      </c>
      <c r="DZ127" s="395">
        <f t="shared" si="412"/>
        <v>2.3713540431586435E-2</v>
      </c>
      <c r="EA127" s="97">
        <f t="shared" si="412"/>
        <v>0.11824604141291109</v>
      </c>
      <c r="EB127" s="97">
        <f t="shared" si="412"/>
        <v>8.2197974439353755E-2</v>
      </c>
      <c r="EC127" s="97">
        <f t="shared" si="412"/>
        <v>0.10608613820349966</v>
      </c>
      <c r="ED127" s="97">
        <f t="shared" si="412"/>
        <v>9.1035766031825907E-2</v>
      </c>
      <c r="EE127" s="131">
        <f t="shared" si="412"/>
        <v>0.10200411185018657</v>
      </c>
      <c r="EF127" s="482">
        <f t="shared" si="412"/>
        <v>0.10369191323522835</v>
      </c>
      <c r="EG127" s="98">
        <f t="shared" si="412"/>
        <v>9.4810871998285931E-2</v>
      </c>
      <c r="EH127" s="401"/>
      <c r="EI127" s="19"/>
      <c r="EK127" s="19"/>
    </row>
    <row r="128" spans="1:141">
      <c r="B128" s="42"/>
      <c r="J128" s="369"/>
      <c r="R128" s="369"/>
      <c r="Z128" s="369"/>
      <c r="AH128" s="369"/>
      <c r="AP128" s="369"/>
      <c r="AQ128" s="43"/>
      <c r="AR128" s="43"/>
      <c r="AS128" s="43"/>
      <c r="AT128" s="43"/>
      <c r="AU128" s="43"/>
      <c r="AV128" s="43"/>
      <c r="AW128" s="43"/>
      <c r="AX128" s="369"/>
      <c r="AY128" s="43"/>
      <c r="AZ128" s="43"/>
      <c r="BA128" s="43"/>
      <c r="BB128" s="43"/>
      <c r="BC128" s="43"/>
      <c r="BD128" s="43"/>
      <c r="BE128" s="43"/>
      <c r="BF128" s="369"/>
      <c r="BG128" s="43"/>
      <c r="BH128" s="43"/>
      <c r="BI128" s="43"/>
      <c r="BJ128" s="43"/>
      <c r="BK128" s="43"/>
      <c r="BL128" s="43"/>
      <c r="BM128" s="43"/>
      <c r="BN128" s="408"/>
      <c r="BO128" s="122"/>
      <c r="BP128" s="122"/>
      <c r="BQ128" s="122"/>
      <c r="BR128" s="122"/>
      <c r="BS128" s="122"/>
      <c r="BT128" s="122"/>
      <c r="BU128" s="122"/>
      <c r="BV128" s="369"/>
      <c r="BW128" s="122"/>
      <c r="BX128" s="122"/>
      <c r="BY128" s="43"/>
      <c r="BZ128" s="43"/>
      <c r="CA128" s="43"/>
      <c r="CB128" s="43"/>
      <c r="CC128" s="43"/>
      <c r="CD128" s="369"/>
      <c r="CE128" s="43"/>
      <c r="CF128" s="43"/>
      <c r="CG128" s="43"/>
      <c r="CH128" s="43"/>
      <c r="CI128" s="43"/>
      <c r="CJ128" s="43"/>
      <c r="CK128" s="43"/>
      <c r="CL128" s="369"/>
      <c r="CM128" s="43"/>
      <c r="CN128" s="43"/>
      <c r="CO128" s="43"/>
      <c r="CP128" s="43"/>
      <c r="CQ128" s="43"/>
      <c r="CR128" s="43"/>
      <c r="CS128" s="43"/>
      <c r="CT128" s="369"/>
      <c r="CU128" s="43"/>
      <c r="CV128" s="43"/>
      <c r="CW128" s="43"/>
      <c r="CX128" s="43"/>
      <c r="CY128" s="122"/>
      <c r="CZ128" s="43"/>
      <c r="DA128" s="43"/>
      <c r="DB128" s="369"/>
      <c r="DC128" s="43"/>
      <c r="DD128" s="43"/>
      <c r="DE128" s="43"/>
      <c r="DF128" s="43"/>
      <c r="DG128" s="122"/>
      <c r="DH128" s="43"/>
      <c r="DI128" s="43"/>
      <c r="DJ128" s="369"/>
      <c r="DK128" s="43"/>
      <c r="DL128" s="43"/>
      <c r="DM128" s="43"/>
      <c r="DN128" s="43"/>
      <c r="DO128" s="122"/>
      <c r="DP128" s="43"/>
      <c r="DQ128" s="43"/>
      <c r="DR128" s="369"/>
      <c r="DS128" s="43"/>
      <c r="DT128" s="43"/>
      <c r="DU128" s="43"/>
      <c r="DV128" s="43"/>
      <c r="DW128" s="122"/>
      <c r="DX128" s="43"/>
      <c r="DY128" s="43"/>
      <c r="DZ128" s="369"/>
      <c r="EA128" s="43"/>
      <c r="EB128" s="43"/>
      <c r="EC128" s="43"/>
      <c r="ED128" s="43"/>
      <c r="EE128" s="122"/>
      <c r="EF128" s="43"/>
      <c r="EG128" s="44"/>
      <c r="EH128" s="401"/>
      <c r="EI128" s="19"/>
      <c r="EK128" s="19"/>
    </row>
    <row r="129" spans="1:141">
      <c r="A129" s="12" t="s">
        <v>389</v>
      </c>
      <c r="B129" s="42"/>
      <c r="J129" s="369"/>
      <c r="R129" s="369"/>
      <c r="Z129" s="369"/>
      <c r="AH129" s="369"/>
      <c r="AP129" s="369"/>
      <c r="AQ129" s="43"/>
      <c r="AR129" s="43"/>
      <c r="AS129" s="43"/>
      <c r="AT129" s="43"/>
      <c r="AU129" s="43"/>
      <c r="AV129" s="43"/>
      <c r="AW129" s="43"/>
      <c r="AX129" s="369"/>
      <c r="AY129" s="43"/>
      <c r="AZ129" s="43"/>
      <c r="BA129" s="43"/>
      <c r="BB129" s="43"/>
      <c r="BC129" s="43"/>
      <c r="BD129" s="43"/>
      <c r="BE129" s="43"/>
      <c r="BF129" s="369"/>
      <c r="BG129" s="43"/>
      <c r="BH129" s="43"/>
      <c r="BI129" s="43"/>
      <c r="BJ129" s="43"/>
      <c r="BK129" s="43"/>
      <c r="BL129" s="43"/>
      <c r="BM129" s="43"/>
      <c r="BN129" s="408"/>
      <c r="BO129" s="122"/>
      <c r="BP129" s="122"/>
      <c r="BQ129" s="122"/>
      <c r="BR129" s="122"/>
      <c r="BS129" s="122"/>
      <c r="BT129" s="122"/>
      <c r="BU129" s="122"/>
      <c r="BV129" s="369"/>
      <c r="BW129" s="122"/>
      <c r="BX129" s="122"/>
      <c r="BY129" s="43"/>
      <c r="BZ129" s="43"/>
      <c r="CA129" s="43"/>
      <c r="CB129" s="43"/>
      <c r="CC129" s="43"/>
      <c r="CD129" s="369"/>
      <c r="CE129" s="43"/>
      <c r="CF129" s="43"/>
      <c r="CG129" s="43"/>
      <c r="CH129" s="43"/>
      <c r="CI129" s="43"/>
      <c r="CJ129" s="43"/>
      <c r="CK129" s="43"/>
      <c r="CL129" s="369"/>
      <c r="CM129" s="43"/>
      <c r="CN129" s="43"/>
      <c r="CO129" s="43"/>
      <c r="CP129" s="43"/>
      <c r="CQ129" s="43"/>
      <c r="CR129" s="43"/>
      <c r="CS129" s="43"/>
      <c r="CT129" s="369"/>
      <c r="CU129" s="43"/>
      <c r="CV129" s="43"/>
      <c r="CW129" s="43"/>
      <c r="CX129" s="43"/>
      <c r="CY129" s="122"/>
      <c r="CZ129" s="43"/>
      <c r="DA129" s="43"/>
      <c r="DB129" s="369"/>
      <c r="DC129" s="43"/>
      <c r="DD129" s="43"/>
      <c r="DE129" s="43"/>
      <c r="DF129" s="43"/>
      <c r="DG129" s="122"/>
      <c r="DH129" s="43"/>
      <c r="DI129" s="43"/>
      <c r="DJ129" s="369"/>
      <c r="DK129" s="43"/>
      <c r="DL129" s="43"/>
      <c r="DM129" s="43"/>
      <c r="DN129" s="43"/>
      <c r="DO129" s="122"/>
      <c r="DP129" s="43"/>
      <c r="DQ129" s="43"/>
      <c r="DR129" s="369"/>
      <c r="DS129" s="43"/>
      <c r="DT129" s="43"/>
      <c r="DU129" s="43"/>
      <c r="DV129" s="43"/>
      <c r="DW129" s="122"/>
      <c r="DX129" s="43"/>
      <c r="DY129" s="43"/>
      <c r="DZ129" s="369"/>
      <c r="EA129" s="43"/>
      <c r="EB129" s="43"/>
      <c r="EC129" s="43"/>
      <c r="ED129" s="43"/>
      <c r="EE129" s="122"/>
      <c r="EF129" s="43"/>
      <c r="EG129" s="44"/>
      <c r="EH129" s="401"/>
      <c r="EI129" s="19"/>
      <c r="EK129" s="19"/>
    </row>
    <row r="130" spans="1:141">
      <c r="A130" s="13" t="s">
        <v>14</v>
      </c>
      <c r="B130" s="42"/>
      <c r="J130" s="369"/>
      <c r="R130" s="369"/>
      <c r="Z130" s="390">
        <f>Z116/R116-1</f>
        <v>-0.13322368421052633</v>
      </c>
      <c r="AA130" s="77">
        <f t="shared" ref="AA130:AG130" si="413">AA116/S116-1</f>
        <v>0.2199036918138042</v>
      </c>
      <c r="AB130" s="77">
        <f t="shared" si="413"/>
        <v>4.5491470349309449E-2</v>
      </c>
      <c r="AC130" s="77">
        <f t="shared" si="413"/>
        <v>-0.71203271028037385</v>
      </c>
      <c r="AD130" s="77">
        <f t="shared" si="413"/>
        <v>3.971962616822422E-2</v>
      </c>
      <c r="AE130" s="77">
        <f t="shared" si="413"/>
        <v>0.49203187250996017</v>
      </c>
      <c r="AF130" s="77">
        <f t="shared" si="413"/>
        <v>0.26347914547304163</v>
      </c>
      <c r="AG130" s="77">
        <f t="shared" si="413"/>
        <v>0.14227642276422769</v>
      </c>
      <c r="AH130" s="390">
        <f>AH116/Z116-1</f>
        <v>7.9696394686906924E-2</v>
      </c>
      <c r="AI130" s="77">
        <f>AI116/AA116-1</f>
        <v>0.26842105263157889</v>
      </c>
      <c r="AJ130" s="77">
        <f>AJ116/AB116-1</f>
        <v>0.19114219114219111</v>
      </c>
      <c r="AK130" s="77">
        <f>AK116/AC116-1</f>
        <v>0.40567951318458428</v>
      </c>
      <c r="AL130" s="77">
        <f t="shared" ref="AL130:AM134" si="414">AL116/AD116-1</f>
        <v>0.25056179775280896</v>
      </c>
      <c r="AM130" s="77">
        <f t="shared" si="414"/>
        <v>-0.27903871829105475</v>
      </c>
      <c r="AN130" s="77">
        <f t="shared" ref="AN130:AP134" si="415">AN116/AF116-1</f>
        <v>-7.2463768115942351E-3</v>
      </c>
      <c r="AO130" s="77">
        <f t="shared" si="415"/>
        <v>9.3712930011862428E-2</v>
      </c>
      <c r="AP130" s="390">
        <f t="shared" si="415"/>
        <v>-0.2847100175746925</v>
      </c>
      <c r="AQ130" s="77">
        <f t="shared" ref="AQ130:BE134" si="416">AQ116/AI116-1</f>
        <v>-0.10477178423236511</v>
      </c>
      <c r="AR130" s="77">
        <f t="shared" si="416"/>
        <v>-0.17155903457273325</v>
      </c>
      <c r="AS130" s="77">
        <f t="shared" si="416"/>
        <v>-0.18037518037518041</v>
      </c>
      <c r="AT130" s="77">
        <f t="shared" si="416"/>
        <v>-0.17430368373764604</v>
      </c>
      <c r="AU130" s="77">
        <f t="shared" si="416"/>
        <v>0.80185185185185182</v>
      </c>
      <c r="AV130" s="77">
        <f t="shared" si="416"/>
        <v>0.24979724249797242</v>
      </c>
      <c r="AW130" s="77">
        <f t="shared" si="416"/>
        <v>1.626898047722336E-2</v>
      </c>
      <c r="AX130" s="390">
        <f t="shared" si="416"/>
        <v>-0.30958230958230959</v>
      </c>
      <c r="AY130" s="77">
        <f t="shared" si="416"/>
        <v>-0.22016222479721903</v>
      </c>
      <c r="AZ130" s="77">
        <f t="shared" si="416"/>
        <v>-0.2488188976377953</v>
      </c>
      <c r="BA130" s="77">
        <f t="shared" si="416"/>
        <v>4.0492957746478764E-2</v>
      </c>
      <c r="BB130" s="77">
        <f t="shared" si="416"/>
        <v>-0.15941240478781282</v>
      </c>
      <c r="BC130" s="77">
        <f t="shared" si="416"/>
        <v>1.064748201438849</v>
      </c>
      <c r="BD130" s="77">
        <f t="shared" si="416"/>
        <v>0.68721609344581447</v>
      </c>
      <c r="BE130" s="77">
        <f t="shared" si="416"/>
        <v>0.26431874777659203</v>
      </c>
      <c r="BF130" s="390"/>
      <c r="BG130" s="77"/>
      <c r="BH130" s="77"/>
      <c r="BI130" s="77"/>
      <c r="BJ130" s="77"/>
      <c r="BK130" s="77"/>
      <c r="BL130" s="77"/>
      <c r="BM130" s="77"/>
      <c r="BN130" s="443">
        <f>BN116/BF116-1</f>
        <v>-0.60194174757281549</v>
      </c>
      <c r="BO130" s="128">
        <f t="shared" ref="BO130:BU130" si="417">BO116/BG116-1</f>
        <v>1.5222222222222221</v>
      </c>
      <c r="BP130" s="128">
        <f t="shared" si="417"/>
        <v>2.3735408560311284</v>
      </c>
      <c r="BQ130" s="128">
        <f t="shared" si="417"/>
        <v>1.6830601092896176</v>
      </c>
      <c r="BR130" s="128">
        <f t="shared" si="417"/>
        <v>1.903225806451613</v>
      </c>
      <c r="BS130" s="128">
        <f t="shared" si="417"/>
        <v>0.56499682942295504</v>
      </c>
      <c r="BT130" s="128">
        <f t="shared" si="417"/>
        <v>0.85371589840075268</v>
      </c>
      <c r="BU130" s="128">
        <f t="shared" si="417"/>
        <v>1.0176248426353336</v>
      </c>
      <c r="BV130" s="390">
        <f t="shared" ref="BV130:CC134" si="418">BV116/BN116-1</f>
        <v>-14.073170731707316</v>
      </c>
      <c r="BW130" s="128">
        <f t="shared" si="418"/>
        <v>0.98458149779735682</v>
      </c>
      <c r="BX130" s="128">
        <f t="shared" si="418"/>
        <v>1.696655132641292</v>
      </c>
      <c r="BY130" s="77">
        <f t="shared" si="418"/>
        <v>1.4935505770536261E-2</v>
      </c>
      <c r="BZ130" s="77">
        <f t="shared" si="418"/>
        <v>0.63803418803418799</v>
      </c>
      <c r="CA130" s="77">
        <f t="shared" si="418"/>
        <v>2.3095623987034131E-2</v>
      </c>
      <c r="CB130" s="77">
        <f t="shared" si="418"/>
        <v>2.0045673686881482E-2</v>
      </c>
      <c r="CC130" s="77">
        <f t="shared" si="418"/>
        <v>0.32237936772046583</v>
      </c>
      <c r="CD130" s="390">
        <f t="shared" ref="CD130:CK134" si="419">CD116/BV116-1</f>
        <v>-0.64365671641791045</v>
      </c>
      <c r="CE130" s="77">
        <f t="shared" si="419"/>
        <v>-1.8312985571587126</v>
      </c>
      <c r="CF130" s="77">
        <f t="shared" si="419"/>
        <v>-1.5590248075278015</v>
      </c>
      <c r="CG130" s="77">
        <f t="shared" si="419"/>
        <v>-0.55451505016722402</v>
      </c>
      <c r="CH130" s="77">
        <f t="shared" si="419"/>
        <v>-1.1672319332115837</v>
      </c>
      <c r="CI130" s="77">
        <f t="shared" si="419"/>
        <v>-0.50138613861386139</v>
      </c>
      <c r="CJ130" s="77">
        <f t="shared" si="419"/>
        <v>-0.52114427860696511</v>
      </c>
      <c r="CK130" s="77">
        <f t="shared" si="419"/>
        <v>-0.90279962252280588</v>
      </c>
      <c r="CL130" s="390">
        <f t="shared" ref="CL130:CU131" si="420">CL116/CD116-1</f>
        <v>1.7905759162303663</v>
      </c>
      <c r="CM130" s="77">
        <f t="shared" si="420"/>
        <v>-2.1735647530040056</v>
      </c>
      <c r="CN130" s="77">
        <f t="shared" si="420"/>
        <v>-2.7528691660290745</v>
      </c>
      <c r="CO130" s="77">
        <f t="shared" si="420"/>
        <v>-0.32732732732732728</v>
      </c>
      <c r="CP130" s="77">
        <f t="shared" si="420"/>
        <v>-5.2730109204368176</v>
      </c>
      <c r="CQ130" s="77">
        <f t="shared" si="420"/>
        <v>-0.33995234312946787</v>
      </c>
      <c r="CR130" s="77">
        <f t="shared" si="420"/>
        <v>-0.33558441558441554</v>
      </c>
      <c r="CS130" s="77">
        <f t="shared" si="420"/>
        <v>4.7766990291262132</v>
      </c>
      <c r="CT130" s="390">
        <f t="shared" si="420"/>
        <v>0.99812382739212002</v>
      </c>
      <c r="CU130" s="77">
        <f t="shared" si="420"/>
        <v>-0.31114903299203645</v>
      </c>
      <c r="CV130" s="77">
        <f t="shared" ref="CV130:DE131" si="421">CV116/CN116-1</f>
        <v>-6.5473592317765172E-3</v>
      </c>
      <c r="CW130" s="77">
        <f t="shared" si="421"/>
        <v>0.3370535714285714</v>
      </c>
      <c r="CX130" s="77">
        <f t="shared" si="421"/>
        <v>4.9653158086893079E-2</v>
      </c>
      <c r="CY130" s="128">
        <f t="shared" si="421"/>
        <v>1.0758122743682312</v>
      </c>
      <c r="CZ130" s="77">
        <f t="shared" si="421"/>
        <v>0.81704456606724007</v>
      </c>
      <c r="DA130" s="77">
        <f t="shared" si="421"/>
        <v>0.28851540616246507</v>
      </c>
      <c r="DB130" s="390">
        <f t="shared" si="421"/>
        <v>-0.45539906103286387</v>
      </c>
      <c r="DC130" s="77">
        <f t="shared" si="421"/>
        <v>0.38398018166804304</v>
      </c>
      <c r="DD130" s="77">
        <f t="shared" si="421"/>
        <v>-8.7873462214411724E-3</v>
      </c>
      <c r="DE130" s="77">
        <f t="shared" si="421"/>
        <v>0.60267111853088484</v>
      </c>
      <c r="DF130" s="77">
        <f t="shared" ref="DF130:DO131" si="422">DF116/CX116-1</f>
        <v>0.11860869565217391</v>
      </c>
      <c r="DG130" s="128">
        <f t="shared" si="422"/>
        <v>-7.1304347826086967E-2</v>
      </c>
      <c r="DH130" s="77">
        <f t="shared" si="422"/>
        <v>0.10240963855421681</v>
      </c>
      <c r="DI130" s="77">
        <f t="shared" si="422"/>
        <v>4.7391304347826013E-2</v>
      </c>
      <c r="DJ130" s="390">
        <f t="shared" si="422"/>
        <v>-0.12586206896551722</v>
      </c>
      <c r="DK130" s="77">
        <f t="shared" si="422"/>
        <v>-0.13663484486873512</v>
      </c>
      <c r="DL130" s="77">
        <f t="shared" si="422"/>
        <v>-0.13386524822695034</v>
      </c>
      <c r="DM130" s="77">
        <f t="shared" si="422"/>
        <v>0.11874999999999991</v>
      </c>
      <c r="DN130" s="77">
        <f t="shared" si="422"/>
        <v>-5.8457711442786109E-2</v>
      </c>
      <c r="DO130" s="128">
        <f t="shared" si="422"/>
        <v>0.28901373283395748</v>
      </c>
      <c r="DP130" s="77">
        <f t="shared" ref="DP130:DR131" si="423">DP116/DH116-1</f>
        <v>0.22521467603434808</v>
      </c>
      <c r="DQ130" s="77">
        <f t="shared" si="423"/>
        <v>5.7077625570776336E-2</v>
      </c>
      <c r="DR130" s="390">
        <f t="shared" si="423"/>
        <v>-2.5641025641025661E-2</v>
      </c>
      <c r="DS130" s="77">
        <f t="shared" ref="DS130:DS131" si="424">DS116/DK116-1</f>
        <v>-0.15687629578438145</v>
      </c>
      <c r="DT130" s="77">
        <f t="shared" ref="DT130:DT131" si="425">DT116/DL116-1</f>
        <v>-0.12282497441146367</v>
      </c>
      <c r="DU130" s="77">
        <f t="shared" ref="DU130:DU131" si="426">DU116/DM116-1</f>
        <v>0.44878957169459954</v>
      </c>
      <c r="DV130" s="77">
        <f t="shared" ref="DV130:DV131" si="427">DV116/DN116-1</f>
        <v>7.9920739762219251E-2</v>
      </c>
      <c r="DW130" s="77">
        <f t="shared" ref="DW130:DW131" si="428">DW116/DO116-1</f>
        <v>6.5375302663438273E-2</v>
      </c>
      <c r="DX130" s="77">
        <f t="shared" ref="DX130:DX131" si="429">DX116/DP116-1</f>
        <v>0.19655941382605935</v>
      </c>
      <c r="DY130" s="77">
        <f t="shared" ref="DY130:DY131" si="430">DY116/DQ116-1</f>
        <v>7.4023169055566385E-2</v>
      </c>
      <c r="DZ130" s="390">
        <f t="shared" ref="DZ130:DZ131" si="431">DZ116/DR116-1</f>
        <v>-0.83603238866396756</v>
      </c>
      <c r="EA130" s="77">
        <f t="shared" ref="EA130:EA131" si="432">EA116/DS116-1</f>
        <v>0.56229508196721301</v>
      </c>
      <c r="EB130" s="77">
        <f t="shared" ref="EB130:EB131" si="433">EB116/DT116-1</f>
        <v>0.15927654609101527</v>
      </c>
      <c r="EC130" s="77">
        <f t="shared" ref="EC130:EC131" si="434">EC116/DU116-1</f>
        <v>5.2603939805283995E-2</v>
      </c>
      <c r="ED130" s="77">
        <f t="shared" ref="ED130:ED131" si="435">ED116/DV116-1</f>
        <v>0.10851734872691798</v>
      </c>
      <c r="EE130" s="128">
        <f t="shared" ref="EE130:EE131" si="436">EE116/DW116-1</f>
        <v>-3.0503718000963187E-2</v>
      </c>
      <c r="EF130" s="77">
        <f t="shared" ref="EF130:EF131" si="437">EF116/DX116-1</f>
        <v>3.9253329965129868E-3</v>
      </c>
      <c r="EG130" s="92">
        <f t="shared" ref="EG130:EG131" si="438">EG116/DY116-1</f>
        <v>5.2603939805283773E-2</v>
      </c>
      <c r="EH130" s="406"/>
    </row>
    <row r="131" spans="1:141">
      <c r="A131" s="13" t="s">
        <v>385</v>
      </c>
      <c r="B131" s="42"/>
      <c r="J131" s="369"/>
      <c r="R131" s="369"/>
      <c r="Z131" s="390">
        <f t="shared" ref="Z131:AH131" si="439">Z117/R117-1</f>
        <v>1.9</v>
      </c>
      <c r="AA131" s="77">
        <f t="shared" si="439"/>
        <v>-0.14814814814814814</v>
      </c>
      <c r="AB131" s="77">
        <f t="shared" si="439"/>
        <v>0.171875</v>
      </c>
      <c r="AC131" s="77">
        <f t="shared" si="439"/>
        <v>2.2471910112359605E-2</v>
      </c>
      <c r="AD131" s="77">
        <f t="shared" si="439"/>
        <v>0.11059907834101379</v>
      </c>
      <c r="AE131" s="77">
        <f t="shared" si="439"/>
        <v>-4.4444444444444398E-2</v>
      </c>
      <c r="AF131" s="77">
        <f t="shared" si="439"/>
        <v>-2.2304832713754608E-2</v>
      </c>
      <c r="AG131" s="77">
        <f t="shared" si="439"/>
        <v>4.0302267002518821E-2</v>
      </c>
      <c r="AH131" s="390">
        <f t="shared" si="439"/>
        <v>-0.10344827586206895</v>
      </c>
      <c r="AI131" s="77">
        <f t="shared" ref="AI131:AK134" si="440">AI117/AA117-1</f>
        <v>0.19565217391304346</v>
      </c>
      <c r="AJ131" s="77">
        <f t="shared" si="440"/>
        <v>8.0000000000000071E-2</v>
      </c>
      <c r="AK131" s="77">
        <f t="shared" si="440"/>
        <v>-0.13186813186813184</v>
      </c>
      <c r="AL131" s="77">
        <f t="shared" si="414"/>
        <v>0</v>
      </c>
      <c r="AM131" s="77">
        <f t="shared" si="414"/>
        <v>8.1395348837209225E-2</v>
      </c>
      <c r="AN131" s="77">
        <f t="shared" si="415"/>
        <v>7.6045627376426506E-3</v>
      </c>
      <c r="AO131" s="77">
        <f t="shared" si="415"/>
        <v>3.3898305084745672E-2</v>
      </c>
      <c r="AP131" s="390">
        <f t="shared" si="415"/>
        <v>-0.36538461538461542</v>
      </c>
      <c r="AQ131" s="77">
        <f t="shared" si="416"/>
        <v>9.0909090909090384E-3</v>
      </c>
      <c r="AR131" s="77">
        <f t="shared" si="416"/>
        <v>-0.11111111111111116</v>
      </c>
      <c r="AS131" s="77">
        <f t="shared" si="416"/>
        <v>-0.29113924050632911</v>
      </c>
      <c r="AT131" s="77">
        <f t="shared" si="416"/>
        <v>-0.17012448132780078</v>
      </c>
      <c r="AU131" s="77">
        <f t="shared" si="416"/>
        <v>-0.19354838709677424</v>
      </c>
      <c r="AV131" s="77">
        <f t="shared" si="416"/>
        <v>-0.22264150943396221</v>
      </c>
      <c r="AW131" s="77">
        <f t="shared" si="416"/>
        <v>-0.18032786885245899</v>
      </c>
      <c r="AX131" s="390">
        <f t="shared" si="416"/>
        <v>-1.0606060606060606</v>
      </c>
      <c r="AY131" s="77">
        <f t="shared" si="416"/>
        <v>-0.14414414414414412</v>
      </c>
      <c r="AZ131" s="77">
        <f t="shared" si="416"/>
        <v>-0.35416666666666663</v>
      </c>
      <c r="BA131" s="77">
        <f t="shared" si="416"/>
        <v>0.28571428571428581</v>
      </c>
      <c r="BB131" s="77">
        <f t="shared" si="416"/>
        <v>-0.17500000000000004</v>
      </c>
      <c r="BC131" s="77">
        <f t="shared" si="416"/>
        <v>0.14666666666666672</v>
      </c>
      <c r="BD131" s="77">
        <f t="shared" si="416"/>
        <v>0.18446601941747565</v>
      </c>
      <c r="BE131" s="77">
        <f t="shared" si="416"/>
        <v>-3.7142857142857144E-2</v>
      </c>
      <c r="BF131" s="390"/>
      <c r="BG131" s="77"/>
      <c r="BH131" s="77"/>
      <c r="BI131" s="77"/>
      <c r="BJ131" s="77"/>
      <c r="BK131" s="77"/>
      <c r="BL131" s="77"/>
      <c r="BM131" s="77"/>
      <c r="BN131" s="443">
        <f t="shared" ref="BN131:BU134" si="441">BN117/BF117-1</f>
        <v>-0.5</v>
      </c>
      <c r="BO131" s="128">
        <f t="shared" si="441"/>
        <v>0.60465116279069764</v>
      </c>
      <c r="BP131" s="128">
        <f t="shared" si="441"/>
        <v>0.6875</v>
      </c>
      <c r="BQ131" s="128">
        <f t="shared" si="441"/>
        <v>-0.1728395061728395</v>
      </c>
      <c r="BR131" s="128">
        <f t="shared" si="441"/>
        <v>0.25465838509316763</v>
      </c>
      <c r="BS131" s="128">
        <f t="shared" si="441"/>
        <v>1.0697674418604652</v>
      </c>
      <c r="BT131" s="128">
        <f t="shared" si="441"/>
        <v>0.46706586826347296</v>
      </c>
      <c r="BU131" s="128">
        <f t="shared" si="441"/>
        <v>0.53846153846153855</v>
      </c>
      <c r="BV131" s="390">
        <f t="shared" si="418"/>
        <v>-6</v>
      </c>
      <c r="BW131" s="128">
        <f t="shared" si="418"/>
        <v>-0.20289855072463769</v>
      </c>
      <c r="BX131" s="128">
        <f t="shared" si="418"/>
        <v>-7.407407407407407E-2</v>
      </c>
      <c r="BY131" s="77">
        <f t="shared" si="418"/>
        <v>0.19402985074626855</v>
      </c>
      <c r="BZ131" s="77">
        <f t="shared" si="418"/>
        <v>1.4851485148514865E-2</v>
      </c>
      <c r="CA131" s="77">
        <f t="shared" si="418"/>
        <v>0.2191011235955056</v>
      </c>
      <c r="CB131" s="77">
        <f t="shared" si="418"/>
        <v>0.21224489795918378</v>
      </c>
      <c r="CC131" s="77">
        <f t="shared" si="418"/>
        <v>0.11052631578947358</v>
      </c>
      <c r="CD131" s="390">
        <f t="shared" si="419"/>
        <v>2.5333333333333332</v>
      </c>
      <c r="CE131" s="77">
        <f t="shared" si="419"/>
        <v>-9.9999999999999978E-2</v>
      </c>
      <c r="CF131" s="77">
        <f t="shared" si="419"/>
        <v>0.21599999999999997</v>
      </c>
      <c r="CG131" s="77">
        <f t="shared" si="419"/>
        <v>7.4999999999999956E-2</v>
      </c>
      <c r="CH131" s="77">
        <f t="shared" si="419"/>
        <v>0.16097560975609748</v>
      </c>
      <c r="CI131" s="77">
        <f t="shared" si="419"/>
        <v>7.3732718894009119E-2</v>
      </c>
      <c r="CJ131" s="77">
        <f t="shared" si="419"/>
        <v>7.4074074074074181E-2</v>
      </c>
      <c r="CK131" s="77">
        <f t="shared" si="419"/>
        <v>0.11611374407582931</v>
      </c>
      <c r="CL131" s="390">
        <f t="shared" si="420"/>
        <v>0.16981132075471694</v>
      </c>
      <c r="CM131" s="77">
        <f t="shared" si="420"/>
        <v>0.22222222222222232</v>
      </c>
      <c r="CN131" s="77">
        <f t="shared" si="420"/>
        <v>0.20394736842105265</v>
      </c>
      <c r="CO131" s="77">
        <f t="shared" si="420"/>
        <v>0.52325581395348841</v>
      </c>
      <c r="CP131" s="77">
        <f t="shared" si="420"/>
        <v>0.31932773109243695</v>
      </c>
      <c r="CQ131" s="77">
        <f t="shared" si="420"/>
        <v>-5.1502145922746823E-2</v>
      </c>
      <c r="CR131" s="77">
        <f t="shared" si="420"/>
        <v>0.10344827586206895</v>
      </c>
      <c r="CS131" s="77">
        <f t="shared" si="420"/>
        <v>0.13588110403397025</v>
      </c>
      <c r="CT131" s="390">
        <f t="shared" si="420"/>
        <v>0.45161290322580649</v>
      </c>
      <c r="CU131" s="77">
        <f t="shared" si="420"/>
        <v>3.3057851239669311E-2</v>
      </c>
      <c r="CV131" s="77">
        <f t="shared" si="421"/>
        <v>0.17486338797814205</v>
      </c>
      <c r="CW131" s="77">
        <f t="shared" si="421"/>
        <v>0.25954198473282442</v>
      </c>
      <c r="CX131" s="77">
        <f t="shared" si="421"/>
        <v>0.21019108280254772</v>
      </c>
      <c r="CY131" s="128">
        <f t="shared" si="421"/>
        <v>0.17194570135746612</v>
      </c>
      <c r="CZ131" s="77">
        <f t="shared" si="421"/>
        <v>0.20454545454545459</v>
      </c>
      <c r="DA131" s="77">
        <f t="shared" si="421"/>
        <v>0.19439252336448609</v>
      </c>
      <c r="DB131" s="390">
        <f t="shared" si="421"/>
        <v>0.73333333333333339</v>
      </c>
      <c r="DC131" s="77">
        <f t="shared" si="421"/>
        <v>-5.600000000000005E-2</v>
      </c>
      <c r="DD131" s="77">
        <f t="shared" si="421"/>
        <v>0.27441860465116275</v>
      </c>
      <c r="DE131" s="77">
        <f t="shared" si="421"/>
        <v>-0.1333333333333333</v>
      </c>
      <c r="DF131" s="77">
        <f t="shared" si="422"/>
        <v>9.7368421052631549E-2</v>
      </c>
      <c r="DG131" s="128">
        <f t="shared" si="422"/>
        <v>0.22779922779922779</v>
      </c>
      <c r="DH131" s="77">
        <f t="shared" si="422"/>
        <v>8.7264150943396235E-2</v>
      </c>
      <c r="DI131" s="77">
        <f t="shared" si="422"/>
        <v>0.15023474178403751</v>
      </c>
      <c r="DJ131" s="390">
        <f t="shared" si="422"/>
        <v>-0.54487179487179493</v>
      </c>
      <c r="DK131" s="77">
        <f t="shared" si="422"/>
        <v>0.34745762711864403</v>
      </c>
      <c r="DL131" s="77">
        <f t="shared" si="422"/>
        <v>-0.16058394160583944</v>
      </c>
      <c r="DM131" s="77">
        <f t="shared" si="422"/>
        <v>0.32867132867132876</v>
      </c>
      <c r="DN131" s="77">
        <f t="shared" si="422"/>
        <v>7.194244604316502E-3</v>
      </c>
      <c r="DO131" s="128">
        <f t="shared" si="422"/>
        <v>0.2515723270440251</v>
      </c>
      <c r="DP131" s="77">
        <f t="shared" si="423"/>
        <v>0.27548806941431669</v>
      </c>
      <c r="DQ131" s="77">
        <f t="shared" si="423"/>
        <v>0.11292517006802716</v>
      </c>
      <c r="DR131" s="390">
        <f t="shared" si="423"/>
        <v>9.8591549295774739E-2</v>
      </c>
      <c r="DS131" s="77">
        <f t="shared" si="424"/>
        <v>7.547169811320753E-2</v>
      </c>
      <c r="DT131" s="77">
        <f t="shared" si="425"/>
        <v>8.260869565217388E-2</v>
      </c>
      <c r="DU131" s="77">
        <f t="shared" si="426"/>
        <v>0.29473684210526319</v>
      </c>
      <c r="DV131" s="77">
        <f t="shared" si="427"/>
        <v>0.1785714285714286</v>
      </c>
      <c r="DW131" s="77">
        <f t="shared" si="428"/>
        <v>8.040201005025116E-2</v>
      </c>
      <c r="DX131" s="77">
        <f t="shared" si="429"/>
        <v>0.14965986394557818</v>
      </c>
      <c r="DY131" s="77">
        <f t="shared" si="430"/>
        <v>0.13080684596577008</v>
      </c>
      <c r="DZ131" s="390">
        <f t="shared" si="431"/>
        <v>-0.16666666666666663</v>
      </c>
      <c r="EA131" s="77">
        <f t="shared" si="432"/>
        <v>2.3391812865497075E-2</v>
      </c>
      <c r="EB131" s="77">
        <f t="shared" si="433"/>
        <v>-3.6144578313253017E-2</v>
      </c>
      <c r="EC131" s="77">
        <f t="shared" si="434"/>
        <v>6.9584479357670093E-2</v>
      </c>
      <c r="ED131" s="77">
        <f t="shared" si="435"/>
        <v>1.6399559438357247E-2</v>
      </c>
      <c r="EE131" s="128">
        <f t="shared" si="436"/>
        <v>0.13080898019501852</v>
      </c>
      <c r="EF131" s="77">
        <f t="shared" si="437"/>
        <v>0.1085290582926699</v>
      </c>
      <c r="EG131" s="92">
        <f t="shared" si="438"/>
        <v>6.9584479357670093E-2</v>
      </c>
      <c r="EH131" s="401"/>
      <c r="EI131" s="19"/>
      <c r="EK131" s="19"/>
    </row>
    <row r="132" spans="1:141">
      <c r="A132" s="13" t="s">
        <v>384</v>
      </c>
      <c r="B132" s="42"/>
      <c r="J132" s="369"/>
      <c r="R132" s="369"/>
      <c r="Z132" s="390">
        <f t="shared" ref="Z132:AH132" si="442">Z118/R118-1</f>
        <v>1.1904761904761862E-2</v>
      </c>
      <c r="AA132" s="77">
        <f t="shared" si="442"/>
        <v>4.5454545454545414E-2</v>
      </c>
      <c r="AB132" s="77">
        <f t="shared" si="442"/>
        <v>3.240740740740744E-2</v>
      </c>
      <c r="AC132" s="77">
        <f t="shared" si="442"/>
        <v>5.0000000000000044E-2</v>
      </c>
      <c r="AD132" s="77">
        <f t="shared" si="442"/>
        <v>3.9325842696629199E-2</v>
      </c>
      <c r="AE132" s="77">
        <f t="shared" si="442"/>
        <v>-9.009009009009028E-3</v>
      </c>
      <c r="AF132" s="77">
        <f t="shared" si="442"/>
        <v>2.8776978417266452E-3</v>
      </c>
      <c r="AG132" s="77">
        <f t="shared" si="442"/>
        <v>9.8792535675082949E-3</v>
      </c>
      <c r="AH132" s="390">
        <f t="shared" si="442"/>
        <v>5.8823529411764719E-2</v>
      </c>
      <c r="AI132" s="77">
        <f t="shared" si="440"/>
        <v>0.28260869565217384</v>
      </c>
      <c r="AJ132" s="77">
        <f t="shared" si="440"/>
        <v>0.19730941704035865</v>
      </c>
      <c r="AK132" s="77">
        <f t="shared" si="440"/>
        <v>0.11564625850340127</v>
      </c>
      <c r="AL132" s="77">
        <f t="shared" si="414"/>
        <v>0.16486486486486496</v>
      </c>
      <c r="AM132" s="77">
        <f t="shared" si="414"/>
        <v>0.1272727272727272</v>
      </c>
      <c r="AN132" s="77">
        <f t="shared" si="415"/>
        <v>0.12482065997130554</v>
      </c>
      <c r="AO132" s="77">
        <f t="shared" si="415"/>
        <v>0.14239130434782599</v>
      </c>
      <c r="AP132" s="390">
        <f t="shared" si="415"/>
        <v>0.21111111111111103</v>
      </c>
      <c r="AQ132" s="77">
        <f t="shared" si="416"/>
        <v>0.22033898305084754</v>
      </c>
      <c r="AR132" s="77">
        <f t="shared" si="416"/>
        <v>0.21722846441947574</v>
      </c>
      <c r="AS132" s="77">
        <f t="shared" si="416"/>
        <v>-0.29878048780487809</v>
      </c>
      <c r="AT132" s="77">
        <f t="shared" si="416"/>
        <v>2.088167053364276E-2</v>
      </c>
      <c r="AU132" s="77">
        <f t="shared" si="416"/>
        <v>-9.3548387096774155E-2</v>
      </c>
      <c r="AV132" s="77">
        <f t="shared" si="416"/>
        <v>-0.13647959183673475</v>
      </c>
      <c r="AW132" s="77">
        <f t="shared" si="416"/>
        <v>-4.6622264509990519E-2</v>
      </c>
      <c r="AX132" s="390">
        <f t="shared" si="416"/>
        <v>-0.42201834862385323</v>
      </c>
      <c r="AY132" s="77">
        <f t="shared" si="416"/>
        <v>-0.14351851851851849</v>
      </c>
      <c r="AZ132" s="77">
        <f t="shared" si="416"/>
        <v>-0.2369230769230769</v>
      </c>
      <c r="BA132" s="77">
        <f t="shared" si="416"/>
        <v>-5.2173913043478293E-2</v>
      </c>
      <c r="BB132" s="77">
        <f t="shared" si="416"/>
        <v>-0.1886363636363636</v>
      </c>
      <c r="BC132" s="77">
        <f t="shared" si="416"/>
        <v>-8.3629893238434172E-2</v>
      </c>
      <c r="BD132" s="77">
        <f t="shared" si="416"/>
        <v>-7.8286558345642576E-2</v>
      </c>
      <c r="BE132" s="77">
        <f t="shared" si="416"/>
        <v>-0.12974051896207583</v>
      </c>
      <c r="BF132" s="390"/>
      <c r="BG132" s="77"/>
      <c r="BH132" s="77"/>
      <c r="BI132" s="77"/>
      <c r="BJ132" s="77"/>
      <c r="BK132" s="77"/>
      <c r="BL132" s="77"/>
      <c r="BM132" s="77"/>
      <c r="BN132" s="443">
        <f t="shared" si="441"/>
        <v>-5.084745762711862E-2</v>
      </c>
      <c r="BO132" s="128">
        <f>BO118/BG118-1</f>
        <v>9.4444444444444553E-2</v>
      </c>
      <c r="BP132" s="128">
        <f t="shared" si="441"/>
        <v>3.691275167785224E-2</v>
      </c>
      <c r="BQ132" s="128">
        <f t="shared" si="441"/>
        <v>1.0101010101010166E-2</v>
      </c>
      <c r="BR132" s="128">
        <f t="shared" si="441"/>
        <v>0.19241982507288635</v>
      </c>
      <c r="BS132" s="128">
        <f t="shared" si="441"/>
        <v>0.25837320574162681</v>
      </c>
      <c r="BT132" s="128">
        <f t="shared" si="441"/>
        <v>0.21083172147001927</v>
      </c>
      <c r="BU132" s="128">
        <f t="shared" si="441"/>
        <v>0.14723926380368102</v>
      </c>
      <c r="BV132" s="390">
        <f t="shared" si="418"/>
        <v>-9.8214285714285698E-2</v>
      </c>
      <c r="BW132" s="128">
        <f t="shared" si="418"/>
        <v>-0.32994923857868019</v>
      </c>
      <c r="BX132" s="128">
        <f t="shared" si="418"/>
        <v>-0.24595469255663427</v>
      </c>
      <c r="BY132" s="77">
        <f t="shared" si="418"/>
        <v>0.21999999999999997</v>
      </c>
      <c r="BZ132" s="77">
        <f t="shared" si="418"/>
        <v>-0.13202933985330079</v>
      </c>
      <c r="CA132" s="77">
        <f t="shared" si="418"/>
        <v>-0.60076045627376429</v>
      </c>
      <c r="CB132" s="77">
        <f t="shared" si="418"/>
        <v>-0.46964856230031948</v>
      </c>
      <c r="CC132" s="77">
        <f t="shared" si="418"/>
        <v>-0.39572192513368987</v>
      </c>
      <c r="CD132" s="390">
        <f t="shared" si="419"/>
        <v>-0.85148514851485146</v>
      </c>
      <c r="CE132" s="77">
        <f t="shared" si="419"/>
        <v>0.29545454545454541</v>
      </c>
      <c r="CF132" s="77">
        <f t="shared" si="419"/>
        <v>-0.20171673819742486</v>
      </c>
      <c r="CG132" s="77">
        <f t="shared" si="419"/>
        <v>-0.34426229508196726</v>
      </c>
      <c r="CH132" s="77">
        <f t="shared" si="419"/>
        <v>-0.25070422535211268</v>
      </c>
      <c r="CI132" s="77">
        <f t="shared" si="419"/>
        <v>0.87619047619047619</v>
      </c>
      <c r="CJ132" s="77">
        <f t="shared" si="419"/>
        <v>0.42771084337349397</v>
      </c>
      <c r="CK132" s="77">
        <f t="shared" si="419"/>
        <v>0.16814159292035402</v>
      </c>
      <c r="CL132" s="390">
        <f t="shared" ref="CL132:CU134" si="443">CL118/CD118-1</f>
        <v>2.9333333333333331</v>
      </c>
      <c r="CM132" s="77">
        <f t="shared" si="443"/>
        <v>-5.8479532163743242E-3</v>
      </c>
      <c r="CN132" s="77">
        <f t="shared" si="443"/>
        <v>0.23118279569892475</v>
      </c>
      <c r="CO132" s="77">
        <f t="shared" si="443"/>
        <v>-0.3125</v>
      </c>
      <c r="CP132" s="77">
        <f t="shared" si="443"/>
        <v>6.7669172932330879E-2</v>
      </c>
      <c r="CQ132" s="77">
        <f t="shared" si="443"/>
        <v>4.5685279187817285E-2</v>
      </c>
      <c r="CR132" s="77">
        <f t="shared" si="443"/>
        <v>-1.4767932489451518E-2</v>
      </c>
      <c r="CS132" s="77">
        <f t="shared" si="443"/>
        <v>5.4545454545454453E-2</v>
      </c>
      <c r="CT132" s="390">
        <f t="shared" si="443"/>
        <v>0.79661016949152552</v>
      </c>
      <c r="CU132" s="77">
        <f t="shared" si="443"/>
        <v>-0.71176470588235297</v>
      </c>
      <c r="CV132" s="77">
        <f t="shared" ref="CV132:DE134" si="444">CV118/CN118-1</f>
        <v>-0.32314410480349343</v>
      </c>
      <c r="CW132" s="77">
        <f t="shared" si="444"/>
        <v>0.38181818181818183</v>
      </c>
      <c r="CX132" s="77">
        <f t="shared" si="444"/>
        <v>-0.18661971830985913</v>
      </c>
      <c r="CY132" s="128">
        <f t="shared" si="444"/>
        <v>-0.62864077669902918</v>
      </c>
      <c r="CZ132" s="77">
        <f t="shared" si="444"/>
        <v>-0.5096359743040686</v>
      </c>
      <c r="DA132" s="77">
        <f t="shared" si="444"/>
        <v>-0.44827586206896552</v>
      </c>
      <c r="DB132" s="390">
        <f t="shared" si="444"/>
        <v>-0.66037735849056611</v>
      </c>
      <c r="DC132" s="77">
        <f t="shared" si="444"/>
        <v>-0.1428571428571429</v>
      </c>
      <c r="DD132" s="77">
        <f t="shared" si="444"/>
        <v>-0.49677419354838714</v>
      </c>
      <c r="DE132" s="77">
        <f t="shared" si="444"/>
        <v>-2.0394736842105265</v>
      </c>
      <c r="DF132" s="77">
        <f t="shared" ref="DF132:DO134" si="445">DF118/CX118-1</f>
        <v>-1.0043290043290043</v>
      </c>
      <c r="DG132" s="128">
        <f t="shared" si="445"/>
        <v>0.50326797385620914</v>
      </c>
      <c r="DH132" s="77">
        <f t="shared" si="445"/>
        <v>-0.34061135371179041</v>
      </c>
      <c r="DI132" s="77">
        <f t="shared" si="445"/>
        <v>-0.40364583333333337</v>
      </c>
      <c r="DJ132" s="390">
        <f t="shared" si="445"/>
        <v>-1.25</v>
      </c>
      <c r="DK132" s="77">
        <f t="shared" si="445"/>
        <v>-20</v>
      </c>
      <c r="DL132" s="77">
        <f t="shared" si="445"/>
        <v>-11.346153846153847</v>
      </c>
      <c r="DM132" s="77">
        <f t="shared" si="445"/>
        <v>-2.8481012658227849</v>
      </c>
      <c r="DN132" s="77">
        <f t="shared" si="445"/>
        <v>660</v>
      </c>
      <c r="DO132" s="128">
        <f t="shared" si="445"/>
        <v>-0.58695652173913038</v>
      </c>
      <c r="DP132" s="77">
        <f t="shared" ref="DP132:DQ134" si="446">DP118/DH118-1</f>
        <v>0.5960264900662251</v>
      </c>
      <c r="DQ132" s="77">
        <f t="shared" si="446"/>
        <v>-3.4716157205240177</v>
      </c>
      <c r="DR132" s="390">
        <f>(DR118/DJ118*-1)-1</f>
        <v>7.5555555555555554</v>
      </c>
      <c r="DS132" s="77">
        <f t="shared" ref="DS132:DT132" si="447">(DS118/DK118*-1)-1</f>
        <v>-0.76441102756892232</v>
      </c>
      <c r="DT132" s="77">
        <f t="shared" si="447"/>
        <v>-0.67162329615861216</v>
      </c>
      <c r="DU132" s="77">
        <f t="shared" ref="DU132" si="448">(DU118/DM118*-1)-1</f>
        <v>-2.0616438356164384</v>
      </c>
      <c r="DV132" s="77">
        <f t="shared" ref="DV132" si="449">(DV118/DN118*-1)-1</f>
        <v>-0.36459909228441756</v>
      </c>
      <c r="DW132" s="77">
        <f t="shared" ref="DW132" si="450">(DW118/DO118*-1)-1</f>
        <v>-4.9789473684210526</v>
      </c>
      <c r="DX132" s="77">
        <f t="shared" ref="DX132" si="451">(DX118/DP118*-1)-1</f>
        <v>-3.2116182572614109</v>
      </c>
      <c r="DY132" s="77">
        <f t="shared" ref="DY132" si="452">(DY118/DQ118*-1)-1</f>
        <v>0.40989399293286222</v>
      </c>
      <c r="DZ132" s="390">
        <f>(DZ118/DR118*-1)-1</f>
        <v>-2.6883116883116882</v>
      </c>
      <c r="EA132" s="77">
        <f t="shared" ref="EA132" si="453">(EA118/DS118*-1)-1</f>
        <v>-2.8989361702127661</v>
      </c>
      <c r="EB132" s="77">
        <f t="shared" ref="EB132" si="454">(EB118/DT118*-1)-1</f>
        <v>-2.837735849056604</v>
      </c>
      <c r="EC132" s="77">
        <f t="shared" ref="EC132" si="455">(EC118/DU118*-1)-1</f>
        <v>-2.1660565614035088</v>
      </c>
      <c r="ED132" s="77">
        <f t="shared" ref="ED132" si="456">(ED118/DV118*-1)-1</f>
        <v>-2.5898542071846284</v>
      </c>
      <c r="EE132" s="128">
        <f t="shared" ref="EE132" si="457">(EE118/DW118*-1)-1</f>
        <v>-1.6951702883133763</v>
      </c>
      <c r="EF132" s="77">
        <f t="shared" ref="EF132" si="458">(EF118/DX118*-1)-1</f>
        <v>-1.8321071969981242</v>
      </c>
      <c r="EG132" s="92">
        <f t="shared" ref="EG132" si="459">(EG118/DY118*-1)-1</f>
        <v>-2.1660565614035088</v>
      </c>
      <c r="EH132" s="401"/>
      <c r="EI132" s="19"/>
      <c r="EK132" s="19"/>
    </row>
    <row r="133" spans="1:141">
      <c r="A133" s="13" t="s">
        <v>388</v>
      </c>
      <c r="B133" s="42"/>
      <c r="J133" s="369"/>
      <c r="R133" s="369"/>
      <c r="Z133" s="390">
        <f t="shared" ref="Z133:AH133" si="460">Z119/R119-1</f>
        <v>0.36363636363636354</v>
      </c>
      <c r="AA133" s="77">
        <f t="shared" si="460"/>
        <v>3.6470588235294121</v>
      </c>
      <c r="AB133" s="77">
        <f t="shared" si="460"/>
        <v>1.7948717948717947</v>
      </c>
      <c r="AC133" s="77">
        <f t="shared" si="460"/>
        <v>2.103448275862069</v>
      </c>
      <c r="AD133" s="77">
        <f t="shared" si="460"/>
        <v>1.9264705882352939</v>
      </c>
      <c r="AE133" s="77">
        <f t="shared" si="460"/>
        <v>-1.25</v>
      </c>
      <c r="AF133" s="77">
        <f t="shared" si="460"/>
        <v>9.5555555555555554</v>
      </c>
      <c r="AG133" s="77">
        <f t="shared" si="460"/>
        <v>3.25</v>
      </c>
      <c r="AH133" s="390">
        <f t="shared" si="460"/>
        <v>-3</v>
      </c>
      <c r="AI133" s="77">
        <f t="shared" si="440"/>
        <v>-1.240506329113924</v>
      </c>
      <c r="AJ133" s="77">
        <f t="shared" si="440"/>
        <v>-1.7247706422018347</v>
      </c>
      <c r="AK133" s="77">
        <f t="shared" si="440"/>
        <v>-1.1666666666666667</v>
      </c>
      <c r="AL133" s="77">
        <f t="shared" si="414"/>
        <v>-1.4723618090452262</v>
      </c>
      <c r="AM133" s="77">
        <f t="shared" si="414"/>
        <v>-9.4</v>
      </c>
      <c r="AN133" s="77">
        <f t="shared" si="415"/>
        <v>-1.6</v>
      </c>
      <c r="AO133" s="77">
        <f t="shared" si="415"/>
        <v>-1.6666666666666665</v>
      </c>
      <c r="AP133" s="390">
        <f t="shared" si="415"/>
        <v>-0.19999999999999996</v>
      </c>
      <c r="AQ133" s="77">
        <f t="shared" si="416"/>
        <v>-0.63157894736842102</v>
      </c>
      <c r="AR133" s="77">
        <f t="shared" si="416"/>
        <v>-0.30379746835443033</v>
      </c>
      <c r="AS133" s="77">
        <f t="shared" si="416"/>
        <v>-0.46666666666666667</v>
      </c>
      <c r="AT133" s="77">
        <f t="shared" si="416"/>
        <v>-0.32978723404255317</v>
      </c>
      <c r="AU133" s="77">
        <f t="shared" si="416"/>
        <v>2.4523809523809526</v>
      </c>
      <c r="AV133" s="77">
        <f t="shared" si="416"/>
        <v>1.6842105263157894</v>
      </c>
      <c r="AW133" s="77">
        <f t="shared" si="416"/>
        <v>0.52941176470588225</v>
      </c>
      <c r="AX133" s="390">
        <f t="shared" si="416"/>
        <v>1.125</v>
      </c>
      <c r="AY133" s="77">
        <f t="shared" si="416"/>
        <v>12.428571428571429</v>
      </c>
      <c r="AZ133" s="77">
        <f t="shared" si="416"/>
        <v>2.5636363636363635</v>
      </c>
      <c r="BA133" s="77">
        <f t="shared" si="416"/>
        <v>8.375</v>
      </c>
      <c r="BB133" s="77">
        <f t="shared" si="416"/>
        <v>3.3015873015873014</v>
      </c>
      <c r="BC133" s="77">
        <f t="shared" si="416"/>
        <v>0.64827586206896548</v>
      </c>
      <c r="BD133" s="77">
        <f t="shared" si="416"/>
        <v>1.0522875816993462</v>
      </c>
      <c r="BE133" s="77">
        <f t="shared" si="416"/>
        <v>1.4519230769230771</v>
      </c>
      <c r="BF133" s="390"/>
      <c r="BG133" s="77"/>
      <c r="BH133" s="77"/>
      <c r="BI133" s="77"/>
      <c r="BJ133" s="77"/>
      <c r="BK133" s="77"/>
      <c r="BL133" s="77"/>
      <c r="BM133" s="77"/>
      <c r="BN133" s="443">
        <f t="shared" si="441"/>
        <v>0.9285714285714286</v>
      </c>
      <c r="BO133" s="128">
        <f t="shared" si="441"/>
        <v>0.7592592592592593</v>
      </c>
      <c r="BP133" s="128">
        <f t="shared" si="441"/>
        <v>0.81707317073170738</v>
      </c>
      <c r="BQ133" s="128">
        <f t="shared" si="441"/>
        <v>-0.13513513513513509</v>
      </c>
      <c r="BR133" s="128">
        <f t="shared" si="441"/>
        <v>0.36538461538461542</v>
      </c>
      <c r="BS133" s="128">
        <f t="shared" si="441"/>
        <v>-0.23232323232323238</v>
      </c>
      <c r="BT133" s="128">
        <f t="shared" si="441"/>
        <v>-0.19075144508670516</v>
      </c>
      <c r="BU133" s="128">
        <f t="shared" si="441"/>
        <v>0.1333333333333333</v>
      </c>
      <c r="BV133" s="390">
        <f t="shared" si="418"/>
        <v>0.90740740740740744</v>
      </c>
      <c r="BW133" s="128">
        <f t="shared" si="418"/>
        <v>-0.32631578947368423</v>
      </c>
      <c r="BX133" s="128">
        <f t="shared" si="418"/>
        <v>0.12080536912751683</v>
      </c>
      <c r="BY133" s="77">
        <f t="shared" si="418"/>
        <v>0.453125</v>
      </c>
      <c r="BZ133" s="77">
        <f t="shared" si="418"/>
        <v>0.22065727699530524</v>
      </c>
      <c r="CA133" s="77">
        <f t="shared" si="418"/>
        <v>0.82894736842105265</v>
      </c>
      <c r="CB133" s="77">
        <f t="shared" si="418"/>
        <v>0.65714285714285725</v>
      </c>
      <c r="CC133" s="77">
        <f t="shared" si="418"/>
        <v>0.38062283737024227</v>
      </c>
      <c r="CD133" s="390">
        <f t="shared" si="419"/>
        <v>-1.2135922330097086</v>
      </c>
      <c r="CE133" s="77">
        <f t="shared" si="419"/>
        <v>-1.03125</v>
      </c>
      <c r="CF133" s="77">
        <f t="shared" si="419"/>
        <v>-1.1437125748502994</v>
      </c>
      <c r="CG133" s="77">
        <f t="shared" si="419"/>
        <v>-0.87096774193548387</v>
      </c>
      <c r="CH133" s="77">
        <f t="shared" si="419"/>
        <v>-1.0461538461538462</v>
      </c>
      <c r="CI133" s="77">
        <f t="shared" si="419"/>
        <v>-0.60431654676258995</v>
      </c>
      <c r="CJ133" s="77">
        <f t="shared" si="419"/>
        <v>-0.7112068965517242</v>
      </c>
      <c r="CK133" s="77">
        <f t="shared" si="419"/>
        <v>-0.89223057644110271</v>
      </c>
      <c r="CL133" s="390">
        <f t="shared" si="443"/>
        <v>0.81818181818181812</v>
      </c>
      <c r="CM133" s="77">
        <f t="shared" si="443"/>
        <v>-21</v>
      </c>
      <c r="CN133" s="77">
        <f t="shared" si="443"/>
        <v>-1</v>
      </c>
      <c r="CO133" s="77">
        <f t="shared" si="443"/>
        <v>-3.6666666666666665</v>
      </c>
      <c r="CP133" s="77">
        <f t="shared" si="443"/>
        <v>1.6666666666666665</v>
      </c>
      <c r="CQ133" s="77">
        <f t="shared" si="443"/>
        <v>-1.5818181818181818</v>
      </c>
      <c r="CR133" s="77">
        <f t="shared" si="443"/>
        <v>-1.955223880597015</v>
      </c>
      <c r="CS133" s="77">
        <f t="shared" si="443"/>
        <v>-2.4883720930232558</v>
      </c>
      <c r="CT133" s="390">
        <f t="shared" si="443"/>
        <v>-0.95</v>
      </c>
      <c r="CU133" s="77">
        <f t="shared" si="443"/>
        <v>-0.92500000000000004</v>
      </c>
      <c r="CV133" s="77" t="e">
        <f t="shared" si="444"/>
        <v>#DIV/0!</v>
      </c>
      <c r="CW133" s="77">
        <f t="shared" si="444"/>
        <v>-1.125</v>
      </c>
      <c r="CX133" s="77">
        <f t="shared" si="444"/>
        <v>-1.15625</v>
      </c>
      <c r="CY133" s="128">
        <f t="shared" si="444"/>
        <v>-0.71875</v>
      </c>
      <c r="CZ133" s="77">
        <f t="shared" si="444"/>
        <v>-0.921875</v>
      </c>
      <c r="DA133" s="77">
        <f t="shared" si="444"/>
        <v>-0.9375</v>
      </c>
      <c r="DB133" s="390">
        <f t="shared" si="444"/>
        <v>-0.5</v>
      </c>
      <c r="DC133" s="77">
        <f t="shared" si="444"/>
        <v>-4</v>
      </c>
      <c r="DD133" s="77">
        <f t="shared" si="444"/>
        <v>-11</v>
      </c>
      <c r="DE133" s="77">
        <f t="shared" si="444"/>
        <v>1.75</v>
      </c>
      <c r="DF133" s="77">
        <f t="shared" si="445"/>
        <v>-0.8</v>
      </c>
      <c r="DG133" s="128">
        <f t="shared" si="445"/>
        <v>5.333333333333333</v>
      </c>
      <c r="DH133" s="77">
        <f t="shared" si="445"/>
        <v>8.1999999999999993</v>
      </c>
      <c r="DI133" s="77">
        <f t="shared" si="445"/>
        <v>13</v>
      </c>
      <c r="DJ133" s="390">
        <f t="shared" si="445"/>
        <v>7</v>
      </c>
      <c r="DK133" s="77">
        <f t="shared" si="445"/>
        <v>-0.33333333333333337</v>
      </c>
      <c r="DL133" s="77">
        <f t="shared" si="445"/>
        <v>0.39999999999999991</v>
      </c>
      <c r="DM133" s="77">
        <f t="shared" si="445"/>
        <v>-0.72727272727272729</v>
      </c>
      <c r="DN133" s="77">
        <f t="shared" si="445"/>
        <v>-12</v>
      </c>
      <c r="DO133" s="128">
        <f t="shared" si="445"/>
        <v>-1.0350877192982457</v>
      </c>
      <c r="DP133" s="77">
        <f t="shared" si="446"/>
        <v>-1.1086956521739131</v>
      </c>
      <c r="DQ133" s="77">
        <f t="shared" si="446"/>
        <v>-0.8392857142857143</v>
      </c>
      <c r="DR133" s="390">
        <f>DR119/DJ119-1</f>
        <v>-4.125</v>
      </c>
      <c r="DS133" s="77">
        <f t="shared" ref="DS133:DT133" si="461">DS119/DK119-1</f>
        <v>-0.83333333333333337</v>
      </c>
      <c r="DT133" s="77">
        <f t="shared" si="461"/>
        <v>-2.7142857142857144</v>
      </c>
      <c r="DU133" s="77">
        <f t="shared" ref="DU133:DU134" si="462">DU119/DM119-1</f>
        <v>4</v>
      </c>
      <c r="DV133" s="77">
        <f t="shared" ref="DV133:DV134" si="463">DV119/DN119-1</f>
        <v>-4.545454545454545</v>
      </c>
      <c r="DW133" s="77">
        <f t="shared" ref="DW133:DW134" si="464">DW119/DO119-1</f>
        <v>12</v>
      </c>
      <c r="DX133" s="77">
        <f t="shared" ref="DX133:DX134" si="465">DX119/DP119-1</f>
        <v>7.1999999999999993</v>
      </c>
      <c r="DY133" s="77">
        <f t="shared" ref="DY133:DY134" si="466">DY119/DQ119-1</f>
        <v>-8.2222222222222214</v>
      </c>
      <c r="DZ133" s="390">
        <f>DZ119/DR119-1</f>
        <v>-1.96</v>
      </c>
      <c r="EA133" s="77">
        <f t="shared" ref="EA133:EA134" si="467">EA119/DS119-1</f>
        <v>-12</v>
      </c>
      <c r="EB133" s="77">
        <f t="shared" ref="EB133:EB134" si="468">EB119/DT119-1</f>
        <v>-1.5416666666666665</v>
      </c>
      <c r="EC133" s="77">
        <f t="shared" ref="EC133:EC134" si="469">EC119/DU119-1</f>
        <v>0</v>
      </c>
      <c r="ED133" s="77">
        <f t="shared" ref="ED133:ED134" si="470">ED119/DV119-1</f>
        <v>-0.94871794871794868</v>
      </c>
      <c r="EE133" s="128">
        <f t="shared" ref="EE133:EE134" si="471">EE119/DW119-1</f>
        <v>1.4230769230769229</v>
      </c>
      <c r="EF133" s="77">
        <f t="shared" ref="EF133:EF134" si="472">EF119/DX119-1</f>
        <v>0.90243902439024382</v>
      </c>
      <c r="EG133" s="92">
        <f t="shared" ref="EG133:EG134" si="473">EG119/DY119-1</f>
        <v>0</v>
      </c>
      <c r="EH133" s="401"/>
      <c r="EI133" s="19"/>
      <c r="EK133" s="19"/>
    </row>
    <row r="134" spans="1:141">
      <c r="A134" s="37" t="s">
        <v>225</v>
      </c>
      <c r="B134" s="91"/>
      <c r="C134" s="68"/>
      <c r="D134" s="68"/>
      <c r="E134" s="68"/>
      <c r="F134" s="68"/>
      <c r="G134" s="68"/>
      <c r="H134" s="68"/>
      <c r="I134" s="68"/>
      <c r="J134" s="468"/>
      <c r="K134" s="68"/>
      <c r="L134" s="68"/>
      <c r="M134" s="68"/>
      <c r="N134" s="68"/>
      <c r="O134" s="68"/>
      <c r="P134" s="68"/>
      <c r="Q134" s="68"/>
      <c r="R134" s="468"/>
      <c r="S134" s="68"/>
      <c r="T134" s="68"/>
      <c r="U134" s="68"/>
      <c r="V134" s="68"/>
      <c r="W134" s="68"/>
      <c r="X134" s="68"/>
      <c r="Y134" s="68"/>
      <c r="Z134" s="391">
        <f t="shared" ref="Z134:AH134" si="474">Z120/R120-1</f>
        <v>-4.6321525885558601E-2</v>
      </c>
      <c r="AA134" s="93">
        <f t="shared" si="474"/>
        <v>0.21477272727272734</v>
      </c>
      <c r="AB134" s="93">
        <f t="shared" si="474"/>
        <v>9.6034696406443576E-2</v>
      </c>
      <c r="AC134" s="93">
        <f t="shared" si="474"/>
        <v>0.11096075778078474</v>
      </c>
      <c r="AD134" s="93">
        <f t="shared" si="474"/>
        <v>0.10072248193795152</v>
      </c>
      <c r="AE134" s="93">
        <f t="shared" si="474"/>
        <v>0.21281840591618728</v>
      </c>
      <c r="AF134" s="93">
        <f t="shared" si="474"/>
        <v>0.1743353783231083</v>
      </c>
      <c r="AG134" s="93">
        <f t="shared" si="474"/>
        <v>0.13893557422969183</v>
      </c>
      <c r="AH134" s="391">
        <f t="shared" si="474"/>
        <v>-6.9999999999999951E-2</v>
      </c>
      <c r="AI134" s="93">
        <f t="shared" si="440"/>
        <v>0.15247895229186148</v>
      </c>
      <c r="AJ134" s="93">
        <f t="shared" si="440"/>
        <v>6.4443188241944505E-2</v>
      </c>
      <c r="AK134" s="93">
        <f t="shared" si="440"/>
        <v>0.12180267965895242</v>
      </c>
      <c r="AL134" s="93">
        <f t="shared" si="414"/>
        <v>8.2625482625482638E-2</v>
      </c>
      <c r="AM134" s="93">
        <f t="shared" si="414"/>
        <v>-0.11653116531165308</v>
      </c>
      <c r="AN134" s="93">
        <f t="shared" si="415"/>
        <v>-3.1345232912494581E-2</v>
      </c>
      <c r="AO134" s="93">
        <f t="shared" si="415"/>
        <v>1.032956222331527E-2</v>
      </c>
      <c r="AP134" s="391">
        <f t="shared" si="415"/>
        <v>-0.2304147465437788</v>
      </c>
      <c r="AQ134" s="93">
        <f t="shared" si="416"/>
        <v>-3.9772727272727293E-2</v>
      </c>
      <c r="AR134" s="93">
        <f t="shared" si="416"/>
        <v>-0.10568242166755182</v>
      </c>
      <c r="AS134" s="93">
        <f t="shared" si="416"/>
        <v>-0.20629750271444081</v>
      </c>
      <c r="AT134" s="93">
        <f t="shared" si="416"/>
        <v>-0.13873038516405134</v>
      </c>
      <c r="AU134" s="93">
        <f t="shared" si="416"/>
        <v>0.18098159509202461</v>
      </c>
      <c r="AV134" s="93">
        <f t="shared" si="416"/>
        <v>2.0674157303370855E-2</v>
      </c>
      <c r="AW134" s="93">
        <f t="shared" si="416"/>
        <v>-3.7244401168451846E-2</v>
      </c>
      <c r="AX134" s="391">
        <f t="shared" si="416"/>
        <v>-0.52095808383233533</v>
      </c>
      <c r="AY134" s="93">
        <f t="shared" si="416"/>
        <v>-0.27387996618765853</v>
      </c>
      <c r="AZ134" s="93">
        <f t="shared" si="416"/>
        <v>-0.34738717339667458</v>
      </c>
      <c r="BA134" s="93">
        <f t="shared" si="416"/>
        <v>-4.6511627906976716E-2</v>
      </c>
      <c r="BB134" s="93">
        <f t="shared" si="416"/>
        <v>-0.25631469979296062</v>
      </c>
      <c r="BC134" s="93">
        <f t="shared" si="416"/>
        <v>0.59545454545454546</v>
      </c>
      <c r="BD134" s="93">
        <f t="shared" si="416"/>
        <v>0.38881549977983276</v>
      </c>
      <c r="BE134" s="93">
        <f t="shared" si="416"/>
        <v>7.5347661188369219E-2</v>
      </c>
      <c r="BF134" s="391"/>
      <c r="BG134" s="120"/>
      <c r="BH134" s="120"/>
      <c r="BI134" s="120"/>
      <c r="BJ134" s="120"/>
      <c r="BK134" s="120"/>
      <c r="BL134" s="120"/>
      <c r="BM134" s="93"/>
      <c r="BN134" s="444">
        <f t="shared" si="441"/>
        <v>-1.736842105263158</v>
      </c>
      <c r="BO134" s="129">
        <f t="shared" si="441"/>
        <v>1.0069930069930071</v>
      </c>
      <c r="BP134" s="129">
        <f t="shared" si="441"/>
        <v>1.1012658227848102</v>
      </c>
      <c r="BQ134" s="129">
        <f>BQ120/BI120-1</f>
        <v>1.4061068702290078</v>
      </c>
      <c r="BR134" s="129">
        <f t="shared" si="441"/>
        <v>1.3726169844020797</v>
      </c>
      <c r="BS134" s="129">
        <f t="shared" si="441"/>
        <v>0.56205852674066592</v>
      </c>
      <c r="BT134" s="129">
        <f t="shared" si="441"/>
        <v>0.77171027682973081</v>
      </c>
      <c r="BU134" s="129">
        <f t="shared" si="441"/>
        <v>0.82884012539184959</v>
      </c>
      <c r="BV134" s="391">
        <f t="shared" si="418"/>
        <v>38.214285714285715</v>
      </c>
      <c r="BW134" s="129">
        <f t="shared" si="418"/>
        <v>0.72473867595818819</v>
      </c>
      <c r="BX134" s="129">
        <f t="shared" si="418"/>
        <v>1.1764199655765921</v>
      </c>
      <c r="BY134" s="93">
        <f t="shared" si="418"/>
        <v>1.7766497461928932E-2</v>
      </c>
      <c r="BZ134" s="93">
        <f t="shared" si="418"/>
        <v>0.50949598246895533</v>
      </c>
      <c r="CA134" s="93">
        <f t="shared" si="418"/>
        <v>-9.1408268733850107E-2</v>
      </c>
      <c r="CB134" s="93">
        <f t="shared" si="418"/>
        <v>-5.4580479452054798E-2</v>
      </c>
      <c r="CC134" s="93">
        <f t="shared" si="418"/>
        <v>0.19060678779568052</v>
      </c>
      <c r="CD134" s="391">
        <f t="shared" si="419"/>
        <v>-0.48816029143897999</v>
      </c>
      <c r="CE134" s="93">
        <f t="shared" si="419"/>
        <v>-1.6191919191919193</v>
      </c>
      <c r="CF134" s="93">
        <f t="shared" si="419"/>
        <v>-1.3736654804270463</v>
      </c>
      <c r="CG134" s="93">
        <f t="shared" si="419"/>
        <v>-0.48877805486284287</v>
      </c>
      <c r="CH134" s="93">
        <f t="shared" si="419"/>
        <v>-1.0302443745463343</v>
      </c>
      <c r="CI134" s="93">
        <f t="shared" si="419"/>
        <v>-0.34909349448986848</v>
      </c>
      <c r="CJ134" s="93">
        <f t="shared" si="419"/>
        <v>-0.39981888159384193</v>
      </c>
      <c r="CK134" s="93">
        <f t="shared" si="419"/>
        <v>-0.75439101641232365</v>
      </c>
      <c r="CL134" s="391">
        <f t="shared" si="443"/>
        <v>1.4697508896797151</v>
      </c>
      <c r="CM134" s="93">
        <f t="shared" si="443"/>
        <v>-2.6386623164763456</v>
      </c>
      <c r="CN134" s="93">
        <f t="shared" si="443"/>
        <v>-3.8603174603174604</v>
      </c>
      <c r="CO134" s="93">
        <f t="shared" si="443"/>
        <v>-0.18780487804878043</v>
      </c>
      <c r="CP134" s="93">
        <f t="shared" si="443"/>
        <v>-27.952000000000002</v>
      </c>
      <c r="CQ134" s="93">
        <f t="shared" si="443"/>
        <v>-0.1829601310759148</v>
      </c>
      <c r="CR134" s="93">
        <f t="shared" si="443"/>
        <v>-0.18445869483213884</v>
      </c>
      <c r="CS134" s="93">
        <f t="shared" si="443"/>
        <v>1.8516998827667059</v>
      </c>
      <c r="CT134" s="391">
        <f t="shared" si="443"/>
        <v>0.81988472622478392</v>
      </c>
      <c r="CU134" s="93">
        <f t="shared" si="443"/>
        <v>-0.31209556993529119</v>
      </c>
      <c r="CV134" s="93">
        <f t="shared" si="444"/>
        <v>-2.1457639659637429E-2</v>
      </c>
      <c r="CW134" s="93">
        <f t="shared" si="444"/>
        <v>0.25525525525525516</v>
      </c>
      <c r="CX134" s="93">
        <f t="shared" si="444"/>
        <v>3.3244286138319978E-2</v>
      </c>
      <c r="CY134" s="129">
        <f t="shared" si="444"/>
        <v>0.43449197860962574</v>
      </c>
      <c r="CZ134" s="93">
        <f t="shared" si="444"/>
        <v>0.37927844588344128</v>
      </c>
      <c r="DA134" s="93">
        <f t="shared" si="444"/>
        <v>0.15662898252826318</v>
      </c>
      <c r="DB134" s="391">
        <f t="shared" si="444"/>
        <v>-0.38796516231195566</v>
      </c>
      <c r="DC134" s="93">
        <f t="shared" si="444"/>
        <v>0.33502170767004347</v>
      </c>
      <c r="DD134" s="93">
        <f t="shared" si="444"/>
        <v>-1.0207939508506625E-2</v>
      </c>
      <c r="DE134" s="93">
        <f t="shared" si="444"/>
        <v>0.21172248803827753</v>
      </c>
      <c r="DF134" s="93">
        <f t="shared" si="445"/>
        <v>4.3091065785693772E-2</v>
      </c>
      <c r="DG134" s="129">
        <f t="shared" si="445"/>
        <v>2.8424976700838878E-2</v>
      </c>
      <c r="DH134" s="93">
        <f t="shared" si="445"/>
        <v>7.9812206572769995E-2</v>
      </c>
      <c r="DI134" s="93">
        <f t="shared" si="445"/>
        <v>3.7497778567620488E-2</v>
      </c>
      <c r="DJ134" s="391">
        <f t="shared" si="445"/>
        <v>-0.25355756791720574</v>
      </c>
      <c r="DK134" s="93">
        <f t="shared" si="445"/>
        <v>-0.55880758807588071</v>
      </c>
      <c r="DL134" s="93">
        <f t="shared" si="445"/>
        <v>-0.4686783804430863</v>
      </c>
      <c r="DM134" s="93">
        <f t="shared" si="445"/>
        <v>0.38894373149062189</v>
      </c>
      <c r="DN134" s="93">
        <f t="shared" si="445"/>
        <v>-0.22941338474249517</v>
      </c>
      <c r="DO134" s="129">
        <f t="shared" si="445"/>
        <v>0.15813321250566381</v>
      </c>
      <c r="DP134" s="93">
        <f t="shared" si="446"/>
        <v>0.23074534161490678</v>
      </c>
      <c r="DQ134" s="93">
        <f t="shared" si="446"/>
        <v>-8.2905104487838277E-2</v>
      </c>
      <c r="DR134" s="391">
        <f>DR120/DJ120-1</f>
        <v>8.1455805892547639E-2</v>
      </c>
      <c r="DS134" s="93">
        <f t="shared" ref="DS134:DT134" si="475">DS120/DK120-1</f>
        <v>0.94103194103194099</v>
      </c>
      <c r="DT134" s="93">
        <f t="shared" si="475"/>
        <v>0.58447160316319202</v>
      </c>
      <c r="DU134" s="93">
        <f t="shared" si="462"/>
        <v>0.38024164889836531</v>
      </c>
      <c r="DV134" s="93">
        <f t="shared" si="463"/>
        <v>0.48177269478198714</v>
      </c>
      <c r="DW134" s="93">
        <f t="shared" si="464"/>
        <v>0.16666666666666674</v>
      </c>
      <c r="DX134" s="93">
        <f t="shared" si="465"/>
        <v>0.24249306081251576</v>
      </c>
      <c r="DY134" s="93">
        <f t="shared" si="466"/>
        <v>0.33134105341800524</v>
      </c>
      <c r="DZ134" s="391">
        <f>DZ120/DR120-1</f>
        <v>-0.51923076923076916</v>
      </c>
      <c r="EA134" s="93">
        <f t="shared" si="467"/>
        <v>0.53607594936708858</v>
      </c>
      <c r="EB134" s="93">
        <f t="shared" si="468"/>
        <v>0.23729582577132491</v>
      </c>
      <c r="EC134" s="93">
        <f t="shared" si="469"/>
        <v>6.421641569338421E-2</v>
      </c>
      <c r="ED134" s="93">
        <f t="shared" si="470"/>
        <v>0.15622486234359689</v>
      </c>
      <c r="EE134" s="129">
        <f t="shared" si="471"/>
        <v>-5.4690123787996314E-2</v>
      </c>
      <c r="EF134" s="120">
        <f t="shared" si="472"/>
        <v>-7.7940028146328277E-3</v>
      </c>
      <c r="EG134" s="94">
        <f t="shared" si="473"/>
        <v>6.7988542387871442E-2</v>
      </c>
      <c r="EH134" s="401"/>
      <c r="EI134" s="19"/>
      <c r="EK134" s="19"/>
    </row>
    <row r="135" spans="1:141">
      <c r="B135" s="42"/>
      <c r="J135" s="369"/>
      <c r="R135" s="369"/>
      <c r="Z135" s="369"/>
      <c r="AH135" s="369"/>
      <c r="AP135" s="369"/>
      <c r="AQ135" s="43"/>
      <c r="AR135" s="43"/>
      <c r="AS135" s="43"/>
      <c r="AT135" s="43"/>
      <c r="AU135" s="43"/>
      <c r="AV135" s="43"/>
      <c r="AW135" s="43"/>
      <c r="AX135" s="369"/>
      <c r="AY135" s="43"/>
      <c r="AZ135" s="43"/>
      <c r="BA135" s="43"/>
      <c r="BB135" s="43"/>
      <c r="BC135" s="43"/>
      <c r="BD135" s="43"/>
      <c r="BE135" s="43"/>
      <c r="BF135" s="369"/>
      <c r="BG135" s="43"/>
      <c r="BH135" s="43"/>
      <c r="BI135" s="43"/>
      <c r="BJ135" s="43"/>
      <c r="BK135" s="43"/>
      <c r="BL135" s="43"/>
      <c r="BM135" s="43"/>
      <c r="BN135" s="408"/>
      <c r="BO135" s="122"/>
      <c r="BP135" s="122"/>
      <c r="BQ135" s="122"/>
      <c r="BR135" s="122"/>
      <c r="BS135" s="122"/>
      <c r="BT135" s="122"/>
      <c r="BU135" s="122"/>
      <c r="BV135" s="369"/>
      <c r="BW135" s="122"/>
      <c r="BX135" s="122"/>
      <c r="BY135" s="43"/>
      <c r="BZ135" s="43"/>
      <c r="CA135" s="43"/>
      <c r="CB135" s="43"/>
      <c r="CC135" s="43"/>
      <c r="CD135" s="369"/>
      <c r="CE135" s="43"/>
      <c r="CF135" s="43"/>
      <c r="CG135" s="43"/>
      <c r="CH135" s="43"/>
      <c r="CI135" s="43"/>
      <c r="CJ135" s="43"/>
      <c r="CK135" s="43"/>
      <c r="CL135" s="369"/>
      <c r="CM135" s="43"/>
      <c r="CN135" s="43"/>
      <c r="CO135" s="43"/>
      <c r="CP135" s="43"/>
      <c r="CQ135" s="43"/>
      <c r="CR135" s="43"/>
      <c r="CS135" s="43"/>
      <c r="CT135" s="369"/>
      <c r="CU135" s="43"/>
      <c r="CV135" s="43"/>
      <c r="CW135" s="43"/>
      <c r="CX135" s="43"/>
      <c r="CY135" s="122"/>
      <c r="CZ135" s="43"/>
      <c r="DA135" s="43"/>
      <c r="DB135" s="369"/>
      <c r="DC135" s="43"/>
      <c r="DD135" s="43"/>
      <c r="DE135" s="43"/>
      <c r="DF135" s="43"/>
      <c r="DG135" s="122"/>
      <c r="DH135" s="43"/>
      <c r="DI135" s="43"/>
      <c r="DJ135" s="369"/>
      <c r="DK135" s="43"/>
      <c r="DL135" s="43"/>
      <c r="DM135" s="43"/>
      <c r="DN135" s="43"/>
      <c r="DO135" s="122"/>
      <c r="DP135" s="43"/>
      <c r="DQ135" s="43"/>
      <c r="DR135" s="369"/>
      <c r="DS135" s="43"/>
      <c r="DT135" s="43"/>
      <c r="DU135" s="43"/>
      <c r="DV135" s="43"/>
      <c r="DW135" s="122"/>
      <c r="DX135" s="43"/>
      <c r="DY135" s="43"/>
      <c r="DZ135" s="369"/>
      <c r="EA135" s="43"/>
      <c r="EB135" s="43"/>
      <c r="EC135" s="43"/>
      <c r="ED135" s="43"/>
      <c r="EE135" s="122"/>
      <c r="EF135" s="43"/>
      <c r="EG135" s="44"/>
      <c r="EH135" s="613"/>
      <c r="EI135" s="22"/>
      <c r="EK135" s="19"/>
    </row>
    <row r="136" spans="1:141">
      <c r="A136" s="13" t="s">
        <v>319</v>
      </c>
      <c r="B136" s="241">
        <v>11</v>
      </c>
      <c r="C136" s="46">
        <f t="shared" ref="C136:E139" si="476">D136-B136</f>
        <v>31</v>
      </c>
      <c r="D136" s="242">
        <v>42</v>
      </c>
      <c r="E136" s="46">
        <f t="shared" si="476"/>
        <v>10</v>
      </c>
      <c r="F136" s="242">
        <v>52</v>
      </c>
      <c r="G136" s="46" t="e">
        <f>I136-F136</f>
        <v>#REF!</v>
      </c>
      <c r="H136" s="46" t="e">
        <f>G136+E136</f>
        <v>#REF!</v>
      </c>
      <c r="I136" s="43" t="e">
        <f>'Income Statement'!#REF!</f>
        <v>#REF!</v>
      </c>
      <c r="J136" s="419">
        <v>10</v>
      </c>
      <c r="K136" s="46">
        <f>L136-J136</f>
        <v>9</v>
      </c>
      <c r="L136" s="242">
        <v>19</v>
      </c>
      <c r="M136" s="46">
        <f>N136-L136</f>
        <v>10</v>
      </c>
      <c r="N136" s="242">
        <v>29</v>
      </c>
      <c r="O136" s="46" t="e">
        <f>Q136-N136</f>
        <v>#REF!</v>
      </c>
      <c r="P136" s="46" t="e">
        <f>O136+M136</f>
        <v>#REF!</v>
      </c>
      <c r="Q136" s="43" t="e">
        <f>'Income Statement'!#REF!</f>
        <v>#REF!</v>
      </c>
      <c r="R136" s="419">
        <v>10</v>
      </c>
      <c r="S136" s="46">
        <f>T136-R136</f>
        <v>9</v>
      </c>
      <c r="T136" s="242">
        <v>19</v>
      </c>
      <c r="U136" s="46">
        <f>V136-T136</f>
        <v>12</v>
      </c>
      <c r="V136" s="242">
        <v>31</v>
      </c>
      <c r="W136" s="48"/>
      <c r="X136" s="48" t="e">
        <f>Y136-T136</f>
        <v>#REF!</v>
      </c>
      <c r="Y136" s="64" t="e">
        <f>'Income Statement'!#REF!</f>
        <v>#REF!</v>
      </c>
      <c r="Z136" s="419">
        <v>10</v>
      </c>
      <c r="AA136" s="46">
        <f>AB136-Z136</f>
        <v>10</v>
      </c>
      <c r="AB136" s="242">
        <v>20</v>
      </c>
      <c r="AC136" s="46">
        <f>AD136-AB136</f>
        <v>14</v>
      </c>
      <c r="AD136" s="242">
        <v>34</v>
      </c>
      <c r="AE136" s="48" t="e">
        <f>AG136-AD136</f>
        <v>#REF!</v>
      </c>
      <c r="AF136" s="48" t="e">
        <f>AG136-AB136</f>
        <v>#REF!</v>
      </c>
      <c r="AG136" s="64" t="e">
        <f>'Income Statement'!#REF!</f>
        <v>#REF!</v>
      </c>
      <c r="AH136" s="419">
        <v>9</v>
      </c>
      <c r="AI136" s="46">
        <f>AJ136-AH136</f>
        <v>10</v>
      </c>
      <c r="AJ136" s="242">
        <v>19</v>
      </c>
      <c r="AK136" s="46">
        <f>AL136-AJ136</f>
        <v>5</v>
      </c>
      <c r="AL136" s="242">
        <v>24</v>
      </c>
      <c r="AM136" s="48" t="e">
        <f>AO136-AL136</f>
        <v>#REF!</v>
      </c>
      <c r="AN136" s="48" t="e">
        <f>AO136-AJ136</f>
        <v>#REF!</v>
      </c>
      <c r="AO136" s="64" t="e">
        <f>'Income Statement'!#REF!</f>
        <v>#REF!</v>
      </c>
      <c r="AP136" s="419">
        <v>3</v>
      </c>
      <c r="AQ136" s="46">
        <f>AR136-AP136</f>
        <v>2</v>
      </c>
      <c r="AR136" s="242">
        <v>5</v>
      </c>
      <c r="AS136" s="46"/>
      <c r="AT136" s="242">
        <v>-7</v>
      </c>
      <c r="AU136" s="48">
        <f>AW136-AT136</f>
        <v>7</v>
      </c>
      <c r="AV136" s="48">
        <f>AW136-AR136</f>
        <v>-5</v>
      </c>
      <c r="AW136" s="150">
        <v>0</v>
      </c>
      <c r="AX136" s="396"/>
      <c r="AY136" s="46"/>
      <c r="AZ136" s="239"/>
      <c r="BA136" s="46"/>
      <c r="BB136" s="239"/>
      <c r="BC136" s="48"/>
      <c r="BD136" s="48"/>
      <c r="BE136" s="64"/>
      <c r="BF136" s="392"/>
      <c r="BG136" s="64"/>
      <c r="BH136" s="64"/>
      <c r="BI136" s="64"/>
      <c r="BJ136" s="64"/>
      <c r="BK136" s="64"/>
      <c r="BL136" s="64"/>
      <c r="BM136" s="64"/>
      <c r="BN136" s="396"/>
      <c r="BO136" s="46"/>
      <c r="BP136" s="239"/>
      <c r="BQ136" s="46"/>
      <c r="BR136" s="239"/>
      <c r="BS136" s="48"/>
      <c r="BT136" s="48"/>
      <c r="BU136" s="123" t="e">
        <f>'Income Statement'!#REF!</f>
        <v>#REF!</v>
      </c>
      <c r="BV136" s="396"/>
      <c r="BW136" s="46"/>
      <c r="BX136" s="239"/>
      <c r="BY136" s="46"/>
      <c r="BZ136" s="239"/>
      <c r="CA136" s="48"/>
      <c r="CB136" s="48"/>
      <c r="CC136" s="64" t="e">
        <f>'Income Statement'!#REF!</f>
        <v>#REF!</v>
      </c>
      <c r="CD136" s="396"/>
      <c r="CE136" s="46"/>
      <c r="CF136" s="239"/>
      <c r="CG136" s="46"/>
      <c r="CH136" s="239"/>
      <c r="CI136" s="48"/>
      <c r="CJ136" s="48"/>
      <c r="CK136" s="64" t="e">
        <f>'Income Statement'!#REF!</f>
        <v>#REF!</v>
      </c>
      <c r="CL136" s="688"/>
      <c r="CM136" s="689"/>
      <c r="CN136" s="689"/>
      <c r="CO136" s="689"/>
      <c r="CP136" s="689"/>
      <c r="CQ136" s="691"/>
      <c r="CR136" s="691"/>
      <c r="CS136" s="103"/>
      <c r="CT136" s="688"/>
      <c r="CU136" s="689"/>
      <c r="CV136" s="689"/>
      <c r="CW136" s="689"/>
      <c r="CX136" s="689"/>
      <c r="CY136" s="690"/>
      <c r="CZ136" s="691"/>
      <c r="DA136" s="103"/>
      <c r="DB136" s="688"/>
      <c r="DC136" s="689"/>
      <c r="DD136" s="689"/>
      <c r="DE136" s="689"/>
      <c r="DF136" s="689"/>
      <c r="DG136" s="690"/>
      <c r="DH136" s="691"/>
      <c r="DI136" s="103"/>
      <c r="DJ136" s="688"/>
      <c r="DK136" s="46"/>
      <c r="DL136" s="689"/>
      <c r="DM136" s="689"/>
      <c r="DN136" s="689"/>
      <c r="DO136" s="316"/>
      <c r="DP136" s="48"/>
      <c r="DQ136" s="64"/>
      <c r="DR136" s="688"/>
      <c r="DS136" s="689"/>
      <c r="DT136" s="689"/>
      <c r="DU136" s="689"/>
      <c r="DV136" s="689"/>
      <c r="DW136" s="690"/>
      <c r="DX136" s="691"/>
      <c r="DY136" s="103"/>
      <c r="DZ136" s="688"/>
      <c r="EA136" s="689"/>
      <c r="EB136" s="689"/>
      <c r="EC136" s="689"/>
      <c r="ED136" s="689"/>
      <c r="EE136" s="316"/>
      <c r="EF136" s="48"/>
      <c r="EG136" s="63"/>
      <c r="EH136" s="401"/>
      <c r="EI136" s="19"/>
      <c r="EK136" s="19"/>
    </row>
    <row r="137" spans="1:141">
      <c r="A137" s="41" t="s">
        <v>56</v>
      </c>
      <c r="B137" s="238"/>
      <c r="C137" s="46">
        <f t="shared" si="476"/>
        <v>0</v>
      </c>
      <c r="D137" s="239"/>
      <c r="E137" s="46">
        <f t="shared" si="476"/>
        <v>0</v>
      </c>
      <c r="F137" s="239"/>
      <c r="G137" s="46" t="e">
        <f>I137-F137</f>
        <v>#REF!</v>
      </c>
      <c r="H137" s="46" t="e">
        <f>G137+E137</f>
        <v>#REF!</v>
      </c>
      <c r="I137" s="43" t="e">
        <f>'Income Statement'!#REF!</f>
        <v>#REF!</v>
      </c>
      <c r="J137" s="396"/>
      <c r="K137" s="46">
        <f>L137-J137</f>
        <v>0</v>
      </c>
      <c r="L137" s="239"/>
      <c r="M137" s="46">
        <f>N137-L137</f>
        <v>0</v>
      </c>
      <c r="N137" s="239"/>
      <c r="O137" s="46" t="e">
        <f>Q137-N137</f>
        <v>#REF!</v>
      </c>
      <c r="P137" s="46" t="e">
        <f>O137+M137</f>
        <v>#REF!</v>
      </c>
      <c r="Q137" s="43" t="e">
        <f>'Income Statement'!#REF!</f>
        <v>#REF!</v>
      </c>
      <c r="R137" s="396"/>
      <c r="S137" s="46">
        <f>T137-R137</f>
        <v>0</v>
      </c>
      <c r="T137" s="239"/>
      <c r="U137" s="46">
        <f>V137-T137</f>
        <v>0</v>
      </c>
      <c r="V137" s="242">
        <v>0</v>
      </c>
      <c r="W137" s="48"/>
      <c r="X137" s="48" t="e">
        <f>Y137-T137</f>
        <v>#REF!</v>
      </c>
      <c r="Y137" s="64" t="e">
        <f>'Income Statement'!#REF!</f>
        <v>#REF!</v>
      </c>
      <c r="Z137" s="419">
        <v>0</v>
      </c>
      <c r="AA137" s="155">
        <v>0</v>
      </c>
      <c r="AB137" s="242">
        <v>0</v>
      </c>
      <c r="AC137" s="46">
        <f>AD137-AB137</f>
        <v>0</v>
      </c>
      <c r="AD137" s="242">
        <v>0</v>
      </c>
      <c r="AE137" s="48">
        <f>AG137-AD137</f>
        <v>0</v>
      </c>
      <c r="AF137" s="48">
        <f t="shared" ref="AF137:AF151" si="477">AG137-AB137</f>
        <v>0</v>
      </c>
      <c r="AG137" s="149">
        <v>0</v>
      </c>
      <c r="AH137" s="396">
        <f>-(697+43+90)</f>
        <v>-830</v>
      </c>
      <c r="AI137" s="155">
        <v>0</v>
      </c>
      <c r="AJ137" s="239">
        <f>-748+257</f>
        <v>-491</v>
      </c>
      <c r="AK137" s="46">
        <f>AL137-AJ137</f>
        <v>-11</v>
      </c>
      <c r="AL137" s="239">
        <f>-748+246</f>
        <v>-502</v>
      </c>
      <c r="AM137" s="48">
        <f>AO137-AL137</f>
        <v>502</v>
      </c>
      <c r="AN137" s="48">
        <f t="shared" ref="AN137:AN151" si="478">AO137-AJ137</f>
        <v>491</v>
      </c>
      <c r="AO137" s="149">
        <v>0</v>
      </c>
      <c r="AP137" s="419">
        <v>0</v>
      </c>
      <c r="AQ137" s="155">
        <v>0</v>
      </c>
      <c r="AR137" s="239">
        <f>-868-179+366</f>
        <v>-681</v>
      </c>
      <c r="AS137" s="46"/>
      <c r="AT137" s="239"/>
      <c r="AU137" s="48">
        <f>AW137-AT137</f>
        <v>0</v>
      </c>
      <c r="AV137" s="48">
        <f>AW137-AR137</f>
        <v>681</v>
      </c>
      <c r="AW137" s="150">
        <v>0</v>
      </c>
      <c r="AX137" s="396"/>
      <c r="AY137" s="46"/>
      <c r="AZ137" s="239"/>
      <c r="BA137" s="46"/>
      <c r="BB137" s="239"/>
      <c r="BC137" s="48"/>
      <c r="BD137" s="48"/>
      <c r="BE137" s="64"/>
      <c r="BF137" s="392"/>
      <c r="BG137" s="64"/>
      <c r="BH137" s="64"/>
      <c r="BI137" s="64"/>
      <c r="BJ137" s="64"/>
      <c r="BK137" s="64"/>
      <c r="BL137" s="64"/>
      <c r="BM137" s="64"/>
      <c r="BN137" s="396"/>
      <c r="BO137" s="46"/>
      <c r="BP137" s="239"/>
      <c r="BQ137" s="46"/>
      <c r="BR137" s="239"/>
      <c r="BS137" s="48"/>
      <c r="BT137" s="48"/>
      <c r="BU137" s="149">
        <v>0</v>
      </c>
      <c r="BV137" s="396"/>
      <c r="BW137" s="46"/>
      <c r="BX137" s="239"/>
      <c r="BY137" s="46"/>
      <c r="BZ137" s="239"/>
      <c r="CA137" s="48"/>
      <c r="CB137" s="48"/>
      <c r="CC137" s="149">
        <v>0</v>
      </c>
      <c r="CD137" s="396"/>
      <c r="CE137" s="46"/>
      <c r="CF137" s="239"/>
      <c r="CG137" s="46"/>
      <c r="CH137" s="239"/>
      <c r="CI137" s="48"/>
      <c r="CJ137" s="48"/>
      <c r="CK137" s="149">
        <v>0</v>
      </c>
      <c r="CL137" s="688"/>
      <c r="CM137" s="689"/>
      <c r="CN137" s="689"/>
      <c r="CO137" s="689"/>
      <c r="CP137" s="689"/>
      <c r="CQ137" s="691"/>
      <c r="CR137" s="691"/>
      <c r="CS137" s="150">
        <v>0</v>
      </c>
      <c r="CT137" s="453"/>
      <c r="CU137" s="121"/>
      <c r="CV137" s="121"/>
      <c r="CW137" s="121"/>
      <c r="CX137" s="121"/>
      <c r="CY137" s="692"/>
      <c r="CZ137" s="121"/>
      <c r="DA137" s="150">
        <v>0</v>
      </c>
      <c r="DB137" s="453"/>
      <c r="DC137" s="121"/>
      <c r="DD137" s="121"/>
      <c r="DE137" s="121"/>
      <c r="DF137" s="121"/>
      <c r="DG137" s="692"/>
      <c r="DH137" s="121"/>
      <c r="DI137" s="150">
        <v>0</v>
      </c>
      <c r="DJ137" s="453"/>
      <c r="DK137" s="62"/>
      <c r="DL137" s="121"/>
      <c r="DM137" s="121"/>
      <c r="DN137" s="121"/>
      <c r="DO137" s="338"/>
      <c r="DP137" s="62"/>
      <c r="DQ137" s="149">
        <v>0</v>
      </c>
      <c r="DR137" s="453"/>
      <c r="DS137" s="121"/>
      <c r="DT137" s="121"/>
      <c r="DU137" s="121"/>
      <c r="DV137" s="121"/>
      <c r="DW137" s="692"/>
      <c r="DX137" s="121"/>
      <c r="DY137" s="150"/>
      <c r="DZ137" s="453"/>
      <c r="EA137" s="121"/>
      <c r="EB137" s="121"/>
      <c r="EC137" s="121"/>
      <c r="ED137" s="121"/>
      <c r="EE137" s="338"/>
      <c r="EF137" s="62"/>
      <c r="EG137" s="152"/>
      <c r="EH137" s="401"/>
      <c r="EI137" s="19"/>
      <c r="EK137" s="19"/>
    </row>
    <row r="138" spans="1:141">
      <c r="A138" s="13" t="s">
        <v>320</v>
      </c>
      <c r="B138" s="241">
        <v>181</v>
      </c>
      <c r="C138" s="46">
        <f t="shared" si="476"/>
        <v>340</v>
      </c>
      <c r="D138" s="242">
        <v>521</v>
      </c>
      <c r="E138" s="46">
        <f t="shared" si="476"/>
        <v>312</v>
      </c>
      <c r="F138" s="242">
        <v>833</v>
      </c>
      <c r="G138" s="46" t="e">
        <f>I138-F138</f>
        <v>#REF!</v>
      </c>
      <c r="H138" s="46" t="e">
        <f>G138+E138</f>
        <v>#REF!</v>
      </c>
      <c r="I138" s="64" t="e">
        <f>I34-I136-I137</f>
        <v>#REF!</v>
      </c>
      <c r="J138" s="419">
        <v>333</v>
      </c>
      <c r="K138" s="46">
        <f>L138-J138</f>
        <v>726</v>
      </c>
      <c r="L138" s="242">
        <v>1059</v>
      </c>
      <c r="M138" s="46">
        <f>N138-L138</f>
        <v>527</v>
      </c>
      <c r="N138" s="242">
        <v>1586</v>
      </c>
      <c r="O138" s="46" t="e">
        <f>Q138-N138</f>
        <v>#REF!</v>
      </c>
      <c r="P138" s="46" t="e">
        <f>O138+M138</f>
        <v>#REF!</v>
      </c>
      <c r="Q138" s="64" t="e">
        <f>Q34-Q136-Q137</f>
        <v>#REF!</v>
      </c>
      <c r="R138" s="419">
        <v>579</v>
      </c>
      <c r="S138" s="46">
        <f>T138-R138</f>
        <v>880</v>
      </c>
      <c r="T138" s="242">
        <v>1459</v>
      </c>
      <c r="U138" s="46">
        <f>V138-T138</f>
        <v>641</v>
      </c>
      <c r="V138" s="242">
        <v>2100</v>
      </c>
      <c r="W138" s="48"/>
      <c r="X138" s="48" t="e">
        <f>Y138-T138</f>
        <v>#REF!</v>
      </c>
      <c r="Y138" s="64" t="e">
        <f>Y34-Y136-Y137</f>
        <v>#REF!</v>
      </c>
      <c r="Z138" s="419">
        <v>709</v>
      </c>
      <c r="AA138" s="46">
        <f>AB138-Z138</f>
        <v>1110</v>
      </c>
      <c r="AB138" s="242">
        <v>1819</v>
      </c>
      <c r="AC138" s="46">
        <f>AD138-AB138</f>
        <v>730</v>
      </c>
      <c r="AD138" s="242">
        <v>2549</v>
      </c>
      <c r="AE138" s="48" t="e">
        <f>AG138-AD138</f>
        <v>#REF!</v>
      </c>
      <c r="AF138" s="48" t="e">
        <f t="shared" si="477"/>
        <v>#REF!</v>
      </c>
      <c r="AG138" s="64" t="e">
        <f>'Income Statement'!#REF!</f>
        <v>#REF!</v>
      </c>
      <c r="AH138" s="419">
        <v>1232</v>
      </c>
      <c r="AI138" s="46">
        <f>AJ138-AH138</f>
        <v>978</v>
      </c>
      <c r="AJ138" s="242">
        <v>2210</v>
      </c>
      <c r="AK138" s="46">
        <f>AL138-AJ138</f>
        <v>712</v>
      </c>
      <c r="AL138" s="242">
        <v>2922</v>
      </c>
      <c r="AM138" s="48" t="e">
        <f>AO138-AL138</f>
        <v>#REF!</v>
      </c>
      <c r="AN138" s="48" t="e">
        <f t="shared" si="478"/>
        <v>#REF!</v>
      </c>
      <c r="AO138" s="64" t="e">
        <f>'Income Statement'!#REF!</f>
        <v>#REF!</v>
      </c>
      <c r="AP138" s="419">
        <v>362</v>
      </c>
      <c r="AQ138" s="46">
        <f>AR138-AP138</f>
        <v>1489</v>
      </c>
      <c r="AR138" s="242">
        <v>1851</v>
      </c>
      <c r="AS138" s="46"/>
      <c r="AT138" s="242">
        <v>2363</v>
      </c>
      <c r="AU138" s="48">
        <f>AW138-AT138</f>
        <v>-105</v>
      </c>
      <c r="AV138" s="48">
        <f>AW138-AR138</f>
        <v>407</v>
      </c>
      <c r="AW138" s="150">
        <v>2258</v>
      </c>
      <c r="AX138" s="419">
        <v>852</v>
      </c>
      <c r="AY138" s="46">
        <f>AZ138-AX138</f>
        <v>939</v>
      </c>
      <c r="AZ138" s="242">
        <v>1791</v>
      </c>
      <c r="BA138" s="46">
        <f>BB138-AZ138</f>
        <v>521</v>
      </c>
      <c r="BB138" s="242">
        <v>2312</v>
      </c>
      <c r="BC138" s="48">
        <f>BE138-BB138</f>
        <v>1109</v>
      </c>
      <c r="BD138" s="48">
        <f>BE138-AZ138</f>
        <v>1630</v>
      </c>
      <c r="BE138" s="149">
        <v>3421</v>
      </c>
      <c r="BF138" s="392"/>
      <c r="BG138" s="64"/>
      <c r="BH138" s="64"/>
      <c r="BI138" s="77"/>
      <c r="BJ138" s="64"/>
      <c r="BK138" s="64"/>
      <c r="BL138" s="64"/>
      <c r="BM138" s="64"/>
      <c r="BN138" s="421">
        <f>BN140+BN139</f>
        <v>199</v>
      </c>
      <c r="BO138" s="46"/>
      <c r="BP138" s="242">
        <v>1120</v>
      </c>
      <c r="BQ138" s="46"/>
      <c r="BR138" s="242">
        <v>2683</v>
      </c>
      <c r="BS138" s="48"/>
      <c r="BT138" s="48"/>
      <c r="BU138" s="123" t="e">
        <f>BU120-BU136-BU137</f>
        <v>#REF!</v>
      </c>
      <c r="BV138" s="419">
        <v>181</v>
      </c>
      <c r="BW138" s="46">
        <f>BX138-BV138</f>
        <v>1912</v>
      </c>
      <c r="BX138" s="242">
        <v>2093</v>
      </c>
      <c r="BY138" s="46">
        <f>BZ138-BX138</f>
        <v>1338</v>
      </c>
      <c r="BZ138" s="242">
        <v>3431</v>
      </c>
      <c r="CA138" s="48">
        <f>CC138-BZ138</f>
        <v>-2092</v>
      </c>
      <c r="CB138" s="48">
        <f>BY138+CA138</f>
        <v>-754</v>
      </c>
      <c r="CC138" s="149">
        <v>1339</v>
      </c>
      <c r="CD138" s="419">
        <v>79</v>
      </c>
      <c r="CE138" s="46">
        <f>CF138-CD138</f>
        <v>-1638</v>
      </c>
      <c r="CF138" s="242">
        <v>-1559</v>
      </c>
      <c r="CG138" s="46">
        <f>CH138-CF138</f>
        <v>-626</v>
      </c>
      <c r="CH138" s="242">
        <v>-2185</v>
      </c>
      <c r="CI138" s="48"/>
      <c r="CJ138" s="48"/>
      <c r="CK138" s="64">
        <f>CK140-CK139</f>
        <v>-510</v>
      </c>
      <c r="CL138" s="709">
        <v>462</v>
      </c>
      <c r="CM138" s="689">
        <f>CN138-CL138</f>
        <v>2265</v>
      </c>
      <c r="CN138" s="710">
        <v>2727</v>
      </c>
      <c r="CO138" s="689">
        <f>CP138-CN138</f>
        <v>710</v>
      </c>
      <c r="CP138" s="710">
        <v>3437</v>
      </c>
      <c r="CQ138" s="689"/>
      <c r="CR138" s="691"/>
      <c r="CS138" s="103">
        <f>CS140-CS139</f>
        <v>5342</v>
      </c>
      <c r="CT138" s="693">
        <v>1429</v>
      </c>
      <c r="CU138" s="121">
        <f>CV138-CT138</f>
        <v>1150</v>
      </c>
      <c r="CV138" s="452">
        <v>2579</v>
      </c>
      <c r="CW138" s="121">
        <f>CX138-CV138</f>
        <v>973</v>
      </c>
      <c r="CX138" s="452">
        <v>3552</v>
      </c>
      <c r="CY138" s="692"/>
      <c r="CZ138" s="121"/>
      <c r="DA138" s="103">
        <f>DA140-DA139</f>
        <v>5325</v>
      </c>
      <c r="DB138" s="693">
        <v>390</v>
      </c>
      <c r="DC138" s="121">
        <f>DD138-DB138</f>
        <v>1497</v>
      </c>
      <c r="DD138" s="452">
        <v>1887</v>
      </c>
      <c r="DE138" s="121">
        <f>DF138-DD138</f>
        <v>825</v>
      </c>
      <c r="DF138" s="452">
        <v>2712</v>
      </c>
      <c r="DG138" s="692">
        <f>DI138-DF138</f>
        <v>1891</v>
      </c>
      <c r="DH138" s="121">
        <f>DI138-DD138</f>
        <v>2716</v>
      </c>
      <c r="DI138" s="103">
        <f>DI140-DI139</f>
        <v>4603</v>
      </c>
      <c r="DJ138" s="693">
        <v>609</v>
      </c>
      <c r="DK138" s="62">
        <f>DL138-DJ138</f>
        <v>847</v>
      </c>
      <c r="DL138" s="452">
        <v>1456</v>
      </c>
      <c r="DM138" s="121">
        <f>DN138-DL138</f>
        <v>1234</v>
      </c>
      <c r="DN138" s="452">
        <v>2690</v>
      </c>
      <c r="DO138" s="338">
        <f>DQ138-DN138</f>
        <v>2614</v>
      </c>
      <c r="DP138" s="62">
        <f>DQ138-DL138</f>
        <v>3848</v>
      </c>
      <c r="DQ138" s="64">
        <f>DQ140-DQ139</f>
        <v>5304</v>
      </c>
      <c r="DR138" s="693">
        <v>473</v>
      </c>
      <c r="DS138" s="121">
        <f>DT138-DR138</f>
        <v>1144</v>
      </c>
      <c r="DT138" s="452">
        <v>1617</v>
      </c>
      <c r="DU138" s="452">
        <v>1748</v>
      </c>
      <c r="DV138" s="121">
        <f>DT138+DU138</f>
        <v>3365</v>
      </c>
      <c r="DW138" s="338">
        <f>DY138-DV138</f>
        <v>2717</v>
      </c>
      <c r="DX138" s="62">
        <f>DY138-DT138</f>
        <v>4465</v>
      </c>
      <c r="DY138" s="63">
        <f>DY140-DY139</f>
        <v>6082</v>
      </c>
      <c r="DZ138" s="693">
        <v>224</v>
      </c>
      <c r="EA138" s="121">
        <v>2521</v>
      </c>
      <c r="EB138" s="452">
        <f>EA138+DZ138</f>
        <v>2745</v>
      </c>
      <c r="EC138" s="692">
        <f>ED138-EB138</f>
        <v>1466.8504013356815</v>
      </c>
      <c r="ED138" s="692">
        <f>(DV138/DY138)*EG138</f>
        <v>4211.8504013356815</v>
      </c>
      <c r="EE138" s="338">
        <f>EG138-ED138</f>
        <v>3400.7719288050666</v>
      </c>
      <c r="EF138" s="338">
        <f>EG138-EB138</f>
        <v>4867.6223301407481</v>
      </c>
      <c r="EG138" s="63">
        <f>EG140-EG139</f>
        <v>7612.6223301407481</v>
      </c>
      <c r="EH138" s="401"/>
      <c r="EI138" s="19"/>
      <c r="EK138" s="19"/>
    </row>
    <row r="139" spans="1:141">
      <c r="A139" s="13" t="s">
        <v>240</v>
      </c>
      <c r="B139" s="241">
        <v>-37</v>
      </c>
      <c r="C139" s="46">
        <f t="shared" si="476"/>
        <v>-123</v>
      </c>
      <c r="D139" s="242">
        <v>-160</v>
      </c>
      <c r="E139" s="46">
        <f t="shared" si="476"/>
        <v>-20</v>
      </c>
      <c r="F139" s="242">
        <v>-180</v>
      </c>
      <c r="G139" s="46">
        <f>I139-F139</f>
        <v>82</v>
      </c>
      <c r="H139" s="46">
        <f>G139+E139</f>
        <v>62</v>
      </c>
      <c r="I139" s="43">
        <f>-'Income Statement'!G77</f>
        <v>-98</v>
      </c>
      <c r="J139" s="419">
        <v>-142</v>
      </c>
      <c r="K139" s="46">
        <f>L139-J139</f>
        <v>-140</v>
      </c>
      <c r="L139" s="242">
        <v>-282</v>
      </c>
      <c r="M139" s="46">
        <f>N139-L139</f>
        <v>-52</v>
      </c>
      <c r="N139" s="242">
        <v>-334</v>
      </c>
      <c r="O139" s="46">
        <f>Q139-N139</f>
        <v>-486</v>
      </c>
      <c r="P139" s="46">
        <f>O139+M139</f>
        <v>-538</v>
      </c>
      <c r="Q139" s="43">
        <f>-'Income Statement'!H77</f>
        <v>-820</v>
      </c>
      <c r="R139" s="396">
        <f>-(-131-14)</f>
        <v>145</v>
      </c>
      <c r="S139" s="46">
        <f>T139-R139</f>
        <v>-9</v>
      </c>
      <c r="T139" s="239">
        <f>-(-108-28)</f>
        <v>136</v>
      </c>
      <c r="U139" s="46">
        <f>V139-T139</f>
        <v>53</v>
      </c>
      <c r="V139" s="239">
        <f>140+49</f>
        <v>189</v>
      </c>
      <c r="W139" s="48"/>
      <c r="X139" s="48">
        <f>Y139-T139</f>
        <v>-1049</v>
      </c>
      <c r="Y139" s="43">
        <f>-'Income Statement'!I77</f>
        <v>-913</v>
      </c>
      <c r="Z139" s="419">
        <v>-19</v>
      </c>
      <c r="AA139" s="46">
        <f>AB139-Z139</f>
        <v>-51</v>
      </c>
      <c r="AB139" s="242">
        <v>-70</v>
      </c>
      <c r="AC139" s="46">
        <f>AD139-AB139</f>
        <v>77</v>
      </c>
      <c r="AD139" s="242">
        <v>7</v>
      </c>
      <c r="AE139" s="48">
        <f>AG139-AD139</f>
        <v>68</v>
      </c>
      <c r="AF139" s="48">
        <f t="shared" si="477"/>
        <v>145</v>
      </c>
      <c r="AG139" s="43">
        <f>'Income Statement'!J77</f>
        <v>75</v>
      </c>
      <c r="AH139" s="419">
        <v>240</v>
      </c>
      <c r="AI139" s="46">
        <f>AJ139-AH139</f>
        <v>-95</v>
      </c>
      <c r="AJ139" s="242">
        <v>145</v>
      </c>
      <c r="AK139" s="46">
        <f>AL139-AJ139</f>
        <v>215</v>
      </c>
      <c r="AL139" s="242">
        <v>360</v>
      </c>
      <c r="AM139" s="48">
        <f>AO139-AL139</f>
        <v>-314</v>
      </c>
      <c r="AN139" s="48">
        <f t="shared" si="478"/>
        <v>-99</v>
      </c>
      <c r="AO139" s="43">
        <f>'Income Statement'!K77</f>
        <v>46</v>
      </c>
      <c r="AP139" s="396">
        <f>-(19-19-136)</f>
        <v>136</v>
      </c>
      <c r="AQ139" s="46">
        <f>AR139-AP139</f>
        <v>373</v>
      </c>
      <c r="AR139" s="242">
        <v>509</v>
      </c>
      <c r="AS139" s="46"/>
      <c r="AT139" s="239">
        <f>366-169-868+723</f>
        <v>52</v>
      </c>
      <c r="AU139" s="48">
        <f>AW139-AT139</f>
        <v>1645</v>
      </c>
      <c r="AV139" s="48">
        <f>AW139-AR139</f>
        <v>1188</v>
      </c>
      <c r="AW139" s="456">
        <v>1697</v>
      </c>
      <c r="AX139" s="396">
        <f>560+55-3</f>
        <v>612</v>
      </c>
      <c r="AY139" s="46">
        <f>AZ139-AX139</f>
        <v>80</v>
      </c>
      <c r="AZ139" s="239">
        <f>-70+174+560+28</f>
        <v>692</v>
      </c>
      <c r="BA139" s="46">
        <f>BB139-AZ139</f>
        <v>-176</v>
      </c>
      <c r="BB139" s="239">
        <f>-150+43+604+19</f>
        <v>516</v>
      </c>
      <c r="BC139" s="48">
        <f>BE139-BB139</f>
        <v>316</v>
      </c>
      <c r="BD139" s="48">
        <f>BE139-AZ139</f>
        <v>140</v>
      </c>
      <c r="BE139" s="43">
        <f>1299+117+7-7+20-604</f>
        <v>832</v>
      </c>
      <c r="BF139" s="369"/>
      <c r="BG139" s="43"/>
      <c r="BH139" s="43"/>
      <c r="BI139" s="43"/>
      <c r="BJ139" s="43"/>
      <c r="BK139" s="43"/>
      <c r="BL139" s="43"/>
      <c r="BM139" s="43"/>
      <c r="BN139" s="419">
        <v>185</v>
      </c>
      <c r="BO139" s="46"/>
      <c r="BP139" s="239">
        <f>-40+59-21-40</f>
        <v>-42</v>
      </c>
      <c r="BQ139" s="46"/>
      <c r="BR139" s="239">
        <f>-109+51-23+26</f>
        <v>-55</v>
      </c>
      <c r="BS139" s="48"/>
      <c r="BT139" s="48"/>
      <c r="BU139" s="123">
        <f>-463-436-123+188+129-81</f>
        <v>-786</v>
      </c>
      <c r="BV139" s="421">
        <f>BV140-BV138</f>
        <v>368</v>
      </c>
      <c r="BW139" s="46">
        <f>BX139-BV139</f>
        <v>68</v>
      </c>
      <c r="BX139" s="243">
        <f>BX140-BX138</f>
        <v>436</v>
      </c>
      <c r="BY139" s="46">
        <f>BZ139-BX139</f>
        <v>-1138</v>
      </c>
      <c r="BZ139" s="239">
        <f>-253-221-158-70</f>
        <v>-702</v>
      </c>
      <c r="CA139" s="48">
        <f>CC139-BZ139</f>
        <v>-4905</v>
      </c>
      <c r="CB139" s="48">
        <f>BY139+CA139</f>
        <v>-6043</v>
      </c>
      <c r="CC139" s="43">
        <f>-'Income Statement'!O77</f>
        <v>-5607</v>
      </c>
      <c r="CD139" s="421">
        <f>CD140-CD138</f>
        <v>202</v>
      </c>
      <c r="CE139" s="46">
        <f>CF139-CD139</f>
        <v>412</v>
      </c>
      <c r="CF139" s="243">
        <f>CF140-CF138</f>
        <v>614</v>
      </c>
      <c r="CG139" s="46">
        <f>CG140-CG138</f>
        <v>1446</v>
      </c>
      <c r="CH139" s="243">
        <f>CH140-CH138</f>
        <v>2060</v>
      </c>
      <c r="CI139" s="48"/>
      <c r="CJ139" s="48"/>
      <c r="CK139" s="43">
        <f>'Income Statement'!P77</f>
        <v>2216</v>
      </c>
      <c r="CL139" s="688">
        <f>CL140-CL138</f>
        <v>232</v>
      </c>
      <c r="CM139" s="689">
        <f>CM140-CM138</f>
        <v>-256</v>
      </c>
      <c r="CN139" s="691">
        <f>CN140-CN138</f>
        <v>-24</v>
      </c>
      <c r="CO139" s="689">
        <f>CO140-CO138</f>
        <v>-44</v>
      </c>
      <c r="CP139" s="691">
        <f>CP140-CP138</f>
        <v>-68</v>
      </c>
      <c r="CQ139" s="689"/>
      <c r="CR139" s="691"/>
      <c r="CS139" s="711">
        <f>'Income Statement'!Q77</f>
        <v>-477</v>
      </c>
      <c r="CT139" s="453">
        <f>CT140-CT138</f>
        <v>-166</v>
      </c>
      <c r="CU139" s="121">
        <f>CU140-CU138</f>
        <v>232</v>
      </c>
      <c r="CV139" s="121">
        <f>CV140-CV138</f>
        <v>66</v>
      </c>
      <c r="CW139" s="121">
        <f>CW140-CW138</f>
        <v>-137</v>
      </c>
      <c r="CX139" s="121">
        <f>CX140-CX138</f>
        <v>-71</v>
      </c>
      <c r="CY139" s="692"/>
      <c r="CZ139" s="121"/>
      <c r="DA139" s="103">
        <f>'Income Statement'!R77</f>
        <v>302</v>
      </c>
      <c r="DB139" s="453">
        <f t="shared" ref="DB139:DH139" si="479">DB140-DB138</f>
        <v>383</v>
      </c>
      <c r="DC139" s="121">
        <f t="shared" si="479"/>
        <v>348</v>
      </c>
      <c r="DD139" s="121">
        <f t="shared" si="479"/>
        <v>731</v>
      </c>
      <c r="DE139" s="121">
        <f t="shared" si="479"/>
        <v>188</v>
      </c>
      <c r="DF139" s="121">
        <f t="shared" si="479"/>
        <v>919</v>
      </c>
      <c r="DG139" s="692">
        <f t="shared" si="479"/>
        <v>316</v>
      </c>
      <c r="DH139" s="121">
        <f t="shared" si="479"/>
        <v>504</v>
      </c>
      <c r="DI139" s="103">
        <f>INDEX('Income Statement'!77:77,MATCH(Interims!DI$1,'Income Statement'!$2:$2,0))</f>
        <v>1235</v>
      </c>
      <c r="DJ139" s="453">
        <f t="shared" ref="DJ139:DP139" si="480">DJ140-DJ138</f>
        <v>-32</v>
      </c>
      <c r="DK139" s="62">
        <f t="shared" si="480"/>
        <v>-33</v>
      </c>
      <c r="DL139" s="121">
        <f t="shared" si="480"/>
        <v>-65</v>
      </c>
      <c r="DM139" s="121">
        <f t="shared" si="480"/>
        <v>173</v>
      </c>
      <c r="DN139" s="121">
        <f t="shared" si="480"/>
        <v>108</v>
      </c>
      <c r="DO139" s="338">
        <f t="shared" si="480"/>
        <v>-58</v>
      </c>
      <c r="DP139" s="62">
        <f t="shared" si="480"/>
        <v>115</v>
      </c>
      <c r="DQ139" s="64">
        <f>INDEX('Income Statement'!77:77,MATCH(Interims!DQ$1,'Income Statement'!$2:$2,0))</f>
        <v>50</v>
      </c>
      <c r="DR139" s="453">
        <f>DR140-DR138</f>
        <v>151</v>
      </c>
      <c r="DS139" s="121">
        <f t="shared" ref="DS139:DV139" si="481">DS140-DS138</f>
        <v>436</v>
      </c>
      <c r="DT139" s="121">
        <f t="shared" si="481"/>
        <v>587</v>
      </c>
      <c r="DU139" s="121">
        <f t="shared" si="481"/>
        <v>194</v>
      </c>
      <c r="DV139" s="121">
        <f t="shared" si="481"/>
        <v>781</v>
      </c>
      <c r="DW139" s="338">
        <f t="shared" ref="DW139:DX139" si="482">DW140-DW138</f>
        <v>265</v>
      </c>
      <c r="DX139" s="62">
        <f t="shared" si="482"/>
        <v>459</v>
      </c>
      <c r="DY139" s="63">
        <f>INDEX('Income Statement'!77:77,MATCH(Interims!DY$1,'Income Statement'!$2:$2,0))</f>
        <v>1046</v>
      </c>
      <c r="DZ139" s="453">
        <f t="shared" ref="DZ139:EB139" si="483">DZ140-DZ138</f>
        <v>76</v>
      </c>
      <c r="EA139" s="121">
        <f t="shared" si="483"/>
        <v>-94</v>
      </c>
      <c r="EB139" s="121">
        <f t="shared" si="483"/>
        <v>-18</v>
      </c>
      <c r="EC139" s="692">
        <f t="shared" ref="EC139:EF139" si="484">EC140-EC138</f>
        <v>599.85787794087082</v>
      </c>
      <c r="ED139" s="692">
        <f t="shared" si="484"/>
        <v>581.85787794087082</v>
      </c>
      <c r="EE139" s="338">
        <f t="shared" si="484"/>
        <v>-581.85787794087173</v>
      </c>
      <c r="EF139" s="338">
        <f t="shared" si="484"/>
        <v>18</v>
      </c>
      <c r="EG139" s="63">
        <f>INDEX('Income Statement'!77:77,MATCH(Interims!EG$1,'Income Statement'!$2:$2,0))</f>
        <v>0</v>
      </c>
      <c r="EH139" s="406"/>
    </row>
    <row r="140" spans="1:141">
      <c r="A140" s="203" t="s">
        <v>355</v>
      </c>
      <c r="B140" s="204">
        <f t="shared" ref="B140:H140" si="485">SUM(B136:B139)</f>
        <v>155</v>
      </c>
      <c r="C140" s="205">
        <f t="shared" si="485"/>
        <v>248</v>
      </c>
      <c r="D140" s="205">
        <f t="shared" si="485"/>
        <v>403</v>
      </c>
      <c r="E140" s="205">
        <f t="shared" si="485"/>
        <v>302</v>
      </c>
      <c r="F140" s="205">
        <f t="shared" si="485"/>
        <v>705</v>
      </c>
      <c r="G140" s="205" t="e">
        <f t="shared" si="485"/>
        <v>#REF!</v>
      </c>
      <c r="H140" s="205" t="e">
        <f t="shared" si="485"/>
        <v>#REF!</v>
      </c>
      <c r="I140" s="210" t="e">
        <f>I34+I139</f>
        <v>#REF!</v>
      </c>
      <c r="J140" s="458">
        <f t="shared" ref="J140:P140" si="486">SUM(J136:J139)</f>
        <v>201</v>
      </c>
      <c r="K140" s="205">
        <f t="shared" si="486"/>
        <v>595</v>
      </c>
      <c r="L140" s="205">
        <f t="shared" si="486"/>
        <v>796</v>
      </c>
      <c r="M140" s="205">
        <f t="shared" si="486"/>
        <v>485</v>
      </c>
      <c r="N140" s="205">
        <f t="shared" si="486"/>
        <v>1281</v>
      </c>
      <c r="O140" s="205" t="e">
        <f t="shared" si="486"/>
        <v>#REF!</v>
      </c>
      <c r="P140" s="205" t="e">
        <f t="shared" si="486"/>
        <v>#REF!</v>
      </c>
      <c r="Q140" s="210" t="e">
        <f>Q34+Q139</f>
        <v>#REF!</v>
      </c>
      <c r="R140" s="458">
        <f>SUM(R136:R139)</f>
        <v>734</v>
      </c>
      <c r="S140" s="205">
        <f>SUM(S136:S139)</f>
        <v>880</v>
      </c>
      <c r="T140" s="205">
        <f>SUM(T136:T139)</f>
        <v>1614</v>
      </c>
      <c r="U140" s="205">
        <f>SUM(U136:U139)</f>
        <v>706</v>
      </c>
      <c r="V140" s="205">
        <f>SUM(V136:V139)</f>
        <v>2320</v>
      </c>
      <c r="W140" s="206"/>
      <c r="X140" s="206" t="e">
        <f>Y140-T140</f>
        <v>#REF!</v>
      </c>
      <c r="Y140" s="210" t="e">
        <f>Y34+Y139</f>
        <v>#REF!</v>
      </c>
      <c r="Z140" s="458">
        <f>SUM(Z136:Z139)</f>
        <v>700</v>
      </c>
      <c r="AA140" s="205">
        <f>AB140-Z140</f>
        <v>1069</v>
      </c>
      <c r="AB140" s="205">
        <f>SUM(AB136:AB139)</f>
        <v>1769</v>
      </c>
      <c r="AC140" s="205">
        <f>AD140-AB140</f>
        <v>821</v>
      </c>
      <c r="AD140" s="205">
        <f>SUM(AD136:AD139)</f>
        <v>2590</v>
      </c>
      <c r="AE140" s="206" t="e">
        <f>AG140-AD140</f>
        <v>#REF!</v>
      </c>
      <c r="AF140" s="206" t="e">
        <f t="shared" si="477"/>
        <v>#REF!</v>
      </c>
      <c r="AG140" s="205" t="e">
        <f>SUM(AG136:AG139)</f>
        <v>#REF!</v>
      </c>
      <c r="AH140" s="458">
        <f>SUM(AH136:AH139)</f>
        <v>651</v>
      </c>
      <c r="AI140" s="205">
        <f>AJ140-AH140</f>
        <v>1232</v>
      </c>
      <c r="AJ140" s="205">
        <f>SUM(AJ136:AJ139)</f>
        <v>1883</v>
      </c>
      <c r="AK140" s="205">
        <f>SUM(AK136:AK139)</f>
        <v>921</v>
      </c>
      <c r="AL140" s="205">
        <f>SUM(AL136:AL139)</f>
        <v>2804</v>
      </c>
      <c r="AM140" s="206" t="e">
        <f>AO140-AL140</f>
        <v>#REF!</v>
      </c>
      <c r="AN140" s="206" t="e">
        <f t="shared" si="478"/>
        <v>#REF!</v>
      </c>
      <c r="AO140" s="206" t="e">
        <f>SUM(AO136:AO139)</f>
        <v>#REF!</v>
      </c>
      <c r="AP140" s="458">
        <f>SUM(AP136:AP139)</f>
        <v>501</v>
      </c>
      <c r="AQ140" s="206">
        <f>AR140-AP140</f>
        <v>1183</v>
      </c>
      <c r="AR140" s="205">
        <f>SUM(AR136:AR139)</f>
        <v>1684</v>
      </c>
      <c r="AS140" s="206">
        <f>AT140-AR140</f>
        <v>731</v>
      </c>
      <c r="AT140" s="205">
        <f>SUM(AT138:AT139)</f>
        <v>2415</v>
      </c>
      <c r="AU140" s="206">
        <f>AW140-AT140</f>
        <v>1540</v>
      </c>
      <c r="AV140" s="206">
        <f>AW140-AR140</f>
        <v>2271</v>
      </c>
      <c r="AW140" s="206">
        <f>SUM(AW136:AW139)</f>
        <v>3955</v>
      </c>
      <c r="AX140" s="458">
        <f>AX138-AX139</f>
        <v>240</v>
      </c>
      <c r="AY140" s="206">
        <f>AY138-AY139</f>
        <v>859</v>
      </c>
      <c r="AZ140" s="206">
        <f>AZ138-AZ139</f>
        <v>1099</v>
      </c>
      <c r="BA140" s="206">
        <f>BA138-BA139</f>
        <v>697</v>
      </c>
      <c r="BB140" s="205">
        <f>BB138-BB139</f>
        <v>1796</v>
      </c>
      <c r="BC140" s="206">
        <f>BE140-BB140</f>
        <v>2457</v>
      </c>
      <c r="BD140" s="206">
        <f>BA140+BC140</f>
        <v>3154</v>
      </c>
      <c r="BE140" s="206">
        <f>SUM(BE136:BE139)</f>
        <v>4253</v>
      </c>
      <c r="BF140" s="420"/>
      <c r="BG140" s="207"/>
      <c r="BH140" s="207"/>
      <c r="BI140" s="207"/>
      <c r="BJ140" s="207"/>
      <c r="BK140" s="207"/>
      <c r="BL140" s="207"/>
      <c r="BM140" s="206"/>
      <c r="BN140" s="422">
        <v>14</v>
      </c>
      <c r="BO140" s="209">
        <f>BP140-BN140</f>
        <v>1148</v>
      </c>
      <c r="BP140" s="209">
        <f>BP138-BP139</f>
        <v>1162</v>
      </c>
      <c r="BQ140" s="209">
        <f>BR140-BP140</f>
        <v>1576</v>
      </c>
      <c r="BR140" s="209">
        <f>BR138-BR139</f>
        <v>2738</v>
      </c>
      <c r="BS140" s="209" t="e">
        <f>BU140-BR140</f>
        <v>#REF!</v>
      </c>
      <c r="BT140" s="209" t="e">
        <f>BS140+BQ140</f>
        <v>#REF!</v>
      </c>
      <c r="BU140" s="209" t="e">
        <f>BU138+BU139</f>
        <v>#REF!</v>
      </c>
      <c r="BV140" s="420">
        <f>BV120</f>
        <v>549</v>
      </c>
      <c r="BW140" s="209">
        <f>BW120</f>
        <v>1980</v>
      </c>
      <c r="BX140" s="209">
        <f>BX120</f>
        <v>2529</v>
      </c>
      <c r="BY140" s="206">
        <f>BY120</f>
        <v>1604</v>
      </c>
      <c r="BZ140" s="209">
        <f>BZ138-BZ139</f>
        <v>4133</v>
      </c>
      <c r="CA140" s="206">
        <f>CC140-BZ140</f>
        <v>2813</v>
      </c>
      <c r="CB140" s="206">
        <f>CA140+BY140</f>
        <v>4417</v>
      </c>
      <c r="CC140" s="206">
        <f>CC138-CC139</f>
        <v>6946</v>
      </c>
      <c r="CD140" s="420">
        <f t="shared" ref="CD140:CL140" si="487">CD120</f>
        <v>281</v>
      </c>
      <c r="CE140" s="206">
        <f t="shared" si="487"/>
        <v>-1226</v>
      </c>
      <c r="CF140" s="206">
        <f t="shared" si="487"/>
        <v>-945</v>
      </c>
      <c r="CG140" s="206">
        <f t="shared" si="487"/>
        <v>820</v>
      </c>
      <c r="CH140" s="206">
        <f t="shared" si="487"/>
        <v>-125</v>
      </c>
      <c r="CI140" s="206">
        <f t="shared" si="487"/>
        <v>1831</v>
      </c>
      <c r="CJ140" s="206">
        <f t="shared" si="487"/>
        <v>2651</v>
      </c>
      <c r="CK140" s="206">
        <f t="shared" si="487"/>
        <v>1706</v>
      </c>
      <c r="CL140" s="712">
        <f t="shared" si="487"/>
        <v>694</v>
      </c>
      <c r="CM140" s="713">
        <f t="shared" ref="CM140:CS140" si="488">CM120</f>
        <v>2009</v>
      </c>
      <c r="CN140" s="713">
        <f t="shared" si="488"/>
        <v>2703</v>
      </c>
      <c r="CO140" s="713">
        <f t="shared" si="488"/>
        <v>666</v>
      </c>
      <c r="CP140" s="713">
        <f t="shared" si="488"/>
        <v>3369</v>
      </c>
      <c r="CQ140" s="713">
        <f>CQ120</f>
        <v>1496</v>
      </c>
      <c r="CR140" s="713">
        <f t="shared" si="488"/>
        <v>2162</v>
      </c>
      <c r="CS140" s="713">
        <f t="shared" si="488"/>
        <v>4865</v>
      </c>
      <c r="CT140" s="382">
        <f>CT120</f>
        <v>1263</v>
      </c>
      <c r="CU140" s="104">
        <f t="shared" ref="CU140:DA140" si="489">CU120</f>
        <v>1382</v>
      </c>
      <c r="CV140" s="104">
        <f>CV120</f>
        <v>2645</v>
      </c>
      <c r="CW140" s="104">
        <f t="shared" si="489"/>
        <v>836</v>
      </c>
      <c r="CX140" s="104">
        <f t="shared" si="489"/>
        <v>3481</v>
      </c>
      <c r="CY140" s="324">
        <f t="shared" si="489"/>
        <v>2146</v>
      </c>
      <c r="CZ140" s="104">
        <f t="shared" si="489"/>
        <v>2982</v>
      </c>
      <c r="DA140" s="104">
        <f t="shared" si="489"/>
        <v>5627</v>
      </c>
      <c r="DB140" s="382">
        <f t="shared" ref="DB140:DV140" si="490">DB120</f>
        <v>773</v>
      </c>
      <c r="DC140" s="104">
        <f t="shared" si="490"/>
        <v>1845</v>
      </c>
      <c r="DD140" s="104">
        <f t="shared" si="490"/>
        <v>2618</v>
      </c>
      <c r="DE140" s="104">
        <f t="shared" si="490"/>
        <v>1013</v>
      </c>
      <c r="DF140" s="104">
        <f t="shared" si="490"/>
        <v>3631</v>
      </c>
      <c r="DG140" s="324">
        <f t="shared" si="490"/>
        <v>2207</v>
      </c>
      <c r="DH140" s="104">
        <f t="shared" si="490"/>
        <v>3220</v>
      </c>
      <c r="DI140" s="104">
        <f t="shared" si="490"/>
        <v>5838</v>
      </c>
      <c r="DJ140" s="382">
        <f t="shared" si="490"/>
        <v>577</v>
      </c>
      <c r="DK140" s="104">
        <f t="shared" si="490"/>
        <v>814</v>
      </c>
      <c r="DL140" s="104">
        <f t="shared" si="490"/>
        <v>1391</v>
      </c>
      <c r="DM140" s="104">
        <f t="shared" si="490"/>
        <v>1407</v>
      </c>
      <c r="DN140" s="104">
        <f t="shared" si="490"/>
        <v>2798</v>
      </c>
      <c r="DO140" s="324">
        <f t="shared" si="490"/>
        <v>2556</v>
      </c>
      <c r="DP140" s="104">
        <f t="shared" si="490"/>
        <v>3963</v>
      </c>
      <c r="DQ140" s="104">
        <f t="shared" si="490"/>
        <v>5354</v>
      </c>
      <c r="DR140" s="382">
        <f t="shared" si="490"/>
        <v>624</v>
      </c>
      <c r="DS140" s="104">
        <f t="shared" si="490"/>
        <v>1580</v>
      </c>
      <c r="DT140" s="104">
        <f t="shared" si="490"/>
        <v>2204</v>
      </c>
      <c r="DU140" s="104">
        <f t="shared" si="490"/>
        <v>1942</v>
      </c>
      <c r="DV140" s="104">
        <f t="shared" si="490"/>
        <v>4146</v>
      </c>
      <c r="DW140" s="324">
        <f t="shared" ref="DW140:DX140" si="491">DW120</f>
        <v>2982</v>
      </c>
      <c r="DX140" s="104">
        <f t="shared" si="491"/>
        <v>4924</v>
      </c>
      <c r="DY140" s="809">
        <f>DY120</f>
        <v>7128</v>
      </c>
      <c r="DZ140" s="382">
        <f t="shared" ref="DZ140:EB140" si="492">DZ120</f>
        <v>300</v>
      </c>
      <c r="EA140" s="104">
        <f t="shared" si="492"/>
        <v>2427</v>
      </c>
      <c r="EB140" s="104">
        <f t="shared" si="492"/>
        <v>2727</v>
      </c>
      <c r="EC140" s="324">
        <f t="shared" ref="EC140:EF140" si="493">EC120</f>
        <v>2066.7082792765523</v>
      </c>
      <c r="ED140" s="324">
        <f t="shared" si="493"/>
        <v>4793.7082792765523</v>
      </c>
      <c r="EE140" s="324">
        <f t="shared" si="493"/>
        <v>2818.9140508641949</v>
      </c>
      <c r="EF140" s="477">
        <f t="shared" si="493"/>
        <v>4885.6223301407481</v>
      </c>
      <c r="EG140" s="738">
        <f>EG120</f>
        <v>7612.6223301407481</v>
      </c>
      <c r="EH140" s="611"/>
      <c r="EI140" s="16"/>
      <c r="EK140" s="16"/>
    </row>
    <row r="141" spans="1:141">
      <c r="B141" s="42"/>
      <c r="J141" s="369"/>
      <c r="R141" s="369"/>
      <c r="Z141" s="369"/>
      <c r="AH141" s="369"/>
      <c r="AO141" s="461"/>
      <c r="AP141" s="369"/>
      <c r="AQ141" s="43"/>
      <c r="AR141" s="43"/>
      <c r="AS141" s="43"/>
      <c r="AT141" s="43"/>
      <c r="AU141" s="43"/>
      <c r="AV141" s="43"/>
      <c r="AW141" s="43"/>
      <c r="AX141" s="369"/>
      <c r="AY141" s="43"/>
      <c r="AZ141" s="43"/>
      <c r="BA141" s="43"/>
      <c r="BB141" s="43"/>
      <c r="BC141" s="43"/>
      <c r="BD141" s="43"/>
      <c r="BE141" s="43"/>
      <c r="BF141" s="369"/>
      <c r="BG141" s="43"/>
      <c r="BH141" s="43"/>
      <c r="BI141" s="43"/>
      <c r="BJ141" s="43"/>
      <c r="BK141" s="43"/>
      <c r="BL141" s="43"/>
      <c r="BM141" s="43"/>
      <c r="BN141" s="408"/>
      <c r="BO141" s="122"/>
      <c r="BP141" s="122"/>
      <c r="BQ141" s="122"/>
      <c r="BR141" s="122"/>
      <c r="BS141" s="122"/>
      <c r="BT141" s="122"/>
      <c r="BU141" s="122"/>
      <c r="BV141" s="369"/>
      <c r="BW141" s="122"/>
      <c r="BX141" s="122"/>
      <c r="BY141" s="43"/>
      <c r="BZ141" s="43"/>
      <c r="CA141" s="43"/>
      <c r="CB141" s="43"/>
      <c r="CC141" s="43"/>
      <c r="CD141" s="369"/>
      <c r="CE141" s="43"/>
      <c r="CF141" s="43"/>
      <c r="CG141" s="43"/>
      <c r="CH141" s="43"/>
      <c r="CI141" s="43"/>
      <c r="CJ141" s="43"/>
      <c r="CK141" s="43"/>
      <c r="CL141" s="714"/>
      <c r="CM141" s="711"/>
      <c r="CN141" s="711"/>
      <c r="CO141" s="711"/>
      <c r="CP141" s="711"/>
      <c r="CQ141" s="711"/>
      <c r="CR141" s="711"/>
      <c r="CS141" s="711"/>
      <c r="CT141" s="380"/>
      <c r="CU141" s="103"/>
      <c r="CV141" s="103"/>
      <c r="CW141" s="103"/>
      <c r="CX141" s="103"/>
      <c r="CY141" s="125"/>
      <c r="CZ141" s="103"/>
      <c r="DA141" s="103"/>
      <c r="DB141" s="380"/>
      <c r="DC141" s="103"/>
      <c r="DD141" s="103"/>
      <c r="DE141" s="103"/>
      <c r="DF141" s="103"/>
      <c r="DG141" s="125"/>
      <c r="DH141" s="103"/>
      <c r="DI141" s="103"/>
      <c r="DJ141" s="380"/>
      <c r="DK141" s="103"/>
      <c r="DL141" s="103"/>
      <c r="DM141" s="103"/>
      <c r="DN141" s="103"/>
      <c r="DO141" s="125"/>
      <c r="DP141" s="103"/>
      <c r="DQ141" s="103"/>
      <c r="DR141" s="380"/>
      <c r="DS141" s="103"/>
      <c r="DT141" s="103"/>
      <c r="DU141" s="103"/>
      <c r="DV141" s="103"/>
      <c r="DW141" s="125"/>
      <c r="DX141" s="103"/>
      <c r="DY141" s="812"/>
      <c r="DZ141" s="380"/>
      <c r="EA141" s="103"/>
      <c r="EB141" s="103"/>
      <c r="EC141" s="125"/>
      <c r="ED141" s="125"/>
      <c r="EE141" s="125"/>
      <c r="EF141" s="125"/>
      <c r="EG141" s="109"/>
      <c r="EH141" s="611"/>
      <c r="EI141" s="16"/>
      <c r="EK141" s="16"/>
    </row>
    <row r="142" spans="1:141">
      <c r="A142" s="13" t="s">
        <v>49</v>
      </c>
      <c r="B142" s="238">
        <f>408</f>
        <v>408</v>
      </c>
      <c r="C142" s="46">
        <f>D142-B142</f>
        <v>415</v>
      </c>
      <c r="D142" s="239">
        <f>823</f>
        <v>823</v>
      </c>
      <c r="E142" s="46">
        <f>F142-D142</f>
        <v>369</v>
      </c>
      <c r="F142" s="239">
        <f>1192</f>
        <v>1192</v>
      </c>
      <c r="G142" s="62">
        <f>I142-F142</f>
        <v>610</v>
      </c>
      <c r="H142" s="46">
        <f>G142+E142</f>
        <v>979</v>
      </c>
      <c r="I142" s="64">
        <f>'Income Statement'!G153</f>
        <v>1802</v>
      </c>
      <c r="J142" s="396">
        <f>443</f>
        <v>443</v>
      </c>
      <c r="K142" s="46">
        <f>L142-J142</f>
        <v>470</v>
      </c>
      <c r="L142" s="239">
        <f>913</f>
        <v>913</v>
      </c>
      <c r="M142" s="46">
        <f>N142-L142</f>
        <v>439</v>
      </c>
      <c r="N142" s="242">
        <v>1352</v>
      </c>
      <c r="O142" s="62">
        <f>Q142-N142</f>
        <v>646</v>
      </c>
      <c r="P142" s="46">
        <f>O142+M142</f>
        <v>1085</v>
      </c>
      <c r="Q142" s="64">
        <f>'Income Statement'!H153</f>
        <v>1998</v>
      </c>
      <c r="R142" s="419">
        <v>434</v>
      </c>
      <c r="S142" s="46">
        <f>T142-R142</f>
        <v>461</v>
      </c>
      <c r="T142" s="242">
        <v>895</v>
      </c>
      <c r="U142" s="46">
        <f>V142-T142</f>
        <v>445</v>
      </c>
      <c r="V142" s="242">
        <v>1340</v>
      </c>
      <c r="W142" s="62"/>
      <c r="X142" s="62">
        <f>W142+U142</f>
        <v>445</v>
      </c>
      <c r="Y142" s="64">
        <f>'Income Statement'!I153</f>
        <v>1914</v>
      </c>
      <c r="Z142" s="419">
        <v>471</v>
      </c>
      <c r="AA142" s="46">
        <f>AB142-Z142</f>
        <v>483</v>
      </c>
      <c r="AB142" s="242">
        <v>954</v>
      </c>
      <c r="AC142" s="46">
        <f>AD142-AB142</f>
        <v>514</v>
      </c>
      <c r="AD142" s="242">
        <v>1468</v>
      </c>
      <c r="AE142" s="62" t="e">
        <f>AG142-AD142</f>
        <v>#REF!</v>
      </c>
      <c r="AF142" s="62" t="e">
        <f t="shared" si="477"/>
        <v>#REF!</v>
      </c>
      <c r="AG142" s="64" t="e">
        <f>'Income Statement'!J153+'Income Statement'!#REF!</f>
        <v>#REF!</v>
      </c>
      <c r="AH142" s="419">
        <v>525</v>
      </c>
      <c r="AI142" s="46">
        <f>AJ142-AH142</f>
        <v>560</v>
      </c>
      <c r="AJ142" s="242">
        <v>1085</v>
      </c>
      <c r="AK142" s="46">
        <f>AL142-AJ142</f>
        <v>567</v>
      </c>
      <c r="AL142" s="242">
        <v>1652</v>
      </c>
      <c r="AM142" s="62" t="e">
        <f>AO142-AL142</f>
        <v>#REF!</v>
      </c>
      <c r="AN142" s="62" t="e">
        <f t="shared" si="478"/>
        <v>#REF!</v>
      </c>
      <c r="AO142" s="64" t="e">
        <f>'Income Statement'!K153+'Income Statement'!#REF!</f>
        <v>#REF!</v>
      </c>
      <c r="AP142" s="419">
        <v>512</v>
      </c>
      <c r="AQ142" s="46">
        <f>AR142-AP142</f>
        <v>561</v>
      </c>
      <c r="AR142" s="242">
        <v>1073</v>
      </c>
      <c r="AS142" s="46">
        <f>AT142-AR142</f>
        <v>507</v>
      </c>
      <c r="AT142" s="242">
        <v>1580</v>
      </c>
      <c r="AU142" s="62">
        <f>AW142-AT142</f>
        <v>714</v>
      </c>
      <c r="AV142" s="62">
        <f>AW142-AR142</f>
        <v>1221</v>
      </c>
      <c r="AW142" s="149">
        <v>2294</v>
      </c>
      <c r="AX142" s="419">
        <v>551</v>
      </c>
      <c r="AY142" s="46">
        <f>AZ142-AX142</f>
        <v>535</v>
      </c>
      <c r="AZ142" s="242">
        <v>1086</v>
      </c>
      <c r="BA142" s="46">
        <f>BB142-AZ142</f>
        <v>517</v>
      </c>
      <c r="BB142" s="242">
        <v>1603</v>
      </c>
      <c r="BC142" s="62">
        <f>BE142-BB142</f>
        <v>695</v>
      </c>
      <c r="BD142" s="62">
        <f>BE142-AZ142</f>
        <v>1212</v>
      </c>
      <c r="BE142" s="149">
        <v>2298</v>
      </c>
      <c r="BF142" s="392"/>
      <c r="BG142" s="64"/>
      <c r="BH142" s="64"/>
      <c r="BI142" s="64"/>
      <c r="BJ142" s="64"/>
      <c r="BK142" s="64"/>
      <c r="BL142" s="64"/>
      <c r="BM142" s="64"/>
      <c r="BN142" s="419">
        <v>564</v>
      </c>
      <c r="BO142" s="46"/>
      <c r="BP142" s="242">
        <v>1162</v>
      </c>
      <c r="BQ142" s="46"/>
      <c r="BR142" s="242">
        <v>1684</v>
      </c>
      <c r="BS142" s="62"/>
      <c r="BT142" s="62"/>
      <c r="BU142" s="149">
        <v>2444</v>
      </c>
      <c r="BV142" s="419">
        <v>720</v>
      </c>
      <c r="BW142" s="46">
        <f>BX142-BV142</f>
        <v>542</v>
      </c>
      <c r="BX142" s="242">
        <v>1262</v>
      </c>
      <c r="BY142" s="46">
        <f>BZ142-BX142</f>
        <v>730</v>
      </c>
      <c r="BZ142" s="242">
        <v>1992</v>
      </c>
      <c r="CA142" s="62" t="e">
        <f>CC142-BZ142</f>
        <v>#REF!</v>
      </c>
      <c r="CB142" s="62" t="e">
        <f>CA142+BY142</f>
        <v>#REF!</v>
      </c>
      <c r="CC142" s="64" t="e">
        <f>'Income Statement'!O153+'Income Statement'!#REF!</f>
        <v>#REF!</v>
      </c>
      <c r="CD142" s="419">
        <v>828</v>
      </c>
      <c r="CE142" s="46">
        <f>CF142-CD142</f>
        <v>593</v>
      </c>
      <c r="CF142" s="242">
        <v>1421</v>
      </c>
      <c r="CG142" s="46"/>
      <c r="CH142" s="242">
        <v>2044</v>
      </c>
      <c r="CI142" s="62"/>
      <c r="CJ142" s="62"/>
      <c r="CK142" s="64" t="e">
        <f>'Income Statement'!P153+'Income Statement'!#REF!</f>
        <v>#REF!</v>
      </c>
      <c r="CL142" s="709">
        <v>597</v>
      </c>
      <c r="CM142" s="689"/>
      <c r="CN142" s="710">
        <v>1051</v>
      </c>
      <c r="CO142" s="689"/>
      <c r="CP142" s="710">
        <v>1641</v>
      </c>
      <c r="CQ142" s="121">
        <f>CQ143-CQ140</f>
        <v>684</v>
      </c>
      <c r="CR142" s="121"/>
      <c r="CS142" s="103">
        <f>'Income Statement'!Q153</f>
        <v>2325</v>
      </c>
      <c r="CT142" s="693">
        <v>585</v>
      </c>
      <c r="CU142" s="121"/>
      <c r="CV142" s="452">
        <v>1156</v>
      </c>
      <c r="CW142" s="121"/>
      <c r="CX142" s="452">
        <v>1640</v>
      </c>
      <c r="CY142" s="692"/>
      <c r="CZ142" s="121"/>
      <c r="DA142" s="103">
        <f>'Income Statement'!R153</f>
        <v>2716</v>
      </c>
      <c r="DB142" s="693">
        <v>495</v>
      </c>
      <c r="DC142" s="121">
        <f>DD142-DB142</f>
        <v>547</v>
      </c>
      <c r="DD142" s="452">
        <v>1042</v>
      </c>
      <c r="DE142" s="121">
        <f>DF142-DD142</f>
        <v>567</v>
      </c>
      <c r="DF142" s="452">
        <v>1609</v>
      </c>
      <c r="DG142" s="692">
        <f>DI142-DF142</f>
        <v>633</v>
      </c>
      <c r="DH142" s="121">
        <f>DI142-DD142</f>
        <v>1200</v>
      </c>
      <c r="DI142" s="103">
        <f>'Income Statement'!S153</f>
        <v>2242</v>
      </c>
      <c r="DJ142" s="693">
        <v>513</v>
      </c>
      <c r="DK142" s="121">
        <f>DL142-DJ142</f>
        <v>786</v>
      </c>
      <c r="DL142" s="452">
        <v>1299</v>
      </c>
      <c r="DM142" s="121">
        <f>DN142-DL142</f>
        <v>565</v>
      </c>
      <c r="DN142" s="452">
        <v>1864</v>
      </c>
      <c r="DO142" s="692">
        <f>DQ142-DN142</f>
        <v>989</v>
      </c>
      <c r="DP142" s="121">
        <f>DR142-DO142</f>
        <v>-363</v>
      </c>
      <c r="DQ142" s="103">
        <f>'Income Statement'!T153</f>
        <v>2853</v>
      </c>
      <c r="DR142" s="693">
        <v>626</v>
      </c>
      <c r="DS142" s="121">
        <f>DT142-DR142</f>
        <v>636</v>
      </c>
      <c r="DT142" s="452">
        <v>1262</v>
      </c>
      <c r="DU142" s="121">
        <f>DV142-DT142</f>
        <v>653</v>
      </c>
      <c r="DV142" s="452">
        <v>1915</v>
      </c>
      <c r="DW142" s="692">
        <f>DX142-DU142</f>
        <v>1218</v>
      </c>
      <c r="DX142" s="121">
        <f>DY142-DT142</f>
        <v>1871</v>
      </c>
      <c r="DY142" s="109">
        <f>INDEX('Income Statement'!153:153, MATCH(Interims!$DY$1,'Income Statement'!$2:$2,0))</f>
        <v>3133</v>
      </c>
      <c r="DZ142" s="693">
        <v>686</v>
      </c>
      <c r="EA142" s="121">
        <f>EB142-DZ142</f>
        <v>656</v>
      </c>
      <c r="EB142" s="452">
        <v>1342</v>
      </c>
      <c r="EC142" s="692">
        <f>ED142-EB142</f>
        <v>621.01261093017888</v>
      </c>
      <c r="ED142" s="692">
        <f>(DV142/DY142)*EG142</f>
        <v>1963.0126109301789</v>
      </c>
      <c r="EE142" s="692">
        <f>EF142-EC142</f>
        <v>1248.5375248631633</v>
      </c>
      <c r="EF142" s="692">
        <f>EG142-EB142</f>
        <v>1869.5501357933422</v>
      </c>
      <c r="EG142" s="109">
        <f>INDEX('Income Statement'!153:153, MATCH(Interims!$EG$1,'Income Statement'!$2:$2,0))</f>
        <v>3211.5501357933422</v>
      </c>
      <c r="EH142" s="611"/>
      <c r="EI142" s="16"/>
      <c r="EK142" s="16"/>
    </row>
    <row r="143" spans="1:141">
      <c r="A143" s="203" t="s">
        <v>356</v>
      </c>
      <c r="B143" s="204">
        <f>B142+B140-B136</f>
        <v>552</v>
      </c>
      <c r="C143" s="205">
        <f t="shared" ref="C143:H143" si="494">C140+C142-C136</f>
        <v>632</v>
      </c>
      <c r="D143" s="205">
        <f t="shared" si="494"/>
        <v>1184</v>
      </c>
      <c r="E143" s="205">
        <f t="shared" si="494"/>
        <v>661</v>
      </c>
      <c r="F143" s="205">
        <f t="shared" si="494"/>
        <v>1845</v>
      </c>
      <c r="G143" s="205" t="e">
        <f t="shared" si="494"/>
        <v>#REF!</v>
      </c>
      <c r="H143" s="205" t="e">
        <f t="shared" si="494"/>
        <v>#REF!</v>
      </c>
      <c r="I143" s="210" t="e">
        <f>I140+I142</f>
        <v>#REF!</v>
      </c>
      <c r="J143" s="458">
        <f t="shared" ref="J143:P143" si="495">J140+J142-J136</f>
        <v>634</v>
      </c>
      <c r="K143" s="205">
        <f t="shared" si="495"/>
        <v>1056</v>
      </c>
      <c r="L143" s="205">
        <f>L140+L142-L136</f>
        <v>1690</v>
      </c>
      <c r="M143" s="205">
        <f t="shared" si="495"/>
        <v>914</v>
      </c>
      <c r="N143" s="205">
        <f>N140+N142-N136</f>
        <v>2604</v>
      </c>
      <c r="O143" s="205" t="e">
        <f t="shared" si="495"/>
        <v>#REF!</v>
      </c>
      <c r="P143" s="205" t="e">
        <f t="shared" si="495"/>
        <v>#REF!</v>
      </c>
      <c r="Q143" s="210" t="e">
        <f>Q140+Q142</f>
        <v>#REF!</v>
      </c>
      <c r="R143" s="458">
        <f t="shared" ref="R143:X143" si="496">R140+R142-R136</f>
        <v>1158</v>
      </c>
      <c r="S143" s="205">
        <f t="shared" si="496"/>
        <v>1332</v>
      </c>
      <c r="T143" s="205">
        <f t="shared" si="496"/>
        <v>2490</v>
      </c>
      <c r="U143" s="205">
        <f t="shared" si="496"/>
        <v>1139</v>
      </c>
      <c r="V143" s="205">
        <f t="shared" si="496"/>
        <v>3629</v>
      </c>
      <c r="W143" s="210"/>
      <c r="X143" s="210" t="e">
        <f t="shared" si="496"/>
        <v>#REF!</v>
      </c>
      <c r="Y143" s="210" t="e">
        <f>Y140+Y142</f>
        <v>#REF!</v>
      </c>
      <c r="Z143" s="458">
        <f t="shared" ref="Z143:AE143" si="497">Z140+Z142-Z136</f>
        <v>1161</v>
      </c>
      <c r="AA143" s="205">
        <f t="shared" si="497"/>
        <v>1542</v>
      </c>
      <c r="AB143" s="205">
        <f t="shared" si="497"/>
        <v>2703</v>
      </c>
      <c r="AC143" s="205">
        <f t="shared" si="497"/>
        <v>1321</v>
      </c>
      <c r="AD143" s="205">
        <f t="shared" si="497"/>
        <v>4024</v>
      </c>
      <c r="AE143" s="206" t="e">
        <f t="shared" si="497"/>
        <v>#REF!</v>
      </c>
      <c r="AF143" s="210" t="e">
        <f t="shared" si="477"/>
        <v>#REF!</v>
      </c>
      <c r="AG143" s="210" t="e">
        <f>AG140+AG142-AG136</f>
        <v>#REF!</v>
      </c>
      <c r="AH143" s="458">
        <f>AH140+AH142-AH136</f>
        <v>1167</v>
      </c>
      <c r="AI143" s="205">
        <f t="shared" ref="AI143:AN143" si="498">AI140+AI142-AI136</f>
        <v>1782</v>
      </c>
      <c r="AJ143" s="205">
        <f t="shared" si="498"/>
        <v>2949</v>
      </c>
      <c r="AK143" s="205">
        <f t="shared" si="498"/>
        <v>1483</v>
      </c>
      <c r="AL143" s="205">
        <f t="shared" si="498"/>
        <v>4432</v>
      </c>
      <c r="AM143" s="205" t="e">
        <f t="shared" si="498"/>
        <v>#REF!</v>
      </c>
      <c r="AN143" s="205" t="e">
        <f t="shared" si="498"/>
        <v>#REF!</v>
      </c>
      <c r="AO143" s="210" t="e">
        <f>AO140+AO142-AO136</f>
        <v>#REF!</v>
      </c>
      <c r="AP143" s="458">
        <f>AP140+AP142-AP136</f>
        <v>1010</v>
      </c>
      <c r="AQ143" s="206">
        <f>AQ140+AQ142-AQ136</f>
        <v>1742</v>
      </c>
      <c r="AR143" s="206">
        <f>AR140+AR142-AR136</f>
        <v>2752</v>
      </c>
      <c r="AS143" s="206">
        <f>AT143-AR143</f>
        <v>1250</v>
      </c>
      <c r="AT143" s="206">
        <f>AT140+AT142-AT136</f>
        <v>4002</v>
      </c>
      <c r="AU143" s="206">
        <f>AW143-AT143</f>
        <v>2247</v>
      </c>
      <c r="AV143" s="206">
        <f>AW143-AR143</f>
        <v>3497</v>
      </c>
      <c r="AW143" s="210">
        <f>AW140+AW142-AW136</f>
        <v>6249</v>
      </c>
      <c r="AX143" s="458">
        <f>AX140+AX142-AX136</f>
        <v>791</v>
      </c>
      <c r="AY143" s="205">
        <f>AY140+AY142-AY136</f>
        <v>1394</v>
      </c>
      <c r="AZ143" s="206">
        <f>AX143+AY143</f>
        <v>2185</v>
      </c>
      <c r="BA143" s="205">
        <f>BA140+BA142-BA136</f>
        <v>1214</v>
      </c>
      <c r="BB143" s="206">
        <f>BB140+BB142-BB136</f>
        <v>3399</v>
      </c>
      <c r="BC143" s="206">
        <f>BE143-BB143</f>
        <v>3152</v>
      </c>
      <c r="BD143" s="206">
        <f>BA143+BC143</f>
        <v>4366</v>
      </c>
      <c r="BE143" s="210">
        <f>BE140+BE142-BE136</f>
        <v>6551</v>
      </c>
      <c r="BF143" s="398"/>
      <c r="BG143" s="211"/>
      <c r="BH143" s="211"/>
      <c r="BI143" s="211"/>
      <c r="BJ143" s="211"/>
      <c r="BK143" s="211"/>
      <c r="BL143" s="211"/>
      <c r="BM143" s="210"/>
      <c r="BN143" s="435">
        <f>BN140+BN142-BN136</f>
        <v>578</v>
      </c>
      <c r="BO143" s="212">
        <f>BO140+BO142-BO136</f>
        <v>1148</v>
      </c>
      <c r="BP143" s="209">
        <f>BN143+BO143</f>
        <v>1726</v>
      </c>
      <c r="BQ143" s="212">
        <f>BQ140+BQ142-BQ136</f>
        <v>1576</v>
      </c>
      <c r="BR143" s="209">
        <f>BR140+BR142-BR136</f>
        <v>4422</v>
      </c>
      <c r="BS143" s="209" t="e">
        <f>BU143-BR143</f>
        <v>#REF!</v>
      </c>
      <c r="BT143" s="209" t="e">
        <f>BQ143+BS143</f>
        <v>#REF!</v>
      </c>
      <c r="BU143" s="339" t="e">
        <f>BU140+BU142-BU136</f>
        <v>#REF!</v>
      </c>
      <c r="BV143" s="435">
        <f>BV140+BV142-BV136</f>
        <v>1269</v>
      </c>
      <c r="BW143" s="212">
        <f>BW140+BW142-BW136</f>
        <v>2522</v>
      </c>
      <c r="BX143" s="209">
        <f>BV143+BW143</f>
        <v>3791</v>
      </c>
      <c r="BY143" s="212">
        <f>BY140+BY142-BY136</f>
        <v>2334</v>
      </c>
      <c r="BZ143" s="206">
        <f>BY143+BX143</f>
        <v>6125</v>
      </c>
      <c r="CA143" s="206" t="e">
        <f>CC143-BZ143</f>
        <v>#REF!</v>
      </c>
      <c r="CB143" s="206" t="e">
        <f>BY143+CA143</f>
        <v>#REF!</v>
      </c>
      <c r="CC143" s="210" t="e">
        <f>CC140+CC142-CC136</f>
        <v>#REF!</v>
      </c>
      <c r="CD143" s="434">
        <f>CD140+CD142-CD136</f>
        <v>1109</v>
      </c>
      <c r="CE143" s="206">
        <f>CE140+CE142</f>
        <v>-633</v>
      </c>
      <c r="CF143" s="206">
        <f>CF140+CF142</f>
        <v>476</v>
      </c>
      <c r="CG143" s="206">
        <f>CH143-CF143</f>
        <v>1443</v>
      </c>
      <c r="CH143" s="206">
        <f>CH140+CH142</f>
        <v>1919</v>
      </c>
      <c r="CI143" s="206" t="e">
        <f>CK143-CH143</f>
        <v>#REF!</v>
      </c>
      <c r="CJ143" s="206" t="e">
        <f>CG143+CI143</f>
        <v>#REF!</v>
      </c>
      <c r="CK143" s="210" t="e">
        <f>CK140+CK142-CK136</f>
        <v>#REF!</v>
      </c>
      <c r="CL143" s="712">
        <f>CL140+CL142-CL136</f>
        <v>1291</v>
      </c>
      <c r="CM143" s="713"/>
      <c r="CN143" s="713">
        <f>CN140+CN142</f>
        <v>3754</v>
      </c>
      <c r="CO143" s="713">
        <f>CP143-CN143</f>
        <v>1256</v>
      </c>
      <c r="CP143" s="713">
        <f>CP140+CP142</f>
        <v>5010</v>
      </c>
      <c r="CQ143" s="713">
        <f>CS143-CP143</f>
        <v>2180</v>
      </c>
      <c r="CR143" s="713">
        <f>CO143+CQ143</f>
        <v>3436</v>
      </c>
      <c r="CS143" s="104">
        <f>CS140+CS142-CS136</f>
        <v>7190</v>
      </c>
      <c r="CT143" s="382">
        <f>CT140+CT142-CT136</f>
        <v>1848</v>
      </c>
      <c r="CU143" s="104">
        <f>CV143-CT143</f>
        <v>1953</v>
      </c>
      <c r="CV143" s="104">
        <f>CV140+CV142</f>
        <v>3801</v>
      </c>
      <c r="CW143" s="104">
        <f>CX143-CV143</f>
        <v>1320</v>
      </c>
      <c r="CX143" s="104">
        <f>CX140+CX142</f>
        <v>5121</v>
      </c>
      <c r="CY143" s="324">
        <f>DA143-CX143</f>
        <v>3222</v>
      </c>
      <c r="CZ143" s="104">
        <f>CW143+CY143</f>
        <v>4542</v>
      </c>
      <c r="DA143" s="104">
        <f>DA140+DA142-DA136</f>
        <v>8343</v>
      </c>
      <c r="DB143" s="382">
        <f>DB140+DB142-DB136</f>
        <v>1268</v>
      </c>
      <c r="DC143" s="104">
        <f>DD143-DB143</f>
        <v>2392</v>
      </c>
      <c r="DD143" s="104">
        <f>DD140+DD142</f>
        <v>3660</v>
      </c>
      <c r="DE143" s="104">
        <f>DF143-DD143</f>
        <v>1580</v>
      </c>
      <c r="DF143" s="104">
        <f>DF140+DF142</f>
        <v>5240</v>
      </c>
      <c r="DG143" s="324">
        <f>DI143-DF143</f>
        <v>2840</v>
      </c>
      <c r="DH143" s="104">
        <f>DG143+DE143</f>
        <v>4420</v>
      </c>
      <c r="DI143" s="104">
        <f>DI140+DI142-DI136</f>
        <v>8080</v>
      </c>
      <c r="DJ143" s="382">
        <f>DJ140+DJ142-DJ136</f>
        <v>1090</v>
      </c>
      <c r="DK143" s="104">
        <f>DL143-DJ143</f>
        <v>1600</v>
      </c>
      <c r="DL143" s="104">
        <f>DL140+DL142</f>
        <v>2690</v>
      </c>
      <c r="DM143" s="104">
        <f>DN143-DL143</f>
        <v>1972</v>
      </c>
      <c r="DN143" s="104">
        <f>DN140+DN142</f>
        <v>4662</v>
      </c>
      <c r="DO143" s="324">
        <f>DQ143-DN143</f>
        <v>3545</v>
      </c>
      <c r="DP143" s="104">
        <f>DO143+DM143</f>
        <v>5517</v>
      </c>
      <c r="DQ143" s="104">
        <f>DQ140+DQ142-DQ136</f>
        <v>8207</v>
      </c>
      <c r="DR143" s="382">
        <f>DR140+DR142-DR136</f>
        <v>1250</v>
      </c>
      <c r="DS143" s="104">
        <f>DT143-DR143</f>
        <v>2216</v>
      </c>
      <c r="DT143" s="104">
        <f>DT140+DT142</f>
        <v>3466</v>
      </c>
      <c r="DU143" s="104">
        <f t="shared" ref="DU143:EB143" si="499">DU140+DU142</f>
        <v>2595</v>
      </c>
      <c r="DV143" s="104">
        <f t="shared" si="499"/>
        <v>6061</v>
      </c>
      <c r="DW143" s="104">
        <f t="shared" si="499"/>
        <v>4200</v>
      </c>
      <c r="DX143" s="104">
        <f t="shared" si="499"/>
        <v>6795</v>
      </c>
      <c r="DY143" s="809">
        <f t="shared" si="499"/>
        <v>10261</v>
      </c>
      <c r="DZ143" s="382">
        <f t="shared" si="499"/>
        <v>986</v>
      </c>
      <c r="EA143" s="104">
        <f t="shared" si="499"/>
        <v>3083</v>
      </c>
      <c r="EB143" s="104">
        <f t="shared" si="499"/>
        <v>4069</v>
      </c>
      <c r="EC143" s="324">
        <f t="shared" ref="EC143:EG143" si="500">EC140+EC142</f>
        <v>2687.7208902067314</v>
      </c>
      <c r="ED143" s="324">
        <f t="shared" si="500"/>
        <v>6756.7208902067314</v>
      </c>
      <c r="EE143" s="324">
        <f t="shared" si="500"/>
        <v>4067.4515757273584</v>
      </c>
      <c r="EF143" s="477">
        <f t="shared" si="500"/>
        <v>6755.1724659340907</v>
      </c>
      <c r="EG143" s="738">
        <f t="shared" si="500"/>
        <v>10824.172465934091</v>
      </c>
      <c r="EH143" s="611"/>
      <c r="EI143" s="16"/>
      <c r="EK143" s="16"/>
    </row>
    <row r="144" spans="1:141">
      <c r="B144" s="42"/>
      <c r="J144" s="369"/>
      <c r="R144" s="369"/>
      <c r="W144" s="64"/>
      <c r="X144" s="64"/>
      <c r="Z144" s="369"/>
      <c r="AE144" s="64"/>
      <c r="AF144" s="64"/>
      <c r="AG144" s="64"/>
      <c r="AH144" s="369"/>
      <c r="AM144" s="64"/>
      <c r="AN144" s="64"/>
      <c r="AO144" s="64"/>
      <c r="AP144" s="369"/>
      <c r="AQ144" s="43"/>
      <c r="AR144" s="43"/>
      <c r="AS144" s="43"/>
      <c r="AT144" s="43"/>
      <c r="AU144" s="64"/>
      <c r="AV144" s="64"/>
      <c r="AW144" s="64"/>
      <c r="AX144" s="369"/>
      <c r="AY144" s="43"/>
      <c r="AZ144" s="43"/>
      <c r="BA144" s="43"/>
      <c r="BB144" s="43"/>
      <c r="BC144" s="64"/>
      <c r="BD144" s="64"/>
      <c r="BE144" s="64"/>
      <c r="BF144" s="392"/>
      <c r="BG144" s="64"/>
      <c r="BH144" s="64"/>
      <c r="BI144" s="64"/>
      <c r="BJ144" s="64"/>
      <c r="BK144" s="64"/>
      <c r="BL144" s="64"/>
      <c r="BM144" s="64"/>
      <c r="BN144" s="408"/>
      <c r="BO144" s="122"/>
      <c r="BP144" s="122"/>
      <c r="BQ144" s="122"/>
      <c r="BR144" s="122"/>
      <c r="BS144" s="123"/>
      <c r="BT144" s="123"/>
      <c r="BU144" s="123"/>
      <c r="BV144" s="369"/>
      <c r="BW144" s="122"/>
      <c r="BX144" s="122"/>
      <c r="BY144" s="43"/>
      <c r="BZ144" s="43"/>
      <c r="CA144" s="64"/>
      <c r="CB144" s="64"/>
      <c r="CC144" s="64"/>
      <c r="CD144" s="369"/>
      <c r="CE144" s="43"/>
      <c r="CF144" s="43"/>
      <c r="CG144" s="43"/>
      <c r="CH144" s="43"/>
      <c r="CI144" s="64"/>
      <c r="CJ144" s="64"/>
      <c r="CK144" s="64"/>
      <c r="CL144" s="714"/>
      <c r="CM144" s="711"/>
      <c r="CN144" s="711"/>
      <c r="CO144" s="711"/>
      <c r="CP144" s="711"/>
      <c r="CQ144" s="103"/>
      <c r="CR144" s="103"/>
      <c r="CS144" s="103"/>
      <c r="CT144" s="380"/>
      <c r="CU144" s="103"/>
      <c r="CV144" s="103"/>
      <c r="CW144" s="103"/>
      <c r="CX144" s="103"/>
      <c r="CY144" s="125"/>
      <c r="CZ144" s="103"/>
      <c r="DA144" s="103"/>
      <c r="DB144" s="380"/>
      <c r="DC144" s="103"/>
      <c r="DD144" s="103"/>
      <c r="DE144" s="103"/>
      <c r="DF144" s="103"/>
      <c r="DG144" s="125"/>
      <c r="DH144" s="103"/>
      <c r="DI144" s="103"/>
      <c r="DJ144" s="380"/>
      <c r="DK144" s="103"/>
      <c r="DL144" s="103"/>
      <c r="DM144" s="103"/>
      <c r="DN144" s="103"/>
      <c r="DO144" s="125"/>
      <c r="DP144" s="103"/>
      <c r="DQ144" s="103"/>
      <c r="DR144" s="380"/>
      <c r="DS144" s="103"/>
      <c r="DT144" s="103"/>
      <c r="DU144" s="103"/>
      <c r="DV144" s="103"/>
      <c r="DW144" s="125"/>
      <c r="DX144" s="103"/>
      <c r="DY144" s="109"/>
      <c r="DZ144" s="380"/>
      <c r="EA144" s="103"/>
      <c r="EB144" s="103"/>
      <c r="EC144" s="125"/>
      <c r="ED144" s="125"/>
      <c r="EE144" s="125"/>
      <c r="EF144" s="125"/>
      <c r="EG144" s="109"/>
      <c r="EH144" s="611"/>
      <c r="EI144" s="16"/>
      <c r="EK144" s="16"/>
    </row>
    <row r="145" spans="1:141">
      <c r="A145" s="13" t="s">
        <v>321</v>
      </c>
      <c r="B145" s="238">
        <f>-197+113</f>
        <v>-84</v>
      </c>
      <c r="C145" s="46">
        <f>D145-B145</f>
        <v>-94</v>
      </c>
      <c r="D145" s="239">
        <f>-97-269+188</f>
        <v>-178</v>
      </c>
      <c r="E145" s="46">
        <f>F145-D145</f>
        <v>-59</v>
      </c>
      <c r="F145" s="239">
        <f>-203-9-25</f>
        <v>-237</v>
      </c>
      <c r="G145" s="46">
        <f>I145-F145</f>
        <v>237</v>
      </c>
      <c r="H145" s="46">
        <f>G145+E145</f>
        <v>178</v>
      </c>
      <c r="I145" s="43">
        <f>'Income Statement'!G180</f>
        <v>0</v>
      </c>
      <c r="J145" s="396">
        <f>-70-73+29</f>
        <v>-114</v>
      </c>
      <c r="K145" s="46">
        <f>L145-J145</f>
        <v>-111</v>
      </c>
      <c r="L145" s="239">
        <f>14-96-143</f>
        <v>-225</v>
      </c>
      <c r="M145" s="46">
        <f>N145-L145</f>
        <v>-137</v>
      </c>
      <c r="N145" s="239">
        <f>-25-237-100</f>
        <v>-362</v>
      </c>
      <c r="O145" s="46">
        <f>Q145-N145</f>
        <v>362</v>
      </c>
      <c r="P145" s="46">
        <f>O145+M145</f>
        <v>225</v>
      </c>
      <c r="Q145" s="64">
        <f>'Income Statement'!H180</f>
        <v>0</v>
      </c>
      <c r="R145" s="419">
        <v>-123</v>
      </c>
      <c r="S145" s="46">
        <f>T145-R145</f>
        <v>-122</v>
      </c>
      <c r="T145" s="242">
        <v>-245</v>
      </c>
      <c r="U145" s="46">
        <f>V145-T145</f>
        <v>-119</v>
      </c>
      <c r="V145" s="242">
        <v>-364</v>
      </c>
      <c r="W145" s="62"/>
      <c r="X145" s="62">
        <f>W145+U145</f>
        <v>-119</v>
      </c>
      <c r="Y145" s="64">
        <f>'Income Statement'!I180</f>
        <v>0</v>
      </c>
      <c r="Z145" s="419">
        <v>-135</v>
      </c>
      <c r="AA145" s="46">
        <f>AB145-Z145</f>
        <v>-146</v>
      </c>
      <c r="AB145" s="242">
        <v>-281</v>
      </c>
      <c r="AC145" s="46">
        <f>AD145-AB145</f>
        <v>-153</v>
      </c>
      <c r="AD145" s="242">
        <v>-434</v>
      </c>
      <c r="AE145" s="62">
        <f>AG145-AD145</f>
        <v>434</v>
      </c>
      <c r="AF145" s="62">
        <f t="shared" si="477"/>
        <v>281</v>
      </c>
      <c r="AG145" s="64">
        <f>'Income Statement'!J180</f>
        <v>0</v>
      </c>
      <c r="AH145" s="419">
        <v>-137</v>
      </c>
      <c r="AI145" s="46">
        <f>AJ145-AH145</f>
        <v>-107</v>
      </c>
      <c r="AJ145" s="242">
        <v>-244</v>
      </c>
      <c r="AK145" s="46">
        <f>AL145-AJ145</f>
        <v>-136</v>
      </c>
      <c r="AL145" s="242">
        <v>-380</v>
      </c>
      <c r="AM145" s="62">
        <f>AO145-AL145</f>
        <v>380</v>
      </c>
      <c r="AN145" s="62">
        <f t="shared" si="478"/>
        <v>244</v>
      </c>
      <c r="AO145" s="64">
        <f>'Income Statement'!K180</f>
        <v>0</v>
      </c>
      <c r="AP145" s="419">
        <v>-91</v>
      </c>
      <c r="AQ145" s="46">
        <f>AR145-AP145</f>
        <v>-57</v>
      </c>
      <c r="AR145" s="239">
        <f>137-234-51</f>
        <v>-148</v>
      </c>
      <c r="AS145" s="46">
        <f>AT145-AR145</f>
        <v>-121</v>
      </c>
      <c r="AT145" s="239">
        <f>186-389-66</f>
        <v>-269</v>
      </c>
      <c r="AU145" s="62"/>
      <c r="AV145" s="62">
        <f>AW145-AR145</f>
        <v>-192</v>
      </c>
      <c r="AW145" s="149">
        <v>-340</v>
      </c>
      <c r="AX145" s="419">
        <v>-109</v>
      </c>
      <c r="AY145" s="46">
        <f>AZ145-AX145</f>
        <v>-102</v>
      </c>
      <c r="AZ145" s="242">
        <v>-211</v>
      </c>
      <c r="BA145" s="46">
        <f>BB145-AZ145</f>
        <v>-100</v>
      </c>
      <c r="BB145" s="239">
        <f>-311</f>
        <v>-311</v>
      </c>
      <c r="BC145" s="62">
        <f>BE145-BB145</f>
        <v>-78</v>
      </c>
      <c r="BD145" s="62">
        <f>BE145-AZ145</f>
        <v>-178</v>
      </c>
      <c r="BE145" s="149">
        <v>-389</v>
      </c>
      <c r="BF145" s="392"/>
      <c r="BG145" s="64"/>
      <c r="BH145" s="64"/>
      <c r="BI145" s="64"/>
      <c r="BJ145" s="64"/>
      <c r="BK145" s="64"/>
      <c r="BL145" s="64"/>
      <c r="BM145" s="64"/>
      <c r="BN145" s="419">
        <v>-78</v>
      </c>
      <c r="BO145" s="46">
        <f>BP145-BN145</f>
        <v>1102</v>
      </c>
      <c r="BP145" s="242">
        <v>1024</v>
      </c>
      <c r="BQ145" s="46">
        <f>BR145-BP145</f>
        <v>-1283</v>
      </c>
      <c r="BR145" s="242">
        <v>-259</v>
      </c>
      <c r="BS145" s="62">
        <f>BT145-BR145</f>
        <v>-765</v>
      </c>
      <c r="BT145" s="62">
        <f>BU145-BP145</f>
        <v>-1024</v>
      </c>
      <c r="BU145" s="125">
        <f>'Income Statement'!N180</f>
        <v>0</v>
      </c>
      <c r="BV145" s="419">
        <v>-48</v>
      </c>
      <c r="BW145" s="48">
        <f>BX145-BV145</f>
        <v>-78</v>
      </c>
      <c r="BX145" s="244">
        <v>-126</v>
      </c>
      <c r="BY145" s="46">
        <f>BZ145-BX145</f>
        <v>-35</v>
      </c>
      <c r="BZ145" s="242">
        <v>-161</v>
      </c>
      <c r="CA145" s="62">
        <f>CC145-BZ145</f>
        <v>161</v>
      </c>
      <c r="CB145" s="62">
        <f>CA145+BY145</f>
        <v>126</v>
      </c>
      <c r="CC145" s="64">
        <f>'Income Statement'!O180</f>
        <v>0</v>
      </c>
      <c r="CD145" s="419">
        <v>-54</v>
      </c>
      <c r="CE145" s="46">
        <f>CF145-CD145</f>
        <v>-88</v>
      </c>
      <c r="CF145" s="242">
        <v>-142</v>
      </c>
      <c r="CG145" s="46"/>
      <c r="CH145" s="242">
        <v>-236</v>
      </c>
      <c r="CI145" s="62"/>
      <c r="CJ145" s="62"/>
      <c r="CK145" s="64">
        <f>'Income Statement'!P180</f>
        <v>0</v>
      </c>
      <c r="CL145" s="715">
        <v>-89</v>
      </c>
      <c r="CM145" s="691">
        <f>CN145-CL145</f>
        <v>-97</v>
      </c>
      <c r="CN145" s="710">
        <v>-186</v>
      </c>
      <c r="CO145" s="121"/>
      <c r="CP145" s="716">
        <v>-254</v>
      </c>
      <c r="CQ145" s="121">
        <f>CS145-CP145</f>
        <v>-11</v>
      </c>
      <c r="CR145" s="121"/>
      <c r="CS145" s="103">
        <f>INDEX('Income Statement'!92:92,MATCH(Interims!CS$1,'Income Statement'!$2:$2,0))</f>
        <v>-265</v>
      </c>
      <c r="CT145" s="693">
        <v>-77</v>
      </c>
      <c r="CU145" s="121">
        <f>CV145-CT145</f>
        <v>-56</v>
      </c>
      <c r="CV145" s="452">
        <v>-133</v>
      </c>
      <c r="CW145" s="121"/>
      <c r="CX145" s="452">
        <v>-192</v>
      </c>
      <c r="CY145" s="692"/>
      <c r="CZ145" s="121"/>
      <c r="DA145" s="103">
        <f>INDEX('Income Statement'!92:92,MATCH(Interims!DA$1,'Income Statement'!$2:$2,0))</f>
        <v>-224</v>
      </c>
      <c r="DB145" s="693">
        <v>-166</v>
      </c>
      <c r="DC145" s="121">
        <f>DD145-DB145</f>
        <v>111</v>
      </c>
      <c r="DD145" s="452">
        <v>-55</v>
      </c>
      <c r="DE145" s="121">
        <f>DF145-DD145</f>
        <v>55</v>
      </c>
      <c r="DF145" s="452">
        <v>0</v>
      </c>
      <c r="DG145" s="692">
        <f>DI145-DF145</f>
        <v>-28</v>
      </c>
      <c r="DH145" s="121">
        <f>DI145-DD145</f>
        <v>27</v>
      </c>
      <c r="DI145" s="103">
        <f>INDEX('Income Statement'!92:92,MATCH(Interims!DI$1,'Income Statement'!$2:$2,0))</f>
        <v>-28</v>
      </c>
      <c r="DJ145" s="693">
        <v>4</v>
      </c>
      <c r="DK145" s="121">
        <f>DL145-DJ145</f>
        <v>-32</v>
      </c>
      <c r="DL145" s="452">
        <v>-28</v>
      </c>
      <c r="DM145" s="121">
        <f>DN145-DL145</f>
        <v>-29</v>
      </c>
      <c r="DN145" s="452">
        <v>-57</v>
      </c>
      <c r="DO145" s="692">
        <f>DQ145-DN145</f>
        <v>-40</v>
      </c>
      <c r="DP145" s="121">
        <f>DQ145-DL145</f>
        <v>-69</v>
      </c>
      <c r="DQ145" s="103">
        <f>INDEX('Income Statement'!92:92,MATCH(Interims!DQ$1,'Income Statement'!$2:$2,0))</f>
        <v>-97</v>
      </c>
      <c r="DR145" s="693">
        <v>28</v>
      </c>
      <c r="DS145" s="121">
        <f>DT145-DR145</f>
        <v>-18</v>
      </c>
      <c r="DT145" s="452">
        <v>10</v>
      </c>
      <c r="DU145" s="121">
        <f>DV145-DT145</f>
        <v>-17</v>
      </c>
      <c r="DV145" s="452">
        <v>-7</v>
      </c>
      <c r="DW145" s="692">
        <f>DX145-DU145</f>
        <v>-31</v>
      </c>
      <c r="DX145" s="121">
        <f>DY145-DT145</f>
        <v>-48</v>
      </c>
      <c r="DY145" s="103">
        <f>INDEX('Income Statement'!92:92,MATCH(Interims!DY$1,'Income Statement'!$2:$2,0))</f>
        <v>-38</v>
      </c>
      <c r="DZ145" s="693">
        <v>13</v>
      </c>
      <c r="EA145" s="121">
        <f>EB145-DZ145</f>
        <v>-8</v>
      </c>
      <c r="EB145" s="452">
        <v>5</v>
      </c>
      <c r="EC145" s="692">
        <f>ED145-EB145</f>
        <v>-21.774210526315777</v>
      </c>
      <c r="ED145" s="692">
        <f>(DV145/DY145)*EG145</f>
        <v>-16.774210526315777</v>
      </c>
      <c r="EE145" s="692">
        <f>EF145-EC145</f>
        <v>-74.285789473684162</v>
      </c>
      <c r="EF145" s="692">
        <f>EG145-EB145</f>
        <v>-96.059999999999945</v>
      </c>
      <c r="EG145" s="103">
        <f>INDEX('Income Statement'!92:92,MATCH(Interims!EG$1,'Income Statement'!$2:$2,0))</f>
        <v>-91.059999999999945</v>
      </c>
      <c r="EH145" s="611"/>
      <c r="EI145" s="16"/>
      <c r="EK145" s="79"/>
    </row>
    <row r="146" spans="1:141">
      <c r="A146" s="203" t="s">
        <v>357</v>
      </c>
      <c r="B146" s="204">
        <f t="shared" ref="B146:H146" si="501">B145+B140</f>
        <v>71</v>
      </c>
      <c r="C146" s="205">
        <f t="shared" si="501"/>
        <v>154</v>
      </c>
      <c r="D146" s="205">
        <f t="shared" si="501"/>
        <v>225</v>
      </c>
      <c r="E146" s="205">
        <f t="shared" si="501"/>
        <v>243</v>
      </c>
      <c r="F146" s="205">
        <f t="shared" si="501"/>
        <v>468</v>
      </c>
      <c r="G146" s="205" t="e">
        <f t="shared" si="501"/>
        <v>#REF!</v>
      </c>
      <c r="H146" s="205" t="e">
        <f t="shared" si="501"/>
        <v>#REF!</v>
      </c>
      <c r="I146" s="210" t="e">
        <f>I140+I145</f>
        <v>#REF!</v>
      </c>
      <c r="J146" s="458">
        <f t="shared" ref="J146:P146" si="502">J145+J140</f>
        <v>87</v>
      </c>
      <c r="K146" s="205">
        <f t="shared" si="502"/>
        <v>484</v>
      </c>
      <c r="L146" s="205">
        <f t="shared" si="502"/>
        <v>571</v>
      </c>
      <c r="M146" s="205">
        <f t="shared" si="502"/>
        <v>348</v>
      </c>
      <c r="N146" s="205">
        <f t="shared" si="502"/>
        <v>919</v>
      </c>
      <c r="O146" s="205" t="e">
        <f t="shared" si="502"/>
        <v>#REF!</v>
      </c>
      <c r="P146" s="205" t="e">
        <f t="shared" si="502"/>
        <v>#REF!</v>
      </c>
      <c r="Q146" s="210" t="e">
        <f>Q140+Q145</f>
        <v>#REF!</v>
      </c>
      <c r="R146" s="458">
        <f t="shared" ref="R146:X146" si="503">R145+R140</f>
        <v>611</v>
      </c>
      <c r="S146" s="205">
        <f t="shared" si="503"/>
        <v>758</v>
      </c>
      <c r="T146" s="205">
        <f t="shared" si="503"/>
        <v>1369</v>
      </c>
      <c r="U146" s="205">
        <f t="shared" si="503"/>
        <v>587</v>
      </c>
      <c r="V146" s="205">
        <f t="shared" si="503"/>
        <v>1956</v>
      </c>
      <c r="W146" s="205"/>
      <c r="X146" s="205" t="e">
        <f t="shared" si="503"/>
        <v>#REF!</v>
      </c>
      <c r="Y146" s="210" t="e">
        <f>Y140+Y145</f>
        <v>#REF!</v>
      </c>
      <c r="Z146" s="458">
        <f t="shared" ref="Z146:AE146" si="504">Z145+Z140</f>
        <v>565</v>
      </c>
      <c r="AA146" s="205">
        <f t="shared" si="504"/>
        <v>923</v>
      </c>
      <c r="AB146" s="205">
        <f t="shared" si="504"/>
        <v>1488</v>
      </c>
      <c r="AC146" s="205">
        <f t="shared" si="504"/>
        <v>668</v>
      </c>
      <c r="AD146" s="205">
        <f t="shared" si="504"/>
        <v>2156</v>
      </c>
      <c r="AE146" s="206" t="e">
        <f t="shared" si="504"/>
        <v>#REF!</v>
      </c>
      <c r="AF146" s="206" t="e">
        <f t="shared" si="477"/>
        <v>#REF!</v>
      </c>
      <c r="AG146" s="210" t="e">
        <f>AG140+AG145</f>
        <v>#REF!</v>
      </c>
      <c r="AH146" s="458">
        <f t="shared" ref="AH146:AM146" si="505">AH145+AH140</f>
        <v>514</v>
      </c>
      <c r="AI146" s="205">
        <f t="shared" si="505"/>
        <v>1125</v>
      </c>
      <c r="AJ146" s="205">
        <f t="shared" si="505"/>
        <v>1639</v>
      </c>
      <c r="AK146" s="205">
        <f t="shared" si="505"/>
        <v>785</v>
      </c>
      <c r="AL146" s="205">
        <f t="shared" si="505"/>
        <v>2424</v>
      </c>
      <c r="AM146" s="206" t="e">
        <f t="shared" si="505"/>
        <v>#REF!</v>
      </c>
      <c r="AN146" s="206" t="e">
        <f t="shared" si="478"/>
        <v>#REF!</v>
      </c>
      <c r="AO146" s="210" t="e">
        <f>AO140+AO145</f>
        <v>#REF!</v>
      </c>
      <c r="AP146" s="458">
        <f>AP145+AP140</f>
        <v>410</v>
      </c>
      <c r="AQ146" s="206">
        <f>AQ145+AQ140</f>
        <v>1126</v>
      </c>
      <c r="AR146" s="206">
        <f>AR145+AR140</f>
        <v>1536</v>
      </c>
      <c r="AS146" s="206">
        <f>AT146-AR146</f>
        <v>610</v>
      </c>
      <c r="AT146" s="206">
        <f>AT145+AT140</f>
        <v>2146</v>
      </c>
      <c r="AU146" s="206">
        <f>AW146-AT146</f>
        <v>1469</v>
      </c>
      <c r="AV146" s="206">
        <f>AW146-AR146</f>
        <v>2079</v>
      </c>
      <c r="AW146" s="210">
        <f>AW140+AW145</f>
        <v>3615</v>
      </c>
      <c r="AX146" s="458">
        <f>AX145+AX140</f>
        <v>131</v>
      </c>
      <c r="AY146" s="213">
        <f>AY145+AY140</f>
        <v>757</v>
      </c>
      <c r="AZ146" s="206">
        <f>AZ145+AZ140</f>
        <v>888</v>
      </c>
      <c r="BA146" s="206">
        <f>BB146-AZ146</f>
        <v>597</v>
      </c>
      <c r="BB146" s="206">
        <f>BB145+BB140</f>
        <v>1485</v>
      </c>
      <c r="BC146" s="206">
        <f>BE146-BB146</f>
        <v>2379</v>
      </c>
      <c r="BD146" s="206">
        <f>BA146+BC146</f>
        <v>2976</v>
      </c>
      <c r="BE146" s="210">
        <f>BE140+BE145</f>
        <v>3864</v>
      </c>
      <c r="BF146" s="398"/>
      <c r="BG146" s="211"/>
      <c r="BH146" s="211"/>
      <c r="BI146" s="211"/>
      <c r="BJ146" s="211"/>
      <c r="BK146" s="211"/>
      <c r="BL146" s="211"/>
      <c r="BM146" s="210"/>
      <c r="BN146" s="435">
        <f>BN145+BN140</f>
        <v>-64</v>
      </c>
      <c r="BO146" s="212">
        <f>BO145+BO140</f>
        <v>2250</v>
      </c>
      <c r="BP146" s="209">
        <f>BP145+BP140</f>
        <v>2186</v>
      </c>
      <c r="BQ146" s="209">
        <f>BR146-BP146</f>
        <v>293</v>
      </c>
      <c r="BR146" s="209">
        <f>BR145+BR140</f>
        <v>2479</v>
      </c>
      <c r="BS146" s="209" t="e">
        <f>BU146-BR146</f>
        <v>#REF!</v>
      </c>
      <c r="BT146" s="209" t="e">
        <f>BQ146+BS146</f>
        <v>#REF!</v>
      </c>
      <c r="BU146" s="339" t="e">
        <f>BU140+BU145</f>
        <v>#REF!</v>
      </c>
      <c r="BV146" s="435">
        <f>BV145+BV140</f>
        <v>501</v>
      </c>
      <c r="BW146" s="209">
        <f>BX146-BV146</f>
        <v>1902</v>
      </c>
      <c r="BX146" s="208">
        <v>2403</v>
      </c>
      <c r="BY146" s="209">
        <f>BZ146-BX146</f>
        <v>1569</v>
      </c>
      <c r="BZ146" s="209">
        <f>BZ145+BZ140</f>
        <v>3972</v>
      </c>
      <c r="CA146" s="206">
        <f>CC146-BZ146</f>
        <v>2974</v>
      </c>
      <c r="CB146" s="206">
        <f>BY146+CA146</f>
        <v>4543</v>
      </c>
      <c r="CC146" s="210">
        <f>CC140+CC145</f>
        <v>6946</v>
      </c>
      <c r="CD146" s="435">
        <f>CD145+CD140</f>
        <v>227</v>
      </c>
      <c r="CE146" s="214">
        <f>CE145+CE140</f>
        <v>-1314</v>
      </c>
      <c r="CF146" s="214">
        <f>CF145+CF140</f>
        <v>-1087</v>
      </c>
      <c r="CG146" s="206">
        <f>CH146-CF146</f>
        <v>726</v>
      </c>
      <c r="CH146" s="206">
        <f>CH140+CH145</f>
        <v>-361</v>
      </c>
      <c r="CI146" s="206">
        <f>CK146-CH146</f>
        <v>2067</v>
      </c>
      <c r="CJ146" s="206">
        <f>CG146+CI146</f>
        <v>2793</v>
      </c>
      <c r="CK146" s="210">
        <f>CK140+CK145</f>
        <v>1706</v>
      </c>
      <c r="CL146" s="712">
        <f>CL140+CL145</f>
        <v>605</v>
      </c>
      <c r="CM146" s="713">
        <f>CN146-CL146</f>
        <v>1912</v>
      </c>
      <c r="CN146" s="713">
        <f>CN140+CN145</f>
        <v>2517</v>
      </c>
      <c r="CO146" s="713">
        <f>CP146-CN146</f>
        <v>598</v>
      </c>
      <c r="CP146" s="713">
        <f>CP140+CP145</f>
        <v>3115</v>
      </c>
      <c r="CQ146" s="713">
        <f>CS146-CP146</f>
        <v>1485</v>
      </c>
      <c r="CR146" s="713">
        <f>CO146+CQ146</f>
        <v>2083</v>
      </c>
      <c r="CS146" s="104">
        <f>CS140+CS145</f>
        <v>4600</v>
      </c>
      <c r="CT146" s="382">
        <f>CT140+CT145</f>
        <v>1186</v>
      </c>
      <c r="CU146" s="104">
        <f>CV146-CT146</f>
        <v>1326</v>
      </c>
      <c r="CV146" s="104">
        <f>CV140+CV145</f>
        <v>2512</v>
      </c>
      <c r="CW146" s="104">
        <f>CX146-CV146</f>
        <v>777</v>
      </c>
      <c r="CX146" s="104">
        <f>CX140+CX145</f>
        <v>3289</v>
      </c>
      <c r="CY146" s="324">
        <f>DA146-CX146</f>
        <v>2114</v>
      </c>
      <c r="CZ146" s="104">
        <f>CW146+CY146</f>
        <v>2891</v>
      </c>
      <c r="DA146" s="104">
        <f>DA140+DA145</f>
        <v>5403</v>
      </c>
      <c r="DB146" s="382">
        <f>DB140+DB145</f>
        <v>607</v>
      </c>
      <c r="DC146" s="104">
        <f>DD146-DB146</f>
        <v>1956</v>
      </c>
      <c r="DD146" s="104">
        <f>DD140+DD145</f>
        <v>2563</v>
      </c>
      <c r="DE146" s="104">
        <f>DF146-DD146</f>
        <v>1068</v>
      </c>
      <c r="DF146" s="104">
        <f>DF140+DF145</f>
        <v>3631</v>
      </c>
      <c r="DG146" s="324">
        <f>DI146-DF146</f>
        <v>2179</v>
      </c>
      <c r="DH146" s="104">
        <f>DG146+DE146</f>
        <v>3247</v>
      </c>
      <c r="DI146" s="104">
        <f>DI140+DI145</f>
        <v>5810</v>
      </c>
      <c r="DJ146" s="382">
        <f>DJ140+DJ145</f>
        <v>581</v>
      </c>
      <c r="DK146" s="104">
        <f>DL146-DJ146</f>
        <v>782</v>
      </c>
      <c r="DL146" s="104">
        <f>DL140+DL145</f>
        <v>1363</v>
      </c>
      <c r="DM146" s="104">
        <f>DN146-DL146</f>
        <v>1378</v>
      </c>
      <c r="DN146" s="104">
        <f>DN140+DN145</f>
        <v>2741</v>
      </c>
      <c r="DO146" s="324">
        <f>DQ146-DN146</f>
        <v>2516</v>
      </c>
      <c r="DP146" s="104">
        <f>DO146+DM146</f>
        <v>3894</v>
      </c>
      <c r="DQ146" s="104">
        <f>DQ140+DQ145</f>
        <v>5257</v>
      </c>
      <c r="DR146" s="382">
        <f>DR140+DR145</f>
        <v>652</v>
      </c>
      <c r="DS146" s="104">
        <f>DT146-DR146</f>
        <v>1562</v>
      </c>
      <c r="DT146" s="104">
        <f>DT140+DT145</f>
        <v>2214</v>
      </c>
      <c r="DU146" s="104">
        <f t="shared" ref="DU146:EB146" si="506">DU140+DU145</f>
        <v>1925</v>
      </c>
      <c r="DV146" s="104">
        <f t="shared" si="506"/>
        <v>4139</v>
      </c>
      <c r="DW146" s="104">
        <f t="shared" si="506"/>
        <v>2951</v>
      </c>
      <c r="DX146" s="104">
        <f t="shared" si="506"/>
        <v>4876</v>
      </c>
      <c r="DY146" s="809">
        <f>DY140+DY145</f>
        <v>7090</v>
      </c>
      <c r="DZ146" s="382">
        <f t="shared" si="506"/>
        <v>313</v>
      </c>
      <c r="EA146" s="104">
        <f t="shared" si="506"/>
        <v>2419</v>
      </c>
      <c r="EB146" s="104">
        <f t="shared" si="506"/>
        <v>2732</v>
      </c>
      <c r="EC146" s="324">
        <f t="shared" ref="EC146:EG146" si="507">EC140+EC145</f>
        <v>2044.9340687502365</v>
      </c>
      <c r="ED146" s="324">
        <f t="shared" si="507"/>
        <v>4776.9340687502363</v>
      </c>
      <c r="EE146" s="324">
        <f t="shared" si="507"/>
        <v>2744.6282613905109</v>
      </c>
      <c r="EF146" s="477">
        <f t="shared" si="507"/>
        <v>4789.5623301407486</v>
      </c>
      <c r="EG146" s="738">
        <f t="shared" si="507"/>
        <v>7521.5623301407486</v>
      </c>
      <c r="EH146" s="611"/>
      <c r="EI146" s="16"/>
      <c r="EK146" s="16"/>
    </row>
    <row r="147" spans="1:141">
      <c r="B147" s="42"/>
      <c r="C147" s="46"/>
      <c r="J147" s="369"/>
      <c r="R147" s="369"/>
      <c r="W147" s="64"/>
      <c r="X147" s="64"/>
      <c r="Z147" s="369"/>
      <c r="AE147" s="64"/>
      <c r="AF147" s="64"/>
      <c r="AG147" s="64"/>
      <c r="AH147" s="369"/>
      <c r="AM147" s="64"/>
      <c r="AN147" s="64"/>
      <c r="AO147" s="64"/>
      <c r="AP147" s="369"/>
      <c r="AQ147" s="43"/>
      <c r="AR147" s="43"/>
      <c r="AS147" s="43"/>
      <c r="AT147" s="43"/>
      <c r="AU147" s="64"/>
      <c r="AV147" s="64"/>
      <c r="AW147" s="64"/>
      <c r="AX147" s="369"/>
      <c r="AY147" s="43"/>
      <c r="AZ147" s="43"/>
      <c r="BA147" s="43"/>
      <c r="BB147" s="43"/>
      <c r="BC147" s="64"/>
      <c r="BD147" s="64"/>
      <c r="BE147" s="64"/>
      <c r="BF147" s="392"/>
      <c r="BG147" s="64"/>
      <c r="BH147" s="64"/>
      <c r="BI147" s="64"/>
      <c r="BJ147" s="64"/>
      <c r="BK147" s="64"/>
      <c r="BL147" s="64"/>
      <c r="BM147" s="64"/>
      <c r="BN147" s="408"/>
      <c r="BO147" s="122"/>
      <c r="BP147" s="122"/>
      <c r="BQ147" s="122"/>
      <c r="BR147" s="122"/>
      <c r="BS147" s="123"/>
      <c r="BT147" s="123"/>
      <c r="BU147" s="123"/>
      <c r="BV147" s="369"/>
      <c r="BW147" s="122"/>
      <c r="BX147" s="122"/>
      <c r="BY147" s="43"/>
      <c r="BZ147" s="43"/>
      <c r="CA147" s="64"/>
      <c r="CB147" s="64"/>
      <c r="CC147" s="64"/>
      <c r="CD147" s="369"/>
      <c r="CE147" s="43"/>
      <c r="CF147" s="43"/>
      <c r="CG147" s="43"/>
      <c r="CH147" s="43"/>
      <c r="CI147" s="64"/>
      <c r="CJ147" s="64"/>
      <c r="CK147" s="64"/>
      <c r="CL147" s="714"/>
      <c r="CM147" s="711"/>
      <c r="CN147" s="103"/>
      <c r="CO147" s="711"/>
      <c r="CP147" s="103"/>
      <c r="CQ147" s="103"/>
      <c r="CR147" s="103"/>
      <c r="CS147" s="103"/>
      <c r="CT147" s="380"/>
      <c r="CU147" s="103"/>
      <c r="CV147" s="103"/>
      <c r="CW147" s="103"/>
      <c r="CX147" s="103"/>
      <c r="CY147" s="125"/>
      <c r="CZ147" s="103"/>
      <c r="DA147" s="103"/>
      <c r="DB147" s="380"/>
      <c r="DC147" s="103"/>
      <c r="DD147" s="103"/>
      <c r="DE147" s="103"/>
      <c r="DF147" s="103"/>
      <c r="DG147" s="869"/>
      <c r="DH147" s="103"/>
      <c r="DI147" s="103"/>
      <c r="DJ147" s="380"/>
      <c r="DK147" s="103"/>
      <c r="DL147" s="103"/>
      <c r="DM147" s="103"/>
      <c r="DN147" s="103"/>
      <c r="DO147" s="125"/>
      <c r="DP147" s="103"/>
      <c r="DQ147" s="869"/>
      <c r="DR147" s="380"/>
      <c r="DS147" s="103"/>
      <c r="DT147" s="103"/>
      <c r="DU147" s="103"/>
      <c r="DV147" s="103"/>
      <c r="DW147" s="125"/>
      <c r="DX147" s="103"/>
      <c r="DY147" s="869"/>
      <c r="DZ147" s="906"/>
      <c r="EA147" s="103"/>
      <c r="EB147" s="103"/>
      <c r="EC147" s="125"/>
      <c r="ED147" s="125"/>
      <c r="EE147" s="125"/>
      <c r="EF147" s="125"/>
      <c r="EG147" s="109"/>
      <c r="EH147" s="611"/>
      <c r="EI147" s="16"/>
      <c r="EK147" s="79"/>
    </row>
    <row r="148" spans="1:141" s="25" customFormat="1">
      <c r="A148" s="69" t="s">
        <v>358</v>
      </c>
      <c r="B148" s="801">
        <f>5-45</f>
        <v>-40</v>
      </c>
      <c r="C148" s="689">
        <f>D148-B148</f>
        <v>-109</v>
      </c>
      <c r="D148" s="689">
        <f>-45-104</f>
        <v>-149</v>
      </c>
      <c r="E148" s="689">
        <f>F148-D148</f>
        <v>-60</v>
      </c>
      <c r="F148" s="689">
        <f>-198-11</f>
        <v>-209</v>
      </c>
      <c r="G148" s="689">
        <f>I148-F148</f>
        <v>209</v>
      </c>
      <c r="H148" s="689">
        <f>G148+E148</f>
        <v>149</v>
      </c>
      <c r="I148" s="711">
        <f>'Income Statement'!G187</f>
        <v>0</v>
      </c>
      <c r="J148" s="688">
        <f>-55-52</f>
        <v>-107</v>
      </c>
      <c r="K148" s="689">
        <f>L148-J148</f>
        <v>-209</v>
      </c>
      <c r="L148" s="689">
        <f>-89-227</f>
        <v>-316</v>
      </c>
      <c r="M148" s="689">
        <f>N148-L148</f>
        <v>-125</v>
      </c>
      <c r="N148" s="689">
        <f>-95-346</f>
        <v>-441</v>
      </c>
      <c r="O148" s="689">
        <f>Q148-N148</f>
        <v>441</v>
      </c>
      <c r="P148" s="689">
        <f>O148+M148</f>
        <v>316</v>
      </c>
      <c r="Q148" s="711">
        <f>'Income Statement'!H187</f>
        <v>0</v>
      </c>
      <c r="R148" s="709">
        <v>-168</v>
      </c>
      <c r="S148" s="689">
        <f>T148-R148</f>
        <v>-213</v>
      </c>
      <c r="T148" s="710">
        <v>-381</v>
      </c>
      <c r="U148" s="689">
        <f>V148-T148</f>
        <v>-166</v>
      </c>
      <c r="V148" s="710">
        <v>-547</v>
      </c>
      <c r="W148" s="121"/>
      <c r="X148" s="121">
        <f>W148+U148</f>
        <v>-166</v>
      </c>
      <c r="Y148" s="711">
        <f>'Income Statement'!I187</f>
        <v>0</v>
      </c>
      <c r="Z148" s="709">
        <v>-155</v>
      </c>
      <c r="AA148" s="689">
        <f>AB148-Z148</f>
        <v>-247</v>
      </c>
      <c r="AB148" s="710">
        <v>-402</v>
      </c>
      <c r="AC148" s="689">
        <f>AD148-AB148</f>
        <v>-191</v>
      </c>
      <c r="AD148" s="710">
        <v>-593</v>
      </c>
      <c r="AE148" s="121">
        <f>AG148-AD148</f>
        <v>593</v>
      </c>
      <c r="AF148" s="121">
        <f t="shared" si="477"/>
        <v>402</v>
      </c>
      <c r="AG148" s="103">
        <f>'Income Statement'!J187</f>
        <v>0</v>
      </c>
      <c r="AH148" s="709">
        <v>-160</v>
      </c>
      <c r="AI148" s="689">
        <f>AJ148-AH148</f>
        <v>-317</v>
      </c>
      <c r="AJ148" s="710">
        <v>-477</v>
      </c>
      <c r="AK148" s="689">
        <f>AL148-AJ148</f>
        <v>-237</v>
      </c>
      <c r="AL148" s="710">
        <v>-714</v>
      </c>
      <c r="AM148" s="121">
        <f>AO148-AL148</f>
        <v>714</v>
      </c>
      <c r="AN148" s="121">
        <f t="shared" si="478"/>
        <v>477</v>
      </c>
      <c r="AO148" s="103">
        <f>'Income Statement'!K187</f>
        <v>0</v>
      </c>
      <c r="AP148" s="709">
        <v>-119</v>
      </c>
      <c r="AQ148" s="689">
        <f>AR148-AP148</f>
        <v>-331</v>
      </c>
      <c r="AR148" s="710">
        <v>-450</v>
      </c>
      <c r="AS148" s="689">
        <f>AT148-AR148</f>
        <v>-351</v>
      </c>
      <c r="AT148" s="689">
        <f>-802+1</f>
        <v>-801</v>
      </c>
      <c r="AU148" s="121"/>
      <c r="AV148" s="121">
        <f>AW148-AR148</f>
        <v>-598</v>
      </c>
      <c r="AW148" s="150">
        <v>-1048</v>
      </c>
      <c r="AX148" s="717">
        <f>AX150-AX146</f>
        <v>-38</v>
      </c>
      <c r="AY148" s="689">
        <f>AZ148-AX148</f>
        <v>-212</v>
      </c>
      <c r="AZ148" s="691">
        <f>AZ150-AZ146</f>
        <v>-250</v>
      </c>
      <c r="BA148" s="691">
        <f>BB148-AZ148</f>
        <v>-167</v>
      </c>
      <c r="BB148" s="691">
        <f>BB150-BB146</f>
        <v>-417</v>
      </c>
      <c r="BC148" s="121">
        <f>BE148-BB148</f>
        <v>-611</v>
      </c>
      <c r="BD148" s="121">
        <f>BE148-AZ148</f>
        <v>-778</v>
      </c>
      <c r="BE148" s="103">
        <f>-BE146+BE150</f>
        <v>-1028</v>
      </c>
      <c r="BF148" s="380"/>
      <c r="BG148" s="103"/>
      <c r="BH148" s="103"/>
      <c r="BI148" s="103"/>
      <c r="BJ148" s="103"/>
      <c r="BK148" s="103"/>
      <c r="BL148" s="103"/>
      <c r="BM148" s="103"/>
      <c r="BN148" s="717">
        <f>BN150-BN146</f>
        <v>17</v>
      </c>
      <c r="BO148" s="691">
        <f>BP148-BN148</f>
        <v>-1463</v>
      </c>
      <c r="BP148" s="691">
        <f>BP150-BP146</f>
        <v>-1446</v>
      </c>
      <c r="BQ148" s="691">
        <f>BR148-BP148</f>
        <v>759</v>
      </c>
      <c r="BR148" s="691">
        <f>BR150-BR146</f>
        <v>-687</v>
      </c>
      <c r="BS148" s="121">
        <f>BT148-BR148</f>
        <v>2133</v>
      </c>
      <c r="BT148" s="121">
        <f>BU148-BP148</f>
        <v>1446</v>
      </c>
      <c r="BU148" s="125">
        <f>'Income Statement'!N187</f>
        <v>0</v>
      </c>
      <c r="BV148" s="717">
        <f>BV150-BV146</f>
        <v>-139</v>
      </c>
      <c r="BW148" s="691">
        <f>BX148-BV148</f>
        <v>-514</v>
      </c>
      <c r="BX148" s="691">
        <f>BX150-BX146</f>
        <v>-653</v>
      </c>
      <c r="BY148" s="691">
        <f>BZ148-BX148</f>
        <v>-419</v>
      </c>
      <c r="BZ148" s="691">
        <f>BZ150-BZ146-BZ149</f>
        <v>-1072</v>
      </c>
      <c r="CA148" s="121">
        <f>CC148-BZ148</f>
        <v>1072</v>
      </c>
      <c r="CB148" s="121">
        <f>CA148+BY148</f>
        <v>653</v>
      </c>
      <c r="CC148" s="103">
        <f>'Income Statement'!O187</f>
        <v>0</v>
      </c>
      <c r="CD148" s="717">
        <f>CD150-CD146</f>
        <v>-50</v>
      </c>
      <c r="CE148" s="691">
        <f>CF148-CD148</f>
        <v>348</v>
      </c>
      <c r="CF148" s="691">
        <f>CF150-CF146</f>
        <v>298</v>
      </c>
      <c r="CG148" s="691">
        <f>CH148-CF148</f>
        <v>-201</v>
      </c>
      <c r="CH148" s="691">
        <f>CH150-CH146-CH149</f>
        <v>97</v>
      </c>
      <c r="CI148" s="121">
        <f>CK148-CH148</f>
        <v>-97</v>
      </c>
      <c r="CJ148" s="121">
        <f>CK148-CF148</f>
        <v>-298</v>
      </c>
      <c r="CK148" s="103">
        <f>'Income Statement'!P187</f>
        <v>0</v>
      </c>
      <c r="CL148" s="717">
        <f>CL150-CL146</f>
        <v>-147</v>
      </c>
      <c r="CM148" s="691">
        <f>CN148-CL148</f>
        <v>-506</v>
      </c>
      <c r="CN148" s="121">
        <f>CN150-CN146</f>
        <v>-653</v>
      </c>
      <c r="CO148" s="691">
        <f>CP148-CN148</f>
        <v>-188</v>
      </c>
      <c r="CP148" s="691">
        <f>CP150-CP146-CP149</f>
        <v>-841</v>
      </c>
      <c r="CQ148" s="691">
        <f>CS148-CP148</f>
        <v>-401</v>
      </c>
      <c r="CR148" s="121">
        <f>CS148-CN148</f>
        <v>-589</v>
      </c>
      <c r="CS148" s="103">
        <f>INDEX('Income Statement'!95:95,MATCH(Interims!CS$1,'Income Statement'!$2:$2,0))</f>
        <v>-1242</v>
      </c>
      <c r="CT148" s="453">
        <f>CT150-CT146</f>
        <v>-294</v>
      </c>
      <c r="CU148" s="121">
        <f>CV148-CT148</f>
        <v>-327</v>
      </c>
      <c r="CV148" s="121">
        <f>CV150-CV146</f>
        <v>-621</v>
      </c>
      <c r="CW148" s="121">
        <f>CX148-CV148</f>
        <v>-177</v>
      </c>
      <c r="CX148" s="121">
        <f>CX150-CX146</f>
        <v>-798</v>
      </c>
      <c r="CY148" s="692">
        <f>DA148-CX148</f>
        <v>-661</v>
      </c>
      <c r="CZ148" s="121">
        <f>DA148-CV148</f>
        <v>-838</v>
      </c>
      <c r="DA148" s="103">
        <f>INDEX('Income Statement'!95:95,MATCH(Interims!DA$1,'Income Statement'!$2:$2,0))</f>
        <v>-1459</v>
      </c>
      <c r="DB148" s="453">
        <f>DB150-DB146</f>
        <v>-38</v>
      </c>
      <c r="DC148" s="121">
        <f>DD148-DB148</f>
        <v>-580</v>
      </c>
      <c r="DD148" s="121">
        <f>DD150-DD146</f>
        <v>-618</v>
      </c>
      <c r="DE148" s="121">
        <f>DF148-DD148</f>
        <v>-244</v>
      </c>
      <c r="DF148" s="121">
        <f>DF150-DF146</f>
        <v>-862</v>
      </c>
      <c r="DG148" s="692">
        <f>DI148-DF148</f>
        <v>-707</v>
      </c>
      <c r="DH148" s="121">
        <f>DI148-DD148</f>
        <v>-951</v>
      </c>
      <c r="DI148" s="103">
        <f>INDEX('Income Statement'!95:95,MATCH(Interims!DI$1,'Income Statement'!$2:$2,0))</f>
        <v>-1569</v>
      </c>
      <c r="DJ148" s="453">
        <f>DJ150-DJ146</f>
        <v>-114</v>
      </c>
      <c r="DK148" s="121">
        <f>DL148-DJ148</f>
        <v>-162</v>
      </c>
      <c r="DL148" s="121">
        <f>DL150-DL146</f>
        <v>-276</v>
      </c>
      <c r="DM148" s="121">
        <f>DN148-DL148</f>
        <v>-327</v>
      </c>
      <c r="DN148" s="121">
        <f>DN150-DN146</f>
        <v>-603</v>
      </c>
      <c r="DO148" s="692">
        <f>DQ148-DN148</f>
        <v>-816</v>
      </c>
      <c r="DP148" s="121">
        <f>DQ148-DL148</f>
        <v>-1143</v>
      </c>
      <c r="DQ148" s="103">
        <f>INDEX('Income Statement'!95:95,MATCH(Interims!DQ$1,'Income Statement'!$2:$2,0))</f>
        <v>-1419</v>
      </c>
      <c r="DR148" s="453">
        <f>DR150-DR146+DR149</f>
        <v>-80</v>
      </c>
      <c r="DS148" s="121">
        <f>DT148-DR148</f>
        <v>-356</v>
      </c>
      <c r="DT148" s="121">
        <f>DT150-DT146+DT149</f>
        <v>-436</v>
      </c>
      <c r="DU148" s="121">
        <f>DV148-DT148</f>
        <v>-458</v>
      </c>
      <c r="DV148" s="121">
        <f>DV150-DV146+DV149</f>
        <v>-894</v>
      </c>
      <c r="DW148" s="692">
        <f>DX148-DU148</f>
        <v>-1020</v>
      </c>
      <c r="DX148" s="121">
        <f>DY148-DT148</f>
        <v>-1478</v>
      </c>
      <c r="DY148" s="103">
        <f>INDEX('Income Statement'!95:95, MATCH(Interims!$DY$1,'Income Statement'!$2:$2,0))</f>
        <v>-1914</v>
      </c>
      <c r="DZ148" s="453">
        <f>DZ150-DZ146+DZ149</f>
        <v>-85</v>
      </c>
      <c r="EA148" s="121">
        <f>DS148/DY148*EG148</f>
        <v>-377.66942024402061</v>
      </c>
      <c r="EB148" s="121">
        <f>EB150-EB146+EB149</f>
        <v>-738</v>
      </c>
      <c r="EC148" s="692">
        <f>ED148-EB148</f>
        <v>-210.41702724200684</v>
      </c>
      <c r="ED148" s="692">
        <f>(DV148/DY148)*EG148</f>
        <v>-948.41702724200684</v>
      </c>
      <c r="EE148" s="692">
        <f>EF148-EC148</f>
        <v>-1082.0865411485984</v>
      </c>
      <c r="EF148" s="692">
        <f>EG148-EB148</f>
        <v>-1292.5035683906053</v>
      </c>
      <c r="EG148" s="109">
        <f>INDEX('Income Statement'!95:95, MATCH(Interims!$EG$1,'Income Statement'!$2:$2,0))</f>
        <v>-2030.5035683906053</v>
      </c>
      <c r="EH148" s="802"/>
      <c r="EI148" s="87"/>
      <c r="EK148" s="803"/>
    </row>
    <row r="149" spans="1:141" s="25" customFormat="1">
      <c r="A149" s="69" t="s">
        <v>48</v>
      </c>
      <c r="B149" s="689"/>
      <c r="C149" s="689"/>
      <c r="D149" s="689"/>
      <c r="E149" s="689"/>
      <c r="F149" s="689"/>
      <c r="G149" s="689"/>
      <c r="H149" s="689"/>
      <c r="I149" s="711"/>
      <c r="J149" s="688"/>
      <c r="K149" s="689"/>
      <c r="L149" s="689"/>
      <c r="M149" s="689"/>
      <c r="N149" s="689"/>
      <c r="O149" s="689"/>
      <c r="P149" s="689"/>
      <c r="Q149" s="711"/>
      <c r="R149" s="688"/>
      <c r="S149" s="689"/>
      <c r="T149" s="689"/>
      <c r="U149" s="689"/>
      <c r="V149" s="689"/>
      <c r="W149" s="121"/>
      <c r="X149" s="121"/>
      <c r="Y149" s="711"/>
      <c r="Z149" s="688"/>
      <c r="AA149" s="689"/>
      <c r="AB149" s="689"/>
      <c r="AC149" s="689"/>
      <c r="AD149" s="689"/>
      <c r="AE149" s="121"/>
      <c r="AF149" s="121"/>
      <c r="AG149" s="103"/>
      <c r="AH149" s="688"/>
      <c r="AI149" s="689"/>
      <c r="AJ149" s="689"/>
      <c r="AK149" s="689"/>
      <c r="AL149" s="689"/>
      <c r="AM149" s="121"/>
      <c r="AN149" s="121"/>
      <c r="AO149" s="103"/>
      <c r="AP149" s="688"/>
      <c r="AQ149" s="689"/>
      <c r="AR149" s="689"/>
      <c r="AS149" s="689"/>
      <c r="AT149" s="689"/>
      <c r="AU149" s="121"/>
      <c r="AV149" s="121"/>
      <c r="AW149" s="103"/>
      <c r="AX149" s="717"/>
      <c r="AY149" s="689"/>
      <c r="AZ149" s="691"/>
      <c r="BA149" s="691"/>
      <c r="BB149" s="691"/>
      <c r="BC149" s="121"/>
      <c r="BD149" s="121"/>
      <c r="BE149" s="103"/>
      <c r="BF149" s="380"/>
      <c r="BG149" s="103"/>
      <c r="BH149" s="103"/>
      <c r="BI149" s="103"/>
      <c r="BJ149" s="103"/>
      <c r="BK149" s="103"/>
      <c r="BL149" s="103"/>
      <c r="BM149" s="103"/>
      <c r="BN149" s="709"/>
      <c r="BO149" s="691"/>
      <c r="BP149" s="691"/>
      <c r="BQ149" s="691"/>
      <c r="BR149" s="691"/>
      <c r="BS149" s="121"/>
      <c r="BT149" s="121"/>
      <c r="BU149" s="125"/>
      <c r="BV149" s="709">
        <v>-4</v>
      </c>
      <c r="BW149" s="804">
        <v>0</v>
      </c>
      <c r="BX149" s="804">
        <v>-4</v>
      </c>
      <c r="BY149" s="691">
        <f>BZ149-BX149</f>
        <v>16</v>
      </c>
      <c r="BZ149" s="804">
        <v>12</v>
      </c>
      <c r="CA149" s="121">
        <f>CC149-BZ149</f>
        <v>-12</v>
      </c>
      <c r="CB149" s="121"/>
      <c r="CC149" s="103">
        <f>'Income Statement'!O192</f>
        <v>0</v>
      </c>
      <c r="CD149" s="709">
        <v>11</v>
      </c>
      <c r="CE149" s="691">
        <f>CF149-CD149</f>
        <v>-6</v>
      </c>
      <c r="CF149" s="804">
        <v>5</v>
      </c>
      <c r="CG149" s="691">
        <f>CH149-CF149</f>
        <v>9</v>
      </c>
      <c r="CH149" s="710">
        <v>14</v>
      </c>
      <c r="CI149" s="121">
        <f>CK149-CH149</f>
        <v>-14</v>
      </c>
      <c r="CJ149" s="121">
        <f>CK149-CF149</f>
        <v>-5</v>
      </c>
      <c r="CK149" s="103">
        <f>'Income Statement'!P192</f>
        <v>0</v>
      </c>
      <c r="CL149" s="709">
        <v>16</v>
      </c>
      <c r="CM149" s="689">
        <f>CN149-CL149</f>
        <v>11</v>
      </c>
      <c r="CN149" s="805">
        <v>27</v>
      </c>
      <c r="CO149" s="691">
        <f>CP149-CN149</f>
        <v>19</v>
      </c>
      <c r="CP149" s="805">
        <v>46</v>
      </c>
      <c r="CQ149" s="121">
        <f>CS149-CP149</f>
        <v>-85</v>
      </c>
      <c r="CR149" s="121">
        <f>CS149-CN149</f>
        <v>-66</v>
      </c>
      <c r="CS149" s="103">
        <f>INDEX('Income Statement'!103:103, MATCH(Interims!CS$1,'Income Statement'!$2:$2,0))</f>
        <v>-39</v>
      </c>
      <c r="CT149" s="693">
        <v>26</v>
      </c>
      <c r="CU149" s="121">
        <f>CV149-CT149</f>
        <v>31</v>
      </c>
      <c r="CV149" s="805">
        <v>57</v>
      </c>
      <c r="CW149" s="121">
        <f>CX149-CV149</f>
        <v>33</v>
      </c>
      <c r="CX149" s="805">
        <v>90</v>
      </c>
      <c r="CY149" s="692">
        <f>DA149-CX149</f>
        <v>-201</v>
      </c>
      <c r="CZ149" s="121">
        <f>DA149-CV149</f>
        <v>-168</v>
      </c>
      <c r="DA149" s="103">
        <f>INDEX('Income Statement'!103:103, MATCH(Interims!DA$1,'Income Statement'!$2:$2,0))</f>
        <v>-111</v>
      </c>
      <c r="DB149" s="693">
        <v>28</v>
      </c>
      <c r="DC149" s="121">
        <f>DD149-DB149</f>
        <v>46</v>
      </c>
      <c r="DD149" s="805">
        <v>74</v>
      </c>
      <c r="DE149" s="121">
        <f>DF149-DD149</f>
        <v>44</v>
      </c>
      <c r="DF149" s="805">
        <v>118</v>
      </c>
      <c r="DG149" s="692">
        <f>DI149-DF149</f>
        <v>-293.5</v>
      </c>
      <c r="DH149" s="121">
        <f>DI149-DD149</f>
        <v>-249.5</v>
      </c>
      <c r="DI149" s="103">
        <f>INDEX('Income Statement'!103:103, MATCH(Interims!DI$1,'Income Statement'!$2:$2,0))</f>
        <v>-175.5</v>
      </c>
      <c r="DJ149" s="693">
        <v>43</v>
      </c>
      <c r="DK149" s="121">
        <f>DL149-DJ149</f>
        <v>49</v>
      </c>
      <c r="DL149" s="805">
        <v>92</v>
      </c>
      <c r="DM149" s="121">
        <f>DN149-DL149</f>
        <v>45</v>
      </c>
      <c r="DN149" s="805">
        <v>137</v>
      </c>
      <c r="DO149" s="692">
        <f>DQ149-DN149</f>
        <v>-291</v>
      </c>
      <c r="DP149" s="121">
        <f>DQ149-DL149</f>
        <v>-246</v>
      </c>
      <c r="DQ149" s="103">
        <f>INDEX('Income Statement'!103:103, MATCH(Interims!$DQ$1,'Income Statement'!$2:$2,0))</f>
        <v>-154</v>
      </c>
      <c r="DR149" s="693">
        <v>48</v>
      </c>
      <c r="DS149" s="121">
        <f>DT149-DR149</f>
        <v>33</v>
      </c>
      <c r="DT149" s="805">
        <v>81</v>
      </c>
      <c r="DU149" s="121">
        <f>DV149-DT149</f>
        <v>31</v>
      </c>
      <c r="DV149" s="805">
        <v>112</v>
      </c>
      <c r="DW149" s="692">
        <f>DX149-DU149</f>
        <v>-373</v>
      </c>
      <c r="DX149" s="121">
        <f>DY149-DT149</f>
        <v>-342</v>
      </c>
      <c r="DY149" s="103">
        <f>INDEX('Income Statement'!103:103, MATCH(Interims!$DY$1,'Income Statement'!$2:$2,0))</f>
        <v>-261</v>
      </c>
      <c r="DZ149" s="693">
        <v>-35</v>
      </c>
      <c r="EA149" s="121">
        <f>EB149-DZ149</f>
        <v>-29</v>
      </c>
      <c r="EB149" s="805">
        <v>-64</v>
      </c>
      <c r="EC149" s="692">
        <f>ED149-EB149</f>
        <v>176</v>
      </c>
      <c r="ED149" s="810">
        <f>(DV149/DY149)*EG149</f>
        <v>112</v>
      </c>
      <c r="EE149" s="692">
        <f>EF149-EC149</f>
        <v>-373</v>
      </c>
      <c r="EF149" s="692">
        <f>EG149-EB149</f>
        <v>-197</v>
      </c>
      <c r="EG149" s="109">
        <f>INDEX('Income Statement'!103:103, MATCH(Interims!$EG$1,'Income Statement'!$2:$2,0))</f>
        <v>-261</v>
      </c>
      <c r="EH149" s="802"/>
      <c r="EI149" s="87"/>
      <c r="EK149" s="803"/>
    </row>
    <row r="150" spans="1:141">
      <c r="A150" s="215" t="s">
        <v>322</v>
      </c>
      <c r="B150" s="206">
        <f t="shared" ref="B150:AA150" si="508">B146+B148</f>
        <v>31</v>
      </c>
      <c r="C150" s="206">
        <f t="shared" si="508"/>
        <v>45</v>
      </c>
      <c r="D150" s="206">
        <f t="shared" si="508"/>
        <v>76</v>
      </c>
      <c r="E150" s="206">
        <f t="shared" si="508"/>
        <v>183</v>
      </c>
      <c r="F150" s="206">
        <f t="shared" si="508"/>
        <v>259</v>
      </c>
      <c r="G150" s="206" t="e">
        <f t="shared" si="508"/>
        <v>#REF!</v>
      </c>
      <c r="H150" s="206" t="e">
        <f t="shared" si="508"/>
        <v>#REF!</v>
      </c>
      <c r="I150" s="210" t="e">
        <f t="shared" si="508"/>
        <v>#REF!</v>
      </c>
      <c r="J150" s="420">
        <f t="shared" si="508"/>
        <v>-20</v>
      </c>
      <c r="K150" s="206">
        <f t="shared" si="508"/>
        <v>275</v>
      </c>
      <c r="L150" s="206">
        <f t="shared" si="508"/>
        <v>255</v>
      </c>
      <c r="M150" s="206">
        <f t="shared" si="508"/>
        <v>223</v>
      </c>
      <c r="N150" s="206">
        <f t="shared" si="508"/>
        <v>478</v>
      </c>
      <c r="O150" s="206" t="e">
        <f t="shared" si="508"/>
        <v>#REF!</v>
      </c>
      <c r="P150" s="206" t="e">
        <f t="shared" si="508"/>
        <v>#REF!</v>
      </c>
      <c r="Q150" s="210" t="e">
        <f t="shared" si="508"/>
        <v>#REF!</v>
      </c>
      <c r="R150" s="420">
        <f>R146+R148-2</f>
        <v>441</v>
      </c>
      <c r="S150" s="206">
        <f t="shared" si="508"/>
        <v>545</v>
      </c>
      <c r="T150" s="206">
        <f>T146+T148-1</f>
        <v>987</v>
      </c>
      <c r="U150" s="206">
        <f t="shared" si="508"/>
        <v>421</v>
      </c>
      <c r="V150" s="206">
        <f t="shared" si="508"/>
        <v>1409</v>
      </c>
      <c r="W150" s="206"/>
      <c r="X150" s="206" t="e">
        <f t="shared" si="508"/>
        <v>#REF!</v>
      </c>
      <c r="Y150" s="210" t="e">
        <f t="shared" si="508"/>
        <v>#REF!</v>
      </c>
      <c r="Z150" s="420">
        <f>Z146+Z148+3</f>
        <v>413</v>
      </c>
      <c r="AA150" s="206">
        <f t="shared" si="508"/>
        <v>676</v>
      </c>
      <c r="AB150" s="206">
        <f>AB146+AB148-6</f>
        <v>1080</v>
      </c>
      <c r="AC150" s="206">
        <f>AD150-AB150</f>
        <v>474</v>
      </c>
      <c r="AD150" s="206">
        <f>AD146+AD148-9</f>
        <v>1554</v>
      </c>
      <c r="AE150" s="206" t="e">
        <f>AG150-AD150-9</f>
        <v>#REF!</v>
      </c>
      <c r="AF150" s="206" t="e">
        <f t="shared" si="477"/>
        <v>#REF!</v>
      </c>
      <c r="AG150" s="206" t="e">
        <f>AG146+AG148-'Income Statement'!J192</f>
        <v>#REF!</v>
      </c>
      <c r="AH150" s="420">
        <f>AH146+AH148-3</f>
        <v>351</v>
      </c>
      <c r="AI150" s="206">
        <f>AJ150-AH150</f>
        <v>804</v>
      </c>
      <c r="AJ150" s="206">
        <f>AJ146+AJ148-7</f>
        <v>1155</v>
      </c>
      <c r="AK150" s="206">
        <f>AL150-AJ150</f>
        <v>553</v>
      </c>
      <c r="AL150" s="206">
        <f>AL146+AL148-2</f>
        <v>1708</v>
      </c>
      <c r="AM150" s="206" t="e">
        <f>AO150-AL150</f>
        <v>#REF!</v>
      </c>
      <c r="AN150" s="206" t="e">
        <f t="shared" si="478"/>
        <v>#REF!</v>
      </c>
      <c r="AO150" s="206" t="e">
        <f>AO146+AO148-'Income Statement'!K192</f>
        <v>#REF!</v>
      </c>
      <c r="AP150" s="420">
        <f>AP146+AP148-3</f>
        <v>288</v>
      </c>
      <c r="AQ150" s="206">
        <f>AR150-AP150</f>
        <v>1473</v>
      </c>
      <c r="AR150" s="208">
        <v>1761</v>
      </c>
      <c r="AS150" s="206">
        <f>AT150-AR150</f>
        <v>-416</v>
      </c>
      <c r="AT150" s="206">
        <f>AT146+AT148</f>
        <v>1345</v>
      </c>
      <c r="AU150" s="206">
        <f>AW150-AT150</f>
        <v>1217</v>
      </c>
      <c r="AV150" s="206">
        <f>AW150-AR150</f>
        <v>801</v>
      </c>
      <c r="AW150" s="206">
        <f>AW146+AW148-5</f>
        <v>2562</v>
      </c>
      <c r="AX150" s="422">
        <v>93</v>
      </c>
      <c r="AY150" s="206">
        <f>AZ150-AX150</f>
        <v>545</v>
      </c>
      <c r="AZ150" s="208">
        <v>638</v>
      </c>
      <c r="BA150" s="206">
        <f>BA146+BA148</f>
        <v>430</v>
      </c>
      <c r="BB150" s="208">
        <v>1068</v>
      </c>
      <c r="BC150" s="206">
        <f>BE150-BB150</f>
        <v>1768</v>
      </c>
      <c r="BD150" s="206">
        <f>BA150+BC150</f>
        <v>2198</v>
      </c>
      <c r="BE150" s="208">
        <v>2836</v>
      </c>
      <c r="BF150" s="420"/>
      <c r="BG150" s="207"/>
      <c r="BH150" s="207"/>
      <c r="BI150" s="207"/>
      <c r="BJ150" s="207"/>
      <c r="BK150" s="207"/>
      <c r="BL150" s="207"/>
      <c r="BM150" s="206"/>
      <c r="BN150" s="422">
        <v>-47</v>
      </c>
      <c r="BO150" s="209">
        <f>BP150-BN150</f>
        <v>787</v>
      </c>
      <c r="BP150" s="208">
        <v>740</v>
      </c>
      <c r="BQ150" s="209">
        <f>BR150-BP150</f>
        <v>1052</v>
      </c>
      <c r="BR150" s="208">
        <v>1792</v>
      </c>
      <c r="BS150" s="209" t="e">
        <f>BU150-BR150</f>
        <v>#REF!</v>
      </c>
      <c r="BT150" s="209" t="e">
        <f>BQ150+BS150</f>
        <v>#REF!</v>
      </c>
      <c r="BU150" s="209" t="e">
        <f>BU146+BU148</f>
        <v>#REF!</v>
      </c>
      <c r="BV150" s="422">
        <v>362</v>
      </c>
      <c r="BW150" s="209">
        <f>BX150-BV150</f>
        <v>1388</v>
      </c>
      <c r="BX150" s="208">
        <v>1750</v>
      </c>
      <c r="BY150" s="209">
        <f>BZ150-BX150</f>
        <v>1162</v>
      </c>
      <c r="BZ150" s="208">
        <v>2912</v>
      </c>
      <c r="CA150" s="206">
        <f>CC150-BZ150</f>
        <v>4034</v>
      </c>
      <c r="CB150" s="206">
        <f>BY150+CA150</f>
        <v>5196</v>
      </c>
      <c r="CC150" s="206">
        <f>CC146+CC148-CC149</f>
        <v>6946</v>
      </c>
      <c r="CD150" s="422">
        <v>177</v>
      </c>
      <c r="CE150" s="206">
        <f>CF150-CD150</f>
        <v>-966</v>
      </c>
      <c r="CF150" s="208">
        <v>-789</v>
      </c>
      <c r="CG150" s="208">
        <v>539</v>
      </c>
      <c r="CH150" s="206">
        <f>CG150+CF150</f>
        <v>-250</v>
      </c>
      <c r="CI150" s="206">
        <f>CK150-CH150</f>
        <v>1956</v>
      </c>
      <c r="CJ150" s="206">
        <f>CG150+CI150</f>
        <v>2495</v>
      </c>
      <c r="CK150" s="206">
        <f>CK146+CK148-CK149</f>
        <v>1706</v>
      </c>
      <c r="CL150" s="718">
        <v>458</v>
      </c>
      <c r="CM150" s="713">
        <f>CN150-CL150</f>
        <v>1406</v>
      </c>
      <c r="CN150" s="719">
        <v>1864</v>
      </c>
      <c r="CO150" s="719">
        <v>456</v>
      </c>
      <c r="CP150" s="713">
        <f>CO150+CN150</f>
        <v>2320</v>
      </c>
      <c r="CQ150" s="713">
        <f>CQ146+CQ148-CQ149</f>
        <v>1169</v>
      </c>
      <c r="CR150" s="713">
        <f>CR146+CR148-CR149</f>
        <v>1560</v>
      </c>
      <c r="CS150" s="713">
        <f>CS146+CS148-CS149</f>
        <v>3397</v>
      </c>
      <c r="CT150" s="467">
        <v>892</v>
      </c>
      <c r="CU150" s="104">
        <f>CV150-CT150</f>
        <v>999</v>
      </c>
      <c r="CV150" s="154">
        <v>1891</v>
      </c>
      <c r="CW150" s="154">
        <v>600</v>
      </c>
      <c r="CX150" s="104">
        <f>CW150+CV150</f>
        <v>2491</v>
      </c>
      <c r="CY150" s="324">
        <f>CY146+CY148-CY149</f>
        <v>1654</v>
      </c>
      <c r="CZ150" s="104">
        <f>CZ146+CZ148-CZ149</f>
        <v>2221</v>
      </c>
      <c r="DA150" s="104">
        <f>DA146+DA148-DA149</f>
        <v>4055</v>
      </c>
      <c r="DB150" s="467">
        <v>569</v>
      </c>
      <c r="DC150" s="104">
        <f>DD150-DB150</f>
        <v>1376</v>
      </c>
      <c r="DD150" s="154">
        <v>1945</v>
      </c>
      <c r="DE150" s="104">
        <f>DF150-DD150</f>
        <v>824</v>
      </c>
      <c r="DF150" s="154">
        <v>2769</v>
      </c>
      <c r="DG150" s="324">
        <f>DG146+DG148-DG149</f>
        <v>1765.5</v>
      </c>
      <c r="DH150" s="104">
        <f>DH146+DH148-DH149</f>
        <v>2545.5</v>
      </c>
      <c r="DI150" s="104">
        <f>DI146+DI148-DI149</f>
        <v>4416.5</v>
      </c>
      <c r="DJ150" s="467">
        <v>467</v>
      </c>
      <c r="DK150" s="104">
        <f>DL150-DJ150</f>
        <v>620</v>
      </c>
      <c r="DL150" s="154">
        <v>1087</v>
      </c>
      <c r="DM150" s="104">
        <f>DN150-DL150</f>
        <v>1051</v>
      </c>
      <c r="DN150" s="154">
        <v>2138</v>
      </c>
      <c r="DO150" s="324">
        <f>DO146+DO148-DO149</f>
        <v>1991</v>
      </c>
      <c r="DP150" s="104">
        <f>DP146+DP148-DP149</f>
        <v>2997</v>
      </c>
      <c r="DQ150" s="104">
        <f>DQ146+DQ148-DQ149</f>
        <v>3992</v>
      </c>
      <c r="DR150" s="467">
        <v>524</v>
      </c>
      <c r="DS150" s="324">
        <f>DT150-DR150</f>
        <v>1173</v>
      </c>
      <c r="DT150" s="154">
        <v>1697</v>
      </c>
      <c r="DU150" s="104">
        <f>SUM(DU146+DU148-DU149)</f>
        <v>1436</v>
      </c>
      <c r="DV150" s="154">
        <v>3133</v>
      </c>
      <c r="DW150" s="104">
        <f>SUM(DW146+DW148-DW149)</f>
        <v>2304</v>
      </c>
      <c r="DX150" s="104">
        <f>SUM(DX146+DX148-DX149)</f>
        <v>3740</v>
      </c>
      <c r="DY150" s="104">
        <f>SUM(DY146+DY148-DY149)</f>
        <v>5437</v>
      </c>
      <c r="DZ150" s="467">
        <v>263</v>
      </c>
      <c r="EA150" s="324">
        <f>EB150-DZ150</f>
        <v>1795</v>
      </c>
      <c r="EB150" s="154">
        <v>2058</v>
      </c>
      <c r="EC150" s="324">
        <f t="shared" ref="EC150:EG150" si="509">SUM(EC146+EC148-EC149)</f>
        <v>1658.5170415082298</v>
      </c>
      <c r="ED150" s="324">
        <f t="shared" si="509"/>
        <v>3716.5170415082293</v>
      </c>
      <c r="EE150" s="324">
        <f t="shared" si="509"/>
        <v>2035.5417202419126</v>
      </c>
      <c r="EF150" s="477">
        <f t="shared" si="509"/>
        <v>3694.0587617501433</v>
      </c>
      <c r="EG150" s="738">
        <f t="shared" si="509"/>
        <v>5752.0587617501433</v>
      </c>
      <c r="EH150" s="406"/>
    </row>
    <row r="151" spans="1:141">
      <c r="A151" s="203" t="s">
        <v>323</v>
      </c>
      <c r="B151" s="216">
        <f>B150/B152*1000</f>
        <v>3.8238594692469E-2</v>
      </c>
      <c r="C151" s="216">
        <f>D151-B151</f>
        <v>5.5496232136607163E-2</v>
      </c>
      <c r="D151" s="216">
        <f>D150/D152*1000</f>
        <v>9.3734826829076162E-2</v>
      </c>
      <c r="E151" s="216">
        <f>F151-D151</f>
        <v>0.22534318270060374</v>
      </c>
      <c r="F151" s="216">
        <f>F150/F152*1000</f>
        <v>0.31907800952967991</v>
      </c>
      <c r="G151" s="216">
        <f>I151-F151</f>
        <v>-0.31907800952967991</v>
      </c>
      <c r="H151" s="216">
        <f>E151+G151</f>
        <v>-9.3734826829076162E-2</v>
      </c>
      <c r="I151" s="216">
        <f>'Income Statement'!G201</f>
        <v>0</v>
      </c>
      <c r="J151" s="423">
        <f>J150/J152*1000</f>
        <v>-2.4511085406771597E-2</v>
      </c>
      <c r="K151" s="216">
        <f>L151-J151</f>
        <v>0.33650125179972845</v>
      </c>
      <c r="L151" s="216">
        <f>L150/L152*1000</f>
        <v>0.31199016639295685</v>
      </c>
      <c r="M151" s="216">
        <f>N151-L151</f>
        <v>0.27198658185200364</v>
      </c>
      <c r="N151" s="216">
        <f>N150/N152*1000</f>
        <v>0.58397674824496049</v>
      </c>
      <c r="O151" s="216">
        <f>Q151-N151</f>
        <v>-0.58397674824496049</v>
      </c>
      <c r="P151" s="216">
        <f>M151+O151</f>
        <v>-0.31199016639295685</v>
      </c>
      <c r="Q151" s="216">
        <f>'Income Statement'!H201</f>
        <v>0</v>
      </c>
      <c r="R151" s="423">
        <f>R150/R152*1000</f>
        <v>0.53550443784002733</v>
      </c>
      <c r="S151" s="216">
        <f>T151-R151</f>
        <v>0.68903948837377449</v>
      </c>
      <c r="T151" s="216">
        <f>T150/T152*1000</f>
        <v>1.2245439262138018</v>
      </c>
      <c r="U151" s="216">
        <f>U150/U152*1000</f>
        <v>0.52838806351584477</v>
      </c>
      <c r="V151" s="216">
        <f>V150/V152*1000</f>
        <v>1.7684056567549296</v>
      </c>
      <c r="W151" s="216"/>
      <c r="X151" s="216" t="e">
        <f>X150/X152*1000</f>
        <v>#REF!</v>
      </c>
      <c r="Y151" s="216">
        <f>'Income Statement'!I201</f>
        <v>0</v>
      </c>
      <c r="Z151" s="423">
        <f>Z150/Z152*1000</f>
        <v>0.52889159059860957</v>
      </c>
      <c r="AA151" s="216">
        <f>AB151-Z151</f>
        <v>0.85215985619433865</v>
      </c>
      <c r="AB151" s="216">
        <f>AB150/AB152*1000</f>
        <v>1.3810514467929482</v>
      </c>
      <c r="AC151" s="216">
        <f>AD151-AB151</f>
        <v>0.60477257590733591</v>
      </c>
      <c r="AD151" s="216">
        <f>AD150/AD152*1000</f>
        <v>1.9858240227002841</v>
      </c>
      <c r="AE151" s="216">
        <f>AG151-AD151</f>
        <v>-1.9858240227002841</v>
      </c>
      <c r="AF151" s="216">
        <f t="shared" si="477"/>
        <v>-1.3810514467929482</v>
      </c>
      <c r="AG151" s="216">
        <f>'Income Statement'!J201</f>
        <v>0</v>
      </c>
      <c r="AH151" s="423">
        <f>AH150/AH152*1000</f>
        <v>0.44733093003877816</v>
      </c>
      <c r="AI151" s="216">
        <f>AJ151-AH151</f>
        <v>1.0227477491067036</v>
      </c>
      <c r="AJ151" s="216">
        <f>AJ150/AJ152*1000</f>
        <v>1.4700786791454818</v>
      </c>
      <c r="AK151" s="216">
        <f>AL151-AJ151</f>
        <v>0.7024248611353785</v>
      </c>
      <c r="AL151" s="216">
        <f>AL150/AL152*1000</f>
        <v>2.1725035402808603</v>
      </c>
      <c r="AM151" s="216">
        <f>AO151-AL151</f>
        <v>-2.1725035402808603</v>
      </c>
      <c r="AN151" s="216">
        <f t="shared" si="478"/>
        <v>-1.4700786791454818</v>
      </c>
      <c r="AO151" s="216">
        <f>'Income Statement'!K201</f>
        <v>0</v>
      </c>
      <c r="AP151" s="423">
        <f>AP150/AP152*1000</f>
        <v>0.37086996454927412</v>
      </c>
      <c r="AQ151" s="216">
        <f>AR151-AP151</f>
        <v>1.9010477578975125</v>
      </c>
      <c r="AR151" s="216">
        <f>AR150/AR152*1000</f>
        <v>2.2719177224467866</v>
      </c>
      <c r="AS151" s="217">
        <f>AT151-AR151</f>
        <v>-0.5366937947404109</v>
      </c>
      <c r="AT151" s="216">
        <f>AT150/AT152*1000</f>
        <v>1.7352239277063757</v>
      </c>
      <c r="AU151" s="217">
        <f>AW151-AT151</f>
        <v>-1.7352239277063757</v>
      </c>
      <c r="AV151" s="217">
        <f>AW151-AR151</f>
        <v>-2.2719177224467866</v>
      </c>
      <c r="AW151" s="217">
        <f>'Income Statement'!L201</f>
        <v>0</v>
      </c>
      <c r="AX151" s="423">
        <f>AX150/AX152*1000</f>
        <v>0.12035271903366954</v>
      </c>
      <c r="AY151" s="216">
        <f>AZ151-AX151</f>
        <v>0.7047643472953472</v>
      </c>
      <c r="AZ151" s="216">
        <f>AZ150/AZ152*1000</f>
        <v>0.82511706632901671</v>
      </c>
      <c r="BA151" s="217">
        <f>BB151-AZ151</f>
        <v>0.55611338326250348</v>
      </c>
      <c r="BB151" s="216">
        <f>BB150/BB152*1000</f>
        <v>1.3812304495915202</v>
      </c>
      <c r="BC151" s="217">
        <f>BE151-BB151</f>
        <v>2.2839048892399418</v>
      </c>
      <c r="BD151" s="217">
        <f>BA151+BC151</f>
        <v>2.8400182725024452</v>
      </c>
      <c r="BE151" s="216">
        <f>BE150/BE152*1000</f>
        <v>3.6651353388314618</v>
      </c>
      <c r="BF151" s="423"/>
      <c r="BG151" s="218"/>
      <c r="BH151" s="218"/>
      <c r="BI151" s="218"/>
      <c r="BJ151" s="218"/>
      <c r="BK151" s="218"/>
      <c r="BL151" s="218"/>
      <c r="BM151" s="216"/>
      <c r="BN151" s="436">
        <f>BN150/BN152*1000</f>
        <v>-6.0823417146048046E-2</v>
      </c>
      <c r="BO151" s="219">
        <f>BP151-BN151</f>
        <v>1.020823417146048</v>
      </c>
      <c r="BP151" s="220">
        <v>0.96</v>
      </c>
      <c r="BQ151" s="221">
        <f>BR151-BP151</f>
        <v>1.3529675695564465</v>
      </c>
      <c r="BR151" s="219">
        <f>BR150/BR152*1000</f>
        <v>2.3129675695564464</v>
      </c>
      <c r="BS151" s="221" t="e">
        <f>BU151-BR151</f>
        <v>#REF!</v>
      </c>
      <c r="BT151" s="221" t="e">
        <f>BQ151+BS151</f>
        <v>#REF!</v>
      </c>
      <c r="BU151" s="219" t="e">
        <f>BU150/BU152*1000</f>
        <v>#REF!</v>
      </c>
      <c r="BV151" s="436">
        <f>BV150/BV152*1000</f>
        <v>0.46665663750222097</v>
      </c>
      <c r="BW151" s="219">
        <f>BW150/BW152*1000</f>
        <v>1.7879890283479827</v>
      </c>
      <c r="BX151" s="219">
        <f>BX150/BX152*1000</f>
        <v>2.254308933435857</v>
      </c>
      <c r="BY151" s="217">
        <f>BZ151-BX151</f>
        <v>1.4948960342607251</v>
      </c>
      <c r="BZ151" s="216">
        <f>BZ150/BZ152*1000</f>
        <v>3.7492049676965822</v>
      </c>
      <c r="CA151" s="217" t="e">
        <f>CC151-BZ151</f>
        <v>#DIV/0!</v>
      </c>
      <c r="CB151" s="217" t="e">
        <f>BY151+CA151</f>
        <v>#DIV/0!</v>
      </c>
      <c r="CC151" s="216" t="e">
        <f>CC150/CC152*1000</f>
        <v>#DIV/0!</v>
      </c>
      <c r="CD151" s="436">
        <f>CD150/CD152*1000</f>
        <v>0.22625626316643679</v>
      </c>
      <c r="CE151" s="216">
        <f>CF151-CD151</f>
        <v>-1.23430531509394</v>
      </c>
      <c r="CF151" s="216">
        <f>CF150/CF152*1000</f>
        <v>-1.0080490519275032</v>
      </c>
      <c r="CG151" s="217">
        <f>CH151-CF151</f>
        <v>0.68876944317283795</v>
      </c>
      <c r="CH151" s="216">
        <f>CH150/CH152*1000</f>
        <v>-0.31927960875466521</v>
      </c>
      <c r="CI151" s="217" t="e">
        <f>CK151-CH151</f>
        <v>#DIV/0!</v>
      </c>
      <c r="CJ151" s="217" t="e">
        <f>CG151+CI151</f>
        <v>#DIV/0!</v>
      </c>
      <c r="CK151" s="216" t="e">
        <f>CK150/CK152*1000</f>
        <v>#DIV/0!</v>
      </c>
      <c r="CL151" s="720">
        <f>CL150/CL152*1000</f>
        <v>0.58419359656393555</v>
      </c>
      <c r="CM151" s="721">
        <f>CN151-CL151</f>
        <v>1.7907764251731053</v>
      </c>
      <c r="CN151" s="721">
        <f>CN150/CN152*1000</f>
        <v>2.3749700217370409</v>
      </c>
      <c r="CO151" s="722">
        <f>CP151-CN151</f>
        <v>0.58100124995283808</v>
      </c>
      <c r="CP151" s="721">
        <f>CP150/CP152*1000</f>
        <v>2.9559712716898789</v>
      </c>
      <c r="CQ151" s="722">
        <f>CS151-CP151</f>
        <v>1.3722332153491377</v>
      </c>
      <c r="CR151" s="722">
        <f>CO151+CQ151</f>
        <v>1.9532344653019758</v>
      </c>
      <c r="CS151" s="721">
        <f>CS150/CS152*1000</f>
        <v>4.3282044870390166</v>
      </c>
      <c r="CT151" s="694">
        <f>CT150/CT152*1000</f>
        <v>1.1350895599342399</v>
      </c>
      <c r="CU151" s="696">
        <f>CV151-CT151</f>
        <v>1.2688109085385444</v>
      </c>
      <c r="CV151" s="696">
        <f>CV150/CV152*1000</f>
        <v>2.4039004684727843</v>
      </c>
      <c r="CW151" s="696">
        <f>CX151-CV151</f>
        <v>0.75672075811295203</v>
      </c>
      <c r="CX151" s="696">
        <f>CX150/CX152*1000</f>
        <v>3.1606212265857363</v>
      </c>
      <c r="CY151" s="695">
        <f>DA151-CX151</f>
        <v>1.9844285822481296</v>
      </c>
      <c r="CZ151" s="696">
        <f>CW151+CY151</f>
        <v>2.7411493403610816</v>
      </c>
      <c r="DA151" s="696">
        <f>DA150/DA152*1000</f>
        <v>5.1450498088338659</v>
      </c>
      <c r="DB151" s="694">
        <f>DB150/DB152*1000</f>
        <v>0.72227208233822526</v>
      </c>
      <c r="DC151" s="696">
        <f>DD151-DB151</f>
        <v>1.7445822169445306</v>
      </c>
      <c r="DD151" s="696">
        <f>DD150/DD152*1000</f>
        <v>2.466854299282756</v>
      </c>
      <c r="DE151" s="696">
        <f>DF151-DD151</f>
        <v>1.0439988508893814</v>
      </c>
      <c r="DF151" s="696">
        <f>DF150/DF152*1000</f>
        <v>3.5108531501721374</v>
      </c>
      <c r="DG151" s="696">
        <f>DG150/DG152*1000</f>
        <v>2.2385017105918772</v>
      </c>
      <c r="DH151" s="696">
        <f>DE151+DG151</f>
        <v>3.2825005614812586</v>
      </c>
      <c r="DI151" s="696">
        <f>DI150/DI152*1000</f>
        <v>5.5997410392687774</v>
      </c>
      <c r="DJ151" s="694">
        <f>DJ150/DJ152*1000</f>
        <v>0.59258176604994195</v>
      </c>
      <c r="DK151" s="696">
        <f>DL151-DJ151</f>
        <v>0.78393226974764652</v>
      </c>
      <c r="DL151" s="696">
        <f>DL150/DL152*1000</f>
        <v>1.3765140357975885</v>
      </c>
      <c r="DM151" s="696">
        <f>DN151-DL151</f>
        <v>1.3289555744038168</v>
      </c>
      <c r="DN151" s="696">
        <f>DN150/DN152*1000</f>
        <v>2.7054696102014053</v>
      </c>
      <c r="DO151" s="696">
        <f>DQ151-DN151</f>
        <v>2.3460901109978507</v>
      </c>
      <c r="DP151" s="696">
        <f>DO151+DM151</f>
        <v>3.6750456854016678</v>
      </c>
      <c r="DQ151" s="696">
        <f t="shared" ref="DQ151" si="510">DQ150/DQ152*1000</f>
        <v>5.051559721199256</v>
      </c>
      <c r="DR151" s="694">
        <f>DR150/DR152*1000</f>
        <v>0.66545302089751845</v>
      </c>
      <c r="DS151" s="695">
        <f>DT151-DR151</f>
        <v>1.4846744025334948</v>
      </c>
      <c r="DT151" s="696">
        <f>DT150/DT152*1000</f>
        <v>2.1501274234310133</v>
      </c>
      <c r="DU151" s="696">
        <f>DV151-DT151</f>
        <v>1.8164492921301276</v>
      </c>
      <c r="DV151" s="696">
        <f t="shared" ref="DV151:EB151" si="511">DV150/DV152*1000</f>
        <v>3.9665767155611409</v>
      </c>
      <c r="DW151" s="696">
        <f t="shared" si="511"/>
        <v>2.9180321242736995</v>
      </c>
      <c r="DX151" s="696">
        <f t="shared" si="511"/>
        <v>4.7367361739512299</v>
      </c>
      <c r="DY151" s="696">
        <f>DY150/DY152*1000</f>
        <v>6.8859985502066428</v>
      </c>
      <c r="DZ151" s="694">
        <f t="shared" si="511"/>
        <v>0.33399645896192237</v>
      </c>
      <c r="EA151" s="695">
        <f t="shared" si="511"/>
        <v>2.2745416070048279</v>
      </c>
      <c r="EB151" s="696">
        <f t="shared" si="511"/>
        <v>2.6078031349392399</v>
      </c>
      <c r="EC151" s="695">
        <f t="shared" ref="EC151:EG151" si="512">EC150/EC152*1000</f>
        <v>2.1146191237923606</v>
      </c>
      <c r="ED151" s="695">
        <f t="shared" si="512"/>
        <v>4.7385814032556697</v>
      </c>
      <c r="EE151" s="695">
        <f t="shared" si="512"/>
        <v>2.5953278387699878</v>
      </c>
      <c r="EF151" s="811">
        <f t="shared" si="512"/>
        <v>4.7099469625623493</v>
      </c>
      <c r="EG151" s="739">
        <f t="shared" si="512"/>
        <v>7.3339092420256593</v>
      </c>
      <c r="EH151" s="611"/>
      <c r="EI151" s="16"/>
    </row>
    <row r="152" spans="1:141">
      <c r="A152" s="13" t="s">
        <v>325</v>
      </c>
      <c r="B152" s="157">
        <v>810699.24899999995</v>
      </c>
      <c r="C152" s="65">
        <f>D152</f>
        <v>810797.89199999999</v>
      </c>
      <c r="D152" s="158">
        <v>810797.89199999999</v>
      </c>
      <c r="E152" s="65">
        <f>F152</f>
        <v>811713.72600000002</v>
      </c>
      <c r="F152" s="158">
        <v>811713.72600000002</v>
      </c>
      <c r="G152" s="65">
        <f>I152</f>
        <v>0</v>
      </c>
      <c r="H152" s="65">
        <f>I152</f>
        <v>0</v>
      </c>
      <c r="I152" s="65">
        <f>'Income Statement'!G198</f>
        <v>0</v>
      </c>
      <c r="J152" s="469">
        <v>815957.33799999999</v>
      </c>
      <c r="K152" s="65">
        <f>L152</f>
        <v>817333.45299999998</v>
      </c>
      <c r="L152" s="158">
        <v>817333.45299999998</v>
      </c>
      <c r="M152" s="65">
        <f>N152</f>
        <v>818525.74</v>
      </c>
      <c r="N152" s="158">
        <v>818525.74</v>
      </c>
      <c r="O152" s="65">
        <f>Q152</f>
        <v>0</v>
      </c>
      <c r="P152" s="65">
        <f>Q152</f>
        <v>0</v>
      </c>
      <c r="Q152" s="65">
        <f>'Income Statement'!H198</f>
        <v>0</v>
      </c>
      <c r="R152" s="469">
        <v>823522.58700000006</v>
      </c>
      <c r="S152" s="65">
        <f>T152</f>
        <v>806014.36899999995</v>
      </c>
      <c r="T152" s="158">
        <v>806014.36899999995</v>
      </c>
      <c r="U152" s="64">
        <f>V152</f>
        <v>796762.88899999997</v>
      </c>
      <c r="V152" s="149">
        <v>796762.88899999997</v>
      </c>
      <c r="W152" s="64"/>
      <c r="X152" s="64">
        <f>Y152</f>
        <v>0</v>
      </c>
      <c r="Y152" s="64">
        <f>'Income Statement'!I198</f>
        <v>0</v>
      </c>
      <c r="Z152" s="387">
        <v>780878.36399999994</v>
      </c>
      <c r="AA152" s="64">
        <f>AB152</f>
        <v>782012.86600000004</v>
      </c>
      <c r="AB152" s="149">
        <v>782012.86600000004</v>
      </c>
      <c r="AC152" s="64">
        <f>AD152</f>
        <v>782546.68200000003</v>
      </c>
      <c r="AD152" s="149">
        <v>782546.68200000003</v>
      </c>
      <c r="AE152" s="64">
        <f>AG152</f>
        <v>0</v>
      </c>
      <c r="AF152" s="64">
        <f>AE152</f>
        <v>0</v>
      </c>
      <c r="AG152" s="64">
        <f>'Income Statement'!J198</f>
        <v>0</v>
      </c>
      <c r="AH152" s="387">
        <v>784653.99199999997</v>
      </c>
      <c r="AI152" s="64">
        <f>AI150/AI151*1000</f>
        <v>786117.59419880027</v>
      </c>
      <c r="AJ152" s="149">
        <v>785672.23400000005</v>
      </c>
      <c r="AK152" s="64">
        <f>AK150/AK151*1000</f>
        <v>787272.81820029451</v>
      </c>
      <c r="AL152" s="149">
        <v>786189.74300000002</v>
      </c>
      <c r="AM152" s="64" t="e">
        <f>AM150/AM151*1000</f>
        <v>#REF!</v>
      </c>
      <c r="AN152" s="64" t="e">
        <f>AM152</f>
        <v>#REF!</v>
      </c>
      <c r="AO152" s="64">
        <f>'Income Statement'!K198</f>
        <v>0</v>
      </c>
      <c r="AP152" s="387">
        <v>776552.505</v>
      </c>
      <c r="AQ152" s="64">
        <f>AR152</f>
        <v>775116.098</v>
      </c>
      <c r="AR152" s="149">
        <v>775116.098</v>
      </c>
      <c r="AS152" s="64">
        <f>AR152</f>
        <v>775116.098</v>
      </c>
      <c r="AT152" s="64">
        <f>AS152</f>
        <v>775116.098</v>
      </c>
      <c r="AU152" s="64">
        <f>AT152</f>
        <v>775116.098</v>
      </c>
      <c r="AV152" s="64">
        <f>AU152</f>
        <v>775116.098</v>
      </c>
      <c r="AW152" s="64">
        <f>'Income Statement'!L198</f>
        <v>0</v>
      </c>
      <c r="AX152" s="387">
        <v>772728.69900000002</v>
      </c>
      <c r="AY152" s="149">
        <v>773223.61399999994</v>
      </c>
      <c r="AZ152" s="64">
        <f>AY152</f>
        <v>773223.61399999994</v>
      </c>
      <c r="BA152" s="64">
        <f>AZ152</f>
        <v>773223.61399999994</v>
      </c>
      <c r="BB152" s="64">
        <f>BA152</f>
        <v>773223.61399999994</v>
      </c>
      <c r="BC152" s="64">
        <f>BB152</f>
        <v>773223.61399999994</v>
      </c>
      <c r="BD152" s="64">
        <f>BC152</f>
        <v>773223.61399999994</v>
      </c>
      <c r="BE152" s="149">
        <v>773777.70200000005</v>
      </c>
      <c r="BF152" s="392"/>
      <c r="BG152" s="64"/>
      <c r="BH152" s="64"/>
      <c r="BI152" s="64"/>
      <c r="BJ152" s="64"/>
      <c r="BK152" s="64"/>
      <c r="BL152" s="64"/>
      <c r="BM152" s="64"/>
      <c r="BN152" s="159">
        <v>772728.69900000002</v>
      </c>
      <c r="BO152" s="123">
        <f>BP152</f>
        <v>775116.098</v>
      </c>
      <c r="BP152" s="149">
        <v>775116.098</v>
      </c>
      <c r="BQ152" s="123">
        <f>BP152</f>
        <v>775116.098</v>
      </c>
      <c r="BR152" s="149">
        <v>774762.26800000004</v>
      </c>
      <c r="BS152" s="123">
        <f>BR152</f>
        <v>774762.26800000004</v>
      </c>
      <c r="BT152" s="123">
        <f>BS152</f>
        <v>774762.26800000004</v>
      </c>
      <c r="BU152" s="123">
        <f>'Income Statement'!N198</f>
        <v>0</v>
      </c>
      <c r="BV152" s="387">
        <v>775730.95700000005</v>
      </c>
      <c r="BW152" s="123">
        <f>BX152</f>
        <v>776291.11699999997</v>
      </c>
      <c r="BX152" s="149">
        <v>776291.11699999997</v>
      </c>
      <c r="BY152" s="149">
        <v>776698</v>
      </c>
      <c r="BZ152" s="149">
        <v>776698</v>
      </c>
      <c r="CA152" s="64">
        <f>BZ152</f>
        <v>776698</v>
      </c>
      <c r="CB152" s="64">
        <f>CA152</f>
        <v>776698</v>
      </c>
      <c r="CC152" s="64">
        <f>'Income Statement'!O198</f>
        <v>0</v>
      </c>
      <c r="CD152" s="387">
        <v>782298.78599999996</v>
      </c>
      <c r="CE152" s="64">
        <f>CF152</f>
        <v>782700.00699999998</v>
      </c>
      <c r="CF152" s="149">
        <v>782700.00699999998</v>
      </c>
      <c r="CG152" s="64">
        <f>CH152</f>
        <v>783012.73600000003</v>
      </c>
      <c r="CH152" s="149">
        <v>783012.73600000003</v>
      </c>
      <c r="CI152" s="64">
        <f>CH152</f>
        <v>783012.73600000003</v>
      </c>
      <c r="CJ152" s="64">
        <f>CI152</f>
        <v>783012.73600000003</v>
      </c>
      <c r="CK152" s="64">
        <f>'Income Statement'!P198</f>
        <v>0</v>
      </c>
      <c r="CL152" s="377">
        <v>783986.68299999996</v>
      </c>
      <c r="CM152" s="103">
        <f>CN152</f>
        <v>784852.01199999999</v>
      </c>
      <c r="CN152" s="150">
        <v>784852.01199999999</v>
      </c>
      <c r="CO152" s="103">
        <f>CN152</f>
        <v>784852.01199999999</v>
      </c>
      <c r="CP152" s="103">
        <f>CO152</f>
        <v>784852.01199999999</v>
      </c>
      <c r="CQ152" s="103">
        <f>CP152</f>
        <v>784852.01199999999</v>
      </c>
      <c r="CR152" s="103">
        <f>CQ152</f>
        <v>784852.01199999999</v>
      </c>
      <c r="CS152" s="103">
        <f>CR152</f>
        <v>784852.01199999999</v>
      </c>
      <c r="CT152" s="377">
        <v>785841.07499999995</v>
      </c>
      <c r="CU152" s="103">
        <f t="shared" ref="CU152:DA152" si="513">CT152</f>
        <v>785841.07499999995</v>
      </c>
      <c r="CV152" s="150">
        <v>786638.22600000002</v>
      </c>
      <c r="CW152" s="103">
        <f t="shared" si="513"/>
        <v>786638.22600000002</v>
      </c>
      <c r="CX152" s="150">
        <v>788136.19900000002</v>
      </c>
      <c r="CY152" s="125">
        <f t="shared" si="513"/>
        <v>788136.19900000002</v>
      </c>
      <c r="CZ152" s="103">
        <f t="shared" si="513"/>
        <v>788136.19900000002</v>
      </c>
      <c r="DA152" s="103">
        <f t="shared" si="513"/>
        <v>788136.19900000002</v>
      </c>
      <c r="DB152" s="377">
        <v>787791.76699999999</v>
      </c>
      <c r="DC152" s="103">
        <f t="shared" ref="DC152:DI152" si="514">DB152</f>
        <v>787791.76699999999</v>
      </c>
      <c r="DD152" s="150">
        <v>788453.53799999994</v>
      </c>
      <c r="DE152" s="103">
        <f t="shared" si="514"/>
        <v>788453.53799999994</v>
      </c>
      <c r="DF152" s="150">
        <v>788697.18599999999</v>
      </c>
      <c r="DG152" s="125">
        <f t="shared" si="514"/>
        <v>788697.18599999999</v>
      </c>
      <c r="DH152" s="103">
        <f t="shared" si="514"/>
        <v>788697.18599999999</v>
      </c>
      <c r="DI152" s="103">
        <f t="shared" si="514"/>
        <v>788697.18599999999</v>
      </c>
      <c r="DJ152" s="377">
        <v>788076.89800000004</v>
      </c>
      <c r="DK152" s="64">
        <f>DJ152</f>
        <v>788076.89800000004</v>
      </c>
      <c r="DL152" s="150">
        <v>789675.929</v>
      </c>
      <c r="DM152" s="103">
        <f>DN152</f>
        <v>790250.97600000002</v>
      </c>
      <c r="DN152" s="150">
        <v>790250.97600000002</v>
      </c>
      <c r="DO152" s="123">
        <f>DN152</f>
        <v>790250.97600000002</v>
      </c>
      <c r="DP152" s="64">
        <f>DO152</f>
        <v>790250.97600000002</v>
      </c>
      <c r="DQ152" s="64">
        <f>DP152</f>
        <v>790250.97600000002</v>
      </c>
      <c r="DR152" s="377">
        <v>787433.49800000002</v>
      </c>
      <c r="DS152" s="103">
        <f>DR152</f>
        <v>787433.49800000002</v>
      </c>
      <c r="DT152" s="150">
        <v>789255.549</v>
      </c>
      <c r="DU152" s="103">
        <f>DY152</f>
        <v>789573.21299999999</v>
      </c>
      <c r="DV152" s="150">
        <v>789849.84400000004</v>
      </c>
      <c r="DW152" s="125">
        <f>DY152</f>
        <v>789573.21299999999</v>
      </c>
      <c r="DX152" s="103">
        <f>DY152</f>
        <v>789573.21299999999</v>
      </c>
      <c r="DY152" s="103">
        <f>INDEX('Income Statement'!113:113, MATCH(Interims!$DY$1,'Income Statement'!$2:$2,0))</f>
        <v>789573.21299999999</v>
      </c>
      <c r="DZ152" s="377">
        <v>787433.49800000002</v>
      </c>
      <c r="EA152" s="103">
        <f>EB152</f>
        <v>789170</v>
      </c>
      <c r="EB152" s="150">
        <v>789170</v>
      </c>
      <c r="EC152" s="125">
        <f>EG152</f>
        <v>784310.05510526313</v>
      </c>
      <c r="ED152" s="125">
        <f>EG152</f>
        <v>784310.05510526313</v>
      </c>
      <c r="EE152" s="123">
        <f>EG152</f>
        <v>784310.05510526313</v>
      </c>
      <c r="EF152" s="123">
        <f>EG152</f>
        <v>784310.05510526313</v>
      </c>
      <c r="EG152" s="63">
        <f>INDEX('Income Statement'!113:113, MATCH(Interims!$EG$1,'Income Statement'!$2:$2,0))</f>
        <v>784310.05510526313</v>
      </c>
      <c r="EH152" s="611"/>
      <c r="EI152" s="16"/>
    </row>
    <row r="153" spans="1:141">
      <c r="B153" s="42"/>
      <c r="J153" s="369"/>
      <c r="R153" s="369"/>
      <c r="W153" s="64"/>
      <c r="X153" s="64"/>
      <c r="Z153" s="369"/>
      <c r="AD153" s="102"/>
      <c r="AE153" s="64"/>
      <c r="AF153" s="64"/>
      <c r="AG153" s="64"/>
      <c r="AH153" s="369"/>
      <c r="AL153" s="102"/>
      <c r="AM153" s="64"/>
      <c r="AN153" s="64"/>
      <c r="AO153" s="64"/>
      <c r="AP153" s="369"/>
      <c r="AQ153" s="43"/>
      <c r="AR153" s="43"/>
      <c r="AS153" s="43"/>
      <c r="AT153" s="102"/>
      <c r="AU153" s="64"/>
      <c r="AV153" s="64"/>
      <c r="AW153" s="64"/>
      <c r="AX153" s="369"/>
      <c r="AY153" s="43"/>
      <c r="AZ153" s="43"/>
      <c r="BA153" s="43"/>
      <c r="BB153" s="102"/>
      <c r="BC153" s="64"/>
      <c r="BD153" s="64"/>
      <c r="BE153" s="64"/>
      <c r="BF153" s="392"/>
      <c r="BG153" s="64"/>
      <c r="BH153" s="64"/>
      <c r="BI153" s="64"/>
      <c r="BJ153" s="64"/>
      <c r="BK153" s="64"/>
      <c r="BL153" s="64"/>
      <c r="BM153" s="64"/>
      <c r="BN153" s="408"/>
      <c r="BO153" s="122"/>
      <c r="BP153" s="122"/>
      <c r="BQ153" s="122"/>
      <c r="BR153" s="132"/>
      <c r="BS153" s="123"/>
      <c r="BT153" s="123"/>
      <c r="BU153" s="123"/>
      <c r="BV153" s="369"/>
      <c r="BW153" s="122"/>
      <c r="BX153" s="122"/>
      <c r="BY153" s="43"/>
      <c r="BZ153" s="102"/>
      <c r="CA153" s="64"/>
      <c r="CB153" s="64"/>
      <c r="CC153" s="64"/>
      <c r="CD153" s="369"/>
      <c r="CE153" s="43"/>
      <c r="CF153" s="43"/>
      <c r="CG153" s="43"/>
      <c r="CH153" s="102"/>
      <c r="CI153" s="64"/>
      <c r="CJ153" s="64"/>
      <c r="CK153" s="64"/>
      <c r="CL153" s="714"/>
      <c r="CM153" s="711"/>
      <c r="CN153" s="711"/>
      <c r="CO153" s="711"/>
      <c r="CP153" s="723"/>
      <c r="CQ153" s="103"/>
      <c r="CR153" s="103"/>
      <c r="CS153" s="103"/>
      <c r="CT153" s="380"/>
      <c r="CU153" s="103"/>
      <c r="CV153" s="103"/>
      <c r="CW153" s="103"/>
      <c r="CX153" s="103"/>
      <c r="CY153" s="125"/>
      <c r="CZ153" s="103"/>
      <c r="DA153" s="103"/>
      <c r="DB153" s="380"/>
      <c r="DC153" s="103"/>
      <c r="DD153" s="103"/>
      <c r="DE153" s="103"/>
      <c r="DF153" s="103"/>
      <c r="DG153" s="125"/>
      <c r="DH153" s="103"/>
      <c r="DI153" s="103"/>
      <c r="DJ153" s="380"/>
      <c r="DK153" s="64"/>
      <c r="DL153" s="103"/>
      <c r="DM153" s="103"/>
      <c r="DN153" s="103"/>
      <c r="DO153" s="123"/>
      <c r="DP153" s="64"/>
      <c r="DQ153" s="64"/>
      <c r="DR153" s="380"/>
      <c r="DS153" s="103"/>
      <c r="DT153" s="103"/>
      <c r="DU153" s="103"/>
      <c r="DV153" s="103"/>
      <c r="DW153" s="125"/>
      <c r="DX153" s="103"/>
      <c r="DY153" s="103"/>
      <c r="DZ153" s="380"/>
      <c r="EA153" s="103"/>
      <c r="EB153" s="103"/>
      <c r="EC153" s="103"/>
      <c r="ED153" s="103"/>
      <c r="EE153" s="123"/>
      <c r="EF153" s="64"/>
      <c r="EG153" s="63"/>
      <c r="EH153" s="611"/>
      <c r="EI153" s="16"/>
    </row>
    <row r="154" spans="1:141">
      <c r="A154" s="37" t="s">
        <v>303</v>
      </c>
      <c r="B154" s="245">
        <v>309</v>
      </c>
      <c r="C154" s="50">
        <f>D154-B154</f>
        <v>-493</v>
      </c>
      <c r="D154" s="246">
        <v>-184</v>
      </c>
      <c r="E154" s="50">
        <f>F154-D154</f>
        <v>339</v>
      </c>
      <c r="F154" s="246">
        <v>155</v>
      </c>
      <c r="G154" s="51">
        <f>I154-F154</f>
        <v>2338</v>
      </c>
      <c r="H154" s="50">
        <f>G154+E154</f>
        <v>2677</v>
      </c>
      <c r="I154" s="67">
        <f>'Cash Flow Statement'!G86</f>
        <v>2493</v>
      </c>
      <c r="J154" s="424">
        <v>-1238</v>
      </c>
      <c r="K154" s="50">
        <f>L154-J154</f>
        <v>-513</v>
      </c>
      <c r="L154" s="246">
        <v>-1751</v>
      </c>
      <c r="M154" s="50">
        <f>N154-L154</f>
        <v>-1625</v>
      </c>
      <c r="N154" s="246">
        <v>-3376</v>
      </c>
      <c r="O154" s="51">
        <f>Q154-N154</f>
        <v>4825</v>
      </c>
      <c r="P154" s="50">
        <f>O154+M154</f>
        <v>3200</v>
      </c>
      <c r="Q154" s="67">
        <f>'Cash Flow Statement'!H86</f>
        <v>1449</v>
      </c>
      <c r="R154" s="424">
        <v>-3195</v>
      </c>
      <c r="S154" s="50">
        <f>T154-R154</f>
        <v>-948</v>
      </c>
      <c r="T154" s="246">
        <v>-4143</v>
      </c>
      <c r="U154" s="50">
        <f>V154-T154</f>
        <v>-606</v>
      </c>
      <c r="V154" s="246">
        <v>-4749</v>
      </c>
      <c r="W154" s="51">
        <f>Y154-V154</f>
        <v>3905</v>
      </c>
      <c r="X154" s="51">
        <f>W154+U154</f>
        <v>3299</v>
      </c>
      <c r="Y154" s="67">
        <f>'Cash Flow Statement'!I86</f>
        <v>-844</v>
      </c>
      <c r="Z154" s="424">
        <v>-2034</v>
      </c>
      <c r="AA154" s="50">
        <f>AB154-Z154</f>
        <v>-236</v>
      </c>
      <c r="AB154" s="246">
        <v>-2270</v>
      </c>
      <c r="AC154" s="50">
        <f>AD154-AB154</f>
        <v>180</v>
      </c>
      <c r="AD154" s="246">
        <v>-2090</v>
      </c>
      <c r="AE154" s="51">
        <f>AG154-AD154</f>
        <v>3091</v>
      </c>
      <c r="AF154" s="51">
        <f>AG154-AB154</f>
        <v>3271</v>
      </c>
      <c r="AG154" s="67">
        <f>'Cash Flow Statement'!J86</f>
        <v>1001</v>
      </c>
      <c r="AH154" s="424">
        <v>-1136</v>
      </c>
      <c r="AI154" s="50">
        <f>AJ154-AH154</f>
        <v>111</v>
      </c>
      <c r="AJ154" s="246">
        <v>-1025</v>
      </c>
      <c r="AK154" s="160">
        <v>-726</v>
      </c>
      <c r="AL154" s="247">
        <f>AJ154+AK154</f>
        <v>-1751</v>
      </c>
      <c r="AM154" s="51">
        <f>AO154-AL154</f>
        <v>3076</v>
      </c>
      <c r="AN154" s="51">
        <f>AO154-AJ154</f>
        <v>2350</v>
      </c>
      <c r="AO154" s="67">
        <f>'Cash Flow Statement'!K86</f>
        <v>1325</v>
      </c>
      <c r="AP154" s="424">
        <v>-2986</v>
      </c>
      <c r="AQ154" s="50">
        <f>AR154-AP154</f>
        <v>-250</v>
      </c>
      <c r="AR154" s="246">
        <v>-3236</v>
      </c>
      <c r="AS154" s="160">
        <v>-1493</v>
      </c>
      <c r="AT154" s="247">
        <f>AR154+AS154</f>
        <v>-4729</v>
      </c>
      <c r="AU154" s="51">
        <f>AW154-AT154</f>
        <v>5885</v>
      </c>
      <c r="AV154" s="51">
        <f>AW154-AR154</f>
        <v>4392</v>
      </c>
      <c r="AW154" s="153">
        <v>1156</v>
      </c>
      <c r="AX154" s="424">
        <v>-1599</v>
      </c>
      <c r="AY154" s="50">
        <f>AZ154-AX154</f>
        <v>-948</v>
      </c>
      <c r="AZ154" s="246">
        <v>-2547</v>
      </c>
      <c r="BA154" s="160">
        <v>-1234</v>
      </c>
      <c r="BB154" s="247">
        <f>BA154+AZ154</f>
        <v>-3781</v>
      </c>
      <c r="BC154" s="51">
        <f>BE154-BB154</f>
        <v>6730</v>
      </c>
      <c r="BD154" s="51">
        <f>BE154-AZ154</f>
        <v>5496</v>
      </c>
      <c r="BE154" s="67">
        <f>'Cash Flow Statement'!M86</f>
        <v>2949</v>
      </c>
      <c r="BF154" s="388"/>
      <c r="BG154" s="119"/>
      <c r="BH154" s="119"/>
      <c r="BI154" s="119"/>
      <c r="BJ154" s="119"/>
      <c r="BK154" s="119"/>
      <c r="BL154" s="119"/>
      <c r="BM154" s="67"/>
      <c r="BN154" s="424">
        <v>-3846</v>
      </c>
      <c r="BO154" s="160">
        <v>-129</v>
      </c>
      <c r="BP154" s="247">
        <f>BN154+BO154</f>
        <v>-3975</v>
      </c>
      <c r="BQ154" s="160">
        <v>-273</v>
      </c>
      <c r="BR154" s="247">
        <f>BQ154+BP154</f>
        <v>-4248</v>
      </c>
      <c r="BS154" s="51">
        <f>BU154-BR154</f>
        <v>7160</v>
      </c>
      <c r="BT154" s="51">
        <f>BS154+BQ154</f>
        <v>6887</v>
      </c>
      <c r="BU154" s="127">
        <f>'Cash Flow Statement'!N86</f>
        <v>2912</v>
      </c>
      <c r="BV154" s="424">
        <v>-4341</v>
      </c>
      <c r="BW154" s="160">
        <v>360</v>
      </c>
      <c r="BX154" s="247">
        <f>BW154+BV154</f>
        <v>-3981</v>
      </c>
      <c r="BY154" s="161">
        <v>-904</v>
      </c>
      <c r="BZ154" s="247">
        <f>BY154+BX154</f>
        <v>-4885</v>
      </c>
      <c r="CA154" s="51">
        <f>CC154-BZ154</f>
        <v>8394</v>
      </c>
      <c r="CB154" s="51">
        <f>CC154-BX154</f>
        <v>7490</v>
      </c>
      <c r="CC154" s="67">
        <f>'Cash Flow Statement'!O86</f>
        <v>3509</v>
      </c>
      <c r="CD154" s="399">
        <v>-8030</v>
      </c>
      <c r="CE154" s="51">
        <f>CF154-CD154</f>
        <v>-4410</v>
      </c>
      <c r="CF154" s="248">
        <v>-12440</v>
      </c>
      <c r="CG154" s="162">
        <v>642</v>
      </c>
      <c r="CH154" s="249">
        <f>SUM(CF154:CG154)</f>
        <v>-11798</v>
      </c>
      <c r="CI154" s="51">
        <f>CK154-CH154</f>
        <v>4863</v>
      </c>
      <c r="CJ154" s="51">
        <f>CG154+CI154</f>
        <v>5505</v>
      </c>
      <c r="CK154" s="67">
        <f>'Cash Flow Statement'!P86</f>
        <v>-6935</v>
      </c>
      <c r="CL154" s="724">
        <v>1202</v>
      </c>
      <c r="CM154" s="725">
        <v>849</v>
      </c>
      <c r="CN154" s="726">
        <f>CL154+CM154</f>
        <v>2051</v>
      </c>
      <c r="CO154" s="725">
        <v>209</v>
      </c>
      <c r="CP154" s="698">
        <f>SUM(CN154:CO154)</f>
        <v>2260</v>
      </c>
      <c r="CQ154" s="698">
        <f>CS154-CP154</f>
        <v>1255</v>
      </c>
      <c r="CR154" s="698">
        <f>CQ154+CO154</f>
        <v>1464</v>
      </c>
      <c r="CS154" s="104">
        <f>'Cash Flow Statement'!Q86</f>
        <v>3515</v>
      </c>
      <c r="CT154" s="697">
        <v>213</v>
      </c>
      <c r="CU154" s="699">
        <v>1742</v>
      </c>
      <c r="CV154" s="698">
        <f>CT154+CU154</f>
        <v>1955</v>
      </c>
      <c r="CW154" s="699">
        <v>944</v>
      </c>
      <c r="CX154" s="698">
        <f>SUM(CV154:CW154)</f>
        <v>2899</v>
      </c>
      <c r="CY154" s="700">
        <f>DA154-CX154</f>
        <v>1781</v>
      </c>
      <c r="CZ154" s="698">
        <f>CY154+CW154</f>
        <v>2725</v>
      </c>
      <c r="DA154" s="104">
        <f>'Cash Flow Statement'!R86</f>
        <v>4680</v>
      </c>
      <c r="DB154" s="697">
        <v>-889</v>
      </c>
      <c r="DC154" s="699">
        <v>2463</v>
      </c>
      <c r="DD154" s="698">
        <f>DB154+DC154</f>
        <v>1574</v>
      </c>
      <c r="DE154" s="699">
        <v>-537</v>
      </c>
      <c r="DF154" s="698">
        <f>SUM(DD154:DE154)</f>
        <v>1037</v>
      </c>
      <c r="DG154" s="700">
        <f>DI154-DF154</f>
        <v>3495</v>
      </c>
      <c r="DH154" s="698">
        <f>DG154+DE154</f>
        <v>2958</v>
      </c>
      <c r="DI154" s="104">
        <f>INDEX('Cash Flow Statement'!86:86,MATCH(Interims!DI$1,'Income Statement'!$2:$2,0))</f>
        <v>4532</v>
      </c>
      <c r="DJ154" s="697">
        <v>-1791</v>
      </c>
      <c r="DK154" s="51">
        <f>DL154-DJ154</f>
        <v>1262</v>
      </c>
      <c r="DL154" s="699">
        <v>-529</v>
      </c>
      <c r="DM154" s="698">
        <f>DN154-DL154</f>
        <v>-316</v>
      </c>
      <c r="DN154" s="699">
        <v>-845</v>
      </c>
      <c r="DO154" s="340">
        <f>DQ154-DN154</f>
        <v>5308</v>
      </c>
      <c r="DP154" s="51">
        <f>DO154+DM154</f>
        <v>4992</v>
      </c>
      <c r="DQ154" s="67">
        <f>INDEX('Cash Flow Statement'!86:86,MATCH(Interims!DQ$1,'Income Statement'!$2:$2,0))</f>
        <v>4463</v>
      </c>
      <c r="DR154" s="697">
        <v>-310</v>
      </c>
      <c r="DS154" s="698">
        <f>DT154-DR154</f>
        <v>-1300</v>
      </c>
      <c r="DT154" s="699">
        <v>-1610</v>
      </c>
      <c r="DU154" s="698">
        <f>DV154-DT154</f>
        <v>696</v>
      </c>
      <c r="DV154" s="699">
        <v>-914</v>
      </c>
      <c r="DW154" s="340">
        <f>DY154-DV154</f>
        <v>5726</v>
      </c>
      <c r="DX154" s="51">
        <f>DW154+DU154</f>
        <v>6422</v>
      </c>
      <c r="DY154" s="67">
        <f>INDEX('Cash Flow Statement'!86:86,MATCH(Interims!DY$1,'Income Statement'!$2:$2,0))</f>
        <v>4812</v>
      </c>
      <c r="DZ154" s="697">
        <v>-2485</v>
      </c>
      <c r="EA154" s="698">
        <f>EB154-DZ154</f>
        <v>1319</v>
      </c>
      <c r="EB154" s="699">
        <v>-1166</v>
      </c>
      <c r="EC154" s="698">
        <f t="shared" ref="EC154" si="515">(DU154/$DY$154)*$EG$154</f>
        <v>682.34758420312266</v>
      </c>
      <c r="ED154" s="698">
        <f>EC154+EB154</f>
        <v>-483.65241579687734</v>
      </c>
      <c r="EE154" s="698">
        <f>EG154-ED154</f>
        <v>5201.2624376150179</v>
      </c>
      <c r="EF154" s="698">
        <f>EE154+EC154</f>
        <v>5883.6100218181409</v>
      </c>
      <c r="EG154" s="67">
        <f>INDEX('Cash Flow Statement'!86:86,MATCH(Interims!EG$1,'Income Statement'!$2:$2,0))</f>
        <v>4717.6100218181409</v>
      </c>
      <c r="EH154" s="611"/>
      <c r="EI154" s="16"/>
    </row>
    <row r="155" spans="1:141">
      <c r="B155" s="42"/>
      <c r="J155" s="369"/>
      <c r="M155" s="67"/>
      <c r="R155" s="369"/>
      <c r="W155" s="64"/>
      <c r="X155" s="64"/>
      <c r="Z155" s="369"/>
      <c r="AE155" s="64"/>
      <c r="AF155" s="64"/>
      <c r="AG155" s="64"/>
      <c r="AH155" s="425">
        <f t="shared" ref="AH155:AM155" si="516">AH154-Z154</f>
        <v>898</v>
      </c>
      <c r="AI155" s="105">
        <f t="shared" si="516"/>
        <v>347</v>
      </c>
      <c r="AJ155" s="105">
        <f t="shared" si="516"/>
        <v>1245</v>
      </c>
      <c r="AK155" s="105">
        <f t="shared" si="516"/>
        <v>-906</v>
      </c>
      <c r="AL155" s="105">
        <f t="shared" si="516"/>
        <v>339</v>
      </c>
      <c r="AM155" s="105">
        <f t="shared" si="516"/>
        <v>-15</v>
      </c>
      <c r="AN155" s="105">
        <f>AN154-AF154</f>
        <v>-921</v>
      </c>
      <c r="AO155" s="64"/>
      <c r="AP155" s="425"/>
      <c r="AQ155" s="105"/>
      <c r="AR155" s="105"/>
      <c r="AS155" s="105"/>
      <c r="AT155" s="105"/>
      <c r="AU155" s="105"/>
      <c r="AV155" s="105"/>
      <c r="AW155" s="64"/>
      <c r="AX155" s="425"/>
      <c r="AY155" s="105"/>
      <c r="AZ155" s="105"/>
      <c r="BA155" s="105"/>
      <c r="BB155" s="105"/>
      <c r="BC155" s="105"/>
      <c r="BD155" s="105"/>
      <c r="BE155" s="64"/>
      <c r="BF155" s="392"/>
      <c r="BG155" s="64"/>
      <c r="BH155" s="64"/>
      <c r="BI155" s="64"/>
      <c r="BJ155" s="64"/>
      <c r="BK155" s="64"/>
      <c r="BL155" s="64"/>
      <c r="BM155" s="64"/>
      <c r="BN155" s="447"/>
      <c r="BO155" s="133"/>
      <c r="BP155" s="133"/>
      <c r="BQ155" s="133"/>
      <c r="BR155" s="133"/>
      <c r="BS155" s="133"/>
      <c r="BT155" s="133"/>
      <c r="BU155" s="123"/>
      <c r="BV155" s="425"/>
      <c r="BW155" s="133"/>
      <c r="BX155" s="133"/>
      <c r="BY155" s="105"/>
      <c r="BZ155" s="105"/>
      <c r="CA155" s="105"/>
      <c r="CB155" s="105"/>
      <c r="CC155" s="64"/>
      <c r="CD155" s="425"/>
      <c r="CE155" s="105"/>
      <c r="CF155" s="105"/>
      <c r="CG155" s="105"/>
      <c r="CH155" s="105"/>
      <c r="CI155" s="105"/>
      <c r="CJ155" s="105"/>
      <c r="CK155" s="64"/>
      <c r="CL155" s="727"/>
      <c r="CM155" s="728"/>
      <c r="CN155" s="728"/>
      <c r="CO155" s="728"/>
      <c r="CP155" s="728"/>
      <c r="CQ155" s="728"/>
      <c r="CR155" s="728"/>
      <c r="CS155" s="103"/>
      <c r="CT155" s="701">
        <f>CT154/CT140</f>
        <v>0.16864608076009502</v>
      </c>
      <c r="CU155" s="703">
        <f>CU154/CU140</f>
        <v>1.2604920405209841</v>
      </c>
      <c r="CV155" s="703">
        <f t="shared" ref="CV155:DL155" si="517">CV154/CV140</f>
        <v>0.73913043478260865</v>
      </c>
      <c r="CW155" s="703">
        <f t="shared" si="517"/>
        <v>1.1291866028708133</v>
      </c>
      <c r="CX155" s="703">
        <f t="shared" si="517"/>
        <v>0.83280666475150822</v>
      </c>
      <c r="CY155" s="702">
        <f t="shared" si="517"/>
        <v>0.82991612301957129</v>
      </c>
      <c r="CZ155" s="703">
        <f t="shared" si="517"/>
        <v>0.91381623071763918</v>
      </c>
      <c r="DA155" s="703">
        <f t="shared" si="517"/>
        <v>0.8317042829216279</v>
      </c>
      <c r="DB155" s="701">
        <f>DB154/DB140</f>
        <v>-1.1500646830530401</v>
      </c>
      <c r="DC155" s="703">
        <f t="shared" si="517"/>
        <v>1.3349593495934959</v>
      </c>
      <c r="DD155" s="703">
        <f t="shared" si="517"/>
        <v>0.60122230710466007</v>
      </c>
      <c r="DE155" s="703">
        <f>DE154/DE140</f>
        <v>-0.53010858835143138</v>
      </c>
      <c r="DF155" s="703">
        <f>DF154/DF140</f>
        <v>0.28559625447535114</v>
      </c>
      <c r="DG155" s="702">
        <f t="shared" si="517"/>
        <v>1.583597643860444</v>
      </c>
      <c r="DH155" s="703">
        <f t="shared" si="517"/>
        <v>0.91863354037267075</v>
      </c>
      <c r="DI155" s="703">
        <f t="shared" si="517"/>
        <v>0.77629325111339498</v>
      </c>
      <c r="DJ155" s="701">
        <f t="shared" ref="DJ155:DQ155" si="518">DJ154/DJ140</f>
        <v>-3.1039861351819757</v>
      </c>
      <c r="DK155" s="302">
        <f t="shared" si="517"/>
        <v>1.5503685503685503</v>
      </c>
      <c r="DL155" s="703">
        <f t="shared" si="517"/>
        <v>-0.38030194104960457</v>
      </c>
      <c r="DM155" s="703">
        <f t="shared" si="518"/>
        <v>-0.224591329068941</v>
      </c>
      <c r="DN155" s="703">
        <f t="shared" si="518"/>
        <v>-0.3020014295925661</v>
      </c>
      <c r="DO155" s="317">
        <f t="shared" si="518"/>
        <v>2.0766823161189358</v>
      </c>
      <c r="DP155" s="302">
        <f t="shared" si="518"/>
        <v>1.259651778955337</v>
      </c>
      <c r="DQ155" s="302">
        <f t="shared" si="518"/>
        <v>0.83358236832274935</v>
      </c>
      <c r="DR155" s="701">
        <f>DR154/DR140</f>
        <v>-0.49679487179487181</v>
      </c>
      <c r="DS155" s="702">
        <f t="shared" ref="DS155:EG155" si="519">DS154/DS140</f>
        <v>-0.82278481012658233</v>
      </c>
      <c r="DT155" s="703">
        <f t="shared" si="519"/>
        <v>-0.73049001814882031</v>
      </c>
      <c r="DU155" s="703">
        <f t="shared" si="519"/>
        <v>0.35839340885684862</v>
      </c>
      <c r="DV155" s="703">
        <f t="shared" si="519"/>
        <v>-0.22045344910757356</v>
      </c>
      <c r="DW155" s="317">
        <f t="shared" si="519"/>
        <v>1.92018779342723</v>
      </c>
      <c r="DX155" s="302">
        <f t="shared" si="519"/>
        <v>1.3042242079610074</v>
      </c>
      <c r="DY155" s="302">
        <f t="shared" si="519"/>
        <v>0.67508417508417506</v>
      </c>
      <c r="DZ155" s="701">
        <f>DZ154/DZ140</f>
        <v>-8.2833333333333332</v>
      </c>
      <c r="EA155" s="702">
        <f t="shared" si="519"/>
        <v>0.54346930366707868</v>
      </c>
      <c r="EB155" s="703">
        <f t="shared" si="519"/>
        <v>-0.4275760909424276</v>
      </c>
      <c r="EC155" s="703">
        <f t="shared" si="519"/>
        <v>0.3301615380579872</v>
      </c>
      <c r="ED155" s="703">
        <f t="shared" si="519"/>
        <v>-0.10089316821545684</v>
      </c>
      <c r="EE155" s="317">
        <f t="shared" si="519"/>
        <v>1.8451298421179128</v>
      </c>
      <c r="EF155" s="302">
        <f t="shared" si="519"/>
        <v>1.2042703312371348</v>
      </c>
      <c r="EG155" s="302">
        <f t="shared" si="519"/>
        <v>0.61970892778164632</v>
      </c>
      <c r="EH155" s="406"/>
    </row>
    <row r="156" spans="1:141">
      <c r="A156" s="37" t="s">
        <v>324</v>
      </c>
      <c r="B156" s="234">
        <f>-(4958+5688+5759-2887-1346)</f>
        <v>-12172</v>
      </c>
      <c r="C156" s="67">
        <f>D156</f>
        <v>-11040</v>
      </c>
      <c r="D156" s="235">
        <f>-(5146+4219+5910-2891-1344)</f>
        <v>-11040</v>
      </c>
      <c r="E156" s="67">
        <f>F156</f>
        <v>-11399</v>
      </c>
      <c r="F156" s="247">
        <f>-(5117+4718+6280-3532-1184)</f>
        <v>-11399</v>
      </c>
      <c r="G156" s="67">
        <f>I156</f>
        <v>11681</v>
      </c>
      <c r="H156" s="67">
        <f>I156</f>
        <v>11681</v>
      </c>
      <c r="I156" s="67">
        <f>'Balance Sheet'!G65</f>
        <v>11681</v>
      </c>
      <c r="J156" s="459">
        <f>-(4580+3018+7954-3472-1406)</f>
        <v>-10674</v>
      </c>
      <c r="K156" s="67">
        <f>L156</f>
        <v>-9705</v>
      </c>
      <c r="L156" s="235">
        <f>-SUM(5244,3066,6691,-3566,-1730)</f>
        <v>-9705</v>
      </c>
      <c r="M156" s="67">
        <f>N156</f>
        <v>-8075</v>
      </c>
      <c r="N156" s="235">
        <f>-SUM(4856,2409,6428,-3519,-2099)</f>
        <v>-8075</v>
      </c>
      <c r="O156" s="67">
        <f>Q156</f>
        <v>12292</v>
      </c>
      <c r="P156" s="67">
        <f>Q156</f>
        <v>12292</v>
      </c>
      <c r="Q156" s="67">
        <f>'Balance Sheet'!H65</f>
        <v>12292</v>
      </c>
      <c r="R156" s="459">
        <f>-SUM(5863,3286,5282,-3819,-1399)</f>
        <v>-9213</v>
      </c>
      <c r="S156" s="67">
        <f>T156</f>
        <v>-5933</v>
      </c>
      <c r="T156" s="235">
        <f>-SUM(5148,3007,4479,-4509,-2192)</f>
        <v>-5933</v>
      </c>
      <c r="U156" s="68">
        <f>V156</f>
        <v>-4742</v>
      </c>
      <c r="V156" s="246">
        <v>-4742</v>
      </c>
      <c r="W156" s="67">
        <f>X156</f>
        <v>9054</v>
      </c>
      <c r="X156" s="67">
        <f>Y156</f>
        <v>9054</v>
      </c>
      <c r="Y156" s="67">
        <f>'Balance Sheet'!I65</f>
        <v>9054</v>
      </c>
      <c r="Z156" s="426">
        <v>-6457</v>
      </c>
      <c r="AA156" s="68">
        <f>AB156</f>
        <v>-5361</v>
      </c>
      <c r="AB156" s="250">
        <v>-5361</v>
      </c>
      <c r="AC156" s="68">
        <f>AD156</f>
        <v>-5346</v>
      </c>
      <c r="AD156" s="250">
        <v>-5346</v>
      </c>
      <c r="AE156" s="67">
        <f>AF156</f>
        <v>9092</v>
      </c>
      <c r="AF156" s="67">
        <f>AG156</f>
        <v>9092</v>
      </c>
      <c r="AG156" s="67">
        <f>'Balance Sheet'!J65</f>
        <v>9092</v>
      </c>
      <c r="AH156" s="426">
        <v>-9582</v>
      </c>
      <c r="AI156" s="68">
        <f>AJ156</f>
        <v>-8436</v>
      </c>
      <c r="AJ156" s="250">
        <v>-8436</v>
      </c>
      <c r="AK156" s="68">
        <f>AL156</f>
        <v>-7798</v>
      </c>
      <c r="AL156" s="250">
        <v>-7798</v>
      </c>
      <c r="AM156" s="67">
        <f>AN156</f>
        <v>10003</v>
      </c>
      <c r="AN156" s="67">
        <f>AO156</f>
        <v>10003</v>
      </c>
      <c r="AO156" s="67">
        <f>'Balance Sheet'!K65</f>
        <v>10003</v>
      </c>
      <c r="AP156" s="426">
        <v>-6438</v>
      </c>
      <c r="AQ156" s="68">
        <f>AR156</f>
        <v>-7196</v>
      </c>
      <c r="AR156" s="250">
        <v>-7196</v>
      </c>
      <c r="AS156" s="163">
        <v>5553</v>
      </c>
      <c r="AT156" s="250">
        <v>-5553</v>
      </c>
      <c r="AU156" s="67">
        <f>AV156</f>
        <v>-11113</v>
      </c>
      <c r="AV156" s="67">
        <f>AW156</f>
        <v>-11113</v>
      </c>
      <c r="AW156" s="153">
        <v>-11113</v>
      </c>
      <c r="AX156" s="459"/>
      <c r="AY156" s="68"/>
      <c r="AZ156" s="235"/>
      <c r="BA156" s="68"/>
      <c r="BB156" s="235"/>
      <c r="BC156" s="67"/>
      <c r="BD156" s="67"/>
      <c r="BE156" s="153">
        <v>-13391</v>
      </c>
      <c r="BF156" s="388"/>
      <c r="BG156" s="119"/>
      <c r="BH156" s="119"/>
      <c r="BI156" s="119"/>
      <c r="BJ156" s="119"/>
      <c r="BK156" s="119"/>
      <c r="BL156" s="119"/>
      <c r="BM156" s="67"/>
      <c r="BN156" s="426">
        <v>-9800</v>
      </c>
      <c r="BO156" s="134"/>
      <c r="BP156" s="250">
        <v>-8068</v>
      </c>
      <c r="BQ156" s="134"/>
      <c r="BR156" s="250">
        <v>-7187</v>
      </c>
      <c r="BS156" s="127"/>
      <c r="BT156" s="127"/>
      <c r="BU156" s="127">
        <f>'Balance Sheet'!N65</f>
        <v>13296</v>
      </c>
      <c r="BV156" s="426">
        <v>-7463</v>
      </c>
      <c r="BW156" s="134"/>
      <c r="BX156" s="250">
        <v>-6565</v>
      </c>
      <c r="BY156" s="68"/>
      <c r="BZ156" s="250">
        <v>-5576</v>
      </c>
      <c r="CA156" s="67"/>
      <c r="CB156" s="67"/>
      <c r="CC156" s="67">
        <f>'Balance Sheet'!O65</f>
        <v>12534</v>
      </c>
      <c r="CD156" s="437">
        <v>-3586</v>
      </c>
      <c r="CE156" s="164">
        <v>586</v>
      </c>
      <c r="CF156" s="236">
        <f>CE156</f>
        <v>586</v>
      </c>
      <c r="CG156" s="145">
        <f>CH156</f>
        <v>-242</v>
      </c>
      <c r="CH156" s="237">
        <v>-242</v>
      </c>
      <c r="CI156" s="67">
        <f>CK156</f>
        <v>4312</v>
      </c>
      <c r="CJ156" s="67">
        <f>CI156</f>
        <v>4312</v>
      </c>
      <c r="CK156" s="67">
        <f>'Balance Sheet'!P65</f>
        <v>4312</v>
      </c>
      <c r="CL156" s="729">
        <v>-5575</v>
      </c>
      <c r="CM156" s="713">
        <f>CN156</f>
        <v>-6485</v>
      </c>
      <c r="CN156" s="730">
        <v>-6485</v>
      </c>
      <c r="CO156" s="713">
        <f>CP156</f>
        <v>6733</v>
      </c>
      <c r="CP156" s="730">
        <v>6733</v>
      </c>
      <c r="CQ156" s="104"/>
      <c r="CR156" s="104"/>
      <c r="CS156" s="104">
        <f>'Balance Sheet'!Q65</f>
        <v>7740</v>
      </c>
      <c r="CT156" s="467">
        <v>-7711</v>
      </c>
      <c r="CU156" s="104">
        <f>CV156</f>
        <v>-7214</v>
      </c>
      <c r="CV156" s="154">
        <v>-7214</v>
      </c>
      <c r="CW156" s="104">
        <f>CX156</f>
        <v>-7972</v>
      </c>
      <c r="CX156" s="154">
        <v>-7972</v>
      </c>
      <c r="CY156" s="324"/>
      <c r="CZ156" s="104"/>
      <c r="DA156" s="104">
        <f>'Balance Sheet'!R65</f>
        <v>9431</v>
      </c>
      <c r="DB156" s="467">
        <v>-8359</v>
      </c>
      <c r="DC156" s="104">
        <f>DD156</f>
        <v>-9064</v>
      </c>
      <c r="DD156" s="154">
        <v>-9064</v>
      </c>
      <c r="DE156" s="104">
        <f>DF156</f>
        <v>-8315</v>
      </c>
      <c r="DF156" s="154">
        <v>-8315</v>
      </c>
      <c r="DG156" s="324">
        <f>DI156</f>
        <v>10726</v>
      </c>
      <c r="DH156" s="104">
        <f>DI156</f>
        <v>10726</v>
      </c>
      <c r="DI156" s="104">
        <f>'Balance Sheet'!S65</f>
        <v>10726</v>
      </c>
      <c r="DJ156" s="467">
        <v>-8716</v>
      </c>
      <c r="DK156" s="67">
        <f>DL156</f>
        <v>-7934</v>
      </c>
      <c r="DL156" s="154">
        <v>-7934</v>
      </c>
      <c r="DM156" s="104">
        <f>DN156</f>
        <v>-7163</v>
      </c>
      <c r="DN156" s="154">
        <v>-7163</v>
      </c>
      <c r="DO156" s="127">
        <f>DQ156</f>
        <v>11753</v>
      </c>
      <c r="DP156" s="67">
        <f>DQ156</f>
        <v>11753</v>
      </c>
      <c r="DQ156" s="67">
        <f>'Balance Sheet'!T65</f>
        <v>11753</v>
      </c>
      <c r="DR156" s="467">
        <v>-10996</v>
      </c>
      <c r="DS156" s="324">
        <f>DT156</f>
        <v>-6953</v>
      </c>
      <c r="DT156" s="154">
        <v>-6953</v>
      </c>
      <c r="DU156" s="104">
        <f>DV156</f>
        <v>-7042</v>
      </c>
      <c r="DV156" s="699">
        <v>-7042</v>
      </c>
      <c r="DW156" s="127">
        <f>DY156</f>
        <v>12171</v>
      </c>
      <c r="DX156" s="67">
        <f>DY156</f>
        <v>12171</v>
      </c>
      <c r="DY156" s="67">
        <f>'Balance Sheet'!U65</f>
        <v>12171</v>
      </c>
      <c r="DZ156" s="467"/>
      <c r="EA156" s="324"/>
      <c r="EB156" s="154"/>
      <c r="EC156" s="104"/>
      <c r="ED156" s="154"/>
      <c r="EE156" s="127"/>
      <c r="EF156" s="119"/>
      <c r="EG156" s="67">
        <f>'Balance Sheet'!V65</f>
        <v>14247.337194877458</v>
      </c>
      <c r="EH156" s="406"/>
    </row>
    <row r="157" spans="1:141">
      <c r="J157" s="76"/>
      <c r="R157" s="76"/>
      <c r="Z157" s="369"/>
      <c r="AG157" s="359"/>
      <c r="AH157" s="369"/>
      <c r="AO157" s="359"/>
      <c r="AP157" s="369"/>
      <c r="AQ157" s="43"/>
      <c r="AR157" s="43"/>
      <c r="AS157" s="43"/>
      <c r="AT157" s="43"/>
      <c r="AU157" s="43"/>
      <c r="AV157" s="43"/>
      <c r="AW157" s="359"/>
      <c r="AX157" s="369"/>
      <c r="AY157" s="43"/>
      <c r="AZ157" s="43"/>
      <c r="BA157" s="43"/>
      <c r="BB157" s="43"/>
      <c r="BC157" s="43"/>
      <c r="BD157" s="43"/>
      <c r="BE157" s="359"/>
      <c r="BF157" s="369"/>
      <c r="BG157" s="43"/>
      <c r="BH157" s="43"/>
      <c r="BI157" s="43"/>
      <c r="BJ157" s="43"/>
      <c r="BK157" s="43"/>
      <c r="BL157" s="43"/>
      <c r="BM157" s="43"/>
      <c r="BN157" s="135"/>
      <c r="BO157" s="122"/>
      <c r="BP157" s="122"/>
      <c r="BQ157" s="122"/>
      <c r="BR157" s="122"/>
      <c r="BS157" s="122"/>
      <c r="BT157" s="122"/>
      <c r="BU157" s="439"/>
      <c r="BV157" s="369"/>
      <c r="BW157" s="122"/>
      <c r="BX157" s="122"/>
      <c r="BY157" s="43"/>
      <c r="BZ157" s="43"/>
      <c r="CA157" s="43"/>
      <c r="CB157" s="43"/>
      <c r="CC157" s="359"/>
      <c r="CD157" s="369"/>
      <c r="CE157" s="43"/>
      <c r="CF157" s="43"/>
      <c r="CG157" s="43"/>
      <c r="CH157" s="43"/>
      <c r="CI157" s="43"/>
      <c r="CJ157" s="43"/>
      <c r="CK157" s="359"/>
      <c r="CL157" s="714"/>
      <c r="CM157" s="711"/>
      <c r="CN157" s="711"/>
      <c r="CO157" s="711"/>
      <c r="CP157" s="711"/>
      <c r="CQ157" s="711"/>
      <c r="CR157" s="711"/>
      <c r="CS157" s="731"/>
      <c r="CT157" s="380"/>
      <c r="CU157" s="103"/>
      <c r="CV157" s="103"/>
      <c r="CW157" s="103"/>
      <c r="CX157" s="103"/>
      <c r="CY157" s="125"/>
      <c r="CZ157" s="103"/>
      <c r="DA157" s="704"/>
      <c r="DB157" s="380"/>
      <c r="DC157" s="103"/>
      <c r="DD157" s="103"/>
      <c r="DE157" s="103"/>
      <c r="DF157" s="103"/>
      <c r="DG157" s="125"/>
      <c r="DH157" s="103"/>
      <c r="DI157" s="704"/>
      <c r="DJ157" s="380"/>
      <c r="DK157" s="64"/>
      <c r="DL157" s="103"/>
      <c r="DM157" s="103"/>
      <c r="DN157" s="103"/>
      <c r="DO157" s="123"/>
      <c r="DP157" s="64"/>
      <c r="DQ157" s="364"/>
      <c r="DR157" s="380"/>
      <c r="DS157" s="103"/>
      <c r="DT157" s="103"/>
      <c r="DU157" s="103"/>
      <c r="DV157" s="103"/>
      <c r="DW157" s="125"/>
      <c r="DX157" s="103"/>
      <c r="DY157" s="704"/>
      <c r="DZ157" s="380"/>
      <c r="EA157" s="103"/>
      <c r="EB157" s="103"/>
      <c r="EC157" s="103"/>
      <c r="ED157" s="103"/>
      <c r="EE157" s="123"/>
      <c r="EF157" s="64"/>
      <c r="EG157" s="483"/>
      <c r="EH157" s="406"/>
    </row>
    <row r="158" spans="1:141">
      <c r="A158" s="12" t="s">
        <v>360</v>
      </c>
      <c r="J158" s="396"/>
      <c r="K158" s="46"/>
      <c r="L158" s="239"/>
      <c r="M158" s="46"/>
      <c r="N158" s="239"/>
      <c r="O158" s="48"/>
      <c r="P158" s="48"/>
      <c r="Q158" s="62"/>
      <c r="R158" s="396"/>
      <c r="S158" s="46"/>
      <c r="T158" s="239"/>
      <c r="U158" s="46"/>
      <c r="V158" s="239"/>
      <c r="W158" s="48"/>
      <c r="X158" s="48"/>
      <c r="Y158" s="62"/>
      <c r="Z158" s="396"/>
      <c r="AA158" s="46"/>
      <c r="AB158" s="239"/>
      <c r="AC158" s="46"/>
      <c r="AD158" s="239"/>
      <c r="AE158" s="48"/>
      <c r="AF158" s="48"/>
      <c r="AG158" s="62"/>
      <c r="AH158" s="396"/>
      <c r="AI158" s="46"/>
      <c r="AJ158" s="239"/>
      <c r="AK158" s="46"/>
      <c r="AL158" s="239"/>
      <c r="AM158" s="48"/>
      <c r="AN158" s="48"/>
      <c r="AO158" s="62"/>
      <c r="AP158" s="396"/>
      <c r="AQ158" s="46"/>
      <c r="AR158" s="239"/>
      <c r="AS158" s="46"/>
      <c r="AT158" s="239"/>
      <c r="AU158" s="48"/>
      <c r="AV158" s="48"/>
      <c r="AW158" s="62"/>
      <c r="AX158" s="396"/>
      <c r="AY158" s="46"/>
      <c r="AZ158" s="239"/>
      <c r="BA158" s="46"/>
      <c r="BB158" s="239"/>
      <c r="BC158" s="48"/>
      <c r="BD158" s="48"/>
      <c r="BE158" s="62"/>
      <c r="BF158" s="372"/>
      <c r="BG158" s="62"/>
      <c r="BH158" s="62"/>
      <c r="BI158" s="62"/>
      <c r="BJ158" s="62"/>
      <c r="BK158" s="62"/>
      <c r="BL158" s="62"/>
      <c r="BM158" s="62"/>
      <c r="BN158" s="396"/>
      <c r="BO158" s="46"/>
      <c r="BP158" s="239"/>
      <c r="BQ158" s="46"/>
      <c r="BR158" s="239"/>
      <c r="BS158" s="48"/>
      <c r="BT158" s="48"/>
      <c r="BU158" s="62"/>
      <c r="BV158" s="396"/>
      <c r="BW158" s="46"/>
      <c r="BX158" s="239"/>
      <c r="BY158" s="46"/>
      <c r="BZ158" s="239"/>
      <c r="CA158" s="48"/>
      <c r="CB158" s="48"/>
      <c r="CC158" s="62"/>
      <c r="CD158" s="421"/>
      <c r="CE158" s="48"/>
      <c r="CF158" s="243"/>
      <c r="CG158" s="48"/>
      <c r="CH158" s="243"/>
      <c r="CI158" s="48"/>
      <c r="CJ158" s="48"/>
      <c r="CK158" s="48"/>
      <c r="CL158" s="717"/>
      <c r="CM158" s="691"/>
      <c r="CN158" s="691"/>
      <c r="CO158" s="691"/>
      <c r="CP158" s="691"/>
      <c r="CQ158" s="691"/>
      <c r="CR158" s="691"/>
      <c r="CS158" s="121"/>
      <c r="CT158" s="453"/>
      <c r="CU158" s="121"/>
      <c r="CV158" s="121"/>
      <c r="CW158" s="121"/>
      <c r="CX158" s="121"/>
      <c r="CY158" s="692"/>
      <c r="CZ158" s="121"/>
      <c r="DA158" s="121"/>
      <c r="DB158" s="453"/>
      <c r="DC158" s="121"/>
      <c r="DD158" s="121"/>
      <c r="DE158" s="121"/>
      <c r="DF158" s="121"/>
      <c r="DG158" s="692"/>
      <c r="DH158" s="121"/>
      <c r="DI158" s="121"/>
      <c r="DJ158" s="453"/>
      <c r="DK158" s="62"/>
      <c r="DL158" s="121"/>
      <c r="DM158" s="121"/>
      <c r="DN158" s="121"/>
      <c r="DO158" s="338"/>
      <c r="DP158" s="62"/>
      <c r="DQ158" s="62"/>
      <c r="DR158" s="453"/>
      <c r="DS158" s="121"/>
      <c r="DT158" s="121"/>
      <c r="DU158" s="121"/>
      <c r="DV158" s="121"/>
      <c r="DW158" s="692"/>
      <c r="DX158" s="121"/>
      <c r="DY158" s="121"/>
      <c r="DZ158" s="453"/>
      <c r="EA158" s="121"/>
      <c r="EB158" s="121"/>
      <c r="EC158" s="121"/>
      <c r="ED158" s="121"/>
      <c r="EE158" s="338"/>
      <c r="EF158" s="62"/>
      <c r="EG158" s="49"/>
      <c r="EH158" s="406"/>
    </row>
    <row r="159" spans="1:141">
      <c r="A159" s="1" t="s">
        <v>651</v>
      </c>
      <c r="J159" s="396"/>
      <c r="K159" s="46"/>
      <c r="L159" s="242">
        <v>579</v>
      </c>
      <c r="M159" s="46"/>
      <c r="N159" s="239"/>
      <c r="O159" s="48"/>
      <c r="P159" s="48">
        <f>Q159-L159</f>
        <v>618</v>
      </c>
      <c r="Q159" s="62">
        <f>'Cash Flow Statement'!H4</f>
        <v>1197</v>
      </c>
      <c r="R159" s="419">
        <v>227</v>
      </c>
      <c r="S159" s="46">
        <f>T159-R159</f>
        <v>531</v>
      </c>
      <c r="T159" s="242">
        <v>758</v>
      </c>
      <c r="U159" s="46">
        <f>V159-T159</f>
        <v>445</v>
      </c>
      <c r="V159" s="242">
        <v>1203</v>
      </c>
      <c r="W159" s="48"/>
      <c r="X159" s="48">
        <f>Y159-T159</f>
        <v>4267</v>
      </c>
      <c r="Y159" s="62">
        <f>'Cash Flow Statement'!I4</f>
        <v>5025</v>
      </c>
      <c r="Z159" s="419">
        <v>439</v>
      </c>
      <c r="AA159" s="46">
        <f t="shared" ref="AA159:AA165" si="520">AB159-Z159</f>
        <v>696</v>
      </c>
      <c r="AB159" s="242">
        <v>1135</v>
      </c>
      <c r="AC159" s="46">
        <f>AD159-AB159</f>
        <v>264</v>
      </c>
      <c r="AD159" s="242">
        <v>1399</v>
      </c>
      <c r="AE159" s="48">
        <f>AG159-AD159</f>
        <v>944</v>
      </c>
      <c r="AF159" s="48">
        <f>AG159-AB159</f>
        <v>1208</v>
      </c>
      <c r="AG159" s="62">
        <f>'Cash Flow Statement'!J4</f>
        <v>2343</v>
      </c>
      <c r="AH159" s="419">
        <v>792</v>
      </c>
      <c r="AI159" s="46">
        <f t="shared" ref="AI159:AI170" si="521">AJ159-AH159</f>
        <v>732</v>
      </c>
      <c r="AJ159" s="242">
        <v>1524</v>
      </c>
      <c r="AK159" s="46">
        <f>AL159-AJ159</f>
        <v>376</v>
      </c>
      <c r="AL159" s="242">
        <v>1900</v>
      </c>
      <c r="AM159" s="48">
        <f>AO159-AL159</f>
        <v>796</v>
      </c>
      <c r="AN159" s="48">
        <f>AO159-AJ159</f>
        <v>1172</v>
      </c>
      <c r="AO159" s="62">
        <f>'Cash Flow Statement'!K4</f>
        <v>2696</v>
      </c>
      <c r="AP159" s="419">
        <v>399</v>
      </c>
      <c r="AQ159" s="46">
        <f>AR159-AP159</f>
        <v>1362</v>
      </c>
      <c r="AR159" s="242">
        <v>1761</v>
      </c>
      <c r="AS159" s="46">
        <f>AT159-AR159</f>
        <v>50</v>
      </c>
      <c r="AT159" s="242">
        <v>1811</v>
      </c>
      <c r="AU159" s="48">
        <f>AW159-AT159</f>
        <v>-816</v>
      </c>
      <c r="AV159" s="48">
        <f>AW159-AR159</f>
        <v>-766</v>
      </c>
      <c r="AW159" s="451">
        <v>995</v>
      </c>
      <c r="AX159" s="419">
        <v>608</v>
      </c>
      <c r="AY159" s="46">
        <f>AZ159-AX159</f>
        <v>895</v>
      </c>
      <c r="AZ159" s="242">
        <v>1503</v>
      </c>
      <c r="BA159" s="46">
        <f>BB159-AZ159</f>
        <v>348</v>
      </c>
      <c r="BB159" s="242">
        <v>1851</v>
      </c>
      <c r="BC159" s="156">
        <v>-816</v>
      </c>
      <c r="BD159" s="156">
        <v>-766</v>
      </c>
      <c r="BE159" s="451">
        <v>2873</v>
      </c>
      <c r="BF159" s="372"/>
      <c r="BG159" s="62"/>
      <c r="BH159" s="62"/>
      <c r="BI159" s="62"/>
      <c r="BJ159" s="62"/>
      <c r="BK159" s="62"/>
      <c r="BL159" s="62"/>
      <c r="BM159" s="62"/>
      <c r="BN159" s="396"/>
      <c r="BO159" s="46"/>
      <c r="BP159" s="239"/>
      <c r="BQ159" s="46"/>
      <c r="BR159" s="239"/>
      <c r="BS159" s="48"/>
      <c r="BT159" s="48"/>
      <c r="BU159" s="62">
        <f>'Cash Flow Statement'!N4</f>
        <v>3054</v>
      </c>
      <c r="BV159" s="396"/>
      <c r="BW159" s="46"/>
      <c r="BX159" s="239"/>
      <c r="BY159" s="46"/>
      <c r="BZ159" s="239"/>
      <c r="CA159" s="48"/>
      <c r="CB159" s="48"/>
      <c r="CC159" s="62">
        <f>'Cash Flow Statement'!O4</f>
        <v>-1362</v>
      </c>
      <c r="CD159" s="427">
        <v>-481</v>
      </c>
      <c r="CE159" s="254">
        <f>CF159-CD159</f>
        <v>-1438</v>
      </c>
      <c r="CF159" s="255">
        <v>-1919</v>
      </c>
      <c r="CG159" s="254">
        <f>CH159-CF159</f>
        <v>-767</v>
      </c>
      <c r="CH159" s="255">
        <v>-2686</v>
      </c>
      <c r="CI159" s="254">
        <f>CK159-CH159</f>
        <v>1553</v>
      </c>
      <c r="CJ159" s="254">
        <f>CK159-CF159</f>
        <v>786</v>
      </c>
      <c r="CK159" s="254">
        <f>'Cash Flow Statement'!P4</f>
        <v>-1133</v>
      </c>
      <c r="CL159" s="732">
        <v>362</v>
      </c>
      <c r="CM159" s="417">
        <f>CN159-CL159</f>
        <v>1869</v>
      </c>
      <c r="CN159" s="733">
        <v>2231</v>
      </c>
      <c r="CO159" s="417">
        <f>CP159-CN159</f>
        <v>404</v>
      </c>
      <c r="CP159" s="733">
        <v>2635</v>
      </c>
      <c r="CQ159" s="417">
        <f>CS159-CP159</f>
        <v>1578</v>
      </c>
      <c r="CR159" s="691">
        <f>CS159-CN159</f>
        <v>1982</v>
      </c>
      <c r="CS159" s="121">
        <f>'Cash Flow Statement'!Q4</f>
        <v>4213</v>
      </c>
      <c r="CT159" s="693">
        <v>1219</v>
      </c>
      <c r="CU159" s="121">
        <f>CV159-CT159</f>
        <v>682</v>
      </c>
      <c r="CV159" s="705">
        <v>1901</v>
      </c>
      <c r="CW159" s="121">
        <f>CX159-CV159</f>
        <v>667</v>
      </c>
      <c r="CX159" s="452">
        <v>2568</v>
      </c>
      <c r="CY159" s="692">
        <f>DA159-CX159</f>
        <v>1679</v>
      </c>
      <c r="CZ159" s="121">
        <f>DA159-CV159</f>
        <v>2346</v>
      </c>
      <c r="DA159" s="121">
        <f>INDEX('Cash Flow Statement'!4:4,MATCH(Interims!DA$1,'Income Statement'!$2:$2,0))</f>
        <v>4247</v>
      </c>
      <c r="DB159" s="693">
        <v>466</v>
      </c>
      <c r="DC159" s="121">
        <f>DD159-DB159</f>
        <v>1060</v>
      </c>
      <c r="DD159" s="705">
        <v>1526</v>
      </c>
      <c r="DE159" s="121">
        <f>DF159-DD159</f>
        <v>806</v>
      </c>
      <c r="DF159" s="452">
        <v>2332</v>
      </c>
      <c r="DG159" s="692">
        <f>DI159-DF159</f>
        <v>1456.5</v>
      </c>
      <c r="DH159" s="121">
        <f>DI159-DD159</f>
        <v>2262.5</v>
      </c>
      <c r="DI159" s="121">
        <f>INDEX('Cash Flow Statement'!4:4,MATCH(Interims!DI$1,'Income Statement'!$2:$2,0))</f>
        <v>3788.5</v>
      </c>
      <c r="DJ159" s="693">
        <v>595</v>
      </c>
      <c r="DK159" s="62">
        <f>DL159-DJ159</f>
        <v>230</v>
      </c>
      <c r="DL159" s="705">
        <v>825</v>
      </c>
      <c r="DM159" s="121">
        <f>DN159-DL159</f>
        <v>983</v>
      </c>
      <c r="DN159" s="452">
        <v>1808</v>
      </c>
      <c r="DO159" s="338">
        <f>DQ159-DN159</f>
        <v>2424</v>
      </c>
      <c r="DP159" s="62">
        <f>DQ159-DL159</f>
        <v>3407</v>
      </c>
      <c r="DQ159" s="62">
        <f>INDEX('Cash Flow Statement'!4:4,MATCH(Interims!DQ$1,'Income Statement'!$2:$2,0))</f>
        <v>4232</v>
      </c>
      <c r="DR159" s="693">
        <v>793</v>
      </c>
      <c r="DS159" s="121">
        <f>DT159-DR159</f>
        <v>732</v>
      </c>
      <c r="DT159" s="705">
        <v>1525</v>
      </c>
      <c r="DU159" s="121">
        <f>DV159-DT159</f>
        <v>1116</v>
      </c>
      <c r="DV159" s="452">
        <v>2641</v>
      </c>
      <c r="DW159" s="338">
        <f>DY159-DV159</f>
        <v>2580</v>
      </c>
      <c r="DX159" s="62">
        <f>DU159+DW159</f>
        <v>3696</v>
      </c>
      <c r="DY159" s="62">
        <f>INDEX('Cash Flow Statement'!4:4,MATCH(Interims!DY$1,'Income Statement'!$2:$2,0))</f>
        <v>5221</v>
      </c>
      <c r="DZ159" s="693">
        <v>586</v>
      </c>
      <c r="EA159" s="121">
        <f>EB159-DZ159</f>
        <v>1657</v>
      </c>
      <c r="EB159" s="705">
        <v>2243</v>
      </c>
      <c r="EC159" s="121"/>
      <c r="ED159" s="452"/>
      <c r="EE159" s="338"/>
      <c r="EF159" s="62"/>
      <c r="EG159" s="49"/>
      <c r="EH159" s="406"/>
    </row>
    <row r="160" spans="1:141">
      <c r="A160" s="1" t="s">
        <v>362</v>
      </c>
      <c r="J160" s="396"/>
      <c r="K160" s="46"/>
      <c r="L160" s="242">
        <v>-1</v>
      </c>
      <c r="M160" s="46"/>
      <c r="N160" s="239"/>
      <c r="O160" s="48"/>
      <c r="P160" s="48">
        <f>Q160-L160</f>
        <v>2</v>
      </c>
      <c r="Q160" s="62">
        <f>'Cash Flow Statement'!H5</f>
        <v>1</v>
      </c>
      <c r="R160" s="419">
        <v>2</v>
      </c>
      <c r="S160" s="46">
        <f>T160-R160</f>
        <v>-1</v>
      </c>
      <c r="T160" s="242">
        <v>1</v>
      </c>
      <c r="U160" s="46">
        <f>V160-T160</f>
        <v>1</v>
      </c>
      <c r="V160" s="242">
        <v>2</v>
      </c>
      <c r="W160" s="48"/>
      <c r="X160" s="48">
        <f>Y160-T160</f>
        <v>9</v>
      </c>
      <c r="Y160" s="62">
        <f>'Cash Flow Statement'!I5</f>
        <v>10</v>
      </c>
      <c r="Z160" s="419">
        <v>-3</v>
      </c>
      <c r="AA160" s="46">
        <f t="shared" si="520"/>
        <v>9</v>
      </c>
      <c r="AB160" s="242">
        <v>6</v>
      </c>
      <c r="AC160" s="46">
        <f>AD160-AB160</f>
        <v>3</v>
      </c>
      <c r="AD160" s="242">
        <v>9</v>
      </c>
      <c r="AE160" s="48">
        <f>AG160-AD160</f>
        <v>-2</v>
      </c>
      <c r="AF160" s="48">
        <f t="shared" ref="AF160:AF171" si="522">AG160-AB160</f>
        <v>1</v>
      </c>
      <c r="AG160" s="62">
        <f>'Cash Flow Statement'!J5</f>
        <v>7</v>
      </c>
      <c r="AH160" s="419">
        <v>3</v>
      </c>
      <c r="AI160" s="46">
        <f t="shared" si="521"/>
        <v>4</v>
      </c>
      <c r="AJ160" s="242">
        <v>7</v>
      </c>
      <c r="AK160" s="46">
        <f>AL160-AJ160</f>
        <v>-5</v>
      </c>
      <c r="AL160" s="242">
        <v>2</v>
      </c>
      <c r="AM160" s="48">
        <f>AO160-AL160</f>
        <v>0</v>
      </c>
      <c r="AN160" s="48">
        <f t="shared" ref="AN160:AN171" si="523">AO160-AJ160</f>
        <v>-5</v>
      </c>
      <c r="AO160" s="62">
        <f>'Cash Flow Statement'!K5</f>
        <v>2</v>
      </c>
      <c r="AP160" s="419">
        <v>-1</v>
      </c>
      <c r="AQ160" s="46">
        <f>AR160-AP160</f>
        <v>1</v>
      </c>
      <c r="AR160" s="242">
        <v>0</v>
      </c>
      <c r="AS160" s="46">
        <f>AT160-AR160</f>
        <v>-1</v>
      </c>
      <c r="AT160" s="242">
        <v>-1</v>
      </c>
      <c r="AU160" s="48">
        <f>AW160-AT160</f>
        <v>6</v>
      </c>
      <c r="AV160" s="48">
        <f t="shared" ref="AV160:AV170" si="524">AW160-AR160</f>
        <v>5</v>
      </c>
      <c r="AW160" s="451">
        <v>5</v>
      </c>
      <c r="AX160" s="419">
        <v>1</v>
      </c>
      <c r="AY160" s="46">
        <f>AZ160-AX160</f>
        <v>-1</v>
      </c>
      <c r="AZ160" s="239"/>
      <c r="BA160" s="46">
        <f>BB160-AZ160</f>
        <v>0</v>
      </c>
      <c r="BB160" s="242">
        <v>0</v>
      </c>
      <c r="BC160" s="156">
        <v>6</v>
      </c>
      <c r="BD160" s="156">
        <v>5</v>
      </c>
      <c r="BE160" s="451">
        <v>4</v>
      </c>
      <c r="BF160" s="372"/>
      <c r="BG160" s="62"/>
      <c r="BH160" s="62"/>
      <c r="BI160" s="62"/>
      <c r="BJ160" s="62"/>
      <c r="BK160" s="62"/>
      <c r="BL160" s="62"/>
      <c r="BM160" s="62"/>
      <c r="BN160" s="396"/>
      <c r="BO160" s="46"/>
      <c r="BP160" s="239"/>
      <c r="BQ160" s="46"/>
      <c r="BR160" s="239"/>
      <c r="BS160" s="48"/>
      <c r="BT160" s="48"/>
      <c r="BU160" s="62">
        <f>'Cash Flow Statement'!N5</f>
        <v>-43</v>
      </c>
      <c r="BV160" s="396"/>
      <c r="BW160" s="46"/>
      <c r="BX160" s="239"/>
      <c r="BY160" s="46"/>
      <c r="BZ160" s="239"/>
      <c r="CA160" s="48"/>
      <c r="CB160" s="48"/>
      <c r="CC160" s="62">
        <f>'Cash Flow Statement'!O5</f>
        <v>37</v>
      </c>
      <c r="CD160" s="427">
        <v>-11</v>
      </c>
      <c r="CE160" s="254">
        <f t="shared" ref="CE160:CE170" si="525">CF160-CD160</f>
        <v>6</v>
      </c>
      <c r="CF160" s="255">
        <v>-5</v>
      </c>
      <c r="CG160" s="254">
        <f>CH160-CF160</f>
        <v>-9</v>
      </c>
      <c r="CH160" s="255">
        <v>-14</v>
      </c>
      <c r="CI160" s="254">
        <f>CK160-CH160</f>
        <v>-22</v>
      </c>
      <c r="CJ160" s="254">
        <f>CK160-CF160</f>
        <v>-31</v>
      </c>
      <c r="CK160" s="254">
        <f>'Cash Flow Statement'!P5</f>
        <v>-36</v>
      </c>
      <c r="CL160" s="732">
        <v>-16</v>
      </c>
      <c r="CM160" s="417">
        <f t="shared" ref="CM160:CM170" si="526">CN160-CL160</f>
        <v>-11</v>
      </c>
      <c r="CN160" s="733">
        <v>-27</v>
      </c>
      <c r="CO160" s="417">
        <f>CP160-CN160</f>
        <v>-19</v>
      </c>
      <c r="CP160" s="733">
        <v>-46</v>
      </c>
      <c r="CQ160" s="417">
        <f>CS160-CP160</f>
        <v>7</v>
      </c>
      <c r="CR160" s="691">
        <f>CS160-CN160</f>
        <v>-12</v>
      </c>
      <c r="CS160" s="121">
        <f>'Cash Flow Statement'!Q5</f>
        <v>-39</v>
      </c>
      <c r="CT160" s="693">
        <v>-26</v>
      </c>
      <c r="CU160" s="121">
        <f t="shared" ref="CU160:CU170" si="527">CV160-CT160</f>
        <v>-31</v>
      </c>
      <c r="CV160" s="705">
        <v>-57</v>
      </c>
      <c r="CW160" s="121">
        <f>CX160-CV160</f>
        <v>-33</v>
      </c>
      <c r="CX160" s="452">
        <v>-90</v>
      </c>
      <c r="CY160" s="692">
        <f>DA160-CX160</f>
        <v>-21</v>
      </c>
      <c r="CZ160" s="121">
        <f>DA160-CV160</f>
        <v>-54</v>
      </c>
      <c r="DA160" s="121">
        <f>INDEX('Cash Flow Statement'!5:5,MATCH(Interims!DA$1,'Income Statement'!$2:$2,0))</f>
        <v>-111</v>
      </c>
      <c r="DB160" s="693">
        <v>-28</v>
      </c>
      <c r="DC160" s="121">
        <f t="shared" ref="DC160:DC170" si="528">DD160-DB160</f>
        <v>-46</v>
      </c>
      <c r="DD160" s="705">
        <v>-74</v>
      </c>
      <c r="DE160" s="121">
        <f>DF160-DD160</f>
        <v>-44</v>
      </c>
      <c r="DF160" s="452">
        <v>-118</v>
      </c>
      <c r="DG160" s="692">
        <f>DI160-DF160</f>
        <v>-57.5</v>
      </c>
      <c r="DH160" s="121">
        <f>DI160-DD160</f>
        <v>-101.5</v>
      </c>
      <c r="DI160" s="121">
        <f>INDEX('Cash Flow Statement'!5:5,MATCH(Interims!DI$1,'Income Statement'!$2:$2,0))</f>
        <v>-175.5</v>
      </c>
      <c r="DJ160" s="693">
        <v>-43</v>
      </c>
      <c r="DK160" s="62">
        <f t="shared" ref="DK160:DK170" si="529">DL160-DJ160</f>
        <v>-49</v>
      </c>
      <c r="DL160" s="705">
        <v>-92</v>
      </c>
      <c r="DM160" s="121">
        <f>DN160-DL160</f>
        <v>-45</v>
      </c>
      <c r="DN160" s="452">
        <v>-137</v>
      </c>
      <c r="DO160" s="338">
        <f>DQ160-DN160</f>
        <v>-17</v>
      </c>
      <c r="DP160" s="62">
        <f>DQ160-DL160</f>
        <v>-62</v>
      </c>
      <c r="DQ160" s="62">
        <f>INDEX('Cash Flow Statement'!5:5,MATCH(Interims!DQ$1,'Income Statement'!$2:$2,0))</f>
        <v>-154</v>
      </c>
      <c r="DR160" s="693">
        <v>-48</v>
      </c>
      <c r="DS160" s="121">
        <f t="shared" ref="DS160:DS170" si="530">DT160-DR160</f>
        <v>-33</v>
      </c>
      <c r="DT160" s="705">
        <v>-81</v>
      </c>
      <c r="DU160" s="121">
        <f t="shared" ref="DU160:DU170" si="531">DV160-DT160</f>
        <v>-31</v>
      </c>
      <c r="DV160" s="452">
        <v>-112</v>
      </c>
      <c r="DW160" s="338">
        <f>DY160-DV160</f>
        <v>-149</v>
      </c>
      <c r="DX160" s="62">
        <f t="shared" ref="DX160:DX170" si="532">DU160+DW160</f>
        <v>-180</v>
      </c>
      <c r="DY160" s="62">
        <f>INDEX('Cash Flow Statement'!5:5,MATCH(Interims!DY$1,'Income Statement'!$2:$2,0))</f>
        <v>-261</v>
      </c>
      <c r="DZ160" s="693">
        <v>-35</v>
      </c>
      <c r="EA160" s="121">
        <f t="shared" ref="EA160:EA170" si="533">EB160-DZ160</f>
        <v>-29</v>
      </c>
      <c r="EB160" s="705">
        <v>-64</v>
      </c>
      <c r="EC160" s="121"/>
      <c r="ED160" s="452"/>
      <c r="EE160" s="338"/>
      <c r="EF160" s="62"/>
      <c r="EG160" s="49"/>
      <c r="EH160" s="406"/>
    </row>
    <row r="161" spans="1:138">
      <c r="A161" s="75" t="s">
        <v>361</v>
      </c>
      <c r="J161" s="396"/>
      <c r="K161" s="46"/>
      <c r="L161" s="239"/>
      <c r="M161" s="46"/>
      <c r="N161" s="239"/>
      <c r="O161" s="48"/>
      <c r="P161" s="48"/>
      <c r="Q161" s="62"/>
      <c r="R161" s="396"/>
      <c r="S161" s="46"/>
      <c r="T161" s="239"/>
      <c r="U161" s="46"/>
      <c r="V161" s="239"/>
      <c r="W161" s="48"/>
      <c r="X161" s="48"/>
      <c r="Y161" s="62"/>
      <c r="Z161" s="396"/>
      <c r="AA161" s="46"/>
      <c r="AB161" s="239"/>
      <c r="AC161" s="46"/>
      <c r="AD161" s="239"/>
      <c r="AE161" s="48"/>
      <c r="AF161" s="48"/>
      <c r="AG161" s="62"/>
      <c r="AH161" s="396"/>
      <c r="AI161" s="46"/>
      <c r="AJ161" s="239"/>
      <c r="AK161" s="46"/>
      <c r="AL161" s="239"/>
      <c r="AM161" s="48"/>
      <c r="AN161" s="48"/>
      <c r="AO161" s="62"/>
      <c r="AP161" s="396"/>
      <c r="AQ161" s="46"/>
      <c r="AR161" s="239"/>
      <c r="AS161" s="46"/>
      <c r="AT161" s="239"/>
      <c r="AU161" s="48"/>
      <c r="AV161" s="48"/>
      <c r="AW161" s="62"/>
      <c r="AX161" s="396"/>
      <c r="AY161" s="46"/>
      <c r="AZ161" s="233"/>
      <c r="BA161" s="46"/>
      <c r="BB161" s="239"/>
      <c r="BC161" s="48"/>
      <c r="BD161" s="48"/>
      <c r="BE161" s="62"/>
      <c r="BF161" s="372"/>
      <c r="BG161" s="62"/>
      <c r="BH161" s="62"/>
      <c r="BI161" s="62"/>
      <c r="BJ161" s="62"/>
      <c r="BK161" s="62"/>
      <c r="BL161" s="62"/>
      <c r="BM161" s="62"/>
      <c r="BN161" s="396"/>
      <c r="BO161" s="46"/>
      <c r="BP161" s="239"/>
      <c r="BQ161" s="46"/>
      <c r="BR161" s="239"/>
      <c r="BS161" s="48"/>
      <c r="BT161" s="48"/>
      <c r="BU161" s="62"/>
      <c r="BV161" s="396"/>
      <c r="BW161" s="46"/>
      <c r="BX161" s="239"/>
      <c r="BY161" s="46"/>
      <c r="BZ161" s="239"/>
      <c r="CA161" s="48"/>
      <c r="CB161" s="48"/>
      <c r="CC161" s="62"/>
      <c r="CD161" s="428"/>
      <c r="CE161" s="254">
        <f t="shared" si="525"/>
        <v>0</v>
      </c>
      <c r="CF161" s="256"/>
      <c r="CG161" s="254"/>
      <c r="CH161" s="255"/>
      <c r="CI161" s="254"/>
      <c r="CJ161" s="254"/>
      <c r="CK161" s="254"/>
      <c r="CL161" s="734"/>
      <c r="CM161" s="417">
        <f t="shared" si="526"/>
        <v>0</v>
      </c>
      <c r="CN161" s="417"/>
      <c r="CO161" s="417"/>
      <c r="CP161" s="417"/>
      <c r="CQ161" s="417"/>
      <c r="CR161" s="691"/>
      <c r="CS161" s="121"/>
      <c r="CT161" s="453"/>
      <c r="CU161" s="121">
        <f t="shared" si="527"/>
        <v>0</v>
      </c>
      <c r="CV161" s="706"/>
      <c r="CW161" s="121"/>
      <c r="CX161" s="452"/>
      <c r="CY161" s="692"/>
      <c r="CZ161" s="121"/>
      <c r="DA161" s="121"/>
      <c r="DB161" s="453"/>
      <c r="DC161" s="121">
        <f t="shared" si="528"/>
        <v>0</v>
      </c>
      <c r="DD161" s="706"/>
      <c r="DE161" s="121"/>
      <c r="DF161" s="452"/>
      <c r="DG161" s="692"/>
      <c r="DH161" s="121"/>
      <c r="DI161" s="121"/>
      <c r="DJ161" s="453"/>
      <c r="DK161" s="62">
        <f t="shared" si="529"/>
        <v>0</v>
      </c>
      <c r="DL161" s="706"/>
      <c r="DM161" s="121"/>
      <c r="DN161" s="452"/>
      <c r="DO161" s="338"/>
      <c r="DP161" s="62"/>
      <c r="DQ161" s="62"/>
      <c r="DR161" s="453"/>
      <c r="DS161" s="121">
        <f t="shared" si="530"/>
        <v>0</v>
      </c>
      <c r="DT161" s="706"/>
      <c r="DU161" s="121">
        <f t="shared" si="531"/>
        <v>0</v>
      </c>
      <c r="DV161" s="452"/>
      <c r="DW161" s="338"/>
      <c r="DX161" s="62"/>
      <c r="DY161" s="62"/>
      <c r="DZ161" s="453"/>
      <c r="EA161" s="121">
        <f t="shared" si="533"/>
        <v>0</v>
      </c>
      <c r="EB161" s="706"/>
      <c r="EC161" s="121"/>
      <c r="ED161" s="452"/>
      <c r="EE161" s="338"/>
      <c r="EF161" s="62"/>
      <c r="EG161" s="49"/>
      <c r="EH161" s="406"/>
    </row>
    <row r="162" spans="1:138">
      <c r="A162" s="1" t="s">
        <v>363</v>
      </c>
      <c r="J162" s="396"/>
      <c r="K162" s="46"/>
      <c r="L162" s="242">
        <v>913</v>
      </c>
      <c r="M162" s="46"/>
      <c r="N162" s="239"/>
      <c r="O162" s="48"/>
      <c r="P162" s="48">
        <f t="shared" ref="P162:P171" si="534">Q162-L162</f>
        <v>1140</v>
      </c>
      <c r="Q162" s="62">
        <f>'Cash Flow Statement'!H12+'Cash Flow Statement'!H14</f>
        <v>2053</v>
      </c>
      <c r="R162" s="419">
        <v>434</v>
      </c>
      <c r="S162" s="46">
        <f t="shared" ref="S162:S170" si="535">T162-R162</f>
        <v>442</v>
      </c>
      <c r="T162" s="242">
        <v>876</v>
      </c>
      <c r="U162" s="46">
        <f t="shared" ref="U162:U171" si="536">V162-T162</f>
        <v>464</v>
      </c>
      <c r="V162" s="242">
        <v>1340</v>
      </c>
      <c r="W162" s="48"/>
      <c r="X162" s="48">
        <f t="shared" ref="X162:X171" si="537">Y162-T162</f>
        <v>1092</v>
      </c>
      <c r="Y162" s="62">
        <f>'Cash Flow Statement'!I12+'Cash Flow Statement'!I14</f>
        <v>1968</v>
      </c>
      <c r="Z162" s="419">
        <v>471</v>
      </c>
      <c r="AA162" s="46">
        <f t="shared" si="520"/>
        <v>483</v>
      </c>
      <c r="AB162" s="242">
        <v>954</v>
      </c>
      <c r="AC162" s="46">
        <f>AD162-AB162</f>
        <v>514</v>
      </c>
      <c r="AD162" s="242">
        <v>1468</v>
      </c>
      <c r="AE162" s="48">
        <f t="shared" ref="AE162:AE171" si="538">AG162-AD162</f>
        <v>682</v>
      </c>
      <c r="AF162" s="48">
        <f t="shared" si="522"/>
        <v>1196</v>
      </c>
      <c r="AG162" s="62">
        <f>'Cash Flow Statement'!J12+'Cash Flow Statement'!J14</f>
        <v>2150</v>
      </c>
      <c r="AH162" s="419">
        <v>525</v>
      </c>
      <c r="AI162" s="46">
        <f t="shared" si="521"/>
        <v>560</v>
      </c>
      <c r="AJ162" s="242">
        <v>1085</v>
      </c>
      <c r="AK162" s="46">
        <f>AL162-AJ162</f>
        <v>567</v>
      </c>
      <c r="AL162" s="242">
        <v>1652</v>
      </c>
      <c r="AM162" s="48">
        <f t="shared" ref="AM162:AM171" si="539">AO162-AL162</f>
        <v>814</v>
      </c>
      <c r="AN162" s="48">
        <f t="shared" si="523"/>
        <v>1381</v>
      </c>
      <c r="AO162" s="62">
        <f>'Cash Flow Statement'!K12+'Cash Flow Statement'!K14</f>
        <v>2466</v>
      </c>
      <c r="AP162" s="396">
        <f>AP142</f>
        <v>512</v>
      </c>
      <c r="AQ162" s="46">
        <f>AR162-AP162</f>
        <v>561</v>
      </c>
      <c r="AR162" s="238">
        <f>AR142</f>
        <v>1073</v>
      </c>
      <c r="AS162" s="46">
        <f>AT162-AR162</f>
        <v>507</v>
      </c>
      <c r="AT162" s="242">
        <v>1580</v>
      </c>
      <c r="AU162" s="48">
        <f t="shared" ref="AU162:AU171" si="540">AW162-AT162</f>
        <v>714</v>
      </c>
      <c r="AV162" s="48">
        <f t="shared" si="524"/>
        <v>1221</v>
      </c>
      <c r="AW162" s="62">
        <f>AW142</f>
        <v>2294</v>
      </c>
      <c r="AX162" s="419">
        <v>551</v>
      </c>
      <c r="AY162" s="46">
        <f>AZ162-AX162</f>
        <v>535</v>
      </c>
      <c r="AZ162" s="242">
        <v>1086</v>
      </c>
      <c r="BA162" s="46">
        <f t="shared" ref="BA162:BA171" si="541">BB162-AZ162</f>
        <v>517</v>
      </c>
      <c r="BB162" s="242">
        <v>1603</v>
      </c>
      <c r="BC162" s="156">
        <v>714</v>
      </c>
      <c r="BD162" s="156">
        <v>1221</v>
      </c>
      <c r="BE162" s="62">
        <f>BE142</f>
        <v>2298</v>
      </c>
      <c r="BF162" s="372"/>
      <c r="BG162" s="62"/>
      <c r="BH162" s="62"/>
      <c r="BI162" s="62"/>
      <c r="BJ162" s="62"/>
      <c r="BK162" s="62"/>
      <c r="BL162" s="62"/>
      <c r="BM162" s="62"/>
      <c r="BN162" s="396"/>
      <c r="BO162" s="46"/>
      <c r="BP162" s="239"/>
      <c r="BQ162" s="46"/>
      <c r="BR162" s="239"/>
      <c r="BS162" s="48"/>
      <c r="BT162" s="48"/>
      <c r="BU162" s="62">
        <f>'Cash Flow Statement'!N12+'Cash Flow Statement'!N14</f>
        <v>2444</v>
      </c>
      <c r="BV162" s="396"/>
      <c r="BW162" s="46"/>
      <c r="BX162" s="239"/>
      <c r="BY162" s="46"/>
      <c r="BZ162" s="239"/>
      <c r="CA162" s="48"/>
      <c r="CB162" s="48"/>
      <c r="CC162" s="62">
        <f>'Cash Flow Statement'!O12+'Cash Flow Statement'!O14</f>
        <v>2927</v>
      </c>
      <c r="CD162" s="427">
        <v>828</v>
      </c>
      <c r="CE162" s="254">
        <f t="shared" si="525"/>
        <v>593</v>
      </c>
      <c r="CF162" s="255">
        <v>1421</v>
      </c>
      <c r="CG162" s="254">
        <f t="shared" ref="CG162:CG170" si="542">CH162-CF162</f>
        <v>623</v>
      </c>
      <c r="CH162" s="255">
        <v>2044</v>
      </c>
      <c r="CI162" s="254">
        <f t="shared" ref="CI162:CI170" si="543">CK162-CH162</f>
        <v>787</v>
      </c>
      <c r="CJ162" s="254">
        <f t="shared" ref="CJ162:CJ170" si="544">CK162-CF162</f>
        <v>1410</v>
      </c>
      <c r="CK162" s="254">
        <f>'Cash Flow Statement'!P12+'Cash Flow Statement'!P14</f>
        <v>2831</v>
      </c>
      <c r="CL162" s="732">
        <v>597</v>
      </c>
      <c r="CM162" s="417">
        <f t="shared" si="526"/>
        <v>454</v>
      </c>
      <c r="CN162" s="733">
        <v>1051</v>
      </c>
      <c r="CO162" s="417">
        <f t="shared" ref="CO162:CO170" si="545">CP162-CN162</f>
        <v>590</v>
      </c>
      <c r="CP162" s="733">
        <v>1641</v>
      </c>
      <c r="CQ162" s="417">
        <f t="shared" ref="CQ162:CQ170" si="546">CS162-CP162</f>
        <v>684</v>
      </c>
      <c r="CR162" s="691">
        <f t="shared" ref="CR162:CR170" si="547">CS162-CN162</f>
        <v>1274</v>
      </c>
      <c r="CS162" s="121">
        <f>'Cash Flow Statement'!Q12+'Cash Flow Statement'!Q14</f>
        <v>2325</v>
      </c>
      <c r="CT162" s="693">
        <v>585</v>
      </c>
      <c r="CU162" s="121">
        <f t="shared" si="527"/>
        <v>571</v>
      </c>
      <c r="CV162" s="705">
        <v>1156</v>
      </c>
      <c r="CW162" s="121">
        <f t="shared" ref="CW162:CW170" si="548">CX162-CV162</f>
        <v>484</v>
      </c>
      <c r="CX162" s="452">
        <v>1640</v>
      </c>
      <c r="CY162" s="692">
        <f t="shared" ref="CY162:CY170" si="549">DA162-CX162</f>
        <v>1076</v>
      </c>
      <c r="CZ162" s="121">
        <f t="shared" ref="CZ162:CZ170" si="550">DA162-CV162</f>
        <v>1560</v>
      </c>
      <c r="DA162" s="121">
        <f>INDEX('Cash Flow Statement'!12:12,MATCH(Interims!DA$1,'Income Statement'!$2:$2,0))+INDEX('Cash Flow Statement'!14:14,MATCH(Interims!DA$1,'Income Statement'!$2:$2,0))</f>
        <v>2716</v>
      </c>
      <c r="DB162" s="693">
        <v>495</v>
      </c>
      <c r="DC162" s="121">
        <f t="shared" si="528"/>
        <v>547</v>
      </c>
      <c r="DD162" s="705">
        <v>1042</v>
      </c>
      <c r="DE162" s="121">
        <f t="shared" ref="DE162:DE170" si="551">DF162-DD162</f>
        <v>567</v>
      </c>
      <c r="DF162" s="452">
        <v>1609</v>
      </c>
      <c r="DG162" s="692">
        <f t="shared" ref="DG162:DG170" si="552">DI162-DF162</f>
        <v>633</v>
      </c>
      <c r="DH162" s="121">
        <f t="shared" ref="DH162:DH170" si="553">DI162-DD162</f>
        <v>1200</v>
      </c>
      <c r="DI162" s="121">
        <f>INDEX('Cash Flow Statement'!12:12,MATCH(Interims!DI$1,'Income Statement'!$2:$2,0))+INDEX('Cash Flow Statement'!14:14,MATCH(Interims!DI$1,'Income Statement'!$2:$2,0))</f>
        <v>2242</v>
      </c>
      <c r="DJ162" s="693">
        <v>513</v>
      </c>
      <c r="DK162" s="62">
        <f t="shared" si="529"/>
        <v>786</v>
      </c>
      <c r="DL162" s="705">
        <v>1299</v>
      </c>
      <c r="DM162" s="121">
        <f t="shared" ref="DM162:DM170" si="554">DN162-DL162</f>
        <v>565</v>
      </c>
      <c r="DN162" s="452">
        <v>1864</v>
      </c>
      <c r="DO162" s="338">
        <f t="shared" ref="DO162:DO170" si="555">DQ162-DN162</f>
        <v>989</v>
      </c>
      <c r="DP162" s="62">
        <f t="shared" ref="DP162:DP170" si="556">DQ162-DL162</f>
        <v>1554</v>
      </c>
      <c r="DQ162" s="62">
        <f>INDEX('Cash Flow Statement'!12:12,MATCH(Interims!DQ$1,'Income Statement'!$2:$2,0))+INDEX('Cash Flow Statement'!14:14,MATCH(Interims!DQ$1,'Income Statement'!$2:$2,0))</f>
        <v>2853</v>
      </c>
      <c r="DR162" s="693">
        <v>626</v>
      </c>
      <c r="DS162" s="121">
        <f t="shared" si="530"/>
        <v>636</v>
      </c>
      <c r="DT162" s="705">
        <v>1262</v>
      </c>
      <c r="DU162" s="121">
        <f t="shared" si="531"/>
        <v>653</v>
      </c>
      <c r="DV162" s="452">
        <v>1915</v>
      </c>
      <c r="DW162" s="338">
        <f>DY162-DV162</f>
        <v>1218</v>
      </c>
      <c r="DX162" s="62">
        <f t="shared" si="532"/>
        <v>1871</v>
      </c>
      <c r="DY162" s="62">
        <f>INDEX('Cash Flow Statement'!12:12,MATCH(Interims!DY$1,'Income Statement'!$2:$2,0))+INDEX('Cash Flow Statement'!14:14,MATCH(Interims!DY$1,'Income Statement'!$2:$2,0))</f>
        <v>3133</v>
      </c>
      <c r="DZ162" s="693">
        <v>686</v>
      </c>
      <c r="EA162" s="121">
        <f t="shared" si="533"/>
        <v>656</v>
      </c>
      <c r="EB162" s="705">
        <v>1342</v>
      </c>
      <c r="EC162" s="121"/>
      <c r="ED162" s="452"/>
      <c r="EE162" s="338"/>
      <c r="EF162" s="62"/>
      <c r="EG162" s="49"/>
      <c r="EH162" s="406"/>
    </row>
    <row r="163" spans="1:138">
      <c r="A163" s="1" t="s">
        <v>156</v>
      </c>
      <c r="J163" s="396"/>
      <c r="K163" s="46"/>
      <c r="L163" s="242">
        <v>242</v>
      </c>
      <c r="M163" s="46"/>
      <c r="N163" s="239"/>
      <c r="O163" s="48"/>
      <c r="P163" s="48">
        <f t="shared" si="534"/>
        <v>76</v>
      </c>
      <c r="Q163" s="62">
        <f>'Cash Flow Statement'!H16</f>
        <v>318</v>
      </c>
      <c r="R163" s="419">
        <v>17</v>
      </c>
      <c r="S163" s="46">
        <f t="shared" si="535"/>
        <v>326</v>
      </c>
      <c r="T163" s="242">
        <v>343</v>
      </c>
      <c r="U163" s="46">
        <f t="shared" si="536"/>
        <v>41</v>
      </c>
      <c r="V163" s="242">
        <v>384</v>
      </c>
      <c r="W163" s="48"/>
      <c r="X163" s="48">
        <f t="shared" si="537"/>
        <v>-327</v>
      </c>
      <c r="Y163" s="62">
        <f>'Cash Flow Statement'!I16</f>
        <v>16</v>
      </c>
      <c r="Z163" s="419">
        <v>42</v>
      </c>
      <c r="AA163" s="46">
        <f t="shared" si="520"/>
        <v>328</v>
      </c>
      <c r="AB163" s="242">
        <v>370</v>
      </c>
      <c r="AC163" s="46">
        <f t="shared" ref="AC163:AC171" si="557">AD163-AB163</f>
        <v>-25</v>
      </c>
      <c r="AD163" s="242">
        <v>345</v>
      </c>
      <c r="AE163" s="48">
        <f t="shared" si="538"/>
        <v>217</v>
      </c>
      <c r="AF163" s="48">
        <f t="shared" si="522"/>
        <v>192</v>
      </c>
      <c r="AG163" s="62">
        <f>'Cash Flow Statement'!J16</f>
        <v>562</v>
      </c>
      <c r="AH163" s="419">
        <v>66</v>
      </c>
      <c r="AI163" s="46">
        <f t="shared" si="521"/>
        <v>458</v>
      </c>
      <c r="AJ163" s="242">
        <v>524</v>
      </c>
      <c r="AK163" s="46">
        <f t="shared" ref="AK163:AK171" si="558">AL163-AJ163</f>
        <v>24</v>
      </c>
      <c r="AL163" s="242">
        <v>548</v>
      </c>
      <c r="AM163" s="48">
        <f t="shared" si="539"/>
        <v>-61</v>
      </c>
      <c r="AN163" s="48">
        <f t="shared" si="523"/>
        <v>-37</v>
      </c>
      <c r="AO163" s="62">
        <f>'Cash Flow Statement'!K16</f>
        <v>487</v>
      </c>
      <c r="AP163" s="419">
        <v>-406</v>
      </c>
      <c r="AQ163" s="46">
        <f>AR163-AP163</f>
        <v>517</v>
      </c>
      <c r="AR163" s="242">
        <v>111</v>
      </c>
      <c r="AS163" s="46">
        <f t="shared" ref="AS163:AS171" si="559">AT163-AR163</f>
        <v>152</v>
      </c>
      <c r="AT163" s="242">
        <v>263</v>
      </c>
      <c r="AU163" s="48">
        <f t="shared" si="540"/>
        <v>1169</v>
      </c>
      <c r="AV163" s="48">
        <f t="shared" si="524"/>
        <v>1321</v>
      </c>
      <c r="AW163" s="451">
        <v>1432</v>
      </c>
      <c r="AX163" s="419">
        <v>76</v>
      </c>
      <c r="AY163" s="46">
        <f>AZ163-AX163</f>
        <v>-233</v>
      </c>
      <c r="AZ163" s="242">
        <v>-157</v>
      </c>
      <c r="BA163" s="46">
        <f t="shared" si="541"/>
        <v>-243</v>
      </c>
      <c r="BB163" s="242">
        <v>-400</v>
      </c>
      <c r="BC163" s="156">
        <v>1169</v>
      </c>
      <c r="BD163" s="156">
        <v>1321</v>
      </c>
      <c r="BE163" s="451">
        <v>-1755</v>
      </c>
      <c r="BF163" s="372"/>
      <c r="BG163" s="62"/>
      <c r="BH163" s="62"/>
      <c r="BI163" s="62"/>
      <c r="BJ163" s="62"/>
      <c r="BK163" s="62"/>
      <c r="BL163" s="62"/>
      <c r="BM163" s="62"/>
      <c r="BN163" s="396"/>
      <c r="BO163" s="46"/>
      <c r="BP163" s="239"/>
      <c r="BQ163" s="46"/>
      <c r="BR163" s="239"/>
      <c r="BS163" s="48"/>
      <c r="BT163" s="48"/>
      <c r="BU163" s="62">
        <f>'Cash Flow Statement'!N16</f>
        <v>-1849</v>
      </c>
      <c r="BV163" s="396"/>
      <c r="BW163" s="46"/>
      <c r="BX163" s="239"/>
      <c r="BY163" s="46"/>
      <c r="BZ163" s="239"/>
      <c r="CA163" s="48"/>
      <c r="CB163" s="48"/>
      <c r="CC163" s="62">
        <f>'Cash Flow Statement'!O16</f>
        <v>600</v>
      </c>
      <c r="CD163" s="427">
        <v>272</v>
      </c>
      <c r="CE163" s="254">
        <f t="shared" si="525"/>
        <v>336</v>
      </c>
      <c r="CF163" s="255">
        <v>608</v>
      </c>
      <c r="CG163" s="254">
        <f t="shared" si="542"/>
        <v>392</v>
      </c>
      <c r="CH163" s="255">
        <v>1000</v>
      </c>
      <c r="CI163" s="254">
        <f t="shared" si="543"/>
        <v>-905</v>
      </c>
      <c r="CJ163" s="254">
        <f t="shared" si="544"/>
        <v>-513</v>
      </c>
      <c r="CK163" s="254">
        <f>'Cash Flow Statement'!P16</f>
        <v>95</v>
      </c>
      <c r="CL163" s="732">
        <v>-37</v>
      </c>
      <c r="CM163" s="417">
        <f t="shared" si="526"/>
        <v>-343</v>
      </c>
      <c r="CN163" s="733">
        <v>-380</v>
      </c>
      <c r="CO163" s="417">
        <f t="shared" si="545"/>
        <v>-127</v>
      </c>
      <c r="CP163" s="733">
        <v>-507</v>
      </c>
      <c r="CQ163" s="417">
        <f t="shared" si="546"/>
        <v>-356</v>
      </c>
      <c r="CR163" s="691">
        <f t="shared" si="547"/>
        <v>-483</v>
      </c>
      <c r="CS163" s="121">
        <f>'Cash Flow Statement'!Q16</f>
        <v>-863</v>
      </c>
      <c r="CT163" s="693">
        <v>-384</v>
      </c>
      <c r="CU163" s="121">
        <f t="shared" si="527"/>
        <v>-203</v>
      </c>
      <c r="CV163" s="705">
        <v>-587</v>
      </c>
      <c r="CW163" s="121">
        <f t="shared" si="548"/>
        <v>460</v>
      </c>
      <c r="CX163" s="452">
        <v>-127</v>
      </c>
      <c r="CY163" s="692">
        <f t="shared" si="549"/>
        <v>-442</v>
      </c>
      <c r="CZ163" s="121">
        <f t="shared" si="550"/>
        <v>18</v>
      </c>
      <c r="DA163" s="121">
        <f>INDEX('Cash Flow Statement'!16:16,MATCH(Interims!DA$1,'Income Statement'!$2:$2,0))</f>
        <v>-569</v>
      </c>
      <c r="DB163" s="693">
        <v>-389</v>
      </c>
      <c r="DC163" s="121">
        <f t="shared" si="528"/>
        <v>-310</v>
      </c>
      <c r="DD163" s="705">
        <v>-699</v>
      </c>
      <c r="DE163" s="121">
        <f t="shared" si="551"/>
        <v>-8</v>
      </c>
      <c r="DF163" s="452">
        <v>-707</v>
      </c>
      <c r="DG163" s="692">
        <f t="shared" si="552"/>
        <v>166</v>
      </c>
      <c r="DH163" s="121">
        <f t="shared" si="553"/>
        <v>158</v>
      </c>
      <c r="DI163" s="121">
        <f>INDEX('Cash Flow Statement'!16:16,MATCH(Interims!DI$1,'Income Statement'!$2:$2,0))</f>
        <v>-541</v>
      </c>
      <c r="DJ163" s="693">
        <v>-288</v>
      </c>
      <c r="DK163" s="62">
        <f t="shared" si="529"/>
        <v>-101</v>
      </c>
      <c r="DL163" s="705">
        <v>-389</v>
      </c>
      <c r="DM163" s="121">
        <f t="shared" si="554"/>
        <v>-115</v>
      </c>
      <c r="DN163" s="452">
        <v>-504</v>
      </c>
      <c r="DO163" s="338">
        <f t="shared" si="555"/>
        <v>-136</v>
      </c>
      <c r="DP163" s="62">
        <f t="shared" si="556"/>
        <v>-251</v>
      </c>
      <c r="DQ163" s="62">
        <f>INDEX('Cash Flow Statement'!16:16,MATCH(Interims!DQ$1,'Income Statement'!$2:$2,0))</f>
        <v>-640</v>
      </c>
      <c r="DR163" s="693">
        <v>-456</v>
      </c>
      <c r="DS163" s="121">
        <f t="shared" si="530"/>
        <v>139</v>
      </c>
      <c r="DT163" s="705">
        <v>-317</v>
      </c>
      <c r="DU163" s="121">
        <f t="shared" si="531"/>
        <v>279</v>
      </c>
      <c r="DV163" s="452">
        <v>-38</v>
      </c>
      <c r="DW163" s="338">
        <f t="shared" ref="DW163:DW169" si="560">DY163-DV163</f>
        <v>-355</v>
      </c>
      <c r="DX163" s="62">
        <f t="shared" si="532"/>
        <v>-76</v>
      </c>
      <c r="DY163" s="62">
        <f>INDEX('Cash Flow Statement'!16:16,MATCH(Interims!DY$1,'Income Statement'!$2:$2,0))</f>
        <v>-393</v>
      </c>
      <c r="DZ163" s="693">
        <v>-34</v>
      </c>
      <c r="EA163" s="121">
        <f t="shared" si="533"/>
        <v>705</v>
      </c>
      <c r="EB163" s="705">
        <v>671</v>
      </c>
      <c r="EC163" s="121"/>
      <c r="ED163" s="452"/>
      <c r="EE163" s="338"/>
      <c r="EF163" s="62"/>
      <c r="EG163" s="49"/>
      <c r="EH163" s="406"/>
    </row>
    <row r="164" spans="1:138">
      <c r="A164" s="1" t="s">
        <v>364</v>
      </c>
      <c r="J164" s="397"/>
      <c r="K164" s="46"/>
      <c r="L164" s="242">
        <v>117</v>
      </c>
      <c r="M164" s="46"/>
      <c r="N164" s="239"/>
      <c r="O164" s="48"/>
      <c r="P164" s="48">
        <f t="shared" si="534"/>
        <v>113</v>
      </c>
      <c r="Q164" s="62">
        <f>'Cash Flow Statement'!H10+'Cash Flow Statement'!H11</f>
        <v>230</v>
      </c>
      <c r="R164" s="419">
        <v>27</v>
      </c>
      <c r="S164" s="46">
        <f t="shared" si="535"/>
        <v>117</v>
      </c>
      <c r="T164" s="242">
        <v>144</v>
      </c>
      <c r="U164" s="46">
        <f t="shared" si="536"/>
        <v>97</v>
      </c>
      <c r="V164" s="242">
        <v>241</v>
      </c>
      <c r="W164" s="48"/>
      <c r="X164" s="48">
        <f t="shared" si="537"/>
        <v>358</v>
      </c>
      <c r="Y164" s="62">
        <f>'Cash Flow Statement'!I10+'Cash Flow Statement'!I11</f>
        <v>502</v>
      </c>
      <c r="Z164" s="419">
        <v>77</v>
      </c>
      <c r="AA164" s="46">
        <f t="shared" si="520"/>
        <v>206</v>
      </c>
      <c r="AB164" s="242">
        <v>283</v>
      </c>
      <c r="AC164" s="46">
        <f t="shared" si="557"/>
        <v>42</v>
      </c>
      <c r="AD164" s="242">
        <v>325</v>
      </c>
      <c r="AE164" s="48">
        <f t="shared" si="538"/>
        <v>423</v>
      </c>
      <c r="AF164" s="48">
        <f t="shared" si="522"/>
        <v>465</v>
      </c>
      <c r="AG164" s="62">
        <f>'Cash Flow Statement'!J10+'Cash Flow Statement'!J11</f>
        <v>748</v>
      </c>
      <c r="AH164" s="419">
        <v>-127</v>
      </c>
      <c r="AI164" s="46">
        <f t="shared" si="521"/>
        <v>296</v>
      </c>
      <c r="AJ164" s="242">
        <v>169</v>
      </c>
      <c r="AK164" s="46">
        <f t="shared" si="558"/>
        <v>158</v>
      </c>
      <c r="AL164" s="242">
        <v>327</v>
      </c>
      <c r="AM164" s="48">
        <f t="shared" si="539"/>
        <v>-245</v>
      </c>
      <c r="AN164" s="48">
        <f t="shared" si="523"/>
        <v>-87</v>
      </c>
      <c r="AO164" s="62">
        <f>'Cash Flow Statement'!K10+'Cash Flow Statement'!K11</f>
        <v>82</v>
      </c>
      <c r="AP164" s="419">
        <v>76</v>
      </c>
      <c r="AQ164" s="46">
        <f t="shared" ref="AQ164:AQ170" si="561">AR164-AP164</f>
        <v>-570</v>
      </c>
      <c r="AR164" s="242">
        <v>-494</v>
      </c>
      <c r="AS164" s="46">
        <f t="shared" si="559"/>
        <v>-66</v>
      </c>
      <c r="AT164" s="242">
        <v>-560</v>
      </c>
      <c r="AU164" s="48">
        <f t="shared" si="540"/>
        <v>98</v>
      </c>
      <c r="AV164" s="48">
        <f t="shared" si="524"/>
        <v>32</v>
      </c>
      <c r="AW164" s="451">
        <v>-462</v>
      </c>
      <c r="AX164" s="419">
        <v>168</v>
      </c>
      <c r="AY164" s="46">
        <f t="shared" ref="AY164:AY170" si="562">AZ164-AX164</f>
        <v>2</v>
      </c>
      <c r="AZ164" s="242">
        <v>170</v>
      </c>
      <c r="BA164" s="46">
        <f t="shared" si="541"/>
        <v>-155</v>
      </c>
      <c r="BB164" s="242">
        <v>15</v>
      </c>
      <c r="BC164" s="156">
        <v>98</v>
      </c>
      <c r="BD164" s="156">
        <v>32</v>
      </c>
      <c r="BE164" s="62">
        <f>1693-152-189+517+149-501</f>
        <v>1517</v>
      </c>
      <c r="BF164" s="372"/>
      <c r="BG164" s="62"/>
      <c r="BH164" s="62"/>
      <c r="BI164" s="62"/>
      <c r="BJ164" s="62"/>
      <c r="BK164" s="62"/>
      <c r="BL164" s="62"/>
      <c r="BM164" s="62"/>
      <c r="BN164" s="396"/>
      <c r="BO164" s="46"/>
      <c r="BP164" s="239"/>
      <c r="BQ164" s="46"/>
      <c r="BR164" s="239"/>
      <c r="BS164" s="48"/>
      <c r="BT164" s="48"/>
      <c r="BU164" s="62">
        <f>'Cash Flow Statement'!N10+'Cash Flow Statement'!N11</f>
        <v>377</v>
      </c>
      <c r="BV164" s="396"/>
      <c r="BW164" s="46"/>
      <c r="BX164" s="239"/>
      <c r="BY164" s="46"/>
      <c r="BZ164" s="239"/>
      <c r="CA164" s="48"/>
      <c r="CB164" s="48"/>
      <c r="CC164" s="62">
        <f>'Cash Flow Statement'!O10+'Cash Flow Statement'!O11</f>
        <v>913</v>
      </c>
      <c r="CD164" s="427">
        <v>-7</v>
      </c>
      <c r="CE164" s="254">
        <f t="shared" si="525"/>
        <v>-309</v>
      </c>
      <c r="CF164" s="255">
        <v>-316</v>
      </c>
      <c r="CG164" s="254">
        <f t="shared" si="542"/>
        <v>-57</v>
      </c>
      <c r="CH164" s="255">
        <v>-373</v>
      </c>
      <c r="CI164" s="254">
        <f t="shared" si="543"/>
        <v>491</v>
      </c>
      <c r="CJ164" s="254">
        <f t="shared" si="544"/>
        <v>434</v>
      </c>
      <c r="CK164" s="254">
        <f>'Cash Flow Statement'!P10+'Cash Flow Statement'!P11</f>
        <v>118</v>
      </c>
      <c r="CL164" s="732">
        <v>-62</v>
      </c>
      <c r="CM164" s="417">
        <f t="shared" si="526"/>
        <v>191</v>
      </c>
      <c r="CN164" s="733">
        <v>129</v>
      </c>
      <c r="CO164" s="417">
        <f t="shared" si="545"/>
        <v>-85</v>
      </c>
      <c r="CP164" s="733">
        <v>44</v>
      </c>
      <c r="CQ164" s="417">
        <f t="shared" si="546"/>
        <v>488</v>
      </c>
      <c r="CR164" s="691">
        <f t="shared" si="547"/>
        <v>403</v>
      </c>
      <c r="CS164" s="121">
        <f>'Cash Flow Statement'!Q10+'Cash Flow Statement'!Q11</f>
        <v>532</v>
      </c>
      <c r="CT164" s="693">
        <v>58</v>
      </c>
      <c r="CU164" s="121">
        <f t="shared" si="527"/>
        <v>61</v>
      </c>
      <c r="CV164" s="705">
        <v>119</v>
      </c>
      <c r="CW164" s="121">
        <f t="shared" si="548"/>
        <v>-599</v>
      </c>
      <c r="CX164" s="452">
        <v>-480</v>
      </c>
      <c r="CY164" s="692">
        <f t="shared" si="549"/>
        <v>629</v>
      </c>
      <c r="CZ164" s="121">
        <f t="shared" si="550"/>
        <v>30</v>
      </c>
      <c r="DA164" s="121">
        <f>INDEX('Cash Flow Statement'!10:10,MATCH(Interims!DA$1,'Income Statement'!$2:$2,0))+INDEX('Cash Flow Statement'!11:11,MATCH(Interims!DA$1,'Income Statement'!$2:$2,0))</f>
        <v>149</v>
      </c>
      <c r="DB164" s="693">
        <v>70</v>
      </c>
      <c r="DC164" s="121">
        <f t="shared" si="528"/>
        <v>400</v>
      </c>
      <c r="DD164" s="705">
        <v>470</v>
      </c>
      <c r="DE164" s="121">
        <f t="shared" si="551"/>
        <v>-774</v>
      </c>
      <c r="DF164" s="452">
        <v>-304</v>
      </c>
      <c r="DG164" s="692">
        <f t="shared" si="552"/>
        <v>916</v>
      </c>
      <c r="DH164" s="121">
        <f t="shared" si="553"/>
        <v>142</v>
      </c>
      <c r="DI164" s="121">
        <f>INDEX('Cash Flow Statement'!10:10,MATCH(Interims!DI$1,'Income Statement'!$2:$2,0))+INDEX('Cash Flow Statement'!11:11,MATCH(Interims!DI$1,'Income Statement'!$2:$2,0))</f>
        <v>612</v>
      </c>
      <c r="DJ164" s="693">
        <v>194</v>
      </c>
      <c r="DK164" s="62">
        <f t="shared" si="529"/>
        <v>-422</v>
      </c>
      <c r="DL164" s="705">
        <v>-228</v>
      </c>
      <c r="DM164" s="121">
        <f t="shared" si="554"/>
        <v>-156</v>
      </c>
      <c r="DN164" s="452">
        <v>-384</v>
      </c>
      <c r="DO164" s="338">
        <f t="shared" si="555"/>
        <v>784</v>
      </c>
      <c r="DP164" s="62">
        <f t="shared" si="556"/>
        <v>628</v>
      </c>
      <c r="DQ164" s="62">
        <f>INDEX('Cash Flow Statement'!10:10,MATCH(Interims!DQ$1,'Income Statement'!$2:$2,0))+INDEX('Cash Flow Statement'!11:11,MATCH(Interims!DQ$1,'Income Statement'!$2:$2,0))</f>
        <v>400</v>
      </c>
      <c r="DR164" s="693">
        <v>-30</v>
      </c>
      <c r="DS164" s="121">
        <f t="shared" si="530"/>
        <v>337</v>
      </c>
      <c r="DT164" s="705">
        <v>307</v>
      </c>
      <c r="DU164" s="121">
        <f t="shared" si="531"/>
        <v>545</v>
      </c>
      <c r="DV164" s="452">
        <v>852</v>
      </c>
      <c r="DW164" s="338">
        <f t="shared" si="560"/>
        <v>-427</v>
      </c>
      <c r="DX164" s="62">
        <f t="shared" si="532"/>
        <v>118</v>
      </c>
      <c r="DY164" s="62">
        <f>INDEX('Cash Flow Statement'!10:10,MATCH(Interims!DY$1,'Income Statement'!$2:$2,0))+INDEX('Cash Flow Statement'!11:11,MATCH(Interims!DY$1,'Income Statement'!$2:$2,0))</f>
        <v>425</v>
      </c>
      <c r="DZ164" s="693">
        <v>-76</v>
      </c>
      <c r="EA164" s="121">
        <f t="shared" si="533"/>
        <v>-137</v>
      </c>
      <c r="EB164" s="705">
        <v>-213</v>
      </c>
      <c r="EC164" s="121"/>
      <c r="ED164" s="452"/>
      <c r="EE164" s="338"/>
      <c r="EF164" s="62"/>
      <c r="EG164" s="49"/>
      <c r="EH164" s="406"/>
    </row>
    <row r="165" spans="1:138">
      <c r="A165" s="1" t="s">
        <v>365</v>
      </c>
      <c r="J165" s="396"/>
      <c r="K165" s="46"/>
      <c r="L165" s="242">
        <v>-32</v>
      </c>
      <c r="M165" s="46"/>
      <c r="N165" s="239"/>
      <c r="O165" s="48"/>
      <c r="P165" s="48">
        <f t="shared" si="534"/>
        <v>32</v>
      </c>
      <c r="Q165" s="462"/>
      <c r="R165" s="419">
        <v>-22</v>
      </c>
      <c r="S165" s="46">
        <f t="shared" si="535"/>
        <v>8</v>
      </c>
      <c r="T165" s="242">
        <v>-14</v>
      </c>
      <c r="U165" s="46">
        <f t="shared" si="536"/>
        <v>-107</v>
      </c>
      <c r="V165" s="242">
        <v>-121</v>
      </c>
      <c r="W165" s="48"/>
      <c r="X165" s="48">
        <f t="shared" si="537"/>
        <v>14</v>
      </c>
      <c r="Y165" s="462"/>
      <c r="Z165" s="419">
        <v>-9</v>
      </c>
      <c r="AA165" s="46">
        <f t="shared" si="520"/>
        <v>49</v>
      </c>
      <c r="AB165" s="242">
        <v>40</v>
      </c>
      <c r="AC165" s="46">
        <f t="shared" si="557"/>
        <v>-36</v>
      </c>
      <c r="AD165" s="242">
        <v>4</v>
      </c>
      <c r="AE165" s="48">
        <f t="shared" si="538"/>
        <v>-4</v>
      </c>
      <c r="AF165" s="48">
        <f t="shared" si="522"/>
        <v>-40</v>
      </c>
      <c r="AG165" s="462"/>
      <c r="AH165" s="419">
        <v>87</v>
      </c>
      <c r="AI165" s="46">
        <f t="shared" si="521"/>
        <v>-128</v>
      </c>
      <c r="AJ165" s="242">
        <v>-41</v>
      </c>
      <c r="AK165" s="46">
        <f t="shared" si="558"/>
        <v>-101</v>
      </c>
      <c r="AL165" s="242">
        <v>-142</v>
      </c>
      <c r="AM165" s="48">
        <f t="shared" si="539"/>
        <v>142</v>
      </c>
      <c r="AN165" s="48">
        <f t="shared" si="523"/>
        <v>41</v>
      </c>
      <c r="AO165" s="462"/>
      <c r="AP165" s="419">
        <v>32</v>
      </c>
      <c r="AQ165" s="46">
        <f t="shared" si="561"/>
        <v>111</v>
      </c>
      <c r="AR165" s="242">
        <v>143</v>
      </c>
      <c r="AS165" s="46">
        <f t="shared" si="559"/>
        <v>200</v>
      </c>
      <c r="AT165" s="242">
        <v>343</v>
      </c>
      <c r="AU165" s="48">
        <f t="shared" si="540"/>
        <v>-413</v>
      </c>
      <c r="AV165" s="48">
        <f t="shared" si="524"/>
        <v>-213</v>
      </c>
      <c r="AW165" s="452">
        <v>-70</v>
      </c>
      <c r="AX165" s="419">
        <v>-306</v>
      </c>
      <c r="AY165" s="46">
        <f t="shared" si="562"/>
        <v>456</v>
      </c>
      <c r="AZ165" s="242">
        <v>150</v>
      </c>
      <c r="BA165" s="46">
        <f t="shared" si="541"/>
        <v>233</v>
      </c>
      <c r="BB165" s="242">
        <v>383</v>
      </c>
      <c r="BC165" s="156">
        <v>-413</v>
      </c>
      <c r="BD165" s="156">
        <v>-213</v>
      </c>
      <c r="BE165" s="62"/>
      <c r="BF165" s="372"/>
      <c r="BG165" s="62"/>
      <c r="BH165" s="62"/>
      <c r="BI165" s="62"/>
      <c r="BJ165" s="62"/>
      <c r="BK165" s="62"/>
      <c r="BL165" s="62"/>
      <c r="BM165" s="62"/>
      <c r="BN165" s="396"/>
      <c r="BO165" s="46"/>
      <c r="BP165" s="239"/>
      <c r="BQ165" s="46"/>
      <c r="BR165" s="239"/>
      <c r="BS165" s="48"/>
      <c r="BT165" s="48"/>
      <c r="BU165" s="62"/>
      <c r="BV165" s="396"/>
      <c r="BW165" s="46"/>
      <c r="BX165" s="239"/>
      <c r="BY165" s="46"/>
      <c r="BZ165" s="239"/>
      <c r="CA165" s="48"/>
      <c r="CB165" s="48"/>
      <c r="CC165" s="62"/>
      <c r="CD165" s="427">
        <v>-11</v>
      </c>
      <c r="CE165" s="254">
        <f t="shared" si="525"/>
        <v>543</v>
      </c>
      <c r="CF165" s="255">
        <v>532</v>
      </c>
      <c r="CG165" s="254">
        <f t="shared" si="542"/>
        <v>-139</v>
      </c>
      <c r="CH165" s="255">
        <v>393</v>
      </c>
      <c r="CI165" s="254">
        <f t="shared" si="543"/>
        <v>-393</v>
      </c>
      <c r="CJ165" s="254">
        <f t="shared" si="544"/>
        <v>-532</v>
      </c>
      <c r="CK165" s="254"/>
      <c r="CL165" s="732">
        <v>227</v>
      </c>
      <c r="CM165" s="417">
        <f t="shared" si="526"/>
        <v>251</v>
      </c>
      <c r="CN165" s="733">
        <v>478</v>
      </c>
      <c r="CO165" s="417">
        <f t="shared" si="545"/>
        <v>171</v>
      </c>
      <c r="CP165" s="733">
        <v>649</v>
      </c>
      <c r="CQ165" s="417">
        <f t="shared" si="546"/>
        <v>-649</v>
      </c>
      <c r="CR165" s="691">
        <f t="shared" si="547"/>
        <v>-478</v>
      </c>
      <c r="CS165" s="121"/>
      <c r="CT165" s="693">
        <v>279</v>
      </c>
      <c r="CU165" s="121">
        <f t="shared" si="527"/>
        <v>385</v>
      </c>
      <c r="CV165" s="705">
        <v>664</v>
      </c>
      <c r="CW165" s="121">
        <f t="shared" si="548"/>
        <v>359</v>
      </c>
      <c r="CX165" s="452">
        <v>1023</v>
      </c>
      <c r="CY165" s="692">
        <f t="shared" si="549"/>
        <v>-1023</v>
      </c>
      <c r="CZ165" s="121">
        <f t="shared" si="550"/>
        <v>-664</v>
      </c>
      <c r="DA165" s="121"/>
      <c r="DB165" s="693">
        <v>-108</v>
      </c>
      <c r="DC165" s="121">
        <f t="shared" si="528"/>
        <v>235</v>
      </c>
      <c r="DD165" s="705">
        <v>127</v>
      </c>
      <c r="DE165" s="121">
        <f t="shared" si="551"/>
        <v>748</v>
      </c>
      <c r="DF165" s="452">
        <v>875</v>
      </c>
      <c r="DG165" s="692">
        <f t="shared" si="552"/>
        <v>-875</v>
      </c>
      <c r="DH165" s="121">
        <f t="shared" si="553"/>
        <v>-127</v>
      </c>
      <c r="DI165" s="121"/>
      <c r="DJ165" s="693">
        <v>-110</v>
      </c>
      <c r="DK165" s="62">
        <f t="shared" si="529"/>
        <v>671</v>
      </c>
      <c r="DL165" s="705">
        <v>561</v>
      </c>
      <c r="DM165" s="121">
        <f t="shared" si="554"/>
        <v>161</v>
      </c>
      <c r="DN165" s="452">
        <v>722</v>
      </c>
      <c r="DO165" s="338">
        <f t="shared" si="555"/>
        <v>-722</v>
      </c>
      <c r="DP165" s="62">
        <f t="shared" si="556"/>
        <v>-561</v>
      </c>
      <c r="DQ165" s="62"/>
      <c r="DR165" s="693">
        <v>190</v>
      </c>
      <c r="DS165" s="121">
        <f t="shared" si="530"/>
        <v>-342</v>
      </c>
      <c r="DT165" s="705">
        <v>-152</v>
      </c>
      <c r="DU165" s="121">
        <f t="shared" si="531"/>
        <v>-302</v>
      </c>
      <c r="DV165" s="452">
        <v>-454</v>
      </c>
      <c r="DW165" s="338">
        <f t="shared" si="560"/>
        <v>454</v>
      </c>
      <c r="DX165" s="62">
        <f t="shared" si="532"/>
        <v>152</v>
      </c>
      <c r="DY165" s="62"/>
      <c r="DZ165" s="693">
        <v>31</v>
      </c>
      <c r="EA165" s="121">
        <f t="shared" si="533"/>
        <v>943</v>
      </c>
      <c r="EB165" s="705">
        <v>974</v>
      </c>
      <c r="EC165" s="121"/>
      <c r="ED165" s="452"/>
      <c r="EE165" s="338"/>
      <c r="EF165" s="62"/>
      <c r="EG165" s="49"/>
      <c r="EH165" s="406"/>
    </row>
    <row r="166" spans="1:138">
      <c r="A166" s="13" t="s">
        <v>366</v>
      </c>
      <c r="J166" s="396"/>
      <c r="K166" s="46"/>
      <c r="L166" s="242">
        <v>-21</v>
      </c>
      <c r="M166" s="46"/>
      <c r="N166" s="239"/>
      <c r="O166" s="48"/>
      <c r="P166" s="48">
        <f t="shared" si="534"/>
        <v>0</v>
      </c>
      <c r="Q166" s="62">
        <f>'Cash Flow Statement'!H17</f>
        <v>-21</v>
      </c>
      <c r="R166" s="419">
        <v>0</v>
      </c>
      <c r="S166" s="46">
        <f t="shared" si="535"/>
        <v>-1</v>
      </c>
      <c r="T166" s="242">
        <v>-1</v>
      </c>
      <c r="U166" s="46">
        <f t="shared" si="536"/>
        <v>0</v>
      </c>
      <c r="V166" s="242">
        <v>-1</v>
      </c>
      <c r="W166" s="48"/>
      <c r="X166" s="48">
        <f t="shared" si="537"/>
        <v>-57</v>
      </c>
      <c r="Y166" s="62">
        <f>'Cash Flow Statement'!I17</f>
        <v>-58</v>
      </c>
      <c r="Z166" s="419">
        <v>-5</v>
      </c>
      <c r="AA166" s="46">
        <f>AB166-Z166</f>
        <v>-83</v>
      </c>
      <c r="AB166" s="242">
        <v>-88</v>
      </c>
      <c r="AC166" s="46">
        <f t="shared" si="557"/>
        <v>-9</v>
      </c>
      <c r="AD166" s="242">
        <v>-97</v>
      </c>
      <c r="AE166" s="48">
        <f t="shared" si="538"/>
        <v>4</v>
      </c>
      <c r="AF166" s="48">
        <f t="shared" si="522"/>
        <v>-5</v>
      </c>
      <c r="AG166" s="62">
        <f>'Cash Flow Statement'!J17</f>
        <v>-93</v>
      </c>
      <c r="AH166" s="419">
        <v>-59</v>
      </c>
      <c r="AI166" s="46">
        <f t="shared" si="521"/>
        <v>-63</v>
      </c>
      <c r="AJ166" s="242">
        <v>-122</v>
      </c>
      <c r="AK166" s="46">
        <f t="shared" si="558"/>
        <v>-8</v>
      </c>
      <c r="AL166" s="242">
        <v>-130</v>
      </c>
      <c r="AM166" s="48">
        <f t="shared" si="539"/>
        <v>-104</v>
      </c>
      <c r="AN166" s="48">
        <f t="shared" si="523"/>
        <v>-112</v>
      </c>
      <c r="AO166" s="62">
        <f>'Cash Flow Statement'!K17</f>
        <v>-234</v>
      </c>
      <c r="AP166" s="419">
        <v>-13</v>
      </c>
      <c r="AQ166" s="46">
        <f t="shared" si="561"/>
        <v>-1815</v>
      </c>
      <c r="AR166" s="242">
        <v>-1828</v>
      </c>
      <c r="AS166" s="46">
        <f t="shared" si="559"/>
        <v>-1</v>
      </c>
      <c r="AT166" s="242">
        <v>-1829</v>
      </c>
      <c r="AU166" s="48">
        <f t="shared" si="540"/>
        <v>-41</v>
      </c>
      <c r="AV166" s="48">
        <f t="shared" si="524"/>
        <v>-42</v>
      </c>
      <c r="AW166" s="451">
        <v>-1870</v>
      </c>
      <c r="AX166" s="419">
        <v>-696</v>
      </c>
      <c r="AY166" s="46">
        <f t="shared" si="562"/>
        <v>-68</v>
      </c>
      <c r="AZ166" s="242">
        <v>-764</v>
      </c>
      <c r="BA166" s="46">
        <f t="shared" si="541"/>
        <v>-6</v>
      </c>
      <c r="BB166" s="242">
        <v>-770</v>
      </c>
      <c r="BC166" s="156">
        <v>-41</v>
      </c>
      <c r="BD166" s="156">
        <v>-42</v>
      </c>
      <c r="BE166" s="451">
        <v>-773</v>
      </c>
      <c r="BF166" s="372"/>
      <c r="BG166" s="62"/>
      <c r="BH166" s="62"/>
      <c r="BI166" s="62"/>
      <c r="BJ166" s="62"/>
      <c r="BK166" s="62"/>
      <c r="BL166" s="62"/>
      <c r="BM166" s="62"/>
      <c r="BN166" s="396"/>
      <c r="BO166" s="46"/>
      <c r="BP166" s="239"/>
      <c r="BQ166" s="46"/>
      <c r="BR166" s="239"/>
      <c r="BS166" s="48"/>
      <c r="BT166" s="48"/>
      <c r="BU166" s="62">
        <f>'Cash Flow Statement'!N17</f>
        <v>-261</v>
      </c>
      <c r="BV166" s="396"/>
      <c r="BW166" s="46"/>
      <c r="BX166" s="239"/>
      <c r="BY166" s="46"/>
      <c r="BZ166" s="239"/>
      <c r="CA166" s="48"/>
      <c r="CB166" s="48"/>
      <c r="CC166" s="62">
        <f>'Cash Flow Statement'!O17</f>
        <v>-77</v>
      </c>
      <c r="CD166" s="427">
        <v>0</v>
      </c>
      <c r="CE166" s="254">
        <f t="shared" si="525"/>
        <v>-9</v>
      </c>
      <c r="CF166" s="255">
        <v>-9</v>
      </c>
      <c r="CG166" s="254">
        <f t="shared" si="542"/>
        <v>5</v>
      </c>
      <c r="CH166" s="255">
        <v>-4</v>
      </c>
      <c r="CI166" s="254">
        <f t="shared" si="543"/>
        <v>13</v>
      </c>
      <c r="CJ166" s="254">
        <f t="shared" si="544"/>
        <v>18</v>
      </c>
      <c r="CK166" s="254">
        <f>'Cash Flow Statement'!P17</f>
        <v>9</v>
      </c>
      <c r="CL166" s="732">
        <v>0</v>
      </c>
      <c r="CM166" s="417">
        <f t="shared" si="526"/>
        <v>-1</v>
      </c>
      <c r="CN166" s="733">
        <v>-1</v>
      </c>
      <c r="CO166" s="417">
        <f t="shared" si="545"/>
        <v>1</v>
      </c>
      <c r="CP166" s="733">
        <v>0</v>
      </c>
      <c r="CQ166" s="417">
        <f t="shared" si="546"/>
        <v>-116</v>
      </c>
      <c r="CR166" s="691">
        <f t="shared" si="547"/>
        <v>-115</v>
      </c>
      <c r="CS166" s="121">
        <f>'Cash Flow Statement'!Q17</f>
        <v>-116</v>
      </c>
      <c r="CT166" s="693">
        <v>0</v>
      </c>
      <c r="CU166" s="121">
        <f t="shared" si="527"/>
        <v>7</v>
      </c>
      <c r="CV166" s="705">
        <v>7</v>
      </c>
      <c r="CW166" s="121">
        <f t="shared" si="548"/>
        <v>6</v>
      </c>
      <c r="CX166" s="452">
        <v>13</v>
      </c>
      <c r="CY166" s="692">
        <f t="shared" si="549"/>
        <v>12</v>
      </c>
      <c r="CZ166" s="121">
        <f t="shared" si="550"/>
        <v>18</v>
      </c>
      <c r="DA166" s="121">
        <f>INDEX('Cash Flow Statement'!17:17,MATCH(Interims!DA$1,'Income Statement'!$2:$2,0))</f>
        <v>25</v>
      </c>
      <c r="DB166" s="693">
        <v>8</v>
      </c>
      <c r="DC166" s="121">
        <f t="shared" si="528"/>
        <v>21</v>
      </c>
      <c r="DD166" s="705">
        <v>29</v>
      </c>
      <c r="DE166" s="121">
        <f t="shared" si="551"/>
        <v>16</v>
      </c>
      <c r="DF166" s="452">
        <v>45</v>
      </c>
      <c r="DG166" s="692">
        <f t="shared" si="552"/>
        <v>19</v>
      </c>
      <c r="DH166" s="121">
        <f t="shared" si="553"/>
        <v>35</v>
      </c>
      <c r="DI166" s="121">
        <f>INDEX('Cash Flow Statement'!17:17,MATCH(Interims!DI$1,'Income Statement'!$2:$2,0))</f>
        <v>64</v>
      </c>
      <c r="DJ166" s="693">
        <v>5</v>
      </c>
      <c r="DK166" s="62">
        <f t="shared" si="529"/>
        <v>8</v>
      </c>
      <c r="DL166" s="705">
        <v>13</v>
      </c>
      <c r="DM166" s="121">
        <f t="shared" si="554"/>
        <v>24</v>
      </c>
      <c r="DN166" s="452">
        <v>37</v>
      </c>
      <c r="DO166" s="338">
        <f t="shared" si="555"/>
        <v>33</v>
      </c>
      <c r="DP166" s="62">
        <f t="shared" si="556"/>
        <v>57</v>
      </c>
      <c r="DQ166" s="62">
        <f>INDEX('Cash Flow Statement'!17:17,MATCH(Interims!DQ$1,'Income Statement'!$2:$2,0))</f>
        <v>70</v>
      </c>
      <c r="DR166" s="693">
        <v>17</v>
      </c>
      <c r="DS166" s="121">
        <f t="shared" si="530"/>
        <v>-16</v>
      </c>
      <c r="DT166" s="705">
        <v>1</v>
      </c>
      <c r="DU166" s="121">
        <f t="shared" si="531"/>
        <v>-37</v>
      </c>
      <c r="DV166" s="452">
        <v>-36</v>
      </c>
      <c r="DW166" s="338">
        <f t="shared" si="560"/>
        <v>53</v>
      </c>
      <c r="DX166" s="62">
        <f t="shared" si="532"/>
        <v>16</v>
      </c>
      <c r="DY166" s="62">
        <f>INDEX('Cash Flow Statement'!17:17,MATCH(Interims!DY$1,'Income Statement'!$2:$2,0))</f>
        <v>17</v>
      </c>
      <c r="DZ166" s="693">
        <v>8</v>
      </c>
      <c r="EA166" s="121">
        <f t="shared" si="533"/>
        <v>14</v>
      </c>
      <c r="EB166" s="705">
        <v>22</v>
      </c>
      <c r="EC166" s="121"/>
      <c r="ED166" s="452"/>
      <c r="EE166" s="338"/>
      <c r="EF166" s="62"/>
      <c r="EG166" s="49"/>
      <c r="EH166" s="406"/>
    </row>
    <row r="167" spans="1:138">
      <c r="A167" s="13" t="s">
        <v>154</v>
      </c>
      <c r="J167" s="396"/>
      <c r="K167" s="46"/>
      <c r="L167" s="242">
        <v>-97</v>
      </c>
      <c r="M167" s="46"/>
      <c r="N167" s="239"/>
      <c r="O167" s="48"/>
      <c r="P167" s="48">
        <f t="shared" si="534"/>
        <v>-144</v>
      </c>
      <c r="Q167" s="62">
        <f>'Cash Flow Statement'!H18</f>
        <v>-241</v>
      </c>
      <c r="R167" s="419">
        <v>-109</v>
      </c>
      <c r="S167" s="46">
        <f t="shared" si="535"/>
        <v>-54</v>
      </c>
      <c r="T167" s="242">
        <v>-163</v>
      </c>
      <c r="U167" s="46">
        <f t="shared" si="536"/>
        <v>-105</v>
      </c>
      <c r="V167" s="242">
        <v>-268</v>
      </c>
      <c r="W167" s="48"/>
      <c r="X167" s="48">
        <f t="shared" si="537"/>
        <v>-132</v>
      </c>
      <c r="Y167" s="62">
        <f>'Cash Flow Statement'!I18</f>
        <v>-295</v>
      </c>
      <c r="Z167" s="419">
        <v>-46</v>
      </c>
      <c r="AA167" s="46">
        <f>AB167-Z167</f>
        <v>-70</v>
      </c>
      <c r="AB167" s="242">
        <v>-116</v>
      </c>
      <c r="AC167" s="46">
        <f t="shared" si="557"/>
        <v>-141</v>
      </c>
      <c r="AD167" s="242">
        <v>-257</v>
      </c>
      <c r="AE167" s="48">
        <f t="shared" si="538"/>
        <v>-583</v>
      </c>
      <c r="AF167" s="48">
        <f t="shared" si="522"/>
        <v>-724</v>
      </c>
      <c r="AG167" s="62">
        <f>'Cash Flow Statement'!J18</f>
        <v>-840</v>
      </c>
      <c r="AH167" s="419">
        <v>-694</v>
      </c>
      <c r="AI167" s="46">
        <f t="shared" si="521"/>
        <v>-49</v>
      </c>
      <c r="AJ167" s="242">
        <v>-743</v>
      </c>
      <c r="AK167" s="46">
        <f t="shared" si="558"/>
        <v>-101</v>
      </c>
      <c r="AL167" s="242">
        <v>-844</v>
      </c>
      <c r="AM167" s="48">
        <f t="shared" si="539"/>
        <v>-172</v>
      </c>
      <c r="AN167" s="48">
        <f t="shared" si="523"/>
        <v>-273</v>
      </c>
      <c r="AO167" s="62">
        <f>'Cash Flow Statement'!K18</f>
        <v>-1016</v>
      </c>
      <c r="AP167" s="419">
        <v>-20</v>
      </c>
      <c r="AQ167" s="46">
        <f t="shared" si="561"/>
        <v>41</v>
      </c>
      <c r="AR167" s="242">
        <v>21</v>
      </c>
      <c r="AS167" s="46">
        <f t="shared" si="559"/>
        <v>-87</v>
      </c>
      <c r="AT167" s="242">
        <v>-66</v>
      </c>
      <c r="AU167" s="48">
        <f t="shared" si="540"/>
        <v>-165</v>
      </c>
      <c r="AV167" s="48">
        <f t="shared" si="524"/>
        <v>-252</v>
      </c>
      <c r="AW167" s="451">
        <v>-231</v>
      </c>
      <c r="AX167" s="419">
        <v>-39</v>
      </c>
      <c r="AY167" s="46">
        <f t="shared" si="562"/>
        <v>-107</v>
      </c>
      <c r="AZ167" s="242">
        <v>-146</v>
      </c>
      <c r="BA167" s="46">
        <f t="shared" si="541"/>
        <v>-52</v>
      </c>
      <c r="BB167" s="242">
        <v>-198</v>
      </c>
      <c r="BC167" s="156">
        <v>-165</v>
      </c>
      <c r="BD167" s="156">
        <v>-252</v>
      </c>
      <c r="BE167" s="451">
        <v>-333</v>
      </c>
      <c r="BF167" s="372"/>
      <c r="BG167" s="62"/>
      <c r="BH167" s="62"/>
      <c r="BI167" s="62"/>
      <c r="BJ167" s="62"/>
      <c r="BK167" s="62"/>
      <c r="BL167" s="62"/>
      <c r="BM167" s="62"/>
      <c r="BN167" s="396"/>
      <c r="BO167" s="46"/>
      <c r="BP167" s="239"/>
      <c r="BQ167" s="46"/>
      <c r="BR167" s="239"/>
      <c r="BS167" s="48"/>
      <c r="BT167" s="48"/>
      <c r="BU167" s="62">
        <f>'Cash Flow Statement'!N18</f>
        <v>-330</v>
      </c>
      <c r="BV167" s="396"/>
      <c r="BW167" s="46"/>
      <c r="BX167" s="239"/>
      <c r="BY167" s="46"/>
      <c r="BZ167" s="239"/>
      <c r="CA167" s="48"/>
      <c r="CB167" s="48"/>
      <c r="CC167" s="62">
        <f>'Cash Flow Statement'!O18</f>
        <v>-299</v>
      </c>
      <c r="CD167" s="427">
        <v>15</v>
      </c>
      <c r="CE167" s="254">
        <f t="shared" si="525"/>
        <v>3</v>
      </c>
      <c r="CF167" s="255">
        <v>18</v>
      </c>
      <c r="CG167" s="254">
        <f t="shared" si="542"/>
        <v>27</v>
      </c>
      <c r="CH167" s="255">
        <v>45</v>
      </c>
      <c r="CI167" s="254">
        <f t="shared" si="543"/>
        <v>-84</v>
      </c>
      <c r="CJ167" s="254">
        <f t="shared" si="544"/>
        <v>-57</v>
      </c>
      <c r="CK167" s="254">
        <f>'Cash Flow Statement'!P18</f>
        <v>-39</v>
      </c>
      <c r="CL167" s="732">
        <v>-9</v>
      </c>
      <c r="CM167" s="417">
        <f t="shared" si="526"/>
        <v>3</v>
      </c>
      <c r="CN167" s="733">
        <v>-6</v>
      </c>
      <c r="CO167" s="417">
        <f t="shared" si="545"/>
        <v>-26</v>
      </c>
      <c r="CP167" s="733">
        <v>-32</v>
      </c>
      <c r="CQ167" s="417">
        <f t="shared" si="546"/>
        <v>-8</v>
      </c>
      <c r="CR167" s="691">
        <f t="shared" si="547"/>
        <v>-34</v>
      </c>
      <c r="CS167" s="121">
        <f>'Cash Flow Statement'!Q18</f>
        <v>-40</v>
      </c>
      <c r="CT167" s="693">
        <v>21</v>
      </c>
      <c r="CU167" s="121">
        <f t="shared" si="527"/>
        <v>-3</v>
      </c>
      <c r="CV167" s="705">
        <v>18</v>
      </c>
      <c r="CW167" s="121">
        <f t="shared" si="548"/>
        <v>-35</v>
      </c>
      <c r="CX167" s="452">
        <v>-17</v>
      </c>
      <c r="CY167" s="692">
        <f t="shared" si="549"/>
        <v>-117</v>
      </c>
      <c r="CZ167" s="121">
        <f t="shared" si="550"/>
        <v>-152</v>
      </c>
      <c r="DA167" s="121">
        <f>INDEX('Cash Flow Statement'!18:18,MATCH(Interims!DA$1,'Income Statement'!$2:$2,0))</f>
        <v>-134</v>
      </c>
      <c r="DB167" s="693">
        <v>-9</v>
      </c>
      <c r="DC167" s="121">
        <f t="shared" si="528"/>
        <v>-70</v>
      </c>
      <c r="DD167" s="705">
        <v>-79</v>
      </c>
      <c r="DE167" s="121">
        <f t="shared" si="551"/>
        <v>-49</v>
      </c>
      <c r="DF167" s="452">
        <v>-128</v>
      </c>
      <c r="DG167" s="692">
        <f t="shared" si="552"/>
        <v>-139</v>
      </c>
      <c r="DH167" s="121">
        <f t="shared" si="553"/>
        <v>-188</v>
      </c>
      <c r="DI167" s="121">
        <f>INDEX('Cash Flow Statement'!18:18,MATCH(Interims!DI$1,'Income Statement'!$2:$2,0))</f>
        <v>-267</v>
      </c>
      <c r="DJ167" s="693">
        <v>-22</v>
      </c>
      <c r="DK167" s="62">
        <f t="shared" si="529"/>
        <v>-57</v>
      </c>
      <c r="DL167" s="705">
        <v>-79</v>
      </c>
      <c r="DM167" s="121">
        <f t="shared" si="554"/>
        <v>-80</v>
      </c>
      <c r="DN167" s="452">
        <v>-159</v>
      </c>
      <c r="DO167" s="338">
        <f t="shared" si="555"/>
        <v>-191</v>
      </c>
      <c r="DP167" s="62">
        <f t="shared" si="556"/>
        <v>-271</v>
      </c>
      <c r="DQ167" s="62">
        <f>INDEX('Cash Flow Statement'!18:18,MATCH(Interims!DQ$1,'Income Statement'!$2:$2,0))</f>
        <v>-350</v>
      </c>
      <c r="DR167" s="693">
        <v>-29</v>
      </c>
      <c r="DS167" s="121">
        <f t="shared" si="530"/>
        <v>-74</v>
      </c>
      <c r="DT167" s="705">
        <v>-103</v>
      </c>
      <c r="DU167" s="121">
        <f t="shared" si="531"/>
        <v>-46</v>
      </c>
      <c r="DV167" s="452">
        <v>-149</v>
      </c>
      <c r="DW167" s="338">
        <f t="shared" si="560"/>
        <v>-156</v>
      </c>
      <c r="DX167" s="62">
        <f t="shared" si="532"/>
        <v>-202</v>
      </c>
      <c r="DY167" s="62">
        <f>INDEX('Cash Flow Statement'!18:18,MATCH(Interims!DY$1,'Income Statement'!$2:$2,0))</f>
        <v>-305</v>
      </c>
      <c r="DZ167" s="693">
        <v>-17</v>
      </c>
      <c r="EA167" s="121">
        <f t="shared" si="533"/>
        <v>-118</v>
      </c>
      <c r="EB167" s="705">
        <v>-135</v>
      </c>
      <c r="EC167" s="121"/>
      <c r="ED167" s="452"/>
      <c r="EE167" s="338"/>
      <c r="EF167" s="62"/>
      <c r="EG167" s="49"/>
      <c r="EH167" s="406"/>
    </row>
    <row r="168" spans="1:138">
      <c r="A168" s="13" t="s">
        <v>153</v>
      </c>
      <c r="J168" s="396"/>
      <c r="K168" s="46"/>
      <c r="L168" s="242">
        <v>429</v>
      </c>
      <c r="M168" s="46"/>
      <c r="N168" s="239"/>
      <c r="O168" s="48"/>
      <c r="P168" s="48">
        <f t="shared" si="534"/>
        <v>685</v>
      </c>
      <c r="Q168" s="62">
        <f>'Cash Flow Statement'!H19</f>
        <v>1114</v>
      </c>
      <c r="R168" s="419">
        <v>80</v>
      </c>
      <c r="S168" s="46">
        <f t="shared" si="535"/>
        <v>-289</v>
      </c>
      <c r="T168" s="242">
        <v>-209</v>
      </c>
      <c r="U168" s="46">
        <f t="shared" si="536"/>
        <v>-31</v>
      </c>
      <c r="V168" s="242">
        <v>-240</v>
      </c>
      <c r="W168" s="48"/>
      <c r="X168" s="48">
        <f t="shared" si="537"/>
        <v>814</v>
      </c>
      <c r="Y168" s="62">
        <f>'Cash Flow Statement'!I19</f>
        <v>605</v>
      </c>
      <c r="Z168" s="419">
        <v>42</v>
      </c>
      <c r="AA168" s="46">
        <f>AB168-Z168</f>
        <v>-62</v>
      </c>
      <c r="AB168" s="242">
        <v>-20</v>
      </c>
      <c r="AC168" s="46">
        <f t="shared" si="557"/>
        <v>105</v>
      </c>
      <c r="AD168" s="242">
        <v>85</v>
      </c>
      <c r="AE168" s="48">
        <f t="shared" si="538"/>
        <v>330</v>
      </c>
      <c r="AF168" s="48">
        <f t="shared" si="522"/>
        <v>435</v>
      </c>
      <c r="AG168" s="62">
        <f>'Cash Flow Statement'!J19</f>
        <v>415</v>
      </c>
      <c r="AH168" s="419">
        <v>-60</v>
      </c>
      <c r="AI168" s="46">
        <f t="shared" si="521"/>
        <v>-301</v>
      </c>
      <c r="AJ168" s="242">
        <v>-361</v>
      </c>
      <c r="AK168" s="46">
        <f t="shared" si="558"/>
        <v>191</v>
      </c>
      <c r="AL168" s="242">
        <v>-170</v>
      </c>
      <c r="AM168" s="48">
        <f t="shared" si="539"/>
        <v>116</v>
      </c>
      <c r="AN168" s="48">
        <f t="shared" si="523"/>
        <v>307</v>
      </c>
      <c r="AO168" s="62">
        <f>'Cash Flow Statement'!K19</f>
        <v>-54</v>
      </c>
      <c r="AP168" s="419">
        <v>-88</v>
      </c>
      <c r="AQ168" s="46">
        <f t="shared" si="561"/>
        <v>581</v>
      </c>
      <c r="AR168" s="242">
        <v>493</v>
      </c>
      <c r="AS168" s="46">
        <f t="shared" si="559"/>
        <v>-287</v>
      </c>
      <c r="AT168" s="242">
        <v>206</v>
      </c>
      <c r="AU168" s="48">
        <f t="shared" si="540"/>
        <v>1115</v>
      </c>
      <c r="AV168" s="48">
        <f t="shared" si="524"/>
        <v>828</v>
      </c>
      <c r="AW168" s="451">
        <v>1321</v>
      </c>
      <c r="AX168" s="419">
        <v>-276</v>
      </c>
      <c r="AY168" s="46">
        <f t="shared" si="562"/>
        <v>-201</v>
      </c>
      <c r="AZ168" s="242">
        <v>-477</v>
      </c>
      <c r="BA168" s="46">
        <f t="shared" si="541"/>
        <v>4</v>
      </c>
      <c r="BB168" s="242">
        <v>-473</v>
      </c>
      <c r="BC168" s="156">
        <v>1115</v>
      </c>
      <c r="BD168" s="156">
        <v>828</v>
      </c>
      <c r="BE168" s="451">
        <v>805</v>
      </c>
      <c r="BF168" s="372"/>
      <c r="BG168" s="62"/>
      <c r="BH168" s="62"/>
      <c r="BI168" s="62"/>
      <c r="BJ168" s="62"/>
      <c r="BK168" s="62"/>
      <c r="BL168" s="62"/>
      <c r="BM168" s="62"/>
      <c r="BN168" s="396"/>
      <c r="BO168" s="46"/>
      <c r="BP168" s="239"/>
      <c r="BQ168" s="46"/>
      <c r="BR168" s="239"/>
      <c r="BS168" s="48"/>
      <c r="BT168" s="48"/>
      <c r="BU168" s="62">
        <f>'Cash Flow Statement'!N19</f>
        <v>1952</v>
      </c>
      <c r="BV168" s="396"/>
      <c r="BW168" s="46"/>
      <c r="BX168" s="239"/>
      <c r="BY168" s="46"/>
      <c r="BZ168" s="239"/>
      <c r="CA168" s="48"/>
      <c r="CB168" s="48"/>
      <c r="CC168" s="62">
        <f>'Cash Flow Statement'!O19</f>
        <v>475</v>
      </c>
      <c r="CD168" s="427">
        <v>-315</v>
      </c>
      <c r="CE168" s="254">
        <f t="shared" si="525"/>
        <v>415</v>
      </c>
      <c r="CF168" s="255">
        <v>100</v>
      </c>
      <c r="CG168" s="254">
        <f t="shared" si="542"/>
        <v>1188</v>
      </c>
      <c r="CH168" s="255">
        <v>1288</v>
      </c>
      <c r="CI168" s="254">
        <f t="shared" si="543"/>
        <v>-150</v>
      </c>
      <c r="CJ168" s="254">
        <f t="shared" si="544"/>
        <v>1038</v>
      </c>
      <c r="CK168" s="254">
        <f>'Cash Flow Statement'!P19</f>
        <v>1138</v>
      </c>
      <c r="CL168" s="732">
        <v>-442</v>
      </c>
      <c r="CM168" s="417">
        <f t="shared" si="526"/>
        <v>-886</v>
      </c>
      <c r="CN168" s="733">
        <v>-1328</v>
      </c>
      <c r="CO168" s="417">
        <f t="shared" si="545"/>
        <v>-293</v>
      </c>
      <c r="CP168" s="733">
        <v>-1621</v>
      </c>
      <c r="CQ168" s="417">
        <f t="shared" si="546"/>
        <v>-313</v>
      </c>
      <c r="CR168" s="691">
        <f t="shared" si="547"/>
        <v>-606</v>
      </c>
      <c r="CS168" s="121">
        <f>'Cash Flow Statement'!Q19</f>
        <v>-1934</v>
      </c>
      <c r="CT168" s="693">
        <v>-532</v>
      </c>
      <c r="CU168" s="121">
        <f t="shared" si="527"/>
        <v>-682</v>
      </c>
      <c r="CV168" s="705">
        <v>-1214</v>
      </c>
      <c r="CW168" s="121">
        <f t="shared" si="548"/>
        <v>429</v>
      </c>
      <c r="CX168" s="452">
        <v>-785</v>
      </c>
      <c r="CY168" s="692">
        <f t="shared" si="549"/>
        <v>-231</v>
      </c>
      <c r="CZ168" s="121">
        <f t="shared" si="550"/>
        <v>198</v>
      </c>
      <c r="DA168" s="121">
        <f>INDEX('Cash Flow Statement'!19:19,MATCH(Interims!DA$1,'Income Statement'!$2:$2,0))</f>
        <v>-1016</v>
      </c>
      <c r="DB168" s="693">
        <v>-177</v>
      </c>
      <c r="DC168" s="121">
        <f t="shared" si="528"/>
        <v>-306</v>
      </c>
      <c r="DD168" s="705">
        <v>-483</v>
      </c>
      <c r="DE168" s="121">
        <f t="shared" si="551"/>
        <v>164</v>
      </c>
      <c r="DF168" s="452">
        <v>-319</v>
      </c>
      <c r="DG168" s="692">
        <f t="shared" si="552"/>
        <v>205</v>
      </c>
      <c r="DH168" s="121">
        <f t="shared" si="553"/>
        <v>369</v>
      </c>
      <c r="DI168" s="121">
        <f>INDEX('Cash Flow Statement'!19:19,MATCH(Interims!DI$1,'Income Statement'!$2:$2,0))</f>
        <v>-114</v>
      </c>
      <c r="DJ168" s="693">
        <v>115</v>
      </c>
      <c r="DK168" s="62">
        <f t="shared" si="529"/>
        <v>102</v>
      </c>
      <c r="DL168" s="705">
        <v>217</v>
      </c>
      <c r="DM168" s="121">
        <f t="shared" si="554"/>
        <v>-208</v>
      </c>
      <c r="DN168" s="452">
        <v>9</v>
      </c>
      <c r="DO168" s="338">
        <f t="shared" si="555"/>
        <v>157</v>
      </c>
      <c r="DP168" s="62">
        <f t="shared" si="556"/>
        <v>-51</v>
      </c>
      <c r="DQ168" s="62">
        <f>INDEX('Cash Flow Statement'!19:19,MATCH(Interims!DQ$1,'Income Statement'!$2:$2,0))</f>
        <v>166</v>
      </c>
      <c r="DR168" s="693">
        <v>136</v>
      </c>
      <c r="DS168" s="121">
        <f t="shared" si="530"/>
        <v>-212</v>
      </c>
      <c r="DT168" s="705">
        <v>-76</v>
      </c>
      <c r="DU168" s="121">
        <f t="shared" si="531"/>
        <v>166</v>
      </c>
      <c r="DV168" s="452">
        <v>90</v>
      </c>
      <c r="DW168" s="338">
        <f t="shared" si="560"/>
        <v>224</v>
      </c>
      <c r="DX168" s="62">
        <f t="shared" si="532"/>
        <v>390</v>
      </c>
      <c r="DY168" s="62">
        <f>INDEX('Cash Flow Statement'!19:19,MATCH(Interims!DY$1,'Income Statement'!$2:$2,0))</f>
        <v>314</v>
      </c>
      <c r="DZ168" s="693">
        <v>-69</v>
      </c>
      <c r="EA168" s="121">
        <f t="shared" si="533"/>
        <v>-233</v>
      </c>
      <c r="EB168" s="705">
        <v>-302</v>
      </c>
      <c r="EC168" s="121"/>
      <c r="ED168" s="452"/>
      <c r="EE168" s="338"/>
      <c r="EF168" s="62"/>
      <c r="EG168" s="49"/>
      <c r="EH168" s="406"/>
    </row>
    <row r="169" spans="1:138">
      <c r="A169" s="13" t="s">
        <v>367</v>
      </c>
      <c r="J169" s="396"/>
      <c r="K169" s="46"/>
      <c r="L169" s="242">
        <v>-320</v>
      </c>
      <c r="M169" s="46"/>
      <c r="N169" s="239"/>
      <c r="O169" s="48"/>
      <c r="P169" s="48">
        <f t="shared" si="534"/>
        <v>320</v>
      </c>
      <c r="Q169" s="462"/>
      <c r="R169" s="419">
        <v>-12</v>
      </c>
      <c r="S169" s="46">
        <f t="shared" si="535"/>
        <v>-12</v>
      </c>
      <c r="T169" s="242">
        <v>-24</v>
      </c>
      <c r="U169" s="46">
        <f t="shared" si="536"/>
        <v>-11</v>
      </c>
      <c r="V169" s="242">
        <v>-35</v>
      </c>
      <c r="W169" s="48"/>
      <c r="X169" s="48">
        <f t="shared" si="537"/>
        <v>24</v>
      </c>
      <c r="Y169" s="462"/>
      <c r="Z169" s="419">
        <v>-13</v>
      </c>
      <c r="AA169" s="46">
        <f>AB169-Z169</f>
        <v>-323</v>
      </c>
      <c r="AB169" s="242">
        <v>-336</v>
      </c>
      <c r="AC169" s="46">
        <f t="shared" si="557"/>
        <v>-13</v>
      </c>
      <c r="AD169" s="242">
        <v>-349</v>
      </c>
      <c r="AE169" s="48">
        <f t="shared" si="538"/>
        <v>349</v>
      </c>
      <c r="AF169" s="48">
        <f t="shared" si="522"/>
        <v>336</v>
      </c>
      <c r="AG169" s="462"/>
      <c r="AH169" s="419">
        <v>-14</v>
      </c>
      <c r="AI169" s="46">
        <f t="shared" si="521"/>
        <v>-73</v>
      </c>
      <c r="AJ169" s="242">
        <v>-87</v>
      </c>
      <c r="AK169" s="46">
        <f t="shared" si="558"/>
        <v>-12</v>
      </c>
      <c r="AL169" s="242">
        <v>-99</v>
      </c>
      <c r="AM169" s="48">
        <f t="shared" si="539"/>
        <v>99</v>
      </c>
      <c r="AN169" s="48">
        <f t="shared" si="523"/>
        <v>87</v>
      </c>
      <c r="AO169" s="462"/>
      <c r="AP169" s="419">
        <v>-57</v>
      </c>
      <c r="AQ169" s="46">
        <f t="shared" si="561"/>
        <v>-117</v>
      </c>
      <c r="AR169" s="242">
        <v>-174</v>
      </c>
      <c r="AS169" s="46">
        <f t="shared" si="559"/>
        <v>-29</v>
      </c>
      <c r="AT169" s="242">
        <v>-203</v>
      </c>
      <c r="AU169" s="48">
        <f t="shared" si="540"/>
        <v>-87</v>
      </c>
      <c r="AV169" s="48">
        <f t="shared" si="524"/>
        <v>-116</v>
      </c>
      <c r="AW169" s="452">
        <v>-290</v>
      </c>
      <c r="AX169" s="419">
        <v>-106</v>
      </c>
      <c r="AY169" s="46">
        <f t="shared" si="562"/>
        <v>-40</v>
      </c>
      <c r="AZ169" s="242">
        <v>-146</v>
      </c>
      <c r="BA169" s="46">
        <f t="shared" si="541"/>
        <v>-25</v>
      </c>
      <c r="BB169" s="242">
        <v>-171</v>
      </c>
      <c r="BC169" s="156">
        <v>-87</v>
      </c>
      <c r="BD169" s="156">
        <v>-116</v>
      </c>
      <c r="BE169" s="452">
        <v>-458</v>
      </c>
      <c r="BF169" s="453"/>
      <c r="BG169" s="121"/>
      <c r="BH169" s="121"/>
      <c r="BI169" s="121"/>
      <c r="BJ169" s="121"/>
      <c r="BK169" s="121"/>
      <c r="BL169" s="121"/>
      <c r="BM169" s="121"/>
      <c r="BN169" s="396"/>
      <c r="BO169" s="46"/>
      <c r="BP169" s="239"/>
      <c r="BQ169" s="46"/>
      <c r="BR169" s="239"/>
      <c r="BS169" s="48"/>
      <c r="BT169" s="48"/>
      <c r="BU169" s="121"/>
      <c r="BV169" s="396"/>
      <c r="BW169" s="46"/>
      <c r="BX169" s="239"/>
      <c r="BY169" s="46"/>
      <c r="BZ169" s="239"/>
      <c r="CA169" s="48"/>
      <c r="CB169" s="48"/>
      <c r="CC169" s="121"/>
      <c r="CD169" s="427">
        <v>-132</v>
      </c>
      <c r="CE169" s="254">
        <f t="shared" si="525"/>
        <v>-71</v>
      </c>
      <c r="CF169" s="255">
        <v>-203</v>
      </c>
      <c r="CG169" s="254">
        <f t="shared" si="542"/>
        <v>-58</v>
      </c>
      <c r="CH169" s="255">
        <v>-261</v>
      </c>
      <c r="CI169" s="254">
        <f t="shared" si="543"/>
        <v>261</v>
      </c>
      <c r="CJ169" s="254">
        <f t="shared" si="544"/>
        <v>203</v>
      </c>
      <c r="CK169" s="417"/>
      <c r="CL169" s="732">
        <v>-175</v>
      </c>
      <c r="CM169" s="417">
        <f t="shared" si="526"/>
        <v>0</v>
      </c>
      <c r="CN169" s="733">
        <v>-175</v>
      </c>
      <c r="CO169" s="417">
        <f t="shared" si="545"/>
        <v>-69</v>
      </c>
      <c r="CP169" s="733">
        <v>-244</v>
      </c>
      <c r="CQ169" s="417">
        <f t="shared" si="546"/>
        <v>244</v>
      </c>
      <c r="CR169" s="691">
        <f t="shared" si="547"/>
        <v>175</v>
      </c>
      <c r="CS169" s="121"/>
      <c r="CT169" s="693">
        <v>-70</v>
      </c>
      <c r="CU169" s="121">
        <f t="shared" si="527"/>
        <v>-317</v>
      </c>
      <c r="CV169" s="705">
        <v>-387</v>
      </c>
      <c r="CW169" s="121">
        <f t="shared" si="548"/>
        <v>-71</v>
      </c>
      <c r="CX169" s="452">
        <v>-458</v>
      </c>
      <c r="CY169" s="692">
        <f t="shared" si="549"/>
        <v>458</v>
      </c>
      <c r="CZ169" s="121">
        <f t="shared" si="550"/>
        <v>387</v>
      </c>
      <c r="DA169" s="121"/>
      <c r="DB169" s="693">
        <v>-70</v>
      </c>
      <c r="DC169" s="121">
        <f t="shared" si="528"/>
        <v>-131</v>
      </c>
      <c r="DD169" s="705">
        <v>-201</v>
      </c>
      <c r="DE169" s="121">
        <f t="shared" si="551"/>
        <v>-76</v>
      </c>
      <c r="DF169" s="452">
        <v>-277</v>
      </c>
      <c r="DG169" s="692">
        <f t="shared" si="552"/>
        <v>277</v>
      </c>
      <c r="DH169" s="121">
        <f t="shared" si="553"/>
        <v>201</v>
      </c>
      <c r="DI169" s="121"/>
      <c r="DJ169" s="693">
        <v>-74</v>
      </c>
      <c r="DK169" s="62">
        <f t="shared" si="529"/>
        <v>-102</v>
      </c>
      <c r="DL169" s="705">
        <v>-176</v>
      </c>
      <c r="DM169" s="121">
        <f t="shared" si="554"/>
        <v>-77</v>
      </c>
      <c r="DN169" s="452">
        <v>-253</v>
      </c>
      <c r="DO169" s="338">
        <f t="shared" si="555"/>
        <v>253</v>
      </c>
      <c r="DP169" s="62">
        <f t="shared" si="556"/>
        <v>176</v>
      </c>
      <c r="DQ169" s="121"/>
      <c r="DR169" s="693">
        <v>-75</v>
      </c>
      <c r="DS169" s="121">
        <f t="shared" si="530"/>
        <v>-82</v>
      </c>
      <c r="DT169" s="705">
        <v>-157</v>
      </c>
      <c r="DU169" s="121">
        <f t="shared" si="531"/>
        <v>-81</v>
      </c>
      <c r="DV169" s="452">
        <v>-238</v>
      </c>
      <c r="DW169" s="338">
        <f t="shared" si="560"/>
        <v>238</v>
      </c>
      <c r="DX169" s="62">
        <f t="shared" si="532"/>
        <v>157</v>
      </c>
      <c r="DY169" s="121"/>
      <c r="DZ169" s="693">
        <v>-77</v>
      </c>
      <c r="EA169" s="121">
        <f t="shared" si="533"/>
        <v>-80</v>
      </c>
      <c r="EB169" s="705">
        <v>-157</v>
      </c>
      <c r="EC169" s="121"/>
      <c r="ED169" s="452"/>
      <c r="EE169" s="338"/>
      <c r="EF169" s="62"/>
      <c r="EG169" s="108"/>
      <c r="EH169" s="406"/>
    </row>
    <row r="170" spans="1:138">
      <c r="A170" s="13" t="s">
        <v>368</v>
      </c>
      <c r="J170" s="396"/>
      <c r="K170" s="46"/>
      <c r="L170" s="242">
        <v>-2808</v>
      </c>
      <c r="M170" s="46"/>
      <c r="N170" s="239"/>
      <c r="O170" s="48"/>
      <c r="P170" s="48">
        <f t="shared" si="534"/>
        <v>1997</v>
      </c>
      <c r="Q170" s="62">
        <f>SUM('Cash Flow Statement'!H6:H9,'Cash Flow Statement'!H20:H26)</f>
        <v>-811</v>
      </c>
      <c r="R170" s="419">
        <v>-3117</v>
      </c>
      <c r="S170" s="46">
        <f t="shared" si="535"/>
        <v>-1246</v>
      </c>
      <c r="T170" s="242">
        <v>-4363</v>
      </c>
      <c r="U170" s="46">
        <f t="shared" si="536"/>
        <v>-1068</v>
      </c>
      <c r="V170" s="242">
        <v>-5431</v>
      </c>
      <c r="W170" s="48"/>
      <c r="X170" s="48" t="e">
        <f t="shared" si="537"/>
        <v>#REF!</v>
      </c>
      <c r="Y170" s="62" t="e">
        <f>SUM('Cash Flow Statement'!I6:I9,'Cash Flow Statement'!I20:I26)</f>
        <v>#REF!</v>
      </c>
      <c r="Z170" s="419">
        <v>-2545</v>
      </c>
      <c r="AA170" s="46">
        <f>AB170-Z170</f>
        <v>-1479</v>
      </c>
      <c r="AB170" s="242">
        <v>-4024</v>
      </c>
      <c r="AC170" s="46">
        <f t="shared" si="557"/>
        <v>-144</v>
      </c>
      <c r="AD170" s="242">
        <v>-4168</v>
      </c>
      <c r="AE170" s="48">
        <f t="shared" si="538"/>
        <v>1436</v>
      </c>
      <c r="AF170" s="48">
        <f t="shared" si="522"/>
        <v>1292</v>
      </c>
      <c r="AG170" s="62">
        <f>SUM('Cash Flow Statement'!J6:J9,'Cash Flow Statement'!J20:J26)</f>
        <v>-2732</v>
      </c>
      <c r="AH170" s="419">
        <v>-1227</v>
      </c>
      <c r="AI170" s="46">
        <f t="shared" si="521"/>
        <v>-874</v>
      </c>
      <c r="AJ170" s="242">
        <v>-2101</v>
      </c>
      <c r="AK170" s="46">
        <f t="shared" si="558"/>
        <v>-1201</v>
      </c>
      <c r="AL170" s="242">
        <v>-3302</v>
      </c>
      <c r="AM170" s="48">
        <f t="shared" si="539"/>
        <v>2623</v>
      </c>
      <c r="AN170" s="48">
        <f t="shared" si="523"/>
        <v>1422</v>
      </c>
      <c r="AO170" s="62">
        <f>SUM('Cash Flow Statement'!K6:K9,'Cash Flow Statement'!K20:K26)</f>
        <v>-679</v>
      </c>
      <c r="AP170" s="419">
        <v>-2814</v>
      </c>
      <c r="AQ170" s="46">
        <f t="shared" si="561"/>
        <v>317</v>
      </c>
      <c r="AR170" s="242">
        <v>-2497</v>
      </c>
      <c r="AS170" s="46">
        <f t="shared" si="559"/>
        <v>-1079</v>
      </c>
      <c r="AT170" s="242">
        <v>-3576</v>
      </c>
      <c r="AU170" s="48">
        <f t="shared" si="540"/>
        <v>4821</v>
      </c>
      <c r="AV170" s="48">
        <f t="shared" si="524"/>
        <v>3742</v>
      </c>
      <c r="AW170" s="451">
        <v>1245</v>
      </c>
      <c r="AX170" s="419">
        <v>-1337</v>
      </c>
      <c r="AY170" s="46">
        <f t="shared" si="562"/>
        <v>-1802</v>
      </c>
      <c r="AZ170" s="242">
        <v>-3139</v>
      </c>
      <c r="BA170" s="46">
        <f t="shared" si="541"/>
        <v>-1320</v>
      </c>
      <c r="BB170" s="242">
        <v>-4459</v>
      </c>
      <c r="BC170" s="156">
        <v>4821</v>
      </c>
      <c r="BD170" s="156">
        <v>3742</v>
      </c>
      <c r="BE170" s="451">
        <v>266</v>
      </c>
      <c r="BF170" s="372"/>
      <c r="BG170" s="62"/>
      <c r="BH170" s="62"/>
      <c r="BI170" s="62"/>
      <c r="BJ170" s="62"/>
      <c r="BK170" s="62"/>
      <c r="BL170" s="62"/>
      <c r="BM170" s="62"/>
      <c r="BN170" s="396"/>
      <c r="BO170" s="46"/>
      <c r="BP170" s="239"/>
      <c r="BQ170" s="46"/>
      <c r="BR170" s="239"/>
      <c r="BS170" s="48"/>
      <c r="BT170" s="48"/>
      <c r="BU170" s="62">
        <f>SUM('Cash Flow Statement'!N6:N9,'Cash Flow Statement'!N20:N26)</f>
        <v>-3026</v>
      </c>
      <c r="BV170" s="396"/>
      <c r="BW170" s="46"/>
      <c r="BX170" s="239"/>
      <c r="BY170" s="46"/>
      <c r="BZ170" s="239"/>
      <c r="CA170" s="48"/>
      <c r="CB170" s="48"/>
      <c r="CC170" s="62">
        <f>SUM('Cash Flow Statement'!O6:O9,'Cash Flow Statement'!O20:O26)</f>
        <v>539</v>
      </c>
      <c r="CD170" s="427">
        <v>-7772</v>
      </c>
      <c r="CE170" s="254">
        <f t="shared" si="525"/>
        <v>-4166</v>
      </c>
      <c r="CF170" s="255">
        <v>-11938</v>
      </c>
      <c r="CG170" s="254">
        <f t="shared" si="542"/>
        <v>-378</v>
      </c>
      <c r="CH170" s="255">
        <v>-12316</v>
      </c>
      <c r="CI170" s="254">
        <f t="shared" si="543"/>
        <v>3913</v>
      </c>
      <c r="CJ170" s="254">
        <f t="shared" si="544"/>
        <v>3535</v>
      </c>
      <c r="CK170" s="254">
        <f>SUM('Cash Flow Statement'!P6:P9,'Cash Flow Statement'!P20:P26)</f>
        <v>-8403</v>
      </c>
      <c r="CL170" s="732">
        <v>1040</v>
      </c>
      <c r="CM170" s="417">
        <f t="shared" si="526"/>
        <v>-300</v>
      </c>
      <c r="CN170" s="733">
        <v>740</v>
      </c>
      <c r="CO170" s="417">
        <f t="shared" si="545"/>
        <v>90</v>
      </c>
      <c r="CP170" s="733">
        <v>830</v>
      </c>
      <c r="CQ170" s="417">
        <f t="shared" si="546"/>
        <v>798</v>
      </c>
      <c r="CR170" s="691">
        <f t="shared" si="547"/>
        <v>888</v>
      </c>
      <c r="CS170" s="121">
        <f>SUM('Cash Flow Statement'!Q6:Q9,'Cash Flow Statement'!Q20:Q26)</f>
        <v>1628</v>
      </c>
      <c r="CT170" s="693">
        <v>-662</v>
      </c>
      <c r="CU170" s="121">
        <f t="shared" si="527"/>
        <v>985</v>
      </c>
      <c r="CV170" s="705">
        <v>323</v>
      </c>
      <c r="CW170" s="121">
        <f t="shared" si="548"/>
        <v>-245</v>
      </c>
      <c r="CX170" s="452">
        <v>78</v>
      </c>
      <c r="CY170" s="692">
        <f t="shared" si="549"/>
        <v>903</v>
      </c>
      <c r="CZ170" s="121">
        <f t="shared" si="550"/>
        <v>658</v>
      </c>
      <c r="DA170" s="121">
        <f>INDEX('Cash Flow Statement'!6:6,MATCH(DA$1,'Income Statement'!$2:$2,0))+INDEX('Cash Flow Statement'!7:7,MATCH(DA$1,'Income Statement'!$2:$2,0))+INDEX('Cash Flow Statement'!8:8,MATCH(DA$1,'Income Statement'!$2:$2,0))+INDEX('Cash Flow Statement'!9:9,MATCH(DA$1,'Income Statement'!$2:$2,0))+INDEX('Cash Flow Statement'!20:20,MATCH(DA$1,'Income Statement'!$2:$2,0))+INDEX('Cash Flow Statement'!21:21,MATCH(DA$1,'Income Statement'!$2:$2,0))+INDEX('Cash Flow Statement'!22:22,MATCH(DA$1,'Income Statement'!$2:$2,0))+INDEX('Cash Flow Statement'!24:24,MATCH(DA$1,'Income Statement'!$2:$2,0))+INDEX('Cash Flow Statement'!25:25,MATCH(DA$1,'Income Statement'!$2:$2,0))+INDEX('Cash Flow Statement'!26:26,MATCH(DA$1,'Income Statement'!$2:$2,0))</f>
        <v>981</v>
      </c>
      <c r="DB170" s="693">
        <v>-737</v>
      </c>
      <c r="DC170" s="121">
        <f t="shared" si="528"/>
        <v>1385</v>
      </c>
      <c r="DD170" s="705">
        <v>648</v>
      </c>
      <c r="DE170" s="121">
        <f t="shared" si="551"/>
        <v>-1590</v>
      </c>
      <c r="DF170" s="452">
        <v>-942</v>
      </c>
      <c r="DG170" s="692">
        <f t="shared" si="552"/>
        <v>1588</v>
      </c>
      <c r="DH170" s="121">
        <f t="shared" si="553"/>
        <v>-2</v>
      </c>
      <c r="DI170" s="121">
        <f>INDEX('Cash Flow Statement'!6:6,MATCH(DI$1,'Income Statement'!$2:$2,0))+INDEX('Cash Flow Statement'!7:7,MATCH(DI$1,'Income Statement'!$2:$2,0))+INDEX('Cash Flow Statement'!8:8,MATCH(DI$1,'Income Statement'!$2:$2,0))+INDEX('Cash Flow Statement'!9:9,MATCH(DI$1,'Income Statement'!$2:$2,0))+INDEX('Cash Flow Statement'!20:20,MATCH(DI$1,'Income Statement'!$2:$2,0))+INDEX('Cash Flow Statement'!21:21,MATCH(DI$1,'Income Statement'!$2:$2,0))+INDEX('Cash Flow Statement'!22:22,MATCH(DI$1,'Income Statement'!$2:$2,0))+INDEX('Cash Flow Statement'!24:24,MATCH(DI$1,'Income Statement'!$2:$2,0))+INDEX('Cash Flow Statement'!25:25,MATCH(DI$1,'Income Statement'!$2:$2,0))+INDEX('Cash Flow Statement'!26:26,MATCH(DI$1,'Income Statement'!$2:$2,0))</f>
        <v>646</v>
      </c>
      <c r="DJ170" s="693">
        <v>-2284</v>
      </c>
      <c r="DK170" s="62">
        <f t="shared" si="529"/>
        <v>740</v>
      </c>
      <c r="DL170" s="705">
        <v>-1544</v>
      </c>
      <c r="DM170" s="121">
        <f t="shared" si="554"/>
        <v>-679</v>
      </c>
      <c r="DN170" s="452">
        <v>-2223</v>
      </c>
      <c r="DO170" s="338">
        <f t="shared" si="555"/>
        <v>3048</v>
      </c>
      <c r="DP170" s="62">
        <f t="shared" si="556"/>
        <v>2369</v>
      </c>
      <c r="DQ170" s="62">
        <f>INDEX('Cash Flow Statement'!6:6,MATCH(DQ$1,'Income Statement'!$2:$2,0))+INDEX('Cash Flow Statement'!7:7,MATCH(DQ$1,'Income Statement'!$2:$2,0))+INDEX('Cash Flow Statement'!8:8,MATCH(DQ$1,'Income Statement'!$2:$2,0))+INDEX('Cash Flow Statement'!9:9,MATCH(DQ$1,'Income Statement'!$2:$2,0))+INDEX('Cash Flow Statement'!20:20,MATCH(DQ$1,'Income Statement'!$2:$2,0))+INDEX('Cash Flow Statement'!21:21,MATCH(DQ$1,'Income Statement'!$2:$2,0))+INDEX('Cash Flow Statement'!22:22,MATCH(DQ$1,'Income Statement'!$2:$2,0))+INDEX('Cash Flow Statement'!24:24,MATCH(DQ$1,'Income Statement'!$2:$2,0))+INDEX('Cash Flow Statement'!25:25,MATCH(DQ$1,'Income Statement'!$2:$2,0))+INDEX('Cash Flow Statement'!26:26,MATCH(DQ$1,'Income Statement'!$2:$2,0))</f>
        <v>825</v>
      </c>
      <c r="DR170" s="693">
        <v>-900</v>
      </c>
      <c r="DS170" s="121">
        <f t="shared" si="530"/>
        <v>-2134</v>
      </c>
      <c r="DT170" s="705">
        <v>-3034</v>
      </c>
      <c r="DU170" s="121">
        <f t="shared" si="531"/>
        <v>-637</v>
      </c>
      <c r="DV170" s="452">
        <v>-3671</v>
      </c>
      <c r="DW170" s="338">
        <f>DY170-DV170</f>
        <v>3515</v>
      </c>
      <c r="DX170" s="62">
        <f t="shared" si="532"/>
        <v>2878</v>
      </c>
      <c r="DY170" s="62">
        <f>INDEX('Cash Flow Statement'!6:6,MATCH(DY$1,'Income Statement'!$2:$2,0))+INDEX('Cash Flow Statement'!7:7,MATCH(DY$1,'Income Statement'!$2:$2,0))+INDEX('Cash Flow Statement'!8:8,MATCH(DY$1,'Income Statement'!$2:$2,0))+INDEX('Cash Flow Statement'!9:9,MATCH(DY$1,'Income Statement'!$2:$2,0))+INDEX('Cash Flow Statement'!20:20,MATCH(DY$1,'Income Statement'!$2:$2,0))+INDEX('Cash Flow Statement'!21:21,MATCH(DY$1,'Income Statement'!$2:$2,0))+INDEX('Cash Flow Statement'!22:22,MATCH(DY$1,'Income Statement'!$2:$2,0))+INDEX('Cash Flow Statement'!24:24,MATCH(DY$1,'Income Statement'!$2:$2,0))+INDEX('Cash Flow Statement'!25:25,MATCH(DY$1,'Income Statement'!$2:$2,0))+INDEX('Cash Flow Statement'!26:26,MATCH(DY$1,'Income Statement'!$2:$2,0))</f>
        <v>-156</v>
      </c>
      <c r="DZ170" s="693">
        <v>-2886</v>
      </c>
      <c r="EA170" s="121">
        <f t="shared" si="533"/>
        <v>-1527</v>
      </c>
      <c r="EB170" s="705">
        <v>-4413</v>
      </c>
      <c r="EC170" s="121"/>
      <c r="ED170" s="452"/>
      <c r="EE170" s="338"/>
      <c r="EF170" s="62"/>
      <c r="EG170" s="49"/>
      <c r="EH170" s="406"/>
    </row>
    <row r="171" spans="1:138" s="36" customFormat="1">
      <c r="A171" s="181" t="s">
        <v>369</v>
      </c>
      <c r="B171" s="182"/>
      <c r="C171" s="182"/>
      <c r="D171" s="182"/>
      <c r="E171" s="182"/>
      <c r="F171" s="182"/>
      <c r="G171" s="182"/>
      <c r="H171" s="182"/>
      <c r="I171" s="182"/>
      <c r="J171" s="440"/>
      <c r="K171" s="182"/>
      <c r="L171" s="251">
        <f>SUM(L159:L170)</f>
        <v>-999</v>
      </c>
      <c r="M171" s="183"/>
      <c r="N171" s="252"/>
      <c r="O171" s="182"/>
      <c r="P171" s="182">
        <f t="shared" si="534"/>
        <v>4839</v>
      </c>
      <c r="Q171" s="182">
        <f>SUM(Q159:Q170)</f>
        <v>3840</v>
      </c>
      <c r="R171" s="440">
        <f>SUM(R159:R170)</f>
        <v>-2473</v>
      </c>
      <c r="S171" s="183">
        <f>SUM(S159:S170)</f>
        <v>-179</v>
      </c>
      <c r="T171" s="251">
        <f>SUM(T159:T170)</f>
        <v>-2652</v>
      </c>
      <c r="U171" s="183">
        <f t="shared" si="536"/>
        <v>-274</v>
      </c>
      <c r="V171" s="251">
        <f>SUM(V159:V170)</f>
        <v>-2926</v>
      </c>
      <c r="W171" s="182"/>
      <c r="X171" s="182" t="e">
        <f t="shared" si="537"/>
        <v>#REF!</v>
      </c>
      <c r="Y171" s="182" t="e">
        <f>SUM(Y159:Y170)</f>
        <v>#REF!</v>
      </c>
      <c r="Z171" s="440">
        <f>SUM(Z159:Z170)</f>
        <v>-1550</v>
      </c>
      <c r="AA171" s="183">
        <f>SUM(AA159:AA170)</f>
        <v>-246</v>
      </c>
      <c r="AB171" s="251">
        <f>SUM(AB159:AB170)</f>
        <v>-1796</v>
      </c>
      <c r="AC171" s="183">
        <f t="shared" si="557"/>
        <v>560</v>
      </c>
      <c r="AD171" s="251">
        <f>SUM(AD159:AD170)</f>
        <v>-1236</v>
      </c>
      <c r="AE171" s="182">
        <f t="shared" si="538"/>
        <v>3796</v>
      </c>
      <c r="AF171" s="182">
        <f t="shared" si="522"/>
        <v>4356</v>
      </c>
      <c r="AG171" s="182">
        <f>SUM(AG159:AG170)</f>
        <v>2560</v>
      </c>
      <c r="AH171" s="440">
        <f>SUM(AH159:AH170)</f>
        <v>-708</v>
      </c>
      <c r="AI171" s="183">
        <f>SUM(AI159:AI170)</f>
        <v>562</v>
      </c>
      <c r="AJ171" s="251">
        <f>SUM(AJ159:AJ170)</f>
        <v>-146</v>
      </c>
      <c r="AK171" s="183">
        <f t="shared" si="558"/>
        <v>-112</v>
      </c>
      <c r="AL171" s="251">
        <f>SUM(AL159:AL170)</f>
        <v>-258</v>
      </c>
      <c r="AM171" s="182">
        <f t="shared" si="539"/>
        <v>4008</v>
      </c>
      <c r="AN171" s="182">
        <f t="shared" si="523"/>
        <v>3896</v>
      </c>
      <c r="AO171" s="182">
        <f>SUM(AO159:AO170)</f>
        <v>3750</v>
      </c>
      <c r="AP171" s="440">
        <f>SUM(AP159:AP170)</f>
        <v>-2380</v>
      </c>
      <c r="AQ171" s="183">
        <f>SUM(AQ159:AQ170)</f>
        <v>989</v>
      </c>
      <c r="AR171" s="251">
        <f>SUM(AR159:AR170)</f>
        <v>-1391</v>
      </c>
      <c r="AS171" s="183">
        <f t="shared" si="559"/>
        <v>-641</v>
      </c>
      <c r="AT171" s="251">
        <f>SUM(AT159:AT170)</f>
        <v>-2032</v>
      </c>
      <c r="AU171" s="182">
        <f t="shared" si="540"/>
        <v>6401</v>
      </c>
      <c r="AV171" s="182">
        <f>AW171-AR171</f>
        <v>5760</v>
      </c>
      <c r="AW171" s="182">
        <f>SUM(AW159:AW170)</f>
        <v>4369</v>
      </c>
      <c r="AX171" s="460">
        <v>-1356</v>
      </c>
      <c r="AY171" s="183">
        <f>SUM(AY159:AY170)</f>
        <v>-564</v>
      </c>
      <c r="AZ171" s="253">
        <v>-1920</v>
      </c>
      <c r="BA171" s="183">
        <f t="shared" si="541"/>
        <v>-699</v>
      </c>
      <c r="BB171" s="251">
        <f>SUM(BB159:BB170)</f>
        <v>-2619</v>
      </c>
      <c r="BC171" s="185">
        <v>6401</v>
      </c>
      <c r="BD171" s="185">
        <v>5760</v>
      </c>
      <c r="BE171" s="182">
        <f>SUM(BE159:BE170)</f>
        <v>4444</v>
      </c>
      <c r="BF171" s="403"/>
      <c r="BG171" s="186"/>
      <c r="BH171" s="186"/>
      <c r="BI171" s="186"/>
      <c r="BJ171" s="186"/>
      <c r="BK171" s="186"/>
      <c r="BL171" s="186"/>
      <c r="BM171" s="182"/>
      <c r="BN171" s="440"/>
      <c r="BO171" s="183"/>
      <c r="BP171" s="251"/>
      <c r="BQ171" s="183"/>
      <c r="BR171" s="251"/>
      <c r="BS171" s="182"/>
      <c r="BT171" s="182"/>
      <c r="BU171" s="182">
        <f>SUM(BU159:BU170)</f>
        <v>2318</v>
      </c>
      <c r="BV171" s="440"/>
      <c r="BW171" s="183"/>
      <c r="BX171" s="251"/>
      <c r="BY171" s="183"/>
      <c r="BZ171" s="251"/>
      <c r="CA171" s="182"/>
      <c r="CB171" s="182"/>
      <c r="CC171" s="182">
        <f>SUM(CC159:CC170)</f>
        <v>3753</v>
      </c>
      <c r="CD171" s="429">
        <f t="shared" ref="CD171:CJ171" si="563">CD159+CD160+CD162+CD163+CD164+CD165+CD166+CD167+CD168+CD169+CD170</f>
        <v>-7614</v>
      </c>
      <c r="CE171" s="257">
        <f t="shared" si="563"/>
        <v>-4097</v>
      </c>
      <c r="CF171" s="258">
        <f t="shared" si="563"/>
        <v>-11711</v>
      </c>
      <c r="CG171" s="257">
        <f t="shared" si="563"/>
        <v>827</v>
      </c>
      <c r="CH171" s="258">
        <f t="shared" si="563"/>
        <v>-10884</v>
      </c>
      <c r="CI171" s="257">
        <f t="shared" si="563"/>
        <v>5464</v>
      </c>
      <c r="CJ171" s="257">
        <f t="shared" si="563"/>
        <v>6291</v>
      </c>
      <c r="CK171" s="257">
        <f>SUM(CK159:CK170)</f>
        <v>-5420</v>
      </c>
      <c r="CL171" s="735">
        <f>CL159+CL160+CL162+CL163+CL164+CL165+CL166+CL167+CL168+CL169+CL170</f>
        <v>1485</v>
      </c>
      <c r="CM171" s="736">
        <f>CM159+CM160+CM162+CM163+CM164+CM165+CM166+CM167+CM168+CM169+CM170</f>
        <v>1227</v>
      </c>
      <c r="CN171" s="736">
        <f>CN159+CN160+CN162+CN163+CN164+CN165+CN166+CN167+CN168+CN169+CN170</f>
        <v>2712</v>
      </c>
      <c r="CO171" s="736">
        <f>CO159+CO160+CO162+CO163+CO164+CO165+CO166+CO167+CO168+CO169+CO170</f>
        <v>637</v>
      </c>
      <c r="CP171" s="736">
        <f>SUM(CP159:CP170)</f>
        <v>3349</v>
      </c>
      <c r="CQ171" s="736">
        <f>CQ159+CQ160+CQ162+CQ163+CQ164+CQ165+CQ166+CQ167+CQ168+CQ169+CQ170</f>
        <v>2357</v>
      </c>
      <c r="CR171" s="737">
        <f>CR159+CR160+CR162+CR163+CR164+CR165+CR166+CR167+CR168+CR169+CR170</f>
        <v>2994</v>
      </c>
      <c r="CS171" s="321">
        <f>SUM(CS159:CS170)</f>
        <v>5706</v>
      </c>
      <c r="CT171" s="707">
        <f>CT159+CT160+CT162+CT163+CT164+CT165+CT166+CT167+CT168+CT169+CT170</f>
        <v>488</v>
      </c>
      <c r="CU171" s="321">
        <f>CU159+CU160+CU162+CU163+CU164+CU165+CU166+CU167+CU168+CU169+CU170</f>
        <v>1455</v>
      </c>
      <c r="CV171" s="708">
        <f>CV159+CV160+CV162+CV163+CV164+CV165+CV166+CV167+CV168+CV169+CV170</f>
        <v>1943</v>
      </c>
      <c r="CW171" s="321">
        <f>CW159+CW160+CW162+CW163+CW164+CW165+CW166+CW167+CW168+CW169+CW170</f>
        <v>1422</v>
      </c>
      <c r="CX171" s="321">
        <f>SUM(CX159:CX170)</f>
        <v>3365</v>
      </c>
      <c r="CY171" s="321">
        <f>CY159+CY160+CY162+CY163+CY164+CY165+CY166+CY167+CY168+CY169+CY170</f>
        <v>2923</v>
      </c>
      <c r="CZ171" s="321">
        <f>CZ159+CZ160+CZ162+CZ163+CZ164+CZ165+CZ166+CZ167+CZ168+CZ169+CZ170</f>
        <v>4345</v>
      </c>
      <c r="DA171" s="321">
        <f>SUM(DA159:DA170)</f>
        <v>6288</v>
      </c>
      <c r="DB171" s="707">
        <f>DB159+DB160+DB162+DB163+DB164+DB165+DB166+DB167+DB168+DB169+DB170</f>
        <v>-479</v>
      </c>
      <c r="DC171" s="321">
        <f>DC159+DC160+DC162+DC163+DC164+DC165+DC166+DC167+DC168+DC169+DC170</f>
        <v>2785</v>
      </c>
      <c r="DD171" s="708">
        <f>DD159+DD160+DD162+DD163+DD164+DD165+DD166+DD167+DD168+DD169+DD170</f>
        <v>2306</v>
      </c>
      <c r="DE171" s="321">
        <f>DE159+DE160+DE162+DE163+DE164+DE165+DE166+DE167+DE168+DE169+DE170</f>
        <v>-240</v>
      </c>
      <c r="DF171" s="321">
        <f>SUM(DF159:DF170)</f>
        <v>2066</v>
      </c>
      <c r="DG171" s="321">
        <f>DG159+DG160+DG162+DG163+DG164+DG165+DG166+DG167+DG168+DG169+DG170</f>
        <v>4189</v>
      </c>
      <c r="DH171" s="321">
        <f>DH159+DH160+DH162+DH163+DH164+DH165+DH166+DH167+DH168+DH169+DH170</f>
        <v>3949</v>
      </c>
      <c r="DI171" s="321">
        <f>SUM(DI159:DI170)</f>
        <v>6255</v>
      </c>
      <c r="DJ171" s="707">
        <f>DJ159+DJ160+DJ162+DJ163+DJ164+DJ165+DJ166+DJ167+DJ168+DJ169+DJ170</f>
        <v>-1399</v>
      </c>
      <c r="DK171" s="182">
        <f>DK159+DK160+DK162+DK163+DK164+DK165+DK166+DK167+DK168+DK169+DK170</f>
        <v>1806</v>
      </c>
      <c r="DL171" s="708">
        <f>DL159+DL160+DL162+DL163+DL164+DL165+DL166+DL167+DL168+DL169+DL170</f>
        <v>407</v>
      </c>
      <c r="DM171" s="321">
        <f>DM159+DM160+DM162+DM163+DM164+DM165+DM166+DM167+DM168+DM169+DM170</f>
        <v>373</v>
      </c>
      <c r="DN171" s="321">
        <f>SUM(DN159:DN170)</f>
        <v>780</v>
      </c>
      <c r="DO171" s="182">
        <f>DO159+DO160+DO162+DO163+DO164+DO165+DO166+DO167+DO168+DO169+DO170</f>
        <v>6622</v>
      </c>
      <c r="DP171" s="182">
        <f>DP159+DP160+DP162+DP163+DP164+DP165+DP166+DP167+DP168+DP169+DP170</f>
        <v>6995</v>
      </c>
      <c r="DQ171" s="182">
        <f>SUM(DQ159:DQ170)</f>
        <v>7402</v>
      </c>
      <c r="DR171" s="707">
        <f>DR159+DR160+DR162+DR163+DR164+DR165+DR166+DR167+DR168+DR169+DR170</f>
        <v>224</v>
      </c>
      <c r="DS171" s="321">
        <f>DS159+DS160+DS162+DS163+DS164+DS165+DS166+DS167+DS168+DS169+DS170</f>
        <v>-1049</v>
      </c>
      <c r="DT171" s="708">
        <f>DT159+DT160+DT162+DT163+DT164+DT165+DT166+DT167+DT168+DT169+DT170</f>
        <v>-825</v>
      </c>
      <c r="DU171" s="708">
        <f t="shared" ref="DU171:DX171" si="564">DU159+DU160+DU162+DU163+DU164+DU165+DU166+DU167+DU168+DU169+DU170</f>
        <v>1625</v>
      </c>
      <c r="DV171" s="708">
        <f t="shared" si="564"/>
        <v>800</v>
      </c>
      <c r="DW171" s="708">
        <f t="shared" si="564"/>
        <v>7195</v>
      </c>
      <c r="DX171" s="708">
        <f t="shared" si="564"/>
        <v>8820</v>
      </c>
      <c r="DY171" s="182">
        <f>SUM(DY159:DY170)</f>
        <v>7995</v>
      </c>
      <c r="DZ171" s="707">
        <f>DZ159+DZ160+DZ162+DZ163+DZ164+DZ165+DZ166+DZ167+DZ168+DZ169+DZ170</f>
        <v>-1883</v>
      </c>
      <c r="EA171" s="321">
        <f>EA159+EA160+EA162+EA163+EA164+EA165+EA166+EA167+EA168+EA169+EA170</f>
        <v>1851</v>
      </c>
      <c r="EB171" s="708">
        <f>EB159+EB160+EB162+EB163+EB164+EB165+EB166+EB167+EB168+EB169+EB170</f>
        <v>-32</v>
      </c>
      <c r="EC171" s="321"/>
      <c r="ED171" s="321"/>
      <c r="EE171" s="182"/>
      <c r="EF171" s="186"/>
      <c r="EG171" s="184"/>
      <c r="EH171" s="612"/>
    </row>
    <row r="172" spans="1:138">
      <c r="J172" s="369"/>
      <c r="R172" s="369"/>
      <c r="Z172" s="369"/>
      <c r="AH172" s="369"/>
      <c r="AP172" s="406"/>
      <c r="AX172" s="406"/>
      <c r="BF172" s="406"/>
      <c r="BN172" s="448"/>
      <c r="BV172" s="406"/>
      <c r="CD172" s="406"/>
      <c r="CL172" s="406"/>
      <c r="CT172" s="401"/>
      <c r="CU172" s="19"/>
      <c r="CV172" s="19"/>
      <c r="CW172" s="19"/>
      <c r="CX172" s="19"/>
      <c r="CY172" s="19"/>
      <c r="CZ172" s="19"/>
      <c r="DA172" s="19"/>
      <c r="DB172" s="401"/>
      <c r="DC172" s="19"/>
      <c r="DD172" s="19"/>
      <c r="DE172" s="19"/>
      <c r="DF172" s="19"/>
      <c r="DG172" s="19"/>
      <c r="DH172" s="19"/>
      <c r="DI172" s="297"/>
      <c r="DJ172" s="401"/>
      <c r="DK172" s="19"/>
      <c r="DL172" s="19"/>
      <c r="DM172" s="19"/>
      <c r="DN172" s="19"/>
      <c r="DO172" s="19"/>
      <c r="DP172" s="19"/>
      <c r="DQ172" s="19"/>
      <c r="DR172" s="401"/>
      <c r="DS172" s="19"/>
      <c r="DT172" s="19"/>
      <c r="DU172" s="19"/>
      <c r="DV172" s="19"/>
      <c r="DW172" s="19"/>
      <c r="DX172" s="19"/>
      <c r="DY172" s="19"/>
      <c r="DZ172" s="401"/>
      <c r="EA172" s="19"/>
      <c r="EB172" s="19"/>
      <c r="EC172" s="19"/>
      <c r="ED172" s="19"/>
      <c r="EE172" s="19"/>
      <c r="EF172" s="19"/>
      <c r="EG172" s="484"/>
      <c r="EH172" s="406"/>
    </row>
    <row r="173" spans="1:138">
      <c r="A173" s="313" t="s">
        <v>521</v>
      </c>
      <c r="B173" s="311"/>
      <c r="C173" s="311"/>
      <c r="D173" s="311"/>
      <c r="E173" s="311"/>
      <c r="F173" s="311"/>
      <c r="G173" s="311"/>
      <c r="H173" s="311"/>
      <c r="I173" s="311"/>
      <c r="J173" s="465"/>
      <c r="K173" s="311"/>
      <c r="L173" s="311"/>
      <c r="M173" s="311"/>
      <c r="N173" s="311"/>
      <c r="O173" s="311"/>
      <c r="P173" s="311"/>
      <c r="Q173" s="311"/>
      <c r="R173" s="465"/>
      <c r="S173" s="311"/>
      <c r="T173" s="311"/>
      <c r="U173" s="311"/>
      <c r="V173" s="311"/>
      <c r="W173" s="311"/>
      <c r="X173" s="311"/>
      <c r="Y173" s="311"/>
      <c r="Z173" s="465"/>
      <c r="AA173" s="311"/>
      <c r="AB173" s="311"/>
      <c r="AC173" s="311"/>
      <c r="AD173" s="311"/>
      <c r="AE173" s="311"/>
      <c r="AF173" s="311"/>
      <c r="AG173" s="311"/>
      <c r="AH173" s="465"/>
      <c r="AI173" s="311"/>
      <c r="AJ173" s="311"/>
      <c r="AK173" s="311"/>
      <c r="AL173" s="311"/>
      <c r="AM173" s="311"/>
      <c r="AN173" s="311"/>
      <c r="AO173" s="311"/>
      <c r="AP173" s="430"/>
      <c r="AQ173" s="310"/>
      <c r="AR173" s="310"/>
      <c r="AS173" s="310"/>
      <c r="AT173" s="310"/>
      <c r="AU173" s="310"/>
      <c r="AV173" s="310"/>
      <c r="AW173" s="310"/>
      <c r="AX173" s="430"/>
      <c r="AY173" s="310"/>
      <c r="AZ173" s="310"/>
      <c r="BA173" s="310"/>
      <c r="BB173" s="310"/>
      <c r="BC173" s="310"/>
      <c r="BD173" s="310"/>
      <c r="BE173" s="310"/>
      <c r="BF173" s="430"/>
      <c r="BG173" s="310"/>
      <c r="BH173" s="310"/>
      <c r="BI173" s="310"/>
      <c r="BJ173" s="310"/>
      <c r="BK173" s="310"/>
      <c r="BL173" s="310"/>
      <c r="BM173" s="310"/>
      <c r="BN173" s="449"/>
      <c r="BO173" s="312"/>
      <c r="BP173" s="312"/>
      <c r="BQ173" s="312"/>
      <c r="BR173" s="312"/>
      <c r="BS173" s="312"/>
      <c r="BT173" s="312"/>
      <c r="BU173" s="312"/>
      <c r="BV173" s="430"/>
      <c r="BW173" s="310"/>
      <c r="BX173" s="310"/>
      <c r="BY173" s="310"/>
      <c r="BZ173" s="310"/>
      <c r="CA173" s="310"/>
      <c r="CB173" s="310"/>
      <c r="CC173" s="310"/>
      <c r="CD173" s="430"/>
      <c r="CE173" s="310"/>
      <c r="CF173" s="310"/>
      <c r="CG173" s="310"/>
      <c r="CH173" s="310"/>
      <c r="CI173" s="310"/>
      <c r="CJ173" s="310"/>
      <c r="CK173" s="310"/>
      <c r="CL173" s="430"/>
      <c r="CM173" s="310"/>
      <c r="CN173" s="310"/>
      <c r="CO173" s="310"/>
      <c r="CP173" s="310"/>
      <c r="CQ173" s="310"/>
      <c r="CR173" s="310"/>
      <c r="CS173" s="310"/>
      <c r="CT173" s="402"/>
      <c r="CU173" s="341"/>
      <c r="CV173" s="341"/>
      <c r="CW173" s="341"/>
      <c r="CX173" s="341"/>
      <c r="CY173" s="341"/>
      <c r="CZ173" s="341"/>
      <c r="DA173" s="341"/>
      <c r="DB173" s="402"/>
      <c r="DC173" s="341"/>
      <c r="DD173" s="341"/>
      <c r="DE173" s="341"/>
      <c r="DF173" s="341"/>
      <c r="DG173" s="341"/>
      <c r="DH173" s="341"/>
      <c r="DI173" s="341"/>
      <c r="DJ173" s="402"/>
      <c r="DK173" s="341"/>
      <c r="DL173" s="341"/>
      <c r="DM173" s="341"/>
      <c r="DN173" s="341"/>
      <c r="DO173" s="341"/>
      <c r="DP173" s="341"/>
      <c r="DQ173" s="341"/>
      <c r="DR173" s="402"/>
      <c r="DS173" s="341"/>
      <c r="DT173" s="341"/>
      <c r="DU173" s="341"/>
      <c r="DV173" s="341"/>
      <c r="DW173" s="341"/>
      <c r="DX173" s="341"/>
      <c r="DY173" s="341"/>
      <c r="DZ173" s="402"/>
      <c r="EA173" s="341"/>
      <c r="EB173" s="341"/>
      <c r="EC173" s="341"/>
      <c r="ED173" s="341"/>
      <c r="EE173" s="341"/>
      <c r="EF173" s="341"/>
      <c r="EG173" s="606"/>
      <c r="EH173" s="406"/>
    </row>
    <row r="174" spans="1:138">
      <c r="A174" s="13" t="s">
        <v>14</v>
      </c>
      <c r="J174" s="369"/>
      <c r="R174" s="369"/>
      <c r="Z174" s="369"/>
      <c r="AH174" s="369"/>
      <c r="AP174" s="406"/>
      <c r="AX174" s="406"/>
      <c r="BF174" s="406"/>
      <c r="BN174" s="448"/>
      <c r="BV174" s="406"/>
      <c r="CD174" s="406"/>
      <c r="CL174" s="406"/>
      <c r="CT174" s="401"/>
      <c r="CU174" s="19"/>
      <c r="CV174" s="19"/>
      <c r="CW174" s="19"/>
      <c r="CX174" s="19"/>
      <c r="CY174" s="19"/>
      <c r="CZ174" s="19"/>
      <c r="DA174" s="19"/>
      <c r="DB174" s="401"/>
      <c r="DC174" s="19"/>
      <c r="DD174" s="19"/>
      <c r="DE174" s="19"/>
      <c r="DF174" s="19"/>
      <c r="DG174" s="19"/>
      <c r="DH174" s="19"/>
      <c r="DI174" s="19"/>
      <c r="DJ174" s="401"/>
      <c r="DK174" s="19"/>
      <c r="DL174" s="19"/>
      <c r="DM174" s="19"/>
      <c r="DN174" s="19"/>
      <c r="DO174" s="19"/>
      <c r="DP174" s="19"/>
      <c r="DQ174" s="19"/>
      <c r="DR174" s="401"/>
      <c r="DS174" s="19"/>
      <c r="DT174" s="19"/>
      <c r="DU174" s="19"/>
      <c r="DV174" s="19"/>
      <c r="DW174" s="19"/>
      <c r="DX174" s="19"/>
      <c r="DY174" s="19"/>
      <c r="DZ174" s="401"/>
      <c r="EA174" s="19"/>
      <c r="EB174" s="19"/>
      <c r="EC174" s="19"/>
      <c r="ED174" s="19"/>
      <c r="EE174" s="19"/>
      <c r="EF174" s="19"/>
      <c r="EG174" s="484"/>
      <c r="EH174" s="406"/>
    </row>
    <row r="175" spans="1:138">
      <c r="A175" s="13" t="s">
        <v>385</v>
      </c>
      <c r="J175" s="369"/>
      <c r="R175" s="369"/>
      <c r="Z175" s="369"/>
      <c r="AH175" s="369"/>
      <c r="AP175" s="406"/>
      <c r="AX175" s="406"/>
      <c r="BF175" s="406"/>
      <c r="BN175" s="448"/>
      <c r="BV175" s="406"/>
      <c r="CD175" s="406"/>
      <c r="CL175" s="406"/>
      <c r="CT175" s="401"/>
      <c r="CU175" s="19"/>
      <c r="CV175" s="19"/>
      <c r="CW175" s="19"/>
      <c r="CX175" s="19"/>
      <c r="CY175" s="19"/>
      <c r="CZ175" s="19"/>
      <c r="DA175" s="19"/>
      <c r="DB175" s="401"/>
      <c r="DC175" s="19"/>
      <c r="DD175" s="19"/>
      <c r="DE175" s="19"/>
      <c r="DF175" s="19"/>
      <c r="DG175" s="19"/>
      <c r="DH175" s="19"/>
      <c r="DI175" s="19"/>
      <c r="DJ175" s="401"/>
      <c r="DK175" s="19"/>
      <c r="DL175" s="19"/>
      <c r="DM175" s="19"/>
      <c r="DN175" s="19"/>
      <c r="DO175" s="19"/>
      <c r="DP175" s="19"/>
      <c r="DQ175" s="19"/>
      <c r="DR175" s="401"/>
      <c r="DS175" s="19"/>
      <c r="DT175" s="19"/>
      <c r="DU175" s="19"/>
      <c r="DV175" s="19"/>
      <c r="DW175" s="19"/>
      <c r="DX175" s="19"/>
      <c r="DY175" s="19"/>
      <c r="DZ175" s="401"/>
      <c r="EA175" s="19"/>
      <c r="EB175" s="19"/>
      <c r="EC175" s="19"/>
      <c r="ED175" s="19"/>
      <c r="EE175" s="19"/>
      <c r="EF175" s="19"/>
      <c r="EG175" s="484"/>
      <c r="EH175" s="406"/>
    </row>
    <row r="176" spans="1:138">
      <c r="A176" s="113" t="s">
        <v>384</v>
      </c>
      <c r="J176" s="369"/>
      <c r="R176" s="369"/>
      <c r="Z176" s="369"/>
      <c r="AH176" s="369"/>
      <c r="AP176" s="406"/>
      <c r="AX176" s="406"/>
      <c r="BF176" s="406"/>
      <c r="BN176" s="448"/>
      <c r="BV176" s="406"/>
      <c r="CD176" s="406"/>
      <c r="CL176" s="406"/>
      <c r="CT176" s="401"/>
      <c r="CU176" s="19"/>
      <c r="CV176" s="19"/>
      <c r="CW176" s="19"/>
      <c r="CX176" s="19"/>
      <c r="CY176" s="19"/>
      <c r="CZ176" s="19"/>
      <c r="DA176" s="19"/>
      <c r="DB176" s="401"/>
      <c r="DC176" s="19"/>
      <c r="DD176" s="19"/>
      <c r="DE176" s="19"/>
      <c r="DF176" s="19"/>
      <c r="DG176" s="19"/>
      <c r="DH176" s="19"/>
      <c r="DI176" s="19"/>
      <c r="DJ176" s="401"/>
      <c r="DK176" s="19"/>
      <c r="DL176" s="19"/>
      <c r="DM176" s="19"/>
      <c r="DN176" s="19"/>
      <c r="DO176" s="19"/>
      <c r="DP176" s="19"/>
      <c r="DQ176" s="19"/>
      <c r="DR176" s="401"/>
      <c r="DS176" s="19"/>
      <c r="DT176" s="19"/>
      <c r="DU176" s="19"/>
      <c r="DV176" s="19"/>
      <c r="DW176" s="19"/>
      <c r="DX176" s="19"/>
      <c r="DY176" s="19"/>
      <c r="DZ176" s="401"/>
      <c r="EA176" s="19"/>
      <c r="EB176" s="19"/>
      <c r="EC176" s="19"/>
      <c r="ED176" s="19"/>
      <c r="EE176" s="19"/>
      <c r="EF176" s="19"/>
      <c r="EG176" s="484"/>
      <c r="EH176" s="406"/>
    </row>
    <row r="177" spans="1:138" s="36" customFormat="1">
      <c r="A177" s="318" t="s">
        <v>225</v>
      </c>
      <c r="B177" s="319"/>
      <c r="C177" s="183"/>
      <c r="D177" s="183"/>
      <c r="E177" s="183"/>
      <c r="F177" s="183"/>
      <c r="G177" s="183"/>
      <c r="H177" s="183"/>
      <c r="I177" s="183"/>
      <c r="J177" s="471"/>
      <c r="K177" s="183"/>
      <c r="L177" s="183"/>
      <c r="M177" s="183"/>
      <c r="N177" s="183"/>
      <c r="O177" s="183"/>
      <c r="P177" s="183"/>
      <c r="Q177" s="183"/>
      <c r="R177" s="403"/>
      <c r="S177" s="182"/>
      <c r="T177" s="182"/>
      <c r="U177" s="182"/>
      <c r="V177" s="182"/>
      <c r="W177" s="182"/>
      <c r="X177" s="182"/>
      <c r="Y177" s="182"/>
      <c r="Z177" s="403"/>
      <c r="AA177" s="182"/>
      <c r="AB177" s="182"/>
      <c r="AC177" s="320"/>
      <c r="AD177" s="321"/>
      <c r="AE177" s="321"/>
      <c r="AF177" s="182"/>
      <c r="AG177" s="182"/>
      <c r="AH177" s="403"/>
      <c r="AI177" s="182"/>
      <c r="AJ177" s="182"/>
      <c r="AK177" s="182"/>
      <c r="AL177" s="182"/>
      <c r="AM177" s="182"/>
      <c r="AN177" s="182"/>
      <c r="AO177" s="182"/>
      <c r="AP177" s="455"/>
      <c r="AQ177" s="185"/>
      <c r="AR177" s="182"/>
      <c r="AS177" s="182"/>
      <c r="AT177" s="182"/>
      <c r="AU177" s="182"/>
      <c r="AV177" s="182"/>
      <c r="AW177" s="182"/>
      <c r="AX177" s="455"/>
      <c r="AY177" s="182"/>
      <c r="AZ177" s="182"/>
      <c r="BA177" s="182"/>
      <c r="BB177" s="182"/>
      <c r="BC177" s="182"/>
      <c r="BD177" s="182"/>
      <c r="BE177" s="182"/>
      <c r="BF177" s="403"/>
      <c r="BG177" s="182"/>
      <c r="BH177" s="182"/>
      <c r="BI177" s="182"/>
      <c r="BJ177" s="182"/>
      <c r="BK177" s="182"/>
      <c r="BL177" s="182"/>
      <c r="BM177" s="182"/>
      <c r="BN177" s="403"/>
      <c r="BO177" s="182"/>
      <c r="BP177" s="182"/>
      <c r="BQ177" s="182"/>
      <c r="BR177" s="182"/>
      <c r="BS177" s="182"/>
      <c r="BT177" s="182"/>
      <c r="BU177" s="182"/>
      <c r="BV177" s="403"/>
      <c r="BW177" s="182"/>
      <c r="BX177" s="182"/>
      <c r="BY177" s="182"/>
      <c r="BZ177" s="182"/>
      <c r="CA177" s="182"/>
      <c r="CB177" s="182"/>
      <c r="CC177" s="182"/>
      <c r="CD177" s="403"/>
      <c r="CE177" s="182"/>
      <c r="CF177" s="182"/>
      <c r="CG177" s="182"/>
      <c r="CH177" s="182"/>
      <c r="CI177" s="182"/>
      <c r="CJ177" s="182"/>
      <c r="CK177" s="182"/>
      <c r="CL177" s="403"/>
      <c r="CM177" s="182"/>
      <c r="CN177" s="182"/>
      <c r="CO177" s="182"/>
      <c r="CP177" s="182"/>
      <c r="CQ177" s="182"/>
      <c r="CR177" s="182"/>
      <c r="CS177" s="182"/>
      <c r="CT177" s="403"/>
      <c r="CU177" s="182"/>
      <c r="CV177" s="182"/>
      <c r="CW177" s="182"/>
      <c r="CX177" s="182"/>
      <c r="CY177" s="182"/>
      <c r="CZ177" s="182"/>
      <c r="DA177" s="182"/>
      <c r="DB177" s="403"/>
      <c r="DC177" s="182"/>
      <c r="DD177" s="182"/>
      <c r="DE177" s="182"/>
      <c r="DF177" s="182"/>
      <c r="DG177" s="182"/>
      <c r="DH177" s="182"/>
      <c r="DI177" s="182"/>
      <c r="DJ177" s="403"/>
      <c r="DK177" s="182"/>
      <c r="DL177" s="182"/>
      <c r="DM177" s="182"/>
      <c r="DN177" s="182"/>
      <c r="DO177" s="182"/>
      <c r="DP177" s="182"/>
      <c r="DQ177" s="182"/>
      <c r="DR177" s="403"/>
      <c r="DS177" s="182"/>
      <c r="DT177" s="182"/>
      <c r="DU177" s="182"/>
      <c r="DV177" s="182"/>
      <c r="DW177" s="182"/>
      <c r="DX177" s="182"/>
      <c r="DY177" s="182"/>
      <c r="DZ177" s="403"/>
      <c r="EA177" s="182"/>
      <c r="EB177" s="182"/>
      <c r="EC177" s="182"/>
      <c r="ED177" s="182"/>
      <c r="EE177" s="182"/>
      <c r="EF177" s="186"/>
      <c r="EG177" s="184"/>
      <c r="EH177" s="612"/>
    </row>
    <row r="178" spans="1:138">
      <c r="J178" s="369"/>
      <c r="R178" s="369"/>
      <c r="Z178" s="369"/>
      <c r="AH178" s="369"/>
      <c r="AP178" s="406"/>
      <c r="AX178" s="406"/>
      <c r="BF178" s="406"/>
      <c r="BN178" s="448"/>
      <c r="BV178" s="406"/>
      <c r="CD178" s="406"/>
      <c r="CL178" s="406"/>
      <c r="CT178" s="401"/>
      <c r="CU178" s="19"/>
      <c r="CV178" s="19"/>
      <c r="CW178" s="19"/>
      <c r="CX178" s="19"/>
      <c r="CY178" s="19"/>
      <c r="CZ178" s="19"/>
      <c r="DA178" s="19"/>
      <c r="DB178" s="401"/>
      <c r="DC178" s="19"/>
      <c r="DD178" s="19"/>
      <c r="DE178" s="19"/>
      <c r="DF178" s="19"/>
      <c r="DG178" s="19"/>
      <c r="DH178" s="19"/>
      <c r="DI178" s="19"/>
      <c r="DJ178" s="401"/>
      <c r="DK178" s="19"/>
      <c r="DL178" s="19"/>
      <c r="DM178" s="19"/>
      <c r="DN178" s="19"/>
      <c r="DO178" s="19"/>
      <c r="DP178" s="19"/>
      <c r="DQ178" s="19"/>
      <c r="DR178" s="401"/>
      <c r="DS178" s="19"/>
      <c r="DT178" s="19"/>
      <c r="DU178" s="19"/>
      <c r="DV178" s="19"/>
      <c r="DW178" s="19"/>
      <c r="DX178" s="19"/>
      <c r="DY178" s="19"/>
      <c r="DZ178" s="401"/>
      <c r="EA178" s="19"/>
      <c r="EB178" s="19"/>
      <c r="EC178" s="19"/>
      <c r="ED178" s="19"/>
      <c r="EE178" s="19"/>
      <c r="EF178" s="19"/>
      <c r="EG178" s="484"/>
      <c r="EH178" s="406"/>
    </row>
    <row r="179" spans="1:138">
      <c r="A179" s="313" t="s">
        <v>522</v>
      </c>
      <c r="B179" s="311"/>
      <c r="C179" s="311"/>
      <c r="D179" s="311"/>
      <c r="E179" s="311"/>
      <c r="F179" s="311"/>
      <c r="G179" s="311"/>
      <c r="H179" s="311"/>
      <c r="I179" s="311"/>
      <c r="J179" s="465"/>
      <c r="K179" s="311"/>
      <c r="L179" s="311"/>
      <c r="M179" s="311"/>
      <c r="N179" s="311"/>
      <c r="O179" s="311"/>
      <c r="P179" s="311"/>
      <c r="Q179" s="311"/>
      <c r="R179" s="465"/>
      <c r="S179" s="311"/>
      <c r="T179" s="311"/>
      <c r="U179" s="311"/>
      <c r="V179" s="311"/>
      <c r="W179" s="311"/>
      <c r="X179" s="311"/>
      <c r="Y179" s="311"/>
      <c r="Z179" s="465"/>
      <c r="AA179" s="311"/>
      <c r="AB179" s="311"/>
      <c r="AC179" s="311"/>
      <c r="AD179" s="311"/>
      <c r="AE179" s="311"/>
      <c r="AF179" s="311"/>
      <c r="AG179" s="311"/>
      <c r="AH179" s="465"/>
      <c r="AI179" s="311"/>
      <c r="AJ179" s="311"/>
      <c r="AK179" s="311"/>
      <c r="AL179" s="311"/>
      <c r="AM179" s="311"/>
      <c r="AN179" s="311"/>
      <c r="AO179" s="311"/>
      <c r="AP179" s="430"/>
      <c r="AQ179" s="310"/>
      <c r="AR179" s="310"/>
      <c r="AS179" s="310"/>
      <c r="AT179" s="310"/>
      <c r="AU179" s="310"/>
      <c r="AV179" s="310"/>
      <c r="AW179" s="310"/>
      <c r="AX179" s="430"/>
      <c r="AY179" s="310"/>
      <c r="AZ179" s="310"/>
      <c r="BA179" s="310"/>
      <c r="BB179" s="310"/>
      <c r="BC179" s="310"/>
      <c r="BD179" s="310"/>
      <c r="BE179" s="310"/>
      <c r="BF179" s="430"/>
      <c r="BG179" s="310"/>
      <c r="BH179" s="310"/>
      <c r="BI179" s="310"/>
      <c r="BJ179" s="310"/>
      <c r="BK179" s="310"/>
      <c r="BL179" s="310"/>
      <c r="BM179" s="310"/>
      <c r="BN179" s="449"/>
      <c r="BO179" s="312"/>
      <c r="BP179" s="312"/>
      <c r="BQ179" s="312"/>
      <c r="BR179" s="312"/>
      <c r="BS179" s="312"/>
      <c r="BT179" s="312"/>
      <c r="BU179" s="312"/>
      <c r="BV179" s="430"/>
      <c r="BW179" s="310"/>
      <c r="BX179" s="310"/>
      <c r="BY179" s="310"/>
      <c r="BZ179" s="310"/>
      <c r="CA179" s="310"/>
      <c r="CB179" s="310"/>
      <c r="CC179" s="310"/>
      <c r="CD179" s="430"/>
      <c r="CE179" s="310"/>
      <c r="CF179" s="310"/>
      <c r="CG179" s="310"/>
      <c r="CH179" s="310"/>
      <c r="CI179" s="310"/>
      <c r="CJ179" s="310"/>
      <c r="CK179" s="310"/>
      <c r="CL179" s="430"/>
      <c r="CM179" s="310"/>
      <c r="CN179" s="310"/>
      <c r="CO179" s="310"/>
      <c r="CP179" s="310"/>
      <c r="CQ179" s="310"/>
      <c r="CR179" s="310"/>
      <c r="CS179" s="310"/>
      <c r="CT179" s="402"/>
      <c r="CU179" s="341"/>
      <c r="CV179" s="341"/>
      <c r="CW179" s="341"/>
      <c r="CX179" s="341"/>
      <c r="CY179" s="341"/>
      <c r="CZ179" s="341"/>
      <c r="DA179" s="341"/>
      <c r="DB179" s="402"/>
      <c r="DC179" s="341"/>
      <c r="DD179" s="341"/>
      <c r="DE179" s="341"/>
      <c r="DF179" s="341"/>
      <c r="DG179" s="341"/>
      <c r="DH179" s="341"/>
      <c r="DI179" s="341"/>
      <c r="DJ179" s="402"/>
      <c r="DK179" s="341"/>
      <c r="DL179" s="341"/>
      <c r="DM179" s="341"/>
      <c r="DN179" s="341"/>
      <c r="DO179" s="341"/>
      <c r="DP179" s="341"/>
      <c r="DQ179" s="341"/>
      <c r="DR179" s="402"/>
      <c r="DS179" s="341"/>
      <c r="DT179" s="341"/>
      <c r="DU179" s="341"/>
      <c r="DV179" s="341"/>
      <c r="DW179" s="341"/>
      <c r="DX179" s="341"/>
      <c r="DY179" s="341"/>
      <c r="DZ179" s="402"/>
      <c r="EA179" s="341"/>
      <c r="EB179" s="341"/>
      <c r="EC179" s="341"/>
      <c r="ED179" s="341"/>
      <c r="EE179" s="341"/>
      <c r="EF179" s="341"/>
      <c r="EG179" s="606"/>
      <c r="EH179" s="406"/>
    </row>
    <row r="180" spans="1:138">
      <c r="A180" s="13" t="s">
        <v>14</v>
      </c>
      <c r="J180" s="369"/>
      <c r="R180" s="369"/>
      <c r="Z180" s="369"/>
      <c r="AH180" s="369"/>
      <c r="AP180" s="406"/>
      <c r="AX180" s="406"/>
      <c r="BF180" s="406"/>
      <c r="BN180" s="448"/>
      <c r="BV180" s="406"/>
      <c r="CD180" s="406"/>
      <c r="CL180" s="406"/>
      <c r="CT180" s="401"/>
      <c r="CU180" s="19"/>
      <c r="CV180" s="19"/>
      <c r="CW180" s="19"/>
      <c r="CX180" s="19"/>
      <c r="CY180" s="19"/>
      <c r="CZ180" s="19"/>
      <c r="DA180" s="19"/>
      <c r="DB180" s="401"/>
      <c r="DC180" s="19"/>
      <c r="DD180" s="19"/>
      <c r="DE180" s="19"/>
      <c r="DF180" s="19"/>
      <c r="DG180" s="19"/>
      <c r="DH180" s="19"/>
      <c r="DI180" s="19"/>
      <c r="DJ180" s="401"/>
      <c r="DK180" s="19"/>
      <c r="DL180" s="19"/>
      <c r="DM180" s="19"/>
      <c r="DN180" s="19"/>
      <c r="DO180" s="19"/>
      <c r="DP180" s="19"/>
      <c r="DQ180" s="19"/>
      <c r="DR180" s="401"/>
      <c r="DS180" s="19"/>
      <c r="DT180" s="19"/>
      <c r="DU180" s="19"/>
      <c r="DV180" s="19"/>
      <c r="DW180" s="19"/>
      <c r="DX180" s="19"/>
      <c r="DY180" s="19"/>
      <c r="DZ180" s="401"/>
      <c r="EA180" s="19"/>
      <c r="EB180" s="19"/>
      <c r="EC180" s="19"/>
      <c r="ED180" s="19"/>
      <c r="EE180" s="19"/>
      <c r="EF180" s="19"/>
      <c r="EG180" s="484"/>
      <c r="EH180" s="406"/>
    </row>
    <row r="181" spans="1:138">
      <c r="A181" s="13" t="s">
        <v>385</v>
      </c>
      <c r="J181" s="369"/>
      <c r="R181" s="369"/>
      <c r="Z181" s="369"/>
      <c r="AH181" s="369"/>
      <c r="AP181" s="406"/>
      <c r="AX181" s="406"/>
      <c r="BF181" s="406"/>
      <c r="BN181" s="448"/>
      <c r="BV181" s="406"/>
      <c r="CD181" s="406"/>
      <c r="CL181" s="406"/>
      <c r="CT181" s="401"/>
      <c r="CU181" s="19"/>
      <c r="CV181" s="19"/>
      <c r="CW181" s="19"/>
      <c r="CX181" s="19"/>
      <c r="CY181" s="19"/>
      <c r="CZ181" s="19"/>
      <c r="DA181" s="19"/>
      <c r="DB181" s="401"/>
      <c r="DC181" s="19"/>
      <c r="DD181" s="19"/>
      <c r="DE181" s="19"/>
      <c r="DF181" s="19"/>
      <c r="DG181" s="19"/>
      <c r="DH181" s="19"/>
      <c r="DI181" s="19"/>
      <c r="DJ181" s="401"/>
      <c r="DK181" s="19"/>
      <c r="DL181" s="19"/>
      <c r="DM181" s="19"/>
      <c r="DN181" s="19"/>
      <c r="DO181" s="19"/>
      <c r="DP181" s="19"/>
      <c r="DQ181" s="19"/>
      <c r="DR181" s="401"/>
      <c r="DS181" s="19"/>
      <c r="DT181" s="19"/>
      <c r="DU181" s="19"/>
      <c r="DV181" s="19"/>
      <c r="DW181" s="19"/>
      <c r="DX181" s="19"/>
      <c r="DY181" s="19"/>
      <c r="DZ181" s="401"/>
      <c r="EA181" s="19"/>
      <c r="EB181" s="19"/>
      <c r="EC181" s="19"/>
      <c r="ED181" s="19"/>
      <c r="EE181" s="19"/>
      <c r="EF181" s="19"/>
      <c r="EG181" s="484"/>
      <c r="EH181" s="406"/>
    </row>
    <row r="182" spans="1:138">
      <c r="A182" s="113" t="s">
        <v>384</v>
      </c>
      <c r="J182" s="369"/>
      <c r="R182" s="369"/>
      <c r="Z182" s="369"/>
      <c r="AH182" s="369"/>
      <c r="AP182" s="406"/>
      <c r="AX182" s="406"/>
      <c r="BF182" s="406"/>
      <c r="BN182" s="448"/>
      <c r="BV182" s="406"/>
      <c r="CD182" s="406"/>
      <c r="CL182" s="406"/>
      <c r="CT182" s="401"/>
      <c r="CU182" s="19"/>
      <c r="CV182" s="19"/>
      <c r="CW182" s="19"/>
      <c r="CX182" s="19"/>
      <c r="CY182" s="19"/>
      <c r="CZ182" s="19"/>
      <c r="DA182" s="19"/>
      <c r="DB182" s="401"/>
      <c r="DC182" s="19"/>
      <c r="DD182" s="19"/>
      <c r="DE182" s="19"/>
      <c r="DF182" s="19"/>
      <c r="DG182" s="19"/>
      <c r="DH182" s="19"/>
      <c r="DI182" s="19"/>
      <c r="DJ182" s="401"/>
      <c r="DK182" s="19"/>
      <c r="DL182" s="19"/>
      <c r="DM182" s="19"/>
      <c r="DN182" s="19"/>
      <c r="DO182" s="19"/>
      <c r="DP182" s="19"/>
      <c r="DQ182" s="19"/>
      <c r="DR182" s="401"/>
      <c r="DS182" s="19"/>
      <c r="DT182" s="19"/>
      <c r="DU182" s="19"/>
      <c r="DV182" s="19"/>
      <c r="DW182" s="19"/>
      <c r="DX182" s="19"/>
      <c r="DY182" s="19"/>
      <c r="DZ182" s="401"/>
      <c r="EA182" s="19"/>
      <c r="EB182" s="19"/>
      <c r="EC182" s="19"/>
      <c r="ED182" s="19"/>
      <c r="EE182" s="19"/>
      <c r="EF182" s="19"/>
      <c r="EG182" s="484"/>
      <c r="EH182" s="406"/>
    </row>
    <row r="183" spans="1:138" s="36" customFormat="1">
      <c r="A183" s="318" t="s">
        <v>225</v>
      </c>
      <c r="B183" s="319"/>
      <c r="C183" s="183"/>
      <c r="D183" s="183"/>
      <c r="E183" s="183"/>
      <c r="F183" s="183"/>
      <c r="G183" s="183"/>
      <c r="H183" s="183"/>
      <c r="I183" s="183"/>
      <c r="J183" s="471"/>
      <c r="K183" s="183"/>
      <c r="L183" s="183"/>
      <c r="M183" s="183"/>
      <c r="N183" s="183"/>
      <c r="O183" s="183"/>
      <c r="P183" s="183"/>
      <c r="Q183" s="183"/>
      <c r="R183" s="403"/>
      <c r="S183" s="182"/>
      <c r="T183" s="182"/>
      <c r="U183" s="182"/>
      <c r="V183" s="182"/>
      <c r="W183" s="182"/>
      <c r="X183" s="182"/>
      <c r="Y183" s="182"/>
      <c r="Z183" s="403"/>
      <c r="AA183" s="182"/>
      <c r="AB183" s="182"/>
      <c r="AC183" s="320"/>
      <c r="AD183" s="321"/>
      <c r="AE183" s="321"/>
      <c r="AF183" s="182"/>
      <c r="AG183" s="182"/>
      <c r="AH183" s="403"/>
      <c r="AI183" s="182"/>
      <c r="AJ183" s="182"/>
      <c r="AK183" s="182"/>
      <c r="AL183" s="182"/>
      <c r="AM183" s="182"/>
      <c r="AN183" s="182"/>
      <c r="AO183" s="182"/>
      <c r="AP183" s="455"/>
      <c r="AQ183" s="185"/>
      <c r="AR183" s="182"/>
      <c r="AS183" s="182"/>
      <c r="AT183" s="182"/>
      <c r="AU183" s="182"/>
      <c r="AV183" s="182"/>
      <c r="AW183" s="182"/>
      <c r="AX183" s="455"/>
      <c r="AY183" s="182"/>
      <c r="AZ183" s="182"/>
      <c r="BA183" s="182"/>
      <c r="BB183" s="182"/>
      <c r="BC183" s="182"/>
      <c r="BD183" s="182"/>
      <c r="BE183" s="182"/>
      <c r="BF183" s="403"/>
      <c r="BG183" s="182"/>
      <c r="BH183" s="182"/>
      <c r="BI183" s="182"/>
      <c r="BJ183" s="182"/>
      <c r="BK183" s="182"/>
      <c r="BL183" s="182"/>
      <c r="BM183" s="182"/>
      <c r="BN183" s="403"/>
      <c r="BO183" s="182"/>
      <c r="BP183" s="182"/>
      <c r="BQ183" s="182"/>
      <c r="BR183" s="182"/>
      <c r="BS183" s="182"/>
      <c r="BT183" s="182"/>
      <c r="BU183" s="182"/>
      <c r="BV183" s="403"/>
      <c r="BW183" s="182"/>
      <c r="BX183" s="182"/>
      <c r="BY183" s="182"/>
      <c r="BZ183" s="182"/>
      <c r="CA183" s="182"/>
      <c r="CB183" s="182"/>
      <c r="CC183" s="182"/>
      <c r="CD183" s="403"/>
      <c r="CE183" s="182"/>
      <c r="CF183" s="182"/>
      <c r="CG183" s="182"/>
      <c r="CH183" s="182"/>
      <c r="CI183" s="182"/>
      <c r="CJ183" s="182"/>
      <c r="CK183" s="182"/>
      <c r="CL183" s="403"/>
      <c r="CM183" s="182"/>
      <c r="CN183" s="182"/>
      <c r="CO183" s="182"/>
      <c r="CP183" s="182"/>
      <c r="CQ183" s="182"/>
      <c r="CR183" s="182"/>
      <c r="CS183" s="182"/>
      <c r="CT183" s="403"/>
      <c r="CU183" s="182"/>
      <c r="CV183" s="182"/>
      <c r="CW183" s="182"/>
      <c r="CX183" s="182"/>
      <c r="CY183" s="182"/>
      <c r="CZ183" s="182"/>
      <c r="DA183" s="182"/>
      <c r="DB183" s="403"/>
      <c r="DC183" s="182"/>
      <c r="DD183" s="182"/>
      <c r="DE183" s="182"/>
      <c r="DF183" s="182"/>
      <c r="DG183" s="182"/>
      <c r="DH183" s="182"/>
      <c r="DI183" s="182"/>
      <c r="DJ183" s="403"/>
      <c r="DK183" s="182"/>
      <c r="DL183" s="182"/>
      <c r="DM183" s="182"/>
      <c r="DN183" s="182"/>
      <c r="DO183" s="182"/>
      <c r="DP183" s="182"/>
      <c r="DQ183" s="182"/>
      <c r="DR183" s="403"/>
      <c r="DS183" s="182"/>
      <c r="DT183" s="182"/>
      <c r="DU183" s="182"/>
      <c r="DV183" s="182"/>
      <c r="DW183" s="182"/>
      <c r="DX183" s="182"/>
      <c r="DY183" s="182"/>
      <c r="DZ183" s="403"/>
      <c r="EA183" s="182"/>
      <c r="EB183" s="182"/>
      <c r="EC183" s="182"/>
      <c r="ED183" s="182"/>
      <c r="EE183" s="182"/>
      <c r="EF183" s="186"/>
      <c r="EG183" s="184"/>
      <c r="EH183" s="612"/>
    </row>
    <row r="184" spans="1:138">
      <c r="J184" s="369"/>
      <c r="R184" s="369"/>
      <c r="Z184" s="369"/>
      <c r="AH184" s="369"/>
      <c r="AP184" s="406"/>
      <c r="AX184" s="406"/>
      <c r="BF184" s="406"/>
      <c r="BN184" s="448"/>
      <c r="BV184" s="406"/>
      <c r="CD184" s="406"/>
      <c r="CL184" s="406"/>
      <c r="CT184" s="401"/>
      <c r="CU184" s="19"/>
      <c r="CV184" s="19"/>
      <c r="CW184" s="19"/>
      <c r="CX184" s="19"/>
      <c r="CY184" s="19"/>
      <c r="CZ184" s="19"/>
      <c r="DA184" s="19"/>
      <c r="DB184" s="401"/>
      <c r="DC184" s="19"/>
      <c r="DD184" s="19"/>
      <c r="DE184" s="19"/>
      <c r="DF184" s="19"/>
      <c r="DG184" s="19"/>
      <c r="DH184" s="19"/>
      <c r="DI184" s="19"/>
      <c r="DJ184" s="401"/>
      <c r="DK184" s="19"/>
      <c r="DL184" s="19"/>
      <c r="DM184" s="19"/>
      <c r="DN184" s="19"/>
      <c r="DO184" s="19"/>
      <c r="DP184" s="19"/>
      <c r="DQ184" s="19"/>
      <c r="DR184" s="401"/>
      <c r="DS184" s="19"/>
      <c r="DT184" s="19"/>
      <c r="DU184" s="19"/>
      <c r="DV184" s="19"/>
      <c r="DW184" s="19"/>
      <c r="DX184" s="19"/>
      <c r="DY184" s="19"/>
      <c r="DZ184" s="401"/>
      <c r="EA184" s="19"/>
      <c r="EB184" s="19"/>
      <c r="EC184" s="19"/>
      <c r="ED184" s="19"/>
      <c r="EE184" s="19"/>
      <c r="EF184" s="19"/>
      <c r="EG184" s="484"/>
      <c r="EH184" s="406"/>
    </row>
    <row r="185" spans="1:138">
      <c r="A185" s="313" t="s">
        <v>492</v>
      </c>
      <c r="B185" s="311"/>
      <c r="C185" s="311"/>
      <c r="D185" s="311"/>
      <c r="E185" s="311"/>
      <c r="F185" s="311"/>
      <c r="G185" s="311"/>
      <c r="H185" s="311"/>
      <c r="I185" s="311"/>
      <c r="J185" s="465"/>
      <c r="K185" s="311"/>
      <c r="L185" s="311"/>
      <c r="M185" s="311"/>
      <c r="N185" s="311"/>
      <c r="O185" s="311"/>
      <c r="P185" s="311"/>
      <c r="Q185" s="311"/>
      <c r="R185" s="465"/>
      <c r="S185" s="311"/>
      <c r="T185" s="311"/>
      <c r="U185" s="311"/>
      <c r="V185" s="311"/>
      <c r="W185" s="311"/>
      <c r="X185" s="311"/>
      <c r="Y185" s="311"/>
      <c r="Z185" s="465"/>
      <c r="AA185" s="311"/>
      <c r="AB185" s="311"/>
      <c r="AC185" s="311"/>
      <c r="AD185" s="311"/>
      <c r="AE185" s="311"/>
      <c r="AF185" s="311"/>
      <c r="AG185" s="311"/>
      <c r="AH185" s="465"/>
      <c r="AI185" s="311"/>
      <c r="AJ185" s="311"/>
      <c r="AK185" s="311"/>
      <c r="AL185" s="311"/>
      <c r="AM185" s="311"/>
      <c r="AN185" s="311"/>
      <c r="AO185" s="311"/>
      <c r="AP185" s="430"/>
      <c r="AQ185" s="310"/>
      <c r="AR185" s="310"/>
      <c r="AS185" s="310"/>
      <c r="AT185" s="310"/>
      <c r="AU185" s="310"/>
      <c r="AV185" s="310"/>
      <c r="AW185" s="310"/>
      <c r="AX185" s="430"/>
      <c r="AY185" s="310"/>
      <c r="AZ185" s="310"/>
      <c r="BA185" s="310"/>
      <c r="BB185" s="310"/>
      <c r="BC185" s="310"/>
      <c r="BD185" s="310"/>
      <c r="BE185" s="310"/>
      <c r="BF185" s="430"/>
      <c r="BG185" s="310"/>
      <c r="BH185" s="310"/>
      <c r="BI185" s="310"/>
      <c r="BJ185" s="310"/>
      <c r="BK185" s="310"/>
      <c r="BL185" s="310"/>
      <c r="BM185" s="310"/>
      <c r="BN185" s="449"/>
      <c r="BO185" s="312"/>
      <c r="BP185" s="312"/>
      <c r="BQ185" s="312"/>
      <c r="BR185" s="312"/>
      <c r="BS185" s="312"/>
      <c r="BT185" s="312"/>
      <c r="BU185" s="312"/>
      <c r="BV185" s="430"/>
      <c r="BW185" s="310"/>
      <c r="BX185" s="310"/>
      <c r="BY185" s="310"/>
      <c r="BZ185" s="310"/>
      <c r="CA185" s="310"/>
      <c r="CB185" s="310"/>
      <c r="CC185" s="310"/>
      <c r="CD185" s="430"/>
      <c r="CE185" s="310"/>
      <c r="CF185" s="310"/>
      <c r="CG185" s="310"/>
      <c r="CH185" s="310"/>
      <c r="CI185" s="310"/>
      <c r="CJ185" s="310"/>
      <c r="CK185" s="310"/>
      <c r="CL185" s="430"/>
      <c r="CM185" s="310"/>
      <c r="CN185" s="310"/>
      <c r="CO185" s="310"/>
      <c r="CP185" s="310"/>
      <c r="CQ185" s="310"/>
      <c r="CR185" s="310"/>
      <c r="CS185" s="310"/>
      <c r="CT185" s="402"/>
      <c r="CU185" s="341"/>
      <c r="CV185" s="341"/>
      <c r="CW185" s="341"/>
      <c r="CX185" s="341"/>
      <c r="CY185" s="341"/>
      <c r="CZ185" s="341"/>
      <c r="DA185" s="341"/>
      <c r="DB185" s="402"/>
      <c r="DC185" s="341"/>
      <c r="DD185" s="341"/>
      <c r="DE185" s="341"/>
      <c r="DF185" s="341"/>
      <c r="DG185" s="341"/>
      <c r="DH185" s="341"/>
      <c r="DI185" s="341"/>
      <c r="DJ185" s="402"/>
      <c r="DK185" s="341"/>
      <c r="DL185" s="341"/>
      <c r="DM185" s="341"/>
      <c r="DN185" s="341"/>
      <c r="DO185" s="341"/>
      <c r="DP185" s="341"/>
      <c r="DQ185" s="341"/>
      <c r="DR185" s="341"/>
      <c r="DS185" s="341"/>
      <c r="DT185" s="341"/>
      <c r="DU185" s="341"/>
      <c r="DV185" s="341"/>
      <c r="DW185" s="341"/>
      <c r="DX185" s="341"/>
      <c r="DY185" s="341"/>
      <c r="DZ185" s="341"/>
      <c r="EA185" s="341"/>
      <c r="EB185" s="341"/>
      <c r="EC185" s="341"/>
      <c r="ED185" s="341"/>
      <c r="EE185" s="341"/>
      <c r="EF185" s="341"/>
      <c r="EG185" s="606"/>
      <c r="EH185" s="406"/>
    </row>
    <row r="186" spans="1:138">
      <c r="A186" s="13" t="s">
        <v>14</v>
      </c>
      <c r="B186" s="201"/>
      <c r="C186" s="201"/>
      <c r="D186" s="201"/>
      <c r="E186" s="201"/>
      <c r="F186" s="201"/>
      <c r="G186" s="201"/>
      <c r="H186" s="201"/>
      <c r="I186" s="201"/>
      <c r="J186" s="431"/>
      <c r="K186" s="201"/>
      <c r="L186" s="201"/>
      <c r="M186" s="201"/>
      <c r="N186" s="201"/>
      <c r="O186" s="201"/>
      <c r="P186" s="201"/>
      <c r="Q186" s="201"/>
      <c r="R186" s="431"/>
      <c r="S186" s="413"/>
      <c r="T186" s="201"/>
      <c r="U186" s="201"/>
      <c r="V186" s="201"/>
      <c r="W186" s="201"/>
      <c r="X186" s="201"/>
      <c r="Y186" s="201"/>
      <c r="Z186" s="431"/>
      <c r="AA186" s="201"/>
      <c r="AB186" s="201"/>
      <c r="AC186" s="201"/>
      <c r="AD186" s="201"/>
      <c r="AE186" s="201"/>
      <c r="AF186" s="201"/>
      <c r="AG186" s="201"/>
      <c r="AH186" s="431"/>
      <c r="AI186" s="201"/>
      <c r="AJ186" s="201"/>
      <c r="AK186" s="201"/>
      <c r="AL186" s="201"/>
      <c r="AM186" s="201"/>
      <c r="AN186" s="201"/>
      <c r="AO186" s="201"/>
      <c r="AP186" s="431"/>
      <c r="AQ186" s="201"/>
      <c r="AR186" s="201"/>
      <c r="AS186" s="201"/>
      <c r="AT186" s="201"/>
      <c r="AU186" s="201"/>
      <c r="AV186" s="201"/>
      <c r="AW186" s="201"/>
      <c r="AX186" s="431"/>
      <c r="AY186" s="201"/>
      <c r="AZ186" s="201"/>
      <c r="BA186" s="201"/>
      <c r="BB186" s="201"/>
      <c r="BC186" s="201"/>
      <c r="BD186" s="201"/>
      <c r="BE186" s="201"/>
      <c r="BF186" s="431"/>
      <c r="BG186" s="201"/>
      <c r="BH186" s="201"/>
      <c r="BI186" s="201"/>
      <c r="BJ186" s="201"/>
      <c r="BK186" s="201">
        <v>77163</v>
      </c>
      <c r="BL186" s="201"/>
      <c r="BM186" s="201"/>
      <c r="BN186" s="431">
        <v>77246</v>
      </c>
      <c r="BO186" s="201">
        <v>77375</v>
      </c>
      <c r="BP186" s="201"/>
      <c r="BQ186" s="201">
        <v>79907</v>
      </c>
      <c r="BR186" s="201"/>
      <c r="BS186" s="201">
        <v>80924</v>
      </c>
      <c r="BT186" s="201"/>
      <c r="BU186" s="201"/>
      <c r="BV186" s="431">
        <v>82191</v>
      </c>
      <c r="BW186" s="201">
        <v>82892</v>
      </c>
      <c r="BX186" s="201"/>
      <c r="BY186" s="201">
        <v>82106</v>
      </c>
      <c r="BZ186" s="201"/>
      <c r="CA186" s="201">
        <v>80985</v>
      </c>
      <c r="CB186" s="201"/>
      <c r="CC186" s="201"/>
      <c r="CD186" s="431">
        <v>82484</v>
      </c>
      <c r="CE186" s="201">
        <v>81546</v>
      </c>
      <c r="CF186" s="201"/>
      <c r="CG186" s="201">
        <v>80619</v>
      </c>
      <c r="CH186" s="201"/>
      <c r="CI186" s="201">
        <v>78487</v>
      </c>
      <c r="CJ186" s="201"/>
      <c r="CK186" s="201"/>
      <c r="CL186" s="431">
        <v>75159</v>
      </c>
      <c r="CM186" s="413">
        <v>73650</v>
      </c>
      <c r="CN186" s="201"/>
      <c r="CO186" s="201">
        <v>73395</v>
      </c>
      <c r="CP186" s="201"/>
      <c r="CQ186" s="201">
        <v>73560</v>
      </c>
      <c r="CR186" s="201"/>
      <c r="CS186" s="413"/>
      <c r="CT186" s="404">
        <v>73959</v>
      </c>
      <c r="CU186" s="342">
        <v>75394</v>
      </c>
      <c r="CV186" s="343"/>
      <c r="CW186" s="342">
        <v>77433</v>
      </c>
      <c r="CX186" s="343"/>
      <c r="CY186" s="342">
        <v>79134</v>
      </c>
      <c r="CZ186" s="19">
        <f>CY186</f>
        <v>79134</v>
      </c>
      <c r="DA186" s="365">
        <f>CY186</f>
        <v>79134</v>
      </c>
      <c r="DB186" s="404">
        <v>81439</v>
      </c>
      <c r="DC186" s="342">
        <v>84981</v>
      </c>
      <c r="DD186" s="343">
        <f>DC186</f>
        <v>84981</v>
      </c>
      <c r="DE186" s="342">
        <v>88250</v>
      </c>
      <c r="DF186" s="343">
        <f>DE186</f>
        <v>88250</v>
      </c>
      <c r="DG186" s="342">
        <v>90032</v>
      </c>
      <c r="DH186" s="19">
        <f>DG186</f>
        <v>90032</v>
      </c>
      <c r="DI186" s="365">
        <f>DG186</f>
        <v>90032</v>
      </c>
      <c r="DJ186" s="404">
        <v>91779</v>
      </c>
      <c r="DK186" s="19">
        <f>DL186</f>
        <v>96010</v>
      </c>
      <c r="DL186" s="342">
        <v>96010</v>
      </c>
      <c r="DM186" s="343">
        <f>DN186</f>
        <v>97157</v>
      </c>
      <c r="DN186" s="165">
        <v>97157</v>
      </c>
      <c r="DO186" s="342">
        <v>97433</v>
      </c>
      <c r="DP186" s="26">
        <f>DO186</f>
        <v>97433</v>
      </c>
      <c r="DQ186" s="365">
        <f>DO186</f>
        <v>97433</v>
      </c>
      <c r="DR186" s="404">
        <v>98251</v>
      </c>
      <c r="DS186" s="19">
        <f>DT186</f>
        <v>98567</v>
      </c>
      <c r="DT186" s="342">
        <v>98567</v>
      </c>
      <c r="DU186" s="343">
        <f>DV186</f>
        <v>99589</v>
      </c>
      <c r="DV186" s="165">
        <v>99589</v>
      </c>
      <c r="DW186" s="897">
        <f>$DY$186</f>
        <v>105128</v>
      </c>
      <c r="DX186" s="897">
        <f>$DY$186</f>
        <v>105128</v>
      </c>
      <c r="DY186" s="896">
        <v>105128</v>
      </c>
      <c r="DZ186" s="404">
        <v>106128</v>
      </c>
      <c r="EA186" s="19">
        <f>EB186</f>
        <v>107633</v>
      </c>
      <c r="EB186" s="342">
        <v>107633</v>
      </c>
      <c r="EC186" s="343"/>
      <c r="ED186" s="165"/>
      <c r="EE186" s="342"/>
      <c r="EF186" s="19"/>
      <c r="EG186" s="607"/>
      <c r="EH186" s="406"/>
    </row>
    <row r="187" spans="1:138">
      <c r="A187" s="13" t="s">
        <v>385</v>
      </c>
      <c r="B187" s="201"/>
      <c r="C187" s="201"/>
      <c r="D187" s="201"/>
      <c r="E187" s="201"/>
      <c r="F187" s="201"/>
      <c r="G187" s="201"/>
      <c r="H187" s="201"/>
      <c r="I187" s="201"/>
      <c r="J187" s="431"/>
      <c r="K187" s="201"/>
      <c r="L187" s="201"/>
      <c r="M187" s="201"/>
      <c r="N187" s="201"/>
      <c r="O187" s="201"/>
      <c r="P187" s="201"/>
      <c r="Q187" s="201"/>
      <c r="R187" s="431"/>
      <c r="S187" s="413"/>
      <c r="T187" s="201"/>
      <c r="U187" s="201"/>
      <c r="V187" s="201"/>
      <c r="W187" s="201"/>
      <c r="X187" s="201"/>
      <c r="Y187" s="201"/>
      <c r="Z187" s="431"/>
      <c r="AA187" s="201"/>
      <c r="AB187" s="201"/>
      <c r="AC187" s="201"/>
      <c r="AD187" s="201"/>
      <c r="AE187" s="201"/>
      <c r="AF187" s="201"/>
      <c r="AG187" s="201"/>
      <c r="AH187" s="431"/>
      <c r="AI187" s="201"/>
      <c r="AJ187" s="201"/>
      <c r="AK187" s="201"/>
      <c r="AL187" s="201"/>
      <c r="AM187" s="201"/>
      <c r="AN187" s="201"/>
      <c r="AO187" s="201"/>
      <c r="AP187" s="431"/>
      <c r="AQ187" s="201"/>
      <c r="AR187" s="201"/>
      <c r="AS187" s="201"/>
      <c r="AT187" s="201"/>
      <c r="AU187" s="201"/>
      <c r="AV187" s="201"/>
      <c r="AW187" s="201"/>
      <c r="AX187" s="431"/>
      <c r="AY187" s="201"/>
      <c r="AZ187" s="201"/>
      <c r="BA187" s="201"/>
      <c r="BB187" s="201"/>
      <c r="BC187" s="201"/>
      <c r="BD187" s="201"/>
      <c r="BE187" s="201"/>
      <c r="BF187" s="431"/>
      <c r="BG187" s="201"/>
      <c r="BH187" s="201"/>
      <c r="BI187" s="201"/>
      <c r="BJ187" s="201"/>
      <c r="BK187" s="201">
        <v>20108</v>
      </c>
      <c r="BL187" s="201"/>
      <c r="BM187" s="201"/>
      <c r="BN187" s="431">
        <v>19988</v>
      </c>
      <c r="BO187" s="201">
        <v>19894</v>
      </c>
      <c r="BP187" s="201"/>
      <c r="BQ187" s="201">
        <v>19797</v>
      </c>
      <c r="BR187" s="201"/>
      <c r="BS187" s="201">
        <v>19745</v>
      </c>
      <c r="BT187" s="201"/>
      <c r="BU187" s="201"/>
      <c r="BV187" s="431">
        <v>19768</v>
      </c>
      <c r="BW187" s="201">
        <v>19951</v>
      </c>
      <c r="BX187" s="201"/>
      <c r="BY187" s="201">
        <v>20018</v>
      </c>
      <c r="BZ187" s="201"/>
      <c r="CA187" s="201">
        <v>20024</v>
      </c>
      <c r="CB187" s="201"/>
      <c r="CC187" s="201"/>
      <c r="CD187" s="431">
        <v>20267</v>
      </c>
      <c r="CE187" s="201">
        <v>20166</v>
      </c>
      <c r="CF187" s="201"/>
      <c r="CG187" s="201">
        <v>20120</v>
      </c>
      <c r="CH187" s="201"/>
      <c r="CI187" s="201">
        <v>20026</v>
      </c>
      <c r="CJ187" s="201"/>
      <c r="CK187" s="201"/>
      <c r="CL187" s="431">
        <v>19871</v>
      </c>
      <c r="CM187" s="413">
        <v>19978</v>
      </c>
      <c r="CN187" s="201"/>
      <c r="CO187" s="201">
        <v>20063</v>
      </c>
      <c r="CP187" s="201"/>
      <c r="CQ187" s="201">
        <v>20126</v>
      </c>
      <c r="CR187" s="201"/>
      <c r="CS187" s="413"/>
      <c r="CT187" s="404">
        <v>19963</v>
      </c>
      <c r="CU187" s="342">
        <v>20002</v>
      </c>
      <c r="CV187" s="343"/>
      <c r="CW187" s="342">
        <v>20342</v>
      </c>
      <c r="CX187" s="343"/>
      <c r="CY187" s="342">
        <v>20803</v>
      </c>
      <c r="CZ187" s="19">
        <f>CY187</f>
        <v>20803</v>
      </c>
      <c r="DA187" s="365">
        <f>CY187</f>
        <v>20803</v>
      </c>
      <c r="DB187" s="404">
        <v>21502</v>
      </c>
      <c r="DC187" s="342">
        <v>21684</v>
      </c>
      <c r="DD187" s="343">
        <f t="shared" ref="DD187:DF188" si="565">DC187</f>
        <v>21684</v>
      </c>
      <c r="DE187" s="342">
        <v>22081</v>
      </c>
      <c r="DF187" s="343">
        <f t="shared" si="565"/>
        <v>22081</v>
      </c>
      <c r="DG187" s="342">
        <v>22336</v>
      </c>
      <c r="DH187" s="19">
        <f>DG187</f>
        <v>22336</v>
      </c>
      <c r="DI187" s="365">
        <f>DG187</f>
        <v>22336</v>
      </c>
      <c r="DJ187" s="404">
        <v>22513</v>
      </c>
      <c r="DK187" s="19">
        <f>DL187</f>
        <v>22855</v>
      </c>
      <c r="DL187" s="342">
        <v>22855</v>
      </c>
      <c r="DM187" s="343">
        <f>DN187</f>
        <v>23046</v>
      </c>
      <c r="DN187" s="165">
        <v>23046</v>
      </c>
      <c r="DO187" s="342">
        <v>23141</v>
      </c>
      <c r="DP187" s="26">
        <f>DO187</f>
        <v>23141</v>
      </c>
      <c r="DQ187" s="365">
        <f>DO187</f>
        <v>23141</v>
      </c>
      <c r="DR187" s="404">
        <v>23302</v>
      </c>
      <c r="DS187" s="19">
        <f>DT187</f>
        <v>23392</v>
      </c>
      <c r="DT187" s="342">
        <v>23392</v>
      </c>
      <c r="DU187" s="343">
        <f t="shared" ref="DU187:DU188" si="566">DV187</f>
        <v>23704</v>
      </c>
      <c r="DV187" s="165">
        <v>23704</v>
      </c>
      <c r="DW187" s="897">
        <f>$DY$187</f>
        <v>23922</v>
      </c>
      <c r="DX187" s="897">
        <f>$DY$187</f>
        <v>23922</v>
      </c>
      <c r="DY187" s="896">
        <v>23922</v>
      </c>
      <c r="DZ187" s="404">
        <v>24384</v>
      </c>
      <c r="EA187" s="19">
        <f>EB187</f>
        <v>24675</v>
      </c>
      <c r="EB187" s="342">
        <v>24675</v>
      </c>
      <c r="EC187" s="343"/>
      <c r="ED187" s="165"/>
      <c r="EE187" s="342"/>
      <c r="EF187" s="19"/>
      <c r="EG187" s="607"/>
      <c r="EH187" s="406"/>
    </row>
    <row r="188" spans="1:138">
      <c r="A188" s="13" t="s">
        <v>384</v>
      </c>
      <c r="B188" s="201"/>
      <c r="C188" s="201"/>
      <c r="D188" s="201"/>
      <c r="E188" s="201"/>
      <c r="F188" s="201"/>
      <c r="G188" s="201"/>
      <c r="H188" s="201"/>
      <c r="I188" s="201"/>
      <c r="J188" s="431"/>
      <c r="K188" s="201"/>
      <c r="L188" s="201"/>
      <c r="M188" s="201"/>
      <c r="N188" s="201"/>
      <c r="O188" s="201"/>
      <c r="P188" s="201"/>
      <c r="Q188" s="201"/>
      <c r="R188" s="431"/>
      <c r="S188" s="413"/>
      <c r="T188" s="201"/>
      <c r="U188" s="201"/>
      <c r="V188" s="201"/>
      <c r="W188" s="201"/>
      <c r="X188" s="201"/>
      <c r="Y188" s="201"/>
      <c r="Z188" s="431"/>
      <c r="AA188" s="201"/>
      <c r="AB188" s="201"/>
      <c r="AC188" s="201"/>
      <c r="AD188" s="201"/>
      <c r="AE188" s="201"/>
      <c r="AF188" s="201"/>
      <c r="AG188" s="201"/>
      <c r="AH188" s="431"/>
      <c r="AI188" s="201"/>
      <c r="AJ188" s="201"/>
      <c r="AK188" s="201"/>
      <c r="AL188" s="201"/>
      <c r="AM188" s="201"/>
      <c r="AN188" s="201"/>
      <c r="AO188" s="201"/>
      <c r="AP188" s="431"/>
      <c r="AQ188" s="201"/>
      <c r="AR188" s="201"/>
      <c r="AS188" s="201"/>
      <c r="AT188" s="201"/>
      <c r="AU188" s="201"/>
      <c r="AV188" s="201"/>
      <c r="AW188" s="201"/>
      <c r="AX188" s="431"/>
      <c r="AY188" s="201"/>
      <c r="AZ188" s="201"/>
      <c r="BA188" s="201"/>
      <c r="BB188" s="201"/>
      <c r="BC188" s="201"/>
      <c r="BD188" s="201"/>
      <c r="BE188" s="201"/>
      <c r="BF188" s="431"/>
      <c r="BG188" s="201"/>
      <c r="BH188" s="201"/>
      <c r="BI188" s="201"/>
      <c r="BJ188" s="201"/>
      <c r="BK188" s="201">
        <v>32171</v>
      </c>
      <c r="BL188" s="201"/>
      <c r="BM188" s="201"/>
      <c r="BN188" s="431">
        <v>31974</v>
      </c>
      <c r="BO188" s="201">
        <v>32181</v>
      </c>
      <c r="BP188" s="201"/>
      <c r="BQ188" s="201">
        <v>32654</v>
      </c>
      <c r="BR188" s="201"/>
      <c r="BS188" s="201">
        <v>33002</v>
      </c>
      <c r="BT188" s="201"/>
      <c r="BU188" s="201"/>
      <c r="BV188" s="431">
        <v>33509</v>
      </c>
      <c r="BW188" s="201">
        <v>33500</v>
      </c>
      <c r="BX188" s="201"/>
      <c r="BY188" s="201">
        <v>33854</v>
      </c>
      <c r="BZ188" s="201"/>
      <c r="CA188" s="201">
        <v>33922</v>
      </c>
      <c r="CB188" s="201"/>
      <c r="CC188" s="201"/>
      <c r="CD188" s="431">
        <v>33767</v>
      </c>
      <c r="CE188" s="201">
        <v>33442</v>
      </c>
      <c r="CF188" s="201"/>
      <c r="CG188" s="201">
        <v>33332</v>
      </c>
      <c r="CH188" s="201"/>
      <c r="CI188" s="201">
        <v>32836</v>
      </c>
      <c r="CJ188" s="201"/>
      <c r="CK188" s="201"/>
      <c r="CL188" s="431">
        <v>32784</v>
      </c>
      <c r="CM188" s="413">
        <v>32422</v>
      </c>
      <c r="CN188" s="201"/>
      <c r="CO188" s="201">
        <v>32430</v>
      </c>
      <c r="CP188" s="201"/>
      <c r="CQ188" s="201">
        <v>32809</v>
      </c>
      <c r="CR188" s="201"/>
      <c r="CS188" s="413"/>
      <c r="CT188" s="404">
        <v>33198</v>
      </c>
      <c r="CU188" s="342">
        <v>33477</v>
      </c>
      <c r="CV188" s="343"/>
      <c r="CW188" s="342">
        <v>33840</v>
      </c>
      <c r="CX188" s="343"/>
      <c r="CY188" s="342">
        <v>34330</v>
      </c>
      <c r="CZ188" s="19">
        <f>CY188</f>
        <v>34330</v>
      </c>
      <c r="DA188" s="365">
        <f>CY188</f>
        <v>34330</v>
      </c>
      <c r="DB188" s="404">
        <v>34774</v>
      </c>
      <c r="DC188" s="342">
        <v>35134</v>
      </c>
      <c r="DD188" s="343">
        <f t="shared" si="565"/>
        <v>35134</v>
      </c>
      <c r="DE188" s="342">
        <v>35180</v>
      </c>
      <c r="DF188" s="343">
        <f t="shared" si="565"/>
        <v>35180</v>
      </c>
      <c r="DG188" s="342">
        <v>35525</v>
      </c>
      <c r="DH188" s="19">
        <f>DG188</f>
        <v>35525</v>
      </c>
      <c r="DI188" s="365">
        <f>DG188</f>
        <v>35525</v>
      </c>
      <c r="DJ188" s="404">
        <v>35801</v>
      </c>
      <c r="DK188" s="19">
        <f>DL188</f>
        <v>35716</v>
      </c>
      <c r="DL188" s="342">
        <v>35716</v>
      </c>
      <c r="DM188" s="343">
        <f>DN188</f>
        <v>36366</v>
      </c>
      <c r="DN188" s="165">
        <v>36366</v>
      </c>
      <c r="DO188" s="342">
        <v>36347</v>
      </c>
      <c r="DP188" s="26">
        <f>DO188</f>
        <v>36347</v>
      </c>
      <c r="DQ188" s="365">
        <f>DO188</f>
        <v>36347</v>
      </c>
      <c r="DR188" s="404">
        <v>36341</v>
      </c>
      <c r="DS188" s="19">
        <f>DT188</f>
        <v>35976</v>
      </c>
      <c r="DT188" s="342">
        <v>35976</v>
      </c>
      <c r="DU188" s="343">
        <f t="shared" si="566"/>
        <v>36116</v>
      </c>
      <c r="DV188" s="165">
        <v>36116</v>
      </c>
      <c r="DW188" s="897">
        <f>$DY$188</f>
        <v>36244</v>
      </c>
      <c r="DX188" s="897">
        <f>$DY$188</f>
        <v>36244</v>
      </c>
      <c r="DY188" s="896">
        <v>36244</v>
      </c>
      <c r="DZ188" s="404">
        <v>36364</v>
      </c>
      <c r="EA188" s="19">
        <f>EB188</f>
        <v>36446</v>
      </c>
      <c r="EB188" s="342">
        <v>36446</v>
      </c>
      <c r="EC188" s="343"/>
      <c r="ED188" s="165"/>
      <c r="EE188" s="342"/>
      <c r="EF188" s="19"/>
      <c r="EG188" s="607"/>
      <c r="EH188" s="406"/>
    </row>
    <row r="189" spans="1:138" s="36" customFormat="1">
      <c r="A189" s="322" t="s">
        <v>225</v>
      </c>
      <c r="B189" s="323">
        <v>122899</v>
      </c>
      <c r="C189" s="323">
        <f>D189</f>
        <v>123975</v>
      </c>
      <c r="D189" s="323">
        <v>123975</v>
      </c>
      <c r="E189" s="323">
        <f>F189</f>
        <v>128038</v>
      </c>
      <c r="F189" s="323">
        <v>128038</v>
      </c>
      <c r="G189" s="323">
        <f>H189</f>
        <v>133115</v>
      </c>
      <c r="H189" s="323">
        <f>I189</f>
        <v>133115</v>
      </c>
      <c r="I189" s="323">
        <v>133115</v>
      </c>
      <c r="J189" s="432">
        <v>134614</v>
      </c>
      <c r="K189" s="323">
        <f>L189</f>
        <v>135634</v>
      </c>
      <c r="L189" s="323">
        <v>135634</v>
      </c>
      <c r="M189" s="323">
        <f>N189</f>
        <v>137415</v>
      </c>
      <c r="N189" s="323">
        <v>137415</v>
      </c>
      <c r="O189" s="323">
        <f>Q189</f>
        <v>140405</v>
      </c>
      <c r="P189" s="323">
        <f>Q189</f>
        <v>140405</v>
      </c>
      <c r="Q189" s="323">
        <v>140405</v>
      </c>
      <c r="R189" s="432">
        <v>142142</v>
      </c>
      <c r="S189" s="323">
        <v>143358</v>
      </c>
      <c r="T189" s="323">
        <f t="shared" ref="T189:BM189" si="567">SUM(T186:T188)</f>
        <v>0</v>
      </c>
      <c r="U189" s="323">
        <v>144156</v>
      </c>
      <c r="V189" s="323">
        <f t="shared" si="567"/>
        <v>0</v>
      </c>
      <c r="W189" s="323">
        <v>138404</v>
      </c>
      <c r="X189" s="323">
        <f t="shared" si="567"/>
        <v>0</v>
      </c>
      <c r="Y189" s="323">
        <f t="shared" si="567"/>
        <v>0</v>
      </c>
      <c r="Z189" s="432">
        <v>138924</v>
      </c>
      <c r="AA189" s="323">
        <v>138133</v>
      </c>
      <c r="AB189" s="323">
        <f t="shared" si="567"/>
        <v>0</v>
      </c>
      <c r="AC189" s="323">
        <v>139248</v>
      </c>
      <c r="AD189" s="323">
        <f t="shared" si="567"/>
        <v>0</v>
      </c>
      <c r="AE189" s="323">
        <v>138622</v>
      </c>
      <c r="AF189" s="323">
        <f t="shared" si="567"/>
        <v>0</v>
      </c>
      <c r="AG189" s="323">
        <f t="shared" si="567"/>
        <v>0</v>
      </c>
      <c r="AH189" s="432">
        <v>137855</v>
      </c>
      <c r="AI189" s="323">
        <v>137217</v>
      </c>
      <c r="AJ189" s="323">
        <f t="shared" si="567"/>
        <v>0</v>
      </c>
      <c r="AK189" s="323">
        <v>137488</v>
      </c>
      <c r="AL189" s="323">
        <f t="shared" si="567"/>
        <v>0</v>
      </c>
      <c r="AM189" s="323">
        <v>136574</v>
      </c>
      <c r="AN189" s="323">
        <f t="shared" si="567"/>
        <v>0</v>
      </c>
      <c r="AO189" s="323">
        <f t="shared" si="567"/>
        <v>0</v>
      </c>
      <c r="AP189" s="432">
        <v>135801</v>
      </c>
      <c r="AQ189" s="323">
        <v>136890</v>
      </c>
      <c r="AR189" s="323">
        <f t="shared" si="567"/>
        <v>0</v>
      </c>
      <c r="AS189" s="323">
        <v>132973</v>
      </c>
      <c r="AT189" s="323">
        <f t="shared" si="567"/>
        <v>0</v>
      </c>
      <c r="AU189" s="323">
        <v>133782</v>
      </c>
      <c r="AV189" s="323">
        <f t="shared" si="567"/>
        <v>0</v>
      </c>
      <c r="AW189" s="323">
        <f t="shared" si="567"/>
        <v>0</v>
      </c>
      <c r="AX189" s="432">
        <f t="shared" si="567"/>
        <v>0</v>
      </c>
      <c r="AY189" s="323">
        <f t="shared" si="567"/>
        <v>0</v>
      </c>
      <c r="AZ189" s="323">
        <f t="shared" si="567"/>
        <v>0</v>
      </c>
      <c r="BA189" s="323">
        <f t="shared" si="567"/>
        <v>0</v>
      </c>
      <c r="BB189" s="323">
        <f t="shared" si="567"/>
        <v>0</v>
      </c>
      <c r="BC189" s="323">
        <f t="shared" si="567"/>
        <v>0</v>
      </c>
      <c r="BD189" s="323">
        <f t="shared" si="567"/>
        <v>0</v>
      </c>
      <c r="BE189" s="323">
        <f t="shared" si="567"/>
        <v>0</v>
      </c>
      <c r="BF189" s="432">
        <v>130289</v>
      </c>
      <c r="BG189" s="323">
        <v>130402</v>
      </c>
      <c r="BH189" s="323">
        <f t="shared" si="567"/>
        <v>0</v>
      </c>
      <c r="BI189" s="323">
        <v>130917</v>
      </c>
      <c r="BJ189" s="323">
        <f t="shared" si="567"/>
        <v>0</v>
      </c>
      <c r="BK189" s="323">
        <f t="shared" si="567"/>
        <v>129442</v>
      </c>
      <c r="BL189" s="323">
        <f t="shared" si="567"/>
        <v>0</v>
      </c>
      <c r="BM189" s="323">
        <f t="shared" si="567"/>
        <v>0</v>
      </c>
      <c r="BN189" s="432">
        <f t="shared" ref="BN189:CU189" si="568">SUM(BN186:BN188)</f>
        <v>129208</v>
      </c>
      <c r="BO189" s="323">
        <f t="shared" si="568"/>
        <v>129450</v>
      </c>
      <c r="BP189" s="323">
        <f t="shared" si="568"/>
        <v>0</v>
      </c>
      <c r="BQ189" s="323">
        <f t="shared" si="568"/>
        <v>132358</v>
      </c>
      <c r="BR189" s="323">
        <f t="shared" si="568"/>
        <v>0</v>
      </c>
      <c r="BS189" s="323">
        <f t="shared" si="568"/>
        <v>133671</v>
      </c>
      <c r="BT189" s="323">
        <f t="shared" si="568"/>
        <v>0</v>
      </c>
      <c r="BU189" s="323">
        <f t="shared" si="568"/>
        <v>0</v>
      </c>
      <c r="BV189" s="432">
        <f t="shared" si="568"/>
        <v>135468</v>
      </c>
      <c r="BW189" s="323">
        <f t="shared" si="568"/>
        <v>136343</v>
      </c>
      <c r="BX189" s="323">
        <f t="shared" si="568"/>
        <v>0</v>
      </c>
      <c r="BY189" s="323">
        <f t="shared" si="568"/>
        <v>135978</v>
      </c>
      <c r="BZ189" s="323">
        <f t="shared" si="568"/>
        <v>0</v>
      </c>
      <c r="CA189" s="323">
        <f t="shared" si="568"/>
        <v>134931</v>
      </c>
      <c r="CB189" s="323">
        <f t="shared" si="568"/>
        <v>0</v>
      </c>
      <c r="CC189" s="323">
        <f t="shared" si="568"/>
        <v>0</v>
      </c>
      <c r="CD189" s="432">
        <f t="shared" si="568"/>
        <v>136518</v>
      </c>
      <c r="CE189" s="323">
        <f t="shared" si="568"/>
        <v>135154</v>
      </c>
      <c r="CF189" s="323">
        <f t="shared" si="568"/>
        <v>0</v>
      </c>
      <c r="CG189" s="323">
        <f t="shared" si="568"/>
        <v>134071</v>
      </c>
      <c r="CH189" s="323">
        <f t="shared" si="568"/>
        <v>0</v>
      </c>
      <c r="CI189" s="323">
        <f t="shared" si="568"/>
        <v>131349</v>
      </c>
      <c r="CJ189" s="323">
        <f t="shared" si="568"/>
        <v>0</v>
      </c>
      <c r="CK189" s="323">
        <f t="shared" si="568"/>
        <v>0</v>
      </c>
      <c r="CL189" s="432">
        <f t="shared" si="568"/>
        <v>127814</v>
      </c>
      <c r="CM189" s="323">
        <f t="shared" si="568"/>
        <v>126050</v>
      </c>
      <c r="CN189" s="323">
        <f t="shared" si="568"/>
        <v>0</v>
      </c>
      <c r="CO189" s="323">
        <f t="shared" si="568"/>
        <v>125888</v>
      </c>
      <c r="CP189" s="323">
        <f t="shared" si="568"/>
        <v>0</v>
      </c>
      <c r="CQ189" s="323">
        <f t="shared" si="568"/>
        <v>126495</v>
      </c>
      <c r="CR189" s="323">
        <f t="shared" si="568"/>
        <v>0</v>
      </c>
      <c r="CS189" s="323">
        <f t="shared" si="568"/>
        <v>0</v>
      </c>
      <c r="CT189" s="405">
        <f t="shared" si="568"/>
        <v>127120</v>
      </c>
      <c r="CU189" s="344">
        <f t="shared" si="568"/>
        <v>128873</v>
      </c>
      <c r="CV189" s="344">
        <f t="shared" ref="CV189:DC189" si="569">SUM(CV186:CV188)</f>
        <v>0</v>
      </c>
      <c r="CW189" s="344">
        <f t="shared" si="569"/>
        <v>131615</v>
      </c>
      <c r="CX189" s="344">
        <f t="shared" si="569"/>
        <v>0</v>
      </c>
      <c r="CY189" s="344">
        <f t="shared" si="569"/>
        <v>134267</v>
      </c>
      <c r="CZ189" s="344">
        <f t="shared" si="569"/>
        <v>134267</v>
      </c>
      <c r="DA189" s="344">
        <f t="shared" si="569"/>
        <v>134267</v>
      </c>
      <c r="DB189" s="405">
        <f t="shared" si="569"/>
        <v>137715</v>
      </c>
      <c r="DC189" s="344">
        <f t="shared" si="569"/>
        <v>141799</v>
      </c>
      <c r="DD189" s="344">
        <f t="shared" ref="DD189:DN189" si="570">SUM(DD186:DD188)</f>
        <v>141799</v>
      </c>
      <c r="DE189" s="344">
        <f>SUM(DE186:DE188)</f>
        <v>145511</v>
      </c>
      <c r="DF189" s="344">
        <f t="shared" si="570"/>
        <v>145511</v>
      </c>
      <c r="DG189" s="344">
        <f t="shared" si="570"/>
        <v>147893</v>
      </c>
      <c r="DH189" s="344">
        <f t="shared" si="570"/>
        <v>147893</v>
      </c>
      <c r="DI189" s="344">
        <f t="shared" si="570"/>
        <v>147893</v>
      </c>
      <c r="DJ189" s="405">
        <f t="shared" si="570"/>
        <v>150093</v>
      </c>
      <c r="DK189" s="344">
        <f>DL189</f>
        <v>154581</v>
      </c>
      <c r="DL189" s="344">
        <f t="shared" si="570"/>
        <v>154581</v>
      </c>
      <c r="DM189" s="344">
        <f>DN189</f>
        <v>156569</v>
      </c>
      <c r="DN189" s="344">
        <f t="shared" si="570"/>
        <v>156569</v>
      </c>
      <c r="DO189" s="344">
        <f>SUM(DO186:DO188)</f>
        <v>156921</v>
      </c>
      <c r="DP189" s="740">
        <f>SUM(DP186:DP188)</f>
        <v>156921</v>
      </c>
      <c r="DQ189" s="344">
        <f>SUM(DQ186:DQ188)</f>
        <v>156921</v>
      </c>
      <c r="DR189" s="405">
        <f>SUM(DR186:DR188)</f>
        <v>157894</v>
      </c>
      <c r="DS189" s="344">
        <f>DT189</f>
        <v>157935</v>
      </c>
      <c r="DT189" s="344">
        <f>SUM(DT186:DT188)</f>
        <v>157935</v>
      </c>
      <c r="DU189" s="344">
        <f>DV189</f>
        <v>159409</v>
      </c>
      <c r="DV189" s="344">
        <f>SUM(DV186:DV188)</f>
        <v>159409</v>
      </c>
      <c r="DW189" s="344">
        <f>$DY$189</f>
        <v>165294</v>
      </c>
      <c r="DX189" s="344">
        <f>$DY$189</f>
        <v>165294</v>
      </c>
      <c r="DY189" s="344">
        <f>SUM(DY186:DY188)</f>
        <v>165294</v>
      </c>
      <c r="DZ189" s="405">
        <f>SUM(DZ186:DZ188)</f>
        <v>166876</v>
      </c>
      <c r="EA189" s="344">
        <f>EB189</f>
        <v>168754</v>
      </c>
      <c r="EB189" s="344">
        <f>SUM(EB186:EB188)</f>
        <v>168754</v>
      </c>
      <c r="EC189" s="344"/>
      <c r="ED189" s="344"/>
      <c r="EE189" s="344"/>
      <c r="EF189" s="344"/>
      <c r="EG189" s="485"/>
      <c r="EH189" s="612"/>
    </row>
    <row r="190" spans="1:138">
      <c r="J190" s="369"/>
      <c r="R190" s="369"/>
      <c r="Z190" s="369"/>
      <c r="AH190" s="369"/>
      <c r="AP190" s="406"/>
      <c r="AX190" s="406"/>
      <c r="BF190" s="406"/>
      <c r="BN190" s="448"/>
      <c r="BV190" s="406"/>
      <c r="CD190" s="406"/>
      <c r="CL190" s="406"/>
      <c r="CT190" s="406"/>
      <c r="DB190" s="406"/>
      <c r="DJ190" s="406"/>
      <c r="DR190" s="406"/>
      <c r="DZ190" s="406"/>
      <c r="EG190" s="486"/>
      <c r="EH190" s="406"/>
    </row>
    <row r="191" spans="1:138">
      <c r="A191" s="266" t="s">
        <v>494</v>
      </c>
      <c r="B191" s="275" t="str">
        <f t="shared" ref="B191:AG191" si="571">B1&amp;" "&amp;B2</f>
        <v>2011 Q1</v>
      </c>
      <c r="C191" s="276" t="str">
        <f t="shared" si="571"/>
        <v>2011 Q2</v>
      </c>
      <c r="D191" s="276" t="str">
        <f t="shared" si="571"/>
        <v>2011 H1</v>
      </c>
      <c r="E191" s="276" t="str">
        <f t="shared" si="571"/>
        <v>2011 Q3</v>
      </c>
      <c r="F191" s="276" t="str">
        <f t="shared" si="571"/>
        <v>2011 9M</v>
      </c>
      <c r="G191" s="276" t="str">
        <f t="shared" si="571"/>
        <v>2011 Q4</v>
      </c>
      <c r="H191" s="276" t="str">
        <f t="shared" si="571"/>
        <v>2011 H2</v>
      </c>
      <c r="I191" s="276" t="str">
        <f t="shared" si="571"/>
        <v>2011 FY</v>
      </c>
      <c r="J191" s="433" t="str">
        <f t="shared" si="571"/>
        <v>2012 Q1</v>
      </c>
      <c r="K191" s="276" t="str">
        <f t="shared" si="571"/>
        <v>2012 Q2</v>
      </c>
      <c r="L191" s="276" t="str">
        <f t="shared" si="571"/>
        <v>2012 H1</v>
      </c>
      <c r="M191" s="276" t="str">
        <f t="shared" si="571"/>
        <v>2012 Q3</v>
      </c>
      <c r="N191" s="276" t="str">
        <f t="shared" si="571"/>
        <v>2012 9M</v>
      </c>
      <c r="O191" s="276" t="str">
        <f t="shared" si="571"/>
        <v>2012 Q4</v>
      </c>
      <c r="P191" s="276" t="str">
        <f t="shared" si="571"/>
        <v>2012 H2</v>
      </c>
      <c r="Q191" s="276" t="str">
        <f t="shared" si="571"/>
        <v>2012 FY</v>
      </c>
      <c r="R191" s="433" t="str">
        <f t="shared" si="571"/>
        <v>2013 Q1</v>
      </c>
      <c r="S191" s="276" t="str">
        <f t="shared" si="571"/>
        <v>2013 Q2</v>
      </c>
      <c r="T191" s="276" t="str">
        <f t="shared" si="571"/>
        <v>2013 H1</v>
      </c>
      <c r="U191" s="276" t="str">
        <f t="shared" si="571"/>
        <v>2013 Q3</v>
      </c>
      <c r="V191" s="276" t="str">
        <f t="shared" si="571"/>
        <v>2013 9M</v>
      </c>
      <c r="W191" s="276" t="str">
        <f t="shared" si="571"/>
        <v>2013 Q4</v>
      </c>
      <c r="X191" s="276" t="str">
        <f t="shared" si="571"/>
        <v>2013 H2</v>
      </c>
      <c r="Y191" s="276" t="str">
        <f t="shared" si="571"/>
        <v>2013 FY</v>
      </c>
      <c r="Z191" s="433" t="str">
        <f t="shared" si="571"/>
        <v>2014 Q1</v>
      </c>
      <c r="AA191" s="276" t="str">
        <f t="shared" si="571"/>
        <v>2014 Q2</v>
      </c>
      <c r="AB191" s="276" t="str">
        <f t="shared" si="571"/>
        <v>2014 H1</v>
      </c>
      <c r="AC191" s="276" t="str">
        <f t="shared" si="571"/>
        <v>2014 Q3</v>
      </c>
      <c r="AD191" s="276" t="str">
        <f t="shared" si="571"/>
        <v>2014 9M</v>
      </c>
      <c r="AE191" s="276" t="str">
        <f t="shared" si="571"/>
        <v>2014 Q4</v>
      </c>
      <c r="AF191" s="276" t="str">
        <f t="shared" si="571"/>
        <v>2014 H2</v>
      </c>
      <c r="AG191" s="276" t="str">
        <f t="shared" si="571"/>
        <v>2014 FY</v>
      </c>
      <c r="AH191" s="433" t="str">
        <f t="shared" ref="AH191:BE191" si="572">AH1&amp;" "&amp;AH2</f>
        <v>2015 Q1</v>
      </c>
      <c r="AI191" s="276" t="str">
        <f t="shared" si="572"/>
        <v>2015 Q2</v>
      </c>
      <c r="AJ191" s="276" t="str">
        <f t="shared" si="572"/>
        <v>2015 H1</v>
      </c>
      <c r="AK191" s="276" t="str">
        <f t="shared" si="572"/>
        <v>2015 Q3</v>
      </c>
      <c r="AL191" s="276" t="str">
        <f t="shared" si="572"/>
        <v>2015 9M</v>
      </c>
      <c r="AM191" s="276" t="str">
        <f t="shared" si="572"/>
        <v>2015 Q4</v>
      </c>
      <c r="AN191" s="276" t="str">
        <f t="shared" si="572"/>
        <v>2015 H2</v>
      </c>
      <c r="AO191" s="276" t="str">
        <f t="shared" si="572"/>
        <v>2015 FY</v>
      </c>
      <c r="AP191" s="433" t="str">
        <f t="shared" si="572"/>
        <v>2016 Q1</v>
      </c>
      <c r="AQ191" s="276" t="str">
        <f t="shared" si="572"/>
        <v>2016 Q2</v>
      </c>
      <c r="AR191" s="276" t="str">
        <f t="shared" si="572"/>
        <v>2016 H1</v>
      </c>
      <c r="AS191" s="276" t="str">
        <f t="shared" si="572"/>
        <v>2016 Q3</v>
      </c>
      <c r="AT191" s="276" t="str">
        <f t="shared" si="572"/>
        <v>2016 9M</v>
      </c>
      <c r="AU191" s="276" t="str">
        <f t="shared" si="572"/>
        <v>2016 Q4</v>
      </c>
      <c r="AV191" s="276" t="str">
        <f t="shared" si="572"/>
        <v>2016 H2</v>
      </c>
      <c r="AW191" s="276" t="str">
        <f t="shared" si="572"/>
        <v>2016 FY</v>
      </c>
      <c r="AX191" s="433" t="str">
        <f t="shared" si="572"/>
        <v>2017 Q1</v>
      </c>
      <c r="AY191" s="276" t="str">
        <f t="shared" si="572"/>
        <v>2017 Q2</v>
      </c>
      <c r="AZ191" s="276" t="str">
        <f t="shared" si="572"/>
        <v>2017 H1</v>
      </c>
      <c r="BA191" s="276" t="str">
        <f t="shared" si="572"/>
        <v>2017 Q3</v>
      </c>
      <c r="BB191" s="276" t="str">
        <f t="shared" si="572"/>
        <v>2017 9M</v>
      </c>
      <c r="BC191" s="276" t="str">
        <f t="shared" si="572"/>
        <v>2017 Q4</v>
      </c>
      <c r="BD191" s="276" t="str">
        <f t="shared" si="572"/>
        <v>2017 H2</v>
      </c>
      <c r="BE191" s="276" t="str">
        <f t="shared" si="572"/>
        <v>2017 FY</v>
      </c>
      <c r="BF191" s="433"/>
      <c r="BG191" s="276"/>
      <c r="BH191" s="276"/>
      <c r="BI191" s="276"/>
      <c r="BJ191" s="276"/>
      <c r="BK191" s="276"/>
      <c r="BL191" s="276"/>
      <c r="BM191" s="276"/>
      <c r="BN191" s="433" t="str">
        <f t="shared" ref="BN191:CS191" si="573">BN1&amp;" "&amp;BN2</f>
        <v>2018 Q1</v>
      </c>
      <c r="BO191" s="276" t="str">
        <f t="shared" si="573"/>
        <v>2018 Q2</v>
      </c>
      <c r="BP191" s="276" t="str">
        <f t="shared" si="573"/>
        <v>2018 H1</v>
      </c>
      <c r="BQ191" s="276" t="str">
        <f t="shared" si="573"/>
        <v>2018 Q3</v>
      </c>
      <c r="BR191" s="276" t="str">
        <f t="shared" si="573"/>
        <v>2018 9M</v>
      </c>
      <c r="BS191" s="276" t="str">
        <f t="shared" si="573"/>
        <v>2018 Q4</v>
      </c>
      <c r="BT191" s="276" t="str">
        <f t="shared" si="573"/>
        <v>2018 H2</v>
      </c>
      <c r="BU191" s="276" t="str">
        <f t="shared" si="573"/>
        <v>2018 FY</v>
      </c>
      <c r="BV191" s="433" t="str">
        <f t="shared" si="573"/>
        <v>2019 Q1</v>
      </c>
      <c r="BW191" s="276" t="str">
        <f t="shared" si="573"/>
        <v>2019 Q2</v>
      </c>
      <c r="BX191" s="276" t="str">
        <f t="shared" si="573"/>
        <v>2019 H1</v>
      </c>
      <c r="BY191" s="276" t="str">
        <f t="shared" si="573"/>
        <v>2019 Q3</v>
      </c>
      <c r="BZ191" s="276" t="str">
        <f t="shared" si="573"/>
        <v>2019 9M</v>
      </c>
      <c r="CA191" s="276" t="str">
        <f t="shared" si="573"/>
        <v>2019 Q4</v>
      </c>
      <c r="CB191" s="276" t="str">
        <f t="shared" si="573"/>
        <v>2019 H2</v>
      </c>
      <c r="CC191" s="276" t="str">
        <f t="shared" si="573"/>
        <v>2019 FY</v>
      </c>
      <c r="CD191" s="433" t="str">
        <f t="shared" si="573"/>
        <v>2020 Q1</v>
      </c>
      <c r="CE191" s="276" t="str">
        <f t="shared" si="573"/>
        <v>2020 Q2</v>
      </c>
      <c r="CF191" s="276" t="str">
        <f t="shared" si="573"/>
        <v>2020 H1</v>
      </c>
      <c r="CG191" s="276" t="str">
        <f t="shared" si="573"/>
        <v>2020 Q3</v>
      </c>
      <c r="CH191" s="276" t="str">
        <f t="shared" si="573"/>
        <v>2020 9M</v>
      </c>
      <c r="CI191" s="276" t="str">
        <f t="shared" si="573"/>
        <v>2020 Q4</v>
      </c>
      <c r="CJ191" s="276" t="str">
        <f t="shared" si="573"/>
        <v>2020 H2</v>
      </c>
      <c r="CK191" s="276" t="str">
        <f t="shared" si="573"/>
        <v>2020 FY</v>
      </c>
      <c r="CL191" s="433" t="str">
        <f t="shared" si="573"/>
        <v>2021 Q1</v>
      </c>
      <c r="CM191" s="276" t="str">
        <f t="shared" si="573"/>
        <v>2021 Q2</v>
      </c>
      <c r="CN191" s="276" t="str">
        <f t="shared" si="573"/>
        <v>2021 H1</v>
      </c>
      <c r="CO191" s="276" t="str">
        <f t="shared" si="573"/>
        <v>2021 Q3</v>
      </c>
      <c r="CP191" s="276" t="str">
        <f t="shared" si="573"/>
        <v>2021 9M</v>
      </c>
      <c r="CQ191" s="276" t="str">
        <f t="shared" si="573"/>
        <v>2021 Q4</v>
      </c>
      <c r="CR191" s="276" t="str">
        <f t="shared" si="573"/>
        <v>2021 H2</v>
      </c>
      <c r="CS191" s="276" t="str">
        <f t="shared" si="573"/>
        <v>2021 FY</v>
      </c>
      <c r="CT191" s="407" t="str">
        <f t="shared" ref="CT191:DY191" si="574">CT1&amp;" "&amp;CT2</f>
        <v>2022 Q1</v>
      </c>
      <c r="CU191" s="309" t="str">
        <f t="shared" si="574"/>
        <v>2022 Q2</v>
      </c>
      <c r="CV191" s="309" t="str">
        <f t="shared" si="574"/>
        <v>2022 H1</v>
      </c>
      <c r="CW191" s="309" t="str">
        <f t="shared" si="574"/>
        <v>2022 Q3</v>
      </c>
      <c r="CX191" s="309" t="str">
        <f t="shared" si="574"/>
        <v>2022 9M</v>
      </c>
      <c r="CY191" s="309" t="str">
        <f t="shared" si="574"/>
        <v>2022 Q4</v>
      </c>
      <c r="CZ191" s="309" t="str">
        <f t="shared" si="574"/>
        <v>2022 H2</v>
      </c>
      <c r="DA191" s="309" t="str">
        <f t="shared" si="574"/>
        <v>2022 FY</v>
      </c>
      <c r="DB191" s="407" t="str">
        <f t="shared" si="574"/>
        <v>2023 Q1</v>
      </c>
      <c r="DC191" s="309" t="str">
        <f t="shared" si="574"/>
        <v>2023 Q2</v>
      </c>
      <c r="DD191" s="309" t="str">
        <f t="shared" si="574"/>
        <v>2023 H1</v>
      </c>
      <c r="DE191" s="309" t="str">
        <f t="shared" si="574"/>
        <v>2023 Q3</v>
      </c>
      <c r="DF191" s="309" t="str">
        <f t="shared" si="574"/>
        <v>2023 9M</v>
      </c>
      <c r="DG191" s="309" t="str">
        <f t="shared" si="574"/>
        <v>2023 Q4</v>
      </c>
      <c r="DH191" s="309" t="str">
        <f t="shared" si="574"/>
        <v>2023 H2</v>
      </c>
      <c r="DI191" s="309" t="str">
        <f t="shared" si="574"/>
        <v>2023 FY</v>
      </c>
      <c r="DJ191" s="407" t="str">
        <f t="shared" si="574"/>
        <v>2024 Q1</v>
      </c>
      <c r="DK191" s="309" t="str">
        <f t="shared" si="574"/>
        <v>2024 Q2</v>
      </c>
      <c r="DL191" s="309" t="str">
        <f t="shared" si="574"/>
        <v>2024 H1</v>
      </c>
      <c r="DM191" s="309" t="str">
        <f t="shared" si="574"/>
        <v>2024 Q3</v>
      </c>
      <c r="DN191" s="309" t="str">
        <f t="shared" si="574"/>
        <v>2024 9M</v>
      </c>
      <c r="DO191" s="309" t="str">
        <f t="shared" si="574"/>
        <v>2024 Q4</v>
      </c>
      <c r="DP191" s="309" t="str">
        <f t="shared" si="574"/>
        <v>2024 H2</v>
      </c>
      <c r="DQ191" s="309" t="str">
        <f t="shared" si="574"/>
        <v>2024 FY</v>
      </c>
      <c r="DR191" s="407" t="str">
        <f t="shared" si="574"/>
        <v>2025 Q1</v>
      </c>
      <c r="DS191" s="309" t="str">
        <f t="shared" si="574"/>
        <v>2025 Q2</v>
      </c>
      <c r="DT191" s="309" t="str">
        <f t="shared" si="574"/>
        <v>2025 H1</v>
      </c>
      <c r="DU191" s="309" t="str">
        <f t="shared" si="574"/>
        <v>2025 Q3</v>
      </c>
      <c r="DV191" s="309" t="str">
        <f t="shared" si="574"/>
        <v>2025 9M</v>
      </c>
      <c r="DW191" s="309" t="str">
        <f t="shared" si="574"/>
        <v>2025 Q4</v>
      </c>
      <c r="DX191" s="309" t="str">
        <f t="shared" si="574"/>
        <v>2025 H2</v>
      </c>
      <c r="DY191" s="309" t="str">
        <f t="shared" si="574"/>
        <v>2025 FY</v>
      </c>
      <c r="DZ191" s="407" t="str">
        <f t="shared" ref="DZ191:EE191" si="575">DZ1&amp;" "&amp;DZ2</f>
        <v>2026 Q1</v>
      </c>
      <c r="EA191" s="309" t="str">
        <f t="shared" si="575"/>
        <v>2026 Q2</v>
      </c>
      <c r="EB191" s="309" t="str">
        <f t="shared" si="575"/>
        <v>2026 H1</v>
      </c>
      <c r="EC191" s="309" t="str">
        <f t="shared" si="575"/>
        <v>2026 Q3</v>
      </c>
      <c r="ED191" s="309" t="str">
        <f t="shared" si="575"/>
        <v>2026 9M</v>
      </c>
      <c r="EE191" s="309" t="str">
        <f t="shared" si="575"/>
        <v>2026 Q4</v>
      </c>
      <c r="EF191" s="309"/>
      <c r="EG191" s="608"/>
      <c r="EH191" s="406"/>
    </row>
    <row r="192" spans="1:138">
      <c r="B192" s="122" t="str">
        <f t="shared" ref="B192:AG192" si="576">B1&amp;" FY"</f>
        <v>2011 FY</v>
      </c>
      <c r="C192" s="122" t="str">
        <f t="shared" si="576"/>
        <v>2011 FY</v>
      </c>
      <c r="D192" s="122" t="str">
        <f t="shared" si="576"/>
        <v>2011 FY</v>
      </c>
      <c r="E192" s="122" t="str">
        <f t="shared" si="576"/>
        <v>2011 FY</v>
      </c>
      <c r="F192" s="122" t="str">
        <f t="shared" si="576"/>
        <v>2011 FY</v>
      </c>
      <c r="G192" s="122" t="str">
        <f t="shared" si="576"/>
        <v>2011 FY</v>
      </c>
      <c r="H192" s="122" t="str">
        <f t="shared" si="576"/>
        <v>2011 FY</v>
      </c>
      <c r="I192" s="122" t="str">
        <f t="shared" si="576"/>
        <v>2011 FY</v>
      </c>
      <c r="J192" s="408" t="str">
        <f t="shared" si="576"/>
        <v>2012 FY</v>
      </c>
      <c r="K192" s="122" t="str">
        <f t="shared" si="576"/>
        <v>2012 FY</v>
      </c>
      <c r="L192" s="122" t="str">
        <f t="shared" si="576"/>
        <v>2012 FY</v>
      </c>
      <c r="M192" s="122" t="str">
        <f t="shared" si="576"/>
        <v>2012 FY</v>
      </c>
      <c r="N192" s="122" t="str">
        <f t="shared" si="576"/>
        <v>2012 FY</v>
      </c>
      <c r="O192" s="122" t="str">
        <f t="shared" si="576"/>
        <v>2012 FY</v>
      </c>
      <c r="P192" s="122" t="str">
        <f t="shared" si="576"/>
        <v>2012 FY</v>
      </c>
      <c r="Q192" s="122" t="str">
        <f t="shared" si="576"/>
        <v>2012 FY</v>
      </c>
      <c r="R192" s="408" t="str">
        <f t="shared" si="576"/>
        <v>2013 FY</v>
      </c>
      <c r="S192" s="122" t="str">
        <f t="shared" si="576"/>
        <v>2013 FY</v>
      </c>
      <c r="T192" s="122" t="str">
        <f t="shared" si="576"/>
        <v>2013 FY</v>
      </c>
      <c r="U192" s="122" t="str">
        <f t="shared" si="576"/>
        <v>2013 FY</v>
      </c>
      <c r="V192" s="122" t="str">
        <f t="shared" si="576"/>
        <v>2013 FY</v>
      </c>
      <c r="W192" s="122" t="str">
        <f t="shared" si="576"/>
        <v>2013 FY</v>
      </c>
      <c r="X192" s="122" t="str">
        <f t="shared" si="576"/>
        <v>2013 FY</v>
      </c>
      <c r="Y192" s="122" t="str">
        <f t="shared" si="576"/>
        <v>2013 FY</v>
      </c>
      <c r="Z192" s="408" t="str">
        <f t="shared" si="576"/>
        <v>2014 FY</v>
      </c>
      <c r="AA192" s="122" t="str">
        <f t="shared" si="576"/>
        <v>2014 FY</v>
      </c>
      <c r="AB192" s="122" t="str">
        <f t="shared" si="576"/>
        <v>2014 FY</v>
      </c>
      <c r="AC192" s="122" t="str">
        <f t="shared" si="576"/>
        <v>2014 FY</v>
      </c>
      <c r="AD192" s="122" t="str">
        <f t="shared" si="576"/>
        <v>2014 FY</v>
      </c>
      <c r="AE192" s="122" t="str">
        <f t="shared" si="576"/>
        <v>2014 FY</v>
      </c>
      <c r="AF192" s="122" t="str">
        <f t="shared" si="576"/>
        <v>2014 FY</v>
      </c>
      <c r="AG192" s="122" t="str">
        <f t="shared" si="576"/>
        <v>2014 FY</v>
      </c>
      <c r="AH192" s="408" t="str">
        <f t="shared" ref="AH192:BE192" si="577">AH1&amp;" FY"</f>
        <v>2015 FY</v>
      </c>
      <c r="AI192" s="122" t="str">
        <f t="shared" si="577"/>
        <v>2015 FY</v>
      </c>
      <c r="AJ192" s="122" t="str">
        <f t="shared" si="577"/>
        <v>2015 FY</v>
      </c>
      <c r="AK192" s="122" t="str">
        <f t="shared" si="577"/>
        <v>2015 FY</v>
      </c>
      <c r="AL192" s="122" t="str">
        <f t="shared" si="577"/>
        <v>2015 FY</v>
      </c>
      <c r="AM192" s="122" t="str">
        <f t="shared" si="577"/>
        <v>2015 FY</v>
      </c>
      <c r="AN192" s="122" t="str">
        <f t="shared" si="577"/>
        <v>2015 FY</v>
      </c>
      <c r="AO192" s="122" t="str">
        <f t="shared" si="577"/>
        <v>2015 FY</v>
      </c>
      <c r="AP192" s="408" t="str">
        <f t="shared" si="577"/>
        <v>2016 FY</v>
      </c>
      <c r="AQ192" s="122" t="str">
        <f t="shared" si="577"/>
        <v>2016 FY</v>
      </c>
      <c r="AR192" s="122" t="str">
        <f t="shared" si="577"/>
        <v>2016 FY</v>
      </c>
      <c r="AS192" s="122" t="str">
        <f t="shared" si="577"/>
        <v>2016 FY</v>
      </c>
      <c r="AT192" s="122" t="str">
        <f t="shared" si="577"/>
        <v>2016 FY</v>
      </c>
      <c r="AU192" s="122" t="str">
        <f t="shared" si="577"/>
        <v>2016 FY</v>
      </c>
      <c r="AV192" s="122" t="str">
        <f t="shared" si="577"/>
        <v>2016 FY</v>
      </c>
      <c r="AW192" s="122" t="str">
        <f t="shared" si="577"/>
        <v>2016 FY</v>
      </c>
      <c r="AX192" s="408" t="str">
        <f t="shared" si="577"/>
        <v>2017 FY</v>
      </c>
      <c r="AY192" s="122" t="str">
        <f t="shared" si="577"/>
        <v>2017 FY</v>
      </c>
      <c r="AZ192" s="122" t="str">
        <f t="shared" si="577"/>
        <v>2017 FY</v>
      </c>
      <c r="BA192" s="122" t="str">
        <f t="shared" si="577"/>
        <v>2017 FY</v>
      </c>
      <c r="BB192" s="122" t="str">
        <f t="shared" si="577"/>
        <v>2017 FY</v>
      </c>
      <c r="BC192" s="122" t="str">
        <f t="shared" si="577"/>
        <v>2017 FY</v>
      </c>
      <c r="BD192" s="122" t="str">
        <f t="shared" si="577"/>
        <v>2017 FY</v>
      </c>
      <c r="BE192" s="122" t="str">
        <f t="shared" si="577"/>
        <v>2017 FY</v>
      </c>
      <c r="BF192" s="408"/>
      <c r="BG192" s="122"/>
      <c r="BH192" s="122"/>
      <c r="BI192" s="122"/>
      <c r="BJ192" s="122"/>
      <c r="BK192" s="122"/>
      <c r="BL192" s="122"/>
      <c r="BM192" s="122"/>
      <c r="BN192" s="408" t="str">
        <f t="shared" ref="BN192:CS192" si="578">BN1&amp;" FY"</f>
        <v>2018 FY</v>
      </c>
      <c r="BO192" s="122" t="str">
        <f t="shared" si="578"/>
        <v>2018 FY</v>
      </c>
      <c r="BP192" s="122" t="str">
        <f t="shared" si="578"/>
        <v>2018 FY</v>
      </c>
      <c r="BQ192" s="122" t="str">
        <f t="shared" si="578"/>
        <v>2018 FY</v>
      </c>
      <c r="BR192" s="122" t="str">
        <f t="shared" si="578"/>
        <v>2018 FY</v>
      </c>
      <c r="BS192" s="122" t="str">
        <f t="shared" si="578"/>
        <v>2018 FY</v>
      </c>
      <c r="BT192" s="122" t="str">
        <f t="shared" si="578"/>
        <v>2018 FY</v>
      </c>
      <c r="BU192" s="122" t="str">
        <f t="shared" si="578"/>
        <v>2018 FY</v>
      </c>
      <c r="BV192" s="408" t="str">
        <f t="shared" si="578"/>
        <v>2019 FY</v>
      </c>
      <c r="BW192" s="122" t="str">
        <f t="shared" si="578"/>
        <v>2019 FY</v>
      </c>
      <c r="BX192" s="122" t="str">
        <f t="shared" si="578"/>
        <v>2019 FY</v>
      </c>
      <c r="BY192" s="122" t="str">
        <f t="shared" si="578"/>
        <v>2019 FY</v>
      </c>
      <c r="BZ192" s="122" t="str">
        <f t="shared" si="578"/>
        <v>2019 FY</v>
      </c>
      <c r="CA192" s="122" t="str">
        <f t="shared" si="578"/>
        <v>2019 FY</v>
      </c>
      <c r="CB192" s="122" t="str">
        <f t="shared" si="578"/>
        <v>2019 FY</v>
      </c>
      <c r="CC192" s="122" t="str">
        <f t="shared" si="578"/>
        <v>2019 FY</v>
      </c>
      <c r="CD192" s="408" t="str">
        <f t="shared" si="578"/>
        <v>2020 FY</v>
      </c>
      <c r="CE192" s="122" t="str">
        <f t="shared" si="578"/>
        <v>2020 FY</v>
      </c>
      <c r="CF192" s="122" t="str">
        <f t="shared" si="578"/>
        <v>2020 FY</v>
      </c>
      <c r="CG192" s="122" t="str">
        <f t="shared" si="578"/>
        <v>2020 FY</v>
      </c>
      <c r="CH192" s="122" t="str">
        <f t="shared" si="578"/>
        <v>2020 FY</v>
      </c>
      <c r="CI192" s="122" t="str">
        <f t="shared" si="578"/>
        <v>2020 FY</v>
      </c>
      <c r="CJ192" s="122" t="str">
        <f t="shared" si="578"/>
        <v>2020 FY</v>
      </c>
      <c r="CK192" s="122" t="str">
        <f t="shared" si="578"/>
        <v>2020 FY</v>
      </c>
      <c r="CL192" s="408" t="str">
        <f t="shared" si="578"/>
        <v>2021 FY</v>
      </c>
      <c r="CM192" s="122" t="str">
        <f t="shared" si="578"/>
        <v>2021 FY</v>
      </c>
      <c r="CN192" s="122" t="str">
        <f t="shared" si="578"/>
        <v>2021 FY</v>
      </c>
      <c r="CO192" s="122" t="str">
        <f t="shared" si="578"/>
        <v>2021 FY</v>
      </c>
      <c r="CP192" s="122" t="str">
        <f t="shared" si="578"/>
        <v>2021 FY</v>
      </c>
      <c r="CQ192" s="122" t="str">
        <f t="shared" si="578"/>
        <v>2021 FY</v>
      </c>
      <c r="CR192" s="122" t="str">
        <f t="shared" si="578"/>
        <v>2021 FY</v>
      </c>
      <c r="CS192" s="122" t="str">
        <f t="shared" si="578"/>
        <v>2021 FY</v>
      </c>
      <c r="CT192" s="408" t="str">
        <f t="shared" ref="CT192:DR192" si="579">CT1&amp;" FY"</f>
        <v>2022 FY</v>
      </c>
      <c r="CU192" s="122" t="str">
        <f t="shared" si="579"/>
        <v>2022 FY</v>
      </c>
      <c r="CV192" s="122" t="str">
        <f t="shared" si="579"/>
        <v>2022 FY</v>
      </c>
      <c r="CW192" s="122" t="str">
        <f t="shared" si="579"/>
        <v>2022 FY</v>
      </c>
      <c r="CX192" s="122" t="str">
        <f t="shared" si="579"/>
        <v>2022 FY</v>
      </c>
      <c r="CY192" s="122" t="str">
        <f t="shared" si="579"/>
        <v>2022 FY</v>
      </c>
      <c r="CZ192" s="122" t="str">
        <f t="shared" si="579"/>
        <v>2022 FY</v>
      </c>
      <c r="DA192" s="122" t="str">
        <f t="shared" si="579"/>
        <v>2022 FY</v>
      </c>
      <c r="DB192" s="408" t="str">
        <f t="shared" si="579"/>
        <v>2023 FY</v>
      </c>
      <c r="DC192" s="122" t="str">
        <f t="shared" si="579"/>
        <v>2023 FY</v>
      </c>
      <c r="DD192" s="122" t="str">
        <f t="shared" si="579"/>
        <v>2023 FY</v>
      </c>
      <c r="DE192" s="122" t="str">
        <f t="shared" si="579"/>
        <v>2023 FY</v>
      </c>
      <c r="DF192" s="122" t="str">
        <f t="shared" si="579"/>
        <v>2023 FY</v>
      </c>
      <c r="DG192" s="122" t="str">
        <f t="shared" si="579"/>
        <v>2023 FY</v>
      </c>
      <c r="DH192" s="122" t="str">
        <f t="shared" si="579"/>
        <v>2023 FY</v>
      </c>
      <c r="DI192" s="122" t="str">
        <f t="shared" si="579"/>
        <v>2023 FY</v>
      </c>
      <c r="DJ192" s="408" t="str">
        <f t="shared" si="579"/>
        <v>2024 FY</v>
      </c>
      <c r="DK192" s="122" t="str">
        <f t="shared" si="579"/>
        <v>2024 FY</v>
      </c>
      <c r="DL192" s="122" t="str">
        <f t="shared" si="579"/>
        <v>2024 FY</v>
      </c>
      <c r="DM192" s="122" t="str">
        <f t="shared" si="579"/>
        <v>2024 FY</v>
      </c>
      <c r="DN192" s="122" t="str">
        <f t="shared" si="579"/>
        <v>2024 FY</v>
      </c>
      <c r="DO192" s="122" t="str">
        <f t="shared" si="579"/>
        <v>2024 FY</v>
      </c>
      <c r="DP192" s="122" t="str">
        <f t="shared" si="579"/>
        <v>2024 FY</v>
      </c>
      <c r="DQ192" s="122" t="str">
        <f t="shared" si="579"/>
        <v>2024 FY</v>
      </c>
      <c r="DR192" s="408" t="str">
        <f t="shared" si="579"/>
        <v>2025 FY</v>
      </c>
      <c r="DS192" s="122" t="str">
        <f>DS1&amp;" FY"</f>
        <v>2025 FY</v>
      </c>
      <c r="DT192" s="122"/>
      <c r="DU192" s="122" t="str">
        <f t="shared" ref="DU192:DW192" si="580">DU1&amp;" FY"</f>
        <v>2025 FY</v>
      </c>
      <c r="DV192" s="122" t="str">
        <f t="shared" si="580"/>
        <v>2025 FY</v>
      </c>
      <c r="DW192" s="122" t="str">
        <f t="shared" si="580"/>
        <v>2025 FY</v>
      </c>
      <c r="DX192" s="122"/>
      <c r="DY192" s="122"/>
      <c r="DZ192" s="408"/>
      <c r="EA192" s="122"/>
      <c r="EB192" s="122"/>
      <c r="EC192" s="122"/>
      <c r="ED192" s="122"/>
      <c r="EE192" s="122"/>
      <c r="EF192" s="122"/>
      <c r="EG192" s="487"/>
      <c r="EH192" s="406"/>
    </row>
    <row r="193" spans="1:138">
      <c r="B193" s="122"/>
      <c r="C193" s="122"/>
      <c r="D193" s="122"/>
      <c r="E193" s="122"/>
      <c r="F193" s="122"/>
      <c r="G193" s="122"/>
      <c r="H193" s="122"/>
      <c r="I193" s="122"/>
      <c r="J193" s="408"/>
      <c r="K193" s="122"/>
      <c r="L193" s="122"/>
      <c r="M193" s="122"/>
      <c r="N193" s="122"/>
      <c r="O193" s="122"/>
      <c r="P193" s="122"/>
      <c r="Q193" s="122"/>
      <c r="R193" s="408"/>
      <c r="S193" s="122"/>
      <c r="T193" s="122"/>
      <c r="U193" s="122"/>
      <c r="V193" s="122"/>
      <c r="W193" s="122"/>
      <c r="X193" s="122"/>
      <c r="Y193" s="122"/>
      <c r="Z193" s="408"/>
      <c r="AA193" s="122"/>
      <c r="AB193" s="122"/>
      <c r="AC193" s="122"/>
      <c r="AD193" s="122"/>
      <c r="AE193" s="122"/>
      <c r="AF193" s="122"/>
      <c r="AG193" s="122"/>
      <c r="AH193" s="408"/>
      <c r="AI193" s="122"/>
      <c r="AJ193" s="122"/>
      <c r="AK193" s="122"/>
      <c r="AL193" s="122"/>
      <c r="AM193" s="122"/>
      <c r="AN193" s="122"/>
      <c r="AO193" s="122"/>
      <c r="AP193" s="408"/>
      <c r="AQ193" s="122"/>
      <c r="AR193" s="122"/>
      <c r="AS193" s="122"/>
      <c r="AT193" s="122"/>
      <c r="AU193" s="122"/>
      <c r="AV193" s="122"/>
      <c r="AW193" s="122"/>
      <c r="AX193" s="408"/>
      <c r="AY193" s="122"/>
      <c r="AZ193" s="122"/>
      <c r="BA193" s="122"/>
      <c r="BB193" s="122"/>
      <c r="BC193" s="122"/>
      <c r="BD193" s="122"/>
      <c r="BE193" s="122"/>
      <c r="BF193" s="408"/>
      <c r="BG193" s="122"/>
      <c r="BH193" s="122"/>
      <c r="BI193" s="122"/>
      <c r="BJ193" s="122"/>
      <c r="BK193" s="122"/>
      <c r="BL193" s="122"/>
      <c r="BM193" s="122"/>
      <c r="BN193" s="408"/>
      <c r="BO193" s="122"/>
      <c r="BP193" s="122"/>
      <c r="BQ193" s="122"/>
      <c r="BR193" s="122"/>
      <c r="BS193" s="122"/>
      <c r="BT193" s="122"/>
      <c r="BU193" s="122"/>
      <c r="BV193" s="408"/>
      <c r="BW193" s="122"/>
      <c r="BX193" s="122"/>
      <c r="BY193" s="122"/>
      <c r="BZ193" s="122"/>
      <c r="CA193" s="122"/>
      <c r="CB193" s="122"/>
      <c r="CC193" s="122"/>
      <c r="CD193" s="408"/>
      <c r="CE193" s="122"/>
      <c r="CF193" s="122"/>
      <c r="CG193" s="122"/>
      <c r="CH193" s="122"/>
      <c r="CI193" s="122"/>
      <c r="CJ193" s="122"/>
      <c r="CK193" s="122"/>
      <c r="CL193" s="408"/>
      <c r="CM193" s="122"/>
      <c r="CN193" s="122"/>
      <c r="CO193" s="122"/>
      <c r="CP193" s="122"/>
      <c r="CQ193" s="122"/>
      <c r="CR193" s="122"/>
      <c r="CS193" s="122"/>
      <c r="CT193" s="408"/>
      <c r="CU193" s="122"/>
      <c r="CV193" s="122"/>
      <c r="CW193" s="122"/>
      <c r="CX193" s="122"/>
      <c r="CY193" s="122"/>
      <c r="CZ193" s="122"/>
      <c r="DA193" s="122"/>
      <c r="DB193" s="408"/>
      <c r="DC193" s="122"/>
      <c r="DD193" s="122"/>
      <c r="DE193" s="122"/>
      <c r="DF193" s="122"/>
      <c r="DG193" s="122"/>
      <c r="DH193" s="122"/>
      <c r="DI193" s="122"/>
      <c r="DJ193" s="408"/>
      <c r="DK193" s="122"/>
      <c r="DL193" s="122"/>
      <c r="DM193" s="122"/>
      <c r="DN193" s="122"/>
      <c r="DO193" s="122"/>
      <c r="DP193" s="122"/>
      <c r="DQ193" s="122"/>
      <c r="DR193" s="408"/>
      <c r="DS193" s="122"/>
      <c r="DT193" s="122"/>
      <c r="DU193" s="122"/>
      <c r="DV193" s="122"/>
      <c r="DW193" s="122"/>
      <c r="DX193" s="122"/>
      <c r="DY193" s="122"/>
      <c r="DZ193" s="408"/>
      <c r="EA193" s="122"/>
      <c r="EB193" s="122"/>
      <c r="EC193" s="122"/>
      <c r="ED193" s="122"/>
      <c r="EE193" s="122"/>
      <c r="EF193" s="122"/>
      <c r="EG193" s="487"/>
      <c r="EH193" s="406"/>
    </row>
    <row r="194" spans="1:138">
      <c r="A194" s="290" t="s">
        <v>495</v>
      </c>
      <c r="B194" s="291"/>
      <c r="C194" s="291"/>
      <c r="D194" s="291"/>
      <c r="E194" s="291"/>
      <c r="F194" s="291"/>
      <c r="G194" s="291"/>
      <c r="H194" s="291"/>
      <c r="I194" s="291"/>
      <c r="J194" s="466"/>
      <c r="K194" s="292"/>
      <c r="L194" s="292"/>
      <c r="M194" s="292"/>
      <c r="N194" s="292"/>
      <c r="O194" s="292"/>
      <c r="P194" s="293"/>
      <c r="Q194" s="292"/>
      <c r="R194" s="470"/>
      <c r="S194" s="292"/>
      <c r="T194" s="292"/>
      <c r="U194" s="292"/>
      <c r="V194" s="292"/>
      <c r="W194" s="292"/>
      <c r="X194" s="293"/>
      <c r="Y194" s="291"/>
      <c r="Z194" s="466"/>
      <c r="AA194" s="291"/>
      <c r="AB194" s="291"/>
      <c r="AC194" s="291"/>
      <c r="AD194" s="291"/>
      <c r="AE194" s="291"/>
      <c r="AF194" s="291"/>
      <c r="AG194" s="291"/>
      <c r="AH194" s="466"/>
      <c r="AI194" s="291"/>
      <c r="AJ194" s="291"/>
      <c r="AK194" s="291"/>
      <c r="AL194" s="291"/>
      <c r="AM194" s="291"/>
      <c r="AN194" s="291"/>
      <c r="AO194" s="291"/>
      <c r="AP194" s="409"/>
      <c r="AQ194" s="294"/>
      <c r="AR194" s="294"/>
      <c r="AS194" s="294"/>
      <c r="AT194" s="294"/>
      <c r="AU194" s="294"/>
      <c r="AV194" s="294"/>
      <c r="AW194" s="294"/>
      <c r="AX194" s="409"/>
      <c r="AY194" s="294"/>
      <c r="AZ194" s="294"/>
      <c r="BA194" s="294"/>
      <c r="BB194" s="294"/>
      <c r="BC194" s="294"/>
      <c r="BD194" s="294"/>
      <c r="BE194" s="294"/>
      <c r="BF194" s="409"/>
      <c r="BG194" s="294"/>
      <c r="BH194" s="294"/>
      <c r="BI194" s="294"/>
      <c r="BJ194" s="294"/>
      <c r="BK194" s="294"/>
      <c r="BL194" s="294"/>
      <c r="BM194" s="294"/>
      <c r="BN194" s="450"/>
      <c r="BO194" s="295"/>
      <c r="BP194" s="295"/>
      <c r="BQ194" s="295"/>
      <c r="BR194" s="295"/>
      <c r="BS194" s="295"/>
      <c r="BT194" s="295"/>
      <c r="BU194" s="295"/>
      <c r="BV194" s="409"/>
      <c r="BW194" s="294"/>
      <c r="BX194" s="296"/>
      <c r="BY194" s="294"/>
      <c r="BZ194" s="294"/>
      <c r="CA194" s="294"/>
      <c r="CB194" s="294"/>
      <c r="CC194" s="294"/>
      <c r="CD194" s="409"/>
      <c r="CE194" s="294"/>
      <c r="CF194" s="294"/>
      <c r="CG194" s="294"/>
      <c r="CH194" s="294"/>
      <c r="CI194" s="294"/>
      <c r="CJ194" s="294"/>
      <c r="CK194" s="294"/>
      <c r="CL194" s="409"/>
      <c r="CM194" s="294"/>
      <c r="CN194" s="294"/>
      <c r="CO194" s="294"/>
      <c r="CP194" s="294"/>
      <c r="CQ194" s="294"/>
      <c r="CR194" s="294"/>
      <c r="CS194" s="294"/>
      <c r="CT194" s="409"/>
      <c r="CU194" s="294"/>
      <c r="CV194" s="294"/>
      <c r="CW194" s="294"/>
      <c r="CX194" s="294"/>
      <c r="CY194" s="294"/>
      <c r="CZ194" s="294"/>
      <c r="DA194" s="294"/>
      <c r="DB194" s="409"/>
      <c r="DC194" s="294"/>
      <c r="DD194" s="294"/>
      <c r="DE194" s="294"/>
      <c r="DF194" s="294"/>
      <c r="DG194" s="294"/>
      <c r="DH194" s="294"/>
      <c r="DI194" s="294"/>
      <c r="DJ194" s="409"/>
      <c r="DK194" s="294"/>
      <c r="DL194" s="294"/>
      <c r="DM194" s="294"/>
      <c r="DN194" s="294"/>
      <c r="DO194" s="294"/>
      <c r="DP194" s="294"/>
      <c r="DQ194" s="294"/>
      <c r="DR194" s="409"/>
      <c r="DS194" s="294"/>
      <c r="DT194" s="294"/>
      <c r="DU194" s="294"/>
      <c r="DV194" s="294"/>
      <c r="DW194" s="294"/>
      <c r="DX194" s="294"/>
      <c r="DY194" s="294"/>
      <c r="DZ194" s="409"/>
      <c r="EA194" s="294"/>
      <c r="EB194" s="294"/>
      <c r="EC194" s="294"/>
      <c r="ED194" s="294"/>
      <c r="EE194" s="294"/>
      <c r="EF194" s="294"/>
      <c r="EG194" s="488"/>
      <c r="EH194" s="406"/>
    </row>
    <row r="195" spans="1:138">
      <c r="A195" s="13" t="s">
        <v>14</v>
      </c>
      <c r="B195" s="277"/>
      <c r="C195" s="277"/>
      <c r="D195" s="277"/>
      <c r="E195" s="277"/>
      <c r="F195" s="277"/>
      <c r="G195" s="277"/>
      <c r="H195" s="277"/>
      <c r="I195" s="277"/>
      <c r="J195" s="410"/>
      <c r="K195" s="277"/>
      <c r="L195" s="277"/>
      <c r="M195" s="277"/>
      <c r="N195" s="277"/>
      <c r="O195" s="277"/>
      <c r="P195" s="277"/>
      <c r="Q195" s="277"/>
      <c r="R195" s="410">
        <f t="shared" ref="R195:BE195" si="581">R93/INDEX($B93:$DI93,MATCH(R$192,$B$4:$DI$4,0))</f>
        <v>0.2217805236238416</v>
      </c>
      <c r="S195" s="277">
        <f t="shared" si="581"/>
        <v>0.23656757988555224</v>
      </c>
      <c r="T195" s="277">
        <f t="shared" si="581"/>
        <v>0.45834810350939381</v>
      </c>
      <c r="U195" s="277">
        <f t="shared" si="581"/>
        <v>0.2336051045728465</v>
      </c>
      <c r="V195" s="277">
        <f t="shared" si="581"/>
        <v>0.69195320808224037</v>
      </c>
      <c r="W195" s="277">
        <f t="shared" si="581"/>
        <v>0.30804679191775963</v>
      </c>
      <c r="X195" s="277">
        <f t="shared" si="581"/>
        <v>0.54165189649060619</v>
      </c>
      <c r="Y195" s="277">
        <f t="shared" si="581"/>
        <v>1</v>
      </c>
      <c r="Z195" s="410">
        <f t="shared" si="581"/>
        <v>0.21137653736991485</v>
      </c>
      <c r="AA195" s="277">
        <f t="shared" si="581"/>
        <v>0.24815515610217598</v>
      </c>
      <c r="AB195" s="277">
        <f t="shared" si="581"/>
        <v>0.45953169347209083</v>
      </c>
      <c r="AC195" s="277">
        <f t="shared" si="581"/>
        <v>0.22211447492904446</v>
      </c>
      <c r="AD195" s="277">
        <f t="shared" si="581"/>
        <v>0.68164616840113534</v>
      </c>
      <c r="AE195" s="277">
        <f t="shared" si="581"/>
        <v>0.31835383159886471</v>
      </c>
      <c r="AF195" s="277">
        <f t="shared" si="581"/>
        <v>0.54046830652790923</v>
      </c>
      <c r="AG195" s="277">
        <f t="shared" si="581"/>
        <v>1</v>
      </c>
      <c r="AH195" s="410">
        <f t="shared" si="581"/>
        <v>0.18678850263881014</v>
      </c>
      <c r="AI195" s="277">
        <f t="shared" si="581"/>
        <v>0.2729532865180791</v>
      </c>
      <c r="AJ195" s="277">
        <f t="shared" si="581"/>
        <v>0.45974178915688924</v>
      </c>
      <c r="AK195" s="277">
        <f t="shared" si="581"/>
        <v>0.21891219959000305</v>
      </c>
      <c r="AL195" s="277">
        <f t="shared" si="581"/>
        <v>0.67865398874689231</v>
      </c>
      <c r="AM195" s="277">
        <f t="shared" si="581"/>
        <v>0.32134601125310769</v>
      </c>
      <c r="AN195" s="277">
        <f t="shared" si="581"/>
        <v>0.54025821084311076</v>
      </c>
      <c r="AO195" s="277">
        <f t="shared" si="581"/>
        <v>1</v>
      </c>
      <c r="AP195" s="410">
        <f t="shared" si="581"/>
        <v>0.17604646911875216</v>
      </c>
      <c r="AQ195" s="277">
        <f t="shared" si="581"/>
        <v>0.2517009565976806</v>
      </c>
      <c r="AR195" s="277">
        <f t="shared" si="581"/>
        <v>0.42774742571643276</v>
      </c>
      <c r="AS195" s="277">
        <f t="shared" si="581"/>
        <v>0.21223876353149054</v>
      </c>
      <c r="AT195" s="277">
        <f t="shared" si="581"/>
        <v>0.63998618924792328</v>
      </c>
      <c r="AU195" s="277">
        <f t="shared" si="581"/>
        <v>0.36001381075207667</v>
      </c>
      <c r="AV195" s="277">
        <f t="shared" si="581"/>
        <v>0.57225257428356724</v>
      </c>
      <c r="AW195" s="277">
        <f t="shared" si="581"/>
        <v>1</v>
      </c>
      <c r="AX195" s="410">
        <f t="shared" si="581"/>
        <v>0.19280584010361473</v>
      </c>
      <c r="AY195" s="277">
        <f t="shared" si="581"/>
        <v>0.23478158483456965</v>
      </c>
      <c r="AZ195" s="277">
        <f t="shared" si="581"/>
        <v>0.42758742493818441</v>
      </c>
      <c r="BA195" s="277">
        <f t="shared" si="581"/>
        <v>0.21299894030377958</v>
      </c>
      <c r="BB195" s="277">
        <f t="shared" si="581"/>
        <v>0.640586365241964</v>
      </c>
      <c r="BC195" s="277">
        <f t="shared" si="581"/>
        <v>0.359413634758036</v>
      </c>
      <c r="BD195" s="277">
        <f t="shared" si="581"/>
        <v>0.57241257506181564</v>
      </c>
      <c r="BE195" s="277">
        <f t="shared" si="581"/>
        <v>1</v>
      </c>
      <c r="BF195" s="406"/>
      <c r="BN195" s="410">
        <f t="shared" ref="BN195:DI195" si="582">BN93/INDEX($B93:$DI93,MATCH(BN$192,$B$4:$DI$4,0))</f>
        <v>0.1505524286012091</v>
      </c>
      <c r="BO195" s="277">
        <f t="shared" si="582"/>
        <v>0.23606420679591411</v>
      </c>
      <c r="BP195" s="277">
        <f t="shared" si="582"/>
        <v>0.38661663539712321</v>
      </c>
      <c r="BQ195" s="277">
        <f t="shared" si="582"/>
        <v>0.24873879508025851</v>
      </c>
      <c r="BR195" s="277">
        <f t="shared" si="582"/>
        <v>0.63535543047738174</v>
      </c>
      <c r="BS195" s="277">
        <f t="shared" si="582"/>
        <v>0.36464456952261831</v>
      </c>
      <c r="BT195" s="277">
        <f t="shared" si="582"/>
        <v>0.61338336460287679</v>
      </c>
      <c r="BU195" s="277">
        <f t="shared" si="582"/>
        <v>1</v>
      </c>
      <c r="BV195" s="410">
        <f t="shared" si="582"/>
        <v>0.17703331811958009</v>
      </c>
      <c r="BW195" s="277">
        <f t="shared" si="582"/>
        <v>0.26190780465540847</v>
      </c>
      <c r="BX195" s="277">
        <f t="shared" si="582"/>
        <v>0.43894112277498859</v>
      </c>
      <c r="BY195" s="277">
        <f t="shared" si="582"/>
        <v>0.21047923322683706</v>
      </c>
      <c r="BZ195" s="277">
        <f t="shared" si="582"/>
        <v>0.64942035600182568</v>
      </c>
      <c r="CA195" s="277">
        <f t="shared" si="582"/>
        <v>0.35057964399817437</v>
      </c>
      <c r="CB195" s="277">
        <f t="shared" si="582"/>
        <v>0.56105887722501147</v>
      </c>
      <c r="CC195" s="277">
        <f t="shared" si="582"/>
        <v>1</v>
      </c>
      <c r="CD195" s="410">
        <f t="shared" si="582"/>
        <v>0.22099270072992699</v>
      </c>
      <c r="CE195" s="277">
        <f t="shared" si="582"/>
        <v>0.14493430656934306</v>
      </c>
      <c r="CF195" s="277">
        <f t="shared" si="582"/>
        <v>0.36592700729927008</v>
      </c>
      <c r="CG195" s="277">
        <f t="shared" si="582"/>
        <v>0.22592700729927007</v>
      </c>
      <c r="CH195" s="277">
        <f t="shared" si="582"/>
        <v>0.59185401459854015</v>
      </c>
      <c r="CI195" s="277">
        <f t="shared" si="582"/>
        <v>0.40814598540145985</v>
      </c>
      <c r="CJ195" s="277">
        <f t="shared" si="582"/>
        <v>0.63407299270072992</v>
      </c>
      <c r="CK195" s="277">
        <f t="shared" si="582"/>
        <v>1</v>
      </c>
      <c r="CL195" s="410">
        <f t="shared" si="582"/>
        <v>0.20108395089038822</v>
      </c>
      <c r="CM195" s="277">
        <f t="shared" si="582"/>
        <v>0.29147771264240679</v>
      </c>
      <c r="CN195" s="277">
        <f t="shared" si="582"/>
        <v>0.49256166353279507</v>
      </c>
      <c r="CO195" s="277">
        <f t="shared" si="582"/>
        <v>0.18817055635438557</v>
      </c>
      <c r="CP195" s="277">
        <f t="shared" si="582"/>
        <v>0.68073221988718058</v>
      </c>
      <c r="CQ195" s="277">
        <f t="shared" si="582"/>
        <v>0.31926778011281937</v>
      </c>
      <c r="CR195" s="277">
        <f t="shared" si="582"/>
        <v>0.50743833646720493</v>
      </c>
      <c r="CS195" s="277">
        <f t="shared" si="582"/>
        <v>1</v>
      </c>
      <c r="CT195" s="410">
        <f t="shared" si="582"/>
        <v>0.20616491261948441</v>
      </c>
      <c r="CU195" s="277">
        <f t="shared" si="582"/>
        <v>0.21705126967268515</v>
      </c>
      <c r="CV195" s="277">
        <f t="shared" si="582"/>
        <v>0.42321618229216956</v>
      </c>
      <c r="CW195" s="277">
        <f t="shared" si="582"/>
        <v>0.22016510572559622</v>
      </c>
      <c r="CX195" s="277">
        <f t="shared" si="582"/>
        <v>0.64338128801776573</v>
      </c>
      <c r="CY195" s="277">
        <f t="shared" si="582"/>
        <v>0.35661871198223422</v>
      </c>
      <c r="CZ195" s="277">
        <f t="shared" si="582"/>
        <v>0.57678381770783049</v>
      </c>
      <c r="DA195" s="277">
        <f t="shared" si="582"/>
        <v>1</v>
      </c>
      <c r="DB195" s="410">
        <f t="shared" si="582"/>
        <v>0.16979670456210874</v>
      </c>
      <c r="DC195" s="277">
        <f t="shared" si="582"/>
        <v>0.25624437325963612</v>
      </c>
      <c r="DD195" s="277">
        <f t="shared" si="582"/>
        <v>0.42604107782174488</v>
      </c>
      <c r="DE195" s="277">
        <f t="shared" si="582"/>
        <v>0.23361179155413186</v>
      </c>
      <c r="DF195" s="277">
        <f t="shared" si="582"/>
        <v>0.65965286937587675</v>
      </c>
      <c r="DG195" s="277">
        <f t="shared" si="582"/>
        <v>0.34034713062412325</v>
      </c>
      <c r="DH195" s="277">
        <f t="shared" si="582"/>
        <v>0.57395892217825517</v>
      </c>
      <c r="DI195" s="277">
        <f t="shared" si="582"/>
        <v>1</v>
      </c>
      <c r="DJ195" s="410">
        <f t="shared" ref="DJ195:DQ199" si="583">DJ93/INDEX($B93:$DQ93,MATCH(DJ$192,$B$4:$DQ$4,0))</f>
        <v>0.18100146112229989</v>
      </c>
      <c r="DK195" s="277">
        <f t="shared" si="583"/>
        <v>0.23788650633811159</v>
      </c>
      <c r="DL195" s="277">
        <f t="shared" si="583"/>
        <v>0.41888796746041146</v>
      </c>
      <c r="DM195" s="277">
        <f t="shared" si="583"/>
        <v>0.23030446629546261</v>
      </c>
      <c r="DN195" s="277">
        <f t="shared" si="583"/>
        <v>0.6491924337558741</v>
      </c>
      <c r="DO195" s="277">
        <f t="shared" si="583"/>
        <v>0.3508075662441259</v>
      </c>
      <c r="DP195" s="277">
        <f t="shared" si="583"/>
        <v>0.58111203253958854</v>
      </c>
      <c r="DQ195" s="277">
        <f t="shared" si="583"/>
        <v>1</v>
      </c>
      <c r="DR195" s="410">
        <f>DR109</f>
        <v>0.18108678699811706</v>
      </c>
      <c r="DS195" s="277">
        <f>DS109</f>
        <v>0.21507503280902296</v>
      </c>
      <c r="DT195" s="277"/>
      <c r="DU195" s="277">
        <f>DU109</f>
        <v>0.24834052912870647</v>
      </c>
      <c r="DV195" s="277" t="e">
        <f t="shared" ref="DV195" si="584">DV93/INDEX($B93:$DQ93,MATCH(DV$192,$B$4:$DQ$4,0))</f>
        <v>#N/A</v>
      </c>
      <c r="DW195" s="277">
        <f>DW109</f>
        <v>0.35549765106415354</v>
      </c>
      <c r="DX195" s="277"/>
      <c r="DY195" s="277"/>
      <c r="DZ195" s="410"/>
      <c r="EA195" s="277"/>
      <c r="EB195" s="277"/>
      <c r="EC195" s="277"/>
      <c r="ED195" s="277"/>
      <c r="EE195" s="277"/>
      <c r="EF195" s="277"/>
      <c r="EG195" s="489"/>
      <c r="EH195" s="406"/>
    </row>
    <row r="196" spans="1:138">
      <c r="A196" s="13" t="s">
        <v>385</v>
      </c>
      <c r="B196" s="277"/>
      <c r="C196" s="277"/>
      <c r="D196" s="277"/>
      <c r="E196" s="277"/>
      <c r="F196" s="277"/>
      <c r="G196" s="277"/>
      <c r="H196" s="277"/>
      <c r="I196" s="277"/>
      <c r="J196" s="410"/>
      <c r="K196" s="277"/>
      <c r="L196" s="277"/>
      <c r="M196" s="277"/>
      <c r="N196" s="277"/>
      <c r="O196" s="277"/>
      <c r="P196" s="277"/>
      <c r="Q196" s="277"/>
      <c r="R196" s="410">
        <f t="shared" ref="R196:BE196" si="585">R94/INDEX($B94:$DI94,MATCH(R$192,$B$4:$DI$4,0))</f>
        <v>0.16484040019056695</v>
      </c>
      <c r="S196" s="277">
        <f t="shared" si="585"/>
        <v>0.24551373670001589</v>
      </c>
      <c r="T196" s="277">
        <f t="shared" si="585"/>
        <v>0.41035413689058281</v>
      </c>
      <c r="U196" s="277">
        <f t="shared" si="585"/>
        <v>0.24583134826107669</v>
      </c>
      <c r="V196" s="277">
        <f t="shared" si="585"/>
        <v>0.65618548515165953</v>
      </c>
      <c r="W196" s="277">
        <f t="shared" si="585"/>
        <v>0.34381451484834047</v>
      </c>
      <c r="X196" s="277">
        <f t="shared" si="585"/>
        <v>0.58964586310941713</v>
      </c>
      <c r="Y196" s="277">
        <f t="shared" si="585"/>
        <v>1</v>
      </c>
      <c r="Z196" s="410">
        <f t="shared" si="585"/>
        <v>0.18117719190680565</v>
      </c>
      <c r="AA196" s="277">
        <f t="shared" si="585"/>
        <v>0.24816063764561619</v>
      </c>
      <c r="AB196" s="277">
        <f t="shared" si="585"/>
        <v>0.42933782955242183</v>
      </c>
      <c r="AC196" s="277">
        <f t="shared" si="585"/>
        <v>0.223635806253832</v>
      </c>
      <c r="AD196" s="277">
        <f t="shared" si="585"/>
        <v>0.65297363580625378</v>
      </c>
      <c r="AE196" s="277">
        <f t="shared" si="585"/>
        <v>0.34702636419374616</v>
      </c>
      <c r="AF196" s="277">
        <f t="shared" si="585"/>
        <v>0.57066217044757817</v>
      </c>
      <c r="AG196" s="277">
        <f t="shared" si="585"/>
        <v>1</v>
      </c>
      <c r="AH196" s="410">
        <f t="shared" si="585"/>
        <v>0.18936044798113763</v>
      </c>
      <c r="AI196" s="277">
        <f t="shared" si="585"/>
        <v>0.24535809018567639</v>
      </c>
      <c r="AJ196" s="277">
        <f t="shared" si="585"/>
        <v>0.43471853816681405</v>
      </c>
      <c r="AK196" s="277">
        <f t="shared" si="585"/>
        <v>0.21706454465075153</v>
      </c>
      <c r="AL196" s="277">
        <f t="shared" si="585"/>
        <v>0.65178308281756558</v>
      </c>
      <c r="AM196" s="277">
        <f t="shared" si="585"/>
        <v>0.34821691718243442</v>
      </c>
      <c r="AN196" s="277">
        <f t="shared" si="585"/>
        <v>0.56528146183318595</v>
      </c>
      <c r="AO196" s="277">
        <f t="shared" si="585"/>
        <v>1</v>
      </c>
      <c r="AP196" s="410">
        <f t="shared" si="585"/>
        <v>0.1740829825616356</v>
      </c>
      <c r="AQ196" s="277">
        <f t="shared" si="585"/>
        <v>0.22985568250150332</v>
      </c>
      <c r="AR196" s="277">
        <f t="shared" si="585"/>
        <v>0.40393866506313891</v>
      </c>
      <c r="AS196" s="277">
        <f t="shared" si="585"/>
        <v>0.23977751052315094</v>
      </c>
      <c r="AT196" s="277">
        <f t="shared" si="585"/>
        <v>0.6437161755862898</v>
      </c>
      <c r="AU196" s="277">
        <f t="shared" si="585"/>
        <v>0.35628382441371015</v>
      </c>
      <c r="AV196" s="277">
        <f t="shared" si="585"/>
        <v>0.59606133493686109</v>
      </c>
      <c r="AW196" s="277">
        <f t="shared" si="585"/>
        <v>1</v>
      </c>
      <c r="AX196" s="410">
        <f t="shared" si="585"/>
        <v>0.20015503875968993</v>
      </c>
      <c r="AY196" s="277">
        <f t="shared" si="585"/>
        <v>0.25271317829457363</v>
      </c>
      <c r="AZ196" s="277">
        <f t="shared" si="585"/>
        <v>0.45286821705426356</v>
      </c>
      <c r="BA196" s="277">
        <f t="shared" si="585"/>
        <v>0.22744186046511627</v>
      </c>
      <c r="BB196" s="277">
        <f t="shared" si="585"/>
        <v>0.68031007751937989</v>
      </c>
      <c r="BC196" s="277">
        <f t="shared" si="585"/>
        <v>0.31968992248062017</v>
      </c>
      <c r="BD196" s="277">
        <f t="shared" si="585"/>
        <v>0.59606133493686109</v>
      </c>
      <c r="BE196" s="277">
        <f t="shared" si="585"/>
        <v>1</v>
      </c>
      <c r="BF196" s="406"/>
      <c r="BN196" s="410">
        <f t="shared" ref="BN196:DI196" si="586">BN94/INDEX($B94:$DI94,MATCH(BN$192,$B$4:$DI$4,0))</f>
        <v>0.16194809571958207</v>
      </c>
      <c r="BO196" s="277">
        <f t="shared" si="586"/>
        <v>0.24047859791034715</v>
      </c>
      <c r="BP196" s="277">
        <f t="shared" si="586"/>
        <v>0.40242669362992922</v>
      </c>
      <c r="BQ196" s="277">
        <f t="shared" si="586"/>
        <v>0.23036737445230873</v>
      </c>
      <c r="BR196" s="277">
        <f t="shared" si="586"/>
        <v>0.63279406808223793</v>
      </c>
      <c r="BS196" s="277">
        <f t="shared" si="586"/>
        <v>0.36720593191776207</v>
      </c>
      <c r="BT196" s="277">
        <f t="shared" si="586"/>
        <v>0.59757330637007078</v>
      </c>
      <c r="BU196" s="277">
        <f t="shared" si="586"/>
        <v>1</v>
      </c>
      <c r="BV196" s="410">
        <f t="shared" si="586"/>
        <v>0.16763775595139005</v>
      </c>
      <c r="BW196" s="277">
        <f t="shared" si="586"/>
        <v>0.22706842017646078</v>
      </c>
      <c r="BX196" s="277">
        <f t="shared" si="586"/>
        <v>0.39470617612785086</v>
      </c>
      <c r="BY196" s="277">
        <f t="shared" si="586"/>
        <v>0.2232395538538372</v>
      </c>
      <c r="BZ196" s="277">
        <f t="shared" si="586"/>
        <v>0.61794572998168806</v>
      </c>
      <c r="CA196" s="277">
        <f t="shared" si="586"/>
        <v>0.38205427001831199</v>
      </c>
      <c r="CB196" s="277">
        <f t="shared" si="586"/>
        <v>0.60529382387214914</v>
      </c>
      <c r="CC196" s="277">
        <f t="shared" si="586"/>
        <v>1</v>
      </c>
      <c r="CD196" s="410">
        <f t="shared" si="586"/>
        <v>0.1922892337226044</v>
      </c>
      <c r="CE196" s="277">
        <f t="shared" si="586"/>
        <v>0.18093105103183491</v>
      </c>
      <c r="CF196" s="277">
        <f t="shared" si="586"/>
        <v>0.3732202847544393</v>
      </c>
      <c r="CG196" s="277">
        <f t="shared" si="586"/>
        <v>0.20636698128299472</v>
      </c>
      <c r="CH196" s="277">
        <f t="shared" si="586"/>
        <v>0.57958726603743405</v>
      </c>
      <c r="CI196" s="277">
        <f t="shared" si="586"/>
        <v>0.42041273396256601</v>
      </c>
      <c r="CJ196" s="277">
        <f t="shared" si="586"/>
        <v>0.62677971524556075</v>
      </c>
      <c r="CK196" s="277">
        <f t="shared" si="586"/>
        <v>1</v>
      </c>
      <c r="CL196" s="410">
        <f t="shared" si="586"/>
        <v>0.18082654785681365</v>
      </c>
      <c r="CM196" s="277">
        <f t="shared" si="586"/>
        <v>0.21769857120909511</v>
      </c>
      <c r="CN196" s="277">
        <f t="shared" si="586"/>
        <v>0.39852511906590876</v>
      </c>
      <c r="CO196" s="277">
        <f t="shared" si="586"/>
        <v>0.23705638346904287</v>
      </c>
      <c r="CP196" s="277">
        <f t="shared" si="586"/>
        <v>0.6355815025349516</v>
      </c>
      <c r="CQ196" s="277">
        <f t="shared" si="586"/>
        <v>0.3644184974650484</v>
      </c>
      <c r="CR196" s="277">
        <f t="shared" si="586"/>
        <v>0.60147488093409129</v>
      </c>
      <c r="CS196" s="277">
        <f t="shared" si="586"/>
        <v>1</v>
      </c>
      <c r="CT196" s="410">
        <f t="shared" si="586"/>
        <v>0.17948354143019296</v>
      </c>
      <c r="CU196" s="277">
        <f t="shared" si="586"/>
        <v>0.20984676503972757</v>
      </c>
      <c r="CV196" s="277">
        <f t="shared" si="586"/>
        <v>0.38933030646992056</v>
      </c>
      <c r="CW196" s="277">
        <f t="shared" si="586"/>
        <v>0.25127695800227012</v>
      </c>
      <c r="CX196" s="277">
        <f t="shared" si="586"/>
        <v>0.64060726447219074</v>
      </c>
      <c r="CY196" s="277">
        <f t="shared" si="586"/>
        <v>0.35939273552780931</v>
      </c>
      <c r="CZ196" s="277">
        <f t="shared" si="586"/>
        <v>0.61066969353007949</v>
      </c>
      <c r="DA196" s="277">
        <f t="shared" si="586"/>
        <v>1</v>
      </c>
      <c r="DB196" s="410">
        <f t="shared" si="586"/>
        <v>0.21780019081368407</v>
      </c>
      <c r="DC196" s="277">
        <f t="shared" si="586"/>
        <v>0.2175275998364454</v>
      </c>
      <c r="DD196" s="277">
        <f t="shared" si="586"/>
        <v>0.4353277906501295</v>
      </c>
      <c r="DE196" s="277">
        <f t="shared" si="586"/>
        <v>0.20008177729317159</v>
      </c>
      <c r="DF196" s="277">
        <f t="shared" si="586"/>
        <v>0.63540956794330106</v>
      </c>
      <c r="DG196" s="277">
        <f t="shared" si="586"/>
        <v>0.36459043205669894</v>
      </c>
      <c r="DH196" s="277">
        <f t="shared" si="586"/>
        <v>0.5646722093498705</v>
      </c>
      <c r="DI196" s="277">
        <f t="shared" si="586"/>
        <v>1</v>
      </c>
      <c r="DJ196" s="410">
        <f t="shared" si="583"/>
        <v>0.18398186626369475</v>
      </c>
      <c r="DK196" s="277">
        <f t="shared" si="583"/>
        <v>0.21785669311169878</v>
      </c>
      <c r="DL196" s="277">
        <f t="shared" si="583"/>
        <v>0.40183855937539353</v>
      </c>
      <c r="DM196" s="277">
        <f t="shared" si="583"/>
        <v>0.21206397179196576</v>
      </c>
      <c r="DN196" s="277">
        <f t="shared" si="583"/>
        <v>0.61390253116735927</v>
      </c>
      <c r="DO196" s="277">
        <f t="shared" si="583"/>
        <v>0.38609746883264073</v>
      </c>
      <c r="DP196" s="277">
        <f t="shared" si="583"/>
        <v>0.59816144062460652</v>
      </c>
      <c r="DQ196" s="277">
        <f t="shared" si="583"/>
        <v>1</v>
      </c>
      <c r="DR196" s="410">
        <f t="shared" ref="DR196:DS196" si="587">DR110</f>
        <v>0.17833259028087384</v>
      </c>
      <c r="DS196" s="277">
        <f t="shared" si="587"/>
        <v>0.23328131966116808</v>
      </c>
      <c r="DT196" s="277"/>
      <c r="DU196" s="277">
        <f t="shared" ref="DU196:DU197" si="588">DU110</f>
        <v>0.21834596522514491</v>
      </c>
      <c r="DV196" s="277" t="e">
        <f t="shared" ref="DV196" si="589">DV94/INDEX($B94:$DQ94,MATCH(DV$192,$B$4:$DQ$4,0))</f>
        <v>#N/A</v>
      </c>
      <c r="DW196" s="277">
        <f t="shared" ref="DW196:DW197" si="590">DW110</f>
        <v>0.37004012483281318</v>
      </c>
      <c r="DX196" s="277"/>
      <c r="DY196" s="277"/>
      <c r="DZ196" s="410"/>
      <c r="EA196" s="277"/>
      <c r="EB196" s="277"/>
      <c r="EC196" s="277"/>
      <c r="ED196" s="277"/>
      <c r="EE196" s="277"/>
      <c r="EF196" s="277"/>
      <c r="EG196" s="489"/>
      <c r="EH196" s="406"/>
    </row>
    <row r="197" spans="1:138">
      <c r="A197" s="13" t="s">
        <v>384</v>
      </c>
      <c r="B197" s="277"/>
      <c r="C197" s="277"/>
      <c r="D197" s="277"/>
      <c r="E197" s="277"/>
      <c r="F197" s="277"/>
      <c r="G197" s="277"/>
      <c r="H197" s="277"/>
      <c r="I197" s="277"/>
      <c r="J197" s="410"/>
      <c r="K197" s="277"/>
      <c r="L197" s="277"/>
      <c r="M197" s="277"/>
      <c r="N197" s="277"/>
      <c r="O197" s="277"/>
      <c r="P197" s="277"/>
      <c r="Q197" s="277"/>
      <c r="R197" s="410">
        <f t="shared" ref="R197:BE197" si="591">R95/INDEX($B95:$DI95,MATCH(R$192,$B$4:$DI$4,0))</f>
        <v>0.20303330538830883</v>
      </c>
      <c r="S197" s="277">
        <f t="shared" si="591"/>
        <v>0.22101973934913496</v>
      </c>
      <c r="T197" s="277">
        <f t="shared" si="591"/>
        <v>0.42405304473744382</v>
      </c>
      <c r="U197" s="277">
        <f t="shared" si="591"/>
        <v>0.21477021568478014</v>
      </c>
      <c r="V197" s="277">
        <f t="shared" si="591"/>
        <v>0.63882326042222393</v>
      </c>
      <c r="W197" s="277">
        <f t="shared" si="591"/>
        <v>0.36117673957777607</v>
      </c>
      <c r="X197" s="277">
        <f t="shared" si="591"/>
        <v>0.57594695526255624</v>
      </c>
      <c r="Y197" s="277">
        <f t="shared" si="591"/>
        <v>1</v>
      </c>
      <c r="Z197" s="410">
        <f t="shared" si="591"/>
        <v>0.21059500959692898</v>
      </c>
      <c r="AA197" s="277">
        <f t="shared" si="591"/>
        <v>0.2128982725527831</v>
      </c>
      <c r="AB197" s="277">
        <f t="shared" si="591"/>
        <v>0.4234932821497121</v>
      </c>
      <c r="AC197" s="277">
        <f t="shared" si="591"/>
        <v>0.20583493282149712</v>
      </c>
      <c r="AD197" s="277">
        <f t="shared" si="591"/>
        <v>0.62932821497120917</v>
      </c>
      <c r="AE197" s="277">
        <f t="shared" si="591"/>
        <v>0.37067178502879078</v>
      </c>
      <c r="AF197" s="277">
        <f t="shared" si="591"/>
        <v>0.57650671785028795</v>
      </c>
      <c r="AG197" s="277">
        <f t="shared" si="591"/>
        <v>1</v>
      </c>
      <c r="AH197" s="410">
        <f t="shared" si="591"/>
        <v>0.19900611620795108</v>
      </c>
      <c r="AI197" s="277">
        <f t="shared" si="591"/>
        <v>0.22385321100917432</v>
      </c>
      <c r="AJ197" s="277">
        <f t="shared" si="591"/>
        <v>0.42285932721712538</v>
      </c>
      <c r="AK197" s="277">
        <f t="shared" si="591"/>
        <v>0.21804281345565749</v>
      </c>
      <c r="AL197" s="277">
        <f t="shared" si="591"/>
        <v>0.64090214067278284</v>
      </c>
      <c r="AM197" s="277">
        <f t="shared" si="591"/>
        <v>0.35909785932721711</v>
      </c>
      <c r="AN197" s="277">
        <f t="shared" si="591"/>
        <v>0.57714067278287462</v>
      </c>
      <c r="AO197" s="277">
        <f t="shared" si="591"/>
        <v>1</v>
      </c>
      <c r="AP197" s="410">
        <f t="shared" si="591"/>
        <v>0.21376750463978403</v>
      </c>
      <c r="AQ197" s="277">
        <f t="shared" si="591"/>
        <v>0.24514931668635059</v>
      </c>
      <c r="AR197" s="277">
        <f t="shared" si="591"/>
        <v>0.45891682132613465</v>
      </c>
      <c r="AS197" s="277">
        <f t="shared" si="591"/>
        <v>0.1918339800911085</v>
      </c>
      <c r="AT197" s="277">
        <f t="shared" si="591"/>
        <v>0.65075080141724317</v>
      </c>
      <c r="AU197" s="277">
        <f t="shared" si="591"/>
        <v>0.34924919858275688</v>
      </c>
      <c r="AV197" s="277">
        <f t="shared" si="591"/>
        <v>0.54108317867386535</v>
      </c>
      <c r="AW197" s="277">
        <f t="shared" si="591"/>
        <v>1</v>
      </c>
      <c r="AX197" s="410">
        <f t="shared" si="591"/>
        <v>0.19566827101073678</v>
      </c>
      <c r="AY197" s="277">
        <f t="shared" si="591"/>
        <v>0.23241392077008516</v>
      </c>
      <c r="AZ197" s="277">
        <f t="shared" si="591"/>
        <v>0.42808219178082191</v>
      </c>
      <c r="BA197" s="277">
        <f t="shared" si="591"/>
        <v>0.19511292114031839</v>
      </c>
      <c r="BB197" s="277">
        <f t="shared" si="591"/>
        <v>0.62319511292114027</v>
      </c>
      <c r="BC197" s="277">
        <f t="shared" si="591"/>
        <v>0.37680488707885967</v>
      </c>
      <c r="BD197" s="277">
        <f t="shared" si="591"/>
        <v>0.57191780821917804</v>
      </c>
      <c r="BE197" s="277">
        <f t="shared" si="591"/>
        <v>1</v>
      </c>
      <c r="BF197" s="406"/>
      <c r="BN197" s="410">
        <f t="shared" ref="BN197:DI197" si="592">BN95/INDEX($B95:$DI95,MATCH(BN$192,$B$4:$DI$4,0))</f>
        <v>0.20039772213685259</v>
      </c>
      <c r="BO197" s="277">
        <f t="shared" si="592"/>
        <v>0.2201030461900027</v>
      </c>
      <c r="BP197" s="277">
        <f t="shared" si="592"/>
        <v>0.42050076832685529</v>
      </c>
      <c r="BQ197" s="277">
        <f t="shared" si="592"/>
        <v>0.21684895597939077</v>
      </c>
      <c r="BR197" s="277">
        <f t="shared" si="592"/>
        <v>0.63734972430624603</v>
      </c>
      <c r="BS197" s="277">
        <f t="shared" si="592"/>
        <v>0.36265027569375397</v>
      </c>
      <c r="BT197" s="277">
        <f t="shared" si="592"/>
        <v>0.57949923167314477</v>
      </c>
      <c r="BU197" s="277">
        <f t="shared" si="592"/>
        <v>1</v>
      </c>
      <c r="BV197" s="410">
        <f t="shared" si="592"/>
        <v>0.1936371137801412</v>
      </c>
      <c r="BW197" s="277">
        <f t="shared" si="592"/>
        <v>0.26615934720821488</v>
      </c>
      <c r="BX197" s="277">
        <f t="shared" si="592"/>
        <v>0.45979646098835608</v>
      </c>
      <c r="BY197" s="277">
        <f t="shared" si="592"/>
        <v>0.2467222884386174</v>
      </c>
      <c r="BZ197" s="277">
        <f t="shared" si="592"/>
        <v>0.70651874942697346</v>
      </c>
      <c r="CA197" s="277">
        <f t="shared" si="592"/>
        <v>0.29348125057302649</v>
      </c>
      <c r="CB197" s="277">
        <f t="shared" si="592"/>
        <v>0.54020353901164386</v>
      </c>
      <c r="CC197" s="277">
        <f t="shared" si="592"/>
        <v>1</v>
      </c>
      <c r="CD197" s="410">
        <f t="shared" si="592"/>
        <v>0.20208692322420066</v>
      </c>
      <c r="CE197" s="277">
        <f t="shared" si="592"/>
        <v>0.23358223243346735</v>
      </c>
      <c r="CF197" s="277">
        <f t="shared" si="592"/>
        <v>0.43566915565766801</v>
      </c>
      <c r="CG197" s="277">
        <f t="shared" si="592"/>
        <v>0.22831705916140149</v>
      </c>
      <c r="CH197" s="277">
        <f t="shared" si="592"/>
        <v>0.6639862148190695</v>
      </c>
      <c r="CI197" s="277">
        <f t="shared" si="592"/>
        <v>0.3360137851809305</v>
      </c>
      <c r="CJ197" s="277">
        <f t="shared" si="592"/>
        <v>0.56433084434233194</v>
      </c>
      <c r="CK197" s="277">
        <f t="shared" si="592"/>
        <v>1</v>
      </c>
      <c r="CL197" s="410">
        <f t="shared" si="592"/>
        <v>0.20763793441979186</v>
      </c>
      <c r="CM197" s="277">
        <f t="shared" si="592"/>
        <v>0.23787551541331239</v>
      </c>
      <c r="CN197" s="277">
        <f t="shared" si="592"/>
        <v>0.44551344983310426</v>
      </c>
      <c r="CO197" s="277">
        <f t="shared" si="592"/>
        <v>0.23002159827213822</v>
      </c>
      <c r="CP197" s="277">
        <f t="shared" si="592"/>
        <v>0.67553504810524245</v>
      </c>
      <c r="CQ197" s="277">
        <f t="shared" si="592"/>
        <v>0.32446495189475749</v>
      </c>
      <c r="CR197" s="277">
        <f t="shared" si="592"/>
        <v>0.55448655016689574</v>
      </c>
      <c r="CS197" s="277">
        <f t="shared" si="592"/>
        <v>1</v>
      </c>
      <c r="CT197" s="410">
        <f t="shared" si="592"/>
        <v>0.21787014832578383</v>
      </c>
      <c r="CU197" s="277">
        <f t="shared" si="592"/>
        <v>0.23119282351896261</v>
      </c>
      <c r="CV197" s="277">
        <f t="shared" si="592"/>
        <v>0.44906297184474642</v>
      </c>
      <c r="CW197" s="277">
        <f t="shared" si="592"/>
        <v>0.22533084643396395</v>
      </c>
      <c r="CX197" s="277">
        <f t="shared" si="592"/>
        <v>0.67439381827871037</v>
      </c>
      <c r="CY197" s="277">
        <f t="shared" si="592"/>
        <v>0.32560618172128963</v>
      </c>
      <c r="CZ197" s="277">
        <f t="shared" si="592"/>
        <v>0.55093702815525358</v>
      </c>
      <c r="DA197" s="277">
        <f t="shared" si="592"/>
        <v>1</v>
      </c>
      <c r="DB197" s="410">
        <f t="shared" si="592"/>
        <v>0.2</v>
      </c>
      <c r="DC197" s="277">
        <f t="shared" si="592"/>
        <v>0.20478468899521532</v>
      </c>
      <c r="DD197" s="277">
        <f t="shared" si="592"/>
        <v>0.4047846889952153</v>
      </c>
      <c r="DE197" s="277">
        <f t="shared" si="592"/>
        <v>0.21574597651152674</v>
      </c>
      <c r="DF197" s="277">
        <f t="shared" si="592"/>
        <v>0.62053066550674207</v>
      </c>
      <c r="DG197" s="277">
        <f t="shared" si="592"/>
        <v>0.37946933449325793</v>
      </c>
      <c r="DH197" s="277">
        <f t="shared" si="592"/>
        <v>0.59521531100478464</v>
      </c>
      <c r="DI197" s="277">
        <f t="shared" si="592"/>
        <v>1</v>
      </c>
      <c r="DJ197" s="410">
        <f t="shared" si="583"/>
        <v>0.19855984108591293</v>
      </c>
      <c r="DK197" s="277">
        <f t="shared" si="583"/>
        <v>0.21403741102466478</v>
      </c>
      <c r="DL197" s="277">
        <f t="shared" si="583"/>
        <v>0.41259725211057774</v>
      </c>
      <c r="DM197" s="277">
        <f t="shared" si="583"/>
        <v>0.21718258566462506</v>
      </c>
      <c r="DN197" s="277">
        <f t="shared" si="583"/>
        <v>0.62977983777520274</v>
      </c>
      <c r="DO197" s="277">
        <f t="shared" si="583"/>
        <v>0.3702201622247972</v>
      </c>
      <c r="DP197" s="277">
        <f t="shared" si="583"/>
        <v>0.58740274788942226</v>
      </c>
      <c r="DQ197" s="277">
        <f t="shared" si="583"/>
        <v>1</v>
      </c>
      <c r="DR197" s="410">
        <f t="shared" ref="DR197:DS197" si="593">DR111</f>
        <v>0.19813502424468482</v>
      </c>
      <c r="DS197" s="277">
        <f t="shared" si="593"/>
        <v>0.23550913838120105</v>
      </c>
      <c r="DT197" s="277"/>
      <c r="DU197" s="277">
        <f t="shared" si="588"/>
        <v>0.22849682954121597</v>
      </c>
      <c r="DV197" s="277" t="e">
        <f t="shared" ref="DV197" si="594">DV95/INDEX($B95:$DQ95,MATCH(DV$192,$B$4:$DQ$4,0))</f>
        <v>#N/A</v>
      </c>
      <c r="DW197" s="277">
        <f t="shared" si="590"/>
        <v>0.33785900783289818</v>
      </c>
      <c r="DX197" s="277"/>
      <c r="DY197" s="277"/>
      <c r="DZ197" s="410"/>
      <c r="EA197" s="277"/>
      <c r="EB197" s="277"/>
      <c r="EC197" s="277"/>
      <c r="ED197" s="277"/>
      <c r="EE197" s="277"/>
      <c r="EF197" s="277"/>
      <c r="EG197" s="489"/>
      <c r="EH197" s="406"/>
    </row>
    <row r="198" spans="1:138">
      <c r="A198" s="13" t="s">
        <v>388</v>
      </c>
      <c r="B198" s="277"/>
      <c r="C198" s="277"/>
      <c r="D198" s="277"/>
      <c r="E198" s="277"/>
      <c r="F198" s="277"/>
      <c r="G198" s="277"/>
      <c r="H198" s="277"/>
      <c r="I198" s="277"/>
      <c r="J198" s="410"/>
      <c r="K198" s="277"/>
      <c r="L198" s="277"/>
      <c r="M198" s="277"/>
      <c r="N198" s="277"/>
      <c r="O198" s="277"/>
      <c r="P198" s="277"/>
      <c r="Q198" s="277"/>
      <c r="R198" s="410">
        <f t="shared" ref="R198:BE198" si="595">R96/INDEX($B96:$DI96,MATCH(R$192,$B$4:$DI$4,0))</f>
        <v>0.27286245353159849</v>
      </c>
      <c r="S198" s="277">
        <f t="shared" si="595"/>
        <v>0.15836431226765799</v>
      </c>
      <c r="T198" s="277">
        <f t="shared" si="595"/>
        <v>0.43122676579925651</v>
      </c>
      <c r="U198" s="277">
        <f t="shared" si="595"/>
        <v>0.2342007434944238</v>
      </c>
      <c r="V198" s="277">
        <f t="shared" si="595"/>
        <v>0.66542750929368033</v>
      </c>
      <c r="W198" s="277">
        <f t="shared" si="595"/>
        <v>0.33457249070631973</v>
      </c>
      <c r="X198" s="277">
        <f t="shared" si="595"/>
        <v>0.56877323420074355</v>
      </c>
      <c r="Y198" s="277">
        <f t="shared" si="595"/>
        <v>1</v>
      </c>
      <c r="Z198" s="410">
        <f t="shared" si="595"/>
        <v>0.1917562724014337</v>
      </c>
      <c r="AA198" s="277">
        <f t="shared" si="595"/>
        <v>0.29749103942652327</v>
      </c>
      <c r="AB198" s="277">
        <f t="shared" si="595"/>
        <v>0.489247311827957</v>
      </c>
      <c r="AC198" s="277">
        <f t="shared" si="595"/>
        <v>0.20967741935483872</v>
      </c>
      <c r="AD198" s="277">
        <f t="shared" si="595"/>
        <v>0.69892473118279574</v>
      </c>
      <c r="AE198" s="277">
        <f t="shared" si="595"/>
        <v>0.30107526881720431</v>
      </c>
      <c r="AF198" s="277">
        <f t="shared" si="595"/>
        <v>0.510752688172043</v>
      </c>
      <c r="AG198" s="277">
        <f t="shared" si="595"/>
        <v>1</v>
      </c>
      <c r="AH198" s="410">
        <f t="shared" si="595"/>
        <v>0.29527559055118108</v>
      </c>
      <c r="AI198" s="277">
        <f t="shared" si="595"/>
        <v>0.23149606299212599</v>
      </c>
      <c r="AJ198" s="277">
        <f t="shared" si="595"/>
        <v>0.52677165354330713</v>
      </c>
      <c r="AK198" s="277">
        <f t="shared" si="595"/>
        <v>0.22913385826771654</v>
      </c>
      <c r="AL198" s="277">
        <f t="shared" si="595"/>
        <v>0.75590551181102361</v>
      </c>
      <c r="AM198" s="277">
        <f t="shared" si="595"/>
        <v>0.24409448818897639</v>
      </c>
      <c r="AN198" s="277">
        <f t="shared" si="595"/>
        <v>0.47322834645669293</v>
      </c>
      <c r="AO198" s="277">
        <f t="shared" si="595"/>
        <v>1</v>
      </c>
      <c r="AP198" s="410">
        <f t="shared" si="595"/>
        <v>0.15232358003442339</v>
      </c>
      <c r="AQ198" s="277">
        <f t="shared" si="595"/>
        <v>0.22030981067125646</v>
      </c>
      <c r="AR198" s="277">
        <f t="shared" si="595"/>
        <v>0.37263339070567986</v>
      </c>
      <c r="AS198" s="277">
        <f t="shared" si="595"/>
        <v>0.31755593803786575</v>
      </c>
      <c r="AT198" s="277">
        <f t="shared" si="595"/>
        <v>0.69018932874354566</v>
      </c>
      <c r="AU198" s="277">
        <f t="shared" si="595"/>
        <v>0.3098106712564544</v>
      </c>
      <c r="AV198" s="277">
        <f t="shared" si="595"/>
        <v>0.62736660929432009</v>
      </c>
      <c r="AW198" s="277">
        <f t="shared" si="595"/>
        <v>1</v>
      </c>
      <c r="AX198" s="410">
        <f t="shared" si="595"/>
        <v>0.16747404844290659</v>
      </c>
      <c r="AY198" s="277">
        <f t="shared" si="595"/>
        <v>0.26574394463667822</v>
      </c>
      <c r="AZ198" s="277">
        <f t="shared" si="595"/>
        <v>0.43321799307958475</v>
      </c>
      <c r="BA198" s="277">
        <f t="shared" si="595"/>
        <v>0.12802768166089964</v>
      </c>
      <c r="BB198" s="277">
        <f t="shared" si="595"/>
        <v>0.56124567474048448</v>
      </c>
      <c r="BC198" s="277">
        <f t="shared" si="595"/>
        <v>0.43875432525951558</v>
      </c>
      <c r="BD198" s="277">
        <f t="shared" si="595"/>
        <v>0.56678200692041525</v>
      </c>
      <c r="BE198" s="277">
        <f t="shared" si="595"/>
        <v>1</v>
      </c>
      <c r="BF198" s="406"/>
      <c r="BN198" s="410">
        <f t="shared" ref="BN198:DI198" si="596">BN96/INDEX($B96:$DI96,MATCH(BN$192,$B$4:$DI$4,0))</f>
        <v>0.22301587301587303</v>
      </c>
      <c r="BO198" s="277">
        <f t="shared" si="596"/>
        <v>0.26587301587301587</v>
      </c>
      <c r="BP198" s="277">
        <f t="shared" si="596"/>
        <v>0.48888888888888887</v>
      </c>
      <c r="BQ198" s="277">
        <f t="shared" si="596"/>
        <v>0.19603174603174603</v>
      </c>
      <c r="BR198" s="277">
        <f t="shared" si="596"/>
        <v>0.68492063492063493</v>
      </c>
      <c r="BS198" s="277">
        <f t="shared" si="596"/>
        <v>0.31507936507936507</v>
      </c>
      <c r="BT198" s="277">
        <f t="shared" si="596"/>
        <v>0.51111111111111107</v>
      </c>
      <c r="BU198" s="277">
        <f t="shared" si="596"/>
        <v>1</v>
      </c>
      <c r="BV198" s="410">
        <f t="shared" si="596"/>
        <v>0.22047894302229562</v>
      </c>
      <c r="BW198" s="277">
        <f t="shared" si="596"/>
        <v>0.2444260941370768</v>
      </c>
      <c r="BX198" s="277">
        <f t="shared" si="596"/>
        <v>0.46490503715937243</v>
      </c>
      <c r="BY198" s="277">
        <f t="shared" si="596"/>
        <v>0.2138728323699422</v>
      </c>
      <c r="BZ198" s="277">
        <f t="shared" si="596"/>
        <v>0.67877786952931463</v>
      </c>
      <c r="CA198" s="277">
        <f t="shared" si="596"/>
        <v>0.32122213047068537</v>
      </c>
      <c r="CB198" s="277">
        <f t="shared" si="596"/>
        <v>0.53509496284062763</v>
      </c>
      <c r="CC198" s="277">
        <f t="shared" si="596"/>
        <v>1</v>
      </c>
      <c r="CD198" s="410">
        <f t="shared" si="596"/>
        <v>0.24251207729468599</v>
      </c>
      <c r="CE198" s="277">
        <f t="shared" si="596"/>
        <v>0.21062801932367151</v>
      </c>
      <c r="CF198" s="277">
        <f t="shared" si="596"/>
        <v>0.45314009661835747</v>
      </c>
      <c r="CG198" s="277">
        <f t="shared" si="596"/>
        <v>0.19323671497584541</v>
      </c>
      <c r="CH198" s="277">
        <f t="shared" si="596"/>
        <v>0.6463768115942029</v>
      </c>
      <c r="CI198" s="277">
        <f t="shared" si="596"/>
        <v>0.3536231884057971</v>
      </c>
      <c r="CJ198" s="277">
        <f t="shared" si="596"/>
        <v>0.54685990338164248</v>
      </c>
      <c r="CK198" s="277">
        <f t="shared" si="596"/>
        <v>1</v>
      </c>
      <c r="CL198" s="410">
        <f t="shared" si="596"/>
        <v>0.14647887323943662</v>
      </c>
      <c r="CM198" s="277">
        <f t="shared" si="596"/>
        <v>0.28732394366197184</v>
      </c>
      <c r="CN198" s="277">
        <f t="shared" si="596"/>
        <v>0.43380281690140843</v>
      </c>
      <c r="CO198" s="277">
        <f t="shared" si="596"/>
        <v>0.24366197183098592</v>
      </c>
      <c r="CP198" s="277">
        <f t="shared" si="596"/>
        <v>0.67746478873239435</v>
      </c>
      <c r="CQ198" s="277">
        <f t="shared" si="596"/>
        <v>0.32253521126760565</v>
      </c>
      <c r="CR198" s="277">
        <f t="shared" si="596"/>
        <v>0.56619718309859157</v>
      </c>
      <c r="CS198" s="277">
        <f t="shared" si="596"/>
        <v>1</v>
      </c>
      <c r="CT198" s="410">
        <f t="shared" si="596"/>
        <v>0.26646090534979422</v>
      </c>
      <c r="CU198" s="277">
        <f t="shared" si="596"/>
        <v>0.27160493827160492</v>
      </c>
      <c r="CV198" s="277">
        <f t="shared" si="596"/>
        <v>0.5380658436213992</v>
      </c>
      <c r="CW198" s="277">
        <f t="shared" si="596"/>
        <v>0.12345679012345678</v>
      </c>
      <c r="CX198" s="277">
        <f t="shared" si="596"/>
        <v>0.66152263374485598</v>
      </c>
      <c r="CY198" s="277">
        <f t="shared" si="596"/>
        <v>0.33847736625514402</v>
      </c>
      <c r="CZ198" s="277">
        <f t="shared" si="596"/>
        <v>0.4619341563786008</v>
      </c>
      <c r="DA198" s="277">
        <f t="shared" si="596"/>
        <v>1</v>
      </c>
      <c r="DB198" s="410">
        <f t="shared" si="596"/>
        <v>0.2123585726718886</v>
      </c>
      <c r="DC198" s="277">
        <f t="shared" si="596"/>
        <v>0.2515230635335074</v>
      </c>
      <c r="DD198" s="277">
        <f t="shared" si="596"/>
        <v>0.46388163620539602</v>
      </c>
      <c r="DE198" s="277">
        <f t="shared" si="596"/>
        <v>0.18189730200174065</v>
      </c>
      <c r="DF198" s="277">
        <f t="shared" si="596"/>
        <v>0.64577893820713661</v>
      </c>
      <c r="DG198" s="277">
        <f t="shared" si="596"/>
        <v>0.35422106179286333</v>
      </c>
      <c r="DH198" s="277">
        <f t="shared" si="596"/>
        <v>0.53611836379460398</v>
      </c>
      <c r="DI198" s="277">
        <f t="shared" si="596"/>
        <v>1</v>
      </c>
      <c r="DJ198" s="410">
        <f t="shared" si="583"/>
        <v>0.1369006254343294</v>
      </c>
      <c r="DK198" s="277">
        <f t="shared" si="583"/>
        <v>0.25642807505211951</v>
      </c>
      <c r="DL198" s="277">
        <f t="shared" si="583"/>
        <v>0.39332870048644891</v>
      </c>
      <c r="DM198" s="277">
        <f t="shared" si="583"/>
        <v>0.19666435024322446</v>
      </c>
      <c r="DN198" s="277">
        <f t="shared" si="583"/>
        <v>0.58999305072967334</v>
      </c>
      <c r="DO198" s="277">
        <f t="shared" si="583"/>
        <v>0.4100069492703266</v>
      </c>
      <c r="DP198" s="277">
        <f t="shared" si="583"/>
        <v>0.60667129951355103</v>
      </c>
      <c r="DQ198" s="277">
        <f t="shared" si="583"/>
        <v>1</v>
      </c>
      <c r="DR198" s="410"/>
      <c r="DS198" s="277"/>
      <c r="DT198" s="277"/>
      <c r="DU198" s="277"/>
      <c r="DV198" s="277"/>
      <c r="DW198" s="277"/>
      <c r="DX198" s="277"/>
      <c r="DY198" s="277"/>
      <c r="DZ198" s="410"/>
      <c r="EA198" s="277"/>
      <c r="EB198" s="277"/>
      <c r="EC198" s="277"/>
      <c r="ED198" s="277"/>
      <c r="EE198" s="277"/>
      <c r="EF198" s="277"/>
      <c r="EG198" s="489"/>
      <c r="EH198" s="406"/>
    </row>
    <row r="199" spans="1:138">
      <c r="A199" s="278" t="s">
        <v>225</v>
      </c>
      <c r="B199" s="279"/>
      <c r="C199" s="279"/>
      <c r="D199" s="279"/>
      <c r="E199" s="279"/>
      <c r="F199" s="279"/>
      <c r="G199" s="279"/>
      <c r="H199" s="279"/>
      <c r="I199" s="279"/>
      <c r="J199" s="411"/>
      <c r="K199" s="279"/>
      <c r="L199" s="279"/>
      <c r="M199" s="279"/>
      <c r="N199" s="279"/>
      <c r="O199" s="279"/>
      <c r="P199" s="279"/>
      <c r="Q199" s="279"/>
      <c r="R199" s="411">
        <f t="shared" ref="R199:BE199" si="597">R97/INDEX($B97:$DI97,MATCH(R$192,$B$4:$DI$4,0))</f>
        <v>0.21008563934198413</v>
      </c>
      <c r="S199" s="279">
        <f t="shared" si="597"/>
        <v>0.23582955512706932</v>
      </c>
      <c r="T199" s="279">
        <f t="shared" si="597"/>
        <v>0.44591519446905348</v>
      </c>
      <c r="U199" s="279">
        <f t="shared" si="597"/>
        <v>0.23063560720551704</v>
      </c>
      <c r="V199" s="279">
        <f t="shared" si="597"/>
        <v>0.67655080167457049</v>
      </c>
      <c r="W199" s="279">
        <f t="shared" si="597"/>
        <v>0.32344919832542951</v>
      </c>
      <c r="X199" s="279">
        <f t="shared" si="597"/>
        <v>0.55408480553094652</v>
      </c>
      <c r="Y199" s="279">
        <f t="shared" si="597"/>
        <v>1</v>
      </c>
      <c r="Z199" s="411">
        <f t="shared" si="597"/>
        <v>0.20832441157577455</v>
      </c>
      <c r="AA199" s="279">
        <f t="shared" si="597"/>
        <v>0.23968507568395567</v>
      </c>
      <c r="AB199" s="279">
        <f t="shared" si="597"/>
        <v>0.44800948725973022</v>
      </c>
      <c r="AC199" s="279">
        <f t="shared" si="597"/>
        <v>0.21901404970928795</v>
      </c>
      <c r="AD199" s="279">
        <f t="shared" si="597"/>
        <v>0.66702353696901817</v>
      </c>
      <c r="AE199" s="279">
        <f t="shared" si="597"/>
        <v>0.33297646303098183</v>
      </c>
      <c r="AF199" s="279">
        <f t="shared" si="597"/>
        <v>0.55199051274026978</v>
      </c>
      <c r="AG199" s="279">
        <f t="shared" si="597"/>
        <v>1</v>
      </c>
      <c r="AH199" s="411">
        <f t="shared" si="597"/>
        <v>0.18740108611326609</v>
      </c>
      <c r="AI199" s="279">
        <f t="shared" si="597"/>
        <v>0.26089992242048099</v>
      </c>
      <c r="AJ199" s="279">
        <f t="shared" si="597"/>
        <v>0.4483010085337471</v>
      </c>
      <c r="AK199" s="279">
        <f t="shared" si="597"/>
        <v>0.21833979829325059</v>
      </c>
      <c r="AL199" s="279">
        <f t="shared" si="597"/>
        <v>0.66664080682699767</v>
      </c>
      <c r="AM199" s="279">
        <f t="shared" si="597"/>
        <v>0.33335919317300233</v>
      </c>
      <c r="AN199" s="279">
        <f t="shared" si="597"/>
        <v>0.5516989914662529</v>
      </c>
      <c r="AO199" s="279">
        <f t="shared" si="597"/>
        <v>1</v>
      </c>
      <c r="AP199" s="411">
        <f t="shared" si="597"/>
        <v>0.18298012946636427</v>
      </c>
      <c r="AQ199" s="279">
        <f t="shared" si="597"/>
        <v>0.24889983628963216</v>
      </c>
      <c r="AR199" s="279">
        <f t="shared" si="597"/>
        <v>0.43187996575599646</v>
      </c>
      <c r="AS199" s="279">
        <f t="shared" si="597"/>
        <v>0.20951923221339422</v>
      </c>
      <c r="AT199" s="279">
        <f t="shared" si="597"/>
        <v>0.64139919796939071</v>
      </c>
      <c r="AU199" s="279">
        <f t="shared" si="597"/>
        <v>0.35860080203060934</v>
      </c>
      <c r="AV199" s="279">
        <f t="shared" si="597"/>
        <v>0.56812003424400359</v>
      </c>
      <c r="AW199" s="279">
        <f t="shared" si="597"/>
        <v>1</v>
      </c>
      <c r="AX199" s="411">
        <f t="shared" si="597"/>
        <v>0.19452723650905387</v>
      </c>
      <c r="AY199" s="279">
        <f t="shared" si="597"/>
        <v>0.23546063174921744</v>
      </c>
      <c r="AZ199" s="279">
        <f t="shared" si="597"/>
        <v>0.42998786825827129</v>
      </c>
      <c r="BA199" s="279">
        <f t="shared" si="597"/>
        <v>0.21333892491799841</v>
      </c>
      <c r="BB199" s="279">
        <f t="shared" si="597"/>
        <v>0.64332679317626973</v>
      </c>
      <c r="BC199" s="279">
        <f t="shared" si="597"/>
        <v>0.35667320682373027</v>
      </c>
      <c r="BD199" s="279">
        <f t="shared" si="597"/>
        <v>0.57001213174172871</v>
      </c>
      <c r="BE199" s="279">
        <f t="shared" si="597"/>
        <v>1</v>
      </c>
      <c r="BF199" s="454"/>
      <c r="BG199" s="278"/>
      <c r="BH199" s="278"/>
      <c r="BI199" s="278"/>
      <c r="BJ199" s="278"/>
      <c r="BK199" s="278"/>
      <c r="BL199" s="278"/>
      <c r="BM199" s="278"/>
      <c r="BN199" s="411">
        <f t="shared" ref="BN199:DI199" si="598">BN97/INDEX($B97:$DI97,MATCH(BN$192,$B$4:$DI$4,0))</f>
        <v>0.15883654857394006</v>
      </c>
      <c r="BO199" s="279">
        <f t="shared" si="598"/>
        <v>0.23311410049131179</v>
      </c>
      <c r="BP199" s="279">
        <f t="shared" si="598"/>
        <v>0.39195064906525184</v>
      </c>
      <c r="BQ199" s="279">
        <f t="shared" si="598"/>
        <v>0.24253221780965986</v>
      </c>
      <c r="BR199" s="279">
        <f t="shared" si="598"/>
        <v>0.63448286687491173</v>
      </c>
      <c r="BS199" s="279">
        <f t="shared" si="598"/>
        <v>0.36551713312508827</v>
      </c>
      <c r="BT199" s="279">
        <f t="shared" si="598"/>
        <v>0.6080493509347481</v>
      </c>
      <c r="BU199" s="279">
        <f t="shared" si="598"/>
        <v>1</v>
      </c>
      <c r="BV199" s="411">
        <f t="shared" si="598"/>
        <v>0.17805556343823606</v>
      </c>
      <c r="BW199" s="279">
        <f t="shared" si="598"/>
        <v>0.25989670535486253</v>
      </c>
      <c r="BX199" s="279">
        <f t="shared" si="598"/>
        <v>0.43795226879309856</v>
      </c>
      <c r="BY199" s="279">
        <f t="shared" si="598"/>
        <v>0.21711739833706972</v>
      </c>
      <c r="BZ199" s="279">
        <f t="shared" si="598"/>
        <v>0.65506966713016823</v>
      </c>
      <c r="CA199" s="279">
        <f t="shared" si="598"/>
        <v>0.34493033286983171</v>
      </c>
      <c r="CB199" s="279">
        <f t="shared" si="598"/>
        <v>0.56204773120690144</v>
      </c>
      <c r="CC199" s="279">
        <f t="shared" si="598"/>
        <v>1</v>
      </c>
      <c r="CD199" s="411">
        <f t="shared" si="598"/>
        <v>0.21299487097291234</v>
      </c>
      <c r="CE199" s="279">
        <f t="shared" si="598"/>
        <v>0.16663327456323129</v>
      </c>
      <c r="CF199" s="279">
        <f t="shared" si="598"/>
        <v>0.3796281455361436</v>
      </c>
      <c r="CG199" s="279">
        <f t="shared" si="598"/>
        <v>0.22465539349254687</v>
      </c>
      <c r="CH199" s="279">
        <f t="shared" si="598"/>
        <v>0.60428353902869048</v>
      </c>
      <c r="CI199" s="279">
        <f t="shared" si="598"/>
        <v>0.39571646097130952</v>
      </c>
      <c r="CJ199" s="279">
        <f t="shared" si="598"/>
        <v>0.62037185446385634</v>
      </c>
      <c r="CK199" s="279">
        <f t="shared" si="598"/>
        <v>1</v>
      </c>
      <c r="CL199" s="411">
        <f t="shared" si="598"/>
        <v>0.20057910985829067</v>
      </c>
      <c r="CM199" s="279">
        <f t="shared" si="598"/>
        <v>0.27185564440353605</v>
      </c>
      <c r="CN199" s="279">
        <f t="shared" si="598"/>
        <v>0.47243475426182668</v>
      </c>
      <c r="CO199" s="279">
        <f t="shared" si="598"/>
        <v>0.2016913075993787</v>
      </c>
      <c r="CP199" s="279">
        <f t="shared" si="598"/>
        <v>0.67412606186120538</v>
      </c>
      <c r="CQ199" s="279">
        <f t="shared" si="598"/>
        <v>0.32587393813879462</v>
      </c>
      <c r="CR199" s="279">
        <f t="shared" si="598"/>
        <v>0.52756524573817332</v>
      </c>
      <c r="CS199" s="279">
        <f t="shared" si="598"/>
        <v>1</v>
      </c>
      <c r="CT199" s="411">
        <f t="shared" si="598"/>
        <v>0.2042101322260606</v>
      </c>
      <c r="CU199" s="279">
        <f t="shared" si="598"/>
        <v>0.2179943161513197</v>
      </c>
      <c r="CV199" s="279">
        <f t="shared" si="598"/>
        <v>0.4222044483773803</v>
      </c>
      <c r="CW199" s="279">
        <f t="shared" si="598"/>
        <v>0.22648605414972006</v>
      </c>
      <c r="CX199" s="279">
        <f t="shared" si="598"/>
        <v>0.64869050252710037</v>
      </c>
      <c r="CY199" s="279">
        <f t="shared" si="598"/>
        <v>0.35130949747289963</v>
      </c>
      <c r="CZ199" s="279">
        <f t="shared" si="598"/>
        <v>0.57779555162261964</v>
      </c>
      <c r="DA199" s="279">
        <f t="shared" si="598"/>
        <v>1</v>
      </c>
      <c r="DB199" s="411">
        <f t="shared" si="598"/>
        <v>0.17973596552883292</v>
      </c>
      <c r="DC199" s="279">
        <f t="shared" si="598"/>
        <v>0.24294838492803228</v>
      </c>
      <c r="DD199" s="279">
        <f t="shared" si="598"/>
        <v>0.4226843504568652</v>
      </c>
      <c r="DE199" s="279">
        <f t="shared" si="598"/>
        <v>0.22762277297313815</v>
      </c>
      <c r="DF199" s="279">
        <f t="shared" si="598"/>
        <v>0.65030712343000341</v>
      </c>
      <c r="DG199" s="279">
        <f t="shared" si="598"/>
        <v>0.34969287656999665</v>
      </c>
      <c r="DH199" s="279">
        <f t="shared" si="598"/>
        <v>0.57731564954313475</v>
      </c>
      <c r="DI199" s="279">
        <f t="shared" si="598"/>
        <v>1</v>
      </c>
      <c r="DJ199" s="411">
        <f t="shared" si="583"/>
        <v>0.18532428138090423</v>
      </c>
      <c r="DK199" s="279">
        <f t="shared" si="583"/>
        <v>0.23104145601617795</v>
      </c>
      <c r="DL199" s="279">
        <f t="shared" si="583"/>
        <v>0.41636573739708221</v>
      </c>
      <c r="DM199" s="279">
        <f t="shared" si="583"/>
        <v>0.22662140690452115</v>
      </c>
      <c r="DN199" s="279">
        <f t="shared" si="583"/>
        <v>0.64298714430160331</v>
      </c>
      <c r="DO199" s="279">
        <f t="shared" si="583"/>
        <v>0.35701285569839664</v>
      </c>
      <c r="DP199" s="279">
        <f t="shared" si="583"/>
        <v>0.58363426260291784</v>
      </c>
      <c r="DQ199" s="279">
        <f t="shared" si="583"/>
        <v>1</v>
      </c>
      <c r="DR199" s="411">
        <f>DR112</f>
        <v>0.18420730463170781</v>
      </c>
      <c r="DS199" s="279">
        <f>DS112</f>
        <v>0.21856763925729442</v>
      </c>
      <c r="DT199" s="279"/>
      <c r="DU199" s="279">
        <f t="shared" ref="DU199:DW199" si="599">DU112</f>
        <v>0.24248112630075494</v>
      </c>
      <c r="DV199" s="279">
        <f t="shared" si="599"/>
        <v>0.64525607018975717</v>
      </c>
      <c r="DW199" s="279">
        <f t="shared" si="599"/>
        <v>0.35474392981024283</v>
      </c>
      <c r="DX199" s="279"/>
      <c r="DY199" s="279"/>
      <c r="DZ199" s="411"/>
      <c r="EA199" s="279"/>
      <c r="EB199" s="279"/>
      <c r="EC199" s="279"/>
      <c r="ED199" s="279"/>
      <c r="EE199" s="279"/>
      <c r="EF199" s="279"/>
      <c r="EG199" s="490"/>
      <c r="EH199" s="406"/>
    </row>
    <row r="200" spans="1:138">
      <c r="J200" s="369"/>
      <c r="P200" s="77"/>
      <c r="R200" s="369"/>
      <c r="X200" s="77"/>
      <c r="Z200" s="369"/>
      <c r="AH200" s="369"/>
      <c r="AP200" s="406"/>
      <c r="AX200" s="406"/>
      <c r="BF200" s="406"/>
      <c r="BN200" s="448"/>
      <c r="BV200" s="406"/>
      <c r="CD200" s="406"/>
      <c r="CL200" s="406"/>
      <c r="CT200" s="406"/>
      <c r="DB200" s="406"/>
      <c r="DJ200" s="406"/>
      <c r="DR200" s="406"/>
      <c r="DZ200" s="406"/>
      <c r="EG200" s="486"/>
      <c r="EH200" s="406"/>
    </row>
    <row r="201" spans="1:138" hidden="1" outlineLevel="1">
      <c r="A201" s="281" t="s">
        <v>497</v>
      </c>
      <c r="J201" s="369"/>
      <c r="P201" s="77"/>
      <c r="R201" s="369"/>
      <c r="X201" s="77"/>
      <c r="Z201" s="369"/>
      <c r="AH201" s="369"/>
      <c r="AP201" s="406"/>
      <c r="AX201" s="406"/>
      <c r="BF201" s="406"/>
      <c r="BN201" s="448"/>
      <c r="BV201" s="406"/>
      <c r="CD201" s="406"/>
      <c r="CL201" s="406"/>
      <c r="CT201" s="406"/>
      <c r="DB201" s="406"/>
      <c r="DI201" s="19"/>
      <c r="DJ201" s="406"/>
      <c r="DQ201" s="19"/>
      <c r="DR201" s="406"/>
      <c r="DY201" s="19"/>
      <c r="DZ201" s="406"/>
      <c r="EG201" s="484"/>
      <c r="EH201" s="406"/>
    </row>
    <row r="202" spans="1:138" hidden="1" outlineLevel="1">
      <c r="A202" s="280" t="s">
        <v>207</v>
      </c>
      <c r="B202" s="282" t="str">
        <f>$A$202&amp;" Average"</f>
        <v>Q1 Average</v>
      </c>
      <c r="C202" s="282" t="str">
        <f>$A$202&amp;"Pre-crisis Average (2013-19)"</f>
        <v>Q1Pre-crisis Average (2013-19)</v>
      </c>
      <c r="D202" s="276" t="str">
        <f>"2013 "&amp;$A$202</f>
        <v>2013 Q1</v>
      </c>
      <c r="E202" s="276" t="str">
        <f>"2014 "&amp;$A$202</f>
        <v>2014 Q1</v>
      </c>
      <c r="F202" s="276" t="str">
        <f>"2015 "&amp;$A$202</f>
        <v>2015 Q1</v>
      </c>
      <c r="G202" s="276" t="str">
        <f>"2016 "&amp;$A$202</f>
        <v>2016 Q1</v>
      </c>
      <c r="H202" s="276" t="str">
        <f>"2017 "&amp;$A$202</f>
        <v>2017 Q1</v>
      </c>
      <c r="I202" s="276" t="str">
        <f>"2018 "&amp;$A$202</f>
        <v>2018 Q1</v>
      </c>
      <c r="J202" s="433" t="str">
        <f>"2019 "&amp;$A$202</f>
        <v>2019 Q1</v>
      </c>
      <c r="K202" s="276" t="str">
        <f>"2020 "&amp;$A$202</f>
        <v>2020 Q1</v>
      </c>
      <c r="L202" s="276" t="str">
        <f>"2021 "&amp;$A$202</f>
        <v>2021 Q1</v>
      </c>
      <c r="M202" s="276" t="str">
        <f>"2022 "&amp;$A$202</f>
        <v>2022 Q1</v>
      </c>
      <c r="N202" s="276" t="str">
        <f>"2023 "&amp;$A$202</f>
        <v>2023 Q1</v>
      </c>
      <c r="P202" s="77"/>
      <c r="R202" s="369"/>
      <c r="X202" s="77"/>
      <c r="Z202" s="369"/>
      <c r="AH202" s="369"/>
      <c r="AP202" s="406"/>
      <c r="AX202" s="406"/>
      <c r="BF202" s="406"/>
      <c r="BN202" s="448"/>
      <c r="BV202" s="406"/>
      <c r="CD202" s="406"/>
      <c r="CL202" s="406"/>
      <c r="CT202" s="406"/>
      <c r="DB202" s="406"/>
      <c r="DJ202" s="406"/>
      <c r="DR202" s="406"/>
      <c r="DZ202" s="406"/>
      <c r="EG202" s="486"/>
      <c r="EH202" s="406"/>
    </row>
    <row r="203" spans="1:138" hidden="1" outlineLevel="1">
      <c r="A203" s="13" t="s">
        <v>14</v>
      </c>
      <c r="B203" s="277">
        <f>AVERAGE($D203:$L203)</f>
        <v>0.19316225235511533</v>
      </c>
      <c r="C203" s="277">
        <f>AVERAGE($D203:$J203)</f>
        <v>0.18805480279653181</v>
      </c>
      <c r="D203" s="277">
        <f>INDEX($B195:$DI195,MATCH(D$202,$B$191:$DI$191,0))</f>
        <v>0.2217805236238416</v>
      </c>
      <c r="E203" s="277">
        <f t="shared" ref="E203:N203" si="600">INDEX($B195:$DI195,MATCH(E$202,$B$191:$DI$191,0))</f>
        <v>0.21137653736991485</v>
      </c>
      <c r="F203" s="277">
        <f t="shared" si="600"/>
        <v>0.18678850263881014</v>
      </c>
      <c r="G203" s="277">
        <f t="shared" si="600"/>
        <v>0.17604646911875216</v>
      </c>
      <c r="H203" s="277">
        <f t="shared" si="600"/>
        <v>0.19280584010361473</v>
      </c>
      <c r="I203" s="277">
        <f t="shared" si="600"/>
        <v>0.1505524286012091</v>
      </c>
      <c r="J203" s="410">
        <f t="shared" si="600"/>
        <v>0.17703331811958009</v>
      </c>
      <c r="K203" s="277">
        <f t="shared" si="600"/>
        <v>0.22099270072992699</v>
      </c>
      <c r="L203" s="277">
        <f t="shared" si="600"/>
        <v>0.20108395089038822</v>
      </c>
      <c r="M203" s="277">
        <f t="shared" si="600"/>
        <v>0.20616491261948441</v>
      </c>
      <c r="N203" s="277">
        <f t="shared" si="600"/>
        <v>0.16979670456210874</v>
      </c>
      <c r="O203" s="277"/>
      <c r="P203" s="277"/>
      <c r="Q203" s="277"/>
      <c r="R203" s="410"/>
      <c r="S203" s="277"/>
      <c r="T203" s="277"/>
      <c r="U203" s="277"/>
      <c r="V203" s="277"/>
      <c r="W203" s="277"/>
      <c r="X203" s="277"/>
      <c r="Y203" s="277"/>
      <c r="Z203" s="410"/>
      <c r="AA203" s="277"/>
      <c r="AB203" s="277"/>
      <c r="AC203" s="277"/>
      <c r="AD203" s="277"/>
      <c r="AE203" s="277"/>
      <c r="AF203" s="277"/>
      <c r="AG203" s="277"/>
      <c r="AH203" s="410"/>
      <c r="AI203" s="277"/>
      <c r="AJ203" s="277"/>
      <c r="AK203" s="277"/>
      <c r="AL203" s="277"/>
      <c r="AM203" s="277"/>
      <c r="AN203" s="277"/>
      <c r="AO203" s="277"/>
      <c r="AP203" s="410"/>
      <c r="AQ203" s="277"/>
      <c r="AR203" s="277"/>
      <c r="AS203" s="277"/>
      <c r="AT203" s="277"/>
      <c r="AU203" s="277"/>
      <c r="AV203" s="277"/>
      <c r="AW203" s="277"/>
      <c r="AX203" s="410"/>
      <c r="AY203" s="277"/>
      <c r="AZ203" s="277"/>
      <c r="BA203" s="277"/>
      <c r="BB203" s="277"/>
      <c r="BC203" s="277"/>
      <c r="BD203" s="277"/>
      <c r="BE203" s="277"/>
      <c r="BF203" s="406"/>
      <c r="BN203" s="410"/>
      <c r="BO203" s="277"/>
      <c r="BP203" s="277"/>
      <c r="BQ203" s="277"/>
      <c r="BR203" s="277"/>
      <c r="BS203" s="277"/>
      <c r="BT203" s="277"/>
      <c r="BU203" s="277"/>
      <c r="BV203" s="410"/>
      <c r="BW203" s="277"/>
      <c r="BX203" s="277"/>
      <c r="BY203" s="277"/>
      <c r="BZ203" s="277"/>
      <c r="CA203" s="277"/>
      <c r="CB203" s="277"/>
      <c r="CC203" s="277"/>
      <c r="CD203" s="410"/>
      <c r="CE203" s="277"/>
      <c r="CF203" s="277"/>
      <c r="CG203" s="277"/>
      <c r="CH203" s="277"/>
      <c r="CI203" s="277"/>
      <c r="CJ203" s="277"/>
      <c r="CK203" s="277"/>
      <c r="CL203" s="410"/>
      <c r="CM203" s="277"/>
      <c r="CN203" s="277"/>
      <c r="CO203" s="277"/>
      <c r="CP203" s="277"/>
      <c r="CQ203" s="277"/>
      <c r="CR203" s="277"/>
      <c r="CS203" s="277"/>
      <c r="CT203" s="410"/>
      <c r="CU203" s="277"/>
      <c r="CV203" s="277"/>
      <c r="CW203" s="277"/>
      <c r="CX203" s="277"/>
      <c r="CY203" s="277"/>
      <c r="CZ203" s="277"/>
      <c r="DA203" s="277"/>
      <c r="DB203" s="410"/>
      <c r="DC203" s="277"/>
      <c r="DD203" s="277"/>
      <c r="DE203" s="277"/>
      <c r="DF203" s="277"/>
      <c r="DG203" s="277"/>
      <c r="DH203" s="277"/>
      <c r="DI203" s="277"/>
      <c r="DJ203" s="410"/>
      <c r="DK203" s="277"/>
      <c r="DL203" s="277"/>
      <c r="DM203" s="277"/>
      <c r="DN203" s="277"/>
      <c r="DO203" s="277"/>
      <c r="DP203" s="277"/>
      <c r="DQ203" s="277"/>
      <c r="DR203" s="410"/>
      <c r="DS203" s="277"/>
      <c r="DT203" s="277"/>
      <c r="DU203" s="277"/>
      <c r="DV203" s="277"/>
      <c r="DW203" s="277"/>
      <c r="DX203" s="277"/>
      <c r="DY203" s="277"/>
      <c r="DZ203" s="410"/>
      <c r="EA203" s="277"/>
      <c r="EB203" s="277"/>
      <c r="EC203" s="277"/>
      <c r="ED203" s="277"/>
      <c r="EE203" s="277"/>
      <c r="EF203" s="277"/>
      <c r="EG203" s="489"/>
      <c r="EH203" s="406"/>
    </row>
    <row r="204" spans="1:138" hidden="1" outlineLevel="1">
      <c r="A204" s="13" t="s">
        <v>385</v>
      </c>
      <c r="B204" s="277">
        <f>AVERAGE($D204:$L204)</f>
        <v>0.17914641051669172</v>
      </c>
      <c r="C204" s="277">
        <f>AVERAGE($D204:$J204)</f>
        <v>0.17702884472440109</v>
      </c>
      <c r="D204" s="277">
        <f t="shared" ref="D204:N204" si="601">INDEX($B196:$DI196,MATCH(D$202,$B$191:$DI$191,0))</f>
        <v>0.16484040019056695</v>
      </c>
      <c r="E204" s="277">
        <f t="shared" si="601"/>
        <v>0.18117719190680565</v>
      </c>
      <c r="F204" s="277">
        <f t="shared" si="601"/>
        <v>0.18936044798113763</v>
      </c>
      <c r="G204" s="277">
        <f t="shared" si="601"/>
        <v>0.1740829825616356</v>
      </c>
      <c r="H204" s="277">
        <f t="shared" si="601"/>
        <v>0.20015503875968993</v>
      </c>
      <c r="I204" s="277">
        <f t="shared" si="601"/>
        <v>0.16194809571958207</v>
      </c>
      <c r="J204" s="410">
        <f t="shared" si="601"/>
        <v>0.16763775595139005</v>
      </c>
      <c r="K204" s="277">
        <f t="shared" si="601"/>
        <v>0.1922892337226044</v>
      </c>
      <c r="L204" s="277">
        <f t="shared" si="601"/>
        <v>0.18082654785681365</v>
      </c>
      <c r="M204" s="277">
        <f t="shared" si="601"/>
        <v>0.17948354143019296</v>
      </c>
      <c r="N204" s="277">
        <f t="shared" si="601"/>
        <v>0.21780019081368407</v>
      </c>
      <c r="O204" s="277"/>
      <c r="P204" s="277"/>
      <c r="Q204" s="277"/>
      <c r="R204" s="410"/>
      <c r="S204" s="277"/>
      <c r="T204" s="277"/>
      <c r="U204" s="277"/>
      <c r="V204" s="277"/>
      <c r="W204" s="277"/>
      <c r="X204" s="277"/>
      <c r="Y204" s="277"/>
      <c r="Z204" s="410"/>
      <c r="AA204" s="277"/>
      <c r="AB204" s="277"/>
      <c r="AC204" s="277"/>
      <c r="AD204" s="277"/>
      <c r="AE204" s="277"/>
      <c r="AF204" s="277"/>
      <c r="AG204" s="277"/>
      <c r="AH204" s="410"/>
      <c r="AI204" s="277"/>
      <c r="AJ204" s="277"/>
      <c r="AK204" s="277"/>
      <c r="AL204" s="277"/>
      <c r="AM204" s="277"/>
      <c r="AN204" s="277"/>
      <c r="AO204" s="277"/>
      <c r="AP204" s="410"/>
      <c r="AQ204" s="277"/>
      <c r="AR204" s="277"/>
      <c r="AS204" s="277"/>
      <c r="AT204" s="277"/>
      <c r="AU204" s="277"/>
      <c r="AV204" s="277"/>
      <c r="AW204" s="277"/>
      <c r="AX204" s="410"/>
      <c r="AY204" s="277"/>
      <c r="AZ204" s="277"/>
      <c r="BA204" s="277"/>
      <c r="BB204" s="277"/>
      <c r="BC204" s="277"/>
      <c r="BD204" s="277"/>
      <c r="BE204" s="277"/>
      <c r="BF204" s="406"/>
      <c r="BN204" s="410"/>
      <c r="BO204" s="277"/>
      <c r="BP204" s="277"/>
      <c r="BQ204" s="277"/>
      <c r="BR204" s="277"/>
      <c r="BS204" s="277"/>
      <c r="BT204" s="277"/>
      <c r="BU204" s="277"/>
      <c r="BV204" s="410"/>
      <c r="BW204" s="277"/>
      <c r="BX204" s="277"/>
      <c r="BY204" s="277"/>
      <c r="BZ204" s="277"/>
      <c r="CA204" s="277"/>
      <c r="CB204" s="277"/>
      <c r="CC204" s="277"/>
      <c r="CD204" s="410"/>
      <c r="CE204" s="277"/>
      <c r="CF204" s="277"/>
      <c r="CG204" s="277"/>
      <c r="CH204" s="277"/>
      <c r="CI204" s="277"/>
      <c r="CJ204" s="277"/>
      <c r="CK204" s="277"/>
      <c r="CL204" s="410"/>
      <c r="CM204" s="277"/>
      <c r="CN204" s="277"/>
      <c r="CO204" s="277"/>
      <c r="CP204" s="277"/>
      <c r="CQ204" s="277"/>
      <c r="CR204" s="277"/>
      <c r="CS204" s="277"/>
      <c r="CT204" s="410"/>
      <c r="CU204" s="277"/>
      <c r="CV204" s="277"/>
      <c r="CW204" s="277"/>
      <c r="CX204" s="277"/>
      <c r="CY204" s="277"/>
      <c r="CZ204" s="277"/>
      <c r="DA204" s="277"/>
      <c r="DB204" s="410"/>
      <c r="DC204" s="277"/>
      <c r="DD204" s="277"/>
      <c r="DE204" s="277"/>
      <c r="DF204" s="277"/>
      <c r="DG204" s="277"/>
      <c r="DH204" s="277"/>
      <c r="DI204" s="277"/>
      <c r="DJ204" s="410"/>
      <c r="DK204" s="277"/>
      <c r="DL204" s="277"/>
      <c r="DM204" s="277"/>
      <c r="DN204" s="277"/>
      <c r="DO204" s="277"/>
      <c r="DP204" s="277"/>
      <c r="DQ204" s="277"/>
      <c r="DR204" s="410"/>
      <c r="DS204" s="277"/>
      <c r="DT204" s="277"/>
      <c r="DU204" s="277"/>
      <c r="DV204" s="277"/>
      <c r="DW204" s="277"/>
      <c r="DX204" s="277"/>
      <c r="DY204" s="277"/>
      <c r="DZ204" s="410"/>
      <c r="EA204" s="277"/>
      <c r="EB204" s="277"/>
      <c r="EC204" s="277"/>
      <c r="ED204" s="277"/>
      <c r="EE204" s="277"/>
      <c r="EF204" s="277"/>
      <c r="EG204" s="489"/>
      <c r="EH204" s="406"/>
    </row>
    <row r="205" spans="1:138" hidden="1" outlineLevel="1">
      <c r="A205" s="13" t="s">
        <v>384</v>
      </c>
      <c r="B205" s="277">
        <f>AVERAGE($D205:$L205)</f>
        <v>0.20286998893385511</v>
      </c>
      <c r="C205" s="277">
        <f>AVERAGE($D205:$J205)</f>
        <v>0.20230072039438621</v>
      </c>
      <c r="D205" s="277">
        <f t="shared" ref="D205:N205" si="602">INDEX($B197:$DI197,MATCH(D$202,$B$191:$DI$191,0))</f>
        <v>0.20303330538830883</v>
      </c>
      <c r="E205" s="277">
        <f t="shared" si="602"/>
        <v>0.21059500959692898</v>
      </c>
      <c r="F205" s="277">
        <f t="shared" si="602"/>
        <v>0.19900611620795108</v>
      </c>
      <c r="G205" s="277">
        <f t="shared" si="602"/>
        <v>0.21376750463978403</v>
      </c>
      <c r="H205" s="277">
        <f t="shared" si="602"/>
        <v>0.19566827101073678</v>
      </c>
      <c r="I205" s="277">
        <f t="shared" si="602"/>
        <v>0.20039772213685259</v>
      </c>
      <c r="J205" s="410">
        <f t="shared" si="602"/>
        <v>0.1936371137801412</v>
      </c>
      <c r="K205" s="277">
        <f t="shared" si="602"/>
        <v>0.20208692322420066</v>
      </c>
      <c r="L205" s="277">
        <f t="shared" si="602"/>
        <v>0.20763793441979186</v>
      </c>
      <c r="M205" s="277">
        <f t="shared" si="602"/>
        <v>0.21787014832578383</v>
      </c>
      <c r="N205" s="277">
        <f t="shared" si="602"/>
        <v>0.2</v>
      </c>
      <c r="O205" s="277"/>
      <c r="P205" s="277"/>
      <c r="Q205" s="277"/>
      <c r="R205" s="410"/>
      <c r="S205" s="277"/>
      <c r="T205" s="277"/>
      <c r="U205" s="277"/>
      <c r="V205" s="277"/>
      <c r="W205" s="277"/>
      <c r="X205" s="277"/>
      <c r="Y205" s="277"/>
      <c r="Z205" s="410"/>
      <c r="AA205" s="277"/>
      <c r="AB205" s="277"/>
      <c r="AC205" s="277"/>
      <c r="AD205" s="277"/>
      <c r="AE205" s="277"/>
      <c r="AF205" s="277"/>
      <c r="AG205" s="277"/>
      <c r="AH205" s="410"/>
      <c r="AI205" s="277"/>
      <c r="AJ205" s="277"/>
      <c r="AK205" s="277"/>
      <c r="AL205" s="277"/>
      <c r="AM205" s="277"/>
      <c r="AN205" s="277"/>
      <c r="AO205" s="277"/>
      <c r="AP205" s="410"/>
      <c r="AQ205" s="277"/>
      <c r="AR205" s="277"/>
      <c r="AS205" s="277"/>
      <c r="AT205" s="277"/>
      <c r="AU205" s="277"/>
      <c r="AV205" s="277"/>
      <c r="AW205" s="277"/>
      <c r="AX205" s="410"/>
      <c r="AY205" s="277"/>
      <c r="AZ205" s="277"/>
      <c r="BA205" s="277"/>
      <c r="BB205" s="277"/>
      <c r="BC205" s="277"/>
      <c r="BD205" s="277"/>
      <c r="BE205" s="277"/>
      <c r="BF205" s="406"/>
      <c r="BN205" s="410"/>
      <c r="BO205" s="277"/>
      <c r="BP205" s="277"/>
      <c r="BQ205" s="277"/>
      <c r="BR205" s="277"/>
      <c r="BS205" s="277"/>
      <c r="BT205" s="277"/>
      <c r="BU205" s="277"/>
      <c r="BV205" s="410"/>
      <c r="BW205" s="277"/>
      <c r="BX205" s="277"/>
      <c r="BY205" s="277"/>
      <c r="BZ205" s="277"/>
      <c r="CA205" s="277"/>
      <c r="CB205" s="277"/>
      <c r="CC205" s="277"/>
      <c r="CD205" s="410"/>
      <c r="CE205" s="277"/>
      <c r="CF205" s="277"/>
      <c r="CG205" s="277"/>
      <c r="CH205" s="277"/>
      <c r="CI205" s="277"/>
      <c r="CJ205" s="277"/>
      <c r="CK205" s="277"/>
      <c r="CL205" s="410"/>
      <c r="CM205" s="277"/>
      <c r="CN205" s="277"/>
      <c r="CO205" s="277"/>
      <c r="CP205" s="277"/>
      <c r="CQ205" s="277"/>
      <c r="CR205" s="277"/>
      <c r="CS205" s="277"/>
      <c r="CT205" s="410"/>
      <c r="CU205" s="277"/>
      <c r="CV205" s="277"/>
      <c r="CW205" s="277"/>
      <c r="CX205" s="277"/>
      <c r="CY205" s="277"/>
      <c r="CZ205" s="277"/>
      <c r="DA205" s="277"/>
      <c r="DB205" s="410"/>
      <c r="DC205" s="277"/>
      <c r="DD205" s="277"/>
      <c r="DE205" s="277"/>
      <c r="DF205" s="277"/>
      <c r="DG205" s="277"/>
      <c r="DH205" s="277"/>
      <c r="DI205" s="277"/>
      <c r="DJ205" s="410"/>
      <c r="DK205" s="277"/>
      <c r="DL205" s="277"/>
      <c r="DM205" s="277"/>
      <c r="DN205" s="277"/>
      <c r="DO205" s="277"/>
      <c r="DP205" s="277"/>
      <c r="DQ205" s="277"/>
      <c r="DR205" s="410"/>
      <c r="DS205" s="277"/>
      <c r="DT205" s="277"/>
      <c r="DU205" s="277"/>
      <c r="DV205" s="277"/>
      <c r="DW205" s="277"/>
      <c r="DX205" s="277"/>
      <c r="DY205" s="277"/>
      <c r="DZ205" s="410"/>
      <c r="EA205" s="277"/>
      <c r="EB205" s="277"/>
      <c r="EC205" s="277"/>
      <c r="ED205" s="277"/>
      <c r="EE205" s="277"/>
      <c r="EF205" s="277"/>
      <c r="EG205" s="489"/>
      <c r="EH205" s="406"/>
    </row>
    <row r="206" spans="1:138" hidden="1" outlineLevel="1">
      <c r="A206" s="13" t="s">
        <v>388</v>
      </c>
      <c r="B206" s="277">
        <f>AVERAGE($D206:$L206)</f>
        <v>0.21246419017042606</v>
      </c>
      <c r="C206" s="277">
        <f>AVERAGE($D206:$J206)</f>
        <v>0.21759810871424454</v>
      </c>
      <c r="D206" s="277">
        <f t="shared" ref="D206:N206" si="603">INDEX($B198:$DI198,MATCH(D$202,$B$191:$DI$191,0))</f>
        <v>0.27286245353159849</v>
      </c>
      <c r="E206" s="277">
        <f t="shared" si="603"/>
        <v>0.1917562724014337</v>
      </c>
      <c r="F206" s="277">
        <f t="shared" si="603"/>
        <v>0.29527559055118108</v>
      </c>
      <c r="G206" s="277">
        <f t="shared" si="603"/>
        <v>0.15232358003442339</v>
      </c>
      <c r="H206" s="277">
        <f t="shared" si="603"/>
        <v>0.16747404844290659</v>
      </c>
      <c r="I206" s="277">
        <f t="shared" si="603"/>
        <v>0.22301587301587303</v>
      </c>
      <c r="J206" s="410">
        <f t="shared" si="603"/>
        <v>0.22047894302229562</v>
      </c>
      <c r="K206" s="277">
        <f t="shared" si="603"/>
        <v>0.24251207729468599</v>
      </c>
      <c r="L206" s="277">
        <f t="shared" si="603"/>
        <v>0.14647887323943662</v>
      </c>
      <c r="M206" s="277">
        <f t="shared" si="603"/>
        <v>0.26646090534979422</v>
      </c>
      <c r="N206" s="277">
        <f t="shared" si="603"/>
        <v>0.2123585726718886</v>
      </c>
      <c r="O206" s="277"/>
      <c r="P206" s="277"/>
      <c r="Q206" s="277"/>
      <c r="R206" s="410"/>
      <c r="S206" s="277"/>
      <c r="T206" s="277"/>
      <c r="U206" s="277"/>
      <c r="V206" s="277"/>
      <c r="W206" s="277"/>
      <c r="X206" s="277"/>
      <c r="Y206" s="277"/>
      <c r="Z206" s="410"/>
      <c r="AA206" s="277"/>
      <c r="AB206" s="277"/>
      <c r="AC206" s="277"/>
      <c r="AD206" s="277"/>
      <c r="AE206" s="277"/>
      <c r="AF206" s="277"/>
      <c r="AG206" s="277"/>
      <c r="AH206" s="410"/>
      <c r="AI206" s="277"/>
      <c r="AJ206" s="277"/>
      <c r="AK206" s="277"/>
      <c r="AL206" s="277"/>
      <c r="AM206" s="277"/>
      <c r="AN206" s="277"/>
      <c r="AO206" s="277"/>
      <c r="AP206" s="410"/>
      <c r="AQ206" s="277"/>
      <c r="AR206" s="277"/>
      <c r="AS206" s="277"/>
      <c r="AT206" s="277"/>
      <c r="AU206" s="277"/>
      <c r="AV206" s="277"/>
      <c r="AW206" s="277"/>
      <c r="AX206" s="410"/>
      <c r="AY206" s="277"/>
      <c r="AZ206" s="277"/>
      <c r="BA206" s="277"/>
      <c r="BB206" s="277"/>
      <c r="BC206" s="277"/>
      <c r="BD206" s="277"/>
      <c r="BE206" s="277"/>
      <c r="BF206" s="406"/>
      <c r="BN206" s="410"/>
      <c r="BO206" s="277"/>
      <c r="BP206" s="277"/>
      <c r="BQ206" s="277"/>
      <c r="BR206" s="277"/>
      <c r="BS206" s="277"/>
      <c r="BT206" s="277"/>
      <c r="BU206" s="277"/>
      <c r="BV206" s="410"/>
      <c r="BW206" s="277"/>
      <c r="BX206" s="277"/>
      <c r="BY206" s="277"/>
      <c r="BZ206" s="277"/>
      <c r="CA206" s="277"/>
      <c r="CB206" s="277"/>
      <c r="CC206" s="277"/>
      <c r="CD206" s="410"/>
      <c r="CE206" s="277"/>
      <c r="CF206" s="277"/>
      <c r="CG206" s="277"/>
      <c r="CH206" s="277"/>
      <c r="CI206" s="277"/>
      <c r="CJ206" s="277"/>
      <c r="CK206" s="277"/>
      <c r="CL206" s="410"/>
      <c r="CM206" s="277"/>
      <c r="CN206" s="277"/>
      <c r="CO206" s="277"/>
      <c r="CP206" s="277"/>
      <c r="CQ206" s="277"/>
      <c r="CR206" s="277"/>
      <c r="CS206" s="277"/>
      <c r="CT206" s="410"/>
      <c r="CU206" s="277"/>
      <c r="CV206" s="277"/>
      <c r="CW206" s="277"/>
      <c r="CX206" s="277"/>
      <c r="CY206" s="277"/>
      <c r="CZ206" s="277"/>
      <c r="DA206" s="277"/>
      <c r="DB206" s="410"/>
      <c r="DC206" s="277"/>
      <c r="DD206" s="277"/>
      <c r="DE206" s="277"/>
      <c r="DF206" s="277"/>
      <c r="DG206" s="277"/>
      <c r="DH206" s="277"/>
      <c r="DI206" s="277"/>
      <c r="DJ206" s="410"/>
      <c r="DK206" s="277"/>
      <c r="DL206" s="277"/>
      <c r="DM206" s="277"/>
      <c r="DN206" s="277"/>
      <c r="DO206" s="277"/>
      <c r="DP206" s="277"/>
      <c r="DQ206" s="277"/>
      <c r="DR206" s="410"/>
      <c r="DS206" s="277"/>
      <c r="DT206" s="277"/>
      <c r="DU206" s="277"/>
      <c r="DV206" s="277"/>
      <c r="DW206" s="277"/>
      <c r="DX206" s="277"/>
      <c r="DY206" s="277"/>
      <c r="DZ206" s="410"/>
      <c r="EA206" s="277"/>
      <c r="EB206" s="277"/>
      <c r="EC206" s="277"/>
      <c r="ED206" s="277"/>
      <c r="EE206" s="277"/>
      <c r="EF206" s="277"/>
      <c r="EG206" s="489"/>
      <c r="EH206" s="406"/>
    </row>
    <row r="207" spans="1:138" hidden="1" outlineLevel="1">
      <c r="A207" s="278" t="s">
        <v>225</v>
      </c>
      <c r="B207" s="279">
        <f>AVERAGE($D207:$L207)</f>
        <v>0.19264273287220249</v>
      </c>
      <c r="C207" s="279">
        <f>AVERAGE($D207:$J207)</f>
        <v>0.18860151643123133</v>
      </c>
      <c r="D207" s="279">
        <f t="shared" ref="D207:N207" si="604">INDEX($B199:$DI199,MATCH(D$202,$B$191:$DI$191,0))</f>
        <v>0.21008563934198413</v>
      </c>
      <c r="E207" s="279">
        <f t="shared" si="604"/>
        <v>0.20832441157577455</v>
      </c>
      <c r="F207" s="279">
        <f t="shared" si="604"/>
        <v>0.18740108611326609</v>
      </c>
      <c r="G207" s="279">
        <f t="shared" si="604"/>
        <v>0.18298012946636427</v>
      </c>
      <c r="H207" s="279">
        <f t="shared" si="604"/>
        <v>0.19452723650905387</v>
      </c>
      <c r="I207" s="279">
        <f t="shared" si="604"/>
        <v>0.15883654857394006</v>
      </c>
      <c r="J207" s="411">
        <f t="shared" si="604"/>
        <v>0.17805556343823606</v>
      </c>
      <c r="K207" s="279">
        <f t="shared" si="604"/>
        <v>0.21299487097291234</v>
      </c>
      <c r="L207" s="279">
        <f t="shared" si="604"/>
        <v>0.20057910985829067</v>
      </c>
      <c r="M207" s="279">
        <f t="shared" si="604"/>
        <v>0.2042101322260606</v>
      </c>
      <c r="N207" s="279">
        <f t="shared" si="604"/>
        <v>0.17973596552883292</v>
      </c>
      <c r="O207" s="277"/>
      <c r="P207" s="277"/>
      <c r="Q207" s="277"/>
      <c r="R207" s="410"/>
      <c r="S207" s="277"/>
      <c r="T207" s="277"/>
      <c r="U207" s="277"/>
      <c r="V207" s="277"/>
      <c r="W207" s="277"/>
      <c r="X207" s="277"/>
      <c r="Y207" s="277"/>
      <c r="Z207" s="410"/>
      <c r="AA207" s="277"/>
      <c r="AB207" s="277"/>
      <c r="AC207" s="277"/>
      <c r="AD207" s="277"/>
      <c r="AE207" s="277"/>
      <c r="AF207" s="277"/>
      <c r="AG207" s="277"/>
      <c r="AH207" s="410"/>
      <c r="AI207" s="277"/>
      <c r="AJ207" s="277"/>
      <c r="AK207" s="277"/>
      <c r="AL207" s="277"/>
      <c r="AM207" s="277"/>
      <c r="AN207" s="277"/>
      <c r="AO207" s="277"/>
      <c r="AP207" s="410"/>
      <c r="AQ207" s="277"/>
      <c r="AR207" s="277"/>
      <c r="AS207" s="277"/>
      <c r="AT207" s="277"/>
      <c r="AU207" s="277"/>
      <c r="AV207" s="277"/>
      <c r="AW207" s="277"/>
      <c r="AX207" s="410"/>
      <c r="AY207" s="277"/>
      <c r="AZ207" s="277"/>
      <c r="BA207" s="277"/>
      <c r="BB207" s="277"/>
      <c r="BC207" s="277"/>
      <c r="BD207" s="277"/>
      <c r="BE207" s="277"/>
      <c r="BF207" s="406"/>
      <c r="BN207" s="410"/>
      <c r="BO207" s="277"/>
      <c r="BP207" s="277"/>
      <c r="BQ207" s="277"/>
      <c r="BR207" s="277"/>
      <c r="BS207" s="277"/>
      <c r="BT207" s="277"/>
      <c r="BU207" s="277"/>
      <c r="BV207" s="410"/>
      <c r="BW207" s="277"/>
      <c r="BX207" s="277"/>
      <c r="BY207" s="277"/>
      <c r="BZ207" s="277"/>
      <c r="CA207" s="277"/>
      <c r="CB207" s="277"/>
      <c r="CC207" s="277"/>
      <c r="CD207" s="410"/>
      <c r="CE207" s="277"/>
      <c r="CF207" s="277"/>
      <c r="CG207" s="277"/>
      <c r="CH207" s="277"/>
      <c r="CI207" s="277"/>
      <c r="CJ207" s="277"/>
      <c r="CK207" s="277"/>
      <c r="CL207" s="410"/>
      <c r="CM207" s="277"/>
      <c r="CN207" s="277"/>
      <c r="CO207" s="277"/>
      <c r="CP207" s="277"/>
      <c r="CQ207" s="277"/>
      <c r="CR207" s="277"/>
      <c r="CS207" s="277"/>
      <c r="CT207" s="410"/>
      <c r="CU207" s="277"/>
      <c r="CV207" s="277"/>
      <c r="CW207" s="277"/>
      <c r="CX207" s="277"/>
      <c r="CY207" s="277"/>
      <c r="CZ207" s="277"/>
      <c r="DA207" s="277"/>
      <c r="DB207" s="410"/>
      <c r="DC207" s="277"/>
      <c r="DD207" s="277"/>
      <c r="DE207" s="277"/>
      <c r="DF207" s="277"/>
      <c r="DG207" s="277"/>
      <c r="DH207" s="277"/>
      <c r="DI207" s="277"/>
      <c r="DJ207" s="410"/>
      <c r="DK207" s="277"/>
      <c r="DL207" s="277"/>
      <c r="DM207" s="277"/>
      <c r="DN207" s="277"/>
      <c r="DO207" s="277"/>
      <c r="DP207" s="277"/>
      <c r="DQ207" s="277"/>
      <c r="DR207" s="410"/>
      <c r="DS207" s="277"/>
      <c r="DT207" s="277"/>
      <c r="DU207" s="277"/>
      <c r="DV207" s="277"/>
      <c r="DW207" s="277"/>
      <c r="DX207" s="277"/>
      <c r="DY207" s="277"/>
      <c r="DZ207" s="410"/>
      <c r="EA207" s="277"/>
      <c r="EB207" s="277"/>
      <c r="EC207" s="277"/>
      <c r="ED207" s="277"/>
      <c r="EE207" s="277"/>
      <c r="EF207" s="277"/>
      <c r="EG207" s="489"/>
      <c r="EH207" s="406"/>
    </row>
    <row r="208" spans="1:138" hidden="1" outlineLevel="1">
      <c r="J208" s="369"/>
      <c r="R208" s="369"/>
      <c r="Z208" s="369"/>
      <c r="AH208" s="369"/>
      <c r="AP208" s="406"/>
      <c r="AX208" s="406"/>
      <c r="BF208" s="406"/>
      <c r="BN208" s="448"/>
      <c r="BV208" s="406"/>
      <c r="CD208" s="406"/>
      <c r="CL208" s="406"/>
      <c r="CT208" s="406"/>
      <c r="DB208" s="406"/>
      <c r="DJ208" s="406"/>
      <c r="DR208" s="406"/>
      <c r="DZ208" s="406"/>
      <c r="EG208" s="486"/>
      <c r="EH208" s="406"/>
    </row>
    <row r="209" spans="1:138" hidden="1" outlineLevel="1">
      <c r="J209" s="369"/>
      <c r="R209" s="369"/>
      <c r="Z209" s="369"/>
      <c r="AH209" s="369"/>
      <c r="AP209" s="406"/>
      <c r="AX209" s="406"/>
      <c r="BF209" s="406"/>
      <c r="BN209" s="448"/>
      <c r="BV209" s="406"/>
      <c r="CD209" s="406"/>
      <c r="CL209" s="406"/>
      <c r="CT209" s="406"/>
      <c r="DB209" s="406"/>
      <c r="DJ209" s="406"/>
      <c r="DR209" s="406"/>
      <c r="DZ209" s="406"/>
      <c r="EG209" s="486"/>
      <c r="EH209" s="406"/>
    </row>
    <row r="210" spans="1:138" hidden="1" outlineLevel="1">
      <c r="A210" s="281"/>
      <c r="B210" s="283"/>
      <c r="J210" s="369"/>
      <c r="R210" s="369"/>
      <c r="Z210" s="369"/>
      <c r="AH210" s="369"/>
      <c r="AP210" s="406"/>
      <c r="AX210" s="406"/>
      <c r="BF210" s="406"/>
      <c r="BN210" s="448"/>
      <c r="BV210" s="406"/>
      <c r="CD210" s="406"/>
      <c r="CL210" s="406"/>
      <c r="CT210" s="406"/>
      <c r="DB210" s="406"/>
      <c r="DJ210" s="406"/>
      <c r="DR210" s="406"/>
      <c r="DZ210" s="406"/>
      <c r="EG210" s="486"/>
      <c r="EH210" s="406"/>
    </row>
    <row r="211" spans="1:138" hidden="1" outlineLevel="1">
      <c r="A211" s="281" t="s">
        <v>503</v>
      </c>
      <c r="B211" s="283"/>
      <c r="D211" s="276" t="str">
        <f>"2013 "&amp;$A$202</f>
        <v>2013 Q1</v>
      </c>
      <c r="E211" s="276" t="str">
        <f>"2014 "&amp;$A$202</f>
        <v>2014 Q1</v>
      </c>
      <c r="F211" s="276" t="str">
        <f>"2015 "&amp;$A$202</f>
        <v>2015 Q1</v>
      </c>
      <c r="G211" s="276" t="str">
        <f>"2016 "&amp;$A$202</f>
        <v>2016 Q1</v>
      </c>
      <c r="H211" s="276" t="str">
        <f>"2017 "&amp;$A$202</f>
        <v>2017 Q1</v>
      </c>
      <c r="I211" s="276" t="str">
        <f>"2018 "&amp;$A$202</f>
        <v>2018 Q1</v>
      </c>
      <c r="J211" s="433" t="str">
        <f>"2019 "&amp;$A$202</f>
        <v>2019 Q1</v>
      </c>
      <c r="K211" s="276" t="str">
        <f>"2020 "&amp;$A$202</f>
        <v>2020 Q1</v>
      </c>
      <c r="L211" s="276" t="str">
        <f>"2021 "&amp;$A$202</f>
        <v>2021 Q1</v>
      </c>
      <c r="M211" s="276" t="str">
        <f>"2022 "&amp;$A$202</f>
        <v>2022 Q1</v>
      </c>
      <c r="N211" s="276" t="str">
        <f>"2023 "&amp;$A$202</f>
        <v>2023 Q1</v>
      </c>
      <c r="R211" s="369"/>
      <c r="Z211" s="369"/>
      <c r="AH211" s="369"/>
      <c r="AP211" s="406"/>
      <c r="AX211" s="406"/>
      <c r="BF211" s="406"/>
      <c r="BN211" s="448"/>
      <c r="BV211" s="406"/>
      <c r="CD211" s="406"/>
      <c r="CL211" s="406"/>
      <c r="CT211" s="406"/>
      <c r="DB211" s="406"/>
      <c r="DJ211" s="406"/>
      <c r="DR211" s="406"/>
      <c r="DZ211" s="406"/>
      <c r="EG211" s="486"/>
      <c r="EH211" s="406"/>
    </row>
    <row r="212" spans="1:138" hidden="1" outlineLevel="1">
      <c r="A212" s="289" t="s">
        <v>385</v>
      </c>
      <c r="B212" s="283"/>
      <c r="D212" s="284">
        <f>INDEX($D$203:$N$207,MATCH($A212,$A$203:$A$207,0),MATCH(D$211,$D$202:$N$202,0))</f>
        <v>0.16484040019056695</v>
      </c>
      <c r="E212" s="284">
        <f t="shared" ref="E212:N212" si="605">INDEX($D$203:$N$207,MATCH($A212,$A$203:$A$207,0),MATCH(E$211,$D$202:$N$202,0))</f>
        <v>0.18117719190680565</v>
      </c>
      <c r="F212" s="284">
        <f t="shared" si="605"/>
        <v>0.18936044798113763</v>
      </c>
      <c r="G212" s="284">
        <f t="shared" si="605"/>
        <v>0.1740829825616356</v>
      </c>
      <c r="H212" s="284">
        <f t="shared" si="605"/>
        <v>0.20015503875968993</v>
      </c>
      <c r="I212" s="284">
        <f t="shared" si="605"/>
        <v>0.16194809571958207</v>
      </c>
      <c r="J212" s="400">
        <f t="shared" si="605"/>
        <v>0.16763775595139005</v>
      </c>
      <c r="K212" s="284">
        <f t="shared" si="605"/>
        <v>0.1922892337226044</v>
      </c>
      <c r="L212" s="284">
        <f t="shared" si="605"/>
        <v>0.18082654785681365</v>
      </c>
      <c r="M212" s="284">
        <f t="shared" si="605"/>
        <v>0.17948354143019296</v>
      </c>
      <c r="N212" s="284">
        <f t="shared" si="605"/>
        <v>0.21780019081368407</v>
      </c>
      <c r="R212" s="369"/>
      <c r="Z212" s="369"/>
      <c r="AH212" s="369"/>
      <c r="AP212" s="406"/>
      <c r="AX212" s="406"/>
      <c r="BF212" s="406"/>
      <c r="BN212" s="448"/>
      <c r="BV212" s="406"/>
      <c r="CD212" s="406"/>
      <c r="CL212" s="406"/>
      <c r="CT212" s="406"/>
      <c r="DB212" s="406"/>
      <c r="DJ212" s="406"/>
      <c r="DR212" s="406"/>
      <c r="DZ212" s="406"/>
      <c r="EG212" s="486"/>
      <c r="EH212" s="406"/>
    </row>
    <row r="213" spans="1:138" hidden="1" outlineLevel="1">
      <c r="A213" s="113" t="s">
        <v>499</v>
      </c>
      <c r="D213" s="77">
        <f>AVERAGE($D$212:$J$212)</f>
        <v>0.17702884472440109</v>
      </c>
      <c r="E213" s="77">
        <f t="shared" ref="E213:N213" si="606">AVERAGE($D$212:$J$212)</f>
        <v>0.17702884472440109</v>
      </c>
      <c r="F213" s="77">
        <f t="shared" si="606"/>
        <v>0.17702884472440109</v>
      </c>
      <c r="G213" s="77">
        <f t="shared" si="606"/>
        <v>0.17702884472440109</v>
      </c>
      <c r="H213" s="77">
        <f t="shared" si="606"/>
        <v>0.17702884472440109</v>
      </c>
      <c r="I213" s="77">
        <f t="shared" si="606"/>
        <v>0.17702884472440109</v>
      </c>
      <c r="J213" s="390">
        <f t="shared" si="606"/>
        <v>0.17702884472440109</v>
      </c>
      <c r="K213" s="77">
        <f t="shared" si="606"/>
        <v>0.17702884472440109</v>
      </c>
      <c r="L213" s="77">
        <f t="shared" si="606"/>
        <v>0.17702884472440109</v>
      </c>
      <c r="M213" s="77">
        <f t="shared" si="606"/>
        <v>0.17702884472440109</v>
      </c>
      <c r="N213" s="77">
        <f t="shared" si="606"/>
        <v>0.17702884472440109</v>
      </c>
      <c r="R213" s="369"/>
      <c r="Z213" s="369"/>
      <c r="AH213" s="369"/>
      <c r="AP213" s="406"/>
      <c r="AX213" s="406"/>
      <c r="BF213" s="406"/>
      <c r="BN213" s="448"/>
      <c r="BV213" s="406"/>
      <c r="CD213" s="406"/>
      <c r="CL213" s="406"/>
      <c r="CT213" s="406"/>
      <c r="DB213" s="406"/>
      <c r="DJ213" s="406"/>
      <c r="DR213" s="406"/>
      <c r="DZ213" s="406"/>
      <c r="EG213" s="486"/>
      <c r="EH213" s="406"/>
    </row>
    <row r="214" spans="1:138" hidden="1" outlineLevel="1">
      <c r="A214" s="113" t="s">
        <v>500</v>
      </c>
      <c r="D214" s="284">
        <f>IF(LEFT($A$202)="Q",0.25,IF( LEFT($A$202)="H",0.5,IF(LEFT($A$202)="9",0.75,"")))</f>
        <v>0.25</v>
      </c>
      <c r="E214" s="284">
        <f t="shared" ref="E214:N214" si="607">IF(LEFT($A$202)="Q",0.25,IF( LEFT($A$202)="H",0.5,IF(LEFT($A$202)="9",0.75,"")))</f>
        <v>0.25</v>
      </c>
      <c r="F214" s="284">
        <f t="shared" si="607"/>
        <v>0.25</v>
      </c>
      <c r="G214" s="284">
        <f t="shared" si="607"/>
        <v>0.25</v>
      </c>
      <c r="H214" s="284">
        <f t="shared" si="607"/>
        <v>0.25</v>
      </c>
      <c r="I214" s="284">
        <f t="shared" si="607"/>
        <v>0.25</v>
      </c>
      <c r="J214" s="400">
        <f t="shared" si="607"/>
        <v>0.25</v>
      </c>
      <c r="K214" s="284">
        <f t="shared" si="607"/>
        <v>0.25</v>
      </c>
      <c r="L214" s="284">
        <f t="shared" si="607"/>
        <v>0.25</v>
      </c>
      <c r="M214" s="284">
        <f t="shared" si="607"/>
        <v>0.25</v>
      </c>
      <c r="N214" s="284">
        <f t="shared" si="607"/>
        <v>0.25</v>
      </c>
      <c r="R214" s="369"/>
      <c r="Z214" s="369"/>
      <c r="AH214" s="369"/>
      <c r="AP214" s="406"/>
      <c r="AX214" s="406"/>
      <c r="BF214" s="406"/>
      <c r="BN214" s="448"/>
      <c r="BV214" s="406"/>
      <c r="CD214" s="406"/>
      <c r="CL214" s="406"/>
      <c r="CT214" s="406"/>
      <c r="DB214" s="406"/>
      <c r="DJ214" s="406"/>
      <c r="DR214" s="406"/>
      <c r="DZ214" s="406"/>
      <c r="EG214" s="486"/>
      <c r="EH214" s="406"/>
    </row>
    <row r="215" spans="1:138" hidden="1" outlineLevel="1">
      <c r="J215" s="369"/>
      <c r="R215" s="369"/>
      <c r="Z215" s="369"/>
      <c r="AH215" s="369"/>
      <c r="AP215" s="406"/>
      <c r="AX215" s="406"/>
      <c r="BF215" s="406"/>
      <c r="BN215" s="448"/>
      <c r="BV215" s="406"/>
      <c r="CD215" s="406"/>
      <c r="CL215" s="406"/>
      <c r="CT215" s="406"/>
      <c r="DB215" s="406"/>
      <c r="DJ215" s="406"/>
      <c r="DR215" s="406"/>
      <c r="DZ215" s="406"/>
      <c r="EG215" s="486"/>
      <c r="EH215" s="406"/>
    </row>
    <row r="216" spans="1:138" hidden="1" outlineLevel="1">
      <c r="J216" s="369"/>
      <c r="R216" s="369"/>
      <c r="Z216" s="369"/>
      <c r="AH216" s="369"/>
      <c r="AP216" s="406"/>
      <c r="AX216" s="406"/>
      <c r="BF216" s="406"/>
      <c r="BN216" s="448"/>
      <c r="BV216" s="406"/>
      <c r="CD216" s="406"/>
      <c r="CL216" s="406"/>
      <c r="CT216" s="406"/>
      <c r="DB216" s="406"/>
      <c r="DJ216" s="406"/>
      <c r="DR216" s="406"/>
      <c r="DZ216" s="406"/>
      <c r="EG216" s="486"/>
      <c r="EH216" s="406"/>
    </row>
    <row r="217" spans="1:138" hidden="1" outlineLevel="1">
      <c r="J217" s="369"/>
      <c r="R217" s="369"/>
      <c r="Z217" s="369"/>
      <c r="AH217" s="369"/>
      <c r="AP217" s="406"/>
      <c r="AX217" s="406"/>
      <c r="BF217" s="406"/>
      <c r="BN217" s="448"/>
      <c r="BV217" s="406"/>
      <c r="CD217" s="406"/>
      <c r="CL217" s="406"/>
      <c r="CT217" s="406"/>
      <c r="DB217" s="406"/>
      <c r="DJ217" s="406"/>
      <c r="DR217" s="406"/>
      <c r="DZ217" s="406"/>
      <c r="EG217" s="486"/>
      <c r="EH217" s="406"/>
    </row>
    <row r="218" spans="1:138" hidden="1" outlineLevel="1">
      <c r="J218" s="369"/>
      <c r="R218" s="369"/>
      <c r="Z218" s="369"/>
      <c r="AH218" s="369"/>
      <c r="AP218" s="406"/>
      <c r="AX218" s="406"/>
      <c r="BF218" s="406"/>
      <c r="BN218" s="448"/>
      <c r="BV218" s="406"/>
      <c r="CD218" s="406"/>
      <c r="CL218" s="406"/>
      <c r="CT218" s="406"/>
      <c r="DB218" s="406"/>
      <c r="DJ218" s="406"/>
      <c r="DR218" s="406"/>
      <c r="DZ218" s="406"/>
      <c r="EG218" s="486"/>
      <c r="EH218" s="406"/>
    </row>
    <row r="219" spans="1:138" hidden="1" outlineLevel="1">
      <c r="J219" s="369"/>
      <c r="R219" s="369"/>
      <c r="Z219" s="369"/>
      <c r="AH219" s="369"/>
      <c r="AP219" s="406"/>
      <c r="AX219" s="406"/>
      <c r="BF219" s="406"/>
      <c r="BN219" s="448"/>
      <c r="BV219" s="406"/>
      <c r="CD219" s="406"/>
      <c r="CL219" s="406"/>
      <c r="CT219" s="406"/>
      <c r="DB219" s="406"/>
      <c r="DJ219" s="406"/>
      <c r="DR219" s="406"/>
      <c r="DZ219" s="406"/>
      <c r="EG219" s="486"/>
      <c r="EH219" s="406"/>
    </row>
    <row r="220" spans="1:138" hidden="1" outlineLevel="1">
      <c r="J220" s="369"/>
      <c r="R220" s="369"/>
      <c r="Z220" s="369"/>
      <c r="AH220" s="369"/>
      <c r="AP220" s="406"/>
      <c r="AX220" s="406"/>
      <c r="BF220" s="406"/>
      <c r="BN220" s="448"/>
      <c r="BV220" s="406"/>
      <c r="CD220" s="406"/>
      <c r="CL220" s="406"/>
      <c r="CT220" s="406"/>
      <c r="DB220" s="406"/>
      <c r="DJ220" s="406"/>
      <c r="DR220" s="406"/>
      <c r="DZ220" s="406"/>
      <c r="EG220" s="486"/>
      <c r="EH220" s="406"/>
    </row>
    <row r="221" spans="1:138" collapsed="1">
      <c r="A221" s="290" t="s">
        <v>501</v>
      </c>
      <c r="B221" s="291"/>
      <c r="C221" s="291"/>
      <c r="D221" s="291"/>
      <c r="E221" s="291"/>
      <c r="F221" s="291"/>
      <c r="G221" s="291"/>
      <c r="H221" s="291"/>
      <c r="I221" s="291"/>
      <c r="J221" s="466"/>
      <c r="K221" s="292"/>
      <c r="L221" s="292"/>
      <c r="M221" s="292"/>
      <c r="N221" s="292"/>
      <c r="O221" s="292"/>
      <c r="P221" s="293"/>
      <c r="Q221" s="292"/>
      <c r="R221" s="470"/>
      <c r="S221" s="292"/>
      <c r="T221" s="292"/>
      <c r="U221" s="292"/>
      <c r="V221" s="292"/>
      <c r="W221" s="292"/>
      <c r="X221" s="293"/>
      <c r="Y221" s="291"/>
      <c r="Z221" s="466"/>
      <c r="AA221" s="291"/>
      <c r="AB221" s="291"/>
      <c r="AC221" s="291"/>
      <c r="AD221" s="291"/>
      <c r="AE221" s="291"/>
      <c r="AF221" s="291"/>
      <c r="AG221" s="291"/>
      <c r="AH221" s="466"/>
      <c r="AI221" s="291"/>
      <c r="AJ221" s="291"/>
      <c r="AK221" s="291"/>
      <c r="AL221" s="291"/>
      <c r="AM221" s="291"/>
      <c r="AN221" s="291"/>
      <c r="AO221" s="291"/>
      <c r="AP221" s="409"/>
      <c r="AQ221" s="294"/>
      <c r="AR221" s="294"/>
      <c r="AS221" s="294"/>
      <c r="AT221" s="294"/>
      <c r="AU221" s="294"/>
      <c r="AV221" s="294"/>
      <c r="AW221" s="294"/>
      <c r="AX221" s="409"/>
      <c r="AY221" s="294"/>
      <c r="AZ221" s="294"/>
      <c r="BA221" s="294"/>
      <c r="BB221" s="294"/>
      <c r="BC221" s="294"/>
      <c r="BD221" s="294"/>
      <c r="BE221" s="294"/>
      <c r="BF221" s="409"/>
      <c r="BG221" s="294"/>
      <c r="BH221" s="294"/>
      <c r="BI221" s="294"/>
      <c r="BJ221" s="294"/>
      <c r="BK221" s="294"/>
      <c r="BL221" s="294"/>
      <c r="BM221" s="294"/>
      <c r="BN221" s="450"/>
      <c r="BO221" s="295"/>
      <c r="BP221" s="295"/>
      <c r="BQ221" s="295"/>
      <c r="BR221" s="295"/>
      <c r="BS221" s="295"/>
      <c r="BT221" s="295"/>
      <c r="BU221" s="295"/>
      <c r="BV221" s="409"/>
      <c r="BW221" s="294"/>
      <c r="BX221" s="296"/>
      <c r="BY221" s="294"/>
      <c r="BZ221" s="294"/>
      <c r="CA221" s="294"/>
      <c r="CB221" s="294"/>
      <c r="CC221" s="294"/>
      <c r="CD221" s="409"/>
      <c r="CE221" s="294"/>
      <c r="CF221" s="294"/>
      <c r="CG221" s="294"/>
      <c r="CH221" s="294"/>
      <c r="CI221" s="294"/>
      <c r="CJ221" s="294"/>
      <c r="CK221" s="294"/>
      <c r="CL221" s="409"/>
      <c r="CM221" s="294"/>
      <c r="CN221" s="294"/>
      <c r="CO221" s="294"/>
      <c r="CP221" s="294"/>
      <c r="CQ221" s="294"/>
      <c r="CR221" s="294"/>
      <c r="CS221" s="294"/>
      <c r="CT221" s="409"/>
      <c r="CU221" s="294"/>
      <c r="CV221" s="294"/>
      <c r="CW221" s="294"/>
      <c r="CX221" s="294"/>
      <c r="CY221" s="294"/>
      <c r="CZ221" s="294"/>
      <c r="DA221" s="294"/>
      <c r="DB221" s="409"/>
      <c r="DC221" s="294"/>
      <c r="DD221" s="294"/>
      <c r="DE221" s="294"/>
      <c r="DF221" s="294"/>
      <c r="DG221" s="294"/>
      <c r="DH221" s="294"/>
      <c r="DI221" s="294"/>
      <c r="DJ221" s="409"/>
      <c r="DK221" s="294"/>
      <c r="DL221" s="294"/>
      <c r="DM221" s="294"/>
      <c r="DN221" s="294"/>
      <c r="DO221" s="294"/>
      <c r="DP221" s="294"/>
      <c r="DQ221" s="294"/>
      <c r="DR221" s="409"/>
      <c r="DS221" s="294"/>
      <c r="DT221" s="294"/>
      <c r="DU221" s="294"/>
      <c r="DV221" s="294"/>
      <c r="DW221" s="294"/>
      <c r="DX221" s="294"/>
      <c r="DY221" s="294"/>
      <c r="DZ221" s="409"/>
      <c r="EA221" s="294"/>
      <c r="EB221" s="294"/>
      <c r="EC221" s="294"/>
      <c r="ED221" s="294"/>
      <c r="EE221" s="294"/>
      <c r="EF221" s="294"/>
      <c r="EG221" s="488"/>
      <c r="EH221" s="406"/>
    </row>
    <row r="222" spans="1:138">
      <c r="A222" s="13" t="s">
        <v>14</v>
      </c>
      <c r="B222" s="277"/>
      <c r="C222" s="277"/>
      <c r="D222" s="277"/>
      <c r="E222" s="277"/>
      <c r="F222" s="277"/>
      <c r="G222" s="277"/>
      <c r="H222" s="277"/>
      <c r="I222" s="277"/>
      <c r="J222" s="410"/>
      <c r="K222" s="277"/>
      <c r="L222" s="277"/>
      <c r="M222" s="277"/>
      <c r="N222" s="277"/>
      <c r="O222" s="277"/>
      <c r="P222" s="277"/>
      <c r="Q222" s="277"/>
      <c r="R222" s="410">
        <f t="shared" ref="R222:BE222" si="608">R116/INDEX($B116:$DI116,MATCH(R$192,$B$4:$DI$4,0))</f>
        <v>0.27461607949412825</v>
      </c>
      <c r="S222" s="277">
        <f t="shared" si="608"/>
        <v>0.28139114724480579</v>
      </c>
      <c r="T222" s="277">
        <f t="shared" si="608"/>
        <v>0.5560072267389341</v>
      </c>
      <c r="U222" s="277">
        <f t="shared" si="608"/>
        <v>0.7732610659439928</v>
      </c>
      <c r="V222" s="277">
        <f t="shared" si="608"/>
        <v>0.7732610659439928</v>
      </c>
      <c r="W222" s="277">
        <f t="shared" si="608"/>
        <v>0.22673893405600723</v>
      </c>
      <c r="X222" s="277">
        <f t="shared" si="608"/>
        <v>0.44399277326106595</v>
      </c>
      <c r="Y222" s="277">
        <f t="shared" si="608"/>
        <v>1</v>
      </c>
      <c r="Z222" s="410">
        <f t="shared" si="608"/>
        <v>0.20838275998418349</v>
      </c>
      <c r="AA222" s="277">
        <f t="shared" si="608"/>
        <v>0.30051403716884145</v>
      </c>
      <c r="AB222" s="277">
        <f t="shared" si="608"/>
        <v>0.50889679715302494</v>
      </c>
      <c r="AC222" s="277">
        <f t="shared" si="608"/>
        <v>0.19493871095294582</v>
      </c>
      <c r="AD222" s="277">
        <f t="shared" si="608"/>
        <v>0.70383550810597073</v>
      </c>
      <c r="AE222" s="277">
        <f t="shared" si="608"/>
        <v>0.29616449189402927</v>
      </c>
      <c r="AF222" s="277">
        <f t="shared" si="608"/>
        <v>0.49110320284697506</v>
      </c>
      <c r="AG222" s="277">
        <f t="shared" si="608"/>
        <v>1</v>
      </c>
      <c r="AH222" s="410">
        <f t="shared" si="608"/>
        <v>0.20571221981200288</v>
      </c>
      <c r="AI222" s="277">
        <f t="shared" si="608"/>
        <v>0.34851771511207519</v>
      </c>
      <c r="AJ222" s="277">
        <f t="shared" si="608"/>
        <v>0.55422993492407813</v>
      </c>
      <c r="AK222" s="277">
        <f t="shared" si="608"/>
        <v>0.25054229934924077</v>
      </c>
      <c r="AL222" s="277">
        <f t="shared" si="608"/>
        <v>0.8047722342733189</v>
      </c>
      <c r="AM222" s="277">
        <f t="shared" si="608"/>
        <v>0.19522776572668113</v>
      </c>
      <c r="AN222" s="277">
        <f t="shared" si="608"/>
        <v>0.44577006507592193</v>
      </c>
      <c r="AO222" s="277">
        <f t="shared" si="608"/>
        <v>1</v>
      </c>
      <c r="AP222" s="410">
        <f t="shared" si="608"/>
        <v>0.14478833155460691</v>
      </c>
      <c r="AQ222" s="277">
        <f t="shared" si="608"/>
        <v>0.30700818214158665</v>
      </c>
      <c r="AR222" s="277">
        <f t="shared" si="608"/>
        <v>0.4517965136961935</v>
      </c>
      <c r="AS222" s="277">
        <f t="shared" si="608"/>
        <v>0.20206332266097474</v>
      </c>
      <c r="AT222" s="277">
        <f t="shared" si="608"/>
        <v>0.65385983635716827</v>
      </c>
      <c r="AU222" s="277">
        <f t="shared" si="608"/>
        <v>0.34614016364283173</v>
      </c>
      <c r="AV222" s="277">
        <f t="shared" si="608"/>
        <v>0.54820348630380644</v>
      </c>
      <c r="AW222" s="277">
        <f t="shared" si="608"/>
        <v>1</v>
      </c>
      <c r="AX222" s="410">
        <f t="shared" si="608"/>
        <v>7.9065841305571191E-2</v>
      </c>
      <c r="AY222" s="277">
        <f t="shared" si="608"/>
        <v>0.18936409679234664</v>
      </c>
      <c r="AZ222" s="277">
        <f t="shared" si="608"/>
        <v>0.26842993809791782</v>
      </c>
      <c r="BA222" s="277">
        <f t="shared" si="608"/>
        <v>0.16629150253235792</v>
      </c>
      <c r="BB222" s="277">
        <f t="shared" si="608"/>
        <v>0.43472144063027574</v>
      </c>
      <c r="BC222" s="277">
        <f t="shared" si="608"/>
        <v>0.56527855936972426</v>
      </c>
      <c r="BD222" s="277">
        <f t="shared" si="608"/>
        <v>0.73157006190208218</v>
      </c>
      <c r="BE222" s="277">
        <f t="shared" si="608"/>
        <v>1</v>
      </c>
      <c r="BF222" s="406"/>
      <c r="BN222" s="410">
        <f t="shared" ref="BN222:DI222" si="609">BN116/INDEX($B116:$DI116,MATCH(BN$192,$B$4:$DI$4,0))</f>
        <v>-8.5274542429284519E-3</v>
      </c>
      <c r="BO222" s="277">
        <f t="shared" si="609"/>
        <v>0.18885191347753744</v>
      </c>
      <c r="BP222" s="277">
        <f t="shared" si="609"/>
        <v>0.18032445923460899</v>
      </c>
      <c r="BQ222" s="277">
        <f t="shared" si="609"/>
        <v>0.30636439267886856</v>
      </c>
      <c r="BR222" s="277">
        <f t="shared" si="609"/>
        <v>0.48668885191347755</v>
      </c>
      <c r="BS222" s="277">
        <f t="shared" si="609"/>
        <v>0.51331114808652245</v>
      </c>
      <c r="BT222" s="277">
        <f t="shared" si="609"/>
        <v>0.81967554076539106</v>
      </c>
      <c r="BU222" s="277">
        <f t="shared" si="609"/>
        <v>1</v>
      </c>
      <c r="BV222" s="410">
        <f t="shared" si="609"/>
        <v>8.4303240012582575E-2</v>
      </c>
      <c r="BW222" s="277">
        <f t="shared" si="609"/>
        <v>0.28342245989304815</v>
      </c>
      <c r="BX222" s="277">
        <f t="shared" si="609"/>
        <v>0.3677256999056307</v>
      </c>
      <c r="BY222" s="277">
        <f t="shared" si="609"/>
        <v>0.23513683548285624</v>
      </c>
      <c r="BZ222" s="277">
        <f t="shared" si="609"/>
        <v>0.602862535388487</v>
      </c>
      <c r="CA222" s="277">
        <f t="shared" si="609"/>
        <v>0.39713746461151306</v>
      </c>
      <c r="CB222" s="277">
        <f t="shared" si="609"/>
        <v>0.63227430009436925</v>
      </c>
      <c r="CC222" s="277">
        <f t="shared" si="609"/>
        <v>1</v>
      </c>
      <c r="CD222" s="410">
        <f t="shared" si="609"/>
        <v>0.30906148867313915</v>
      </c>
      <c r="CE222" s="277">
        <f t="shared" si="609"/>
        <v>-2.4239482200647249</v>
      </c>
      <c r="CF222" s="277">
        <f t="shared" si="609"/>
        <v>-2.1148867313915858</v>
      </c>
      <c r="CG222" s="277">
        <f t="shared" si="609"/>
        <v>1.0776699029126213</v>
      </c>
      <c r="CH222" s="277">
        <f t="shared" si="609"/>
        <v>-1.0372168284789645</v>
      </c>
      <c r="CI222" s="277">
        <f t="shared" si="609"/>
        <v>2.0372168284789645</v>
      </c>
      <c r="CJ222" s="277">
        <f t="shared" si="609"/>
        <v>3.1148867313915858</v>
      </c>
      <c r="CK222" s="277">
        <f t="shared" si="609"/>
        <v>1</v>
      </c>
      <c r="CL222" s="410">
        <f t="shared" si="609"/>
        <v>0.14929971988795518</v>
      </c>
      <c r="CM222" s="277">
        <f t="shared" si="609"/>
        <v>0.49243697478991599</v>
      </c>
      <c r="CN222" s="277">
        <f t="shared" si="609"/>
        <v>0.6417366946778712</v>
      </c>
      <c r="CO222" s="277">
        <f t="shared" si="609"/>
        <v>0.12549019607843137</v>
      </c>
      <c r="CP222" s="277">
        <f t="shared" si="609"/>
        <v>0.76722689075630257</v>
      </c>
      <c r="CQ222" s="277">
        <f t="shared" si="609"/>
        <v>0.23277310924369748</v>
      </c>
      <c r="CR222" s="277">
        <f t="shared" si="609"/>
        <v>0.35826330532212886</v>
      </c>
      <c r="CS222" s="277">
        <f t="shared" si="609"/>
        <v>1</v>
      </c>
      <c r="CT222" s="410">
        <f t="shared" si="609"/>
        <v>0.23152173913043478</v>
      </c>
      <c r="CU222" s="277">
        <f t="shared" si="609"/>
        <v>0.26326086956521738</v>
      </c>
      <c r="CV222" s="277">
        <f t="shared" si="609"/>
        <v>0.49478260869565216</v>
      </c>
      <c r="CW222" s="277">
        <f t="shared" si="609"/>
        <v>0.13021739130434781</v>
      </c>
      <c r="CX222" s="277">
        <f t="shared" si="609"/>
        <v>0.625</v>
      </c>
      <c r="CY222" s="277">
        <f t="shared" si="609"/>
        <v>0.375</v>
      </c>
      <c r="CZ222" s="277">
        <f t="shared" si="609"/>
        <v>0.50521739130434784</v>
      </c>
      <c r="DA222" s="277">
        <f t="shared" si="609"/>
        <v>1</v>
      </c>
      <c r="DB222" s="410">
        <f t="shared" si="609"/>
        <v>0.12038190120381902</v>
      </c>
      <c r="DC222" s="277">
        <f t="shared" si="609"/>
        <v>0.34786218347862186</v>
      </c>
      <c r="DD222" s="277">
        <f t="shared" si="609"/>
        <v>0.46824408468244083</v>
      </c>
      <c r="DE222" s="277">
        <f t="shared" si="609"/>
        <v>0.19925280199252801</v>
      </c>
      <c r="DF222" s="277">
        <f t="shared" si="609"/>
        <v>0.66749688667496887</v>
      </c>
      <c r="DG222" s="277">
        <f t="shared" si="609"/>
        <v>0.33250311332503113</v>
      </c>
      <c r="DH222" s="277">
        <f t="shared" si="609"/>
        <v>0.53175591531755917</v>
      </c>
      <c r="DI222" s="277">
        <f t="shared" si="609"/>
        <v>1</v>
      </c>
      <c r="DJ222" s="410">
        <f t="shared" ref="DJ222:DY222" si="610">IFERROR(DJ116/INDEX($B116:$DQ116,MATCH(DJ$192,$B$4:$DQ$4,0)),"")</f>
        <v>9.9548399764382484E-2</v>
      </c>
      <c r="DK222" s="277">
        <f t="shared" si="610"/>
        <v>0.28411545258197524</v>
      </c>
      <c r="DL222" s="277">
        <f t="shared" si="610"/>
        <v>0.38366385234635775</v>
      </c>
      <c r="DM222" s="277">
        <f t="shared" si="610"/>
        <v>0.21087767524052622</v>
      </c>
      <c r="DN222" s="277">
        <f t="shared" si="610"/>
        <v>0.59454152758688394</v>
      </c>
      <c r="DO222" s="277">
        <f t="shared" si="610"/>
        <v>0.40545847241311606</v>
      </c>
      <c r="DP222" s="277">
        <f t="shared" si="610"/>
        <v>0.61633614765364231</v>
      </c>
      <c r="DQ222" s="277">
        <f t="shared" si="610"/>
        <v>1</v>
      </c>
      <c r="DR222" s="410">
        <f>DR116/$DY$116</f>
        <v>9.0310786106032909E-2</v>
      </c>
      <c r="DS222" s="277">
        <f>DS116/$DY$116</f>
        <v>0.2230347349177331</v>
      </c>
      <c r="DT222" s="277"/>
      <c r="DU222" s="277">
        <f t="shared" ref="DU222:DW222" si="611">DU116/$DY$116</f>
        <v>0.28446069469835467</v>
      </c>
      <c r="DV222" s="277">
        <f t="shared" si="611"/>
        <v>0.59780621572212067</v>
      </c>
      <c r="DW222" s="277">
        <f t="shared" si="611"/>
        <v>0.40219378427787933</v>
      </c>
      <c r="DX222" s="277" t="str">
        <f t="shared" si="610"/>
        <v/>
      </c>
      <c r="DY222" s="277" t="str">
        <f t="shared" si="610"/>
        <v/>
      </c>
      <c r="DZ222" s="410"/>
      <c r="EA222" s="277"/>
      <c r="EB222" s="277"/>
      <c r="EC222" s="277"/>
      <c r="ED222" s="277"/>
      <c r="EE222" s="277"/>
      <c r="EF222" s="277"/>
      <c r="EG222" s="489"/>
      <c r="EH222" s="406"/>
    </row>
    <row r="223" spans="1:138">
      <c r="A223" s="13" t="s">
        <v>385</v>
      </c>
      <c r="B223" s="277"/>
      <c r="C223" s="277"/>
      <c r="D223" s="277"/>
      <c r="E223" s="277"/>
      <c r="F223" s="277"/>
      <c r="G223" s="277"/>
      <c r="H223" s="277"/>
      <c r="I223" s="277"/>
      <c r="J223" s="410"/>
      <c r="K223" s="277"/>
      <c r="L223" s="277"/>
      <c r="M223" s="277"/>
      <c r="N223" s="277"/>
      <c r="O223" s="277"/>
      <c r="P223" s="277"/>
      <c r="Q223" s="277"/>
      <c r="R223" s="410">
        <f t="shared" ref="R223:BE223" si="612">R117/INDEX($B117:$DI117,MATCH(R$192,$B$4:$DI$4,0))</f>
        <v>5.0377833753148617E-2</v>
      </c>
      <c r="S223" s="277">
        <f t="shared" si="612"/>
        <v>0.27204030226700254</v>
      </c>
      <c r="T223" s="277">
        <f t="shared" si="612"/>
        <v>0.32241813602015112</v>
      </c>
      <c r="U223" s="277">
        <f t="shared" si="612"/>
        <v>0.22418136020151133</v>
      </c>
      <c r="V223" s="277">
        <f t="shared" si="612"/>
        <v>0.54659949622166248</v>
      </c>
      <c r="W223" s="277">
        <f t="shared" si="612"/>
        <v>0.45340050377833752</v>
      </c>
      <c r="X223" s="277">
        <f t="shared" si="612"/>
        <v>0.67758186397984888</v>
      </c>
      <c r="Y223" s="277">
        <f t="shared" si="612"/>
        <v>1</v>
      </c>
      <c r="Z223" s="410">
        <f t="shared" si="612"/>
        <v>0.14043583535108958</v>
      </c>
      <c r="AA223" s="277">
        <f t="shared" si="612"/>
        <v>0.22276029055690072</v>
      </c>
      <c r="AB223" s="277">
        <f t="shared" si="612"/>
        <v>0.36319612590799033</v>
      </c>
      <c r="AC223" s="277">
        <f t="shared" si="612"/>
        <v>0.22033898305084745</v>
      </c>
      <c r="AD223" s="277">
        <f t="shared" si="612"/>
        <v>0.58353510895883776</v>
      </c>
      <c r="AE223" s="277">
        <f t="shared" si="612"/>
        <v>0.41646489104116224</v>
      </c>
      <c r="AF223" s="277">
        <f t="shared" si="612"/>
        <v>0.63680387409200967</v>
      </c>
      <c r="AG223" s="277">
        <f t="shared" si="612"/>
        <v>1</v>
      </c>
      <c r="AH223" s="410">
        <f t="shared" si="612"/>
        <v>0.12177985948477751</v>
      </c>
      <c r="AI223" s="277">
        <f t="shared" si="612"/>
        <v>0.2576112412177986</v>
      </c>
      <c r="AJ223" s="277">
        <f t="shared" si="612"/>
        <v>0.37939110070257609</v>
      </c>
      <c r="AK223" s="277">
        <f t="shared" si="612"/>
        <v>0.18501170960187355</v>
      </c>
      <c r="AL223" s="277">
        <f t="shared" si="612"/>
        <v>0.56440281030444961</v>
      </c>
      <c r="AM223" s="277">
        <f t="shared" si="612"/>
        <v>0.43559718969555034</v>
      </c>
      <c r="AN223" s="277">
        <f t="shared" si="612"/>
        <v>0.62060889929742391</v>
      </c>
      <c r="AO223" s="277">
        <f t="shared" si="612"/>
        <v>1</v>
      </c>
      <c r="AP223" s="410">
        <f t="shared" si="612"/>
        <v>9.4285714285714292E-2</v>
      </c>
      <c r="AQ223" s="277">
        <f t="shared" si="612"/>
        <v>0.31714285714285712</v>
      </c>
      <c r="AR223" s="277">
        <f t="shared" si="612"/>
        <v>0.41142857142857142</v>
      </c>
      <c r="AS223" s="277">
        <f t="shared" si="612"/>
        <v>0.16</v>
      </c>
      <c r="AT223" s="277">
        <f t="shared" si="612"/>
        <v>0.5714285714285714</v>
      </c>
      <c r="AU223" s="277">
        <f t="shared" si="612"/>
        <v>0.42857142857142855</v>
      </c>
      <c r="AV223" s="277">
        <f t="shared" si="612"/>
        <v>0.58857142857142852</v>
      </c>
      <c r="AW223" s="277">
        <f t="shared" si="612"/>
        <v>1</v>
      </c>
      <c r="AX223" s="410">
        <f t="shared" si="612"/>
        <v>-5.9347181008902079E-3</v>
      </c>
      <c r="AY223" s="277">
        <f t="shared" si="612"/>
        <v>0.28189910979228489</v>
      </c>
      <c r="AZ223" s="277">
        <f t="shared" si="612"/>
        <v>0.27596439169139464</v>
      </c>
      <c r="BA223" s="277">
        <f t="shared" si="612"/>
        <v>0.21364985163204747</v>
      </c>
      <c r="BB223" s="277">
        <f t="shared" si="612"/>
        <v>0.48961424332344211</v>
      </c>
      <c r="BC223" s="277">
        <f t="shared" si="612"/>
        <v>0.51038575667655783</v>
      </c>
      <c r="BD223" s="277">
        <f t="shared" si="612"/>
        <v>0.72403560830860536</v>
      </c>
      <c r="BE223" s="277">
        <f t="shared" si="612"/>
        <v>1</v>
      </c>
      <c r="BF223" s="406"/>
      <c r="BN223" s="410">
        <f t="shared" ref="BN223:DI223" si="613">BN117/INDEX($B117:$DI117,MATCH(BN$192,$B$4:$DI$4,0))</f>
        <v>-7.8947368421052634E-3</v>
      </c>
      <c r="BO223" s="277">
        <f t="shared" si="613"/>
        <v>0.36315789473684212</v>
      </c>
      <c r="BP223" s="277">
        <f t="shared" si="613"/>
        <v>0.35526315789473684</v>
      </c>
      <c r="BQ223" s="277">
        <f t="shared" si="613"/>
        <v>0.1763157894736842</v>
      </c>
      <c r="BR223" s="277">
        <f t="shared" si="613"/>
        <v>0.53157894736842104</v>
      </c>
      <c r="BS223" s="277">
        <f t="shared" si="613"/>
        <v>0.46842105263157896</v>
      </c>
      <c r="BT223" s="277">
        <f t="shared" si="613"/>
        <v>0.64473684210526316</v>
      </c>
      <c r="BU223" s="277">
        <f t="shared" si="613"/>
        <v>1</v>
      </c>
      <c r="BV223" s="410">
        <f t="shared" si="613"/>
        <v>3.5545023696682464E-2</v>
      </c>
      <c r="BW223" s="277">
        <f t="shared" si="613"/>
        <v>0.26066350710900477</v>
      </c>
      <c r="BX223" s="277">
        <f t="shared" si="613"/>
        <v>0.29620853080568721</v>
      </c>
      <c r="BY223" s="277">
        <f t="shared" si="613"/>
        <v>0.1895734597156398</v>
      </c>
      <c r="BZ223" s="277">
        <f t="shared" si="613"/>
        <v>0.48578199052132703</v>
      </c>
      <c r="CA223" s="277">
        <f t="shared" si="613"/>
        <v>0.51421800947867302</v>
      </c>
      <c r="CB223" s="277">
        <f t="shared" si="613"/>
        <v>0.70379146919431279</v>
      </c>
      <c r="CC223" s="277">
        <f t="shared" si="613"/>
        <v>1</v>
      </c>
      <c r="CD223" s="410">
        <f t="shared" si="613"/>
        <v>0.11252653927813164</v>
      </c>
      <c r="CE223" s="277">
        <f t="shared" si="613"/>
        <v>0.21019108280254778</v>
      </c>
      <c r="CF223" s="277">
        <f t="shared" si="613"/>
        <v>0.32271762208067939</v>
      </c>
      <c r="CG223" s="277">
        <f t="shared" si="613"/>
        <v>0.18259023354564755</v>
      </c>
      <c r="CH223" s="277">
        <f t="shared" si="613"/>
        <v>0.50530785562632696</v>
      </c>
      <c r="CI223" s="277">
        <f t="shared" si="613"/>
        <v>0.49469214437367304</v>
      </c>
      <c r="CJ223" s="277">
        <f t="shared" si="613"/>
        <v>0.67728237791932056</v>
      </c>
      <c r="CK223" s="277">
        <f t="shared" si="613"/>
        <v>1</v>
      </c>
      <c r="CL223" s="410">
        <f t="shared" si="613"/>
        <v>0.11588785046728972</v>
      </c>
      <c r="CM223" s="277">
        <f t="shared" si="613"/>
        <v>0.22616822429906541</v>
      </c>
      <c r="CN223" s="277">
        <f t="shared" si="613"/>
        <v>0.34205607476635513</v>
      </c>
      <c r="CO223" s="277">
        <f t="shared" si="613"/>
        <v>0.24485981308411214</v>
      </c>
      <c r="CP223" s="277">
        <f t="shared" si="613"/>
        <v>0.58691588785046733</v>
      </c>
      <c r="CQ223" s="277">
        <f t="shared" si="613"/>
        <v>0.41308411214953272</v>
      </c>
      <c r="CR223" s="277">
        <f t="shared" si="613"/>
        <v>0.65794392523364487</v>
      </c>
      <c r="CS223" s="277">
        <f t="shared" si="613"/>
        <v>1</v>
      </c>
      <c r="CT223" s="410">
        <f t="shared" si="613"/>
        <v>0.14084507042253522</v>
      </c>
      <c r="CU223" s="277">
        <f t="shared" si="613"/>
        <v>0.19561815336463223</v>
      </c>
      <c r="CV223" s="277">
        <f t="shared" si="613"/>
        <v>0.33646322378716748</v>
      </c>
      <c r="CW223" s="277">
        <f t="shared" si="613"/>
        <v>0.25821596244131456</v>
      </c>
      <c r="CX223" s="277">
        <f t="shared" si="613"/>
        <v>0.59467918622848204</v>
      </c>
      <c r="CY223" s="277">
        <f t="shared" si="613"/>
        <v>0.40532081377151802</v>
      </c>
      <c r="CZ223" s="277">
        <f t="shared" si="613"/>
        <v>0.66353677621283258</v>
      </c>
      <c r="DA223" s="277">
        <f t="shared" si="613"/>
        <v>1</v>
      </c>
      <c r="DB223" s="410">
        <f t="shared" si="613"/>
        <v>0.21224489795918366</v>
      </c>
      <c r="DC223" s="277">
        <f t="shared" si="613"/>
        <v>0.16054421768707483</v>
      </c>
      <c r="DD223" s="277">
        <f t="shared" si="613"/>
        <v>0.3727891156462585</v>
      </c>
      <c r="DE223" s="277">
        <f t="shared" si="613"/>
        <v>0.19455782312925171</v>
      </c>
      <c r="DF223" s="277">
        <f t="shared" si="613"/>
        <v>0.56734693877551023</v>
      </c>
      <c r="DG223" s="277">
        <f t="shared" si="613"/>
        <v>0.43265306122448982</v>
      </c>
      <c r="DH223" s="277">
        <f t="shared" si="613"/>
        <v>0.6272108843537415</v>
      </c>
      <c r="DI223" s="277">
        <f t="shared" si="613"/>
        <v>1</v>
      </c>
      <c r="DJ223" s="410">
        <f t="shared" ref="DJ223:DY223" si="614">IFERROR(DJ117/INDEX($B117:$DQ117,MATCH(DJ$192,$B$4:$DQ$4,0)),"")</f>
        <v>8.6797066014669924E-2</v>
      </c>
      <c r="DK223" s="277">
        <f t="shared" si="614"/>
        <v>0.19437652811735942</v>
      </c>
      <c r="DL223" s="277">
        <f t="shared" si="614"/>
        <v>0.28117359413202936</v>
      </c>
      <c r="DM223" s="277">
        <f t="shared" si="614"/>
        <v>0.23227383863080683</v>
      </c>
      <c r="DN223" s="277">
        <f t="shared" si="614"/>
        <v>0.51344743276283622</v>
      </c>
      <c r="DO223" s="277">
        <f t="shared" si="614"/>
        <v>0.48655256723716384</v>
      </c>
      <c r="DP223" s="277">
        <f t="shared" si="614"/>
        <v>0.71882640586797064</v>
      </c>
      <c r="DQ223" s="277">
        <f t="shared" si="614"/>
        <v>1</v>
      </c>
      <c r="DR223" s="410">
        <f>DR117/$DY$117</f>
        <v>8.4324324324324323E-2</v>
      </c>
      <c r="DS223" s="277">
        <f>DS117/$DY$117</f>
        <v>0.18486486486486486</v>
      </c>
      <c r="DT223" s="277"/>
      <c r="DU223" s="277">
        <f t="shared" ref="DU223:DW223" si="615">DU117/$DY$117</f>
        <v>0.26594594594594595</v>
      </c>
      <c r="DV223" s="277">
        <f t="shared" si="615"/>
        <v>0.53513513513513511</v>
      </c>
      <c r="DW223" s="277">
        <f t="shared" si="615"/>
        <v>0.46486486486486489</v>
      </c>
      <c r="DX223" s="277" t="str">
        <f t="shared" si="614"/>
        <v/>
      </c>
      <c r="DY223" s="277" t="str">
        <f t="shared" si="614"/>
        <v/>
      </c>
      <c r="DZ223" s="410"/>
      <c r="EA223" s="277"/>
      <c r="EB223" s="277"/>
      <c r="EC223" s="277"/>
      <c r="ED223" s="277"/>
      <c r="EE223" s="277"/>
      <c r="EF223" s="277"/>
      <c r="EG223" s="489"/>
      <c r="EH223" s="406"/>
    </row>
    <row r="224" spans="1:138">
      <c r="A224" s="13" t="s">
        <v>384</v>
      </c>
      <c r="B224" s="277"/>
      <c r="C224" s="277"/>
      <c r="D224" s="277"/>
      <c r="E224" s="277"/>
      <c r="F224" s="277"/>
      <c r="G224" s="277"/>
      <c r="H224" s="277"/>
      <c r="I224" s="277"/>
      <c r="J224" s="410"/>
      <c r="K224" s="277"/>
      <c r="L224" s="277"/>
      <c r="M224" s="277"/>
      <c r="N224" s="277"/>
      <c r="O224" s="277"/>
      <c r="P224" s="277"/>
      <c r="Q224" s="277"/>
      <c r="R224" s="410">
        <f t="shared" ref="R224:BE224" si="616">R118/INDEX($B118:$DI118,MATCH(R$192,$B$4:$DI$4,0))</f>
        <v>9.2206366630076836E-2</v>
      </c>
      <c r="S224" s="277">
        <f t="shared" si="616"/>
        <v>0.14489571899012074</v>
      </c>
      <c r="T224" s="277">
        <f t="shared" si="616"/>
        <v>0.23710208562019758</v>
      </c>
      <c r="U224" s="277">
        <f t="shared" si="616"/>
        <v>0.15367727771679474</v>
      </c>
      <c r="V224" s="277">
        <f t="shared" si="616"/>
        <v>0.39077936333699231</v>
      </c>
      <c r="W224" s="277">
        <f t="shared" si="616"/>
        <v>0.60922063666300763</v>
      </c>
      <c r="X224" s="277">
        <f t="shared" si="616"/>
        <v>0.76289791437980237</v>
      </c>
      <c r="Y224" s="277">
        <f t="shared" si="616"/>
        <v>1</v>
      </c>
      <c r="Z224" s="410">
        <f t="shared" si="616"/>
        <v>9.2391304347826081E-2</v>
      </c>
      <c r="AA224" s="277">
        <f t="shared" si="616"/>
        <v>0.15</v>
      </c>
      <c r="AB224" s="277">
        <f t="shared" si="616"/>
        <v>0.24239130434782608</v>
      </c>
      <c r="AC224" s="277">
        <f t="shared" si="616"/>
        <v>0.15978260869565217</v>
      </c>
      <c r="AD224" s="277">
        <f t="shared" si="616"/>
        <v>0.40217391304347827</v>
      </c>
      <c r="AE224" s="277">
        <f t="shared" si="616"/>
        <v>0.59782608695652173</v>
      </c>
      <c r="AF224" s="277">
        <f t="shared" si="616"/>
        <v>0.75760869565217392</v>
      </c>
      <c r="AG224" s="277">
        <f t="shared" si="616"/>
        <v>1</v>
      </c>
      <c r="AH224" s="410">
        <f t="shared" si="616"/>
        <v>8.5632730732635581E-2</v>
      </c>
      <c r="AI224" s="277">
        <f t="shared" si="616"/>
        <v>0.16841103710751665</v>
      </c>
      <c r="AJ224" s="277">
        <f t="shared" si="616"/>
        <v>0.25404376784015226</v>
      </c>
      <c r="AK224" s="277">
        <f t="shared" si="616"/>
        <v>0.15604186489058039</v>
      </c>
      <c r="AL224" s="277">
        <f t="shared" si="616"/>
        <v>0.41008563273073262</v>
      </c>
      <c r="AM224" s="277">
        <f t="shared" si="616"/>
        <v>0.58991436726926738</v>
      </c>
      <c r="AN224" s="277">
        <f t="shared" si="616"/>
        <v>0.74595623215984774</v>
      </c>
      <c r="AO224" s="277">
        <f t="shared" si="616"/>
        <v>1</v>
      </c>
      <c r="AP224" s="410">
        <f t="shared" si="616"/>
        <v>0.10878243512974052</v>
      </c>
      <c r="AQ224" s="277">
        <f t="shared" si="616"/>
        <v>0.21556886227544911</v>
      </c>
      <c r="AR224" s="277">
        <f t="shared" si="616"/>
        <v>0.32435129740518964</v>
      </c>
      <c r="AS224" s="277">
        <f t="shared" si="616"/>
        <v>0.11477045908183632</v>
      </c>
      <c r="AT224" s="277">
        <f t="shared" si="616"/>
        <v>0.43912175648702595</v>
      </c>
      <c r="AU224" s="277">
        <f t="shared" si="616"/>
        <v>0.56087824351297411</v>
      </c>
      <c r="AV224" s="277">
        <f t="shared" si="616"/>
        <v>0.67564870259481036</v>
      </c>
      <c r="AW224" s="277">
        <f t="shared" si="616"/>
        <v>1</v>
      </c>
      <c r="AX224" s="410">
        <f t="shared" si="616"/>
        <v>7.2247706422018346E-2</v>
      </c>
      <c r="AY224" s="277">
        <f t="shared" si="616"/>
        <v>0.2121559633027523</v>
      </c>
      <c r="AZ224" s="277">
        <f t="shared" si="616"/>
        <v>0.28440366972477066</v>
      </c>
      <c r="BA224" s="277">
        <f t="shared" si="616"/>
        <v>0.125</v>
      </c>
      <c r="BB224" s="277">
        <f t="shared" si="616"/>
        <v>0.40940366972477066</v>
      </c>
      <c r="BC224" s="277">
        <f t="shared" si="616"/>
        <v>0.5905963302752294</v>
      </c>
      <c r="BD224" s="277">
        <f t="shared" si="616"/>
        <v>0.7155963302752294</v>
      </c>
      <c r="BE224" s="277">
        <f t="shared" si="616"/>
        <v>1</v>
      </c>
      <c r="BF224" s="406"/>
      <c r="BN224" s="410">
        <f t="shared" ref="BN224:DI224" si="617">BN118/INDEX($B118:$DI118,MATCH(BN$192,$B$4:$DI$4,0))</f>
        <v>0.11978609625668449</v>
      </c>
      <c r="BO224" s="277">
        <f t="shared" si="617"/>
        <v>0.2106951871657754</v>
      </c>
      <c r="BP224" s="277">
        <f t="shared" si="617"/>
        <v>0.33048128342245991</v>
      </c>
      <c r="BQ224" s="277">
        <f t="shared" si="617"/>
        <v>0.10695187165775401</v>
      </c>
      <c r="BR224" s="277">
        <f t="shared" si="617"/>
        <v>0.43743315508021391</v>
      </c>
      <c r="BS224" s="277">
        <f t="shared" si="617"/>
        <v>0.56256684491978615</v>
      </c>
      <c r="BT224" s="277">
        <f t="shared" si="617"/>
        <v>0.66951871657754014</v>
      </c>
      <c r="BU224" s="277">
        <f t="shared" si="617"/>
        <v>1</v>
      </c>
      <c r="BV224" s="410">
        <f t="shared" si="617"/>
        <v>0.17876106194690267</v>
      </c>
      <c r="BW224" s="277">
        <f t="shared" si="617"/>
        <v>0.23362831858407079</v>
      </c>
      <c r="BX224" s="277">
        <f t="shared" si="617"/>
        <v>0.41238938053097346</v>
      </c>
      <c r="BY224" s="277">
        <f t="shared" si="617"/>
        <v>0.21592920353982301</v>
      </c>
      <c r="BZ224" s="277">
        <f t="shared" si="617"/>
        <v>0.62831858407079644</v>
      </c>
      <c r="CA224" s="277">
        <f t="shared" si="617"/>
        <v>0.37168141592920356</v>
      </c>
      <c r="CB224" s="277">
        <f t="shared" si="617"/>
        <v>0.5876106194690266</v>
      </c>
      <c r="CC224" s="277">
        <f t="shared" si="617"/>
        <v>1</v>
      </c>
      <c r="CD224" s="410">
        <f t="shared" si="617"/>
        <v>2.2727272727272728E-2</v>
      </c>
      <c r="CE224" s="277">
        <f t="shared" si="617"/>
        <v>0.25909090909090909</v>
      </c>
      <c r="CF224" s="277">
        <f t="shared" si="617"/>
        <v>0.2818181818181818</v>
      </c>
      <c r="CG224" s="277">
        <f t="shared" si="617"/>
        <v>0.12121212121212122</v>
      </c>
      <c r="CH224" s="277">
        <f t="shared" si="617"/>
        <v>0.40303030303030302</v>
      </c>
      <c r="CI224" s="277">
        <f t="shared" si="617"/>
        <v>0.59696969696969693</v>
      </c>
      <c r="CJ224" s="277">
        <f t="shared" si="617"/>
        <v>0.71818181818181814</v>
      </c>
      <c r="CK224" s="277">
        <f t="shared" si="617"/>
        <v>1</v>
      </c>
      <c r="CL224" s="410">
        <f t="shared" si="617"/>
        <v>8.4770114942528729E-2</v>
      </c>
      <c r="CM224" s="277">
        <f t="shared" si="617"/>
        <v>0.2442528735632184</v>
      </c>
      <c r="CN224" s="277">
        <f t="shared" si="617"/>
        <v>0.32902298850574713</v>
      </c>
      <c r="CO224" s="277">
        <f t="shared" si="617"/>
        <v>7.9022988505747127E-2</v>
      </c>
      <c r="CP224" s="277">
        <f t="shared" si="617"/>
        <v>0.40804597701149425</v>
      </c>
      <c r="CQ224" s="277">
        <f t="shared" si="617"/>
        <v>0.59195402298850575</v>
      </c>
      <c r="CR224" s="277">
        <f t="shared" si="617"/>
        <v>0.67097701149425293</v>
      </c>
      <c r="CS224" s="277">
        <f t="shared" si="617"/>
        <v>1</v>
      </c>
      <c r="CT224" s="410">
        <f t="shared" si="617"/>
        <v>0.27604166666666669</v>
      </c>
      <c r="CU224" s="277">
        <f t="shared" si="617"/>
        <v>0.12760416666666666</v>
      </c>
      <c r="CV224" s="277">
        <f t="shared" si="617"/>
        <v>0.40364583333333331</v>
      </c>
      <c r="CW224" s="277">
        <f t="shared" si="617"/>
        <v>0.19791666666666666</v>
      </c>
      <c r="CX224" s="277">
        <f t="shared" si="617"/>
        <v>0.6015625</v>
      </c>
      <c r="CY224" s="277">
        <f t="shared" si="617"/>
        <v>0.3984375</v>
      </c>
      <c r="CZ224" s="277">
        <f t="shared" si="617"/>
        <v>0.59635416666666663</v>
      </c>
      <c r="DA224" s="277">
        <f t="shared" si="617"/>
        <v>1</v>
      </c>
      <c r="DB224" s="410">
        <f t="shared" si="617"/>
        <v>0.15720524017467249</v>
      </c>
      <c r="DC224" s="277">
        <f t="shared" si="617"/>
        <v>0.18340611353711792</v>
      </c>
      <c r="DD224" s="277">
        <f t="shared" si="617"/>
        <v>0.34061135371179041</v>
      </c>
      <c r="DE224" s="277">
        <f t="shared" si="617"/>
        <v>-0.34497816593886466</v>
      </c>
      <c r="DF224" s="277">
        <f t="shared" si="617"/>
        <v>-4.3668122270742356E-3</v>
      </c>
      <c r="DG224" s="277">
        <f t="shared" si="617"/>
        <v>1.0043668122270741</v>
      </c>
      <c r="DH224" s="277">
        <f t="shared" si="617"/>
        <v>0.65938864628820959</v>
      </c>
      <c r="DI224" s="277">
        <f t="shared" si="617"/>
        <v>1</v>
      </c>
      <c r="DJ224" s="410">
        <f t="shared" ref="DJ224:DY224" si="618">IFERROR(DJ118/INDEX($B118:$DQ118,MATCH(DJ$192,$B$4:$DQ$4,0)),"")</f>
        <v>1.5901060070671377E-2</v>
      </c>
      <c r="DK224" s="277">
        <f t="shared" si="618"/>
        <v>1.4098939929328622</v>
      </c>
      <c r="DL224" s="277">
        <f t="shared" si="618"/>
        <v>1.4257950530035335</v>
      </c>
      <c r="DM224" s="277">
        <f t="shared" si="618"/>
        <v>-0.25795053003533569</v>
      </c>
      <c r="DN224" s="277">
        <f t="shared" si="618"/>
        <v>1.167844522968198</v>
      </c>
      <c r="DO224" s="277">
        <f t="shared" si="618"/>
        <v>-0.16784452296819788</v>
      </c>
      <c r="DP224" s="277">
        <f t="shared" si="618"/>
        <v>-0.42579505300353354</v>
      </c>
      <c r="DQ224" s="277">
        <f t="shared" si="618"/>
        <v>1</v>
      </c>
      <c r="DR224" s="410">
        <f>DR118/$DY$118</f>
        <v>9.6491228070175433E-2</v>
      </c>
      <c r="DS224" s="277">
        <f>DS118/$DY$118</f>
        <v>0.23558897243107768</v>
      </c>
      <c r="DT224" s="277"/>
      <c r="DU224" s="277">
        <f t="shared" ref="DU224:DW224" si="619">DU118/$DY$118</f>
        <v>0.19423558897243107</v>
      </c>
      <c r="DV224" s="277">
        <f t="shared" si="619"/>
        <v>0.52631578947368418</v>
      </c>
      <c r="DW224" s="277">
        <f t="shared" si="619"/>
        <v>0.47368421052631576</v>
      </c>
      <c r="DX224" s="277" t="str">
        <f t="shared" si="618"/>
        <v/>
      </c>
      <c r="DY224" s="277" t="str">
        <f t="shared" si="618"/>
        <v/>
      </c>
      <c r="DZ224" s="410"/>
      <c r="EA224" s="277"/>
      <c r="EB224" s="277"/>
      <c r="EC224" s="277"/>
      <c r="ED224" s="277"/>
      <c r="EE224" s="277"/>
      <c r="EF224" s="277"/>
      <c r="EG224" s="489"/>
      <c r="EH224" s="406"/>
    </row>
    <row r="225" spans="1:138">
      <c r="A225" s="13" t="s">
        <v>388</v>
      </c>
      <c r="B225" s="277"/>
      <c r="C225" s="277"/>
      <c r="D225" s="277"/>
      <c r="E225" s="277"/>
      <c r="F225" s="277"/>
      <c r="G225" s="277"/>
      <c r="H225" s="277"/>
      <c r="I225" s="277"/>
      <c r="J225" s="410"/>
      <c r="K225" s="277"/>
      <c r="L225" s="277"/>
      <c r="M225" s="277"/>
      <c r="N225" s="277"/>
      <c r="O225" s="277"/>
      <c r="P225" s="277"/>
      <c r="Q225" s="277"/>
      <c r="R225" s="410">
        <f t="shared" ref="R225:BE225" si="620">R119/INDEX($B119:$DI119,MATCH(R$192,$B$4:$DI$4,0))</f>
        <v>0.45833333333333331</v>
      </c>
      <c r="S225" s="277">
        <f t="shared" si="620"/>
        <v>0.35416666666666669</v>
      </c>
      <c r="T225" s="277">
        <f t="shared" si="620"/>
        <v>0.8125</v>
      </c>
      <c r="U225" s="277">
        <f t="shared" si="620"/>
        <v>0.60416666666666663</v>
      </c>
      <c r="V225" s="277">
        <f t="shared" si="620"/>
        <v>1.4166666666666667</v>
      </c>
      <c r="W225" s="277">
        <f t="shared" si="620"/>
        <v>-0.41666666666666669</v>
      </c>
      <c r="X225" s="277">
        <f t="shared" si="620"/>
        <v>0.1875</v>
      </c>
      <c r="Y225" s="277">
        <f t="shared" si="620"/>
        <v>1</v>
      </c>
      <c r="Z225" s="410">
        <f t="shared" si="620"/>
        <v>0.14705882352941177</v>
      </c>
      <c r="AA225" s="277">
        <f t="shared" si="620"/>
        <v>0.38725490196078433</v>
      </c>
      <c r="AB225" s="277">
        <f t="shared" si="620"/>
        <v>0.53431372549019607</v>
      </c>
      <c r="AC225" s="277">
        <f t="shared" si="620"/>
        <v>0.44117647058823528</v>
      </c>
      <c r="AD225" s="277">
        <f t="shared" si="620"/>
        <v>0.97549019607843135</v>
      </c>
      <c r="AE225" s="277">
        <f t="shared" si="620"/>
        <v>2.4509803921568627E-2</v>
      </c>
      <c r="AF225" s="277">
        <f t="shared" si="620"/>
        <v>0.46568627450980393</v>
      </c>
      <c r="AG225" s="277">
        <f t="shared" si="620"/>
        <v>1</v>
      </c>
      <c r="AH225" s="410">
        <f t="shared" si="620"/>
        <v>0.44117647058823528</v>
      </c>
      <c r="AI225" s="277">
        <f t="shared" si="620"/>
        <v>0.13970588235294118</v>
      </c>
      <c r="AJ225" s="277">
        <f t="shared" si="620"/>
        <v>0.58088235294117652</v>
      </c>
      <c r="AK225" s="277">
        <f t="shared" si="620"/>
        <v>0.11029411764705882</v>
      </c>
      <c r="AL225" s="277">
        <f t="shared" si="620"/>
        <v>0.69117647058823528</v>
      </c>
      <c r="AM225" s="277">
        <f t="shared" si="620"/>
        <v>0.30882352941176472</v>
      </c>
      <c r="AN225" s="277">
        <f t="shared" si="620"/>
        <v>0.41911764705882354</v>
      </c>
      <c r="AO225" s="277">
        <f t="shared" si="620"/>
        <v>1</v>
      </c>
      <c r="AP225" s="410">
        <f t="shared" si="620"/>
        <v>0.23076923076923078</v>
      </c>
      <c r="AQ225" s="277">
        <f t="shared" si="620"/>
        <v>3.3653846153846152E-2</v>
      </c>
      <c r="AR225" s="277">
        <f t="shared" si="620"/>
        <v>0.26442307692307693</v>
      </c>
      <c r="AS225" s="277">
        <f t="shared" si="620"/>
        <v>3.8461538461538464E-2</v>
      </c>
      <c r="AT225" s="277">
        <f t="shared" si="620"/>
        <v>0.30288461538461536</v>
      </c>
      <c r="AU225" s="277">
        <f t="shared" si="620"/>
        <v>0.69711538461538458</v>
      </c>
      <c r="AV225" s="277">
        <f t="shared" si="620"/>
        <v>0.73557692307692313</v>
      </c>
      <c r="AW225" s="277">
        <f t="shared" si="620"/>
        <v>1</v>
      </c>
      <c r="AX225" s="410">
        <f t="shared" si="620"/>
        <v>0.2</v>
      </c>
      <c r="AY225" s="277">
        <f t="shared" si="620"/>
        <v>0.18431372549019609</v>
      </c>
      <c r="AZ225" s="277">
        <f t="shared" si="620"/>
        <v>0.3843137254901961</v>
      </c>
      <c r="BA225" s="277">
        <f t="shared" si="620"/>
        <v>0.14705882352941177</v>
      </c>
      <c r="BB225" s="277">
        <f t="shared" si="620"/>
        <v>0.53137254901960784</v>
      </c>
      <c r="BC225" s="277">
        <f t="shared" si="620"/>
        <v>0.46862745098039216</v>
      </c>
      <c r="BD225" s="277">
        <f t="shared" si="620"/>
        <v>0.61568627450980395</v>
      </c>
      <c r="BE225" s="277">
        <f t="shared" si="620"/>
        <v>1</v>
      </c>
      <c r="BF225" s="406"/>
      <c r="BN225" s="410">
        <f t="shared" ref="BN225:DI225" si="621">BN119/INDEX($B119:$DI119,MATCH(BN$192,$B$4:$DI$4,0))</f>
        <v>0.18685121107266436</v>
      </c>
      <c r="BO225" s="277">
        <f t="shared" si="621"/>
        <v>0.32871972318339099</v>
      </c>
      <c r="BP225" s="277">
        <f t="shared" si="621"/>
        <v>0.51557093425605538</v>
      </c>
      <c r="BQ225" s="277">
        <f t="shared" si="621"/>
        <v>0.22145328719723184</v>
      </c>
      <c r="BR225" s="277">
        <f t="shared" si="621"/>
        <v>0.73702422145328716</v>
      </c>
      <c r="BS225" s="277">
        <f t="shared" si="621"/>
        <v>0.26297577854671278</v>
      </c>
      <c r="BT225" s="277">
        <f t="shared" si="621"/>
        <v>0.48442906574394462</v>
      </c>
      <c r="BU225" s="277">
        <f t="shared" si="621"/>
        <v>1</v>
      </c>
      <c r="BV225" s="410">
        <f t="shared" si="621"/>
        <v>0.25814536340852129</v>
      </c>
      <c r="BW225" s="277">
        <f t="shared" si="621"/>
        <v>0.16040100250626566</v>
      </c>
      <c r="BX225" s="277">
        <f t="shared" si="621"/>
        <v>0.41854636591478694</v>
      </c>
      <c r="BY225" s="277">
        <f t="shared" si="621"/>
        <v>0.23308270676691728</v>
      </c>
      <c r="BZ225" s="277">
        <f t="shared" si="621"/>
        <v>0.65162907268170422</v>
      </c>
      <c r="CA225" s="277">
        <f t="shared" si="621"/>
        <v>0.34837092731829572</v>
      </c>
      <c r="CB225" s="277">
        <f t="shared" si="621"/>
        <v>0.581453634085213</v>
      </c>
      <c r="CC225" s="277">
        <f t="shared" si="621"/>
        <v>1</v>
      </c>
      <c r="CD225" s="410">
        <f t="shared" si="621"/>
        <v>-0.51162790697674421</v>
      </c>
      <c r="CE225" s="277">
        <f t="shared" si="621"/>
        <v>-4.6511627906976744E-2</v>
      </c>
      <c r="CF225" s="277">
        <f t="shared" si="621"/>
        <v>-0.55813953488372092</v>
      </c>
      <c r="CG225" s="277">
        <f t="shared" si="621"/>
        <v>0.27906976744186046</v>
      </c>
      <c r="CH225" s="277">
        <f t="shared" si="621"/>
        <v>-0.27906976744186046</v>
      </c>
      <c r="CI225" s="277">
        <f t="shared" si="621"/>
        <v>1.2790697674418605</v>
      </c>
      <c r="CJ225" s="277">
        <f t="shared" si="621"/>
        <v>1.558139534883721</v>
      </c>
      <c r="CK225" s="277">
        <f t="shared" si="621"/>
        <v>1</v>
      </c>
      <c r="CL225" s="410">
        <f t="shared" si="621"/>
        <v>0.625</v>
      </c>
      <c r="CM225" s="277">
        <f t="shared" si="621"/>
        <v>-0.625</v>
      </c>
      <c r="CN225" s="277">
        <f t="shared" si="621"/>
        <v>0</v>
      </c>
      <c r="CO225" s="277">
        <f t="shared" si="621"/>
        <v>0.5</v>
      </c>
      <c r="CP225" s="277">
        <f t="shared" si="621"/>
        <v>0.5</v>
      </c>
      <c r="CQ225" s="277">
        <f t="shared" si="621"/>
        <v>0.5</v>
      </c>
      <c r="CR225" s="277">
        <f t="shared" si="621"/>
        <v>1</v>
      </c>
      <c r="CS225" s="277">
        <f t="shared" si="621"/>
        <v>1</v>
      </c>
      <c r="CT225" s="410">
        <f t="shared" si="621"/>
        <v>0.5</v>
      </c>
      <c r="CU225" s="277">
        <f t="shared" si="621"/>
        <v>-0.75</v>
      </c>
      <c r="CV225" s="277">
        <f t="shared" si="621"/>
        <v>-0.25</v>
      </c>
      <c r="CW225" s="277">
        <f t="shared" si="621"/>
        <v>-1</v>
      </c>
      <c r="CX225" s="277">
        <f t="shared" si="621"/>
        <v>-1.25</v>
      </c>
      <c r="CY225" s="277">
        <f t="shared" si="621"/>
        <v>2.25</v>
      </c>
      <c r="CZ225" s="277">
        <f t="shared" si="621"/>
        <v>1.25</v>
      </c>
      <c r="DA225" s="277">
        <f t="shared" si="621"/>
        <v>1</v>
      </c>
      <c r="DB225" s="410">
        <f t="shared" si="621"/>
        <v>1.7857142857142856E-2</v>
      </c>
      <c r="DC225" s="277">
        <f t="shared" si="621"/>
        <v>0.16071428571428573</v>
      </c>
      <c r="DD225" s="277">
        <f t="shared" si="621"/>
        <v>0.17857142857142858</v>
      </c>
      <c r="DE225" s="277">
        <f t="shared" si="621"/>
        <v>-0.19642857142857142</v>
      </c>
      <c r="DF225" s="277">
        <f t="shared" si="621"/>
        <v>-1.7857142857142856E-2</v>
      </c>
      <c r="DG225" s="277">
        <f t="shared" si="621"/>
        <v>1.0178571428571428</v>
      </c>
      <c r="DH225" s="277">
        <f t="shared" si="621"/>
        <v>0.8214285714285714</v>
      </c>
      <c r="DI225" s="277">
        <f t="shared" si="621"/>
        <v>1</v>
      </c>
      <c r="DJ225" s="410">
        <f t="shared" ref="DJ225:DY225" si="622">IFERROR(DJ119/INDEX($B119:$DQ119,MATCH(DJ$192,$B$4:$DQ$4,0)),"")</f>
        <v>0.88888888888888884</v>
      </c>
      <c r="DK225" s="277">
        <f t="shared" si="622"/>
        <v>0.66666666666666663</v>
      </c>
      <c r="DL225" s="277">
        <f t="shared" si="622"/>
        <v>1.5555555555555556</v>
      </c>
      <c r="DM225" s="277">
        <f t="shared" si="622"/>
        <v>-0.33333333333333331</v>
      </c>
      <c r="DN225" s="277">
        <f t="shared" si="622"/>
        <v>1.2222222222222223</v>
      </c>
      <c r="DO225" s="277">
        <f t="shared" si="622"/>
        <v>-0.22222222222222221</v>
      </c>
      <c r="DP225" s="277">
        <f t="shared" si="622"/>
        <v>-0.55555555555555558</v>
      </c>
      <c r="DQ225" s="277">
        <f t="shared" si="622"/>
        <v>1</v>
      </c>
      <c r="DR225" s="410"/>
      <c r="DS225" s="277"/>
      <c r="DT225" s="277"/>
      <c r="DU225" s="277"/>
      <c r="DV225" s="277"/>
      <c r="DW225" s="277"/>
      <c r="DX225" s="277" t="str">
        <f t="shared" si="622"/>
        <v/>
      </c>
      <c r="DY225" s="277" t="str">
        <f t="shared" si="622"/>
        <v/>
      </c>
      <c r="DZ225" s="410"/>
      <c r="EA225" s="277"/>
      <c r="EB225" s="277"/>
      <c r="EC225" s="277"/>
      <c r="ED225" s="277"/>
      <c r="EE225" s="277"/>
      <c r="EF225" s="277"/>
      <c r="EG225" s="489"/>
      <c r="EH225" s="406"/>
    </row>
    <row r="226" spans="1:138">
      <c r="A226" s="278" t="s">
        <v>225</v>
      </c>
      <c r="B226" s="279"/>
      <c r="C226" s="279"/>
      <c r="D226" s="279"/>
      <c r="E226" s="279"/>
      <c r="F226" s="279"/>
      <c r="G226" s="279"/>
      <c r="H226" s="279"/>
      <c r="I226" s="279"/>
      <c r="J226" s="411"/>
      <c r="K226" s="279"/>
      <c r="L226" s="279"/>
      <c r="M226" s="279"/>
      <c r="N226" s="279"/>
      <c r="O226" s="279"/>
      <c r="P226" s="279"/>
      <c r="Q226" s="279"/>
      <c r="R226" s="411">
        <f t="shared" ref="R226:BE226" si="623">R120/INDEX($B120:$DI120,MATCH(R$192,$B$4:$DI$4,0))</f>
        <v>0.20560224089635853</v>
      </c>
      <c r="S226" s="279">
        <f t="shared" si="623"/>
        <v>0.24649859943977592</v>
      </c>
      <c r="T226" s="279">
        <f t="shared" si="623"/>
        <v>0.45210084033613446</v>
      </c>
      <c r="U226" s="279">
        <f t="shared" si="623"/>
        <v>0.20700280112044817</v>
      </c>
      <c r="V226" s="279">
        <f t="shared" si="623"/>
        <v>0.65910364145658262</v>
      </c>
      <c r="W226" s="279">
        <f t="shared" si="623"/>
        <v>0.34089635854341738</v>
      </c>
      <c r="X226" s="279">
        <f t="shared" si="623"/>
        <v>0.5478991596638656</v>
      </c>
      <c r="Y226" s="279">
        <f t="shared" si="623"/>
        <v>1</v>
      </c>
      <c r="Z226" s="411">
        <f t="shared" si="623"/>
        <v>0.17215937038858831</v>
      </c>
      <c r="AA226" s="279">
        <f t="shared" si="623"/>
        <v>0.26291195277914414</v>
      </c>
      <c r="AB226" s="279">
        <f t="shared" si="623"/>
        <v>0.43507132316773239</v>
      </c>
      <c r="AC226" s="279">
        <f t="shared" si="623"/>
        <v>0.20191834727004426</v>
      </c>
      <c r="AD226" s="279">
        <f t="shared" si="623"/>
        <v>0.63698967043777666</v>
      </c>
      <c r="AE226" s="279">
        <f t="shared" si="623"/>
        <v>0.36301032956222329</v>
      </c>
      <c r="AF226" s="279">
        <f t="shared" si="623"/>
        <v>0.56492867683226755</v>
      </c>
      <c r="AG226" s="279">
        <f t="shared" si="623"/>
        <v>1</v>
      </c>
      <c r="AH226" s="411">
        <f t="shared" si="623"/>
        <v>0.15847127555988316</v>
      </c>
      <c r="AI226" s="279">
        <f t="shared" si="623"/>
        <v>0.29990262901655307</v>
      </c>
      <c r="AJ226" s="279">
        <f t="shared" si="623"/>
        <v>0.45837390457643623</v>
      </c>
      <c r="AK226" s="279">
        <f t="shared" si="623"/>
        <v>0.22419668938656281</v>
      </c>
      <c r="AL226" s="279">
        <f t="shared" si="623"/>
        <v>0.68257059396299902</v>
      </c>
      <c r="AM226" s="279">
        <f t="shared" si="623"/>
        <v>0.31742940603700098</v>
      </c>
      <c r="AN226" s="279">
        <f t="shared" si="623"/>
        <v>0.54162609542356377</v>
      </c>
      <c r="AO226" s="279">
        <f t="shared" si="623"/>
        <v>1</v>
      </c>
      <c r="AP226" s="411">
        <f t="shared" si="623"/>
        <v>0.12667509481668773</v>
      </c>
      <c r="AQ226" s="279">
        <f t="shared" si="623"/>
        <v>0.29911504424778762</v>
      </c>
      <c r="AR226" s="279">
        <f t="shared" si="623"/>
        <v>0.42579013906447533</v>
      </c>
      <c r="AS226" s="279">
        <f t="shared" si="623"/>
        <v>0.18482932996207332</v>
      </c>
      <c r="AT226" s="279">
        <f t="shared" si="623"/>
        <v>0.61061946902654862</v>
      </c>
      <c r="AU226" s="279">
        <f t="shared" si="623"/>
        <v>0.38938053097345132</v>
      </c>
      <c r="AV226" s="279">
        <f t="shared" si="623"/>
        <v>0.57420986093552462</v>
      </c>
      <c r="AW226" s="279">
        <f t="shared" si="623"/>
        <v>1</v>
      </c>
      <c r="AX226" s="411">
        <f t="shared" si="623"/>
        <v>5.6430754761344931E-2</v>
      </c>
      <c r="AY226" s="279">
        <f t="shared" si="623"/>
        <v>0.20197507641664708</v>
      </c>
      <c r="AZ226" s="279">
        <f t="shared" si="623"/>
        <v>0.25840583117799198</v>
      </c>
      <c r="BA226" s="279">
        <f t="shared" si="623"/>
        <v>0.16388431695273925</v>
      </c>
      <c r="BB226" s="279">
        <f t="shared" si="623"/>
        <v>0.42229014813073124</v>
      </c>
      <c r="BC226" s="279">
        <f t="shared" si="623"/>
        <v>0.57770985186926871</v>
      </c>
      <c r="BD226" s="279">
        <f t="shared" si="623"/>
        <v>0.74159416882200802</v>
      </c>
      <c r="BE226" s="279">
        <f t="shared" si="623"/>
        <v>1</v>
      </c>
      <c r="BF226" s="454"/>
      <c r="BG226" s="278"/>
      <c r="BH226" s="278"/>
      <c r="BI226" s="278"/>
      <c r="BJ226" s="278"/>
      <c r="BK226" s="278"/>
      <c r="BL226" s="278"/>
      <c r="BM226" s="278"/>
      <c r="BN226" s="411">
        <f t="shared" ref="BN226:DI226" si="624">BN120/INDEX($B120:$DI120,MATCH(BN$192,$B$4:$DI$4,0))</f>
        <v>2.3997257456290708E-3</v>
      </c>
      <c r="BO226" s="279">
        <f t="shared" si="624"/>
        <v>0.19677751114158382</v>
      </c>
      <c r="BP226" s="279">
        <f t="shared" si="624"/>
        <v>0.19917723688721289</v>
      </c>
      <c r="BQ226" s="279">
        <f t="shared" si="624"/>
        <v>0.27014055536510112</v>
      </c>
      <c r="BR226" s="279">
        <f t="shared" si="624"/>
        <v>0.46931779225231401</v>
      </c>
      <c r="BS226" s="279">
        <f t="shared" si="624"/>
        <v>0.53068220774768593</v>
      </c>
      <c r="BT226" s="279">
        <f t="shared" si="624"/>
        <v>0.80082276311278711</v>
      </c>
      <c r="BU226" s="279">
        <f t="shared" si="624"/>
        <v>1</v>
      </c>
      <c r="BV226" s="411">
        <f t="shared" si="624"/>
        <v>7.9038295421825513E-2</v>
      </c>
      <c r="BW226" s="279">
        <f t="shared" si="624"/>
        <v>0.28505614742297725</v>
      </c>
      <c r="BX226" s="279">
        <f t="shared" si="624"/>
        <v>0.36409444284480275</v>
      </c>
      <c r="BY226" s="279">
        <f t="shared" si="624"/>
        <v>0.23092427296285631</v>
      </c>
      <c r="BZ226" s="279">
        <f t="shared" si="624"/>
        <v>0.59501871580765908</v>
      </c>
      <c r="CA226" s="279">
        <f t="shared" si="624"/>
        <v>0.40498128419234092</v>
      </c>
      <c r="CB226" s="279">
        <f t="shared" si="624"/>
        <v>0.63590555715519725</v>
      </c>
      <c r="CC226" s="279">
        <f t="shared" si="624"/>
        <v>1</v>
      </c>
      <c r="CD226" s="411">
        <f t="shared" si="624"/>
        <v>0.16471277842907386</v>
      </c>
      <c r="CE226" s="279">
        <f t="shared" si="624"/>
        <v>-0.7186400937866354</v>
      </c>
      <c r="CF226" s="279">
        <f t="shared" si="624"/>
        <v>-0.55392731535756157</v>
      </c>
      <c r="CG226" s="279">
        <f t="shared" si="624"/>
        <v>0.4806565064478312</v>
      </c>
      <c r="CH226" s="279">
        <f t="shared" si="624"/>
        <v>-7.3270808909730367E-2</v>
      </c>
      <c r="CI226" s="279">
        <f t="shared" si="624"/>
        <v>1.0732708089097303</v>
      </c>
      <c r="CJ226" s="279">
        <f t="shared" si="624"/>
        <v>1.5539273153575615</v>
      </c>
      <c r="CK226" s="279">
        <f t="shared" si="624"/>
        <v>1</v>
      </c>
      <c r="CL226" s="411">
        <f t="shared" si="624"/>
        <v>0.14265159301130523</v>
      </c>
      <c r="CM226" s="279">
        <f t="shared" si="624"/>
        <v>0.41294964028776976</v>
      </c>
      <c r="CN226" s="279">
        <f t="shared" si="624"/>
        <v>0.55560123329907507</v>
      </c>
      <c r="CO226" s="279">
        <f t="shared" si="624"/>
        <v>0.13689619732785199</v>
      </c>
      <c r="CP226" s="279">
        <f t="shared" si="624"/>
        <v>0.69249743062692704</v>
      </c>
      <c r="CQ226" s="279">
        <f t="shared" si="624"/>
        <v>0.30750256937307296</v>
      </c>
      <c r="CR226" s="279">
        <f t="shared" si="624"/>
        <v>0.44439876670092499</v>
      </c>
      <c r="CS226" s="279">
        <f t="shared" si="624"/>
        <v>1</v>
      </c>
      <c r="CT226" s="411">
        <f t="shared" si="624"/>
        <v>0.22445352763461882</v>
      </c>
      <c r="CU226" s="279">
        <f t="shared" si="624"/>
        <v>0.24560156388839524</v>
      </c>
      <c r="CV226" s="279">
        <f t="shared" si="624"/>
        <v>0.47005509152301406</v>
      </c>
      <c r="CW226" s="279">
        <f t="shared" si="624"/>
        <v>0.14856939754753865</v>
      </c>
      <c r="CX226" s="279">
        <f t="shared" si="624"/>
        <v>0.61862448907055267</v>
      </c>
      <c r="CY226" s="279">
        <f t="shared" si="624"/>
        <v>0.38137551092944733</v>
      </c>
      <c r="CZ226" s="279">
        <f t="shared" si="624"/>
        <v>0.52994490847698594</v>
      </c>
      <c r="DA226" s="279">
        <f t="shared" si="624"/>
        <v>1</v>
      </c>
      <c r="DB226" s="411">
        <f t="shared" si="624"/>
        <v>0.13240835902706408</v>
      </c>
      <c r="DC226" s="279">
        <f t="shared" si="624"/>
        <v>0.31603288797533402</v>
      </c>
      <c r="DD226" s="279">
        <f t="shared" si="624"/>
        <v>0.44844124700239807</v>
      </c>
      <c r="DE226" s="279">
        <f t="shared" si="624"/>
        <v>0.17351832819458718</v>
      </c>
      <c r="DF226" s="279">
        <f t="shared" si="624"/>
        <v>0.6219595751969853</v>
      </c>
      <c r="DG226" s="279">
        <f t="shared" si="624"/>
        <v>0.37804042480301475</v>
      </c>
      <c r="DH226" s="279">
        <f t="shared" si="624"/>
        <v>0.55155875299760193</v>
      </c>
      <c r="DI226" s="279">
        <f t="shared" si="624"/>
        <v>1</v>
      </c>
      <c r="DJ226" s="411">
        <f t="shared" ref="DJ226:DY226" si="625">IFERROR(DJ120/INDEX($B120:$DQ120,MATCH(DJ$192,$B$4:$DQ$4,0)),"")</f>
        <v>0.1077698916697796</v>
      </c>
      <c r="DK226" s="279">
        <f t="shared" si="625"/>
        <v>0.15203586103847591</v>
      </c>
      <c r="DL226" s="279">
        <f t="shared" si="625"/>
        <v>0.25980575270825551</v>
      </c>
      <c r="DM226" s="279">
        <f t="shared" si="625"/>
        <v>0.26279417258124765</v>
      </c>
      <c r="DN226" s="279">
        <f t="shared" si="625"/>
        <v>0.52259992528950316</v>
      </c>
      <c r="DO226" s="279">
        <f t="shared" si="625"/>
        <v>0.47740007471049684</v>
      </c>
      <c r="DP226" s="279">
        <f t="shared" si="625"/>
        <v>0.74019424729174454</v>
      </c>
      <c r="DQ226" s="279">
        <f t="shared" si="625"/>
        <v>1</v>
      </c>
      <c r="DR226" s="411">
        <f>DR120/$DY$120</f>
        <v>8.7542087542087546E-2</v>
      </c>
      <c r="DS226" s="279">
        <f>DS120/$DY$120</f>
        <v>0.22166105499438832</v>
      </c>
      <c r="DT226" s="279"/>
      <c r="DU226" s="279">
        <f t="shared" ref="DU226:DW226" si="626">DU120/$DY$120</f>
        <v>0.27244668911335579</v>
      </c>
      <c r="DV226" s="279">
        <f t="shared" si="626"/>
        <v>0.58164983164983164</v>
      </c>
      <c r="DW226" s="279">
        <f t="shared" si="626"/>
        <v>0.41835016835016836</v>
      </c>
      <c r="DX226" s="279" t="str">
        <f t="shared" si="625"/>
        <v/>
      </c>
      <c r="DY226" s="279" t="str">
        <f t="shared" si="625"/>
        <v/>
      </c>
      <c r="DZ226" s="411"/>
      <c r="EA226" s="279"/>
      <c r="EB226" s="279"/>
      <c r="EC226" s="279"/>
      <c r="ED226" s="279"/>
      <c r="EE226" s="279"/>
      <c r="EF226" s="279"/>
      <c r="EG226" s="490"/>
      <c r="EH226" s="406"/>
    </row>
    <row r="227" spans="1:138">
      <c r="J227" s="369"/>
      <c r="P227" s="77"/>
      <c r="R227" s="369"/>
      <c r="X227" s="77"/>
      <c r="Z227" s="369"/>
      <c r="AH227" s="369"/>
      <c r="AP227" s="406"/>
      <c r="AX227" s="406"/>
      <c r="BF227" s="406"/>
      <c r="BN227" s="448"/>
      <c r="BV227" s="406"/>
      <c r="CD227" s="406"/>
      <c r="CL227" s="406"/>
      <c r="CT227" s="406"/>
      <c r="DB227" s="406"/>
      <c r="DJ227" s="406"/>
      <c r="DR227" s="406"/>
      <c r="DZ227" s="406"/>
      <c r="EG227" s="486"/>
      <c r="EH227" s="406"/>
    </row>
    <row r="228" spans="1:138" hidden="1" outlineLevel="1">
      <c r="A228" s="281" t="s">
        <v>497</v>
      </c>
      <c r="J228" s="369"/>
      <c r="P228" s="77"/>
      <c r="R228" s="369"/>
      <c r="X228" s="77"/>
      <c r="Z228" s="369"/>
      <c r="AH228" s="369"/>
      <c r="AP228" s="406"/>
      <c r="AX228" s="406"/>
      <c r="BF228" s="406"/>
      <c r="BN228" s="448"/>
      <c r="BV228" s="406"/>
      <c r="CD228" s="406"/>
      <c r="CL228" s="406"/>
      <c r="CT228" s="406"/>
      <c r="DB228" s="406"/>
      <c r="DJ228" s="406"/>
      <c r="DR228" s="406"/>
      <c r="DZ228" s="406"/>
      <c r="EG228" s="486"/>
      <c r="EH228" s="406"/>
    </row>
    <row r="229" spans="1:138" hidden="1" outlineLevel="1">
      <c r="A229" s="280" t="s">
        <v>207</v>
      </c>
      <c r="B229" s="282" t="str">
        <f>$A$202&amp;" Average"</f>
        <v>Q1 Average</v>
      </c>
      <c r="C229" s="282" t="str">
        <f>$A$202&amp;"Pre-crisis Average (2013-19)"</f>
        <v>Q1Pre-crisis Average (2013-19)</v>
      </c>
      <c r="D229" s="276" t="str">
        <f>"2013 "&amp;$A$229</f>
        <v>2013 Q1</v>
      </c>
      <c r="E229" s="276" t="str">
        <f>"2014 "&amp;$A$229</f>
        <v>2014 Q1</v>
      </c>
      <c r="F229" s="276" t="str">
        <f>"2015 "&amp;$A$229</f>
        <v>2015 Q1</v>
      </c>
      <c r="G229" s="276" t="str">
        <f>"2016 "&amp;$A$229</f>
        <v>2016 Q1</v>
      </c>
      <c r="H229" s="276" t="str">
        <f>"2017 "&amp;$A$229</f>
        <v>2017 Q1</v>
      </c>
      <c r="I229" s="276" t="str">
        <f>"2018 "&amp;$A$229</f>
        <v>2018 Q1</v>
      </c>
      <c r="J229" s="433" t="str">
        <f>"2019 "&amp;$A$229</f>
        <v>2019 Q1</v>
      </c>
      <c r="K229" s="276" t="str">
        <f>"2020 "&amp;$A$229</f>
        <v>2020 Q1</v>
      </c>
      <c r="L229" s="276" t="str">
        <f>"2021 "&amp;$A$229</f>
        <v>2021 Q1</v>
      </c>
      <c r="M229" s="276" t="str">
        <f>"2022 "&amp;$A$229</f>
        <v>2022 Q1</v>
      </c>
      <c r="N229" s="276" t="str">
        <f>"2023 "&amp;$A$229</f>
        <v>2023 Q1</v>
      </c>
      <c r="P229" s="77"/>
      <c r="R229" s="369"/>
      <c r="X229" s="77"/>
      <c r="Z229" s="369"/>
      <c r="AH229" s="369"/>
      <c r="AP229" s="406"/>
      <c r="AX229" s="406"/>
      <c r="BF229" s="406"/>
      <c r="BN229" s="448"/>
      <c r="BV229" s="406"/>
      <c r="CD229" s="406"/>
      <c r="CL229" s="406"/>
      <c r="CT229" s="406"/>
      <c r="DB229" s="406"/>
      <c r="DJ229" s="406"/>
      <c r="DR229" s="406"/>
      <c r="DZ229" s="406"/>
      <c r="EG229" s="486"/>
      <c r="EH229" s="406"/>
    </row>
    <row r="230" spans="1:138" hidden="1" outlineLevel="1">
      <c r="A230" s="13" t="s">
        <v>14</v>
      </c>
      <c r="B230" s="277">
        <f>AVERAGE($D230:$L230)</f>
        <v>0.16074469183124901</v>
      </c>
      <c r="C230" s="277">
        <f>AVERAGE($D230:$J230)</f>
        <v>0.14119157398859242</v>
      </c>
      <c r="D230" s="277">
        <f>INDEX($B222:$DI222,MATCH(D$229,$B$191:$DI$191,0))</f>
        <v>0.27461607949412825</v>
      </c>
      <c r="E230" s="277">
        <f t="shared" ref="E230:N230" si="627">INDEX($B222:$DI222,MATCH(E$229,$B$191:$DI$191,0))</f>
        <v>0.20838275998418349</v>
      </c>
      <c r="F230" s="277">
        <f t="shared" si="627"/>
        <v>0.20571221981200288</v>
      </c>
      <c r="G230" s="277">
        <f t="shared" si="627"/>
        <v>0.14478833155460691</v>
      </c>
      <c r="H230" s="277">
        <f t="shared" si="627"/>
        <v>7.9065841305571191E-2</v>
      </c>
      <c r="I230" s="277">
        <f t="shared" si="627"/>
        <v>-8.5274542429284519E-3</v>
      </c>
      <c r="J230" s="410">
        <f t="shared" si="627"/>
        <v>8.4303240012582575E-2</v>
      </c>
      <c r="K230" s="277">
        <f t="shared" si="627"/>
        <v>0.30906148867313915</v>
      </c>
      <c r="L230" s="277">
        <f t="shared" si="627"/>
        <v>0.14929971988795518</v>
      </c>
      <c r="M230" s="277">
        <f t="shared" si="627"/>
        <v>0.23152173913043478</v>
      </c>
      <c r="N230" s="277">
        <f t="shared" si="627"/>
        <v>0.12038190120381902</v>
      </c>
      <c r="O230" s="277"/>
      <c r="P230" s="277"/>
      <c r="Q230" s="277"/>
      <c r="R230" s="410"/>
      <c r="S230" s="277"/>
      <c r="T230" s="277"/>
      <c r="U230" s="277"/>
      <c r="V230" s="277"/>
      <c r="W230" s="277"/>
      <c r="X230" s="277"/>
      <c r="Y230" s="277"/>
      <c r="Z230" s="410"/>
      <c r="AA230" s="277"/>
      <c r="AB230" s="277"/>
      <c r="AC230" s="277"/>
      <c r="AD230" s="277"/>
      <c r="AE230" s="277"/>
      <c r="AF230" s="277"/>
      <c r="AG230" s="277"/>
      <c r="AH230" s="410"/>
      <c r="AI230" s="277"/>
      <c r="AJ230" s="277"/>
      <c r="AK230" s="277"/>
      <c r="AL230" s="277"/>
      <c r="AM230" s="277"/>
      <c r="AN230" s="277"/>
      <c r="AO230" s="277"/>
      <c r="AP230" s="410"/>
      <c r="AQ230" s="277"/>
      <c r="AR230" s="277"/>
      <c r="AS230" s="277"/>
      <c r="AT230" s="277"/>
      <c r="AU230" s="277"/>
      <c r="AV230" s="277"/>
      <c r="AW230" s="277"/>
      <c r="AX230" s="410"/>
      <c r="AY230" s="277"/>
      <c r="AZ230" s="277"/>
      <c r="BA230" s="277"/>
      <c r="BB230" s="277"/>
      <c r="BC230" s="277"/>
      <c r="BD230" s="277"/>
      <c r="BE230" s="277"/>
      <c r="BF230" s="406"/>
      <c r="BN230" s="410"/>
      <c r="BO230" s="277"/>
      <c r="BP230" s="277"/>
      <c r="BQ230" s="277"/>
      <c r="BR230" s="277"/>
      <c r="BS230" s="277"/>
      <c r="BT230" s="277"/>
      <c r="BU230" s="277"/>
      <c r="BV230" s="410"/>
      <c r="BW230" s="277"/>
      <c r="BX230" s="277"/>
      <c r="BY230" s="277"/>
      <c r="BZ230" s="277"/>
      <c r="CA230" s="277"/>
      <c r="CB230" s="277"/>
      <c r="CC230" s="277"/>
      <c r="CD230" s="410"/>
      <c r="CE230" s="277"/>
      <c r="CF230" s="277"/>
      <c r="CG230" s="277"/>
      <c r="CH230" s="277"/>
      <c r="CI230" s="277"/>
      <c r="CJ230" s="277"/>
      <c r="CK230" s="277"/>
      <c r="CL230" s="410"/>
      <c r="CM230" s="277"/>
      <c r="CN230" s="277"/>
      <c r="CO230" s="277"/>
      <c r="CP230" s="277"/>
      <c r="CQ230" s="277"/>
      <c r="CR230" s="277"/>
      <c r="CS230" s="277"/>
      <c r="CT230" s="410"/>
      <c r="CU230" s="277"/>
      <c r="CV230" s="277"/>
      <c r="CW230" s="277"/>
      <c r="CX230" s="277"/>
      <c r="CY230" s="277"/>
      <c r="CZ230" s="277"/>
      <c r="DA230" s="277"/>
      <c r="DB230" s="410"/>
      <c r="DC230" s="277"/>
      <c r="DD230" s="277"/>
      <c r="DE230" s="277"/>
      <c r="DF230" s="277"/>
      <c r="DG230" s="277"/>
      <c r="DH230" s="277"/>
      <c r="DI230" s="277"/>
      <c r="DJ230" s="410"/>
      <c r="DK230" s="277"/>
      <c r="DL230" s="277"/>
      <c r="DM230" s="277"/>
      <c r="DN230" s="277"/>
      <c r="DO230" s="277"/>
      <c r="DP230" s="277"/>
      <c r="DQ230" s="277"/>
      <c r="DR230" s="410"/>
      <c r="DS230" s="277"/>
      <c r="DT230" s="277"/>
      <c r="DU230" s="277"/>
      <c r="DV230" s="277"/>
      <c r="DW230" s="277"/>
      <c r="DX230" s="277"/>
      <c r="DY230" s="277"/>
      <c r="DZ230" s="410"/>
      <c r="EA230" s="277"/>
      <c r="EB230" s="277"/>
      <c r="EC230" s="277"/>
      <c r="ED230" s="277"/>
      <c r="EE230" s="277"/>
      <c r="EF230" s="277"/>
      <c r="EG230" s="489"/>
      <c r="EH230" s="406"/>
    </row>
    <row r="231" spans="1:138" hidden="1" outlineLevel="1">
      <c r="A231" s="13" t="s">
        <v>385</v>
      </c>
      <c r="B231" s="277">
        <f>AVERAGE($D231:$L231)</f>
        <v>7.3001022374870911E-2</v>
      </c>
      <c r="C231" s="277">
        <f>AVERAGE($D231:$J231)</f>
        <v>6.1227830232630995E-2</v>
      </c>
      <c r="D231" s="277">
        <f t="shared" ref="D231:N231" si="628">INDEX($B223:$DI223,MATCH(D$229,$B$191:$DI$191,0))</f>
        <v>5.0377833753148617E-2</v>
      </c>
      <c r="E231" s="277">
        <f t="shared" si="628"/>
        <v>0.14043583535108958</v>
      </c>
      <c r="F231" s="277">
        <f t="shared" si="628"/>
        <v>0.12177985948477751</v>
      </c>
      <c r="G231" s="277">
        <f t="shared" si="628"/>
        <v>9.4285714285714292E-2</v>
      </c>
      <c r="H231" s="277">
        <f t="shared" si="628"/>
        <v>-5.9347181008902079E-3</v>
      </c>
      <c r="I231" s="277">
        <f t="shared" si="628"/>
        <v>-7.8947368421052634E-3</v>
      </c>
      <c r="J231" s="410">
        <f t="shared" si="628"/>
        <v>3.5545023696682464E-2</v>
      </c>
      <c r="K231" s="277">
        <f t="shared" si="628"/>
        <v>0.11252653927813164</v>
      </c>
      <c r="L231" s="277">
        <f t="shared" si="628"/>
        <v>0.11588785046728972</v>
      </c>
      <c r="M231" s="277">
        <f t="shared" si="628"/>
        <v>0.14084507042253522</v>
      </c>
      <c r="N231" s="277">
        <f t="shared" si="628"/>
        <v>0.21224489795918366</v>
      </c>
      <c r="O231" s="277"/>
      <c r="P231" s="277"/>
      <c r="Q231" s="277"/>
      <c r="R231" s="410"/>
      <c r="S231" s="277"/>
      <c r="T231" s="277"/>
      <c r="U231" s="277"/>
      <c r="V231" s="277"/>
      <c r="W231" s="277"/>
      <c r="X231" s="277"/>
      <c r="Y231" s="277"/>
      <c r="Z231" s="410"/>
      <c r="AA231" s="277"/>
      <c r="AB231" s="277"/>
      <c r="AC231" s="277"/>
      <c r="AD231" s="277"/>
      <c r="AE231" s="277"/>
      <c r="AF231" s="277"/>
      <c r="AG231" s="277"/>
      <c r="AH231" s="410"/>
      <c r="AI231" s="277"/>
      <c r="AJ231" s="277"/>
      <c r="AK231" s="277"/>
      <c r="AL231" s="277"/>
      <c r="AM231" s="277"/>
      <c r="AN231" s="277"/>
      <c r="AO231" s="277"/>
      <c r="AP231" s="410"/>
      <c r="AQ231" s="277"/>
      <c r="AR231" s="277"/>
      <c r="AS231" s="277"/>
      <c r="AT231" s="277"/>
      <c r="AU231" s="277"/>
      <c r="AV231" s="277"/>
      <c r="AW231" s="277"/>
      <c r="AX231" s="410"/>
      <c r="AY231" s="277"/>
      <c r="AZ231" s="277"/>
      <c r="BA231" s="277"/>
      <c r="BB231" s="277"/>
      <c r="BC231" s="277"/>
      <c r="BD231" s="277"/>
      <c r="BE231" s="277"/>
      <c r="BF231" s="406"/>
      <c r="BN231" s="410"/>
      <c r="BO231" s="277"/>
      <c r="BP231" s="277"/>
      <c r="BQ231" s="277"/>
      <c r="BR231" s="277"/>
      <c r="BS231" s="277"/>
      <c r="BT231" s="277"/>
      <c r="BU231" s="277"/>
      <c r="BV231" s="410"/>
      <c r="BW231" s="277"/>
      <c r="BX231" s="277"/>
      <c r="BY231" s="277"/>
      <c r="BZ231" s="277"/>
      <c r="CA231" s="277"/>
      <c r="CB231" s="277"/>
      <c r="CC231" s="277"/>
      <c r="CD231" s="410"/>
      <c r="CE231" s="277"/>
      <c r="CF231" s="277"/>
      <c r="CG231" s="277"/>
      <c r="CH231" s="277"/>
      <c r="CI231" s="277"/>
      <c r="CJ231" s="277"/>
      <c r="CK231" s="277"/>
      <c r="CL231" s="410"/>
      <c r="CM231" s="277"/>
      <c r="CN231" s="277"/>
      <c r="CO231" s="277"/>
      <c r="CP231" s="277"/>
      <c r="CQ231" s="277"/>
      <c r="CR231" s="277"/>
      <c r="CS231" s="277"/>
      <c r="CT231" s="410"/>
      <c r="CU231" s="277"/>
      <c r="CV231" s="277"/>
      <c r="CW231" s="277"/>
      <c r="CX231" s="277"/>
      <c r="CY231" s="277"/>
      <c r="CZ231" s="277"/>
      <c r="DA231" s="277"/>
      <c r="DB231" s="410"/>
      <c r="DC231" s="277"/>
      <c r="DD231" s="277"/>
      <c r="DE231" s="277"/>
      <c r="DF231" s="277"/>
      <c r="DG231" s="277"/>
      <c r="DH231" s="277"/>
      <c r="DI231" s="277"/>
      <c r="DJ231" s="410"/>
      <c r="DK231" s="277"/>
      <c r="DL231" s="277"/>
      <c r="DM231" s="277"/>
      <c r="DN231" s="277"/>
      <c r="DO231" s="277"/>
      <c r="DP231" s="277"/>
      <c r="DQ231" s="277"/>
      <c r="DR231" s="410"/>
      <c r="DS231" s="277"/>
      <c r="DT231" s="277"/>
      <c r="DU231" s="277"/>
      <c r="DV231" s="277"/>
      <c r="DW231" s="277"/>
      <c r="DX231" s="277"/>
      <c r="DY231" s="277"/>
      <c r="DZ231" s="410"/>
      <c r="EA231" s="277"/>
      <c r="EB231" s="277"/>
      <c r="EC231" s="277"/>
      <c r="ED231" s="277"/>
      <c r="EE231" s="277"/>
      <c r="EF231" s="277"/>
      <c r="EG231" s="489"/>
      <c r="EH231" s="406"/>
    </row>
    <row r="232" spans="1:138" hidden="1" outlineLevel="1">
      <c r="A232" s="13" t="s">
        <v>384</v>
      </c>
      <c r="B232" s="277">
        <f>AVERAGE($D232:$L232)</f>
        <v>9.5256121015076217E-2</v>
      </c>
      <c r="C232" s="277">
        <f>AVERAGE($D232:$J232)</f>
        <v>0.10711538592369778</v>
      </c>
      <c r="D232" s="277">
        <f t="shared" ref="D232:N232" si="629">INDEX($B224:$DI224,MATCH(D$229,$B$191:$DI$191,0))</f>
        <v>9.2206366630076836E-2</v>
      </c>
      <c r="E232" s="277">
        <f t="shared" si="629"/>
        <v>9.2391304347826081E-2</v>
      </c>
      <c r="F232" s="277">
        <f t="shared" si="629"/>
        <v>8.5632730732635581E-2</v>
      </c>
      <c r="G232" s="277">
        <f t="shared" si="629"/>
        <v>0.10878243512974052</v>
      </c>
      <c r="H232" s="277">
        <f t="shared" si="629"/>
        <v>7.2247706422018346E-2</v>
      </c>
      <c r="I232" s="277">
        <f t="shared" si="629"/>
        <v>0.11978609625668449</v>
      </c>
      <c r="J232" s="410">
        <f t="shared" si="629"/>
        <v>0.17876106194690267</v>
      </c>
      <c r="K232" s="277">
        <f t="shared" si="629"/>
        <v>2.2727272727272728E-2</v>
      </c>
      <c r="L232" s="277">
        <f t="shared" si="629"/>
        <v>8.4770114942528729E-2</v>
      </c>
      <c r="M232" s="277">
        <f t="shared" si="629"/>
        <v>0.27604166666666669</v>
      </c>
      <c r="N232" s="277">
        <f t="shared" si="629"/>
        <v>0.15720524017467249</v>
      </c>
      <c r="O232" s="277"/>
      <c r="P232" s="277"/>
      <c r="Q232" s="277"/>
      <c r="R232" s="410"/>
      <c r="S232" s="277"/>
      <c r="T232" s="277"/>
      <c r="U232" s="277"/>
      <c r="V232" s="277"/>
      <c r="W232" s="277"/>
      <c r="X232" s="277"/>
      <c r="Y232" s="277"/>
      <c r="Z232" s="410"/>
      <c r="AA232" s="277"/>
      <c r="AB232" s="277"/>
      <c r="AC232" s="277"/>
      <c r="AD232" s="277"/>
      <c r="AE232" s="277"/>
      <c r="AF232" s="277"/>
      <c r="AG232" s="277"/>
      <c r="AH232" s="410"/>
      <c r="AI232" s="277"/>
      <c r="AJ232" s="277"/>
      <c r="AK232" s="277"/>
      <c r="AL232" s="277"/>
      <c r="AM232" s="277"/>
      <c r="AN232" s="277"/>
      <c r="AO232" s="277"/>
      <c r="AP232" s="410"/>
      <c r="AQ232" s="277"/>
      <c r="AR232" s="277"/>
      <c r="AS232" s="277"/>
      <c r="AT232" s="277"/>
      <c r="AU232" s="277"/>
      <c r="AV232" s="277"/>
      <c r="AW232" s="277"/>
      <c r="AX232" s="410"/>
      <c r="AY232" s="277"/>
      <c r="AZ232" s="277"/>
      <c r="BA232" s="277"/>
      <c r="BB232" s="277"/>
      <c r="BC232" s="277"/>
      <c r="BD232" s="277"/>
      <c r="BE232" s="277"/>
      <c r="BF232" s="406"/>
      <c r="BN232" s="410"/>
      <c r="BO232" s="277"/>
      <c r="BP232" s="277"/>
      <c r="BQ232" s="277"/>
      <c r="BR232" s="277"/>
      <c r="BS232" s="277"/>
      <c r="BT232" s="277"/>
      <c r="BU232" s="277"/>
      <c r="BV232" s="410"/>
      <c r="BW232" s="277"/>
      <c r="BX232" s="277"/>
      <c r="BY232" s="277"/>
      <c r="BZ232" s="277"/>
      <c r="CA232" s="277"/>
      <c r="CB232" s="277"/>
      <c r="CC232" s="277"/>
      <c r="CD232" s="410"/>
      <c r="CE232" s="277"/>
      <c r="CF232" s="277"/>
      <c r="CG232" s="277"/>
      <c r="CH232" s="277"/>
      <c r="CI232" s="277"/>
      <c r="CJ232" s="277"/>
      <c r="CK232" s="277"/>
      <c r="CL232" s="410"/>
      <c r="CM232" s="277"/>
      <c r="CN232" s="277"/>
      <c r="CO232" s="277"/>
      <c r="CP232" s="277"/>
      <c r="CQ232" s="277"/>
      <c r="CR232" s="277"/>
      <c r="CS232" s="277"/>
      <c r="CT232" s="410"/>
      <c r="CU232" s="277"/>
      <c r="CV232" s="277"/>
      <c r="CW232" s="277"/>
      <c r="CX232" s="277"/>
      <c r="CY232" s="277"/>
      <c r="CZ232" s="277"/>
      <c r="DA232" s="277"/>
      <c r="DB232" s="410"/>
      <c r="DC232" s="277"/>
      <c r="DD232" s="277"/>
      <c r="DE232" s="277"/>
      <c r="DF232" s="277"/>
      <c r="DG232" s="277"/>
      <c r="DH232" s="277"/>
      <c r="DI232" s="277"/>
      <c r="DJ232" s="410"/>
      <c r="DK232" s="277"/>
      <c r="DL232" s="277"/>
      <c r="DM232" s="277"/>
      <c r="DN232" s="277"/>
      <c r="DO232" s="277"/>
      <c r="DP232" s="277"/>
      <c r="DQ232" s="277"/>
      <c r="DR232" s="410"/>
      <c r="DS232" s="277"/>
      <c r="DT232" s="277"/>
      <c r="DU232" s="277"/>
      <c r="DV232" s="277"/>
      <c r="DW232" s="277"/>
      <c r="DX232" s="277"/>
      <c r="DY232" s="277"/>
      <c r="DZ232" s="410"/>
      <c r="EA232" s="277"/>
      <c r="EB232" s="277"/>
      <c r="EC232" s="277"/>
      <c r="ED232" s="277"/>
      <c r="EE232" s="277"/>
      <c r="EF232" s="277"/>
      <c r="EG232" s="489"/>
      <c r="EH232" s="406"/>
    </row>
    <row r="233" spans="1:138" hidden="1" outlineLevel="1">
      <c r="A233" s="13" t="s">
        <v>388</v>
      </c>
      <c r="B233" s="277">
        <f>AVERAGE($D233:$L233)</f>
        <v>0.22618961396940584</v>
      </c>
      <c r="C233" s="277">
        <f>AVERAGE($D233:$J233)</f>
        <v>0.27461920467162809</v>
      </c>
      <c r="D233" s="277">
        <f t="shared" ref="D233:L233" si="630">INDEX($B225:$DI225,MATCH(D$229,$B$191:$DI$191,0))</f>
        <v>0.45833333333333331</v>
      </c>
      <c r="E233" s="277">
        <f t="shared" si="630"/>
        <v>0.14705882352941177</v>
      </c>
      <c r="F233" s="277">
        <f t="shared" si="630"/>
        <v>0.44117647058823528</v>
      </c>
      <c r="G233" s="277">
        <f t="shared" si="630"/>
        <v>0.23076923076923078</v>
      </c>
      <c r="H233" s="277">
        <f t="shared" si="630"/>
        <v>0.2</v>
      </c>
      <c r="I233" s="277">
        <f t="shared" si="630"/>
        <v>0.18685121107266436</v>
      </c>
      <c r="J233" s="410">
        <f t="shared" si="630"/>
        <v>0.25814536340852129</v>
      </c>
      <c r="K233" s="277">
        <f t="shared" si="630"/>
        <v>-0.51162790697674421</v>
      </c>
      <c r="L233" s="277">
        <f t="shared" si="630"/>
        <v>0.625</v>
      </c>
      <c r="M233" s="277"/>
      <c r="N233" s="277"/>
      <c r="O233" s="277"/>
      <c r="P233" s="277"/>
      <c r="Q233" s="277"/>
      <c r="R233" s="410"/>
      <c r="S233" s="277"/>
      <c r="T233" s="277"/>
      <c r="U233" s="277"/>
      <c r="V233" s="277"/>
      <c r="W233" s="277"/>
      <c r="X233" s="277"/>
      <c r="Y233" s="277"/>
      <c r="Z233" s="410"/>
      <c r="AA233" s="277"/>
      <c r="AB233" s="277"/>
      <c r="AC233" s="277"/>
      <c r="AD233" s="277"/>
      <c r="AE233" s="277"/>
      <c r="AF233" s="277"/>
      <c r="AG233" s="277"/>
      <c r="AH233" s="410"/>
      <c r="AI233" s="277"/>
      <c r="AJ233" s="277"/>
      <c r="AK233" s="277"/>
      <c r="AL233" s="277"/>
      <c r="AM233" s="277"/>
      <c r="AN233" s="277"/>
      <c r="AO233" s="277"/>
      <c r="AP233" s="410"/>
      <c r="AQ233" s="277"/>
      <c r="AR233" s="277"/>
      <c r="AS233" s="277"/>
      <c r="AT233" s="277"/>
      <c r="AU233" s="277"/>
      <c r="AV233" s="277"/>
      <c r="AW233" s="277"/>
      <c r="AX233" s="410"/>
      <c r="AY233" s="277"/>
      <c r="AZ233" s="277"/>
      <c r="BA233" s="277"/>
      <c r="BB233" s="277"/>
      <c r="BC233" s="277"/>
      <c r="BD233" s="277"/>
      <c r="BE233" s="277"/>
      <c r="BF233" s="406"/>
      <c r="BN233" s="410"/>
      <c r="BO233" s="277"/>
      <c r="BP233" s="277"/>
      <c r="BQ233" s="277"/>
      <c r="BR233" s="277"/>
      <c r="BS233" s="277"/>
      <c r="BT233" s="277"/>
      <c r="BU233" s="277"/>
      <c r="BV233" s="410"/>
      <c r="BW233" s="277"/>
      <c r="BX233" s="277"/>
      <c r="BY233" s="277"/>
      <c r="BZ233" s="277"/>
      <c r="CA233" s="277"/>
      <c r="CB233" s="277"/>
      <c r="CC233" s="277"/>
      <c r="CD233" s="410"/>
      <c r="CE233" s="277"/>
      <c r="CF233" s="277"/>
      <c r="CG233" s="277"/>
      <c r="CH233" s="277"/>
      <c r="CI233" s="277"/>
      <c r="CJ233" s="277"/>
      <c r="CK233" s="277"/>
      <c r="CL233" s="410"/>
      <c r="CM233" s="277"/>
      <c r="CN233" s="277"/>
      <c r="CO233" s="277"/>
      <c r="CP233" s="277"/>
      <c r="CQ233" s="277"/>
      <c r="CR233" s="277"/>
      <c r="CS233" s="277"/>
      <c r="CT233" s="410"/>
      <c r="CU233" s="277"/>
      <c r="CV233" s="277"/>
      <c r="CW233" s="277"/>
      <c r="CX233" s="277"/>
      <c r="CY233" s="277"/>
      <c r="CZ233" s="277"/>
      <c r="DA233" s="277"/>
      <c r="DB233" s="410"/>
      <c r="DC233" s="277"/>
      <c r="DD233" s="277"/>
      <c r="DE233" s="277"/>
      <c r="DF233" s="277"/>
      <c r="DG233" s="277"/>
      <c r="DH233" s="277"/>
      <c r="DI233" s="277"/>
      <c r="DJ233" s="410"/>
      <c r="DK233" s="277"/>
      <c r="DL233" s="277"/>
      <c r="DM233" s="277"/>
      <c r="DN233" s="277"/>
      <c r="DO233" s="277"/>
      <c r="DP233" s="277"/>
      <c r="DQ233" s="277"/>
      <c r="DR233" s="410"/>
      <c r="DS233" s="277"/>
      <c r="DT233" s="277"/>
      <c r="DU233" s="277"/>
      <c r="DV233" s="277"/>
      <c r="DW233" s="277"/>
      <c r="DX233" s="277"/>
      <c r="DY233" s="277"/>
      <c r="DZ233" s="410"/>
      <c r="EA233" s="277"/>
      <c r="EB233" s="277"/>
      <c r="EC233" s="277"/>
      <c r="ED233" s="277"/>
      <c r="EE233" s="277"/>
      <c r="EF233" s="277"/>
      <c r="EG233" s="489"/>
      <c r="EH233" s="406"/>
    </row>
    <row r="234" spans="1:138" hidden="1" outlineLevel="1">
      <c r="A234" s="278" t="s">
        <v>225</v>
      </c>
      <c r="B234" s="279">
        <f>AVERAGE($D234:$L234)</f>
        <v>0.12312679211452182</v>
      </c>
      <c r="C234" s="279">
        <f>AVERAGE($D234:$J234)</f>
        <v>0.11439667965575961</v>
      </c>
      <c r="D234" s="279">
        <f t="shared" ref="D234:N234" si="631">INDEX($B226:$DI226,MATCH(D$229,$B$191:$DI$191,0))</f>
        <v>0.20560224089635853</v>
      </c>
      <c r="E234" s="279">
        <f t="shared" si="631"/>
        <v>0.17215937038858831</v>
      </c>
      <c r="F234" s="279">
        <f t="shared" si="631"/>
        <v>0.15847127555988316</v>
      </c>
      <c r="G234" s="279">
        <f t="shared" si="631"/>
        <v>0.12667509481668773</v>
      </c>
      <c r="H234" s="279">
        <f t="shared" si="631"/>
        <v>5.6430754761344931E-2</v>
      </c>
      <c r="I234" s="279">
        <f t="shared" si="631"/>
        <v>2.3997257456290708E-3</v>
      </c>
      <c r="J234" s="411">
        <f t="shared" si="631"/>
        <v>7.9038295421825513E-2</v>
      </c>
      <c r="K234" s="279">
        <f t="shared" si="631"/>
        <v>0.16471277842907386</v>
      </c>
      <c r="L234" s="279">
        <f t="shared" si="631"/>
        <v>0.14265159301130523</v>
      </c>
      <c r="M234" s="279">
        <f t="shared" si="631"/>
        <v>0.22445352763461882</v>
      </c>
      <c r="N234" s="279">
        <f t="shared" si="631"/>
        <v>0.13240835902706408</v>
      </c>
      <c r="O234" s="277"/>
      <c r="P234" s="277"/>
      <c r="Q234" s="277"/>
      <c r="R234" s="410"/>
      <c r="S234" s="277"/>
      <c r="T234" s="277"/>
      <c r="U234" s="277"/>
      <c r="V234" s="277"/>
      <c r="W234" s="277"/>
      <c r="X234" s="277"/>
      <c r="Y234" s="277"/>
      <c r="Z234" s="410"/>
      <c r="AA234" s="277"/>
      <c r="AB234" s="277"/>
      <c r="AC234" s="277"/>
      <c r="AD234" s="277"/>
      <c r="AE234" s="277"/>
      <c r="AF234" s="277"/>
      <c r="AG234" s="277"/>
      <c r="AH234" s="410"/>
      <c r="AI234" s="277"/>
      <c r="AJ234" s="277"/>
      <c r="AK234" s="277"/>
      <c r="AL234" s="277"/>
      <c r="AM234" s="277"/>
      <c r="AN234" s="277"/>
      <c r="AO234" s="277"/>
      <c r="AP234" s="410"/>
      <c r="AQ234" s="277"/>
      <c r="AR234" s="277"/>
      <c r="AS234" s="277"/>
      <c r="AT234" s="277"/>
      <c r="AU234" s="277"/>
      <c r="AV234" s="277"/>
      <c r="AW234" s="277"/>
      <c r="AX234" s="410"/>
      <c r="AY234" s="277"/>
      <c r="AZ234" s="277"/>
      <c r="BA234" s="277"/>
      <c r="BB234" s="277"/>
      <c r="BC234" s="277"/>
      <c r="BD234" s="277"/>
      <c r="BE234" s="277"/>
      <c r="BF234" s="406"/>
      <c r="BN234" s="410"/>
      <c r="BO234" s="277"/>
      <c r="BP234" s="277"/>
      <c r="BQ234" s="277"/>
      <c r="BR234" s="277"/>
      <c r="BS234" s="277"/>
      <c r="BT234" s="277"/>
      <c r="BU234" s="277"/>
      <c r="BV234" s="410"/>
      <c r="BW234" s="277"/>
      <c r="BX234" s="277"/>
      <c r="BY234" s="277"/>
      <c r="BZ234" s="277"/>
      <c r="CA234" s="277"/>
      <c r="CB234" s="277"/>
      <c r="CC234" s="277"/>
      <c r="CD234" s="410"/>
      <c r="CE234" s="277"/>
      <c r="CF234" s="277"/>
      <c r="CG234" s="277"/>
      <c r="CH234" s="277"/>
      <c r="CI234" s="277"/>
      <c r="CJ234" s="277"/>
      <c r="CK234" s="277"/>
      <c r="CL234" s="410"/>
      <c r="CM234" s="277"/>
      <c r="CN234" s="277"/>
      <c r="CO234" s="277"/>
      <c r="CP234" s="277"/>
      <c r="CQ234" s="277"/>
      <c r="CR234" s="277"/>
      <c r="CS234" s="277"/>
      <c r="CT234" s="410"/>
      <c r="CU234" s="277"/>
      <c r="CV234" s="277"/>
      <c r="CW234" s="277"/>
      <c r="CX234" s="277"/>
      <c r="CY234" s="277"/>
      <c r="CZ234" s="277"/>
      <c r="DA234" s="277"/>
      <c r="DB234" s="410"/>
      <c r="DC234" s="277"/>
      <c r="DD234" s="277"/>
      <c r="DE234" s="277"/>
      <c r="DF234" s="277"/>
      <c r="DG234" s="277"/>
      <c r="DH234" s="277"/>
      <c r="DI234" s="277"/>
      <c r="DJ234" s="410"/>
      <c r="DK234" s="277"/>
      <c r="DL234" s="277"/>
      <c r="DM234" s="277"/>
      <c r="DN234" s="277"/>
      <c r="DO234" s="277"/>
      <c r="DP234" s="277"/>
      <c r="DQ234" s="277"/>
      <c r="DR234" s="410"/>
      <c r="DS234" s="277"/>
      <c r="DT234" s="277"/>
      <c r="DU234" s="277"/>
      <c r="DV234" s="277"/>
      <c r="DW234" s="277"/>
      <c r="DX234" s="277"/>
      <c r="DY234" s="277"/>
      <c r="DZ234" s="410"/>
      <c r="EA234" s="277"/>
      <c r="EB234" s="277"/>
      <c r="EC234" s="277"/>
      <c r="ED234" s="277"/>
      <c r="EE234" s="277"/>
      <c r="EF234" s="277"/>
      <c r="EG234" s="489"/>
      <c r="EH234" s="406"/>
    </row>
    <row r="235" spans="1:138" hidden="1" outlineLevel="1">
      <c r="J235" s="369"/>
      <c r="R235" s="369"/>
      <c r="Z235" s="369"/>
      <c r="AH235" s="369"/>
      <c r="AP235" s="406"/>
      <c r="AX235" s="406"/>
      <c r="BF235" s="406"/>
      <c r="BN235" s="448"/>
      <c r="BV235" s="406"/>
      <c r="CD235" s="406"/>
      <c r="CL235" s="406"/>
      <c r="CT235" s="406"/>
      <c r="DB235" s="406"/>
      <c r="DJ235" s="406"/>
      <c r="DR235" s="406"/>
      <c r="DZ235" s="406"/>
      <c r="EG235" s="486"/>
      <c r="EH235" s="406"/>
    </row>
    <row r="236" spans="1:138" hidden="1" outlineLevel="1">
      <c r="J236" s="369"/>
      <c r="R236" s="369"/>
      <c r="Z236" s="369"/>
      <c r="AH236" s="369"/>
      <c r="AP236" s="406"/>
      <c r="AX236" s="406"/>
      <c r="BF236" s="406"/>
      <c r="BN236" s="448"/>
      <c r="BV236" s="406"/>
      <c r="CD236" s="406"/>
      <c r="CL236" s="406"/>
      <c r="CT236" s="406"/>
      <c r="DB236" s="406"/>
      <c r="DJ236" s="406"/>
      <c r="DR236" s="406"/>
      <c r="DZ236" s="406"/>
      <c r="EG236" s="486"/>
      <c r="EH236" s="406"/>
    </row>
    <row r="237" spans="1:138" hidden="1" outlineLevel="1">
      <c r="A237" s="281"/>
      <c r="B237" s="283"/>
      <c r="J237" s="369"/>
      <c r="R237" s="369"/>
      <c r="Z237" s="369"/>
      <c r="AH237" s="369"/>
      <c r="AP237" s="406"/>
      <c r="AX237" s="406"/>
      <c r="BF237" s="406"/>
      <c r="BN237" s="448"/>
      <c r="BV237" s="406"/>
      <c r="CD237" s="406"/>
      <c r="CL237" s="406"/>
      <c r="CT237" s="406"/>
      <c r="DB237" s="406"/>
      <c r="DJ237" s="406"/>
      <c r="DR237" s="406"/>
      <c r="DZ237" s="406"/>
      <c r="EG237" s="486"/>
      <c r="EH237" s="406"/>
    </row>
    <row r="238" spans="1:138" hidden="1" outlineLevel="1">
      <c r="A238" s="281" t="s">
        <v>503</v>
      </c>
      <c r="B238" s="283"/>
      <c r="D238" s="276" t="str">
        <f>"2013 "&amp;$A$229</f>
        <v>2013 Q1</v>
      </c>
      <c r="E238" s="276" t="str">
        <f>"2014 "&amp;$A$229</f>
        <v>2014 Q1</v>
      </c>
      <c r="F238" s="276" t="str">
        <f>"2015 "&amp;$A$229</f>
        <v>2015 Q1</v>
      </c>
      <c r="G238" s="276" t="str">
        <f>"2016 "&amp;$A$229</f>
        <v>2016 Q1</v>
      </c>
      <c r="H238" s="276" t="str">
        <f>"2017 "&amp;$A$229</f>
        <v>2017 Q1</v>
      </c>
      <c r="I238" s="276" t="str">
        <f>"2018 "&amp;$A$229</f>
        <v>2018 Q1</v>
      </c>
      <c r="J238" s="433" t="str">
        <f>"2019 "&amp;$A$229</f>
        <v>2019 Q1</v>
      </c>
      <c r="K238" s="276" t="str">
        <f>"2020 "&amp;$A$229</f>
        <v>2020 Q1</v>
      </c>
      <c r="L238" s="276" t="str">
        <f>"2021 "&amp;$A$229</f>
        <v>2021 Q1</v>
      </c>
      <c r="M238" s="276" t="str">
        <f>"2022 "&amp;$A$229</f>
        <v>2022 Q1</v>
      </c>
      <c r="N238" s="276" t="str">
        <f>"2023 "&amp;$A$229</f>
        <v>2023 Q1</v>
      </c>
      <c r="R238" s="369"/>
      <c r="Z238" s="369"/>
      <c r="AH238" s="369"/>
      <c r="AP238" s="406"/>
      <c r="AX238" s="406"/>
      <c r="BF238" s="406"/>
      <c r="BN238" s="448"/>
      <c r="BV238" s="406"/>
      <c r="CD238" s="406"/>
      <c r="CL238" s="406"/>
      <c r="CT238" s="406"/>
      <c r="DB238" s="406"/>
      <c r="DJ238" s="406"/>
      <c r="DR238" s="406"/>
      <c r="DZ238" s="406"/>
      <c r="EG238" s="486"/>
      <c r="EH238" s="406"/>
    </row>
    <row r="239" spans="1:138" hidden="1" outlineLevel="1">
      <c r="A239" s="289" t="s">
        <v>384</v>
      </c>
      <c r="B239" s="283"/>
      <c r="D239" s="284">
        <f>INDEX($D$230:$N$234,MATCH($A239,$A$230:$A$234,0),MATCH(D$238,$D$229:$N$229,0))</f>
        <v>9.2206366630076836E-2</v>
      </c>
      <c r="E239" s="284">
        <f t="shared" ref="E239:N239" si="632">INDEX($D$230:$N$234,MATCH($A239,$A$230:$A$234,0),MATCH(E$238,$D$229:$N$229,0))</f>
        <v>9.2391304347826081E-2</v>
      </c>
      <c r="F239" s="284">
        <f t="shared" si="632"/>
        <v>8.5632730732635581E-2</v>
      </c>
      <c r="G239" s="284">
        <f t="shared" si="632"/>
        <v>0.10878243512974052</v>
      </c>
      <c r="H239" s="284">
        <f t="shared" si="632"/>
        <v>7.2247706422018346E-2</v>
      </c>
      <c r="I239" s="284">
        <f t="shared" si="632"/>
        <v>0.11978609625668449</v>
      </c>
      <c r="J239" s="400">
        <f t="shared" si="632"/>
        <v>0.17876106194690267</v>
      </c>
      <c r="K239" s="284">
        <f t="shared" si="632"/>
        <v>2.2727272727272728E-2</v>
      </c>
      <c r="L239" s="284">
        <f t="shared" si="632"/>
        <v>8.4770114942528729E-2</v>
      </c>
      <c r="M239" s="284">
        <f t="shared" si="632"/>
        <v>0.27604166666666669</v>
      </c>
      <c r="N239" s="284">
        <f t="shared" si="632"/>
        <v>0.15720524017467249</v>
      </c>
      <c r="R239" s="369"/>
      <c r="Z239" s="369"/>
      <c r="AH239" s="369"/>
      <c r="AP239" s="406"/>
      <c r="AX239" s="406"/>
      <c r="BF239" s="406"/>
      <c r="BN239" s="448"/>
      <c r="BV239" s="406"/>
      <c r="CD239" s="406"/>
      <c r="CL239" s="406"/>
      <c r="CT239" s="406"/>
      <c r="DB239" s="406"/>
      <c r="DJ239" s="406"/>
      <c r="DR239" s="406"/>
      <c r="DZ239" s="406"/>
      <c r="EG239" s="486"/>
      <c r="EH239" s="406"/>
    </row>
    <row r="240" spans="1:138" hidden="1" outlineLevel="1">
      <c r="A240" s="113" t="s">
        <v>499</v>
      </c>
      <c r="D240" s="77">
        <f>AVERAGE($D239:$J239)</f>
        <v>0.10711538592369778</v>
      </c>
      <c r="E240" s="77">
        <f t="shared" ref="E240:N240" si="633">AVERAGE($D239:$J239)</f>
        <v>0.10711538592369778</v>
      </c>
      <c r="F240" s="77">
        <f t="shared" si="633"/>
        <v>0.10711538592369778</v>
      </c>
      <c r="G240" s="77">
        <f t="shared" si="633"/>
        <v>0.10711538592369778</v>
      </c>
      <c r="H240" s="77">
        <f t="shared" si="633"/>
        <v>0.10711538592369778</v>
      </c>
      <c r="I240" s="77">
        <f t="shared" si="633"/>
        <v>0.10711538592369778</v>
      </c>
      <c r="J240" s="390">
        <f t="shared" si="633"/>
        <v>0.10711538592369778</v>
      </c>
      <c r="K240" s="77">
        <f t="shared" si="633"/>
        <v>0.10711538592369778</v>
      </c>
      <c r="L240" s="77">
        <f t="shared" si="633"/>
        <v>0.10711538592369778</v>
      </c>
      <c r="M240" s="77">
        <f t="shared" si="633"/>
        <v>0.10711538592369778</v>
      </c>
      <c r="N240" s="77">
        <f t="shared" si="633"/>
        <v>0.10711538592369778</v>
      </c>
      <c r="R240" s="369"/>
      <c r="Z240" s="369"/>
      <c r="AH240" s="369"/>
      <c r="AP240" s="406"/>
      <c r="AX240" s="406"/>
      <c r="BF240" s="406"/>
      <c r="BN240" s="448"/>
      <c r="BV240" s="406"/>
      <c r="CD240" s="406"/>
      <c r="CL240" s="406"/>
      <c r="CT240" s="406"/>
      <c r="DB240" s="406"/>
      <c r="DJ240" s="406"/>
      <c r="DR240" s="406"/>
      <c r="DZ240" s="406"/>
      <c r="EG240" s="486"/>
      <c r="EH240" s="406"/>
    </row>
    <row r="241" spans="1:138" hidden="1" outlineLevel="1">
      <c r="A241" s="113" t="s">
        <v>500</v>
      </c>
      <c r="D241" s="284">
        <f>IF(LEFT($A$229)="Q",0.25,IF( LEFT($A$229)="H",0.5,IF(LEFT($A$229)="9",0.75,"")))</f>
        <v>0.25</v>
      </c>
      <c r="E241" s="284">
        <f t="shared" ref="E241:N241" si="634">IF(LEFT($A$229)="Q",0.25,IF( LEFT($A$229)="H",0.5,IF(LEFT($A$229)="9",0.75,"")))</f>
        <v>0.25</v>
      </c>
      <c r="F241" s="284">
        <f t="shared" si="634"/>
        <v>0.25</v>
      </c>
      <c r="G241" s="284">
        <f t="shared" si="634"/>
        <v>0.25</v>
      </c>
      <c r="H241" s="284">
        <f t="shared" si="634"/>
        <v>0.25</v>
      </c>
      <c r="I241" s="284">
        <f t="shared" si="634"/>
        <v>0.25</v>
      </c>
      <c r="J241" s="400">
        <f t="shared" si="634"/>
        <v>0.25</v>
      </c>
      <c r="K241" s="284">
        <f t="shared" si="634"/>
        <v>0.25</v>
      </c>
      <c r="L241" s="284">
        <f t="shared" si="634"/>
        <v>0.25</v>
      </c>
      <c r="M241" s="284">
        <f t="shared" si="634"/>
        <v>0.25</v>
      </c>
      <c r="N241" s="284">
        <f t="shared" si="634"/>
        <v>0.25</v>
      </c>
      <c r="R241" s="369"/>
      <c r="Z241" s="369"/>
      <c r="AH241" s="369"/>
      <c r="AP241" s="406"/>
      <c r="AX241" s="406"/>
      <c r="BF241" s="406"/>
      <c r="BN241" s="448"/>
      <c r="BV241" s="406"/>
      <c r="CD241" s="406"/>
      <c r="CL241" s="406"/>
      <c r="CT241" s="406"/>
      <c r="DB241" s="406"/>
      <c r="DJ241" s="406"/>
      <c r="DR241" s="406"/>
      <c r="DZ241" s="406"/>
      <c r="EG241" s="486"/>
      <c r="EH241" s="406"/>
    </row>
    <row r="242" spans="1:138" hidden="1" outlineLevel="1">
      <c r="J242" s="369"/>
      <c r="R242" s="369"/>
      <c r="Z242" s="369"/>
      <c r="AH242" s="369"/>
      <c r="AP242" s="406"/>
      <c r="AX242" s="406"/>
      <c r="BF242" s="406"/>
      <c r="BN242" s="448"/>
      <c r="BV242" s="406"/>
      <c r="CD242" s="406"/>
      <c r="CL242" s="406"/>
      <c r="CT242" s="406"/>
      <c r="DB242" s="406"/>
      <c r="DJ242" s="406"/>
      <c r="DR242" s="406"/>
      <c r="DZ242" s="406"/>
      <c r="EG242" s="486"/>
      <c r="EH242" s="406"/>
    </row>
    <row r="243" spans="1:138" hidden="1" outlineLevel="1">
      <c r="J243" s="369"/>
      <c r="R243" s="369"/>
      <c r="Z243" s="369"/>
      <c r="AH243" s="369"/>
      <c r="AP243" s="406"/>
      <c r="AX243" s="406"/>
      <c r="BF243" s="406"/>
      <c r="BN243" s="448"/>
      <c r="BV243" s="406"/>
      <c r="CD243" s="406"/>
      <c r="CL243" s="406"/>
      <c r="CT243" s="406"/>
      <c r="DB243" s="406"/>
      <c r="DJ243" s="406"/>
      <c r="DR243" s="406"/>
      <c r="DZ243" s="406"/>
      <c r="EG243" s="486"/>
      <c r="EH243" s="406"/>
    </row>
    <row r="244" spans="1:138" hidden="1" outlineLevel="1">
      <c r="J244" s="369"/>
      <c r="R244" s="369"/>
      <c r="Z244" s="369"/>
      <c r="AH244" s="369"/>
      <c r="AP244" s="406"/>
      <c r="AX244" s="406"/>
      <c r="BF244" s="406"/>
      <c r="BN244" s="448"/>
      <c r="BV244" s="406"/>
      <c r="CD244" s="406"/>
      <c r="CL244" s="406"/>
      <c r="CT244" s="406"/>
      <c r="DB244" s="406"/>
      <c r="DJ244" s="406"/>
      <c r="DR244" s="406"/>
      <c r="DZ244" s="406"/>
      <c r="EG244" s="486"/>
      <c r="EH244" s="406"/>
    </row>
    <row r="245" spans="1:138" hidden="1" outlineLevel="1">
      <c r="J245" s="369"/>
      <c r="R245" s="369"/>
      <c r="Z245" s="369"/>
      <c r="AH245" s="369"/>
      <c r="AP245" s="406"/>
      <c r="AX245" s="406"/>
      <c r="BF245" s="406"/>
      <c r="BN245" s="448"/>
      <c r="BV245" s="406"/>
      <c r="CD245" s="406"/>
      <c r="CL245" s="406"/>
      <c r="CT245" s="406"/>
      <c r="DB245" s="406"/>
      <c r="DJ245" s="406"/>
      <c r="DR245" s="406"/>
      <c r="DZ245" s="406"/>
      <c r="EG245" s="486"/>
      <c r="EH245" s="406"/>
    </row>
    <row r="246" spans="1:138" hidden="1" outlineLevel="1">
      <c r="J246" s="369"/>
      <c r="R246" s="369"/>
      <c r="Z246" s="369"/>
      <c r="AH246" s="369"/>
      <c r="AP246" s="406"/>
      <c r="AX246" s="406"/>
      <c r="BF246" s="406"/>
      <c r="BN246" s="448"/>
      <c r="BV246" s="406"/>
      <c r="CD246" s="406"/>
      <c r="CL246" s="406"/>
      <c r="CT246" s="406"/>
      <c r="DB246" s="406"/>
      <c r="DJ246" s="406"/>
      <c r="DR246" s="406"/>
      <c r="DZ246" s="406"/>
      <c r="EG246" s="486"/>
      <c r="EH246" s="406"/>
    </row>
    <row r="247" spans="1:138" hidden="1" outlineLevel="1">
      <c r="J247" s="369"/>
      <c r="R247" s="369"/>
      <c r="Z247" s="369"/>
      <c r="AH247" s="369"/>
      <c r="AP247" s="406"/>
      <c r="AX247" s="406"/>
      <c r="BF247" s="406"/>
      <c r="BN247" s="448"/>
      <c r="BV247" s="406"/>
      <c r="CD247" s="406"/>
      <c r="CL247" s="406"/>
      <c r="CT247" s="406"/>
      <c r="DB247" s="406"/>
      <c r="DJ247" s="406"/>
      <c r="DR247" s="406"/>
      <c r="DZ247" s="406"/>
      <c r="EG247" s="486"/>
      <c r="EH247" s="406"/>
    </row>
    <row r="248" spans="1:138" collapsed="1">
      <c r="A248" s="290" t="s">
        <v>502</v>
      </c>
      <c r="B248" s="291"/>
      <c r="C248" s="291"/>
      <c r="D248" s="291"/>
      <c r="E248" s="291"/>
      <c r="F248" s="291"/>
      <c r="G248" s="291"/>
      <c r="H248" s="291"/>
      <c r="I248" s="291"/>
      <c r="J248" s="466"/>
      <c r="K248" s="292"/>
      <c r="L248" s="292"/>
      <c r="M248" s="292"/>
      <c r="N248" s="292"/>
      <c r="O248" s="292"/>
      <c r="P248" s="293"/>
      <c r="Q248" s="292"/>
      <c r="R248" s="470"/>
      <c r="S248" s="292"/>
      <c r="T248" s="292"/>
      <c r="U248" s="292"/>
      <c r="V248" s="292"/>
      <c r="W248" s="292"/>
      <c r="X248" s="293"/>
      <c r="Y248" s="291"/>
      <c r="Z248" s="466"/>
      <c r="AA248" s="291"/>
      <c r="AB248" s="291"/>
      <c r="AC248" s="291"/>
      <c r="AD248" s="291"/>
      <c r="AE248" s="291"/>
      <c r="AF248" s="291"/>
      <c r="AG248" s="291"/>
      <c r="AH248" s="466"/>
      <c r="AI248" s="291"/>
      <c r="AJ248" s="291"/>
      <c r="AK248" s="291"/>
      <c r="AL248" s="291"/>
      <c r="AM248" s="291"/>
      <c r="AN248" s="291"/>
      <c r="AO248" s="291"/>
      <c r="AP248" s="409"/>
      <c r="AQ248" s="294"/>
      <c r="AR248" s="294"/>
      <c r="AS248" s="294"/>
      <c r="AT248" s="294"/>
      <c r="AU248" s="294"/>
      <c r="AV248" s="294"/>
      <c r="AW248" s="294"/>
      <c r="AX248" s="409"/>
      <c r="AY248" s="294"/>
      <c r="AZ248" s="294"/>
      <c r="BA248" s="294"/>
      <c r="BB248" s="294"/>
      <c r="BC248" s="294"/>
      <c r="BD248" s="294"/>
      <c r="BE248" s="294"/>
      <c r="BF248" s="409"/>
      <c r="BG248" s="294"/>
      <c r="BH248" s="294"/>
      <c r="BI248" s="294"/>
      <c r="BJ248" s="294"/>
      <c r="BK248" s="294"/>
      <c r="BL248" s="294"/>
      <c r="BM248" s="294"/>
      <c r="BN248" s="450"/>
      <c r="BO248" s="295"/>
      <c r="BP248" s="295"/>
      <c r="BQ248" s="295"/>
      <c r="BR248" s="295"/>
      <c r="BS248" s="295"/>
      <c r="BT248" s="295"/>
      <c r="BU248" s="295"/>
      <c r="BV248" s="409"/>
      <c r="BW248" s="294"/>
      <c r="BX248" s="296"/>
      <c r="BY248" s="294"/>
      <c r="BZ248" s="294"/>
      <c r="CA248" s="294"/>
      <c r="CB248" s="294"/>
      <c r="CC248" s="294"/>
      <c r="CD248" s="409"/>
      <c r="CE248" s="294"/>
      <c r="CF248" s="294"/>
      <c r="CG248" s="294"/>
      <c r="CH248" s="294"/>
      <c r="CI248" s="294"/>
      <c r="CJ248" s="294"/>
      <c r="CK248" s="294"/>
      <c r="CL248" s="409"/>
      <c r="CM248" s="294"/>
      <c r="CN248" s="294"/>
      <c r="CO248" s="294"/>
      <c r="CP248" s="294"/>
      <c r="CQ248" s="294"/>
      <c r="CR248" s="294"/>
      <c r="CS248" s="294"/>
      <c r="CT248" s="409"/>
      <c r="CU248" s="294"/>
      <c r="CV248" s="294"/>
      <c r="CW248" s="294"/>
      <c r="CX248" s="294"/>
      <c r="CY248" s="294"/>
      <c r="CZ248" s="294"/>
      <c r="DA248" s="294"/>
      <c r="DB248" s="409"/>
      <c r="DC248" s="294"/>
      <c r="DD248" s="294"/>
      <c r="DE248" s="294"/>
      <c r="DF248" s="294"/>
      <c r="DG248" s="294"/>
      <c r="DH248" s="294"/>
      <c r="DI248" s="294"/>
      <c r="DJ248" s="409"/>
      <c r="DK248" s="294"/>
      <c r="DL248" s="294"/>
      <c r="DM248" s="294"/>
      <c r="DN248" s="294"/>
      <c r="DO248" s="294"/>
      <c r="DP248" s="294"/>
      <c r="DQ248" s="294"/>
      <c r="DR248" s="409"/>
      <c r="DS248" s="294"/>
      <c r="DT248" s="294"/>
      <c r="DU248" s="294"/>
      <c r="DV248" s="294"/>
      <c r="DW248" s="294"/>
      <c r="DX248" s="294"/>
      <c r="DY248" s="294"/>
      <c r="DZ248" s="409"/>
      <c r="EA248" s="294"/>
      <c r="EB248" s="294"/>
      <c r="EC248" s="294"/>
      <c r="ED248" s="294"/>
      <c r="EE248" s="294"/>
      <c r="EF248" s="294"/>
      <c r="EG248" s="488"/>
      <c r="EH248" s="406"/>
    </row>
    <row r="249" spans="1:138">
      <c r="A249" s="278" t="s">
        <v>225</v>
      </c>
      <c r="B249" s="279"/>
      <c r="C249" s="279"/>
      <c r="D249" s="279"/>
      <c r="E249" s="279"/>
      <c r="F249" s="279"/>
      <c r="G249" s="279"/>
      <c r="H249" s="279"/>
      <c r="I249" s="279"/>
      <c r="J249" s="411"/>
      <c r="K249" s="279"/>
      <c r="L249" s="279"/>
      <c r="M249" s="279"/>
      <c r="N249" s="279"/>
      <c r="O249" s="279"/>
      <c r="P249" s="279"/>
      <c r="Q249" s="279"/>
      <c r="R249" s="411">
        <f t="shared" ref="R249:BE249" si="635">R154/INDEX($B154:$DI154,MATCH(R$192,$B$4:$DI$4,0))</f>
        <v>3.7855450236966823</v>
      </c>
      <c r="S249" s="279">
        <f t="shared" si="635"/>
        <v>1.1232227488151658</v>
      </c>
      <c r="T249" s="279">
        <f t="shared" si="635"/>
        <v>4.9087677725118484</v>
      </c>
      <c r="U249" s="279">
        <f t="shared" si="635"/>
        <v>0.71800947867298581</v>
      </c>
      <c r="V249" s="279">
        <f t="shared" si="635"/>
        <v>5.6267772511848344</v>
      </c>
      <c r="W249" s="279">
        <f t="shared" si="635"/>
        <v>-4.6267772511848344</v>
      </c>
      <c r="X249" s="279">
        <f t="shared" si="635"/>
        <v>-3.9087677725118484</v>
      </c>
      <c r="Y249" s="279">
        <f t="shared" si="635"/>
        <v>1</v>
      </c>
      <c r="Z249" s="411">
        <f t="shared" si="635"/>
        <v>-2.0319680319680318</v>
      </c>
      <c r="AA249" s="279">
        <f t="shared" si="635"/>
        <v>-0.23576423576423577</v>
      </c>
      <c r="AB249" s="279">
        <f t="shared" si="635"/>
        <v>-2.2677322677322675</v>
      </c>
      <c r="AC249" s="279">
        <f t="shared" si="635"/>
        <v>0.17982017982017981</v>
      </c>
      <c r="AD249" s="279">
        <f t="shared" si="635"/>
        <v>-2.087912087912088</v>
      </c>
      <c r="AE249" s="279">
        <f t="shared" si="635"/>
        <v>3.087912087912088</v>
      </c>
      <c r="AF249" s="279">
        <f t="shared" si="635"/>
        <v>3.2677322677322675</v>
      </c>
      <c r="AG249" s="279">
        <f t="shared" si="635"/>
        <v>1</v>
      </c>
      <c r="AH249" s="411">
        <f t="shared" si="635"/>
        <v>-0.85735849056603775</v>
      </c>
      <c r="AI249" s="279">
        <f t="shared" si="635"/>
        <v>8.3773584905660378E-2</v>
      </c>
      <c r="AJ249" s="279">
        <f t="shared" si="635"/>
        <v>-0.77358490566037741</v>
      </c>
      <c r="AK249" s="279">
        <f t="shared" si="635"/>
        <v>-0.54792452830188676</v>
      </c>
      <c r="AL249" s="279">
        <f t="shared" si="635"/>
        <v>-1.3215094339622642</v>
      </c>
      <c r="AM249" s="279">
        <f t="shared" si="635"/>
        <v>2.3215094339622642</v>
      </c>
      <c r="AN249" s="279">
        <f t="shared" si="635"/>
        <v>1.7735849056603774</v>
      </c>
      <c r="AO249" s="279">
        <f t="shared" si="635"/>
        <v>1</v>
      </c>
      <c r="AP249" s="411">
        <f t="shared" si="635"/>
        <v>-2.5830449826989619</v>
      </c>
      <c r="AQ249" s="279">
        <f t="shared" si="635"/>
        <v>-0.21626297577854672</v>
      </c>
      <c r="AR249" s="279">
        <f t="shared" si="635"/>
        <v>-2.7993079584775087</v>
      </c>
      <c r="AS249" s="279">
        <f t="shared" si="635"/>
        <v>-1.2915224913494809</v>
      </c>
      <c r="AT249" s="279">
        <f t="shared" si="635"/>
        <v>-4.0908304498269894</v>
      </c>
      <c r="AU249" s="279">
        <f t="shared" si="635"/>
        <v>5.0908304498269894</v>
      </c>
      <c r="AV249" s="279">
        <f t="shared" si="635"/>
        <v>3.7993079584775087</v>
      </c>
      <c r="AW249" s="279">
        <f t="shared" si="635"/>
        <v>1</v>
      </c>
      <c r="AX249" s="411">
        <f t="shared" si="635"/>
        <v>-0.54221770091556465</v>
      </c>
      <c r="AY249" s="279">
        <f t="shared" si="635"/>
        <v>-0.32146490335707018</v>
      </c>
      <c r="AZ249" s="279">
        <f t="shared" si="635"/>
        <v>-0.86368260427263477</v>
      </c>
      <c r="BA249" s="279">
        <f t="shared" si="635"/>
        <v>-0.41844693116310616</v>
      </c>
      <c r="BB249" s="279">
        <f t="shared" si="635"/>
        <v>-1.2821295354357409</v>
      </c>
      <c r="BC249" s="279">
        <f t="shared" si="635"/>
        <v>2.2821295354357409</v>
      </c>
      <c r="BD249" s="279">
        <f t="shared" si="635"/>
        <v>1.8636826042726349</v>
      </c>
      <c r="BE249" s="279">
        <f t="shared" si="635"/>
        <v>1</v>
      </c>
      <c r="BF249" s="454"/>
      <c r="BG249" s="278"/>
      <c r="BH249" s="278"/>
      <c r="BI249" s="278"/>
      <c r="BJ249" s="278"/>
      <c r="BK249" s="278"/>
      <c r="BL249" s="278"/>
      <c r="BM249" s="278"/>
      <c r="BN249" s="411">
        <f t="shared" ref="BN249:DI249" si="636">BN154/INDEX($B154:$DI154,MATCH(BN$192,$B$4:$DI$4,0))</f>
        <v>-1.3207417582417582</v>
      </c>
      <c r="BO249" s="279">
        <f t="shared" si="636"/>
        <v>-4.4299450549450552E-2</v>
      </c>
      <c r="BP249" s="279">
        <f t="shared" si="636"/>
        <v>-1.3650412087912087</v>
      </c>
      <c r="BQ249" s="279">
        <f t="shared" si="636"/>
        <v>-9.375E-2</v>
      </c>
      <c r="BR249" s="279">
        <f t="shared" si="636"/>
        <v>-1.4587912087912087</v>
      </c>
      <c r="BS249" s="279">
        <f t="shared" si="636"/>
        <v>2.4587912087912089</v>
      </c>
      <c r="BT249" s="279">
        <f t="shared" si="636"/>
        <v>2.3650412087912089</v>
      </c>
      <c r="BU249" s="279">
        <f t="shared" si="636"/>
        <v>1</v>
      </c>
      <c r="BV249" s="411">
        <f t="shared" si="636"/>
        <v>-1.2371045882017668</v>
      </c>
      <c r="BW249" s="279">
        <f t="shared" si="636"/>
        <v>0.10259333143345682</v>
      </c>
      <c r="BX249" s="279">
        <f t="shared" si="636"/>
        <v>-1.13451125676831</v>
      </c>
      <c r="BY249" s="279">
        <f t="shared" si="636"/>
        <v>-0.25762325448845824</v>
      </c>
      <c r="BZ249" s="279">
        <f t="shared" si="636"/>
        <v>-1.3921345112567682</v>
      </c>
      <c r="CA249" s="279">
        <f t="shared" si="636"/>
        <v>2.3921345112567685</v>
      </c>
      <c r="CB249" s="279">
        <f t="shared" si="636"/>
        <v>2.13451125676831</v>
      </c>
      <c r="CC249" s="279">
        <f t="shared" si="636"/>
        <v>1</v>
      </c>
      <c r="CD249" s="411">
        <f t="shared" si="636"/>
        <v>1.1578947368421053</v>
      </c>
      <c r="CE249" s="279">
        <f t="shared" si="636"/>
        <v>0.63590483056957459</v>
      </c>
      <c r="CF249" s="279">
        <f t="shared" si="636"/>
        <v>1.7937995674116798</v>
      </c>
      <c r="CG249" s="279">
        <f t="shared" si="636"/>
        <v>-9.2573900504686377E-2</v>
      </c>
      <c r="CH249" s="279">
        <f t="shared" si="636"/>
        <v>1.7012256669069936</v>
      </c>
      <c r="CI249" s="279">
        <f t="shared" si="636"/>
        <v>-0.70122566690699351</v>
      </c>
      <c r="CJ249" s="279">
        <f t="shared" si="636"/>
        <v>-0.7937995674116799</v>
      </c>
      <c r="CK249" s="279">
        <f t="shared" si="636"/>
        <v>1</v>
      </c>
      <c r="CL249" s="411">
        <f t="shared" si="636"/>
        <v>0.3419630156472262</v>
      </c>
      <c r="CM249" s="279">
        <f t="shared" si="636"/>
        <v>0.2415362731152205</v>
      </c>
      <c r="CN249" s="279">
        <f t="shared" si="636"/>
        <v>0.58349928876244661</v>
      </c>
      <c r="CO249" s="279">
        <f t="shared" si="636"/>
        <v>5.9459459459459463E-2</v>
      </c>
      <c r="CP249" s="279">
        <f t="shared" si="636"/>
        <v>0.64295874822190613</v>
      </c>
      <c r="CQ249" s="279">
        <f t="shared" si="636"/>
        <v>0.35704125177809387</v>
      </c>
      <c r="CR249" s="279">
        <f t="shared" si="636"/>
        <v>0.41650071123755333</v>
      </c>
      <c r="CS249" s="366">
        <f t="shared" si="636"/>
        <v>1</v>
      </c>
      <c r="CT249" s="411">
        <f t="shared" si="636"/>
        <v>4.5512820512820511E-2</v>
      </c>
      <c r="CU249" s="279">
        <f t="shared" si="636"/>
        <v>0.37222222222222223</v>
      </c>
      <c r="CV249" s="279">
        <f t="shared" si="636"/>
        <v>0.41773504273504275</v>
      </c>
      <c r="CW249" s="279">
        <f t="shared" si="636"/>
        <v>0.20170940170940171</v>
      </c>
      <c r="CX249" s="279">
        <f t="shared" si="636"/>
        <v>0.61944444444444446</v>
      </c>
      <c r="CY249" s="279">
        <f t="shared" si="636"/>
        <v>0.38055555555555554</v>
      </c>
      <c r="CZ249" s="279">
        <f t="shared" si="636"/>
        <v>0.58226495726495731</v>
      </c>
      <c r="DA249" s="366">
        <f t="shared" si="636"/>
        <v>1</v>
      </c>
      <c r="DB249" s="411">
        <f t="shared" si="636"/>
        <v>-0.19616063548102383</v>
      </c>
      <c r="DC249" s="279">
        <f t="shared" si="636"/>
        <v>0.54346866725507503</v>
      </c>
      <c r="DD249" s="279">
        <f t="shared" si="636"/>
        <v>0.34730803177405117</v>
      </c>
      <c r="DE249" s="279">
        <f t="shared" si="636"/>
        <v>-0.11849073256840247</v>
      </c>
      <c r="DF249" s="279">
        <f t="shared" si="636"/>
        <v>0.22881729920564872</v>
      </c>
      <c r="DG249" s="279">
        <f t="shared" si="636"/>
        <v>0.77118270079435125</v>
      </c>
      <c r="DH249" s="279">
        <f t="shared" si="636"/>
        <v>0.65269196822594877</v>
      </c>
      <c r="DI249" s="366">
        <f t="shared" si="636"/>
        <v>1</v>
      </c>
      <c r="DJ249" s="411">
        <f t="shared" ref="DJ249:DQ249" si="637">IFERROR(DJ154/INDEX($B154:$DQ154,MATCH(DJ$192,$B$4:$DQ$4,0)),"")</f>
        <v>-0.40129957427739188</v>
      </c>
      <c r="DK249" s="279">
        <f t="shared" si="637"/>
        <v>0.28276943759802825</v>
      </c>
      <c r="DL249" s="279">
        <f t="shared" si="637"/>
        <v>-0.11853013667936366</v>
      </c>
      <c r="DM249" s="279">
        <f t="shared" si="637"/>
        <v>-7.080439166479946E-2</v>
      </c>
      <c r="DN249" s="279">
        <f t="shared" si="637"/>
        <v>-0.18933452834416312</v>
      </c>
      <c r="DO249" s="279">
        <f t="shared" si="637"/>
        <v>1.1893345283441632</v>
      </c>
      <c r="DP249" s="279">
        <f t="shared" si="637"/>
        <v>1.1185301366793636</v>
      </c>
      <c r="DQ249" s="366">
        <f t="shared" si="637"/>
        <v>1</v>
      </c>
      <c r="DR249" s="411">
        <f>DR143/$DY$143</f>
        <v>0.12182048533281356</v>
      </c>
      <c r="DS249" s="279">
        <f>DS143/$DY$143</f>
        <v>0.2159633563980119</v>
      </c>
      <c r="DT249" s="279"/>
      <c r="DU249" s="279">
        <f>DU143/$DY$143</f>
        <v>0.25289932755092098</v>
      </c>
      <c r="DV249" s="279">
        <f t="shared" ref="DV249" si="638">DV143/$DY$120</f>
        <v>0.85030864197530864</v>
      </c>
      <c r="DW249" s="279">
        <f>DW143/$DY$143</f>
        <v>0.40931683071825359</v>
      </c>
      <c r="DX249" s="279"/>
      <c r="DY249" s="366"/>
      <c r="DZ249" s="411"/>
      <c r="EA249" s="279"/>
      <c r="EB249" s="279"/>
      <c r="EC249" s="279"/>
      <c r="ED249" s="279"/>
      <c r="EE249" s="279"/>
      <c r="EF249" s="279"/>
      <c r="EG249" s="609"/>
      <c r="EH249" s="406"/>
    </row>
    <row r="250" spans="1:138">
      <c r="P250" s="77"/>
      <c r="X250" s="77"/>
      <c r="BF250" s="406"/>
    </row>
    <row r="251" spans="1:138" hidden="1" outlineLevel="1">
      <c r="A251" s="281" t="s">
        <v>497</v>
      </c>
      <c r="P251" s="77"/>
      <c r="X251" s="77"/>
    </row>
    <row r="252" spans="1:138" hidden="1" outlineLevel="1">
      <c r="A252" s="280" t="s">
        <v>207</v>
      </c>
      <c r="B252" s="282" t="str">
        <f>$A$202&amp;" Average"</f>
        <v>Q1 Average</v>
      </c>
      <c r="C252" s="282" t="str">
        <f>$A$202&amp;"Pre-crisis Average (2013-19)"</f>
        <v>Q1Pre-crisis Average (2013-19)</v>
      </c>
      <c r="D252" s="276" t="str">
        <f>"2013 "&amp;$A$252</f>
        <v>2013 Q1</v>
      </c>
      <c r="E252" s="276" t="str">
        <f>"2014 "&amp;$A$252</f>
        <v>2014 Q1</v>
      </c>
      <c r="F252" s="276" t="str">
        <f>"2015 "&amp;$A$252</f>
        <v>2015 Q1</v>
      </c>
      <c r="G252" s="276" t="str">
        <f>"2016 "&amp;$A$252</f>
        <v>2016 Q1</v>
      </c>
      <c r="H252" s="276" t="str">
        <f>"2017 "&amp;$A$252</f>
        <v>2017 Q1</v>
      </c>
      <c r="I252" s="276" t="str">
        <f>"2018 "&amp;$A$252</f>
        <v>2018 Q1</v>
      </c>
      <c r="J252" s="276" t="str">
        <f>"2019 "&amp;$A$252</f>
        <v>2019 Q1</v>
      </c>
      <c r="K252" s="276" t="str">
        <f>"2020 "&amp;$A$252</f>
        <v>2020 Q1</v>
      </c>
      <c r="L252" s="276" t="str">
        <f>"2021 "&amp;$A$252</f>
        <v>2021 Q1</v>
      </c>
      <c r="M252" s="276" t="str">
        <f>"2022 "&amp;$A$252</f>
        <v>2022 Q1</v>
      </c>
      <c r="N252" s="276" t="str">
        <f>"2023 "&amp;$A$252</f>
        <v>2023 Q1</v>
      </c>
      <c r="P252" s="77"/>
      <c r="X252" s="77"/>
    </row>
    <row r="253" spans="1:138" hidden="1" outlineLevel="1">
      <c r="A253" s="278" t="s">
        <v>225</v>
      </c>
      <c r="B253" s="279">
        <f>AVERAGE($D253:$L253)</f>
        <v>-0.36522586404512303</v>
      </c>
      <c r="C253" s="279">
        <f>AVERAGE($D253:$J253)</f>
        <v>-0.68384150412791989</v>
      </c>
      <c r="D253" s="279">
        <f>INDEX($B249:$DI249,MATCH(D$252,$B$191:$DI$191,0))</f>
        <v>3.7855450236966823</v>
      </c>
      <c r="E253" s="279">
        <f t="shared" ref="E253:N253" si="639">INDEX($B249:$DI249,MATCH(E$252,$B$191:$DI$191,0))</f>
        <v>-2.0319680319680318</v>
      </c>
      <c r="F253" s="279">
        <f t="shared" si="639"/>
        <v>-0.85735849056603775</v>
      </c>
      <c r="G253" s="279">
        <f t="shared" si="639"/>
        <v>-2.5830449826989619</v>
      </c>
      <c r="H253" s="279">
        <f t="shared" si="639"/>
        <v>-0.54221770091556465</v>
      </c>
      <c r="I253" s="279">
        <f t="shared" si="639"/>
        <v>-1.3207417582417582</v>
      </c>
      <c r="J253" s="279">
        <f t="shared" si="639"/>
        <v>-1.2371045882017668</v>
      </c>
      <c r="K253" s="279">
        <f t="shared" si="639"/>
        <v>1.1578947368421053</v>
      </c>
      <c r="L253" s="279">
        <f t="shared" si="639"/>
        <v>0.3419630156472262</v>
      </c>
      <c r="M253" s="279">
        <f t="shared" si="639"/>
        <v>4.5512820512820511E-2</v>
      </c>
      <c r="N253" s="279">
        <f t="shared" si="639"/>
        <v>-0.19616063548102383</v>
      </c>
      <c r="O253" s="277"/>
      <c r="P253" s="277"/>
      <c r="Q253" s="277"/>
      <c r="R253" s="277"/>
      <c r="S253" s="277"/>
      <c r="T253" s="277"/>
      <c r="U253" s="277"/>
      <c r="V253" s="277"/>
      <c r="W253" s="277"/>
      <c r="X253" s="277"/>
      <c r="Y253" s="277"/>
      <c r="Z253" s="277"/>
      <c r="AA253" s="277"/>
      <c r="AB253" s="277"/>
      <c r="AC253" s="277"/>
      <c r="AD253" s="277"/>
      <c r="AE253" s="277"/>
      <c r="AF253" s="277"/>
      <c r="AG253" s="277"/>
      <c r="AH253" s="277"/>
      <c r="AI253" s="277"/>
      <c r="AJ253" s="277"/>
      <c r="AK253" s="277"/>
      <c r="AL253" s="277"/>
      <c r="AM253" s="277"/>
      <c r="AN253" s="277"/>
      <c r="AO253" s="277"/>
      <c r="AP253" s="277"/>
      <c r="AQ253" s="277"/>
      <c r="AR253" s="277"/>
      <c r="AS253" s="277"/>
      <c r="AT253" s="277"/>
      <c r="AU253" s="277"/>
      <c r="AV253" s="277"/>
      <c r="AW253" s="277"/>
      <c r="AX253" s="277"/>
      <c r="AY253" s="277"/>
      <c r="AZ253" s="277"/>
      <c r="BA253" s="277"/>
      <c r="BB253" s="277"/>
      <c r="BC253" s="277"/>
      <c r="BD253" s="277"/>
      <c r="BE253" s="277"/>
      <c r="BN253" s="277"/>
      <c r="BO253" s="277"/>
      <c r="BP253" s="277"/>
      <c r="BQ253" s="277"/>
      <c r="BR253" s="277"/>
      <c r="BS253" s="277"/>
      <c r="BT253" s="277"/>
      <c r="BU253" s="277"/>
      <c r="BV253" s="277"/>
      <c r="BW253" s="277"/>
      <c r="BX253" s="277"/>
      <c r="BY253" s="277"/>
      <c r="BZ253" s="277"/>
      <c r="CA253" s="277"/>
      <c r="CB253" s="277"/>
      <c r="CC253" s="277"/>
      <c r="CD253" s="277"/>
      <c r="CE253" s="277"/>
      <c r="CF253" s="277"/>
      <c r="CG253" s="277"/>
      <c r="CH253" s="277"/>
      <c r="CI253" s="277"/>
      <c r="CJ253" s="277"/>
      <c r="CK253" s="277"/>
      <c r="CL253" s="277"/>
      <c r="CM253" s="277"/>
      <c r="CN253" s="277"/>
      <c r="CO253" s="277"/>
      <c r="CP253" s="277"/>
      <c r="CQ253" s="277"/>
      <c r="CR253" s="277"/>
      <c r="CS253" s="277"/>
      <c r="CT253" s="277"/>
      <c r="CU253" s="277"/>
      <c r="CV253" s="277"/>
      <c r="CW253" s="277"/>
      <c r="CX253" s="277"/>
      <c r="CY253" s="277"/>
      <c r="CZ253" s="277"/>
      <c r="DA253" s="277"/>
      <c r="DB253" s="277"/>
      <c r="DC253" s="277"/>
      <c r="DD253" s="277"/>
      <c r="DE253" s="277"/>
      <c r="DF253" s="277"/>
      <c r="DG253" s="277"/>
      <c r="DH253" s="277"/>
      <c r="DI253" s="277"/>
      <c r="DJ253" s="277"/>
      <c r="DK253" s="277"/>
      <c r="DL253" s="277"/>
      <c r="DM253" s="277"/>
      <c r="DN253" s="277"/>
      <c r="DO253" s="277"/>
      <c r="DP253" s="277"/>
      <c r="DQ253" s="277"/>
      <c r="DR253" s="277"/>
      <c r="DS253" s="277"/>
      <c r="DT253" s="277"/>
      <c r="DU253" s="277"/>
      <c r="DV253" s="277"/>
      <c r="DW253" s="277"/>
      <c r="DX253" s="277"/>
      <c r="DY253" s="277"/>
      <c r="DZ253" s="277"/>
      <c r="EA253" s="277"/>
      <c r="EB253" s="277"/>
      <c r="EC253" s="277"/>
      <c r="ED253" s="277"/>
      <c r="EE253" s="277"/>
      <c r="EF253" s="277"/>
      <c r="EG253" s="277"/>
    </row>
    <row r="254" spans="1:138" hidden="1" outlineLevel="1"/>
    <row r="255" spans="1:138" hidden="1" outlineLevel="1"/>
    <row r="256" spans="1:138" hidden="1" outlineLevel="1">
      <c r="A256" s="281"/>
      <c r="B256" s="283"/>
    </row>
    <row r="257" spans="1:129" hidden="1" outlineLevel="1">
      <c r="A257" s="36" t="s">
        <v>498</v>
      </c>
      <c r="B257" s="283"/>
      <c r="D257" s="276" t="str">
        <f>"2013 "&amp;$A$252</f>
        <v>2013 Q1</v>
      </c>
      <c r="E257" s="276" t="str">
        <f>"2014 "&amp;$A$252</f>
        <v>2014 Q1</v>
      </c>
      <c r="F257" s="276" t="str">
        <f>"2015 "&amp;$A$252</f>
        <v>2015 Q1</v>
      </c>
      <c r="G257" s="276" t="str">
        <f>"2016 "&amp;$A$252</f>
        <v>2016 Q1</v>
      </c>
      <c r="H257" s="276" t="str">
        <f>"2017 "&amp;$A$252</f>
        <v>2017 Q1</v>
      </c>
      <c r="I257" s="276" t="str">
        <f>"2018 "&amp;$A$252</f>
        <v>2018 Q1</v>
      </c>
      <c r="J257" s="276" t="str">
        <f>"2019 "&amp;$A$252</f>
        <v>2019 Q1</v>
      </c>
      <c r="K257" s="276" t="str">
        <f>"2020 "&amp;$A$252</f>
        <v>2020 Q1</v>
      </c>
      <c r="L257" s="276" t="str">
        <f>"2021 "&amp;$A$252</f>
        <v>2021 Q1</v>
      </c>
      <c r="M257" s="276" t="str">
        <f>"2022 "&amp;$A$252</f>
        <v>2022 Q1</v>
      </c>
      <c r="N257" s="276" t="str">
        <f>"2023 "&amp;$A$252</f>
        <v>2023 Q1</v>
      </c>
    </row>
    <row r="258" spans="1:129" hidden="1" outlineLevel="1">
      <c r="A258" s="113" t="s">
        <v>225</v>
      </c>
      <c r="B258" s="283"/>
      <c r="D258" s="284">
        <f>D253</f>
        <v>3.7855450236966823</v>
      </c>
      <c r="E258" s="284">
        <f t="shared" ref="E258:N258" si="640">E253</f>
        <v>-2.0319680319680318</v>
      </c>
      <c r="F258" s="284">
        <f t="shared" si="640"/>
        <v>-0.85735849056603775</v>
      </c>
      <c r="G258" s="284">
        <f t="shared" si="640"/>
        <v>-2.5830449826989619</v>
      </c>
      <c r="H258" s="284">
        <f t="shared" si="640"/>
        <v>-0.54221770091556465</v>
      </c>
      <c r="I258" s="284">
        <f t="shared" si="640"/>
        <v>-1.3207417582417582</v>
      </c>
      <c r="J258" s="284">
        <f t="shared" si="640"/>
        <v>-1.2371045882017668</v>
      </c>
      <c r="K258" s="284">
        <f t="shared" si="640"/>
        <v>1.1578947368421053</v>
      </c>
      <c r="L258" s="284">
        <f t="shared" si="640"/>
        <v>0.3419630156472262</v>
      </c>
      <c r="M258" s="284">
        <f t="shared" si="640"/>
        <v>4.5512820512820511E-2</v>
      </c>
      <c r="N258" s="284">
        <f t="shared" si="640"/>
        <v>-0.19616063548102383</v>
      </c>
    </row>
    <row r="259" spans="1:129" hidden="1" outlineLevel="1">
      <c r="A259" s="113" t="s">
        <v>499</v>
      </c>
      <c r="D259" s="77">
        <f>AVERAGE($D258:$J258)</f>
        <v>-0.68384150412791989</v>
      </c>
      <c r="E259" s="77">
        <f>AVERAGE($D258:$J258)</f>
        <v>-0.68384150412791989</v>
      </c>
      <c r="F259" s="77">
        <f>AVERAGE($D258:$J258)</f>
        <v>-0.68384150412791989</v>
      </c>
      <c r="G259" s="77">
        <f t="shared" ref="G259:M259" si="641">AVERAGE($D258:$J258)</f>
        <v>-0.68384150412791989</v>
      </c>
      <c r="H259" s="77">
        <f t="shared" si="641"/>
        <v>-0.68384150412791989</v>
      </c>
      <c r="I259" s="77">
        <f t="shared" si="641"/>
        <v>-0.68384150412791989</v>
      </c>
      <c r="J259" s="77">
        <f t="shared" si="641"/>
        <v>-0.68384150412791989</v>
      </c>
      <c r="K259" s="77">
        <f t="shared" si="641"/>
        <v>-0.68384150412791989</v>
      </c>
      <c r="L259" s="77">
        <f t="shared" si="641"/>
        <v>-0.68384150412791989</v>
      </c>
      <c r="M259" s="77">
        <f t="shared" si="641"/>
        <v>-0.68384150412791989</v>
      </c>
      <c r="N259" s="77">
        <f>AVERAGE($D258:$J258)</f>
        <v>-0.68384150412791989</v>
      </c>
    </row>
    <row r="260" spans="1:129" hidden="1" outlineLevel="1">
      <c r="A260" s="113" t="s">
        <v>500</v>
      </c>
      <c r="D260" s="284">
        <f>IF(LEFT($A$252)="Q",0.25,IF( LEFT($A$252)="H",0.5,IF(LEFT($A$252)="9",0.75,"")))</f>
        <v>0.25</v>
      </c>
      <c r="E260" s="284">
        <f t="shared" ref="E260:N260" si="642">IF(LEFT($A$252)="Q",0.25,IF( LEFT($A$252)="H",0.5,IF(LEFT($A$252)="9",0.75,"")))</f>
        <v>0.25</v>
      </c>
      <c r="F260" s="284">
        <f t="shared" si="642"/>
        <v>0.25</v>
      </c>
      <c r="G260" s="284">
        <f t="shared" si="642"/>
        <v>0.25</v>
      </c>
      <c r="H260" s="284">
        <f t="shared" si="642"/>
        <v>0.25</v>
      </c>
      <c r="I260" s="284">
        <f t="shared" si="642"/>
        <v>0.25</v>
      </c>
      <c r="J260" s="284">
        <f t="shared" si="642"/>
        <v>0.25</v>
      </c>
      <c r="K260" s="284">
        <f t="shared" si="642"/>
        <v>0.25</v>
      </c>
      <c r="L260" s="284">
        <f t="shared" si="642"/>
        <v>0.25</v>
      </c>
      <c r="M260" s="284">
        <f t="shared" si="642"/>
        <v>0.25</v>
      </c>
      <c r="N260" s="284">
        <f t="shared" si="642"/>
        <v>0.25</v>
      </c>
    </row>
    <row r="261" spans="1:129" collapsed="1">
      <c r="DY261" s="113"/>
    </row>
    <row r="263" spans="1:129" hidden="1">
      <c r="DY263" s="113"/>
    </row>
    <row r="264" spans="1:129" hidden="1">
      <c r="DY264" s="113"/>
    </row>
    <row r="265" spans="1:129" hidden="1">
      <c r="DY265" s="113"/>
    </row>
    <row r="266" spans="1:129" hidden="1">
      <c r="DY266" s="113"/>
    </row>
    <row r="267" spans="1:129" hidden="1">
      <c r="DY267" s="113"/>
    </row>
  </sheetData>
  <dataValidations disablePrompts="1" count="2">
    <dataValidation type="list" allowBlank="1" showInputMessage="1" showErrorMessage="1" sqref="A202 A229 A252" xr:uid="{00000000-0002-0000-0C00-000000000000}">
      <formula1>$B$2:$H$2</formula1>
    </dataValidation>
    <dataValidation type="list" allowBlank="1" showInputMessage="1" showErrorMessage="1" sqref="A212 A239" xr:uid="{00000000-0002-0000-0C00-000001000000}">
      <formula1>$A$203:$A$207</formula1>
    </dataValidation>
  </dataValidations>
  <pageMargins left="0.7" right="0.7" top="0.75" bottom="0.75" header="0.3" footer="0.3"/>
  <pageSetup paperSize="9" orientation="portrait" r:id="rId1"/>
  <customProperties>
    <customPr name="Qube.Worksheet.Visibility" r:id="rId2"/>
    <customPr name="QXL_SHEET_ID" r:id="rId3"/>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5">
    <tabColor rgb="FFACD4F1"/>
    <pageSetUpPr autoPageBreaks="0"/>
  </sheetPr>
  <dimension ref="A1:BE191"/>
  <sheetViews>
    <sheetView showGridLines="0" zoomScaleNormal="100" workbookViewId="0">
      <pane xSplit="1" ySplit="1" topLeftCell="Q2" activePane="bottomRight" state="frozen"/>
      <selection pane="topRight" activeCell="B1" sqref="B1"/>
      <selection pane="bottomLeft" activeCell="A2" sqref="A2"/>
      <selection pane="bottomRight"/>
    </sheetView>
  </sheetViews>
  <sheetFormatPr defaultColWidth="0" defaultRowHeight="12.75" zeroHeight="1" outlineLevelRow="1" outlineLevelCol="1"/>
  <cols>
    <col min="1" max="1" width="48.625" style="13" customWidth="1"/>
    <col min="2" max="2" width="10.25" style="13" hidden="1" customWidth="1" outlineLevel="1"/>
    <col min="3" max="7" width="9" style="13" hidden="1" customWidth="1" outlineLevel="1"/>
    <col min="8" max="8" width="10.25" style="13" hidden="1" customWidth="1" outlineLevel="1"/>
    <col min="9" max="9" width="8.5" style="13" hidden="1" customWidth="1" outlineLevel="1"/>
    <col min="10" max="10" width="8" style="13" hidden="1" customWidth="1" outlineLevel="1"/>
    <col min="11" max="11" width="8.125" style="13" hidden="1" customWidth="1" outlineLevel="1"/>
    <col min="12" max="14" width="9" style="78" hidden="1" customWidth="1" outlineLevel="1"/>
    <col min="15" max="15" width="9.125" style="78" hidden="1" customWidth="1" outlineLevel="1"/>
    <col min="16" max="16" width="7.5" style="78" hidden="1" customWidth="1" outlineLevel="1"/>
    <col min="17" max="17" width="8.125" style="78" customWidth="1" collapsed="1"/>
    <col min="18" max="18" width="9.125" style="78" customWidth="1"/>
    <col min="19" max="19" width="8.25" style="78" customWidth="1"/>
    <col min="20" max="20" width="8.75" style="78" customWidth="1"/>
    <col min="21" max="27" width="9" style="78" customWidth="1"/>
    <col min="28" max="28" width="9" style="13" customWidth="1"/>
    <col min="29" max="40" width="9" style="13" hidden="1"/>
    <col min="41" max="41" width="9.25" style="13" hidden="1"/>
    <col min="42" max="42" width="13.5" style="13" hidden="1"/>
    <col min="43" max="49" width="9" style="13" hidden="1"/>
    <col min="50" max="50" width="17.125" style="13" hidden="1"/>
    <col min="51" max="57" width="0" style="13" hidden="1"/>
    <col min="58" max="16384" width="9" style="13" hidden="1"/>
  </cols>
  <sheetData>
    <row r="1" spans="1:39" s="14" customFormat="1">
      <c r="A1" s="268" t="s">
        <v>201</v>
      </c>
      <c r="B1" s="202">
        <v>2006</v>
      </c>
      <c r="C1" s="202">
        <v>2007</v>
      </c>
      <c r="D1" s="202">
        <v>2008</v>
      </c>
      <c r="E1" s="202">
        <v>2009</v>
      </c>
      <c r="F1" s="202">
        <v>2010</v>
      </c>
      <c r="G1" s="202">
        <v>2011</v>
      </c>
      <c r="H1" s="202">
        <v>2012</v>
      </c>
      <c r="I1" s="202">
        <v>2013</v>
      </c>
      <c r="J1" s="202">
        <v>2014</v>
      </c>
      <c r="K1" s="202">
        <v>2015</v>
      </c>
      <c r="L1" s="270">
        <v>2016</v>
      </c>
      <c r="M1" s="270">
        <v>2017</v>
      </c>
      <c r="N1" s="270">
        <v>2018</v>
      </c>
      <c r="O1" s="270">
        <v>2019</v>
      </c>
      <c r="P1" s="270">
        <v>2020</v>
      </c>
      <c r="Q1" s="270">
        <v>2021</v>
      </c>
      <c r="R1" s="270">
        <v>2022</v>
      </c>
      <c r="S1" s="270">
        <f t="shared" ref="S1:AA1" si="0">R1+1</f>
        <v>2023</v>
      </c>
      <c r="T1" s="270">
        <f t="shared" si="0"/>
        <v>2024</v>
      </c>
      <c r="U1" s="270">
        <f t="shared" si="0"/>
        <v>2025</v>
      </c>
      <c r="V1" s="532">
        <f t="shared" si="0"/>
        <v>2026</v>
      </c>
      <c r="W1" s="532">
        <f t="shared" si="0"/>
        <v>2027</v>
      </c>
      <c r="X1" s="532">
        <f t="shared" si="0"/>
        <v>2028</v>
      </c>
      <c r="Y1" s="532">
        <f t="shared" si="0"/>
        <v>2029</v>
      </c>
      <c r="Z1" s="532">
        <f t="shared" si="0"/>
        <v>2030</v>
      </c>
      <c r="AA1" s="532">
        <f t="shared" si="0"/>
        <v>2031</v>
      </c>
    </row>
    <row r="2" spans="1:39">
      <c r="A2" s="222" t="s">
        <v>229</v>
      </c>
      <c r="B2" s="223" t="s">
        <v>611</v>
      </c>
      <c r="C2" s="223">
        <v>25216</v>
      </c>
      <c r="D2" s="223">
        <v>26524</v>
      </c>
      <c r="E2" s="223">
        <v>26370</v>
      </c>
      <c r="F2" s="223">
        <v>27673</v>
      </c>
      <c r="G2" s="223">
        <v>31159</v>
      </c>
      <c r="H2" s="223">
        <v>37624</v>
      </c>
      <c r="I2" s="223">
        <v>39889</v>
      </c>
      <c r="J2" s="223">
        <v>42280</v>
      </c>
      <c r="K2" s="223">
        <v>45854</v>
      </c>
      <c r="L2" s="496">
        <f>Interims!AW93</f>
        <v>49237</v>
      </c>
      <c r="M2" s="496">
        <f>Interims!BE93</f>
        <v>50958</v>
      </c>
      <c r="N2" s="497">
        <v>47970</v>
      </c>
      <c r="O2" s="497">
        <v>54775</v>
      </c>
      <c r="P2" s="497">
        <v>34250</v>
      </c>
      <c r="Q2" s="497">
        <v>36164</v>
      </c>
      <c r="R2" s="497">
        <v>41428</v>
      </c>
      <c r="S2" s="497">
        <v>47763</v>
      </c>
      <c r="T2" s="497">
        <v>50646</v>
      </c>
      <c r="U2" s="497">
        <v>52577</v>
      </c>
      <c r="V2" s="496">
        <f t="shared" ref="V2:X2" si="1">U2*(1+V3)</f>
        <v>57945.621953392132</v>
      </c>
      <c r="W2" s="496">
        <f t="shared" si="1"/>
        <v>67784.665554718507</v>
      </c>
      <c r="X2" s="496">
        <f t="shared" si="1"/>
        <v>77835.508024025097</v>
      </c>
      <c r="Y2" s="496">
        <f>X2*(1+Y3)</f>
        <v>84850.404332822189</v>
      </c>
      <c r="Z2" s="496">
        <f>Y2*(1+Z3)</f>
        <v>88711.40073420557</v>
      </c>
      <c r="AA2" s="496">
        <f>Z2*(1+AA3)</f>
        <v>91335.261084432976</v>
      </c>
    </row>
    <row r="3" spans="1:39">
      <c r="A3" s="15" t="s">
        <v>183</v>
      </c>
      <c r="C3" s="16" t="e">
        <f t="shared" ref="C3:I3" si="2">C2/B2-1</f>
        <v>#VALUE!</v>
      </c>
      <c r="D3" s="16">
        <f t="shared" si="2"/>
        <v>5.1871827411167581E-2</v>
      </c>
      <c r="E3" s="16">
        <f t="shared" si="2"/>
        <v>-5.8060624340220413E-3</v>
      </c>
      <c r="F3" s="16">
        <f t="shared" si="2"/>
        <v>4.9412210845658056E-2</v>
      </c>
      <c r="G3" s="16">
        <f t="shared" si="2"/>
        <v>0.12597116322769497</v>
      </c>
      <c r="H3" s="16">
        <f t="shared" si="2"/>
        <v>0.2074841939728489</v>
      </c>
      <c r="I3" s="16">
        <f t="shared" si="2"/>
        <v>6.0200935573038405E-2</v>
      </c>
      <c r="J3" s="16">
        <f t="shared" ref="J3:T3" si="3">J2/I2-1</f>
        <v>5.9941337210759782E-2</v>
      </c>
      <c r="K3" s="16">
        <f t="shared" si="3"/>
        <v>8.4531693472090774E-2</v>
      </c>
      <c r="L3" s="16">
        <f t="shared" si="3"/>
        <v>7.3777642081388706E-2</v>
      </c>
      <c r="M3" s="16">
        <f t="shared" si="3"/>
        <v>3.4953388711741251E-2</v>
      </c>
      <c r="N3" s="16">
        <f t="shared" si="3"/>
        <v>-5.8636524196396977E-2</v>
      </c>
      <c r="O3" s="16">
        <f t="shared" si="3"/>
        <v>0.14185949551803212</v>
      </c>
      <c r="P3" s="16">
        <f t="shared" si="3"/>
        <v>-0.37471474212688272</v>
      </c>
      <c r="Q3" s="16">
        <f t="shared" si="3"/>
        <v>5.5883211678832145E-2</v>
      </c>
      <c r="R3" s="16">
        <f t="shared" si="3"/>
        <v>0.14555911956641965</v>
      </c>
      <c r="S3" s="16">
        <f t="shared" si="3"/>
        <v>0.15291590228830731</v>
      </c>
      <c r="T3" s="16">
        <f t="shared" si="3"/>
        <v>6.0360530117455014E-2</v>
      </c>
      <c r="U3" s="79">
        <f t="shared" ref="U3:AA3" si="4">SUM(U162,U112)/SUM(T162,T112)-1</f>
        <v>0.10844869307506011</v>
      </c>
      <c r="V3" s="79">
        <f t="shared" si="4"/>
        <v>0.10210970487840942</v>
      </c>
      <c r="W3" s="79">
        <f t="shared" si="4"/>
        <v>0.16979787721046979</v>
      </c>
      <c r="X3" s="79">
        <f t="shared" si="4"/>
        <v>0.14827605015168421</v>
      </c>
      <c r="Y3" s="79">
        <f t="shared" si="4"/>
        <v>9.0124629322543059E-2</v>
      </c>
      <c r="Z3" s="79">
        <f t="shared" si="4"/>
        <v>4.5503571040613755E-2</v>
      </c>
      <c r="AA3" s="79">
        <f t="shared" si="4"/>
        <v>2.9577487544007353E-2</v>
      </c>
    </row>
    <row r="4" spans="1:39">
      <c r="A4" s="222" t="s">
        <v>55</v>
      </c>
      <c r="B4" s="223">
        <v>2035</v>
      </c>
      <c r="C4" s="223">
        <v>2175</v>
      </c>
      <c r="D4" s="223">
        <v>2306</v>
      </c>
      <c r="E4" s="223">
        <v>386</v>
      </c>
      <c r="F4" s="223">
        <v>291</v>
      </c>
      <c r="G4" s="223">
        <v>543</v>
      </c>
      <c r="H4" s="223">
        <v>1147</v>
      </c>
      <c r="I4" s="223">
        <v>1595</v>
      </c>
      <c r="J4" s="223">
        <v>2671</v>
      </c>
      <c r="K4" s="223">
        <v>2301</v>
      </c>
      <c r="L4" s="497">
        <v>1543</v>
      </c>
      <c r="M4" s="497">
        <v>3428</v>
      </c>
      <c r="N4" s="497">
        <v>4808</v>
      </c>
      <c r="O4" s="496">
        <f t="shared" ref="O4:U4" si="5">O136</f>
        <v>6358</v>
      </c>
      <c r="P4" s="496">
        <f t="shared" si="5"/>
        <v>618</v>
      </c>
      <c r="Q4" s="496">
        <f t="shared" si="5"/>
        <v>3570</v>
      </c>
      <c r="R4" s="496">
        <f t="shared" si="5"/>
        <v>4600</v>
      </c>
      <c r="S4" s="496">
        <f t="shared" si="5"/>
        <v>4818</v>
      </c>
      <c r="T4" s="496">
        <f t="shared" si="5"/>
        <v>5093</v>
      </c>
      <c r="U4" s="496">
        <f t="shared" si="5"/>
        <v>5470</v>
      </c>
      <c r="V4" s="496">
        <f t="shared" ref="V4:X4" si="6">V136</f>
        <v>5757.7435507349028</v>
      </c>
      <c r="W4" s="496">
        <f t="shared" si="6"/>
        <v>7168.2228363870645</v>
      </c>
      <c r="X4" s="496">
        <f t="shared" si="6"/>
        <v>9291.9897591018344</v>
      </c>
      <c r="Y4" s="496">
        <f>Y136</f>
        <v>10716.436544962027</v>
      </c>
      <c r="Z4" s="496">
        <f>Z136</f>
        <v>11317.254931022628</v>
      </c>
      <c r="AA4" s="496">
        <f>AA136</f>
        <v>11676.605790540305</v>
      </c>
    </row>
    <row r="5" spans="1:39">
      <c r="A5" s="15" t="s">
        <v>231</v>
      </c>
      <c r="B5" s="20" t="e">
        <f>B4/B$2</f>
        <v>#VALUE!</v>
      </c>
      <c r="C5" s="20">
        <f t="shared" ref="C5:H5" si="7">C4/C$2</f>
        <v>8.6254758883248725E-2</v>
      </c>
      <c r="D5" s="20">
        <f t="shared" si="7"/>
        <v>8.6940129693862167E-2</v>
      </c>
      <c r="E5" s="20">
        <f t="shared" si="7"/>
        <v>1.4637846037163444E-2</v>
      </c>
      <c r="F5" s="20">
        <f t="shared" si="7"/>
        <v>1.0515665088714632E-2</v>
      </c>
      <c r="G5" s="20">
        <f t="shared" si="7"/>
        <v>1.7426746686350653E-2</v>
      </c>
      <c r="H5" s="20">
        <f t="shared" si="7"/>
        <v>3.0485860089304699E-2</v>
      </c>
      <c r="I5" s="20">
        <f t="shared" ref="I5:N5" si="8">I4/I$2</f>
        <v>3.9985961041891248E-2</v>
      </c>
      <c r="J5" s="20">
        <f t="shared" si="8"/>
        <v>6.3174077578051088E-2</v>
      </c>
      <c r="K5" s="20">
        <f t="shared" si="8"/>
        <v>5.0181009290356349E-2</v>
      </c>
      <c r="L5" s="80">
        <f t="shared" si="8"/>
        <v>3.1338221256372242E-2</v>
      </c>
      <c r="M5" s="80">
        <f t="shared" si="8"/>
        <v>6.727108599238589E-2</v>
      </c>
      <c r="N5" s="80">
        <f t="shared" si="8"/>
        <v>0.10022930998540755</v>
      </c>
      <c r="O5" s="80">
        <f t="shared" ref="O5:T5" si="9">O4/O$2</f>
        <v>0.11607485166590598</v>
      </c>
      <c r="P5" s="80">
        <f t="shared" si="9"/>
        <v>1.8043795620437956E-2</v>
      </c>
      <c r="Q5" s="80">
        <f t="shared" si="9"/>
        <v>9.871695608892822E-2</v>
      </c>
      <c r="R5" s="80">
        <f t="shared" si="9"/>
        <v>0.11103601428985227</v>
      </c>
      <c r="S5" s="80">
        <f t="shared" si="9"/>
        <v>0.10087306073739087</v>
      </c>
      <c r="T5" s="80">
        <f t="shared" si="9"/>
        <v>0.10056075504482091</v>
      </c>
      <c r="U5" s="80">
        <f t="shared" ref="U5:V5" si="10">U4/U$2</f>
        <v>0.10403788728911882</v>
      </c>
      <c r="V5" s="80">
        <f t="shared" si="10"/>
        <v>9.936460006186619E-2</v>
      </c>
      <c r="W5" s="80">
        <f>W4/W$2</f>
        <v>0.10574991818172484</v>
      </c>
      <c r="X5" s="80">
        <f>X4/X$2</f>
        <v>0.1193798305554031</v>
      </c>
      <c r="Y5" s="80">
        <f>Y4/Y$2</f>
        <v>0.12629800210411785</v>
      </c>
      <c r="Z5" s="80">
        <f>Z4/Z$2</f>
        <v>0.12757385000526647</v>
      </c>
      <c r="AA5" s="80">
        <f>AA4/AA$2</f>
        <v>0.12784335044212672</v>
      </c>
    </row>
    <row r="6" spans="1:39">
      <c r="A6" s="15" t="s">
        <v>230</v>
      </c>
      <c r="B6" s="16"/>
      <c r="C6" s="16">
        <f t="shared" ref="C6:N6" si="11">C4/B4-1</f>
        <v>6.8796068796068699E-2</v>
      </c>
      <c r="D6" s="16">
        <f t="shared" si="11"/>
        <v>6.0229885057471177E-2</v>
      </c>
      <c r="E6" s="16">
        <f t="shared" si="11"/>
        <v>-0.83261058109280139</v>
      </c>
      <c r="F6" s="16">
        <f t="shared" si="11"/>
        <v>-0.24611398963730569</v>
      </c>
      <c r="G6" s="16">
        <f t="shared" si="11"/>
        <v>0.865979381443299</v>
      </c>
      <c r="H6" s="16">
        <f t="shared" si="11"/>
        <v>1.1123388581952116</v>
      </c>
      <c r="I6" s="16">
        <f t="shared" si="11"/>
        <v>0.39058413251961643</v>
      </c>
      <c r="J6" s="16">
        <f t="shared" si="11"/>
        <v>0.67460815047021949</v>
      </c>
      <c r="K6" s="16">
        <f t="shared" si="11"/>
        <v>-0.13852489704230631</v>
      </c>
      <c r="L6" s="79">
        <f t="shared" si="11"/>
        <v>-0.3294219904389396</v>
      </c>
      <c r="M6" s="79">
        <f t="shared" si="11"/>
        <v>1.2216461438755672</v>
      </c>
      <c r="N6" s="79">
        <f t="shared" si="11"/>
        <v>0.40256709451575268</v>
      </c>
      <c r="O6" s="79">
        <f t="shared" ref="O6:U6" si="12">O4/N4-1</f>
        <v>0.32237936772046583</v>
      </c>
      <c r="P6" s="79">
        <f t="shared" si="12"/>
        <v>-0.90279962252280588</v>
      </c>
      <c r="Q6" s="79">
        <f t="shared" si="12"/>
        <v>4.7766990291262132</v>
      </c>
      <c r="R6" s="79">
        <f t="shared" si="12"/>
        <v>0.28851540616246507</v>
      </c>
      <c r="S6" s="79">
        <f t="shared" si="12"/>
        <v>4.7391304347826013E-2</v>
      </c>
      <c r="T6" s="79">
        <f t="shared" si="12"/>
        <v>5.7077625570776336E-2</v>
      </c>
      <c r="U6" s="79">
        <f t="shared" si="12"/>
        <v>7.4023169055566385E-2</v>
      </c>
      <c r="V6" s="79">
        <f t="shared" ref="V6:X6" si="13">V4/U4-1</f>
        <v>5.2603939805283773E-2</v>
      </c>
      <c r="W6" s="79">
        <f t="shared" si="13"/>
        <v>0.24497084200148711</v>
      </c>
      <c r="X6" s="79">
        <f t="shared" si="13"/>
        <v>0.29627523741786921</v>
      </c>
      <c r="Y6" s="79">
        <f>Y4/X4-1</f>
        <v>0.15329835942456738</v>
      </c>
      <c r="Z6" s="79">
        <f>Z4/Y4-1</f>
        <v>5.6065127949929794E-2</v>
      </c>
      <c r="AA6" s="79">
        <f>AA4/Z4-1</f>
        <v>3.1752475464048358E-2</v>
      </c>
    </row>
    <row r="7" spans="1:39">
      <c r="A7" s="222" t="s">
        <v>234</v>
      </c>
      <c r="B7" s="222"/>
      <c r="C7" s="222"/>
      <c r="D7" s="222"/>
      <c r="E7" s="222"/>
      <c r="F7" s="225">
        <v>280</v>
      </c>
      <c r="G7" s="225">
        <v>485</v>
      </c>
      <c r="H7" s="223">
        <v>1669</v>
      </c>
      <c r="I7" s="223">
        <v>2216</v>
      </c>
      <c r="J7" s="223">
        <v>2529</v>
      </c>
      <c r="K7" s="223">
        <v>2766</v>
      </c>
      <c r="L7" s="496">
        <v>2811</v>
      </c>
      <c r="M7" s="496">
        <v>3554</v>
      </c>
      <c r="N7" s="496">
        <v>4808</v>
      </c>
      <c r="O7" s="496">
        <v>6358</v>
      </c>
      <c r="P7" s="496">
        <v>618</v>
      </c>
      <c r="Q7" s="496">
        <f>Q136</f>
        <v>3570</v>
      </c>
      <c r="R7" s="496">
        <f>R136</f>
        <v>4600</v>
      </c>
      <c r="S7" s="496">
        <f>S136</f>
        <v>4818</v>
      </c>
      <c r="T7" s="496">
        <f>T136</f>
        <v>5093</v>
      </c>
      <c r="U7" s="496">
        <f t="shared" ref="U7:X7" si="14">U136</f>
        <v>5470</v>
      </c>
      <c r="V7" s="496">
        <f t="shared" si="14"/>
        <v>5757.7435507349028</v>
      </c>
      <c r="W7" s="496">
        <f t="shared" si="14"/>
        <v>7168.2228363870645</v>
      </c>
      <c r="X7" s="496">
        <f t="shared" si="14"/>
        <v>9291.9897591018344</v>
      </c>
      <c r="Y7" s="496">
        <f>Y136</f>
        <v>10716.436544962027</v>
      </c>
      <c r="Z7" s="496">
        <f>Z136</f>
        <v>11317.254931022628</v>
      </c>
      <c r="AA7" s="496">
        <f>AA136</f>
        <v>11676.605790540305</v>
      </c>
    </row>
    <row r="8" spans="1:39">
      <c r="A8" s="136" t="s">
        <v>231</v>
      </c>
      <c r="B8" s="16" t="e">
        <f t="shared" ref="B8:H8" si="15">B7/B$2</f>
        <v>#VALUE!</v>
      </c>
      <c r="C8" s="16">
        <f t="shared" si="15"/>
        <v>0</v>
      </c>
      <c r="D8" s="16">
        <f t="shared" si="15"/>
        <v>0</v>
      </c>
      <c r="E8" s="16">
        <f t="shared" si="15"/>
        <v>0</v>
      </c>
      <c r="F8" s="16">
        <f t="shared" si="15"/>
        <v>1.0118165721099989E-2</v>
      </c>
      <c r="G8" s="16">
        <f t="shared" si="15"/>
        <v>1.5565326229981706E-2</v>
      </c>
      <c r="H8" s="20">
        <f t="shared" si="15"/>
        <v>4.4359982989581118E-2</v>
      </c>
      <c r="I8" s="20">
        <f t="shared" ref="I8:P8" si="16">I7/I$2</f>
        <v>5.5554162801774928E-2</v>
      </c>
      <c r="J8" s="20">
        <f t="shared" si="16"/>
        <v>5.9815515610217598E-2</v>
      </c>
      <c r="K8" s="20">
        <f t="shared" si="16"/>
        <v>6.0321891219958998E-2</v>
      </c>
      <c r="L8" s="498">
        <f t="shared" si="16"/>
        <v>5.7091211893494732E-2</v>
      </c>
      <c r="M8" s="498">
        <f t="shared" si="16"/>
        <v>6.9743710506691786E-2</v>
      </c>
      <c r="N8" s="498">
        <f t="shared" si="16"/>
        <v>0.10022930998540755</v>
      </c>
      <c r="O8" s="498">
        <f t="shared" si="16"/>
        <v>0.11607485166590598</v>
      </c>
      <c r="P8" s="498">
        <f t="shared" si="16"/>
        <v>1.8043795620437956E-2</v>
      </c>
      <c r="Q8" s="498">
        <f>Q7/Q$2</f>
        <v>9.871695608892822E-2</v>
      </c>
      <c r="R8" s="498">
        <f>R7/R$2</f>
        <v>0.11103601428985227</v>
      </c>
      <c r="S8" s="498">
        <f>S7/S$2</f>
        <v>0.10087306073739087</v>
      </c>
      <c r="T8" s="498">
        <f>T7/T$2</f>
        <v>0.10056075504482091</v>
      </c>
      <c r="U8" s="498">
        <f t="shared" ref="U8:V8" si="17">U7/U$2</f>
        <v>0.10403788728911882</v>
      </c>
      <c r="V8" s="498">
        <f t="shared" si="17"/>
        <v>9.936460006186619E-2</v>
      </c>
      <c r="W8" s="498">
        <f>W7/W$2</f>
        <v>0.10574991818172484</v>
      </c>
      <c r="X8" s="498">
        <f>X7/X$2</f>
        <v>0.1193798305554031</v>
      </c>
      <c r="Y8" s="498">
        <f>Y7/Y$2</f>
        <v>0.12629800210411785</v>
      </c>
      <c r="Z8" s="498">
        <f>Z7/Z$2</f>
        <v>0.12757385000526647</v>
      </c>
      <c r="AA8" s="498">
        <f>AA7/AA$2</f>
        <v>0.12784335044212672</v>
      </c>
    </row>
    <row r="9" spans="1:39">
      <c r="A9" s="15" t="s">
        <v>230</v>
      </c>
      <c r="B9" s="16"/>
      <c r="C9" s="16"/>
      <c r="D9" s="16"/>
      <c r="E9" s="16"/>
      <c r="F9" s="16"/>
      <c r="G9" s="16"/>
      <c r="H9" s="16">
        <f t="shared" ref="H9:P9" si="18">H7/G7-1</f>
        <v>2.4412371134020621</v>
      </c>
      <c r="I9" s="16">
        <f t="shared" si="18"/>
        <v>0.32774116237267825</v>
      </c>
      <c r="J9" s="16">
        <f t="shared" si="18"/>
        <v>0.14124548736462095</v>
      </c>
      <c r="K9" s="16">
        <f t="shared" si="18"/>
        <v>9.3712930011862428E-2</v>
      </c>
      <c r="L9" s="79">
        <f t="shared" si="18"/>
        <v>1.626898047722336E-2</v>
      </c>
      <c r="M9" s="79">
        <f t="shared" si="18"/>
        <v>0.26431874777659203</v>
      </c>
      <c r="N9" s="79">
        <f t="shared" si="18"/>
        <v>0.35284186831738884</v>
      </c>
      <c r="O9" s="79">
        <f t="shared" si="18"/>
        <v>0.32237936772046583</v>
      </c>
      <c r="P9" s="79">
        <f t="shared" si="18"/>
        <v>-0.90279962252280588</v>
      </c>
      <c r="Q9" s="79">
        <f>Q7/P7-1</f>
        <v>4.7766990291262132</v>
      </c>
      <c r="R9" s="79">
        <f>R7/Q7-1</f>
        <v>0.28851540616246507</v>
      </c>
      <c r="S9" s="79">
        <f>S7/R7-1</f>
        <v>4.7391304347826013E-2</v>
      </c>
      <c r="T9" s="79">
        <f>T7/S7-1</f>
        <v>5.7077625570776336E-2</v>
      </c>
      <c r="U9" s="79">
        <f>U7/T7-1</f>
        <v>7.4023169055566385E-2</v>
      </c>
      <c r="V9" s="79">
        <f t="shared" ref="V9:X9" si="19">V7/U7-1</f>
        <v>5.2603939805283773E-2</v>
      </c>
      <c r="W9" s="79">
        <f t="shared" si="19"/>
        <v>0.24497084200148711</v>
      </c>
      <c r="X9" s="79">
        <f t="shared" si="19"/>
        <v>0.29627523741786921</v>
      </c>
      <c r="Y9" s="79">
        <f>Y7/X7-1</f>
        <v>0.15329835942456738</v>
      </c>
      <c r="Z9" s="79">
        <f>Z7/Y7-1</f>
        <v>5.6065127949929794E-2</v>
      </c>
      <c r="AA9" s="79">
        <f>AA7/Z7-1</f>
        <v>3.1752475464048358E-2</v>
      </c>
      <c r="AH9" s="915"/>
      <c r="AI9" s="915"/>
      <c r="AJ9" s="915"/>
      <c r="AK9" s="915"/>
      <c r="AL9" s="915"/>
      <c r="AM9" s="915"/>
    </row>
    <row r="10" spans="1:39">
      <c r="A10" s="15"/>
      <c r="B10" s="16"/>
      <c r="C10" s="16"/>
      <c r="D10" s="16"/>
      <c r="E10" s="16"/>
      <c r="F10" s="16"/>
      <c r="G10" s="16"/>
      <c r="H10" s="18"/>
      <c r="I10" s="16"/>
      <c r="J10" s="16"/>
      <c r="K10" s="18"/>
      <c r="L10" s="81"/>
      <c r="M10" s="79"/>
      <c r="N10" s="79"/>
      <c r="O10" s="79"/>
      <c r="P10" s="79"/>
      <c r="Q10" s="79"/>
      <c r="R10" s="79"/>
      <c r="S10" s="79"/>
      <c r="T10" s="79"/>
      <c r="U10" s="79"/>
      <c r="V10" s="30"/>
      <c r="W10" s="30"/>
      <c r="X10" s="30"/>
      <c r="Y10" s="30"/>
      <c r="Z10" s="30"/>
      <c r="AA10" s="30"/>
      <c r="AG10" s="113"/>
      <c r="AH10" s="914"/>
      <c r="AI10" s="914"/>
      <c r="AJ10" s="914"/>
      <c r="AK10" s="914"/>
      <c r="AL10" s="914"/>
      <c r="AM10" s="914"/>
    </row>
    <row r="11" spans="1:39" ht="12.75" customHeight="1">
      <c r="A11" s="13" t="s">
        <v>513</v>
      </c>
      <c r="B11" s="165">
        <v>210115</v>
      </c>
      <c r="C11" s="165">
        <v>283829</v>
      </c>
      <c r="D11" s="165">
        <v>337193</v>
      </c>
      <c r="E11" s="165">
        <v>320321</v>
      </c>
      <c r="F11" s="165">
        <v>378907</v>
      </c>
      <c r="G11" s="165">
        <v>475477</v>
      </c>
      <c r="H11" s="165">
        <v>503218</v>
      </c>
      <c r="I11" s="165">
        <v>625595</v>
      </c>
      <c r="J11" s="165">
        <v>803633</v>
      </c>
      <c r="K11" s="165">
        <v>952450</v>
      </c>
      <c r="L11" s="171">
        <v>1010200</v>
      </c>
      <c r="M11" s="171">
        <v>950354</v>
      </c>
      <c r="N11" s="171">
        <v>411659</v>
      </c>
      <c r="O11" s="171">
        <v>424082</v>
      </c>
      <c r="P11" s="171">
        <v>324675</v>
      </c>
      <c r="Q11" s="171">
        <v>345101</v>
      </c>
      <c r="R11" s="171">
        <v>390456</v>
      </c>
      <c r="S11" s="171">
        <v>490812</v>
      </c>
      <c r="T11" s="171">
        <v>558925</v>
      </c>
      <c r="U11" s="171">
        <v>539693</v>
      </c>
      <c r="V11" s="30"/>
      <c r="W11" s="30"/>
      <c r="X11" s="30"/>
      <c r="Y11" s="30"/>
      <c r="Z11" s="30"/>
      <c r="AA11" s="30"/>
      <c r="AB11" s="913"/>
      <c r="AC11" s="913"/>
      <c r="AD11" s="913"/>
      <c r="AE11" s="913"/>
      <c r="AF11" s="913"/>
      <c r="AG11" s="913"/>
      <c r="AH11" s="914"/>
      <c r="AI11" s="914"/>
      <c r="AJ11" s="914"/>
      <c r="AK11" s="914"/>
      <c r="AL11" s="914"/>
      <c r="AM11" s="914"/>
    </row>
    <row r="12" spans="1:39">
      <c r="A12" s="13" t="s">
        <v>514</v>
      </c>
      <c r="B12" s="165">
        <v>53367</v>
      </c>
      <c r="C12" s="165">
        <v>117323</v>
      </c>
      <c r="D12" s="165">
        <v>82108</v>
      </c>
      <c r="E12" s="165">
        <v>23461</v>
      </c>
      <c r="F12" s="165">
        <v>68210</v>
      </c>
      <c r="G12" s="165">
        <v>117301</v>
      </c>
      <c r="H12" s="165">
        <v>86748</v>
      </c>
      <c r="I12" s="165">
        <v>199261</v>
      </c>
      <c r="J12" s="165">
        <v>150085</v>
      </c>
      <c r="K12" s="165">
        <v>139062</v>
      </c>
      <c r="L12" s="171">
        <v>114938</v>
      </c>
      <c r="M12" s="171">
        <v>143361</v>
      </c>
      <c r="N12" s="171">
        <v>41519</v>
      </c>
      <c r="O12" s="171">
        <v>65769</v>
      </c>
      <c r="P12" s="171">
        <v>16089</v>
      </c>
      <c r="Q12" s="171">
        <v>40004</v>
      </c>
      <c r="R12" s="171">
        <v>59727</v>
      </c>
      <c r="S12" s="171">
        <v>162571</v>
      </c>
      <c r="T12" s="171">
        <v>77413</v>
      </c>
      <c r="U12" s="171">
        <v>92320</v>
      </c>
      <c r="V12" s="30"/>
      <c r="W12" s="30"/>
      <c r="X12" s="30"/>
      <c r="Y12" s="30"/>
      <c r="Z12" s="30"/>
      <c r="AA12" s="30"/>
    </row>
    <row r="13" spans="1:39">
      <c r="A13" s="13" t="s">
        <v>232</v>
      </c>
      <c r="B13" s="17" t="e">
        <f t="shared" ref="B13:T13" si="20">B12/B2</f>
        <v>#VALUE!</v>
      </c>
      <c r="C13" s="17">
        <f t="shared" si="20"/>
        <v>4.6527204949238579</v>
      </c>
      <c r="D13" s="17">
        <f t="shared" si="20"/>
        <v>3.095611521640778</v>
      </c>
      <c r="E13" s="17">
        <f t="shared" si="20"/>
        <v>0.88968524838832008</v>
      </c>
      <c r="F13" s="17">
        <f t="shared" si="20"/>
        <v>2.4648574422722511</v>
      </c>
      <c r="G13" s="17">
        <f t="shared" si="20"/>
        <v>3.7645944991816167</v>
      </c>
      <c r="H13" s="17">
        <f t="shared" si="20"/>
        <v>2.3056559642781203</v>
      </c>
      <c r="I13" s="17">
        <f t="shared" si="20"/>
        <v>4.9953871994785528</v>
      </c>
      <c r="J13" s="17">
        <f t="shared" si="20"/>
        <v>3.5497871333964048</v>
      </c>
      <c r="K13" s="17">
        <f t="shared" si="20"/>
        <v>3.0327125223535569</v>
      </c>
      <c r="L13" s="499">
        <f t="shared" si="20"/>
        <v>2.3343826796921014</v>
      </c>
      <c r="M13" s="499">
        <f t="shared" si="20"/>
        <v>2.8133168491699045</v>
      </c>
      <c r="N13" s="499">
        <f t="shared" si="20"/>
        <v>0.86552011673962892</v>
      </c>
      <c r="O13" s="499">
        <f t="shared" si="20"/>
        <v>1.2007120036513008</v>
      </c>
      <c r="P13" s="499">
        <f t="shared" si="20"/>
        <v>0.46975182481751826</v>
      </c>
      <c r="Q13" s="499">
        <f t="shared" si="20"/>
        <v>1.1061829443645614</v>
      </c>
      <c r="R13" s="499">
        <f t="shared" si="20"/>
        <v>1.4417060924978276</v>
      </c>
      <c r="S13" s="499">
        <f t="shared" si="20"/>
        <v>3.4037016100328708</v>
      </c>
      <c r="T13" s="499">
        <f t="shared" si="20"/>
        <v>1.5285116297437114</v>
      </c>
      <c r="U13" s="499">
        <f t="shared" ref="U13" si="21">U12/U2</f>
        <v>1.7559008692013618</v>
      </c>
      <c r="V13" s="914"/>
      <c r="W13" s="914"/>
      <c r="X13" s="914"/>
      <c r="Y13" s="914"/>
      <c r="Z13" s="914"/>
      <c r="AA13" s="914"/>
    </row>
    <row r="14" spans="1:39" s="35" customFormat="1">
      <c r="A14" s="13" t="s">
        <v>515</v>
      </c>
      <c r="B14" s="165">
        <v>2533</v>
      </c>
      <c r="C14" s="165">
        <v>3421</v>
      </c>
      <c r="D14" s="165">
        <v>3715</v>
      </c>
      <c r="E14" s="165">
        <v>3488</v>
      </c>
      <c r="F14" s="165">
        <v>3552</v>
      </c>
      <c r="G14" s="165">
        <v>4437</v>
      </c>
      <c r="H14" s="165">
        <v>4682</v>
      </c>
      <c r="I14" s="165">
        <v>5559</v>
      </c>
      <c r="J14" s="165">
        <v>6386</v>
      </c>
      <c r="K14" s="165">
        <v>6831</v>
      </c>
      <c r="L14" s="171">
        <v>6874</v>
      </c>
      <c r="M14" s="171">
        <v>7265</v>
      </c>
      <c r="N14" s="171">
        <v>7577</v>
      </c>
      <c r="O14" s="171">
        <v>7482</v>
      </c>
      <c r="P14" s="171">
        <v>7184</v>
      </c>
      <c r="Q14" s="171">
        <v>7082</v>
      </c>
      <c r="R14" s="171">
        <v>7239</v>
      </c>
      <c r="S14" s="171">
        <v>8598</v>
      </c>
      <c r="T14" s="171">
        <v>8658</v>
      </c>
      <c r="U14" s="171">
        <v>8754</v>
      </c>
    </row>
    <row r="15" spans="1:39" s="35" customFormat="1">
      <c r="A15" s="13" t="s">
        <v>516</v>
      </c>
      <c r="B15" s="327" t="s">
        <v>491</v>
      </c>
      <c r="C15" s="327" t="s">
        <v>491</v>
      </c>
      <c r="D15" s="327" t="s">
        <v>491</v>
      </c>
      <c r="E15" s="165">
        <v>271</v>
      </c>
      <c r="F15" s="165">
        <v>5774</v>
      </c>
      <c r="G15" s="165">
        <v>1419</v>
      </c>
      <c r="H15" s="165">
        <v>833</v>
      </c>
      <c r="I15" s="165">
        <v>1503</v>
      </c>
      <c r="J15" s="165">
        <v>1456</v>
      </c>
      <c r="K15" s="165">
        <v>1080</v>
      </c>
      <c r="L15" s="171">
        <v>731</v>
      </c>
      <c r="M15" s="171">
        <v>1109</v>
      </c>
      <c r="N15" s="171">
        <v>747</v>
      </c>
      <c r="O15" s="171">
        <v>768</v>
      </c>
      <c r="P15" s="171">
        <v>268</v>
      </c>
      <c r="Q15" s="171">
        <v>507</v>
      </c>
      <c r="R15" s="171">
        <v>820</v>
      </c>
      <c r="S15" s="171">
        <v>2094</v>
      </c>
      <c r="T15" s="171">
        <v>826</v>
      </c>
      <c r="U15" s="171">
        <v>889</v>
      </c>
    </row>
    <row r="16" spans="1:39" s="35" customFormat="1">
      <c r="A16" s="13"/>
      <c r="B16" s="327"/>
      <c r="C16" s="327"/>
      <c r="D16" s="327"/>
      <c r="E16" s="165"/>
      <c r="F16" s="165"/>
      <c r="G16" s="165"/>
      <c r="H16" s="165"/>
      <c r="I16" s="165"/>
      <c r="J16" s="165"/>
      <c r="K16" s="165"/>
      <c r="L16" s="171"/>
      <c r="M16" s="171"/>
      <c r="N16" s="171"/>
      <c r="O16" s="171"/>
      <c r="P16" s="171"/>
      <c r="Q16" s="171"/>
      <c r="R16" s="171"/>
      <c r="S16" s="171"/>
      <c r="T16" s="171"/>
      <c r="U16" s="30"/>
      <c r="V16" s="30"/>
      <c r="W16" s="30"/>
      <c r="X16" s="30"/>
      <c r="Y16" s="30"/>
      <c r="Z16" s="30"/>
      <c r="AA16" s="30"/>
    </row>
    <row r="17" spans="1:27">
      <c r="A17" s="187" t="s">
        <v>265</v>
      </c>
      <c r="B17" s="187"/>
      <c r="C17" s="187"/>
      <c r="D17" s="187"/>
      <c r="E17" s="187"/>
      <c r="F17" s="187"/>
      <c r="G17" s="187"/>
      <c r="H17" s="187"/>
      <c r="I17" s="187"/>
      <c r="J17" s="187"/>
      <c r="K17" s="187"/>
      <c r="L17" s="501"/>
      <c r="M17" s="501"/>
      <c r="N17" s="501"/>
      <c r="O17" s="501"/>
      <c r="P17" s="501"/>
      <c r="Q17" s="501"/>
      <c r="R17" s="501"/>
      <c r="S17" s="501"/>
      <c r="T17" s="501"/>
      <c r="U17" s="501"/>
      <c r="V17" s="533"/>
      <c r="W17" s="533"/>
      <c r="X17" s="533"/>
      <c r="Y17" s="533"/>
      <c r="Z17" s="533"/>
      <c r="AA17" s="533"/>
    </row>
    <row r="18" spans="1:27">
      <c r="A18" s="32" t="s">
        <v>299</v>
      </c>
      <c r="B18" s="32"/>
      <c r="C18" s="32"/>
      <c r="D18" s="32"/>
      <c r="E18" s="32"/>
      <c r="F18" s="32"/>
      <c r="G18" s="32"/>
      <c r="H18" s="303">
        <f t="shared" ref="H18:X18" si="22">H21/H19</f>
        <v>0.47499693943298971</v>
      </c>
      <c r="I18" s="303">
        <f t="shared" si="22"/>
        <v>0.47499999999999998</v>
      </c>
      <c r="J18" s="303">
        <f t="shared" si="22"/>
        <v>0.42913495578281879</v>
      </c>
      <c r="K18" s="303">
        <f t="shared" si="22"/>
        <v>0.44393621332638372</v>
      </c>
      <c r="L18" s="303">
        <f t="shared" si="22"/>
        <v>0.39335998996727811</v>
      </c>
      <c r="M18" s="303">
        <f t="shared" si="22"/>
        <v>0.40388287939549694</v>
      </c>
      <c r="N18" s="303">
        <f t="shared" si="22"/>
        <v>0.42195627609842623</v>
      </c>
      <c r="O18" s="303">
        <f t="shared" si="22"/>
        <v>0.3712838094507524</v>
      </c>
      <c r="P18" s="303">
        <f t="shared" si="22"/>
        <v>0.40068503790765136</v>
      </c>
      <c r="Q18" s="303">
        <f t="shared" si="22"/>
        <v>0.39458672305067327</v>
      </c>
      <c r="R18" s="303">
        <f t="shared" si="22"/>
        <v>0.40434204900500831</v>
      </c>
      <c r="S18" s="303">
        <f t="shared" si="22"/>
        <v>0.40380400440683595</v>
      </c>
      <c r="T18" s="303">
        <f t="shared" si="22"/>
        <v>0.3997352488655459</v>
      </c>
      <c r="U18" s="303">
        <f t="shared" si="22"/>
        <v>0.38562289952398138</v>
      </c>
      <c r="V18" s="303">
        <f t="shared" si="22"/>
        <v>0.4</v>
      </c>
      <c r="W18" s="303">
        <f t="shared" si="22"/>
        <v>0.4</v>
      </c>
      <c r="X18" s="303">
        <f t="shared" si="22"/>
        <v>0.39999999999999997</v>
      </c>
      <c r="Y18" s="303">
        <f>Y21/Y19</f>
        <v>0.4</v>
      </c>
      <c r="Z18" s="303">
        <f>Z21/Z19</f>
        <v>0.40000000000000008</v>
      </c>
      <c r="AA18" s="303">
        <f>AA21/AA19</f>
        <v>0.4</v>
      </c>
    </row>
    <row r="19" spans="1:27">
      <c r="A19" s="113" t="s">
        <v>429</v>
      </c>
      <c r="H19" s="19">
        <v>49664</v>
      </c>
      <c r="I19" s="19">
        <f t="shared" ref="I19:U19" si="23">I2*I50</f>
        <v>53816.244350000001</v>
      </c>
      <c r="J19" s="19">
        <f t="shared" si="23"/>
        <v>56625.543252873584</v>
      </c>
      <c r="K19" s="19">
        <f t="shared" si="23"/>
        <v>56314.39663972603</v>
      </c>
      <c r="L19" s="30">
        <f t="shared" si="23"/>
        <v>59741.713950000005</v>
      </c>
      <c r="M19" s="30">
        <f t="shared" si="23"/>
        <v>61651.536299999992</v>
      </c>
      <c r="N19" s="502">
        <f t="shared" si="23"/>
        <v>58062.887999999999</v>
      </c>
      <c r="O19" s="30">
        <f t="shared" si="23"/>
        <v>64640.577878964563</v>
      </c>
      <c r="P19" s="30">
        <f t="shared" si="23"/>
        <v>39931.613327891791</v>
      </c>
      <c r="Q19" s="30">
        <f t="shared" si="23"/>
        <v>43083.051220192327</v>
      </c>
      <c r="R19" s="30">
        <f t="shared" si="23"/>
        <v>46989.918675919507</v>
      </c>
      <c r="S19" s="30">
        <f t="shared" si="23"/>
        <v>54481.876751858101</v>
      </c>
      <c r="T19" s="30">
        <f t="shared" si="23"/>
        <v>58038.41434009614</v>
      </c>
      <c r="U19" s="30">
        <f t="shared" si="23"/>
        <v>60940.364353384481</v>
      </c>
      <c r="V19" s="30">
        <f>V36</f>
        <v>69112.231548073512</v>
      </c>
      <c r="W19" s="30">
        <f t="shared" ref="W19:AA19" si="24">W36</f>
        <v>81739.106862742003</v>
      </c>
      <c r="X19" s="30">
        <f t="shared" si="24"/>
        <v>94332.289766970192</v>
      </c>
      <c r="Y19" s="30">
        <f t="shared" si="24"/>
        <v>102703.36062246851</v>
      </c>
      <c r="Z19" s="30">
        <f t="shared" si="24"/>
        <v>107467.30766001498</v>
      </c>
      <c r="AA19" s="30">
        <f t="shared" si="24"/>
        <v>110533.89344329745</v>
      </c>
    </row>
    <row r="20" spans="1:27">
      <c r="A20" s="113" t="s">
        <v>512</v>
      </c>
      <c r="B20" s="25"/>
      <c r="C20" s="25"/>
      <c r="D20" s="25"/>
      <c r="E20" s="25"/>
      <c r="F20" s="25"/>
      <c r="G20" s="25"/>
      <c r="H20" s="304">
        <f t="shared" ref="H20:U20" si="25">H21/H19</f>
        <v>0.47499693943298971</v>
      </c>
      <c r="I20" s="304">
        <f t="shared" si="25"/>
        <v>0.47499999999999998</v>
      </c>
      <c r="J20" s="304">
        <f t="shared" si="25"/>
        <v>0.42913495578281879</v>
      </c>
      <c r="K20" s="304">
        <f t="shared" si="25"/>
        <v>0.44393621332638372</v>
      </c>
      <c r="L20" s="304">
        <f t="shared" si="25"/>
        <v>0.39335998996727811</v>
      </c>
      <c r="M20" s="304">
        <f t="shared" si="25"/>
        <v>0.40388287939549694</v>
      </c>
      <c r="N20" s="304">
        <f t="shared" si="25"/>
        <v>0.42195627609842623</v>
      </c>
      <c r="O20" s="304">
        <f t="shared" si="25"/>
        <v>0.3712838094507524</v>
      </c>
      <c r="P20" s="304">
        <f t="shared" si="25"/>
        <v>0.40068503790765136</v>
      </c>
      <c r="Q20" s="304">
        <f t="shared" si="25"/>
        <v>0.39458672305067327</v>
      </c>
      <c r="R20" s="304">
        <f t="shared" si="25"/>
        <v>0.40434204900500831</v>
      </c>
      <c r="S20" s="304">
        <f t="shared" si="25"/>
        <v>0.40380400440683595</v>
      </c>
      <c r="T20" s="304">
        <f t="shared" si="25"/>
        <v>0.3997352488655459</v>
      </c>
      <c r="U20" s="304">
        <f t="shared" si="25"/>
        <v>0.38562289952398138</v>
      </c>
      <c r="V20" s="622">
        <v>0.4</v>
      </c>
      <c r="W20" s="622">
        <v>0.4</v>
      </c>
      <c r="X20" s="622">
        <v>0.4</v>
      </c>
      <c r="Y20" s="622">
        <v>0.4</v>
      </c>
      <c r="Z20" s="622">
        <v>0.4</v>
      </c>
      <c r="AA20" s="622">
        <v>0.4</v>
      </c>
    </row>
    <row r="21" spans="1:27" ht="12.75" customHeight="1">
      <c r="A21" s="13" t="s">
        <v>266</v>
      </c>
      <c r="H21" s="19">
        <v>23590.248</v>
      </c>
      <c r="I21" s="19">
        <v>25562.716066249999</v>
      </c>
      <c r="J21" s="19">
        <v>24300</v>
      </c>
      <c r="K21" s="19">
        <v>25000</v>
      </c>
      <c r="L21" s="30">
        <v>23500</v>
      </c>
      <c r="M21" s="30">
        <v>24900</v>
      </c>
      <c r="N21" s="30">
        <v>24500</v>
      </c>
      <c r="O21" s="30">
        <v>24000</v>
      </c>
      <c r="P21" s="30">
        <v>16000</v>
      </c>
      <c r="Q21" s="30">
        <v>17000</v>
      </c>
      <c r="R21" s="30">
        <v>19000</v>
      </c>
      <c r="S21" s="30">
        <v>22000</v>
      </c>
      <c r="T21" s="30">
        <v>23200</v>
      </c>
      <c r="U21" s="137">
        <v>23500</v>
      </c>
      <c r="V21" s="137">
        <f t="shared" ref="V21:X21" si="26">V20*V19</f>
        <v>27644.892619229406</v>
      </c>
      <c r="W21" s="137">
        <f t="shared" si="26"/>
        <v>32695.642745096804</v>
      </c>
      <c r="X21" s="137">
        <f t="shared" si="26"/>
        <v>37732.915906788076</v>
      </c>
      <c r="Y21" s="137">
        <f>Y20*Y19</f>
        <v>41081.344248987407</v>
      </c>
      <c r="Z21" s="137">
        <f>Z20*Z19</f>
        <v>42986.923064005998</v>
      </c>
      <c r="AA21" s="137">
        <f>AA20*AA19</f>
        <v>44213.557377318983</v>
      </c>
    </row>
    <row r="22" spans="1:27" ht="12.75" customHeight="1">
      <c r="A22" s="13" t="s">
        <v>267</v>
      </c>
      <c r="H22" s="165">
        <v>22200</v>
      </c>
      <c r="I22" s="165">
        <v>23500</v>
      </c>
      <c r="J22" s="165">
        <v>24300</v>
      </c>
      <c r="K22" s="165">
        <v>25000</v>
      </c>
      <c r="L22" s="171">
        <v>23500</v>
      </c>
      <c r="M22" s="171">
        <v>24900</v>
      </c>
      <c r="N22" s="171">
        <v>24500</v>
      </c>
      <c r="O22" s="171">
        <v>24800</v>
      </c>
      <c r="P22" s="171">
        <v>17100</v>
      </c>
      <c r="Q22" s="171">
        <v>20900</v>
      </c>
      <c r="R22" s="171">
        <v>20300</v>
      </c>
      <c r="S22" s="171">
        <v>22400</v>
      </c>
      <c r="T22" s="171">
        <v>23200</v>
      </c>
      <c r="U22" s="171">
        <v>23600</v>
      </c>
      <c r="V22" s="523">
        <v>25700</v>
      </c>
      <c r="W22" s="523">
        <v>25300</v>
      </c>
      <c r="X22" s="523">
        <v>19400</v>
      </c>
      <c r="Y22" s="523">
        <v>9400</v>
      </c>
      <c r="Z22" s="523">
        <v>4200</v>
      </c>
      <c r="AA22" s="523">
        <v>400</v>
      </c>
    </row>
    <row r="23" spans="1:27">
      <c r="A23" s="13" t="s">
        <v>386</v>
      </c>
      <c r="J23" s="16">
        <f>J22/J21</f>
        <v>1</v>
      </c>
      <c r="K23" s="16">
        <f t="shared" ref="K23:T23" si="27">K22/K21</f>
        <v>1</v>
      </c>
      <c r="L23" s="16">
        <f t="shared" si="27"/>
        <v>1</v>
      </c>
      <c r="M23" s="16">
        <f t="shared" si="27"/>
        <v>1</v>
      </c>
      <c r="N23" s="16">
        <f t="shared" si="27"/>
        <v>1</v>
      </c>
      <c r="O23" s="16">
        <f t="shared" si="27"/>
        <v>1.0333333333333334</v>
      </c>
      <c r="P23" s="16">
        <f t="shared" si="27"/>
        <v>1.0687500000000001</v>
      </c>
      <c r="Q23" s="16">
        <f t="shared" si="27"/>
        <v>1.2294117647058824</v>
      </c>
      <c r="R23" s="16">
        <f t="shared" si="27"/>
        <v>1.0684210526315789</v>
      </c>
      <c r="S23" s="16">
        <f t="shared" si="27"/>
        <v>1.0181818181818181</v>
      </c>
      <c r="T23" s="16">
        <f t="shared" si="27"/>
        <v>1</v>
      </c>
      <c r="U23" s="79">
        <f t="shared" ref="U23:X23" si="28">U22/U21</f>
        <v>1.0042553191489361</v>
      </c>
      <c r="V23" s="79">
        <f t="shared" si="28"/>
        <v>0.92964730787644423</v>
      </c>
      <c r="W23" s="79">
        <f t="shared" si="28"/>
        <v>0.77380341463983326</v>
      </c>
      <c r="X23" s="79">
        <f t="shared" si="28"/>
        <v>0.51413996331277378</v>
      </c>
      <c r="Y23" s="79">
        <f>Y22/Y21</f>
        <v>0.22881432367519705</v>
      </c>
      <c r="Z23" s="79">
        <f>Z22/Z21</f>
        <v>9.7704131876253375E-2</v>
      </c>
      <c r="AA23" s="79">
        <f>AA22/AA21</f>
        <v>9.046998787869423E-3</v>
      </c>
    </row>
    <row r="24" spans="1:27">
      <c r="A24" s="114" t="s">
        <v>683</v>
      </c>
      <c r="B24" s="233"/>
      <c r="C24" s="233"/>
      <c r="D24" s="233"/>
      <c r="E24" s="233"/>
      <c r="F24" s="233"/>
      <c r="G24" s="233"/>
      <c r="H24" s="629">
        <v>1.357</v>
      </c>
      <c r="I24" s="629">
        <v>1.37</v>
      </c>
      <c r="J24" s="629">
        <v>1.35</v>
      </c>
      <c r="K24" s="629">
        <v>1.34</v>
      </c>
      <c r="L24" s="504">
        <v>1.32</v>
      </c>
      <c r="M24" s="504">
        <v>1.29</v>
      </c>
      <c r="N24" s="504">
        <v>1.24</v>
      </c>
      <c r="O24" s="504">
        <v>1.24</v>
      </c>
      <c r="P24" s="504">
        <v>1.19</v>
      </c>
      <c r="Q24" s="683">
        <v>1.2</v>
      </c>
      <c r="R24" s="683">
        <v>1.2150000000000001</v>
      </c>
      <c r="S24" s="683">
        <v>1.2</v>
      </c>
      <c r="T24" s="683">
        <v>1.21</v>
      </c>
      <c r="U24" s="683">
        <f>(1.18*0.75)+(1.21*0.25)</f>
        <v>1.1875</v>
      </c>
      <c r="V24" s="684">
        <v>1.21</v>
      </c>
      <c r="W24" s="684">
        <v>1.23</v>
      </c>
      <c r="X24" s="684">
        <v>1.22</v>
      </c>
      <c r="Y24" s="684">
        <v>1.21</v>
      </c>
      <c r="Z24" s="684">
        <v>1.24</v>
      </c>
      <c r="AA24" s="684">
        <v>1.19</v>
      </c>
    </row>
    <row r="25" spans="1:27">
      <c r="A25" s="13" t="s">
        <v>263</v>
      </c>
      <c r="H25" s="30">
        <f>H22/H24</f>
        <v>16359.616801768607</v>
      </c>
      <c r="I25" s="30">
        <f t="shared" ref="I25:Z25" si="29">I22/I24</f>
        <v>17153.284671532845</v>
      </c>
      <c r="J25" s="30">
        <f t="shared" si="29"/>
        <v>18000</v>
      </c>
      <c r="K25" s="30">
        <f t="shared" si="29"/>
        <v>18656.716417910447</v>
      </c>
      <c r="L25" s="30">
        <f t="shared" si="29"/>
        <v>17803.030303030304</v>
      </c>
      <c r="M25" s="30">
        <f t="shared" si="29"/>
        <v>19302.325581395347</v>
      </c>
      <c r="N25" s="30">
        <f t="shared" si="29"/>
        <v>19758.064516129034</v>
      </c>
      <c r="O25" s="30">
        <f t="shared" si="29"/>
        <v>20000</v>
      </c>
      <c r="P25" s="30">
        <f t="shared" si="29"/>
        <v>14369.747899159665</v>
      </c>
      <c r="Q25" s="30">
        <f t="shared" si="29"/>
        <v>17416.666666666668</v>
      </c>
      <c r="R25" s="30">
        <f t="shared" si="29"/>
        <v>16707.81893004115</v>
      </c>
      <c r="S25" s="30">
        <f t="shared" si="29"/>
        <v>18666.666666666668</v>
      </c>
      <c r="T25" s="30">
        <f t="shared" si="29"/>
        <v>19173.553719008265</v>
      </c>
      <c r="U25" s="30">
        <f t="shared" si="29"/>
        <v>19873.684210526317</v>
      </c>
      <c r="V25" s="30">
        <f t="shared" si="29"/>
        <v>21239.669421487604</v>
      </c>
      <c r="W25" s="30">
        <f t="shared" si="29"/>
        <v>20569.10569105691</v>
      </c>
      <c r="X25" s="30">
        <f t="shared" si="29"/>
        <v>15901.639344262296</v>
      </c>
      <c r="Y25" s="30">
        <f t="shared" si="29"/>
        <v>7768.5950413223145</v>
      </c>
      <c r="Z25" s="30">
        <f t="shared" si="29"/>
        <v>3387.0967741935483</v>
      </c>
      <c r="AA25" s="30">
        <f t="shared" ref="AA25" si="30">AA22/AA24</f>
        <v>336.1344537815126</v>
      </c>
    </row>
    <row r="26" spans="1:27">
      <c r="A26" s="13" t="s">
        <v>261</v>
      </c>
      <c r="B26" s="19"/>
      <c r="C26" s="19"/>
      <c r="D26" s="19"/>
      <c r="E26" s="19"/>
      <c r="F26" s="19"/>
      <c r="G26" s="19"/>
      <c r="H26" s="19">
        <f>H21/H24</f>
        <v>17384.11790714812</v>
      </c>
      <c r="I26" s="19">
        <f>I21/I24</f>
        <v>18658.916836678829</v>
      </c>
      <c r="J26" s="19">
        <f>J25</f>
        <v>18000</v>
      </c>
      <c r="K26" s="19">
        <f t="shared" ref="K26:X26" si="31">K21/K24</f>
        <v>18656.716417910447</v>
      </c>
      <c r="L26" s="30">
        <f t="shared" si="31"/>
        <v>17803.030303030304</v>
      </c>
      <c r="M26" s="30">
        <f t="shared" si="31"/>
        <v>19302.325581395347</v>
      </c>
      <c r="N26" s="30">
        <f t="shared" si="31"/>
        <v>19758.064516129034</v>
      </c>
      <c r="O26" s="30">
        <f t="shared" si="31"/>
        <v>19354.83870967742</v>
      </c>
      <c r="P26" s="30">
        <f t="shared" si="31"/>
        <v>13445.378151260506</v>
      </c>
      <c r="Q26" s="30">
        <f t="shared" si="31"/>
        <v>14166.666666666668</v>
      </c>
      <c r="R26" s="30">
        <f t="shared" si="31"/>
        <v>15637.860082304525</v>
      </c>
      <c r="S26" s="30">
        <f t="shared" si="31"/>
        <v>18333.333333333336</v>
      </c>
      <c r="T26" s="30">
        <f t="shared" si="31"/>
        <v>19173.553719008265</v>
      </c>
      <c r="U26" s="30">
        <f t="shared" si="31"/>
        <v>19789.473684210527</v>
      </c>
      <c r="V26" s="30">
        <f t="shared" si="31"/>
        <v>22847.018693578022</v>
      </c>
      <c r="W26" s="30">
        <f t="shared" si="31"/>
        <v>26581.823369997401</v>
      </c>
      <c r="X26" s="30">
        <f t="shared" si="31"/>
        <v>30928.619595727931</v>
      </c>
      <c r="Y26" s="30">
        <f>Y21/Y24</f>
        <v>33951.524172716869</v>
      </c>
      <c r="Z26" s="30">
        <f>Z21/Z24</f>
        <v>34666.873438714516</v>
      </c>
      <c r="AA26" s="30">
        <f>AA21/AA24</f>
        <v>37154.249896906709</v>
      </c>
    </row>
    <row r="27" spans="1:27">
      <c r="A27" s="113" t="s">
        <v>262</v>
      </c>
      <c r="B27" s="19"/>
      <c r="C27" s="19"/>
      <c r="D27" s="19"/>
      <c r="E27" s="19"/>
      <c r="F27" s="19"/>
      <c r="G27" s="34"/>
      <c r="H27" s="19">
        <f t="shared" ref="H27:P27" si="32">IF(H26-H25&lt;0,0,H26-H25)</f>
        <v>1024.5011053795133</v>
      </c>
      <c r="I27" s="19">
        <f t="shared" si="32"/>
        <v>1505.6321651459839</v>
      </c>
      <c r="J27" s="19">
        <f>IF(J26-J25&lt;0,0,J26-J25)</f>
        <v>0</v>
      </c>
      <c r="K27" s="19">
        <f>IF(K26-K25&lt;0,0,K26-K25)</f>
        <v>0</v>
      </c>
      <c r="L27" s="30">
        <f t="shared" si="32"/>
        <v>0</v>
      </c>
      <c r="M27" s="30">
        <f t="shared" si="32"/>
        <v>0</v>
      </c>
      <c r="N27" s="30">
        <f t="shared" si="32"/>
        <v>0</v>
      </c>
      <c r="O27" s="30">
        <f t="shared" si="32"/>
        <v>0</v>
      </c>
      <c r="P27" s="30">
        <f t="shared" si="32"/>
        <v>0</v>
      </c>
      <c r="Q27" s="30">
        <f t="shared" ref="Q27:V27" si="33">IF(Q26-Q25&lt;0,0,Q26-Q25)</f>
        <v>0</v>
      </c>
      <c r="R27" s="30">
        <f t="shared" si="33"/>
        <v>0</v>
      </c>
      <c r="S27" s="30">
        <f t="shared" si="33"/>
        <v>0</v>
      </c>
      <c r="T27" s="30">
        <f>IF(T26-T25&lt;0,0,T26-T25)</f>
        <v>0</v>
      </c>
      <c r="U27" s="30">
        <f t="shared" si="33"/>
        <v>0</v>
      </c>
      <c r="V27" s="30">
        <f t="shared" si="33"/>
        <v>1607.3492720904178</v>
      </c>
      <c r="W27" s="30">
        <f>IF(W26-W25&lt;0,0,W26-W25)</f>
        <v>6012.7176789404912</v>
      </c>
      <c r="X27" s="30">
        <f>IF(X26-X25&lt;0,0,X26-X25)</f>
        <v>15026.980251465635</v>
      </c>
      <c r="Y27" s="30">
        <f>IF(Y26-Y25&lt;0,0,Y26-Y25)</f>
        <v>26182.929131394554</v>
      </c>
      <c r="Z27" s="30">
        <f>IF(Z26-Z25&lt;0,0,Z26-Z25)</f>
        <v>31279.776664520967</v>
      </c>
      <c r="AA27" s="30">
        <f>IF(AA26-AA25&lt;0,0,AA26-AA25)</f>
        <v>36818.1154431252</v>
      </c>
    </row>
    <row r="28" spans="1:27">
      <c r="A28" s="13" t="s">
        <v>264</v>
      </c>
      <c r="B28" s="19"/>
      <c r="C28" s="19"/>
      <c r="D28" s="19"/>
      <c r="E28" s="19"/>
      <c r="F28" s="19"/>
      <c r="G28" s="19"/>
      <c r="H28" s="19"/>
      <c r="I28" s="19"/>
      <c r="J28" s="18"/>
      <c r="K28" s="18"/>
      <c r="L28" s="505"/>
      <c r="M28" s="506">
        <v>1.1296999999999999</v>
      </c>
      <c r="N28" s="506">
        <v>1.1808000000000001</v>
      </c>
      <c r="O28" s="506">
        <v>1.1202219216417912</v>
      </c>
      <c r="P28" s="506">
        <v>1.1417730410447762</v>
      </c>
      <c r="Q28" s="506">
        <v>1.1826485576923091</v>
      </c>
      <c r="R28" s="506">
        <v>1.0535101224253887</v>
      </c>
      <c r="S28" s="506">
        <v>1.0813423257273662</v>
      </c>
      <c r="T28" s="506">
        <v>1.0819249038461534</v>
      </c>
      <c r="U28" s="506">
        <v>1.1306377542797983</v>
      </c>
      <c r="V28" s="507">
        <v>1.182812</v>
      </c>
      <c r="W28" s="507">
        <v>1.197354</v>
      </c>
      <c r="X28" s="507">
        <v>1.212097</v>
      </c>
      <c r="Y28" s="507">
        <v>1.212097</v>
      </c>
      <c r="Z28" s="507">
        <v>1.212097</v>
      </c>
      <c r="AA28" s="507">
        <f>Z28</f>
        <v>1.212097</v>
      </c>
    </row>
    <row r="29" spans="1:27">
      <c r="A29" s="13" t="s">
        <v>684</v>
      </c>
      <c r="G29" s="168">
        <v>1.3740000000000001</v>
      </c>
      <c r="H29" s="168">
        <v>1.357</v>
      </c>
      <c r="I29" s="18">
        <f>I24</f>
        <v>1.37</v>
      </c>
      <c r="J29" s="18">
        <f>((J25*J24)+(J27*J28))/J26</f>
        <v>1.35</v>
      </c>
      <c r="K29" s="18">
        <f>((K25*K24)+(K27*K28))/K26</f>
        <v>1.34</v>
      </c>
      <c r="L29" s="81">
        <f t="shared" ref="L29:T29" si="34">L24</f>
        <v>1.32</v>
      </c>
      <c r="M29" s="81">
        <f t="shared" si="34"/>
        <v>1.29</v>
      </c>
      <c r="N29" s="81">
        <f t="shared" si="34"/>
        <v>1.24</v>
      </c>
      <c r="O29" s="81">
        <f t="shared" si="34"/>
        <v>1.24</v>
      </c>
      <c r="P29" s="81">
        <f t="shared" si="34"/>
        <v>1.19</v>
      </c>
      <c r="Q29" s="81">
        <f t="shared" si="34"/>
        <v>1.2</v>
      </c>
      <c r="R29" s="81">
        <f t="shared" si="34"/>
        <v>1.2150000000000001</v>
      </c>
      <c r="S29" s="81">
        <f t="shared" si="34"/>
        <v>1.2</v>
      </c>
      <c r="T29" s="81">
        <f t="shared" si="34"/>
        <v>1.21</v>
      </c>
      <c r="U29" s="81">
        <f t="shared" ref="U29" si="35">((U25*U24)+(U27*U28))/U26</f>
        <v>1.1925531914893617</v>
      </c>
      <c r="V29" s="81">
        <f t="shared" ref="V29:AA29" si="36">V21/(V22/V24+(V21-V22)/V28)</f>
        <v>1.2080464438815453</v>
      </c>
      <c r="W29" s="81">
        <f t="shared" si="36"/>
        <v>1.2224607460183137</v>
      </c>
      <c r="X29" s="81">
        <f t="shared" si="36"/>
        <v>1.2161474169819098</v>
      </c>
      <c r="Y29" s="81">
        <f t="shared" si="36"/>
        <v>1.2116165353286577</v>
      </c>
      <c r="Z29" s="81">
        <f t="shared" si="36"/>
        <v>1.2147677633172642</v>
      </c>
      <c r="AA29" s="81">
        <f t="shared" si="36"/>
        <v>1.2118934105306041</v>
      </c>
    </row>
    <row r="30" spans="1:27">
      <c r="A30" s="13" t="s">
        <v>685</v>
      </c>
      <c r="H30" s="19">
        <f>H26/H29</f>
        <v>12810.698531428239</v>
      </c>
      <c r="I30" s="19">
        <f>I26/I29</f>
        <v>13619.647326042939</v>
      </c>
      <c r="J30" s="19">
        <f>J26/J29</f>
        <v>13333.333333333332</v>
      </c>
      <c r="K30" s="19">
        <f>K26/K29</f>
        <v>13922.922699933169</v>
      </c>
      <c r="L30" s="30">
        <f t="shared" ref="L30:X30" si="37">L21/L29</f>
        <v>17803.030303030304</v>
      </c>
      <c r="M30" s="30">
        <f t="shared" si="37"/>
        <v>19302.325581395347</v>
      </c>
      <c r="N30" s="30">
        <f t="shared" si="37"/>
        <v>19758.064516129034</v>
      </c>
      <c r="O30" s="30">
        <f t="shared" si="37"/>
        <v>19354.83870967742</v>
      </c>
      <c r="P30" s="30">
        <f t="shared" si="37"/>
        <v>13445.378151260506</v>
      </c>
      <c r="Q30" s="30">
        <f t="shared" si="37"/>
        <v>14166.666666666668</v>
      </c>
      <c r="R30" s="30">
        <f t="shared" si="37"/>
        <v>15637.860082304525</v>
      </c>
      <c r="S30" s="30">
        <f t="shared" si="37"/>
        <v>18333.333333333336</v>
      </c>
      <c r="T30" s="30">
        <f t="shared" si="37"/>
        <v>19173.553719008265</v>
      </c>
      <c r="U30" s="30">
        <f t="shared" si="37"/>
        <v>19705.619982158787</v>
      </c>
      <c r="V30" s="30">
        <f t="shared" si="37"/>
        <v>22883.965065452499</v>
      </c>
      <c r="W30" s="30">
        <f t="shared" si="37"/>
        <v>26745.760836566766</v>
      </c>
      <c r="X30" s="30">
        <f t="shared" si="37"/>
        <v>31026.597088393399</v>
      </c>
      <c r="Y30" s="30">
        <f>Y21/Y29</f>
        <v>33906.226145918241</v>
      </c>
      <c r="Z30" s="30">
        <f>Z21/Z29</f>
        <v>35386.947499016722</v>
      </c>
      <c r="AA30" s="30">
        <f>AA21/AA29</f>
        <v>36483.041324534417</v>
      </c>
    </row>
    <row r="31" spans="1:27">
      <c r="A31" s="13" t="s">
        <v>268</v>
      </c>
      <c r="H31" s="19">
        <f>H26/G29</f>
        <v>12652.196438972431</v>
      </c>
      <c r="I31" s="19">
        <f>I26/H29</f>
        <v>13750.122945231267</v>
      </c>
      <c r="J31" s="19">
        <f>J26/I29</f>
        <v>13138.686131386859</v>
      </c>
      <c r="K31" s="19">
        <f>K26/J29</f>
        <v>13819.789939192924</v>
      </c>
      <c r="L31" s="30">
        <f t="shared" ref="L31:X31" si="38">L21/K29</f>
        <v>17537.313432835821</v>
      </c>
      <c r="M31" s="30">
        <f t="shared" si="38"/>
        <v>18863.636363636364</v>
      </c>
      <c r="N31" s="30">
        <f t="shared" si="38"/>
        <v>18992.248062015504</v>
      </c>
      <c r="O31" s="30">
        <f t="shared" si="38"/>
        <v>19354.83870967742</v>
      </c>
      <c r="P31" s="30">
        <f t="shared" si="38"/>
        <v>12903.225806451614</v>
      </c>
      <c r="Q31" s="30">
        <f t="shared" si="38"/>
        <v>14285.714285714286</v>
      </c>
      <c r="R31" s="30">
        <f t="shared" si="38"/>
        <v>15833.333333333334</v>
      </c>
      <c r="S31" s="30">
        <f t="shared" si="38"/>
        <v>18106.99588477366</v>
      </c>
      <c r="T31" s="30">
        <f t="shared" si="38"/>
        <v>19333.333333333336</v>
      </c>
      <c r="U31" s="30">
        <f t="shared" si="38"/>
        <v>19421.487603305784</v>
      </c>
      <c r="V31" s="30">
        <f t="shared" si="38"/>
        <v>23181.265889451955</v>
      </c>
      <c r="W31" s="30">
        <f t="shared" si="38"/>
        <v>27064.888863083121</v>
      </c>
      <c r="X31" s="30">
        <f t="shared" si="38"/>
        <v>30866.361991326303</v>
      </c>
      <c r="Y31" s="30">
        <f>Y21/X29</f>
        <v>33779.905030706068</v>
      </c>
      <c r="Z31" s="30">
        <f>Z21/Y29</f>
        <v>35478.983498971116</v>
      </c>
      <c r="AA31" s="30">
        <f>AA21/Z29</f>
        <v>36396.716074010277</v>
      </c>
    </row>
    <row r="32" spans="1:27">
      <c r="A32" s="31" t="s">
        <v>213</v>
      </c>
      <c r="B32" s="31"/>
      <c r="C32" s="31"/>
      <c r="D32" s="31"/>
      <c r="E32" s="31"/>
      <c r="F32" s="31"/>
      <c r="G32" s="31"/>
      <c r="H32" s="33">
        <f>(H30-H31)</f>
        <v>158.50209245580845</v>
      </c>
      <c r="I32" s="33">
        <f>(I30-I31)</f>
        <v>-130.47561918832798</v>
      </c>
      <c r="J32" s="33">
        <f t="shared" ref="J32:O32" si="39">(J30-J31)</f>
        <v>194.64720194647271</v>
      </c>
      <c r="K32" s="33">
        <f t="shared" si="39"/>
        <v>103.13276074024543</v>
      </c>
      <c r="L32" s="82">
        <f>(L30-L31)</f>
        <v>265.71687019448291</v>
      </c>
      <c r="M32" s="82">
        <f t="shared" si="39"/>
        <v>438.68921775898343</v>
      </c>
      <c r="N32" s="82">
        <f t="shared" si="39"/>
        <v>765.8164541135302</v>
      </c>
      <c r="O32" s="82">
        <f t="shared" si="39"/>
        <v>0</v>
      </c>
      <c r="P32" s="82">
        <f>MAX((P30-P31),0)</f>
        <v>542.15234480889194</v>
      </c>
      <c r="Q32" s="508">
        <f t="shared" ref="Q32:V32" si="40">(Q30-Q31)</f>
        <v>-119.04761904761835</v>
      </c>
      <c r="R32" s="508">
        <f t="shared" si="40"/>
        <v>-195.47325102880859</v>
      </c>
      <c r="S32" s="508">
        <f t="shared" si="40"/>
        <v>226.33744855967598</v>
      </c>
      <c r="T32" s="508">
        <f t="shared" si="40"/>
        <v>-159.77961432507072</v>
      </c>
      <c r="U32" s="508">
        <f t="shared" si="40"/>
        <v>284.13237885300259</v>
      </c>
      <c r="V32" s="508">
        <f t="shared" si="40"/>
        <v>-297.30082399945604</v>
      </c>
      <c r="W32" s="508">
        <f>(W30-W31)</f>
        <v>-319.12802651635502</v>
      </c>
      <c r="X32" s="508">
        <f>(X30-X31)</f>
        <v>160.23509706709592</v>
      </c>
      <c r="Y32" s="508">
        <f>(Y30-Y31)</f>
        <v>126.32111521217303</v>
      </c>
      <c r="Z32" s="508">
        <f>(Z30-Z31)</f>
        <v>-92.035999954394356</v>
      </c>
      <c r="AA32" s="508">
        <f>(AA30-AA31)</f>
        <v>86.325250524139847</v>
      </c>
    </row>
    <row r="33" spans="1:41">
      <c r="A33" s="13" t="s">
        <v>393</v>
      </c>
      <c r="H33" s="19"/>
      <c r="I33" s="19"/>
      <c r="J33" s="19"/>
      <c r="K33" s="19"/>
      <c r="L33" s="30">
        <f t="shared" ref="L33:Q33" si="41">L32/((K29-L29)*100)</f>
        <v>132.85843509724134</v>
      </c>
      <c r="M33" s="30">
        <f t="shared" si="41"/>
        <v>146.22973925299434</v>
      </c>
      <c r="N33" s="30">
        <f t="shared" si="41"/>
        <v>153.1632908227059</v>
      </c>
      <c r="O33" s="30" t="str">
        <f>IFERROR(O32/((N29-O29)*100),"")</f>
        <v/>
      </c>
      <c r="P33" s="30">
        <f t="shared" si="41"/>
        <v>108.43046896177829</v>
      </c>
      <c r="Q33" s="30">
        <f t="shared" si="41"/>
        <v>119.04761904761826</v>
      </c>
      <c r="R33" s="30">
        <f>R32/((Q29-R29)*100)</f>
        <v>130.31550068587131</v>
      </c>
      <c r="S33" s="30">
        <f>S32/((R29-S29)*100)</f>
        <v>150.89163237311607</v>
      </c>
      <c r="T33" s="30">
        <f>T32/((S29-T29)*100)</f>
        <v>159.77961432507058</v>
      </c>
      <c r="U33" s="30">
        <f t="shared" ref="U33:X33" si="42">IFERROR(U32/((T29-U29)*100),"")</f>
        <v>162.8563634889162</v>
      </c>
      <c r="V33" s="30">
        <f t="shared" si="42"/>
        <v>191.89051883608752</v>
      </c>
      <c r="W33" s="30">
        <f t="shared" si="42"/>
        <v>221.39679291327883</v>
      </c>
      <c r="X33" s="30">
        <f t="shared" si="42"/>
        <v>253.80444475988563</v>
      </c>
      <c r="Y33" s="30">
        <f>IFERROR(Y32/((X29-Y29)*100),"")</f>
        <v>278.80029733618011</v>
      </c>
      <c r="Z33" s="30">
        <f>IFERROR(Z32/((Y29-Z29)*100),"")</f>
        <v>292.06392011988822</v>
      </c>
      <c r="AA33" s="30">
        <f>IFERROR(AA32/((Z29-AA29)*100),"")</f>
        <v>300.32935040115706</v>
      </c>
    </row>
    <row r="34" spans="1:41">
      <c r="J34" s="19"/>
      <c r="L34" s="30"/>
      <c r="M34" s="30"/>
      <c r="N34" s="30"/>
      <c r="O34" s="30"/>
      <c r="P34" s="30"/>
      <c r="Q34" s="30"/>
      <c r="R34" s="30"/>
      <c r="S34" s="30"/>
      <c r="T34" s="30"/>
      <c r="U34" s="30"/>
      <c r="V34" s="30"/>
      <c r="W34" s="30"/>
      <c r="X34" s="30"/>
      <c r="Y34" s="30"/>
      <c r="Z34" s="30"/>
      <c r="AA34" s="30"/>
      <c r="AH34" s="22"/>
      <c r="AI34" s="27"/>
      <c r="AM34" s="22"/>
      <c r="AN34" s="27"/>
    </row>
    <row r="35" spans="1:41">
      <c r="A35" s="263" t="s">
        <v>300</v>
      </c>
      <c r="B35" s="263"/>
      <c r="C35" s="263"/>
      <c r="D35" s="263"/>
      <c r="E35" s="263"/>
      <c r="F35" s="263"/>
      <c r="G35" s="263"/>
      <c r="H35" s="263"/>
      <c r="I35" s="263"/>
      <c r="J35" s="263"/>
      <c r="K35" s="263"/>
      <c r="L35" s="510"/>
      <c r="M35" s="510"/>
      <c r="N35" s="510"/>
      <c r="O35" s="510"/>
      <c r="P35" s="510"/>
      <c r="Q35" s="510"/>
      <c r="R35" s="510"/>
      <c r="S35" s="510"/>
      <c r="T35" s="510"/>
      <c r="U35" s="510"/>
      <c r="V35" s="510"/>
      <c r="W35" s="510"/>
      <c r="X35" s="510"/>
      <c r="Y35" s="510"/>
      <c r="Z35" s="510"/>
      <c r="AA35" s="510"/>
      <c r="AH35" s="22"/>
      <c r="AI35" s="28"/>
      <c r="AM35" s="22"/>
      <c r="AN35" s="28"/>
    </row>
    <row r="36" spans="1:41">
      <c r="A36" s="148" t="s">
        <v>477</v>
      </c>
      <c r="B36" s="31"/>
      <c r="C36" s="31"/>
      <c r="D36" s="31"/>
      <c r="E36" s="31"/>
      <c r="F36" s="31"/>
      <c r="G36" s="31"/>
      <c r="H36" s="31"/>
      <c r="I36" s="82">
        <f>I115</f>
        <v>53816.244350000001</v>
      </c>
      <c r="J36" s="82">
        <f t="shared" ref="J36:O36" si="43">J115</f>
        <v>56625.543252873584</v>
      </c>
      <c r="K36" s="82">
        <f t="shared" si="43"/>
        <v>56314.39663972603</v>
      </c>
      <c r="L36" s="82">
        <f t="shared" si="43"/>
        <v>59741.713950000005</v>
      </c>
      <c r="M36" s="82">
        <f t="shared" si="43"/>
        <v>61651.536299999992</v>
      </c>
      <c r="N36" s="82">
        <f t="shared" si="43"/>
        <v>58062.887999999999</v>
      </c>
      <c r="O36" s="82">
        <f t="shared" si="43"/>
        <v>64640.577878964563</v>
      </c>
      <c r="P36" s="82">
        <f>P115</f>
        <v>39931.613327891791</v>
      </c>
      <c r="Q36" s="82">
        <f t="shared" ref="Q36:W36" si="44">Q115</f>
        <v>43083.051220192327</v>
      </c>
      <c r="R36" s="82">
        <f t="shared" si="44"/>
        <v>46989.918675919507</v>
      </c>
      <c r="S36" s="82">
        <f t="shared" si="44"/>
        <v>54481.876751858101</v>
      </c>
      <c r="T36" s="82">
        <f t="shared" si="44"/>
        <v>58038.41434009614</v>
      </c>
      <c r="U36" s="82">
        <f t="shared" si="44"/>
        <v>60940.364353384481</v>
      </c>
      <c r="V36" s="82">
        <f>V115</f>
        <v>69112.231548073512</v>
      </c>
      <c r="W36" s="82">
        <f t="shared" si="44"/>
        <v>81739.106862742003</v>
      </c>
      <c r="X36" s="82">
        <f>X115</f>
        <v>94332.289766970192</v>
      </c>
      <c r="Y36" s="82">
        <f>Y115</f>
        <v>102703.36062246851</v>
      </c>
      <c r="Z36" s="82">
        <f>Z115</f>
        <v>107467.30766001498</v>
      </c>
      <c r="AA36" s="82">
        <f>AA115</f>
        <v>110533.89344329745</v>
      </c>
      <c r="AB36" s="20"/>
      <c r="AC36" s="20"/>
      <c r="AD36" s="20"/>
      <c r="AE36" s="20"/>
      <c r="AH36" s="22"/>
      <c r="AI36" s="28"/>
      <c r="AJ36" s="20"/>
      <c r="AM36" s="22"/>
      <c r="AN36" s="28"/>
      <c r="AO36" s="20"/>
    </row>
    <row r="37" spans="1:41">
      <c r="A37" s="13" t="s">
        <v>291</v>
      </c>
      <c r="I37" s="19">
        <f>I$22</f>
        <v>23500</v>
      </c>
      <c r="J37" s="19">
        <f t="shared" ref="J37:AA37" si="45">J$22</f>
        <v>24300</v>
      </c>
      <c r="K37" s="19">
        <f t="shared" si="45"/>
        <v>25000</v>
      </c>
      <c r="L37" s="19">
        <f t="shared" si="45"/>
        <v>23500</v>
      </c>
      <c r="M37" s="19">
        <f t="shared" si="45"/>
        <v>24900</v>
      </c>
      <c r="N37" s="19">
        <f t="shared" si="45"/>
        <v>24500</v>
      </c>
      <c r="O37" s="19">
        <f t="shared" si="45"/>
        <v>24800</v>
      </c>
      <c r="P37" s="19">
        <f t="shared" si="45"/>
        <v>17100</v>
      </c>
      <c r="Q37" s="19">
        <f t="shared" si="45"/>
        <v>20900</v>
      </c>
      <c r="R37" s="19">
        <f t="shared" si="45"/>
        <v>20300</v>
      </c>
      <c r="S37" s="19">
        <f t="shared" si="45"/>
        <v>22400</v>
      </c>
      <c r="T37" s="19">
        <f t="shared" si="45"/>
        <v>23200</v>
      </c>
      <c r="U37" s="19">
        <f t="shared" si="45"/>
        <v>23600</v>
      </c>
      <c r="V37" s="19">
        <f t="shared" si="45"/>
        <v>25700</v>
      </c>
      <c r="W37" s="19">
        <f t="shared" si="45"/>
        <v>25300</v>
      </c>
      <c r="X37" s="19">
        <f t="shared" si="45"/>
        <v>19400</v>
      </c>
      <c r="Y37" s="19">
        <f t="shared" si="45"/>
        <v>9400</v>
      </c>
      <c r="Z37" s="19">
        <f t="shared" si="45"/>
        <v>4200</v>
      </c>
      <c r="AA37" s="19">
        <f t="shared" si="45"/>
        <v>400</v>
      </c>
      <c r="AB37" s="20"/>
      <c r="AC37" s="20"/>
      <c r="AD37" s="20"/>
      <c r="AE37" s="20"/>
      <c r="AH37" s="22"/>
      <c r="AI37" s="28"/>
      <c r="AJ37" s="20"/>
      <c r="AM37" s="22"/>
      <c r="AN37" s="28"/>
      <c r="AO37" s="20"/>
    </row>
    <row r="38" spans="1:41">
      <c r="A38" s="13" t="s">
        <v>290</v>
      </c>
      <c r="I38" s="19">
        <f t="shared" ref="I38:X38" si="46">I$19-I$21</f>
        <v>28253.528283750002</v>
      </c>
      <c r="J38" s="19">
        <f t="shared" si="46"/>
        <v>32325.543252873584</v>
      </c>
      <c r="K38" s="19">
        <f t="shared" si="46"/>
        <v>31314.39663972603</v>
      </c>
      <c r="L38" s="19">
        <f t="shared" si="46"/>
        <v>36241.713950000005</v>
      </c>
      <c r="M38" s="19">
        <f t="shared" si="46"/>
        <v>36751.536299999992</v>
      </c>
      <c r="N38" s="19">
        <f t="shared" si="46"/>
        <v>33562.887999999999</v>
      </c>
      <c r="O38" s="19">
        <f t="shared" si="46"/>
        <v>40640.577878964563</v>
      </c>
      <c r="P38" s="19">
        <f t="shared" si="46"/>
        <v>23931.613327891791</v>
      </c>
      <c r="Q38" s="19">
        <f t="shared" si="46"/>
        <v>26083.051220192327</v>
      </c>
      <c r="R38" s="19">
        <f t="shared" si="46"/>
        <v>27989.918675919507</v>
      </c>
      <c r="S38" s="19">
        <f t="shared" si="46"/>
        <v>32481.876751858101</v>
      </c>
      <c r="T38" s="19">
        <f t="shared" si="46"/>
        <v>34838.41434009614</v>
      </c>
      <c r="U38" s="19">
        <f t="shared" si="46"/>
        <v>37440.364353384481</v>
      </c>
      <c r="V38" s="19">
        <f t="shared" si="46"/>
        <v>41467.33892884411</v>
      </c>
      <c r="W38" s="19">
        <f t="shared" si="46"/>
        <v>49043.464117645199</v>
      </c>
      <c r="X38" s="19">
        <f t="shared" si="46"/>
        <v>56599.373860182117</v>
      </c>
      <c r="Y38" s="19">
        <f>Y$19-Y$21</f>
        <v>61622.016373481099</v>
      </c>
      <c r="Z38" s="19">
        <f>Z$19-Z$21</f>
        <v>64480.384596008982</v>
      </c>
      <c r="AA38" s="19">
        <f>AA$19-AA$21</f>
        <v>66320.336065978467</v>
      </c>
      <c r="AB38" s="20"/>
      <c r="AC38" s="20"/>
      <c r="AD38" s="20"/>
      <c r="AE38" s="20"/>
    </row>
    <row r="39" spans="1:41">
      <c r="A39" s="13" t="s">
        <v>294</v>
      </c>
      <c r="I39" s="19">
        <f>I$21-I$22</f>
        <v>2062.7160662499991</v>
      </c>
      <c r="J39" s="19">
        <f t="shared" ref="J39:X39" si="47">J$21-J$22</f>
        <v>0</v>
      </c>
      <c r="K39" s="19">
        <f t="shared" si="47"/>
        <v>0</v>
      </c>
      <c r="L39" s="19">
        <f t="shared" si="47"/>
        <v>0</v>
      </c>
      <c r="M39" s="19">
        <f t="shared" si="47"/>
        <v>0</v>
      </c>
      <c r="N39" s="19">
        <f t="shared" si="47"/>
        <v>0</v>
      </c>
      <c r="O39" s="19">
        <f t="shared" si="47"/>
        <v>-800</v>
      </c>
      <c r="P39" s="19">
        <f t="shared" si="47"/>
        <v>-1100</v>
      </c>
      <c r="Q39" s="19">
        <f t="shared" si="47"/>
        <v>-3900</v>
      </c>
      <c r="R39" s="19">
        <f t="shared" si="47"/>
        <v>-1300</v>
      </c>
      <c r="S39" s="19">
        <f t="shared" si="47"/>
        <v>-400</v>
      </c>
      <c r="T39" s="19">
        <f t="shared" si="47"/>
        <v>0</v>
      </c>
      <c r="U39" s="19">
        <f t="shared" si="47"/>
        <v>-100</v>
      </c>
      <c r="V39" s="19">
        <f t="shared" si="47"/>
        <v>1944.8926192294057</v>
      </c>
      <c r="W39" s="19">
        <f t="shared" si="47"/>
        <v>7395.642745096804</v>
      </c>
      <c r="X39" s="19">
        <f t="shared" si="47"/>
        <v>18332.915906788076</v>
      </c>
      <c r="Y39" s="19">
        <f>Y$21-Y$22</f>
        <v>31681.344248987407</v>
      </c>
      <c r="Z39" s="19">
        <f>Z$21-Z$22</f>
        <v>38786.923064005998</v>
      </c>
      <c r="AA39" s="19">
        <f>AA$21-AA$22</f>
        <v>43813.557377318983</v>
      </c>
    </row>
    <row r="40" spans="1:41">
      <c r="I40" s="19"/>
      <c r="J40" s="19"/>
      <c r="K40" s="19"/>
      <c r="L40" s="30"/>
      <c r="M40" s="30"/>
      <c r="N40" s="30"/>
      <c r="O40" s="30"/>
      <c r="P40" s="30"/>
      <c r="Q40" s="30"/>
      <c r="R40" s="30"/>
      <c r="S40" s="30"/>
      <c r="T40" s="30"/>
      <c r="U40" s="30"/>
      <c r="V40" s="30"/>
      <c r="W40" s="30"/>
      <c r="X40" s="30"/>
      <c r="Y40" s="30"/>
      <c r="Z40" s="30"/>
      <c r="AA40" s="30"/>
      <c r="AH40" s="19"/>
    </row>
    <row r="41" spans="1:41">
      <c r="A41" s="13" t="s">
        <v>292</v>
      </c>
      <c r="I41" s="16">
        <f t="shared" ref="I41:X41" si="48">I37/I36</f>
        <v>0.43667112567657279</v>
      </c>
      <c r="J41" s="16">
        <f t="shared" si="48"/>
        <v>0.42913495578281879</v>
      </c>
      <c r="K41" s="16">
        <f t="shared" si="48"/>
        <v>0.44393621332638372</v>
      </c>
      <c r="L41" s="79">
        <f t="shared" si="48"/>
        <v>0.39335998996727811</v>
      </c>
      <c r="M41" s="79">
        <f t="shared" si="48"/>
        <v>0.40388287939549694</v>
      </c>
      <c r="N41" s="79">
        <f t="shared" si="48"/>
        <v>0.42195627609842623</v>
      </c>
      <c r="O41" s="79">
        <f t="shared" si="48"/>
        <v>0.38365993643244417</v>
      </c>
      <c r="P41" s="79">
        <f t="shared" si="48"/>
        <v>0.42823213426380241</v>
      </c>
      <c r="Q41" s="79">
        <f t="shared" si="48"/>
        <v>0.48510955951523949</v>
      </c>
      <c r="R41" s="79">
        <f t="shared" si="48"/>
        <v>0.43200755762114046</v>
      </c>
      <c r="S41" s="79">
        <f t="shared" si="48"/>
        <v>0.41114589539605112</v>
      </c>
      <c r="T41" s="79">
        <f t="shared" si="48"/>
        <v>0.3997352488655459</v>
      </c>
      <c r="U41" s="79">
        <f t="shared" si="48"/>
        <v>0.38726384803259406</v>
      </c>
      <c r="V41" s="79">
        <f t="shared" si="48"/>
        <v>0.37185892315057772</v>
      </c>
      <c r="W41" s="79">
        <f t="shared" si="48"/>
        <v>0.30952136585593337</v>
      </c>
      <c r="X41" s="79">
        <f t="shared" si="48"/>
        <v>0.20565598532510951</v>
      </c>
      <c r="Y41" s="79">
        <f>Y37/Y36</f>
        <v>9.1525729470078837E-2</v>
      </c>
      <c r="Z41" s="79">
        <f>Z37/Z36</f>
        <v>3.9081652750501357E-2</v>
      </c>
      <c r="AA41" s="79">
        <f>AA37/AA36</f>
        <v>3.6187995151477693E-3</v>
      </c>
      <c r="AH41" s="22"/>
      <c r="AI41" s="27"/>
    </row>
    <row r="42" spans="1:41">
      <c r="A42" s="13" t="s">
        <v>293</v>
      </c>
      <c r="I42" s="16">
        <f t="shared" ref="I42:X42" si="49">I38/I36</f>
        <v>0.52500000000000002</v>
      </c>
      <c r="J42" s="16">
        <f t="shared" si="49"/>
        <v>0.57086504421718121</v>
      </c>
      <c r="K42" s="16">
        <f t="shared" si="49"/>
        <v>0.55606378667361633</v>
      </c>
      <c r="L42" s="79">
        <f t="shared" si="49"/>
        <v>0.60664001003272194</v>
      </c>
      <c r="M42" s="79">
        <f t="shared" si="49"/>
        <v>0.59611712060450306</v>
      </c>
      <c r="N42" s="79">
        <f t="shared" si="49"/>
        <v>0.57804372390157377</v>
      </c>
      <c r="O42" s="79">
        <f t="shared" si="49"/>
        <v>0.62871619054924754</v>
      </c>
      <c r="P42" s="79">
        <f t="shared" si="49"/>
        <v>0.59931496209234858</v>
      </c>
      <c r="Q42" s="79">
        <f t="shared" si="49"/>
        <v>0.60541327694932678</v>
      </c>
      <c r="R42" s="79">
        <f t="shared" si="49"/>
        <v>0.59565795099499175</v>
      </c>
      <c r="S42" s="79">
        <f t="shared" si="49"/>
        <v>0.59619599559316405</v>
      </c>
      <c r="T42" s="79">
        <f t="shared" si="49"/>
        <v>0.6002647511344541</v>
      </c>
      <c r="U42" s="79">
        <f t="shared" si="49"/>
        <v>0.61437710047601857</v>
      </c>
      <c r="V42" s="79">
        <f t="shared" si="49"/>
        <v>0.60000000000000009</v>
      </c>
      <c r="W42" s="79">
        <f t="shared" si="49"/>
        <v>0.6</v>
      </c>
      <c r="X42" s="79">
        <f t="shared" si="49"/>
        <v>0.6</v>
      </c>
      <c r="Y42" s="79">
        <f>Y38/Y36</f>
        <v>0.6</v>
      </c>
      <c r="Z42" s="79">
        <f>Z38/Z36</f>
        <v>0.6</v>
      </c>
      <c r="AA42" s="79">
        <f>AA38/AA36</f>
        <v>0.6</v>
      </c>
      <c r="AH42" s="22"/>
      <c r="AI42" s="27"/>
    </row>
    <row r="43" spans="1:41">
      <c r="A43" s="13" t="s">
        <v>295</v>
      </c>
      <c r="I43" s="16">
        <f t="shared" ref="I43:X43" si="50">I39/I36</f>
        <v>3.8328874323427201E-2</v>
      </c>
      <c r="J43" s="16">
        <f t="shared" si="50"/>
        <v>0</v>
      </c>
      <c r="K43" s="16">
        <f t="shared" si="50"/>
        <v>0</v>
      </c>
      <c r="L43" s="79">
        <f t="shared" si="50"/>
        <v>0</v>
      </c>
      <c r="M43" s="79">
        <f t="shared" si="50"/>
        <v>0</v>
      </c>
      <c r="N43" s="79">
        <f t="shared" si="50"/>
        <v>0</v>
      </c>
      <c r="O43" s="79">
        <f t="shared" si="50"/>
        <v>-1.2376126981691746E-2</v>
      </c>
      <c r="P43" s="79">
        <f t="shared" si="50"/>
        <v>-2.7547096356151032E-2</v>
      </c>
      <c r="Q43" s="79">
        <f t="shared" si="50"/>
        <v>-9.0522836464566214E-2</v>
      </c>
      <c r="R43" s="79">
        <f t="shared" si="50"/>
        <v>-2.7665508616132147E-2</v>
      </c>
      <c r="S43" s="79">
        <f t="shared" si="50"/>
        <v>-7.3418909892151987E-3</v>
      </c>
      <c r="T43" s="79">
        <f t="shared" si="50"/>
        <v>0</v>
      </c>
      <c r="U43" s="79">
        <f t="shared" si="50"/>
        <v>-1.6409485086126866E-3</v>
      </c>
      <c r="V43" s="79">
        <f t="shared" si="50"/>
        <v>2.8141076849422308E-2</v>
      </c>
      <c r="W43" s="79">
        <f t="shared" si="50"/>
        <v>9.0478634144066677E-2</v>
      </c>
      <c r="X43" s="79">
        <f t="shared" si="50"/>
        <v>0.19434401467489049</v>
      </c>
      <c r="Y43" s="79">
        <f>Y39/Y36</f>
        <v>0.30847427052992121</v>
      </c>
      <c r="Z43" s="79">
        <f>Z39/Z36</f>
        <v>0.36091834724949867</v>
      </c>
      <c r="AA43" s="79">
        <f>AA39/AA36</f>
        <v>0.39638120048485226</v>
      </c>
      <c r="AH43" s="22"/>
      <c r="AI43" s="28"/>
    </row>
    <row r="44" spans="1:41">
      <c r="I44" s="16"/>
      <c r="J44" s="16"/>
      <c r="K44" s="16"/>
      <c r="L44" s="79"/>
      <c r="M44" s="79"/>
      <c r="N44" s="79"/>
      <c r="O44" s="79"/>
      <c r="P44" s="79"/>
      <c r="Q44" s="79"/>
      <c r="R44" s="79"/>
      <c r="S44" s="79"/>
      <c r="T44" s="79"/>
      <c r="U44" s="79"/>
      <c r="V44" s="79"/>
      <c r="W44" s="79"/>
      <c r="X44" s="79"/>
      <c r="Y44" s="79"/>
      <c r="Z44" s="79"/>
      <c r="AA44" s="79"/>
      <c r="AH44" s="22"/>
      <c r="AI44" s="28"/>
      <c r="AJ44" s="20"/>
    </row>
    <row r="45" spans="1:41">
      <c r="I45" s="16"/>
      <c r="J45" s="16"/>
      <c r="K45" s="16"/>
      <c r="L45" s="79"/>
      <c r="M45" s="79"/>
      <c r="N45" s="79"/>
      <c r="O45" s="79"/>
      <c r="P45" s="79"/>
      <c r="Q45" s="79"/>
      <c r="R45" s="79"/>
      <c r="S45" s="79"/>
      <c r="T45" s="79"/>
      <c r="U45" s="79"/>
      <c r="V45" s="79"/>
      <c r="W45" s="79"/>
      <c r="X45" s="79"/>
      <c r="Y45" s="79"/>
      <c r="Z45" s="79"/>
      <c r="AA45" s="79"/>
      <c r="AH45" s="22"/>
      <c r="AI45" s="28"/>
      <c r="AJ45" s="20"/>
    </row>
    <row r="46" spans="1:41">
      <c r="A46" s="13" t="s">
        <v>296</v>
      </c>
      <c r="I46" s="18">
        <f>I$24</f>
        <v>1.37</v>
      </c>
      <c r="J46" s="18">
        <f t="shared" ref="J46:AA46" si="51">J$24</f>
        <v>1.35</v>
      </c>
      <c r="K46" s="18">
        <f t="shared" si="51"/>
        <v>1.34</v>
      </c>
      <c r="L46" s="81">
        <f t="shared" si="51"/>
        <v>1.32</v>
      </c>
      <c r="M46" s="81">
        <f t="shared" si="51"/>
        <v>1.29</v>
      </c>
      <c r="N46" s="81">
        <f t="shared" si="51"/>
        <v>1.24</v>
      </c>
      <c r="O46" s="81">
        <f t="shared" si="51"/>
        <v>1.24</v>
      </c>
      <c r="P46" s="81">
        <f t="shared" si="51"/>
        <v>1.19</v>
      </c>
      <c r="Q46" s="81">
        <f t="shared" si="51"/>
        <v>1.2</v>
      </c>
      <c r="R46" s="81">
        <f t="shared" si="51"/>
        <v>1.2150000000000001</v>
      </c>
      <c r="S46" s="81">
        <f t="shared" si="51"/>
        <v>1.2</v>
      </c>
      <c r="T46" s="81">
        <f t="shared" si="51"/>
        <v>1.21</v>
      </c>
      <c r="U46" s="81">
        <f t="shared" si="51"/>
        <v>1.1875</v>
      </c>
      <c r="V46" s="81">
        <f t="shared" si="51"/>
        <v>1.21</v>
      </c>
      <c r="W46" s="81">
        <f t="shared" si="51"/>
        <v>1.23</v>
      </c>
      <c r="X46" s="81">
        <f t="shared" si="51"/>
        <v>1.22</v>
      </c>
      <c r="Y46" s="81">
        <f t="shared" si="51"/>
        <v>1.21</v>
      </c>
      <c r="Z46" s="81">
        <f t="shared" si="51"/>
        <v>1.24</v>
      </c>
      <c r="AA46" s="81">
        <f t="shared" si="51"/>
        <v>1.19</v>
      </c>
    </row>
    <row r="47" spans="1:41">
      <c r="A47" s="13" t="s">
        <v>298</v>
      </c>
      <c r="I47" s="169">
        <v>1.3283</v>
      </c>
      <c r="J47" s="169">
        <v>1.3285971264367826</v>
      </c>
      <c r="K47" s="170">
        <v>1.1162479452054794</v>
      </c>
      <c r="L47" s="505">
        <v>1.1067</v>
      </c>
      <c r="M47" s="505">
        <v>1.1296999999999999</v>
      </c>
      <c r="N47" s="505">
        <v>1.1808000000000001</v>
      </c>
      <c r="O47" s="505">
        <v>1.1202219216417912</v>
      </c>
      <c r="P47" s="505">
        <v>1.1417730410447762</v>
      </c>
      <c r="Q47" s="505">
        <v>1.1826485576923091</v>
      </c>
      <c r="R47" s="505">
        <v>1.0535101224253887</v>
      </c>
      <c r="S47" s="505">
        <v>1.0813423257273662</v>
      </c>
      <c r="T47" s="505">
        <v>1.0819249038461534</v>
      </c>
      <c r="U47" s="505">
        <v>1.1306377542797983</v>
      </c>
      <c r="V47" s="543">
        <v>1.1641346971766848</v>
      </c>
      <c r="W47" s="543">
        <f>V47</f>
        <v>1.1641346971766848</v>
      </c>
      <c r="X47" s="543">
        <f t="shared" ref="X47:AA47" si="52">W47</f>
        <v>1.1641346971766848</v>
      </c>
      <c r="Y47" s="543">
        <f t="shared" si="52"/>
        <v>1.1641346971766848</v>
      </c>
      <c r="Z47" s="543">
        <f t="shared" si="52"/>
        <v>1.1641346971766848</v>
      </c>
      <c r="AA47" s="543">
        <f t="shared" si="52"/>
        <v>1.1641346971766848</v>
      </c>
    </row>
    <row r="48" spans="1:41">
      <c r="A48" s="13" t="s">
        <v>297</v>
      </c>
      <c r="I48" s="261">
        <v>1.37</v>
      </c>
      <c r="J48" s="18">
        <f>I48</f>
        <v>1.37</v>
      </c>
      <c r="K48" s="18">
        <f>J48</f>
        <v>1.37</v>
      </c>
      <c r="L48" s="81">
        <f>K48</f>
        <v>1.37</v>
      </c>
      <c r="M48" s="81">
        <f t="shared" ref="M48:Z48" si="53">M$28</f>
        <v>1.1296999999999999</v>
      </c>
      <c r="N48" s="81">
        <f t="shared" si="53"/>
        <v>1.1808000000000001</v>
      </c>
      <c r="O48" s="81">
        <f t="shared" si="53"/>
        <v>1.1202219216417912</v>
      </c>
      <c r="P48" s="81">
        <f t="shared" si="53"/>
        <v>1.1417730410447762</v>
      </c>
      <c r="Q48" s="81">
        <f t="shared" si="53"/>
        <v>1.1826485576923091</v>
      </c>
      <c r="R48" s="81">
        <f t="shared" si="53"/>
        <v>1.0535101224253887</v>
      </c>
      <c r="S48" s="81">
        <f t="shared" si="53"/>
        <v>1.0813423257273662</v>
      </c>
      <c r="T48" s="81">
        <f t="shared" si="53"/>
        <v>1.0819249038461534</v>
      </c>
      <c r="U48" s="81">
        <f t="shared" si="53"/>
        <v>1.1306377542797983</v>
      </c>
      <c r="V48" s="81">
        <f t="shared" si="53"/>
        <v>1.182812</v>
      </c>
      <c r="W48" s="81">
        <f t="shared" si="53"/>
        <v>1.197354</v>
      </c>
      <c r="X48" s="81">
        <f t="shared" si="53"/>
        <v>1.212097</v>
      </c>
      <c r="Y48" s="81">
        <f t="shared" si="53"/>
        <v>1.212097</v>
      </c>
      <c r="Z48" s="81">
        <f t="shared" si="53"/>
        <v>1.212097</v>
      </c>
      <c r="AA48" s="81">
        <f>AA$28</f>
        <v>1.212097</v>
      </c>
    </row>
    <row r="49" spans="1:49">
      <c r="I49" s="19"/>
      <c r="J49" s="34"/>
    </row>
    <row r="50" spans="1:49">
      <c r="A50" s="13" t="s">
        <v>682</v>
      </c>
      <c r="I50" s="18">
        <f t="shared" ref="I50:U50" si="54">0.5*I24+0.5*I47</f>
        <v>1.3491500000000001</v>
      </c>
      <c r="J50" s="18">
        <f t="shared" si="54"/>
        <v>1.3392985632183914</v>
      </c>
      <c r="K50" s="18">
        <f t="shared" si="54"/>
        <v>1.2281239726027398</v>
      </c>
      <c r="L50" s="81">
        <f t="shared" si="54"/>
        <v>1.2133500000000002</v>
      </c>
      <c r="M50" s="81">
        <f t="shared" si="54"/>
        <v>1.2098499999999999</v>
      </c>
      <c r="N50" s="81">
        <f t="shared" si="54"/>
        <v>1.2103999999999999</v>
      </c>
      <c r="O50" s="81">
        <f t="shared" si="54"/>
        <v>1.1801109608208957</v>
      </c>
      <c r="P50" s="81">
        <f t="shared" si="54"/>
        <v>1.1658865205223881</v>
      </c>
      <c r="Q50" s="81">
        <f t="shared" si="54"/>
        <v>1.1913242788461544</v>
      </c>
      <c r="R50" s="81">
        <f t="shared" si="54"/>
        <v>1.1342550612126945</v>
      </c>
      <c r="S50" s="81">
        <f t="shared" si="54"/>
        <v>1.1406711628636832</v>
      </c>
      <c r="T50" s="81">
        <f t="shared" si="54"/>
        <v>1.1459624519230767</v>
      </c>
      <c r="U50" s="81">
        <f t="shared" si="54"/>
        <v>1.1590688771398991</v>
      </c>
      <c r="V50" s="81">
        <f>V36/V51</f>
        <v>1.1927782044671214</v>
      </c>
      <c r="W50" s="81">
        <f t="shared" ref="W50:AA50" si="55">W36/W51</f>
        <v>1.2072719199225044</v>
      </c>
      <c r="X50" s="81">
        <f t="shared" si="55"/>
        <v>1.2137139248641418</v>
      </c>
      <c r="Y50" s="81">
        <f t="shared" si="55"/>
        <v>1.2119047684121087</v>
      </c>
      <c r="Z50" s="81">
        <f t="shared" si="55"/>
        <v>1.213163894834056</v>
      </c>
      <c r="AA50" s="81">
        <f t="shared" si="55"/>
        <v>1.2120155560044135</v>
      </c>
    </row>
    <row r="51" spans="1:49">
      <c r="A51" s="148" t="s">
        <v>478</v>
      </c>
      <c r="B51" s="24"/>
      <c r="C51" s="24"/>
      <c r="D51" s="24"/>
      <c r="E51" s="24"/>
      <c r="F51" s="24"/>
      <c r="G51" s="24"/>
      <c r="H51" s="24"/>
      <c r="I51" s="24">
        <f t="shared" ref="I51:U51" si="56">I36/I50</f>
        <v>39889</v>
      </c>
      <c r="J51" s="24">
        <f t="shared" si="56"/>
        <v>42280</v>
      </c>
      <c r="K51" s="24">
        <f t="shared" si="56"/>
        <v>45854</v>
      </c>
      <c r="L51" s="511">
        <f t="shared" si="56"/>
        <v>49237</v>
      </c>
      <c r="M51" s="511">
        <f t="shared" si="56"/>
        <v>50958</v>
      </c>
      <c r="N51" s="511">
        <f t="shared" si="56"/>
        <v>47970</v>
      </c>
      <c r="O51" s="511">
        <f t="shared" si="56"/>
        <v>54775</v>
      </c>
      <c r="P51" s="511">
        <f t="shared" si="56"/>
        <v>34250</v>
      </c>
      <c r="Q51" s="508">
        <f t="shared" si="56"/>
        <v>36164</v>
      </c>
      <c r="R51" s="508">
        <f t="shared" si="56"/>
        <v>41428</v>
      </c>
      <c r="S51" s="508">
        <f t="shared" si="56"/>
        <v>47763</v>
      </c>
      <c r="T51" s="508">
        <f t="shared" si="56"/>
        <v>50646</v>
      </c>
      <c r="U51" s="508">
        <f t="shared" si="56"/>
        <v>52577</v>
      </c>
      <c r="V51" s="508">
        <f t="shared" ref="V51:AA51" si="57">(V38+V39)/V48+V37/V46</f>
        <v>57942.23208408615</v>
      </c>
      <c r="W51" s="508">
        <f t="shared" si="57"/>
        <v>67705.630781165601</v>
      </c>
      <c r="X51" s="508">
        <f t="shared" si="57"/>
        <v>77722.01326398176</v>
      </c>
      <c r="Y51" s="508">
        <f t="shared" si="57"/>
        <v>84745.405166641096</v>
      </c>
      <c r="Z51" s="508">
        <f t="shared" si="57"/>
        <v>88584.32740838782</v>
      </c>
      <c r="AA51" s="508">
        <f t="shared" si="57"/>
        <v>91198.411518486275</v>
      </c>
    </row>
    <row r="52" spans="1:49">
      <c r="J52" s="19"/>
      <c r="L52" s="30"/>
      <c r="M52" s="30"/>
      <c r="N52" s="30"/>
      <c r="O52" s="30"/>
      <c r="P52" s="30"/>
      <c r="Q52" s="30"/>
      <c r="R52" s="30"/>
      <c r="S52" s="30"/>
      <c r="T52" s="30"/>
      <c r="U52" s="30"/>
      <c r="V52" s="30"/>
      <c r="W52" s="30"/>
      <c r="X52" s="30"/>
      <c r="Y52" s="30"/>
      <c r="Z52" s="30"/>
      <c r="AA52" s="30"/>
    </row>
    <row r="53" spans="1:49">
      <c r="A53" s="187" t="s">
        <v>269</v>
      </c>
      <c r="B53" s="187">
        <f t="shared" ref="B53:T53" si="58">B1</f>
        <v>2006</v>
      </c>
      <c r="C53" s="187">
        <f t="shared" si="58"/>
        <v>2007</v>
      </c>
      <c r="D53" s="187">
        <f t="shared" si="58"/>
        <v>2008</v>
      </c>
      <c r="E53" s="187">
        <f t="shared" si="58"/>
        <v>2009</v>
      </c>
      <c r="F53" s="187">
        <f t="shared" si="58"/>
        <v>2010</v>
      </c>
      <c r="G53" s="187">
        <f t="shared" si="58"/>
        <v>2011</v>
      </c>
      <c r="H53" s="187">
        <f t="shared" si="58"/>
        <v>2012</v>
      </c>
      <c r="I53" s="187">
        <f t="shared" si="58"/>
        <v>2013</v>
      </c>
      <c r="J53" s="187">
        <f t="shared" si="58"/>
        <v>2014</v>
      </c>
      <c r="K53" s="187">
        <f t="shared" si="58"/>
        <v>2015</v>
      </c>
      <c r="L53" s="187">
        <f t="shared" si="58"/>
        <v>2016</v>
      </c>
      <c r="M53" s="187">
        <f t="shared" si="58"/>
        <v>2017</v>
      </c>
      <c r="N53" s="187">
        <f t="shared" si="58"/>
        <v>2018</v>
      </c>
      <c r="O53" s="187">
        <f t="shared" si="58"/>
        <v>2019</v>
      </c>
      <c r="P53" s="187">
        <f t="shared" si="58"/>
        <v>2020</v>
      </c>
      <c r="Q53" s="187">
        <f t="shared" si="58"/>
        <v>2021</v>
      </c>
      <c r="R53" s="187">
        <f t="shared" si="58"/>
        <v>2022</v>
      </c>
      <c r="S53" s="187">
        <f t="shared" si="58"/>
        <v>2023</v>
      </c>
      <c r="T53" s="187">
        <f t="shared" si="58"/>
        <v>2024</v>
      </c>
      <c r="U53" s="187">
        <f t="shared" ref="U53:AA53" si="59">T53+1</f>
        <v>2025</v>
      </c>
      <c r="V53" s="532">
        <f t="shared" si="59"/>
        <v>2026</v>
      </c>
      <c r="W53" s="532">
        <f t="shared" si="59"/>
        <v>2027</v>
      </c>
      <c r="X53" s="532">
        <f t="shared" si="59"/>
        <v>2028</v>
      </c>
      <c r="Y53" s="532">
        <f t="shared" si="59"/>
        <v>2029</v>
      </c>
      <c r="Z53" s="532">
        <f t="shared" si="59"/>
        <v>2030</v>
      </c>
      <c r="AA53" s="532">
        <f t="shared" si="59"/>
        <v>2031</v>
      </c>
    </row>
    <row r="54" spans="1:49" outlineLevel="1">
      <c r="J54" s="19"/>
      <c r="L54" s="30"/>
      <c r="M54" s="30"/>
      <c r="N54" s="30"/>
      <c r="O54" s="30"/>
      <c r="P54" s="30"/>
      <c r="Q54" s="30"/>
      <c r="R54" s="30"/>
      <c r="S54" s="30"/>
      <c r="T54" s="30"/>
      <c r="U54" s="30"/>
      <c r="V54" s="30"/>
      <c r="W54" s="30"/>
      <c r="X54" s="30"/>
      <c r="Y54" s="30"/>
      <c r="Z54" s="30"/>
      <c r="AA54" s="30"/>
    </row>
    <row r="55" spans="1:49">
      <c r="A55" s="231" t="s">
        <v>214</v>
      </c>
      <c r="B55" s="225">
        <v>71</v>
      </c>
      <c r="C55" s="226">
        <f>B55+14</f>
        <v>85</v>
      </c>
      <c r="D55" s="225">
        <v>101</v>
      </c>
      <c r="E55" s="226">
        <f>D55+16</f>
        <v>117</v>
      </c>
      <c r="F55" s="226">
        <f>E55+16</f>
        <v>133</v>
      </c>
      <c r="G55" s="226">
        <f>F55+16</f>
        <v>149</v>
      </c>
      <c r="H55" s="226">
        <f>G55+16</f>
        <v>165</v>
      </c>
      <c r="I55" s="226">
        <f>H55+14</f>
        <v>179</v>
      </c>
      <c r="J55" s="224">
        <f>SUM(J58:J60)-SUM(I58:I60)</f>
        <v>0</v>
      </c>
      <c r="K55" s="224">
        <f>SUM(K58:K60)-SUM(J58:J60)</f>
        <v>0</v>
      </c>
      <c r="L55" s="496"/>
      <c r="M55" s="496"/>
      <c r="N55" s="496"/>
      <c r="O55" s="496"/>
      <c r="P55" s="496"/>
      <c r="Q55" s="496"/>
      <c r="R55" s="496"/>
      <c r="S55" s="496"/>
      <c r="T55" s="496"/>
      <c r="U55" s="496"/>
      <c r="V55" s="496"/>
      <c r="W55" s="496"/>
      <c r="X55" s="496"/>
      <c r="Y55" s="496"/>
      <c r="Z55" s="496"/>
      <c r="AA55" s="496"/>
      <c r="AB55" s="25"/>
      <c r="AC55" s="25"/>
      <c r="AD55" s="25"/>
      <c r="AE55" s="25"/>
      <c r="AF55" s="25"/>
      <c r="AG55" s="25"/>
      <c r="AH55" s="25"/>
      <c r="AI55" s="25"/>
      <c r="AJ55" s="25"/>
      <c r="AK55" s="25"/>
      <c r="AL55" s="25"/>
      <c r="AM55" s="25"/>
      <c r="AN55" s="25"/>
      <c r="AO55" s="25"/>
      <c r="AP55" s="25"/>
      <c r="AQ55" s="25"/>
      <c r="AR55" s="25"/>
      <c r="AS55" s="25"/>
      <c r="AT55" s="25"/>
      <c r="AU55" s="25"/>
      <c r="AV55" s="25"/>
      <c r="AW55" s="25"/>
    </row>
    <row r="56" spans="1:49">
      <c r="A56" s="114" t="s">
        <v>424</v>
      </c>
      <c r="L56" s="30"/>
      <c r="M56" s="30"/>
      <c r="N56" s="502"/>
      <c r="O56" s="502">
        <v>25</v>
      </c>
      <c r="P56" s="502">
        <v>10</v>
      </c>
      <c r="Q56" s="500">
        <v>3</v>
      </c>
      <c r="R56" s="500">
        <v>8</v>
      </c>
      <c r="S56" s="500">
        <v>3</v>
      </c>
      <c r="T56" s="500">
        <v>10</v>
      </c>
      <c r="U56" s="500">
        <v>5</v>
      </c>
      <c r="V56" s="502">
        <f t="shared" ref="V56:Z56" si="60">V$74*11.5*V80</f>
        <v>8.0500000000000007</v>
      </c>
      <c r="W56" s="502">
        <f t="shared" si="60"/>
        <v>10.120000000000001</v>
      </c>
      <c r="X56" s="502">
        <f t="shared" si="60"/>
        <v>11.040000000000001</v>
      </c>
      <c r="Y56" s="502">
        <f t="shared" si="60"/>
        <v>11.96</v>
      </c>
      <c r="Z56" s="502">
        <f t="shared" si="60"/>
        <v>12.88</v>
      </c>
      <c r="AA56" s="502">
        <f t="shared" ref="AA56" si="61">AA$74*11.5*AA80</f>
        <v>12.88</v>
      </c>
      <c r="AB56" s="25"/>
      <c r="AC56" s="25"/>
      <c r="AD56" s="25"/>
      <c r="AE56" s="25"/>
      <c r="AF56" s="25"/>
      <c r="AG56" s="25"/>
      <c r="AH56" s="25"/>
      <c r="AI56" s="25"/>
      <c r="AJ56" s="25"/>
      <c r="AK56" s="25"/>
      <c r="AL56" s="25"/>
      <c r="AM56" s="25"/>
      <c r="AN56" s="25"/>
      <c r="AO56" s="25"/>
      <c r="AP56" s="25"/>
      <c r="AQ56" s="100"/>
      <c r="AR56" s="100"/>
      <c r="AS56" s="100"/>
      <c r="AT56" s="100"/>
      <c r="AU56" s="100"/>
      <c r="AV56" s="100"/>
      <c r="AW56" s="25"/>
    </row>
    <row r="57" spans="1:49">
      <c r="A57" s="114" t="s">
        <v>425</v>
      </c>
      <c r="L57" s="30"/>
      <c r="M57" s="30"/>
      <c r="N57" s="502"/>
      <c r="O57" s="502">
        <v>23</v>
      </c>
      <c r="P57" s="502">
        <v>28</v>
      </c>
      <c r="Q57" s="500">
        <v>47</v>
      </c>
      <c r="R57" s="500">
        <v>45</v>
      </c>
      <c r="S57" s="500">
        <v>65</v>
      </c>
      <c r="T57" s="500">
        <v>65</v>
      </c>
      <c r="U57" s="500">
        <v>88</v>
      </c>
      <c r="V57" s="502">
        <f t="shared" ref="V57:Z58" si="62">V74*11.5*V81</f>
        <v>106.94999999999999</v>
      </c>
      <c r="W57" s="502">
        <f t="shared" si="62"/>
        <v>116.38000000000001</v>
      </c>
      <c r="X57" s="502">
        <f t="shared" si="62"/>
        <v>126.96000000000001</v>
      </c>
      <c r="Y57" s="502">
        <f t="shared" si="62"/>
        <v>137.54</v>
      </c>
      <c r="Z57" s="502">
        <f t="shared" si="62"/>
        <v>148.12</v>
      </c>
      <c r="AA57" s="502">
        <f t="shared" ref="AA57" si="63">AA74*11.5*AA81</f>
        <v>148.12</v>
      </c>
      <c r="AB57" s="25"/>
      <c r="AC57" s="25"/>
      <c r="AD57" s="25"/>
      <c r="AE57" s="25"/>
      <c r="AF57" s="25"/>
      <c r="AG57" s="25"/>
      <c r="AH57" s="25"/>
      <c r="AI57" s="25"/>
      <c r="AJ57" s="25"/>
      <c r="AK57" s="25"/>
      <c r="AL57" s="25"/>
      <c r="AM57" s="25"/>
      <c r="AN57" s="25"/>
      <c r="AO57" s="25"/>
      <c r="AP57" s="25"/>
      <c r="AQ57" s="100"/>
      <c r="AR57" s="100"/>
      <c r="AS57" s="100"/>
      <c r="AT57" s="100"/>
      <c r="AU57" s="100"/>
      <c r="AV57" s="100"/>
      <c r="AW57" s="25"/>
    </row>
    <row r="58" spans="1:49">
      <c r="A58" s="114" t="s">
        <v>480</v>
      </c>
      <c r="L58" s="30"/>
      <c r="M58" s="30"/>
      <c r="N58" s="502"/>
      <c r="O58" s="500">
        <v>2</v>
      </c>
      <c r="P58" s="500">
        <v>0</v>
      </c>
      <c r="Q58" s="500">
        <v>2</v>
      </c>
      <c r="R58" s="500">
        <v>6</v>
      </c>
      <c r="S58" s="500">
        <v>7</v>
      </c>
      <c r="T58" s="500">
        <v>6</v>
      </c>
      <c r="U58" s="500">
        <v>15</v>
      </c>
      <c r="V58" s="502">
        <f t="shared" si="62"/>
        <v>6.4300664451827236</v>
      </c>
      <c r="W58" s="502">
        <f t="shared" si="62"/>
        <v>7.4501661129568104</v>
      </c>
      <c r="X58" s="502">
        <f t="shared" si="62"/>
        <v>8.2868770764119581</v>
      </c>
      <c r="Y58" s="502">
        <f>Y75*11.5*Y82</f>
        <v>8.5963455149501655</v>
      </c>
      <c r="Z58" s="502">
        <f>Z75*11.5*Z82</f>
        <v>8.5963455149501655</v>
      </c>
      <c r="AA58" s="502">
        <f>AA75*11.5*AA82</f>
        <v>8.5963455149501655</v>
      </c>
      <c r="AB58" s="25"/>
      <c r="AC58" s="25"/>
      <c r="AD58" s="25"/>
      <c r="AE58" s="25"/>
      <c r="AF58" s="25"/>
      <c r="AG58" s="25"/>
      <c r="AH58" s="25"/>
      <c r="AI58" s="25"/>
      <c r="AJ58" s="25"/>
      <c r="AK58" s="25"/>
      <c r="AL58" s="25"/>
      <c r="AM58" s="25"/>
      <c r="AN58" s="25"/>
      <c r="AO58" s="25"/>
      <c r="AP58" s="25"/>
      <c r="AQ58" s="100"/>
      <c r="AR58" s="100"/>
      <c r="AS58" s="100"/>
      <c r="AT58" s="100"/>
      <c r="AU58" s="100"/>
      <c r="AV58" s="100"/>
      <c r="AW58" s="25"/>
    </row>
    <row r="59" spans="1:49">
      <c r="A59" s="114" t="s">
        <v>419</v>
      </c>
      <c r="L59" s="171">
        <v>68</v>
      </c>
      <c r="M59" s="171">
        <v>160</v>
      </c>
      <c r="N59" s="500">
        <v>284</v>
      </c>
      <c r="O59" s="500">
        <v>381</v>
      </c>
      <c r="P59" s="500">
        <v>253</v>
      </c>
      <c r="Q59" s="500">
        <v>258</v>
      </c>
      <c r="R59" s="500">
        <v>246</v>
      </c>
      <c r="S59" s="500">
        <v>247</v>
      </c>
      <c r="T59" s="500">
        <v>235</v>
      </c>
      <c r="U59" s="500">
        <v>205</v>
      </c>
      <c r="V59" s="502">
        <f>V75*11.5*V83</f>
        <v>251.84426910299004</v>
      </c>
      <c r="W59" s="502">
        <f t="shared" ref="W59:X59" si="64">W75*11.5*W83</f>
        <v>291.79817275747507</v>
      </c>
      <c r="X59" s="502">
        <f t="shared" si="64"/>
        <v>324.56935215946839</v>
      </c>
      <c r="Y59" s="502">
        <f>Y75*11.5*Y83</f>
        <v>336.69019933554819</v>
      </c>
      <c r="Z59" s="502">
        <f>Z75*11.5*Z83</f>
        <v>336.69019933554819</v>
      </c>
      <c r="AA59" s="502">
        <f>AA75*11.5*AA83</f>
        <v>336.69019933554819</v>
      </c>
      <c r="AB59" s="534"/>
      <c r="AC59" s="534"/>
      <c r="AD59" s="534"/>
      <c r="AE59" s="534"/>
      <c r="AF59" s="25"/>
      <c r="AG59" s="25"/>
      <c r="AH59" s="25"/>
      <c r="AI59" s="25"/>
      <c r="AJ59" s="25"/>
      <c r="AK59" s="25"/>
      <c r="AL59" s="25"/>
      <c r="AM59" s="25"/>
      <c r="AN59" s="25"/>
      <c r="AO59" s="25"/>
      <c r="AP59" s="25"/>
      <c r="AQ59" s="100"/>
      <c r="AR59" s="100"/>
      <c r="AS59" s="100"/>
      <c r="AT59" s="100"/>
      <c r="AU59" s="100"/>
      <c r="AV59" s="100"/>
      <c r="AW59" s="25"/>
    </row>
    <row r="60" spans="1:49">
      <c r="A60" s="114" t="s">
        <v>481</v>
      </c>
      <c r="L60" s="30"/>
      <c r="M60" s="171">
        <v>20</v>
      </c>
      <c r="N60" s="500">
        <v>102</v>
      </c>
      <c r="O60" s="500">
        <v>168</v>
      </c>
      <c r="P60" s="500">
        <v>178</v>
      </c>
      <c r="Q60" s="500">
        <v>199</v>
      </c>
      <c r="R60" s="500">
        <v>264</v>
      </c>
      <c r="S60" s="500">
        <v>317</v>
      </c>
      <c r="T60" s="500">
        <v>361</v>
      </c>
      <c r="U60" s="500">
        <v>387</v>
      </c>
      <c r="V60" s="502">
        <f t="shared" ref="V60:X60" si="65">V75*11.5*V84</f>
        <v>386.87566445182722</v>
      </c>
      <c r="W60" s="502">
        <f t="shared" si="65"/>
        <v>448.25166112956811</v>
      </c>
      <c r="X60" s="502">
        <f t="shared" si="65"/>
        <v>498.59377076411954</v>
      </c>
      <c r="Y60" s="502">
        <f>Y75*11.5*Y84</f>
        <v>517.21345514950167</v>
      </c>
      <c r="Z60" s="502">
        <f>Z75*11.5*Z84</f>
        <v>517.21345514950167</v>
      </c>
      <c r="AA60" s="502">
        <f>AA75*11.5*AA84</f>
        <v>517.21345514950167</v>
      </c>
      <c r="AF60" s="25"/>
      <c r="AG60" s="25"/>
      <c r="AH60" s="25"/>
      <c r="AI60" s="25"/>
      <c r="AJ60" s="25"/>
      <c r="AK60" s="25"/>
      <c r="AL60" s="25"/>
      <c r="AM60" s="25"/>
      <c r="AN60" s="25"/>
      <c r="AO60" s="25"/>
      <c r="AP60" s="25"/>
      <c r="AQ60" s="100"/>
      <c r="AR60" s="100"/>
      <c r="AS60" s="100"/>
      <c r="AT60" s="100"/>
      <c r="AU60" s="100"/>
      <c r="AV60" s="100"/>
      <c r="AW60" s="25"/>
    </row>
    <row r="61" spans="1:49">
      <c r="A61" s="788" t="s">
        <v>567</v>
      </c>
      <c r="B61" s="233"/>
      <c r="C61" s="233"/>
      <c r="D61" s="233"/>
      <c r="E61" s="233"/>
      <c r="F61" s="233"/>
      <c r="G61" s="233"/>
      <c r="H61" s="233"/>
      <c r="I61" s="233"/>
      <c r="J61" s="233"/>
      <c r="K61" s="233"/>
      <c r="L61" s="509"/>
      <c r="M61" s="503"/>
      <c r="N61" s="503"/>
      <c r="O61" s="503"/>
      <c r="P61" s="503"/>
      <c r="Q61" s="503">
        <f>SUM(Q58:Q60)+24</f>
        <v>483</v>
      </c>
      <c r="R61" s="503">
        <f t="shared" ref="R61:X61" si="66">SUM(R58:R60)</f>
        <v>516</v>
      </c>
      <c r="S61" s="880">
        <f t="shared" si="66"/>
        <v>571</v>
      </c>
      <c r="T61" s="880">
        <f t="shared" si="66"/>
        <v>602</v>
      </c>
      <c r="U61" s="880">
        <f t="shared" ref="U61" si="67">SUM(U58:U60)</f>
        <v>607</v>
      </c>
      <c r="V61" s="880">
        <f t="shared" si="66"/>
        <v>645.15</v>
      </c>
      <c r="W61" s="880">
        <f t="shared" si="66"/>
        <v>747.5</v>
      </c>
      <c r="X61" s="880">
        <f t="shared" si="66"/>
        <v>831.44999999999982</v>
      </c>
      <c r="Y61" s="880">
        <f>SUM(Y58:Y60)</f>
        <v>862.5</v>
      </c>
      <c r="Z61" s="880">
        <f>SUM(Z58:Z60)</f>
        <v>862.5</v>
      </c>
      <c r="AA61" s="880">
        <f>SUM(AA58:AA60)</f>
        <v>862.5</v>
      </c>
      <c r="AF61" s="25"/>
      <c r="AG61" s="25"/>
      <c r="AH61" s="25"/>
      <c r="AI61" s="25"/>
      <c r="AJ61" s="25"/>
      <c r="AK61" s="25"/>
      <c r="AL61" s="25"/>
      <c r="AM61" s="25"/>
      <c r="AN61" s="25"/>
      <c r="AO61" s="25"/>
      <c r="AP61" s="25"/>
      <c r="AQ61" s="100"/>
      <c r="AR61" s="100"/>
      <c r="AS61" s="100"/>
      <c r="AT61" s="100"/>
      <c r="AU61" s="100"/>
      <c r="AV61" s="100"/>
      <c r="AW61" s="25"/>
    </row>
    <row r="62" spans="1:49" s="25" customFormat="1">
      <c r="A62" s="114" t="s">
        <v>666</v>
      </c>
      <c r="L62" s="502"/>
      <c r="M62" s="500"/>
      <c r="N62" s="500"/>
      <c r="O62" s="500"/>
      <c r="P62" s="500"/>
      <c r="Q62" s="500">
        <v>0</v>
      </c>
      <c r="R62" s="500">
        <v>0</v>
      </c>
      <c r="S62" s="500">
        <v>0</v>
      </c>
      <c r="T62" s="500">
        <v>0</v>
      </c>
      <c r="U62" s="534">
        <v>2</v>
      </c>
      <c r="V62" s="534"/>
      <c r="W62" s="534"/>
      <c r="X62" s="534"/>
      <c r="Y62" s="534"/>
      <c r="Z62" s="534"/>
      <c r="AA62" s="534"/>
      <c r="AQ62" s="100"/>
      <c r="AR62" s="100"/>
      <c r="AS62" s="100"/>
      <c r="AT62" s="100"/>
      <c r="AU62" s="100"/>
      <c r="AV62" s="100"/>
    </row>
    <row r="63" spans="1:49">
      <c r="A63" s="630" t="s">
        <v>420</v>
      </c>
      <c r="L63" s="30"/>
      <c r="M63" s="30"/>
      <c r="N63" s="500">
        <v>0</v>
      </c>
      <c r="O63" s="500">
        <v>0</v>
      </c>
      <c r="P63" s="500">
        <v>3</v>
      </c>
      <c r="Q63" s="500">
        <v>3</v>
      </c>
      <c r="R63" s="500">
        <v>1</v>
      </c>
      <c r="S63" s="500">
        <v>3</v>
      </c>
      <c r="T63" s="500">
        <v>2</v>
      </c>
      <c r="U63" s="500">
        <v>1</v>
      </c>
      <c r="V63" s="144">
        <f t="shared" ref="V63:Z63" si="68">V76*11*V85</f>
        <v>2.5437500000000002</v>
      </c>
      <c r="W63" s="144">
        <f t="shared" si="68"/>
        <v>2.8187499999999996</v>
      </c>
      <c r="X63" s="144">
        <f t="shared" si="68"/>
        <v>2.9562499999999998</v>
      </c>
      <c r="Y63" s="144">
        <f t="shared" si="68"/>
        <v>3.09375</v>
      </c>
      <c r="Z63" s="144">
        <f t="shared" si="68"/>
        <v>3.4375</v>
      </c>
      <c r="AA63" s="144">
        <f t="shared" ref="AA63" si="69">AA76*11*AA85</f>
        <v>3.4375</v>
      </c>
      <c r="AB63" s="25"/>
      <c r="AC63" s="25"/>
      <c r="AD63" s="25"/>
      <c r="AE63" s="25"/>
      <c r="AF63" s="25"/>
      <c r="AG63" s="25"/>
      <c r="AH63" s="25"/>
      <c r="AI63" s="25"/>
      <c r="AJ63" s="25"/>
      <c r="AK63" s="25"/>
      <c r="AL63" s="25"/>
      <c r="AM63" s="25"/>
      <c r="AN63" s="25"/>
      <c r="AO63" s="25"/>
      <c r="AP63" s="25"/>
      <c r="AQ63" s="25"/>
      <c r="AR63" s="25"/>
      <c r="AS63" s="25"/>
      <c r="AT63" s="25"/>
      <c r="AU63" s="25"/>
      <c r="AV63" s="25"/>
      <c r="AW63" s="25"/>
    </row>
    <row r="64" spans="1:49">
      <c r="A64" s="630" t="s">
        <v>421</v>
      </c>
      <c r="L64" s="30"/>
      <c r="M64" s="30"/>
      <c r="N64" s="500">
        <v>3</v>
      </c>
      <c r="O64" s="500">
        <v>41</v>
      </c>
      <c r="P64" s="500">
        <v>10</v>
      </c>
      <c r="Q64" s="500">
        <v>15</v>
      </c>
      <c r="R64" s="500">
        <v>22</v>
      </c>
      <c r="S64" s="500">
        <v>29</v>
      </c>
      <c r="T64" s="500">
        <v>30</v>
      </c>
      <c r="U64" s="500">
        <v>33</v>
      </c>
      <c r="V64" s="502">
        <f t="shared" ref="V64:Z64" si="70">V76*11*V86</f>
        <v>38.15625</v>
      </c>
      <c r="W64" s="502">
        <f t="shared" si="70"/>
        <v>42.281249999999993</v>
      </c>
      <c r="X64" s="502">
        <f t="shared" si="70"/>
        <v>44.34375</v>
      </c>
      <c r="Y64" s="502">
        <f t="shared" si="70"/>
        <v>46.40625</v>
      </c>
      <c r="Z64" s="502">
        <f t="shared" si="70"/>
        <v>51.5625</v>
      </c>
      <c r="AA64" s="502">
        <f t="shared" ref="AA64" si="71">AA76*11*AA86</f>
        <v>51.5625</v>
      </c>
      <c r="AB64" s="25"/>
      <c r="AC64" s="25"/>
      <c r="AD64" s="25"/>
      <c r="AE64" s="25"/>
      <c r="AF64" s="25"/>
      <c r="AG64" s="25"/>
      <c r="AH64" s="25"/>
      <c r="AI64" s="25"/>
      <c r="AJ64" s="25"/>
      <c r="AK64" s="25"/>
      <c r="AL64" s="25"/>
      <c r="AM64" s="25"/>
      <c r="AN64" s="25"/>
      <c r="AO64" s="25"/>
      <c r="AP64" s="25"/>
      <c r="AQ64" s="25"/>
      <c r="AR64" s="25"/>
      <c r="AS64" s="25"/>
      <c r="AT64" s="25"/>
      <c r="AU64" s="25"/>
      <c r="AV64" s="25"/>
      <c r="AW64" s="25"/>
    </row>
    <row r="65" spans="1:49">
      <c r="A65" s="788" t="s">
        <v>600</v>
      </c>
      <c r="B65" s="788"/>
      <c r="C65" s="788"/>
      <c r="D65" s="788"/>
      <c r="E65" s="788"/>
      <c r="F65" s="788"/>
      <c r="G65" s="788"/>
      <c r="H65" s="788"/>
      <c r="I65" s="788"/>
      <c r="J65" s="788"/>
      <c r="K65" s="788"/>
      <c r="L65" s="788"/>
      <c r="M65" s="788"/>
      <c r="N65" s="788"/>
      <c r="O65" s="788"/>
      <c r="P65" s="788"/>
      <c r="Q65" s="880">
        <f t="shared" ref="Q65:T65" si="72">SUM(Q62:Q64)</f>
        <v>18</v>
      </c>
      <c r="R65" s="880">
        <f t="shared" si="72"/>
        <v>23</v>
      </c>
      <c r="S65" s="880">
        <f t="shared" si="72"/>
        <v>32</v>
      </c>
      <c r="T65" s="880">
        <f t="shared" si="72"/>
        <v>32</v>
      </c>
      <c r="U65" s="880">
        <f>SUM(U62:U64)</f>
        <v>36</v>
      </c>
      <c r="V65" s="520">
        <f t="shared" ref="V65:Z65" si="73">SUM(V63:V64)</f>
        <v>40.700000000000003</v>
      </c>
      <c r="W65" s="520">
        <f t="shared" si="73"/>
        <v>45.099999999999994</v>
      </c>
      <c r="X65" s="520">
        <f t="shared" si="73"/>
        <v>47.3</v>
      </c>
      <c r="Y65" s="520">
        <f t="shared" si="73"/>
        <v>49.5</v>
      </c>
      <c r="Z65" s="520">
        <f t="shared" si="73"/>
        <v>55</v>
      </c>
      <c r="AA65" s="520">
        <f t="shared" ref="AA65" si="74">SUM(AA63:AA64)</f>
        <v>55</v>
      </c>
      <c r="AB65" s="25"/>
      <c r="AC65" s="25"/>
      <c r="AD65" s="25"/>
      <c r="AE65" s="25"/>
      <c r="AF65" s="25"/>
      <c r="AG65" s="25"/>
      <c r="AH65" s="25"/>
      <c r="AI65" s="25"/>
      <c r="AJ65" s="25"/>
      <c r="AK65" s="25"/>
      <c r="AL65" s="25"/>
      <c r="AM65" s="25"/>
      <c r="AN65" s="25"/>
      <c r="AO65" s="25"/>
      <c r="AP65" s="25"/>
      <c r="AQ65" s="25"/>
      <c r="AR65" s="25"/>
      <c r="AS65" s="25"/>
      <c r="AT65" s="25"/>
      <c r="AU65" s="25"/>
      <c r="AV65" s="25"/>
      <c r="AW65" s="25"/>
    </row>
    <row r="66" spans="1:49">
      <c r="A66" s="13" t="s">
        <v>235</v>
      </c>
      <c r="J66" s="13" t="e">
        <f>#REF!-J67</f>
        <v>#REF!</v>
      </c>
      <c r="K66" s="168">
        <v>14</v>
      </c>
      <c r="L66" s="171">
        <v>49</v>
      </c>
      <c r="M66" s="171">
        <v>78</v>
      </c>
      <c r="N66" s="500">
        <v>79</v>
      </c>
      <c r="O66" s="500">
        <v>87</v>
      </c>
      <c r="P66" s="500">
        <v>45</v>
      </c>
      <c r="Q66" s="500">
        <v>49</v>
      </c>
      <c r="R66" s="500">
        <v>50</v>
      </c>
      <c r="S66" s="500">
        <v>52</v>
      </c>
      <c r="T66" s="500">
        <v>45</v>
      </c>
      <c r="U66" s="500">
        <v>42</v>
      </c>
      <c r="V66" s="502">
        <f t="shared" ref="V66:Z66" si="75">V77*11*V87</f>
        <v>54.710526315789473</v>
      </c>
      <c r="W66" s="502">
        <f t="shared" si="75"/>
        <v>69.473684210526315</v>
      </c>
      <c r="X66" s="502">
        <f t="shared" si="75"/>
        <v>89.447368421052644</v>
      </c>
      <c r="Y66" s="502">
        <f t="shared" si="75"/>
        <v>104.21052631578948</v>
      </c>
      <c r="Z66" s="502">
        <f t="shared" si="75"/>
        <v>108.55263157894737</v>
      </c>
      <c r="AA66" s="502">
        <f t="shared" ref="AA66" si="76">AA77*11*AA87</f>
        <v>110.28947368421052</v>
      </c>
    </row>
    <row r="67" spans="1:49">
      <c r="A67" s="13" t="s">
        <v>236</v>
      </c>
      <c r="J67" s="168">
        <v>0</v>
      </c>
      <c r="L67" s="30"/>
      <c r="M67" s="30"/>
      <c r="N67" s="500">
        <v>14</v>
      </c>
      <c r="O67" s="500">
        <v>25</v>
      </c>
      <c r="P67" s="500">
        <v>14</v>
      </c>
      <c r="Q67" s="500">
        <v>6</v>
      </c>
      <c r="R67" s="500">
        <v>10</v>
      </c>
      <c r="S67" s="500">
        <v>12</v>
      </c>
      <c r="T67" s="500">
        <v>12</v>
      </c>
      <c r="U67" s="500">
        <v>15</v>
      </c>
      <c r="V67" s="502">
        <f t="shared" ref="V67:Z67" si="77">V77*11*V88</f>
        <v>14.589473684210525</v>
      </c>
      <c r="W67" s="502">
        <f t="shared" si="77"/>
        <v>18.526315789473685</v>
      </c>
      <c r="X67" s="502">
        <f t="shared" si="77"/>
        <v>23.852631578947371</v>
      </c>
      <c r="Y67" s="502">
        <f t="shared" si="77"/>
        <v>27.789473684210524</v>
      </c>
      <c r="Z67" s="502">
        <f t="shared" si="77"/>
        <v>28.94736842105263</v>
      </c>
      <c r="AA67" s="502">
        <f t="shared" ref="AA67" si="78">AA77*11*AA88</f>
        <v>29.410526315789468</v>
      </c>
    </row>
    <row r="68" spans="1:49">
      <c r="A68" s="788" t="s">
        <v>569</v>
      </c>
      <c r="B68" s="233"/>
      <c r="C68" s="233"/>
      <c r="D68" s="233"/>
      <c r="E68" s="233"/>
      <c r="F68" s="233"/>
      <c r="G68" s="233"/>
      <c r="H68" s="233"/>
      <c r="I68" s="233"/>
      <c r="J68" s="233"/>
      <c r="K68" s="233"/>
      <c r="L68" s="509"/>
      <c r="M68" s="503"/>
      <c r="N68" s="503"/>
      <c r="O68" s="503"/>
      <c r="P68" s="503"/>
      <c r="Q68" s="503">
        <f>SUM(Q66:Q67)</f>
        <v>55</v>
      </c>
      <c r="R68" s="503">
        <f t="shared" ref="R68:Z68" si="79">SUM(R66:R67)</f>
        <v>60</v>
      </c>
      <c r="S68" s="503">
        <f t="shared" si="79"/>
        <v>64</v>
      </c>
      <c r="T68" s="503">
        <f t="shared" si="79"/>
        <v>57</v>
      </c>
      <c r="U68" s="503">
        <f t="shared" ref="U68" si="80">SUM(U66:U67)</f>
        <v>57</v>
      </c>
      <c r="V68" s="520">
        <f t="shared" si="79"/>
        <v>69.3</v>
      </c>
      <c r="W68" s="520">
        <f t="shared" si="79"/>
        <v>88</v>
      </c>
      <c r="X68" s="520">
        <f t="shared" si="79"/>
        <v>113.30000000000001</v>
      </c>
      <c r="Y68" s="520">
        <f t="shared" si="79"/>
        <v>132</v>
      </c>
      <c r="Z68" s="520">
        <f t="shared" si="79"/>
        <v>137.5</v>
      </c>
      <c r="AA68" s="520">
        <f t="shared" ref="AA68" si="81">SUM(AA66:AA67)</f>
        <v>139.69999999999999</v>
      </c>
    </row>
    <row r="69" spans="1:49">
      <c r="A69" s="143" t="s">
        <v>209</v>
      </c>
      <c r="B69" s="21">
        <v>434</v>
      </c>
      <c r="C69" s="21">
        <v>453</v>
      </c>
      <c r="D69" s="21">
        <v>483</v>
      </c>
      <c r="E69" s="21">
        <v>498</v>
      </c>
      <c r="F69" s="21">
        <v>510</v>
      </c>
      <c r="G69" s="21">
        <v>534</v>
      </c>
      <c r="H69" s="21">
        <v>588</v>
      </c>
      <c r="I69" s="21">
        <v>626</v>
      </c>
      <c r="J69" s="21">
        <v>629</v>
      </c>
      <c r="K69" s="21">
        <v>635</v>
      </c>
      <c r="L69" s="511">
        <v>688</v>
      </c>
      <c r="M69" s="511">
        <v>718</v>
      </c>
      <c r="N69" s="511">
        <v>780</v>
      </c>
      <c r="O69" s="511">
        <v>863</v>
      </c>
      <c r="P69" s="511">
        <v>566</v>
      </c>
      <c r="Q69" s="511">
        <f t="shared" ref="Q69:T69" si="82">SUM(Q56:Q60,Q62:Q64,Q66:Q67)</f>
        <v>582</v>
      </c>
      <c r="R69" s="511">
        <f t="shared" si="82"/>
        <v>652</v>
      </c>
      <c r="S69" s="511">
        <f t="shared" si="82"/>
        <v>735</v>
      </c>
      <c r="T69" s="511">
        <f t="shared" si="82"/>
        <v>766</v>
      </c>
      <c r="U69" s="511">
        <f>SUM(U56:U60,U62:U64,U66:U67)</f>
        <v>793</v>
      </c>
      <c r="V69" s="511">
        <f t="shared" ref="V69:X69" si="83">SUM(V56:V60,V62:V64,V66:V67)</f>
        <v>870.15</v>
      </c>
      <c r="W69" s="511">
        <f t="shared" si="83"/>
        <v>1007.1</v>
      </c>
      <c r="X69" s="511">
        <f t="shared" si="83"/>
        <v>1130.05</v>
      </c>
      <c r="Y69" s="511">
        <f>SUM(Y56:Y60,Y62:Y64,Y66:Y67)</f>
        <v>1193.5000000000002</v>
      </c>
      <c r="Z69" s="511">
        <f>SUM(Z56:Z60,Z62:Z64,Z66:Z67)</f>
        <v>1216</v>
      </c>
      <c r="AA69" s="511">
        <f>SUM(AA56:AA60,AA62:AA64,AA66:AA67)</f>
        <v>1218.1999999999998</v>
      </c>
    </row>
    <row r="70" spans="1:49">
      <c r="A70" s="789" t="s">
        <v>237</v>
      </c>
      <c r="B70" s="13">
        <f t="shared" ref="B70:N70" si="84">SUM(B58:B60)</f>
        <v>0</v>
      </c>
      <c r="C70" s="13">
        <f t="shared" si="84"/>
        <v>0</v>
      </c>
      <c r="D70" s="13">
        <f t="shared" si="84"/>
        <v>0</v>
      </c>
      <c r="E70" s="13">
        <f t="shared" si="84"/>
        <v>0</v>
      </c>
      <c r="F70" s="13">
        <f t="shared" si="84"/>
        <v>0</v>
      </c>
      <c r="G70" s="13">
        <f t="shared" si="84"/>
        <v>0</v>
      </c>
      <c r="H70" s="13">
        <f t="shared" si="84"/>
        <v>0</v>
      </c>
      <c r="I70" s="13">
        <f t="shared" si="84"/>
        <v>0</v>
      </c>
      <c r="J70" s="13">
        <f t="shared" si="84"/>
        <v>0</v>
      </c>
      <c r="K70" s="13">
        <f t="shared" si="84"/>
        <v>0</v>
      </c>
      <c r="L70" s="30">
        <f t="shared" si="84"/>
        <v>68</v>
      </c>
      <c r="M70" s="30">
        <f t="shared" si="84"/>
        <v>180</v>
      </c>
      <c r="N70" s="30">
        <f t="shared" si="84"/>
        <v>386</v>
      </c>
      <c r="O70" s="30">
        <f t="shared" ref="O70:X70" si="85">SUM(O56:O60)</f>
        <v>599</v>
      </c>
      <c r="P70" s="30">
        <f t="shared" si="85"/>
        <v>469</v>
      </c>
      <c r="Q70" s="30">
        <f t="shared" si="85"/>
        <v>509</v>
      </c>
      <c r="R70" s="30">
        <f t="shared" si="85"/>
        <v>569</v>
      </c>
      <c r="S70" s="30">
        <f t="shared" si="85"/>
        <v>639</v>
      </c>
      <c r="T70" s="30">
        <f t="shared" si="85"/>
        <v>677</v>
      </c>
      <c r="U70" s="30">
        <f t="shared" si="85"/>
        <v>700</v>
      </c>
      <c r="V70" s="30">
        <f t="shared" si="85"/>
        <v>760.15</v>
      </c>
      <c r="W70" s="30">
        <f t="shared" si="85"/>
        <v>874</v>
      </c>
      <c r="X70" s="30">
        <f t="shared" si="85"/>
        <v>969.44999999999993</v>
      </c>
      <c r="Y70" s="30">
        <f>SUM(Y56:Y60)</f>
        <v>1012</v>
      </c>
      <c r="Z70" s="30">
        <f>SUM(Z56:Z60)</f>
        <v>1023.5</v>
      </c>
      <c r="AA70" s="30">
        <f>SUM(AA56:AA60)</f>
        <v>1023.5</v>
      </c>
    </row>
    <row r="71" spans="1:49">
      <c r="A71" s="789" t="s">
        <v>238</v>
      </c>
      <c r="B71" s="13">
        <f t="shared" ref="B71:X71" si="86">B69-B70</f>
        <v>434</v>
      </c>
      <c r="C71" s="13">
        <f t="shared" si="86"/>
        <v>453</v>
      </c>
      <c r="D71" s="13">
        <f t="shared" si="86"/>
        <v>483</v>
      </c>
      <c r="E71" s="13">
        <f t="shared" si="86"/>
        <v>498</v>
      </c>
      <c r="F71" s="13">
        <f t="shared" si="86"/>
        <v>510</v>
      </c>
      <c r="G71" s="13">
        <f t="shared" si="86"/>
        <v>534</v>
      </c>
      <c r="H71" s="13">
        <f t="shared" si="86"/>
        <v>588</v>
      </c>
      <c r="I71" s="13">
        <f t="shared" si="86"/>
        <v>626</v>
      </c>
      <c r="J71" s="13">
        <f t="shared" si="86"/>
        <v>629</v>
      </c>
      <c r="K71" s="13">
        <f t="shared" si="86"/>
        <v>635</v>
      </c>
      <c r="L71" s="30">
        <f t="shared" si="86"/>
        <v>620</v>
      </c>
      <c r="M71" s="30">
        <f t="shared" si="86"/>
        <v>538</v>
      </c>
      <c r="N71" s="30">
        <f t="shared" si="86"/>
        <v>394</v>
      </c>
      <c r="O71" s="30">
        <f t="shared" si="86"/>
        <v>264</v>
      </c>
      <c r="P71" s="30">
        <f t="shared" si="86"/>
        <v>97</v>
      </c>
      <c r="Q71" s="30">
        <f t="shared" si="86"/>
        <v>73</v>
      </c>
      <c r="R71" s="30">
        <f t="shared" si="86"/>
        <v>83</v>
      </c>
      <c r="S71" s="30">
        <f t="shared" si="86"/>
        <v>96</v>
      </c>
      <c r="T71" s="30">
        <f t="shared" si="86"/>
        <v>89</v>
      </c>
      <c r="U71" s="30">
        <f t="shared" si="86"/>
        <v>93</v>
      </c>
      <c r="V71" s="30">
        <f t="shared" si="86"/>
        <v>110</v>
      </c>
      <c r="W71" s="30">
        <f t="shared" si="86"/>
        <v>133.10000000000002</v>
      </c>
      <c r="X71" s="30">
        <f t="shared" si="86"/>
        <v>160.60000000000002</v>
      </c>
      <c r="Y71" s="30">
        <f>Y69-Y70</f>
        <v>181.50000000000023</v>
      </c>
      <c r="Z71" s="30">
        <f>Z69-Z70</f>
        <v>192.5</v>
      </c>
      <c r="AA71" s="30">
        <f>AA69-AA70</f>
        <v>194.69999999999982</v>
      </c>
    </row>
    <row r="72" spans="1:49">
      <c r="A72" s="15"/>
      <c r="L72" s="30"/>
      <c r="M72" s="30"/>
      <c r="N72" s="30"/>
      <c r="O72" s="30"/>
      <c r="P72" s="30"/>
      <c r="Q72" s="30"/>
      <c r="R72" s="30"/>
      <c r="S72" s="30"/>
      <c r="T72" s="30"/>
      <c r="U72" s="30"/>
      <c r="V72" s="30"/>
      <c r="W72" s="30"/>
      <c r="X72" s="30"/>
      <c r="Y72" s="30"/>
      <c r="Z72" s="30"/>
      <c r="AA72" s="30"/>
    </row>
    <row r="73" spans="1:49">
      <c r="A73" s="227" t="s">
        <v>570</v>
      </c>
      <c r="B73" s="225"/>
      <c r="C73" s="226"/>
      <c r="D73" s="225"/>
      <c r="E73" s="226"/>
      <c r="F73" s="226"/>
      <c r="G73" s="226"/>
      <c r="H73" s="226"/>
      <c r="I73" s="226"/>
      <c r="J73" s="224"/>
      <c r="K73" s="224"/>
      <c r="L73" s="496"/>
      <c r="M73" s="496"/>
      <c r="N73" s="496"/>
      <c r="O73" s="496"/>
      <c r="P73" s="496"/>
      <c r="Q73" s="496"/>
      <c r="R73" s="496"/>
      <c r="S73" s="496"/>
      <c r="T73" s="496"/>
      <c r="U73" s="496"/>
      <c r="V73" s="496"/>
      <c r="W73" s="496"/>
      <c r="X73" s="496"/>
      <c r="Y73" s="496"/>
      <c r="Z73" s="496"/>
      <c r="AA73" s="496"/>
    </row>
    <row r="74" spans="1:49">
      <c r="A74" s="113" t="s">
        <v>467</v>
      </c>
      <c r="L74" s="30"/>
      <c r="M74" s="30"/>
      <c r="N74" s="30"/>
      <c r="O74" s="30"/>
      <c r="P74" s="30"/>
      <c r="Q74" s="30">
        <f>(Q56+Q57)/11.5</f>
        <v>4.3478260869565215</v>
      </c>
      <c r="R74" s="30">
        <f>(R56+R57)/11.5</f>
        <v>4.6086956521739131</v>
      </c>
      <c r="S74" s="30">
        <f>(S56+S57)/11.5</f>
        <v>5.9130434782608692</v>
      </c>
      <c r="T74" s="30">
        <f>(T56+T57)/11.5</f>
        <v>6.5217391304347823</v>
      </c>
      <c r="U74" s="85">
        <f>(U56+U57)/11.5</f>
        <v>8.0869565217391308</v>
      </c>
      <c r="V74" s="881">
        <v>10</v>
      </c>
      <c r="W74" s="881">
        <f>V74+1</f>
        <v>11</v>
      </c>
      <c r="X74" s="881">
        <v>12</v>
      </c>
      <c r="Y74" s="881">
        <f>X74+1</f>
        <v>13</v>
      </c>
      <c r="Z74" s="881">
        <f>Y74+1</f>
        <v>14</v>
      </c>
      <c r="AA74" s="881">
        <f>Z74</f>
        <v>14</v>
      </c>
      <c r="AJ74" s="113"/>
    </row>
    <row r="75" spans="1:49">
      <c r="A75" s="113" t="s">
        <v>567</v>
      </c>
      <c r="L75" s="30"/>
      <c r="M75" s="30"/>
      <c r="N75" s="30"/>
      <c r="O75" s="30"/>
      <c r="P75" s="30"/>
      <c r="Q75" s="30">
        <f>SUM(Q58:Q60)/11.5</f>
        <v>39.913043478260867</v>
      </c>
      <c r="R75" s="30">
        <f>SUM(R58:R60)/11.5</f>
        <v>44.869565217391305</v>
      </c>
      <c r="S75" s="30">
        <f>SUM(S58:S60)/11.5</f>
        <v>49.652173913043477</v>
      </c>
      <c r="T75" s="85">
        <f>SUM(T58:T60)/11.5</f>
        <v>52.347826086956523</v>
      </c>
      <c r="U75" s="85">
        <f>SUM(U58:U60)/11.5</f>
        <v>52.782608695652172</v>
      </c>
      <c r="V75" s="881">
        <v>56.1</v>
      </c>
      <c r="W75" s="881">
        <v>65</v>
      </c>
      <c r="X75" s="881">
        <v>72.3</v>
      </c>
      <c r="Y75" s="881">
        <v>75</v>
      </c>
      <c r="Z75" s="881">
        <f>Y75</f>
        <v>75</v>
      </c>
      <c r="AA75" s="881">
        <f>Z75</f>
        <v>75</v>
      </c>
      <c r="AJ75" s="631"/>
    </row>
    <row r="76" spans="1:49">
      <c r="A76" s="113" t="s">
        <v>568</v>
      </c>
      <c r="L76" s="30"/>
      <c r="M76" s="30"/>
      <c r="N76" s="30"/>
      <c r="O76" s="30"/>
      <c r="P76" s="30"/>
      <c r="Q76" s="30">
        <f>(Q63+Q64)/12</f>
        <v>1.5</v>
      </c>
      <c r="R76" s="30">
        <f t="shared" ref="R76:U76" si="87">(R63+R64)/12</f>
        <v>1.9166666666666667</v>
      </c>
      <c r="S76" s="30">
        <f t="shared" si="87"/>
        <v>2.6666666666666665</v>
      </c>
      <c r="T76" s="30">
        <f t="shared" si="87"/>
        <v>2.6666666666666665</v>
      </c>
      <c r="U76" s="85">
        <f t="shared" si="87"/>
        <v>2.8333333333333335</v>
      </c>
      <c r="V76" s="881">
        <v>3.7</v>
      </c>
      <c r="W76" s="881">
        <v>4.0999999999999996</v>
      </c>
      <c r="X76" s="881">
        <v>4.3</v>
      </c>
      <c r="Y76" s="881">
        <v>4.5</v>
      </c>
      <c r="Z76" s="881">
        <v>5</v>
      </c>
      <c r="AA76" s="881">
        <f>Z76</f>
        <v>5</v>
      </c>
      <c r="AJ76" s="631"/>
    </row>
    <row r="77" spans="1:49">
      <c r="A77" s="113" t="s">
        <v>569</v>
      </c>
      <c r="L77" s="30"/>
      <c r="M77" s="30"/>
      <c r="N77" s="30"/>
      <c r="O77" s="30"/>
      <c r="P77" s="30"/>
      <c r="Q77" s="30">
        <f>(Q66+Q67)/12</f>
        <v>4.583333333333333</v>
      </c>
      <c r="R77" s="30">
        <f t="shared" ref="R77:U77" si="88">(R66+R67)/12</f>
        <v>5</v>
      </c>
      <c r="S77" s="30">
        <f t="shared" si="88"/>
        <v>5.333333333333333</v>
      </c>
      <c r="T77" s="30">
        <f t="shared" si="88"/>
        <v>4.75</v>
      </c>
      <c r="U77" s="85">
        <f t="shared" si="88"/>
        <v>4.75</v>
      </c>
      <c r="V77" s="881">
        <v>6.3</v>
      </c>
      <c r="W77" s="881">
        <v>8</v>
      </c>
      <c r="X77" s="881">
        <v>10.3</v>
      </c>
      <c r="Y77" s="881">
        <v>12</v>
      </c>
      <c r="Z77" s="881">
        <v>12.5</v>
      </c>
      <c r="AA77" s="881">
        <v>12.7</v>
      </c>
      <c r="AJ77" s="631"/>
    </row>
    <row r="78" spans="1:49">
      <c r="A78" s="15"/>
      <c r="L78" s="30"/>
      <c r="M78" s="30"/>
      <c r="N78" s="30"/>
      <c r="O78" s="30"/>
      <c r="P78" s="30"/>
      <c r="Q78" s="30"/>
      <c r="R78" s="30"/>
      <c r="S78" s="30"/>
      <c r="T78" s="30"/>
      <c r="U78" s="30"/>
      <c r="V78" s="30"/>
      <c r="W78" s="30"/>
      <c r="X78" s="30"/>
      <c r="Y78" s="30"/>
      <c r="Z78" s="30"/>
      <c r="AA78" s="30"/>
      <c r="AJ78" s="631"/>
    </row>
    <row r="79" spans="1:49" outlineLevel="1">
      <c r="A79" s="227" t="s">
        <v>571</v>
      </c>
      <c r="B79" s="222"/>
      <c r="C79" s="305"/>
      <c r="D79" s="305"/>
      <c r="E79" s="305"/>
      <c r="F79" s="305"/>
      <c r="G79" s="305"/>
      <c r="H79" s="305"/>
      <c r="I79" s="305"/>
      <c r="J79" s="305"/>
      <c r="K79" s="305"/>
      <c r="L79" s="513"/>
      <c r="M79" s="513"/>
      <c r="N79" s="513"/>
      <c r="O79" s="513"/>
      <c r="P79" s="513"/>
      <c r="Q79" s="513"/>
      <c r="R79" s="513"/>
      <c r="S79" s="513"/>
      <c r="T79" s="513"/>
      <c r="U79" s="513"/>
      <c r="V79" s="513"/>
      <c r="W79" s="513"/>
      <c r="X79" s="513"/>
      <c r="Y79" s="513"/>
      <c r="Z79" s="513"/>
      <c r="AA79" s="513"/>
      <c r="AJ79" s="631"/>
    </row>
    <row r="80" spans="1:49" s="25" customFormat="1" outlineLevel="1">
      <c r="A80" s="25" t="s">
        <v>424</v>
      </c>
      <c r="B80" s="87"/>
      <c r="C80" s="87"/>
      <c r="D80" s="87"/>
      <c r="E80" s="87"/>
      <c r="F80" s="87"/>
      <c r="G80" s="87"/>
      <c r="H80" s="87"/>
      <c r="I80" s="87"/>
      <c r="J80" s="87"/>
      <c r="K80" s="87"/>
      <c r="L80" s="540"/>
      <c r="M80" s="540"/>
      <c r="N80" s="540"/>
      <c r="O80" s="540">
        <f t="shared" ref="O80:T80" si="89">O56/(O56+O57)</f>
        <v>0.52083333333333337</v>
      </c>
      <c r="P80" s="540">
        <f t="shared" si="89"/>
        <v>0.26315789473684209</v>
      </c>
      <c r="Q80" s="540">
        <f t="shared" si="89"/>
        <v>0.06</v>
      </c>
      <c r="R80" s="540">
        <f t="shared" si="89"/>
        <v>0.15094339622641509</v>
      </c>
      <c r="S80" s="540">
        <f t="shared" si="89"/>
        <v>4.4117647058823532E-2</v>
      </c>
      <c r="T80" s="540">
        <f t="shared" si="89"/>
        <v>0.13333333333333333</v>
      </c>
      <c r="U80" s="540">
        <f t="shared" ref="U80" si="90">U56/(U56+U57)</f>
        <v>5.3763440860215055E-2</v>
      </c>
      <c r="V80" s="623">
        <v>7.0000000000000007E-2</v>
      </c>
      <c r="W80" s="623">
        <v>0.08</v>
      </c>
      <c r="X80" s="623">
        <f t="shared" ref="X80:AA80" si="91">W80</f>
        <v>0.08</v>
      </c>
      <c r="Y80" s="623">
        <f t="shared" si="91"/>
        <v>0.08</v>
      </c>
      <c r="Z80" s="623">
        <f t="shared" si="91"/>
        <v>0.08</v>
      </c>
      <c r="AA80" s="623">
        <f t="shared" si="91"/>
        <v>0.08</v>
      </c>
      <c r="AJ80" s="631"/>
    </row>
    <row r="81" spans="1:36" s="25" customFormat="1" outlineLevel="1">
      <c r="A81" s="25" t="s">
        <v>425</v>
      </c>
      <c r="B81" s="87"/>
      <c r="C81" s="87"/>
      <c r="D81" s="87"/>
      <c r="E81" s="87"/>
      <c r="F81" s="87"/>
      <c r="G81" s="87"/>
      <c r="H81" s="87"/>
      <c r="I81" s="87"/>
      <c r="J81" s="87"/>
      <c r="K81" s="87"/>
      <c r="L81" s="540"/>
      <c r="M81" s="540"/>
      <c r="N81" s="540"/>
      <c r="O81" s="540">
        <f t="shared" ref="O81:T81" si="92">O57/(O57+O56)</f>
        <v>0.47916666666666669</v>
      </c>
      <c r="P81" s="540">
        <f t="shared" si="92"/>
        <v>0.73684210526315785</v>
      </c>
      <c r="Q81" s="540">
        <f t="shared" si="92"/>
        <v>0.94</v>
      </c>
      <c r="R81" s="540">
        <f t="shared" si="92"/>
        <v>0.84905660377358494</v>
      </c>
      <c r="S81" s="540">
        <f t="shared" si="92"/>
        <v>0.95588235294117652</v>
      </c>
      <c r="T81" s="540">
        <f t="shared" si="92"/>
        <v>0.8666666666666667</v>
      </c>
      <c r="U81" s="540">
        <f t="shared" ref="U81" si="93">U57/(U57+U56)</f>
        <v>0.94623655913978499</v>
      </c>
      <c r="V81" s="623">
        <v>0.92999999999999994</v>
      </c>
      <c r="W81" s="623">
        <f t="shared" ref="W81:Z81" si="94">1-W80</f>
        <v>0.92</v>
      </c>
      <c r="X81" s="623">
        <f t="shared" si="94"/>
        <v>0.92</v>
      </c>
      <c r="Y81" s="623">
        <f t="shared" si="94"/>
        <v>0.92</v>
      </c>
      <c r="Z81" s="623">
        <f t="shared" si="94"/>
        <v>0.92</v>
      </c>
      <c r="AA81" s="623">
        <f t="shared" ref="AA81" si="95">1-AA80</f>
        <v>0.92</v>
      </c>
      <c r="AJ81" s="631"/>
    </row>
    <row r="82" spans="1:36" outlineLevel="1">
      <c r="A82" s="25" t="s">
        <v>251</v>
      </c>
      <c r="B82" s="16"/>
      <c r="C82" s="16"/>
      <c r="D82" s="16"/>
      <c r="E82" s="16"/>
      <c r="F82" s="16"/>
      <c r="G82" s="16"/>
      <c r="H82" s="16"/>
      <c r="I82" s="16"/>
      <c r="J82" s="16"/>
      <c r="K82" s="16"/>
      <c r="L82" s="79">
        <f>L58/($L$58+$L$59+$L$60)</f>
        <v>0</v>
      </c>
      <c r="M82" s="79">
        <f>M58/($M$58+$M$59+$M$60)</f>
        <v>0</v>
      </c>
      <c r="N82" s="79">
        <f>N58/($N$58+$N$59+$N$60)</f>
        <v>0</v>
      </c>
      <c r="O82" s="79">
        <f>O58/($O$58+$O$59+$O$60)</f>
        <v>3.629764065335753E-3</v>
      </c>
      <c r="P82" s="79">
        <f>P58/($P$58+$P$59+$P$60)</f>
        <v>0</v>
      </c>
      <c r="Q82" s="79">
        <f>Q58/($Q$58+$Q$59+$Q$60)</f>
        <v>4.3572984749455342E-3</v>
      </c>
      <c r="R82" s="79">
        <f>R58/($R$58+$R$59+$R$60)</f>
        <v>1.1627906976744186E-2</v>
      </c>
      <c r="S82" s="79">
        <f>S58/($S$58+$S$59+$S$60)</f>
        <v>1.2259194395796848E-2</v>
      </c>
      <c r="T82" s="79">
        <f t="shared" ref="T82:U84" si="96">T58/($T$58+$T$59+$T$60)</f>
        <v>9.9667774086378731E-3</v>
      </c>
      <c r="U82" s="79">
        <f t="shared" si="96"/>
        <v>2.4916943521594685E-2</v>
      </c>
      <c r="V82" s="623">
        <v>9.9667774086378731E-3</v>
      </c>
      <c r="W82" s="623">
        <f t="shared" ref="W82:AA82" si="97">V82</f>
        <v>9.9667774086378731E-3</v>
      </c>
      <c r="X82" s="623">
        <f t="shared" si="97"/>
        <v>9.9667774086378731E-3</v>
      </c>
      <c r="Y82" s="623">
        <f t="shared" si="97"/>
        <v>9.9667774086378731E-3</v>
      </c>
      <c r="Z82" s="623">
        <f t="shared" si="97"/>
        <v>9.9667774086378731E-3</v>
      </c>
      <c r="AA82" s="623">
        <f t="shared" si="97"/>
        <v>9.9667774086378731E-3</v>
      </c>
    </row>
    <row r="83" spans="1:36" outlineLevel="1">
      <c r="A83" s="25" t="s">
        <v>252</v>
      </c>
      <c r="B83" s="16"/>
      <c r="C83" s="16"/>
      <c r="D83" s="16"/>
      <c r="E83" s="16"/>
      <c r="F83" s="16"/>
      <c r="G83" s="16"/>
      <c r="H83" s="16"/>
      <c r="I83" s="16"/>
      <c r="J83" s="16"/>
      <c r="K83" s="16"/>
      <c r="L83" s="79">
        <f>L59/($L$58+$L$59+$L$60)</f>
        <v>1</v>
      </c>
      <c r="M83" s="79">
        <f>M59/($M$58+$M$59+$M$60)</f>
        <v>0.88888888888888884</v>
      </c>
      <c r="N83" s="79">
        <f>N59/($N$58+$N$59+$N$60)</f>
        <v>0.73575129533678751</v>
      </c>
      <c r="O83" s="79">
        <f>O59/($O$58+$O$59+$O$60)</f>
        <v>0.69147005444646104</v>
      </c>
      <c r="P83" s="79">
        <f>P59/($P$58+$P$59+$P$60)</f>
        <v>0.58700696055684454</v>
      </c>
      <c r="Q83" s="79">
        <f>Q59/($Q$58+$Q$59+$Q$60)</f>
        <v>0.56209150326797386</v>
      </c>
      <c r="R83" s="79">
        <f>R59/($R$58+$R$59+$R$60)</f>
        <v>0.47674418604651164</v>
      </c>
      <c r="S83" s="79">
        <f>S59/($S$58+$S$59+$S$60)</f>
        <v>0.43257443082311736</v>
      </c>
      <c r="T83" s="79">
        <f t="shared" si="96"/>
        <v>0.39036544850498339</v>
      </c>
      <c r="U83" s="79">
        <f t="shared" si="96"/>
        <v>0.34053156146179403</v>
      </c>
      <c r="V83" s="623">
        <v>0.39036544850498339</v>
      </c>
      <c r="W83" s="623">
        <f t="shared" ref="W83:AA83" si="98">V83</f>
        <v>0.39036544850498339</v>
      </c>
      <c r="X83" s="623">
        <f t="shared" si="98"/>
        <v>0.39036544850498339</v>
      </c>
      <c r="Y83" s="623">
        <f t="shared" si="98"/>
        <v>0.39036544850498339</v>
      </c>
      <c r="Z83" s="623">
        <f t="shared" si="98"/>
        <v>0.39036544850498339</v>
      </c>
      <c r="AA83" s="623">
        <f t="shared" si="98"/>
        <v>0.39036544850498339</v>
      </c>
    </row>
    <row r="84" spans="1:36" outlineLevel="1">
      <c r="A84" s="25" t="s">
        <v>253</v>
      </c>
      <c r="B84" s="16"/>
      <c r="C84" s="16"/>
      <c r="D84" s="16"/>
      <c r="E84" s="16"/>
      <c r="F84" s="16"/>
      <c r="G84" s="16"/>
      <c r="H84" s="16"/>
      <c r="I84" s="16"/>
      <c r="J84" s="16"/>
      <c r="K84" s="16"/>
      <c r="L84" s="79">
        <f>L60/($L$58+$L$59+$L$60)</f>
        <v>0</v>
      </c>
      <c r="M84" s="79">
        <f>M60/($M$58+$M$59+$M$60)</f>
        <v>0.1111111111111111</v>
      </c>
      <c r="N84" s="79">
        <f>N60/($N$58+$N$59+$N$60)</f>
        <v>0.26424870466321243</v>
      </c>
      <c r="O84" s="79">
        <f>O60/($O$58+$O$59+$O$60)</f>
        <v>0.30490018148820325</v>
      </c>
      <c r="P84" s="79">
        <f>P60/($P$58+$P$59+$P$60)</f>
        <v>0.41299303944315546</v>
      </c>
      <c r="Q84" s="79">
        <f>Q60/($Q$58+$Q$59+$Q$60)</f>
        <v>0.43355119825708061</v>
      </c>
      <c r="R84" s="79">
        <f>R60/($R$58+$R$59+$R$60)</f>
        <v>0.51162790697674421</v>
      </c>
      <c r="S84" s="79">
        <f>S60/($S$58+$S$59+$S$60)</f>
        <v>0.55516637478108577</v>
      </c>
      <c r="T84" s="79">
        <f t="shared" si="96"/>
        <v>0.59966777408637872</v>
      </c>
      <c r="U84" s="79">
        <f t="shared" si="96"/>
        <v>0.6428571428571429</v>
      </c>
      <c r="V84" s="623">
        <v>0.59966777408637872</v>
      </c>
      <c r="W84" s="623">
        <f t="shared" ref="W84:AA84" si="99">V84</f>
        <v>0.59966777408637872</v>
      </c>
      <c r="X84" s="623">
        <f t="shared" si="99"/>
        <v>0.59966777408637872</v>
      </c>
      <c r="Y84" s="623">
        <f t="shared" si="99"/>
        <v>0.59966777408637872</v>
      </c>
      <c r="Z84" s="623">
        <f t="shared" si="99"/>
        <v>0.59966777408637872</v>
      </c>
      <c r="AA84" s="623">
        <f t="shared" si="99"/>
        <v>0.59966777408637872</v>
      </c>
    </row>
    <row r="85" spans="1:36" outlineLevel="1">
      <c r="A85" s="630" t="s">
        <v>420</v>
      </c>
      <c r="B85" s="16"/>
      <c r="C85" s="16"/>
      <c r="D85" s="16"/>
      <c r="E85" s="16"/>
      <c r="F85" s="16"/>
      <c r="G85" s="16"/>
      <c r="H85" s="16"/>
      <c r="I85" s="16"/>
      <c r="J85" s="16"/>
      <c r="K85" s="16"/>
      <c r="L85" s="79"/>
      <c r="M85" s="79"/>
      <c r="N85" s="79">
        <f>N63/($N$63+$N$64)</f>
        <v>0</v>
      </c>
      <c r="O85" s="79">
        <f t="shared" ref="O85:T85" si="100">O63/(O63+O64)</f>
        <v>0</v>
      </c>
      <c r="P85" s="79">
        <f t="shared" si="100"/>
        <v>0.23076923076923078</v>
      </c>
      <c r="Q85" s="79">
        <f t="shared" si="100"/>
        <v>0.16666666666666666</v>
      </c>
      <c r="R85" s="79">
        <f t="shared" si="100"/>
        <v>4.3478260869565216E-2</v>
      </c>
      <c r="S85" s="79">
        <f t="shared" si="100"/>
        <v>9.375E-2</v>
      </c>
      <c r="T85" s="79">
        <f t="shared" si="100"/>
        <v>6.25E-2</v>
      </c>
      <c r="U85" s="79">
        <f t="shared" ref="U85" si="101">U63/(U63+U64)</f>
        <v>2.9411764705882353E-2</v>
      </c>
      <c r="V85" s="623">
        <v>6.25E-2</v>
      </c>
      <c r="W85" s="623">
        <f t="shared" ref="W85:AA85" si="102">V85</f>
        <v>6.25E-2</v>
      </c>
      <c r="X85" s="623">
        <f t="shared" si="102"/>
        <v>6.25E-2</v>
      </c>
      <c r="Y85" s="623">
        <f t="shared" si="102"/>
        <v>6.25E-2</v>
      </c>
      <c r="Z85" s="623">
        <f t="shared" si="102"/>
        <v>6.25E-2</v>
      </c>
      <c r="AA85" s="623">
        <f t="shared" si="102"/>
        <v>6.25E-2</v>
      </c>
    </row>
    <row r="86" spans="1:36" outlineLevel="1">
      <c r="A86" s="630" t="s">
        <v>421</v>
      </c>
      <c r="B86" s="16"/>
      <c r="C86" s="16"/>
      <c r="D86" s="16"/>
      <c r="E86" s="16"/>
      <c r="F86" s="16"/>
      <c r="G86" s="16"/>
      <c r="H86" s="16"/>
      <c r="I86" s="16"/>
      <c r="J86" s="16"/>
      <c r="K86" s="16"/>
      <c r="L86" s="79"/>
      <c r="M86" s="79"/>
      <c r="N86" s="79">
        <f t="shared" ref="N86:T86" si="103">N64/(N63+N64)</f>
        <v>1</v>
      </c>
      <c r="O86" s="79">
        <f t="shared" si="103"/>
        <v>1</v>
      </c>
      <c r="P86" s="79">
        <f t="shared" si="103"/>
        <v>0.76923076923076927</v>
      </c>
      <c r="Q86" s="79">
        <f t="shared" si="103"/>
        <v>0.83333333333333337</v>
      </c>
      <c r="R86" s="79">
        <f t="shared" si="103"/>
        <v>0.95652173913043481</v>
      </c>
      <c r="S86" s="79">
        <f t="shared" si="103"/>
        <v>0.90625</v>
      </c>
      <c r="T86" s="79">
        <f t="shared" si="103"/>
        <v>0.9375</v>
      </c>
      <c r="U86" s="79">
        <f t="shared" ref="U86" si="104">U64/(U63+U64)</f>
        <v>0.97058823529411764</v>
      </c>
      <c r="V86" s="623">
        <v>0.9375</v>
      </c>
      <c r="W86" s="623">
        <f t="shared" ref="W86:AA86" si="105">V86</f>
        <v>0.9375</v>
      </c>
      <c r="X86" s="623">
        <f t="shared" si="105"/>
        <v>0.9375</v>
      </c>
      <c r="Y86" s="623">
        <f t="shared" si="105"/>
        <v>0.9375</v>
      </c>
      <c r="Z86" s="623">
        <f t="shared" si="105"/>
        <v>0.9375</v>
      </c>
      <c r="AA86" s="623">
        <f t="shared" si="105"/>
        <v>0.9375</v>
      </c>
    </row>
    <row r="87" spans="1:36" outlineLevel="1">
      <c r="A87" s="13" t="s">
        <v>235</v>
      </c>
      <c r="B87" s="16"/>
      <c r="C87" s="16"/>
      <c r="D87" s="16"/>
      <c r="E87" s="16"/>
      <c r="F87" s="16"/>
      <c r="G87" s="16"/>
      <c r="H87" s="16"/>
      <c r="I87" s="16"/>
      <c r="J87" s="16"/>
      <c r="K87" s="16"/>
      <c r="L87" s="79"/>
      <c r="M87" s="79"/>
      <c r="N87" s="79">
        <f>N66/(N66+N67)</f>
        <v>0.84946236559139787</v>
      </c>
      <c r="O87" s="79">
        <f t="shared" ref="O87:T87" si="106">O66/(O66+O67)</f>
        <v>0.7767857142857143</v>
      </c>
      <c r="P87" s="79">
        <f t="shared" si="106"/>
        <v>0.76271186440677963</v>
      </c>
      <c r="Q87" s="79">
        <f t="shared" si="106"/>
        <v>0.89090909090909087</v>
      </c>
      <c r="R87" s="79">
        <f t="shared" si="106"/>
        <v>0.83333333333333337</v>
      </c>
      <c r="S87" s="79">
        <f t="shared" si="106"/>
        <v>0.8125</v>
      </c>
      <c r="T87" s="79">
        <f t="shared" si="106"/>
        <v>0.78947368421052633</v>
      </c>
      <c r="U87" s="79">
        <f t="shared" ref="U87" si="107">U66/(U66+U67)</f>
        <v>0.73684210526315785</v>
      </c>
      <c r="V87" s="623">
        <v>0.78947368421052633</v>
      </c>
      <c r="W87" s="623">
        <f t="shared" ref="W87:AA87" si="108">V87</f>
        <v>0.78947368421052633</v>
      </c>
      <c r="X87" s="623">
        <f t="shared" si="108"/>
        <v>0.78947368421052633</v>
      </c>
      <c r="Y87" s="623">
        <f t="shared" si="108"/>
        <v>0.78947368421052633</v>
      </c>
      <c r="Z87" s="623">
        <f t="shared" si="108"/>
        <v>0.78947368421052633</v>
      </c>
      <c r="AA87" s="623">
        <f t="shared" si="108"/>
        <v>0.78947368421052633</v>
      </c>
    </row>
    <row r="88" spans="1:36" outlineLevel="1">
      <c r="A88" s="13" t="s">
        <v>236</v>
      </c>
      <c r="B88" s="16"/>
      <c r="C88" s="16"/>
      <c r="D88" s="16"/>
      <c r="E88" s="16"/>
      <c r="F88" s="16"/>
      <c r="G88" s="16"/>
      <c r="H88" s="16"/>
      <c r="I88" s="16"/>
      <c r="J88" s="16"/>
      <c r="K88" s="16"/>
      <c r="L88" s="79"/>
      <c r="M88" s="79"/>
      <c r="N88" s="79">
        <f>N67/(N66+N67)</f>
        <v>0.15053763440860216</v>
      </c>
      <c r="O88" s="79">
        <f t="shared" ref="O88:T88" si="109">O67/(O66+O67)</f>
        <v>0.22321428571428573</v>
      </c>
      <c r="P88" s="79">
        <f t="shared" si="109"/>
        <v>0.23728813559322035</v>
      </c>
      <c r="Q88" s="79">
        <f t="shared" si="109"/>
        <v>0.10909090909090909</v>
      </c>
      <c r="R88" s="79">
        <f t="shared" si="109"/>
        <v>0.16666666666666666</v>
      </c>
      <c r="S88" s="79">
        <f t="shared" si="109"/>
        <v>0.1875</v>
      </c>
      <c r="T88" s="79">
        <f t="shared" si="109"/>
        <v>0.21052631578947367</v>
      </c>
      <c r="U88" s="79">
        <f t="shared" ref="U88" si="110">U67/(U66+U67)</f>
        <v>0.26315789473684209</v>
      </c>
      <c r="V88" s="623">
        <v>0.21052631578947367</v>
      </c>
      <c r="W88" s="623">
        <f t="shared" ref="W88:AA88" si="111">V88</f>
        <v>0.21052631578947367</v>
      </c>
      <c r="X88" s="623">
        <f t="shared" si="111"/>
        <v>0.21052631578947367</v>
      </c>
      <c r="Y88" s="623">
        <f t="shared" si="111"/>
        <v>0.21052631578947367</v>
      </c>
      <c r="Z88" s="623">
        <f t="shared" si="111"/>
        <v>0.21052631578947367</v>
      </c>
      <c r="AA88" s="623">
        <f t="shared" si="111"/>
        <v>0.21052631578947367</v>
      </c>
    </row>
    <row r="89" spans="1:36">
      <c r="A89" s="227" t="s">
        <v>464</v>
      </c>
      <c r="B89" s="222"/>
      <c r="C89" s="222"/>
      <c r="D89" s="222"/>
      <c r="E89" s="222"/>
      <c r="F89" s="222"/>
      <c r="G89" s="222"/>
      <c r="H89" s="222"/>
      <c r="I89" s="222"/>
      <c r="J89" s="222"/>
      <c r="K89" s="222"/>
      <c r="L89" s="514"/>
      <c r="M89" s="496"/>
      <c r="N89" s="496"/>
      <c r="O89" s="513"/>
      <c r="P89" s="513"/>
      <c r="Q89" s="513"/>
      <c r="R89" s="513"/>
      <c r="S89" s="513"/>
      <c r="T89" s="513"/>
      <c r="U89" s="513"/>
      <c r="V89" s="513"/>
      <c r="W89" s="513"/>
      <c r="X89" s="513"/>
      <c r="Y89" s="513"/>
      <c r="Z89" s="513"/>
      <c r="AA89" s="513"/>
    </row>
    <row r="90" spans="1:36">
      <c r="A90" s="113" t="s">
        <v>424</v>
      </c>
      <c r="B90" s="19"/>
      <c r="C90" s="19"/>
      <c r="L90" s="30"/>
      <c r="M90" s="30"/>
      <c r="N90" s="30"/>
      <c r="O90" s="30">
        <f t="shared" ref="O90:O98" si="112">P90/(1+$P$99)</f>
        <v>33</v>
      </c>
      <c r="P90" s="171">
        <v>33</v>
      </c>
      <c r="Q90" s="30">
        <f t="shared" ref="Q90:AA90" si="113">P90*(1+Q$99)</f>
        <v>33.660000000000004</v>
      </c>
      <c r="R90" s="30">
        <f t="shared" si="113"/>
        <v>34.333200000000005</v>
      </c>
      <c r="S90" s="30">
        <f t="shared" si="113"/>
        <v>35.019864000000005</v>
      </c>
      <c r="T90" s="30">
        <f t="shared" si="113"/>
        <v>35.72026128000001</v>
      </c>
      <c r="U90" s="85">
        <v>37.5</v>
      </c>
      <c r="V90" s="85">
        <f t="shared" si="113"/>
        <v>38.25</v>
      </c>
      <c r="W90" s="30">
        <f t="shared" si="113"/>
        <v>39.015000000000001</v>
      </c>
      <c r="X90" s="30">
        <f t="shared" si="113"/>
        <v>39.795300000000005</v>
      </c>
      <c r="Y90" s="30">
        <f t="shared" si="113"/>
        <v>40.591206000000007</v>
      </c>
      <c r="Z90" s="30">
        <f t="shared" si="113"/>
        <v>41.403030120000011</v>
      </c>
      <c r="AA90" s="30">
        <f t="shared" si="113"/>
        <v>42.231090722400012</v>
      </c>
      <c r="AB90" s="19"/>
      <c r="AC90" s="19"/>
      <c r="AD90" s="19"/>
      <c r="AE90" s="19"/>
      <c r="AF90" s="19"/>
      <c r="AG90" s="19"/>
      <c r="AH90" s="19"/>
    </row>
    <row r="91" spans="1:36">
      <c r="A91" s="113" t="s">
        <v>425</v>
      </c>
      <c r="L91" s="30"/>
      <c r="M91" s="30"/>
      <c r="N91" s="30"/>
      <c r="O91" s="30">
        <f t="shared" si="112"/>
        <v>38</v>
      </c>
      <c r="P91" s="171">
        <v>38</v>
      </c>
      <c r="Q91" s="30">
        <f t="shared" ref="Q91:AA91" si="114">P91*(1+Q$99)</f>
        <v>38.76</v>
      </c>
      <c r="R91" s="30">
        <f t="shared" si="114"/>
        <v>39.535199999999996</v>
      </c>
      <c r="S91" s="30">
        <f t="shared" si="114"/>
        <v>40.325903999999994</v>
      </c>
      <c r="T91" s="30">
        <f t="shared" si="114"/>
        <v>41.132422079999998</v>
      </c>
      <c r="U91" s="85">
        <v>42.5</v>
      </c>
      <c r="V91" s="85">
        <f t="shared" si="114"/>
        <v>43.35</v>
      </c>
      <c r="W91" s="30">
        <f t="shared" si="114"/>
        <v>44.216999999999999</v>
      </c>
      <c r="X91" s="30">
        <f t="shared" si="114"/>
        <v>45.10134</v>
      </c>
      <c r="Y91" s="30">
        <f t="shared" si="114"/>
        <v>46.003366800000002</v>
      </c>
      <c r="Z91" s="30">
        <f t="shared" si="114"/>
        <v>46.923434136000004</v>
      </c>
      <c r="AA91" s="30">
        <f t="shared" si="114"/>
        <v>47.861902818720004</v>
      </c>
    </row>
    <row r="92" spans="1:36">
      <c r="A92" s="13" t="s">
        <v>251</v>
      </c>
      <c r="B92" s="22"/>
      <c r="C92" s="22"/>
      <c r="D92" s="22"/>
      <c r="E92" s="22"/>
      <c r="F92" s="22"/>
      <c r="G92" s="22"/>
      <c r="H92" s="22"/>
      <c r="I92" s="22"/>
      <c r="J92" s="22"/>
      <c r="K92" s="22"/>
      <c r="L92" s="30"/>
      <c r="M92" s="30"/>
      <c r="N92" s="30"/>
      <c r="O92" s="30">
        <f t="shared" si="112"/>
        <v>37</v>
      </c>
      <c r="P92" s="171">
        <v>37</v>
      </c>
      <c r="Q92" s="30">
        <f t="shared" ref="Q92:AA92" si="115">P92*(1+Q$99)</f>
        <v>37.74</v>
      </c>
      <c r="R92" s="30">
        <f t="shared" si="115"/>
        <v>38.494800000000005</v>
      </c>
      <c r="S92" s="30">
        <f t="shared" si="115"/>
        <v>39.264696000000008</v>
      </c>
      <c r="T92" s="30">
        <f t="shared" si="115"/>
        <v>40.049989920000009</v>
      </c>
      <c r="U92" s="85">
        <v>50.8</v>
      </c>
      <c r="V92" s="85">
        <f t="shared" si="115"/>
        <v>51.815999999999995</v>
      </c>
      <c r="W92" s="30">
        <f t="shared" si="115"/>
        <v>52.852319999999999</v>
      </c>
      <c r="X92" s="30">
        <f t="shared" si="115"/>
        <v>53.909366400000003</v>
      </c>
      <c r="Y92" s="30">
        <f t="shared" si="115"/>
        <v>54.987553728000002</v>
      </c>
      <c r="Z92" s="30">
        <f t="shared" si="115"/>
        <v>56.087304802560006</v>
      </c>
      <c r="AA92" s="30">
        <f t="shared" si="115"/>
        <v>57.20905089861121</v>
      </c>
      <c r="AB92" s="16"/>
      <c r="AC92" s="16"/>
      <c r="AD92" s="16"/>
      <c r="AE92" s="16"/>
    </row>
    <row r="93" spans="1:36">
      <c r="A93" s="13" t="s">
        <v>252</v>
      </c>
      <c r="B93" s="22"/>
      <c r="C93" s="22"/>
      <c r="D93" s="22"/>
      <c r="E93" s="22"/>
      <c r="F93" s="22"/>
      <c r="G93" s="22"/>
      <c r="H93" s="22"/>
      <c r="I93" s="22"/>
      <c r="J93" s="22"/>
      <c r="K93" s="22"/>
      <c r="L93" s="30"/>
      <c r="M93" s="30"/>
      <c r="N93" s="30"/>
      <c r="O93" s="30">
        <f t="shared" si="112"/>
        <v>49</v>
      </c>
      <c r="P93" s="171">
        <v>49</v>
      </c>
      <c r="Q93" s="30">
        <f t="shared" ref="Q93:AA93" si="116">P93*(1+Q$99)</f>
        <v>49.980000000000004</v>
      </c>
      <c r="R93" s="30">
        <f t="shared" si="116"/>
        <v>50.979600000000005</v>
      </c>
      <c r="S93" s="30">
        <f t="shared" si="116"/>
        <v>51.999192000000008</v>
      </c>
      <c r="T93" s="30">
        <f>S93*(1+T$99)</f>
        <v>53.039175840000006</v>
      </c>
      <c r="U93" s="85">
        <v>59</v>
      </c>
      <c r="V93" s="85">
        <f t="shared" si="116"/>
        <v>60.18</v>
      </c>
      <c r="W93" s="30">
        <f t="shared" si="116"/>
        <v>61.383600000000001</v>
      </c>
      <c r="X93" s="30">
        <f t="shared" si="116"/>
        <v>62.611272</v>
      </c>
      <c r="Y93" s="30">
        <f t="shared" si="116"/>
        <v>63.863497440000003</v>
      </c>
      <c r="Z93" s="30">
        <f t="shared" si="116"/>
        <v>65.140767388800001</v>
      </c>
      <c r="AA93" s="30">
        <f t="shared" si="116"/>
        <v>66.443582736576005</v>
      </c>
    </row>
    <row r="94" spans="1:36">
      <c r="A94" s="13" t="s">
        <v>253</v>
      </c>
      <c r="B94" s="22"/>
      <c r="C94" s="22"/>
      <c r="D94" s="22"/>
      <c r="E94" s="22"/>
      <c r="F94" s="22"/>
      <c r="G94" s="22"/>
      <c r="H94" s="22"/>
      <c r="I94" s="22"/>
      <c r="J94" s="22"/>
      <c r="K94" s="22"/>
      <c r="L94" s="30"/>
      <c r="M94" s="30"/>
      <c r="N94" s="30"/>
      <c r="O94" s="30">
        <f t="shared" si="112"/>
        <v>57</v>
      </c>
      <c r="P94" s="171">
        <v>57</v>
      </c>
      <c r="Q94" s="30">
        <f t="shared" ref="Q94:AA94" si="117">P94*(1+Q$99)</f>
        <v>58.14</v>
      </c>
      <c r="R94" s="30">
        <f t="shared" si="117"/>
        <v>59.302800000000005</v>
      </c>
      <c r="S94" s="30">
        <f t="shared" si="117"/>
        <v>60.488856000000006</v>
      </c>
      <c r="T94" s="30">
        <f t="shared" si="117"/>
        <v>61.698633120000004</v>
      </c>
      <c r="U94" s="85">
        <v>68.5</v>
      </c>
      <c r="V94" s="85">
        <f t="shared" si="117"/>
        <v>69.87</v>
      </c>
      <c r="W94" s="30">
        <f t="shared" si="117"/>
        <v>71.267400000000009</v>
      </c>
      <c r="X94" s="30">
        <f t="shared" si="117"/>
        <v>72.692748000000009</v>
      </c>
      <c r="Y94" s="30">
        <f t="shared" si="117"/>
        <v>74.14660296000001</v>
      </c>
      <c r="Z94" s="30">
        <f t="shared" si="117"/>
        <v>75.629535019200006</v>
      </c>
      <c r="AA94" s="30">
        <f t="shared" si="117"/>
        <v>77.142125719584001</v>
      </c>
    </row>
    <row r="95" spans="1:36">
      <c r="A95" s="107" t="s">
        <v>420</v>
      </c>
      <c r="B95" s="22"/>
      <c r="C95" s="22"/>
      <c r="D95" s="22"/>
      <c r="E95" s="22"/>
      <c r="F95" s="22"/>
      <c r="G95" s="22"/>
      <c r="H95" s="22"/>
      <c r="I95" s="22"/>
      <c r="J95" s="22"/>
      <c r="K95" s="22"/>
      <c r="L95" s="30"/>
      <c r="M95" s="30"/>
      <c r="N95" s="30"/>
      <c r="O95" s="30">
        <f t="shared" si="112"/>
        <v>110</v>
      </c>
      <c r="P95" s="171">
        <v>110</v>
      </c>
      <c r="Q95" s="30">
        <f t="shared" ref="Q95:AA95" si="118">P95*(1+Q$99)</f>
        <v>112.2</v>
      </c>
      <c r="R95" s="30">
        <f t="shared" si="118"/>
        <v>114.444</v>
      </c>
      <c r="S95" s="30">
        <f t="shared" si="118"/>
        <v>116.73288000000001</v>
      </c>
      <c r="T95" s="30">
        <f t="shared" si="118"/>
        <v>119.06753760000001</v>
      </c>
      <c r="U95" s="85">
        <f t="shared" si="118"/>
        <v>121.44888835200001</v>
      </c>
      <c r="V95" s="85">
        <f t="shared" si="118"/>
        <v>123.87786611904001</v>
      </c>
      <c r="W95" s="30">
        <f t="shared" si="118"/>
        <v>126.35542344142081</v>
      </c>
      <c r="X95" s="30">
        <f t="shared" si="118"/>
        <v>128.88253191024924</v>
      </c>
      <c r="Y95" s="30">
        <f t="shared" si="118"/>
        <v>131.46018254845424</v>
      </c>
      <c r="Z95" s="30">
        <f t="shared" si="118"/>
        <v>134.08938619942333</v>
      </c>
      <c r="AA95" s="30">
        <f t="shared" si="118"/>
        <v>136.77117392341179</v>
      </c>
    </row>
    <row r="96" spans="1:36">
      <c r="A96" s="107" t="s">
        <v>421</v>
      </c>
      <c r="B96" s="22"/>
      <c r="C96" s="22"/>
      <c r="D96" s="22"/>
      <c r="E96" s="22"/>
      <c r="F96" s="22"/>
      <c r="G96" s="22"/>
      <c r="H96" s="22"/>
      <c r="I96" s="22"/>
      <c r="J96" s="22"/>
      <c r="K96" s="22"/>
      <c r="L96" s="30"/>
      <c r="M96" s="30"/>
      <c r="N96" s="30"/>
      <c r="O96" s="30">
        <f t="shared" si="112"/>
        <v>110</v>
      </c>
      <c r="P96" s="171">
        <v>110</v>
      </c>
      <c r="Q96" s="30">
        <f t="shared" ref="Q96:AA96" si="119">P96*(1+Q$99)</f>
        <v>112.2</v>
      </c>
      <c r="R96" s="30">
        <f t="shared" si="119"/>
        <v>114.444</v>
      </c>
      <c r="S96" s="30">
        <f t="shared" si="119"/>
        <v>116.73288000000001</v>
      </c>
      <c r="T96" s="30">
        <f t="shared" si="119"/>
        <v>119.06753760000001</v>
      </c>
      <c r="U96" s="85">
        <v>132</v>
      </c>
      <c r="V96" s="85">
        <f t="shared" si="119"/>
        <v>134.64000000000001</v>
      </c>
      <c r="W96" s="30">
        <f t="shared" si="119"/>
        <v>137.33280000000002</v>
      </c>
      <c r="X96" s="30">
        <f t="shared" si="119"/>
        <v>140.07945600000002</v>
      </c>
      <c r="Y96" s="30">
        <f t="shared" si="119"/>
        <v>142.88104512000004</v>
      </c>
      <c r="Z96" s="30">
        <f t="shared" si="119"/>
        <v>145.73866602240005</v>
      </c>
      <c r="AA96" s="30">
        <f t="shared" si="119"/>
        <v>148.65343934284806</v>
      </c>
    </row>
    <row r="97" spans="1:37">
      <c r="A97" s="13" t="s">
        <v>235</v>
      </c>
      <c r="B97" s="22"/>
      <c r="C97" s="22"/>
      <c r="D97" s="22"/>
      <c r="E97" s="22"/>
      <c r="F97" s="22"/>
      <c r="G97" s="22"/>
      <c r="H97" s="22"/>
      <c r="I97" s="22"/>
      <c r="J97" s="22"/>
      <c r="K97" s="22"/>
      <c r="L97" s="30"/>
      <c r="M97" s="30"/>
      <c r="N97" s="30"/>
      <c r="O97" s="30">
        <f t="shared" si="112"/>
        <v>149</v>
      </c>
      <c r="P97" s="171">
        <v>149</v>
      </c>
      <c r="Q97" s="30">
        <f t="shared" ref="Q97:AA97" si="120">P97*(1+Q$99)</f>
        <v>151.97999999999999</v>
      </c>
      <c r="R97" s="30">
        <f t="shared" si="120"/>
        <v>155.0196</v>
      </c>
      <c r="S97" s="30">
        <f t="shared" si="120"/>
        <v>158.119992</v>
      </c>
      <c r="T97" s="30">
        <f>S97*(1+T$99)*0.97</f>
        <v>156.4439200848</v>
      </c>
      <c r="U97" s="85">
        <f t="shared" si="120"/>
        <v>159.572798486496</v>
      </c>
      <c r="V97" s="85">
        <f t="shared" si="120"/>
        <v>162.76425445622593</v>
      </c>
      <c r="W97" s="30">
        <f t="shared" si="120"/>
        <v>166.01953954535045</v>
      </c>
      <c r="X97" s="30">
        <f t="shared" si="120"/>
        <v>169.33993033625745</v>
      </c>
      <c r="Y97" s="30">
        <f t="shared" si="120"/>
        <v>172.72672894298262</v>
      </c>
      <c r="Z97" s="30">
        <f t="shared" si="120"/>
        <v>176.18126352184228</v>
      </c>
      <c r="AA97" s="30">
        <f t="shared" si="120"/>
        <v>179.70488879227912</v>
      </c>
    </row>
    <row r="98" spans="1:37">
      <c r="A98" s="13" t="s">
        <v>236</v>
      </c>
      <c r="B98" s="22"/>
      <c r="C98" s="22"/>
      <c r="D98" s="22"/>
      <c r="E98" s="22"/>
      <c r="F98" s="22"/>
      <c r="G98" s="22"/>
      <c r="H98" s="22"/>
      <c r="I98" s="22"/>
      <c r="J98" s="22"/>
      <c r="K98" s="22"/>
      <c r="L98" s="30"/>
      <c r="M98" s="30"/>
      <c r="N98" s="30"/>
      <c r="O98" s="30">
        <f t="shared" si="112"/>
        <v>169</v>
      </c>
      <c r="P98" s="171">
        <v>169</v>
      </c>
      <c r="Q98" s="30">
        <f t="shared" ref="Q98:AA98" si="121">P98*(1+Q$99)</f>
        <v>172.38</v>
      </c>
      <c r="R98" s="30">
        <f t="shared" si="121"/>
        <v>175.82759999999999</v>
      </c>
      <c r="S98" s="30">
        <f t="shared" si="121"/>
        <v>179.34415199999998</v>
      </c>
      <c r="T98" s="30">
        <f>S98*(1+T$99)*0.97</f>
        <v>177.44310398879998</v>
      </c>
      <c r="U98" s="85">
        <v>183</v>
      </c>
      <c r="V98" s="85">
        <f t="shared" si="121"/>
        <v>186.66</v>
      </c>
      <c r="W98" s="30">
        <f t="shared" si="121"/>
        <v>190.39320000000001</v>
      </c>
      <c r="X98" s="30">
        <f t="shared" si="121"/>
        <v>194.201064</v>
      </c>
      <c r="Y98" s="30">
        <f t="shared" si="121"/>
        <v>198.08508528000002</v>
      </c>
      <c r="Z98" s="30">
        <f t="shared" si="121"/>
        <v>202.04678698560002</v>
      </c>
      <c r="AA98" s="30">
        <f t="shared" si="121"/>
        <v>206.08772272531203</v>
      </c>
    </row>
    <row r="99" spans="1:37">
      <c r="A99" s="146" t="s">
        <v>469</v>
      </c>
      <c r="B99" s="314"/>
      <c r="C99" s="314"/>
      <c r="D99" s="314"/>
      <c r="E99" s="314"/>
      <c r="F99" s="314"/>
      <c r="G99" s="314"/>
      <c r="H99" s="314"/>
      <c r="I99" s="314"/>
      <c r="J99" s="314"/>
      <c r="K99" s="314"/>
      <c r="L99" s="515"/>
      <c r="M99" s="515"/>
      <c r="N99" s="515"/>
      <c r="O99" s="515">
        <v>1.4999999999999999E-2</v>
      </c>
      <c r="P99" s="515">
        <v>0</v>
      </c>
      <c r="Q99" s="515">
        <v>0.02</v>
      </c>
      <c r="R99" s="515">
        <v>0.02</v>
      </c>
      <c r="S99" s="515">
        <v>0.02</v>
      </c>
      <c r="T99" s="515">
        <v>0.02</v>
      </c>
      <c r="U99" s="515">
        <v>0.02</v>
      </c>
      <c r="V99" s="916">
        <v>0.02</v>
      </c>
      <c r="W99" s="916">
        <f>V99</f>
        <v>0.02</v>
      </c>
      <c r="X99" s="916">
        <f>W99</f>
        <v>0.02</v>
      </c>
      <c r="Y99" s="916">
        <f t="shared" ref="Y99:AA99" si="122">X99</f>
        <v>0.02</v>
      </c>
      <c r="Z99" s="916">
        <f t="shared" si="122"/>
        <v>0.02</v>
      </c>
      <c r="AA99" s="916">
        <f t="shared" si="122"/>
        <v>0.02</v>
      </c>
    </row>
    <row r="100" spans="1:37">
      <c r="A100" s="113"/>
      <c r="B100" s="22"/>
      <c r="C100" s="22"/>
      <c r="D100" s="22"/>
      <c r="E100" s="22"/>
      <c r="F100" s="22"/>
      <c r="G100" s="22"/>
      <c r="H100" s="22"/>
      <c r="I100" s="22"/>
      <c r="J100" s="22"/>
      <c r="K100" s="22"/>
      <c r="L100" s="30"/>
      <c r="M100" s="30"/>
      <c r="N100" s="30"/>
      <c r="O100" s="30"/>
      <c r="P100" s="30"/>
      <c r="Q100" s="30"/>
      <c r="R100" s="30"/>
      <c r="S100" s="30"/>
      <c r="T100" s="30"/>
      <c r="U100" s="30"/>
      <c r="V100" s="30"/>
      <c r="W100" s="30"/>
      <c r="X100" s="30"/>
      <c r="Y100" s="30"/>
      <c r="Z100" s="30"/>
      <c r="AA100" s="30"/>
    </row>
    <row r="101" spans="1:37">
      <c r="A101" s="227" t="s">
        <v>470</v>
      </c>
      <c r="B101" s="222"/>
      <c r="C101" s="222"/>
      <c r="D101" s="222"/>
      <c r="E101" s="222"/>
      <c r="F101" s="222"/>
      <c r="G101" s="222"/>
      <c r="H101" s="222"/>
      <c r="I101" s="222"/>
      <c r="J101" s="222"/>
      <c r="K101" s="222"/>
      <c r="L101" s="496"/>
      <c r="M101" s="496"/>
      <c r="N101" s="496"/>
      <c r="O101" s="496"/>
      <c r="P101" s="516"/>
      <c r="Q101" s="516">
        <f t="shared" ref="Q101:X101" si="123">Q112/Q69</f>
        <v>53.311806543596738</v>
      </c>
      <c r="R101" s="516">
        <f t="shared" si="123"/>
        <v>57.635064668600435</v>
      </c>
      <c r="S101" s="516">
        <f t="shared" si="123"/>
        <v>58.599806668659227</v>
      </c>
      <c r="T101" s="516">
        <f t="shared" si="123"/>
        <v>58.085620058498911</v>
      </c>
      <c r="U101" s="516">
        <f t="shared" si="123"/>
        <v>62.252111324729775</v>
      </c>
      <c r="V101" s="516">
        <f t="shared" si="123"/>
        <v>62.188340586737326</v>
      </c>
      <c r="W101" s="516">
        <f t="shared" si="123"/>
        <v>63.343641499246679</v>
      </c>
      <c r="X101" s="516">
        <f t="shared" si="123"/>
        <v>65.290648009243881</v>
      </c>
      <c r="Y101" s="516">
        <f>Y112/Y69</f>
        <v>67.532244908335073</v>
      </c>
      <c r="Z101" s="516">
        <f>Z112/Z69</f>
        <v>69.118307705226655</v>
      </c>
      <c r="AA101" s="516">
        <f>AA112/AA69</f>
        <v>70.71607201339576</v>
      </c>
      <c r="AI101" s="19"/>
      <c r="AJ101" s="19"/>
      <c r="AK101" s="19"/>
    </row>
    <row r="102" spans="1:37">
      <c r="A102" s="113" t="s">
        <v>467</v>
      </c>
      <c r="B102" s="22"/>
      <c r="C102" s="22"/>
      <c r="D102" s="22"/>
      <c r="E102" s="22"/>
      <c r="F102" s="22"/>
      <c r="G102" s="22"/>
      <c r="H102" s="22"/>
      <c r="I102" s="22"/>
      <c r="J102" s="22"/>
      <c r="K102" s="22"/>
      <c r="L102" s="30"/>
      <c r="M102" s="30"/>
      <c r="N102" s="30"/>
      <c r="O102" s="30">
        <f t="shared" ref="O102:Z102" si="124">(O56*O90)+(O57*O91)</f>
        <v>1699</v>
      </c>
      <c r="P102" s="30">
        <f t="shared" si="124"/>
        <v>1394</v>
      </c>
      <c r="Q102" s="30">
        <f t="shared" si="124"/>
        <v>1922.6999999999998</v>
      </c>
      <c r="R102" s="30">
        <f t="shared" si="124"/>
        <v>2053.7496000000001</v>
      </c>
      <c r="S102" s="30">
        <f t="shared" si="124"/>
        <v>2726.2433519999995</v>
      </c>
      <c r="T102" s="30">
        <f t="shared" si="124"/>
        <v>3030.8100480000003</v>
      </c>
      <c r="U102" s="30">
        <f>(U56*U90)+(U57*U91)</f>
        <v>3927.5</v>
      </c>
      <c r="V102" s="30">
        <f t="shared" si="124"/>
        <v>4944.1949999999997</v>
      </c>
      <c r="W102" s="30">
        <f t="shared" si="124"/>
        <v>5540.8062600000003</v>
      </c>
      <c r="X102" s="30">
        <f t="shared" si="124"/>
        <v>6165.4062383999999</v>
      </c>
      <c r="Y102" s="30">
        <f t="shared" si="124"/>
        <v>6812.7738934319996</v>
      </c>
      <c r="Z102" s="30">
        <f t="shared" si="124"/>
        <v>7483.5700921699217</v>
      </c>
      <c r="AA102" s="30">
        <f t="shared" ref="AA102" si="125">(AA56*AA90)+(AA57*AA91)</f>
        <v>7633.2414940133194</v>
      </c>
      <c r="AI102" s="19"/>
      <c r="AJ102" s="19"/>
      <c r="AK102" s="19"/>
    </row>
    <row r="103" spans="1:37">
      <c r="A103" s="113" t="s">
        <v>465</v>
      </c>
      <c r="B103" s="22"/>
      <c r="C103" s="22"/>
      <c r="D103" s="22"/>
      <c r="E103" s="22"/>
      <c r="F103" s="22"/>
      <c r="G103" s="22"/>
      <c r="H103" s="22"/>
      <c r="I103" s="22"/>
      <c r="J103" s="22"/>
      <c r="K103" s="22"/>
      <c r="L103" s="30"/>
      <c r="M103" s="30"/>
      <c r="N103" s="30"/>
      <c r="O103" s="30">
        <f t="shared" ref="O103:X103" si="126">(O58*O92)+(O59*O93)+(O60*O94)</f>
        <v>28319</v>
      </c>
      <c r="P103" s="30">
        <f t="shared" si="126"/>
        <v>22543</v>
      </c>
      <c r="Q103" s="30">
        <f t="shared" si="126"/>
        <v>24540.18</v>
      </c>
      <c r="R103" s="30">
        <f t="shared" si="126"/>
        <v>28427.889600000002</v>
      </c>
      <c r="S103" s="30">
        <f t="shared" si="126"/>
        <v>32293.620648000004</v>
      </c>
      <c r="T103" s="30">
        <f t="shared" si="126"/>
        <v>34977.712818240005</v>
      </c>
      <c r="U103" s="30">
        <f t="shared" si="126"/>
        <v>39366.5</v>
      </c>
      <c r="V103" s="30">
        <f t="shared" si="126"/>
        <v>42520.171112790696</v>
      </c>
      <c r="W103" s="30">
        <f t="shared" si="126"/>
        <v>50251.111315116286</v>
      </c>
      <c r="X103" s="30">
        <f t="shared" si="126"/>
        <v>57012.591616070233</v>
      </c>
      <c r="Y103" s="30">
        <f>(Y58*Y92)+(Y59*Y93)+(Y60*Y94)</f>
        <v>60324.526398746515</v>
      </c>
      <c r="Z103" s="30">
        <f>(Z58*Z92)+(Z59*Z93)+(Z60*Z94)</f>
        <v>61531.016926721444</v>
      </c>
      <c r="AA103" s="30">
        <f>(AA58*AA92)+(AA59*AA93)+(AA60*AA94)</f>
        <v>62761.637265255878</v>
      </c>
      <c r="AI103" s="19"/>
      <c r="AJ103" s="19"/>
      <c r="AK103" s="19"/>
    </row>
    <row r="104" spans="1:37">
      <c r="A104" s="113" t="s">
        <v>466</v>
      </c>
      <c r="B104" s="22"/>
      <c r="C104" s="22"/>
      <c r="D104" s="22"/>
      <c r="E104" s="22"/>
      <c r="F104" s="22"/>
      <c r="G104" s="22"/>
      <c r="H104" s="22"/>
      <c r="I104" s="22"/>
      <c r="J104" s="22"/>
      <c r="K104" s="22"/>
      <c r="L104" s="30"/>
      <c r="M104" s="30"/>
      <c r="N104" s="30"/>
      <c r="O104" s="30">
        <f t="shared" ref="O104:Z104" si="127">(O63*O95)+(O64*O96)</f>
        <v>4510</v>
      </c>
      <c r="P104" s="30">
        <f t="shared" si="127"/>
        <v>1430</v>
      </c>
      <c r="Q104" s="30">
        <f t="shared" si="127"/>
        <v>2019.6</v>
      </c>
      <c r="R104" s="30">
        <f t="shared" si="127"/>
        <v>2632.212</v>
      </c>
      <c r="S104" s="30">
        <f t="shared" si="127"/>
        <v>3735.4521600000003</v>
      </c>
      <c r="T104" s="30">
        <f t="shared" si="127"/>
        <v>3810.1612032000003</v>
      </c>
      <c r="U104" s="30">
        <f t="shared" si="127"/>
        <v>4477.4488883519998</v>
      </c>
      <c r="V104" s="30">
        <f t="shared" si="127"/>
        <v>5452.4718219403094</v>
      </c>
      <c r="W104" s="30">
        <f t="shared" si="127"/>
        <v>6162.7667998255056</v>
      </c>
      <c r="X104" s="30">
        <f t="shared" si="127"/>
        <v>6592.6573619596757</v>
      </c>
      <c r="Y104" s="30">
        <f t="shared" si="127"/>
        <v>7037.2784398592821</v>
      </c>
      <c r="Z104" s="30">
        <f t="shared" si="127"/>
        <v>7975.5822318405208</v>
      </c>
      <c r="AA104" s="30">
        <f t="shared" ref="AA104" si="128">(AA63*AA95)+(AA64*AA96)</f>
        <v>8135.0938764773309</v>
      </c>
      <c r="AI104" s="19"/>
      <c r="AJ104" s="19"/>
      <c r="AK104" s="19"/>
    </row>
    <row r="105" spans="1:37">
      <c r="A105" s="113" t="s">
        <v>468</v>
      </c>
      <c r="B105" s="22"/>
      <c r="C105" s="22"/>
      <c r="D105" s="22"/>
      <c r="E105" s="22"/>
      <c r="F105" s="22"/>
      <c r="G105" s="22"/>
      <c r="H105" s="22"/>
      <c r="I105" s="22"/>
      <c r="J105" s="22"/>
      <c r="K105" s="22"/>
      <c r="L105" s="30"/>
      <c r="M105" s="30"/>
      <c r="N105" s="30"/>
      <c r="O105" s="30">
        <f t="shared" ref="O105:Z105" si="129">(O66*O97)+(O67*O98)</f>
        <v>17188</v>
      </c>
      <c r="P105" s="30">
        <f t="shared" si="129"/>
        <v>9071</v>
      </c>
      <c r="Q105" s="30">
        <f t="shared" si="129"/>
        <v>8481.2999999999993</v>
      </c>
      <c r="R105" s="30">
        <f t="shared" si="129"/>
        <v>9509.2559999999994</v>
      </c>
      <c r="S105" s="30">
        <f t="shared" si="129"/>
        <v>10374.369407999999</v>
      </c>
      <c r="T105" s="30">
        <f t="shared" si="129"/>
        <v>9169.2936516816007</v>
      </c>
      <c r="U105" s="30">
        <f t="shared" si="129"/>
        <v>9447.0575364328324</v>
      </c>
      <c r="V105" s="30">
        <f t="shared" si="129"/>
        <v>11628.189184591938</v>
      </c>
      <c r="W105" s="30">
        <f t="shared" si="129"/>
        <v>15061.273610519083</v>
      </c>
      <c r="X105" s="30">
        <f t="shared" si="129"/>
        <v>19779.217569014188</v>
      </c>
      <c r="Y105" s="30">
        <f t="shared" si="129"/>
        <v>23504.623596576086</v>
      </c>
      <c r="Z105" s="30">
        <f t="shared" si="129"/>
        <v>24973.662571362089</v>
      </c>
      <c r="AA105" s="30">
        <f t="shared" ref="AA105" si="130">(AA66*AA97)+(AA67*AA98)</f>
        <v>25880.705995953958</v>
      </c>
      <c r="AI105" s="19"/>
      <c r="AJ105" s="19"/>
      <c r="AK105" s="19"/>
    </row>
    <row r="106" spans="1:37">
      <c r="A106" s="143" t="s">
        <v>471</v>
      </c>
      <c r="B106" s="23"/>
      <c r="C106" s="23"/>
      <c r="D106" s="23"/>
      <c r="E106" s="23"/>
      <c r="F106" s="23"/>
      <c r="G106" s="23"/>
      <c r="H106" s="23"/>
      <c r="I106" s="23"/>
      <c r="J106" s="23"/>
      <c r="K106" s="23"/>
      <c r="L106" s="511"/>
      <c r="M106" s="511"/>
      <c r="N106" s="511"/>
      <c r="O106" s="511">
        <f t="shared" ref="O106:X106" si="131">SUM(O102:O105)</f>
        <v>51716</v>
      </c>
      <c r="P106" s="511">
        <f t="shared" si="131"/>
        <v>34438</v>
      </c>
      <c r="Q106" s="511">
        <f t="shared" si="131"/>
        <v>36963.78</v>
      </c>
      <c r="R106" s="511">
        <f t="shared" si="131"/>
        <v>42623.107200000006</v>
      </c>
      <c r="S106" s="511">
        <f t="shared" si="131"/>
        <v>49129.685568000001</v>
      </c>
      <c r="T106" s="511">
        <f t="shared" si="131"/>
        <v>50987.977721121599</v>
      </c>
      <c r="U106" s="511">
        <f t="shared" si="131"/>
        <v>57218.506424784835</v>
      </c>
      <c r="V106" s="511">
        <f>SUM(V102:V105)</f>
        <v>64545.027119322942</v>
      </c>
      <c r="W106" s="511">
        <f t="shared" si="131"/>
        <v>77015.957985460875</v>
      </c>
      <c r="X106" s="511">
        <f t="shared" si="131"/>
        <v>89549.872785444095</v>
      </c>
      <c r="Y106" s="511">
        <f>SUM(Y102:Y105)</f>
        <v>97679.202328613872</v>
      </c>
      <c r="Z106" s="511">
        <f>SUM(Z102:Z105)</f>
        <v>101963.83182209398</v>
      </c>
      <c r="AA106" s="511">
        <f>SUM(AA102:AA105)</f>
        <v>104410.67863170049</v>
      </c>
      <c r="AI106" s="19"/>
      <c r="AJ106" s="19"/>
      <c r="AK106" s="19"/>
    </row>
    <row r="107" spans="1:37">
      <c r="A107" s="15" t="s">
        <v>237</v>
      </c>
      <c r="B107" s="22"/>
      <c r="C107" s="22"/>
      <c r="D107" s="22"/>
      <c r="E107" s="22"/>
      <c r="F107" s="22"/>
      <c r="G107" s="22"/>
      <c r="H107" s="22"/>
      <c r="I107" s="22"/>
      <c r="J107" s="22"/>
      <c r="K107" s="22"/>
      <c r="L107" s="30"/>
      <c r="M107" s="30"/>
      <c r="N107" s="30"/>
      <c r="O107" s="30">
        <f t="shared" ref="O107:X107" si="132">O102+O103</f>
        <v>30018</v>
      </c>
      <c r="P107" s="30">
        <f t="shared" si="132"/>
        <v>23937</v>
      </c>
      <c r="Q107" s="30">
        <f t="shared" si="132"/>
        <v>26462.880000000001</v>
      </c>
      <c r="R107" s="30">
        <f t="shared" si="132"/>
        <v>30481.639200000001</v>
      </c>
      <c r="S107" s="30">
        <f t="shared" si="132"/>
        <v>35019.864000000001</v>
      </c>
      <c r="T107" s="30">
        <f t="shared" si="132"/>
        <v>38008.522866240004</v>
      </c>
      <c r="U107" s="30">
        <f t="shared" si="132"/>
        <v>43294</v>
      </c>
      <c r="V107" s="30">
        <f t="shared" si="132"/>
        <v>47464.366112790696</v>
      </c>
      <c r="W107" s="30">
        <f t="shared" si="132"/>
        <v>55791.917575116284</v>
      </c>
      <c r="X107" s="30">
        <f t="shared" si="132"/>
        <v>63177.997854470232</v>
      </c>
      <c r="Y107" s="30">
        <f>Y102+Y103</f>
        <v>67137.300292178508</v>
      </c>
      <c r="Z107" s="30">
        <f>Z102+Z103</f>
        <v>69014.587018891369</v>
      </c>
      <c r="AA107" s="30">
        <f>AA102+AA103</f>
        <v>70394.878759269195</v>
      </c>
      <c r="AI107" s="19"/>
      <c r="AJ107" s="19"/>
      <c r="AK107" s="19"/>
    </row>
    <row r="108" spans="1:37">
      <c r="A108" s="15" t="s">
        <v>238</v>
      </c>
      <c r="B108" s="22"/>
      <c r="C108" s="22"/>
      <c r="D108" s="22"/>
      <c r="E108" s="22"/>
      <c r="F108" s="22"/>
      <c r="G108" s="22"/>
      <c r="H108" s="22"/>
      <c r="I108" s="22"/>
      <c r="J108" s="22"/>
      <c r="K108" s="22"/>
      <c r="L108" s="30"/>
      <c r="M108" s="30"/>
      <c r="N108" s="30"/>
      <c r="O108" s="30">
        <f t="shared" ref="O108:X108" si="133">O106-O107</f>
        <v>21698</v>
      </c>
      <c r="P108" s="30">
        <f t="shared" si="133"/>
        <v>10501</v>
      </c>
      <c r="Q108" s="30">
        <f t="shared" si="133"/>
        <v>10500.899999999998</v>
      </c>
      <c r="R108" s="30">
        <f t="shared" si="133"/>
        <v>12141.468000000004</v>
      </c>
      <c r="S108" s="30">
        <f t="shared" si="133"/>
        <v>14109.821567999999</v>
      </c>
      <c r="T108" s="30">
        <f t="shared" si="133"/>
        <v>12979.454854881595</v>
      </c>
      <c r="U108" s="30">
        <f t="shared" si="133"/>
        <v>13924.506424784835</v>
      </c>
      <c r="V108" s="30">
        <f t="shared" si="133"/>
        <v>17080.661006532246</v>
      </c>
      <c r="W108" s="30">
        <f t="shared" si="133"/>
        <v>21224.040410344591</v>
      </c>
      <c r="X108" s="30">
        <f t="shared" si="133"/>
        <v>26371.874930973863</v>
      </c>
      <c r="Y108" s="30">
        <f>Y106-Y107</f>
        <v>30541.902036435364</v>
      </c>
      <c r="Z108" s="30">
        <f>Z106-Z107</f>
        <v>32949.244803202615</v>
      </c>
      <c r="AA108" s="30">
        <f>AA106-AA107</f>
        <v>34015.799872431293</v>
      </c>
      <c r="AI108" s="19"/>
      <c r="AJ108" s="19"/>
      <c r="AK108" s="19"/>
    </row>
    <row r="109" spans="1:37">
      <c r="A109" s="15"/>
      <c r="B109" s="22"/>
      <c r="C109" s="22"/>
      <c r="D109" s="22"/>
      <c r="E109" s="22"/>
      <c r="F109" s="22"/>
      <c r="G109" s="22"/>
      <c r="H109" s="22"/>
      <c r="I109" s="22"/>
      <c r="J109" s="22"/>
      <c r="K109" s="22"/>
      <c r="L109" s="517"/>
      <c r="M109" s="517"/>
      <c r="N109" s="517"/>
      <c r="O109" s="517"/>
      <c r="P109" s="30"/>
      <c r="Q109" s="30"/>
      <c r="R109" s="30"/>
      <c r="S109" s="30"/>
      <c r="T109" s="30"/>
      <c r="U109" s="30"/>
      <c r="V109" s="30"/>
      <c r="W109" s="30"/>
      <c r="X109" s="30"/>
      <c r="Y109" s="30"/>
      <c r="Z109" s="30"/>
      <c r="AA109" s="30"/>
      <c r="AI109" s="19"/>
      <c r="AJ109" s="19"/>
      <c r="AK109" s="19"/>
    </row>
    <row r="110" spans="1:37">
      <c r="A110" s="113" t="s">
        <v>475</v>
      </c>
      <c r="B110" s="19"/>
      <c r="C110" s="19"/>
      <c r="D110" s="19"/>
      <c r="E110" s="19"/>
      <c r="F110" s="19"/>
      <c r="G110" s="19"/>
      <c r="H110" s="19"/>
      <c r="I110" s="34"/>
      <c r="J110" s="34"/>
      <c r="K110" s="34"/>
      <c r="L110" s="86"/>
      <c r="M110" s="86"/>
      <c r="N110" s="86"/>
      <c r="O110" s="86"/>
      <c r="P110" s="86">
        <f>P106/O106-1</f>
        <v>-0.33409389743986384</v>
      </c>
      <c r="Q110" s="86">
        <f>Q106/P106-1</f>
        <v>7.3342818979034829E-2</v>
      </c>
      <c r="R110" s="86">
        <f t="shared" ref="R110:X110" si="134">R106/Q106-1</f>
        <v>0.15310466624355001</v>
      </c>
      <c r="S110" s="86">
        <f t="shared" si="134"/>
        <v>0.15265377855887508</v>
      </c>
      <c r="T110" s="86">
        <f t="shared" si="134"/>
        <v>3.7824222395023366E-2</v>
      </c>
      <c r="U110" s="86">
        <f t="shared" si="134"/>
        <v>0.12219603487200592</v>
      </c>
      <c r="V110" s="86">
        <f t="shared" si="134"/>
        <v>0.12804459872032847</v>
      </c>
      <c r="W110" s="86">
        <f t="shared" si="134"/>
        <v>0.19321288444240947</v>
      </c>
      <c r="X110" s="86">
        <f t="shared" si="134"/>
        <v>0.16274438607060349</v>
      </c>
      <c r="Y110" s="86">
        <f>Y106/X106-1</f>
        <v>9.0779911688396719E-2</v>
      </c>
      <c r="Z110" s="86">
        <f>Z106/Y106-1</f>
        <v>4.386429650669843E-2</v>
      </c>
      <c r="AA110" s="86">
        <f>AA106/Z106-1</f>
        <v>2.3997203379682253E-2</v>
      </c>
      <c r="AI110" s="19"/>
      <c r="AJ110" s="19"/>
      <c r="AK110" s="19"/>
    </row>
    <row r="111" spans="1:37">
      <c r="A111" s="13" t="s">
        <v>184</v>
      </c>
      <c r="B111" s="166">
        <v>1.2571000000000001</v>
      </c>
      <c r="C111" s="166">
        <v>1.3720000000000001</v>
      </c>
      <c r="D111" s="166">
        <v>1.4705999999999999</v>
      </c>
      <c r="E111" s="166">
        <v>1.3949</v>
      </c>
      <c r="F111" s="166">
        <v>1.3245</v>
      </c>
      <c r="G111" s="166">
        <v>1.3938999999999999</v>
      </c>
      <c r="H111" s="166">
        <v>1.32</v>
      </c>
      <c r="I111" s="29">
        <f t="shared" ref="I111:Z111" si="135">I50</f>
        <v>1.3491500000000001</v>
      </c>
      <c r="J111" s="29">
        <f t="shared" si="135"/>
        <v>1.3392985632183914</v>
      </c>
      <c r="K111" s="29">
        <f t="shared" si="135"/>
        <v>1.2281239726027398</v>
      </c>
      <c r="L111" s="84">
        <f t="shared" si="135"/>
        <v>1.2133500000000002</v>
      </c>
      <c r="M111" s="84">
        <f t="shared" si="135"/>
        <v>1.2098499999999999</v>
      </c>
      <c r="N111" s="84">
        <f t="shared" si="135"/>
        <v>1.2103999999999999</v>
      </c>
      <c r="O111" s="84">
        <f t="shared" si="135"/>
        <v>1.1801109608208957</v>
      </c>
      <c r="P111" s="84">
        <f t="shared" si="135"/>
        <v>1.1658865205223881</v>
      </c>
      <c r="Q111" s="84">
        <f t="shared" si="135"/>
        <v>1.1913242788461544</v>
      </c>
      <c r="R111" s="84">
        <f t="shared" si="135"/>
        <v>1.1342550612126945</v>
      </c>
      <c r="S111" s="84">
        <f t="shared" si="135"/>
        <v>1.1406711628636832</v>
      </c>
      <c r="T111" s="84">
        <f t="shared" si="135"/>
        <v>1.1459624519230767</v>
      </c>
      <c r="U111" s="84">
        <f t="shared" si="135"/>
        <v>1.1590688771398991</v>
      </c>
      <c r="V111" s="887">
        <f>V50</f>
        <v>1.1927782044671214</v>
      </c>
      <c r="W111" s="887">
        <f t="shared" si="135"/>
        <v>1.2072719199225044</v>
      </c>
      <c r="X111" s="887">
        <f t="shared" si="135"/>
        <v>1.2137139248641418</v>
      </c>
      <c r="Y111" s="887">
        <f t="shared" si="135"/>
        <v>1.2119047684121087</v>
      </c>
      <c r="Z111" s="887">
        <f t="shared" si="135"/>
        <v>1.213163894834056</v>
      </c>
      <c r="AA111" s="887">
        <f t="shared" ref="AA111" si="136">AA50</f>
        <v>1.2120155560044135</v>
      </c>
      <c r="AI111" s="19"/>
      <c r="AJ111" s="19"/>
      <c r="AK111" s="19"/>
    </row>
    <row r="112" spans="1:37">
      <c r="A112" s="143" t="s">
        <v>472</v>
      </c>
      <c r="B112" s="24"/>
      <c r="C112" s="24"/>
      <c r="D112" s="24"/>
      <c r="E112" s="24"/>
      <c r="F112" s="24"/>
      <c r="G112" s="24"/>
      <c r="H112" s="24"/>
      <c r="I112" s="24"/>
      <c r="J112" s="24"/>
      <c r="K112" s="24"/>
      <c r="L112" s="511"/>
      <c r="M112" s="511"/>
      <c r="N112" s="511"/>
      <c r="O112" s="511">
        <f>O106/O111</f>
        <v>43822.997766265886</v>
      </c>
      <c r="P112" s="511">
        <f t="shared" ref="P112:U112" si="137">P106/P111</f>
        <v>29538.03770247698</v>
      </c>
      <c r="Q112" s="511">
        <f t="shared" si="137"/>
        <v>31027.471408373302</v>
      </c>
      <c r="R112" s="511">
        <f t="shared" si="137"/>
        <v>37578.062163927483</v>
      </c>
      <c r="S112" s="511">
        <f t="shared" si="137"/>
        <v>43070.857901464529</v>
      </c>
      <c r="T112" s="511">
        <f>T106/T111</f>
        <v>44493.584964810165</v>
      </c>
      <c r="U112" s="511">
        <f t="shared" si="137"/>
        <v>49365.924280510713</v>
      </c>
      <c r="V112" s="511">
        <f t="shared" ref="V112:X112" si="138">V106/V111</f>
        <v>54113.184561549482</v>
      </c>
      <c r="W112" s="511">
        <f t="shared" si="138"/>
        <v>63793.381353891331</v>
      </c>
      <c r="X112" s="511">
        <f t="shared" si="138"/>
        <v>73781.696782846047</v>
      </c>
      <c r="Y112" s="511">
        <f>Y106/Y111</f>
        <v>80599.73429809793</v>
      </c>
      <c r="Z112" s="511">
        <f>Z106/Z111</f>
        <v>84047.862169555607</v>
      </c>
      <c r="AA112" s="511">
        <f>AA106/AA111</f>
        <v>86146.318926718697</v>
      </c>
      <c r="AI112" s="19"/>
      <c r="AJ112" s="19"/>
      <c r="AK112" s="19"/>
    </row>
    <row r="113" spans="1:57">
      <c r="A113" s="113"/>
      <c r="B113" s="19"/>
      <c r="C113" s="19"/>
      <c r="D113" s="19"/>
      <c r="E113" s="19"/>
      <c r="F113" s="19"/>
      <c r="G113" s="19"/>
      <c r="H113" s="19"/>
      <c r="I113" s="19"/>
      <c r="J113" s="19"/>
      <c r="K113" s="19"/>
      <c r="L113" s="30"/>
      <c r="M113" s="30"/>
      <c r="N113" s="30"/>
      <c r="O113" s="30"/>
      <c r="P113" s="30"/>
      <c r="Q113" s="30"/>
      <c r="R113" s="30"/>
      <c r="S113" s="30"/>
      <c r="T113" s="30"/>
      <c r="U113" s="30"/>
      <c r="V113" s="30"/>
      <c r="W113" s="30"/>
      <c r="X113" s="30"/>
      <c r="Y113" s="30"/>
      <c r="Z113" s="30"/>
      <c r="AA113" s="30"/>
      <c r="AI113" s="19"/>
      <c r="AJ113" s="19"/>
      <c r="AK113" s="19"/>
    </row>
    <row r="114" spans="1:57">
      <c r="A114" s="655" t="s">
        <v>473</v>
      </c>
      <c r="B114" s="656"/>
      <c r="C114" s="656"/>
      <c r="D114" s="656"/>
      <c r="E114" s="656"/>
      <c r="F114" s="656"/>
      <c r="G114" s="656"/>
      <c r="H114" s="656"/>
      <c r="I114" s="657"/>
      <c r="J114" s="657"/>
      <c r="K114" s="657"/>
      <c r="L114" s="658"/>
      <c r="M114" s="658"/>
      <c r="N114" s="658"/>
      <c r="O114" s="658"/>
      <c r="P114" s="658">
        <f t="shared" ref="P114:X114" si="139">P112/O112-1</f>
        <v>-0.32596948615836585</v>
      </c>
      <c r="Q114" s="658">
        <f t="shared" si="139"/>
        <v>5.0424260436617407E-2</v>
      </c>
      <c r="R114" s="658">
        <f t="shared" si="139"/>
        <v>0.2111222880310637</v>
      </c>
      <c r="S114" s="658">
        <f t="shared" si="139"/>
        <v>0.14617027651866987</v>
      </c>
      <c r="T114" s="658">
        <f t="shared" si="139"/>
        <v>3.3032243439415243E-2</v>
      </c>
      <c r="U114" s="658">
        <f t="shared" si="139"/>
        <v>0.10950655739594972</v>
      </c>
      <c r="V114" s="658">
        <f t="shared" si="139"/>
        <v>9.6164719899976658E-2</v>
      </c>
      <c r="W114" s="658">
        <f t="shared" si="139"/>
        <v>0.17888795255306755</v>
      </c>
      <c r="X114" s="658">
        <f t="shared" si="139"/>
        <v>0.15657291112294103</v>
      </c>
      <c r="Y114" s="658">
        <f>Y112/X112-1</f>
        <v>9.240825045429224E-2</v>
      </c>
      <c r="Z114" s="658">
        <f>Z112/Y112-1</f>
        <v>4.2780883851363471E-2</v>
      </c>
      <c r="AA114" s="658">
        <f>AA112/Z112-1</f>
        <v>2.4967401942118661E-2</v>
      </c>
      <c r="AI114" s="19"/>
      <c r="AJ114" s="19"/>
      <c r="AK114" s="19"/>
    </row>
    <row r="115" spans="1:57">
      <c r="A115" s="147" t="s">
        <v>580</v>
      </c>
      <c r="B115" s="18"/>
      <c r="C115" s="18"/>
      <c r="D115" s="18"/>
      <c r="E115" s="18"/>
      <c r="F115" s="30">
        <f t="shared" ref="F115:U115" si="140">F2*F111</f>
        <v>36652.888500000001</v>
      </c>
      <c r="G115" s="30">
        <f t="shared" si="140"/>
        <v>43432.530099999996</v>
      </c>
      <c r="H115" s="30">
        <f t="shared" si="140"/>
        <v>49663.68</v>
      </c>
      <c r="I115" s="30">
        <f t="shared" si="140"/>
        <v>53816.244350000001</v>
      </c>
      <c r="J115" s="30">
        <f t="shared" si="140"/>
        <v>56625.543252873584</v>
      </c>
      <c r="K115" s="30">
        <f t="shared" si="140"/>
        <v>56314.39663972603</v>
      </c>
      <c r="L115" s="30">
        <f t="shared" si="140"/>
        <v>59741.713950000005</v>
      </c>
      <c r="M115" s="30">
        <f t="shared" si="140"/>
        <v>61651.536299999992</v>
      </c>
      <c r="N115" s="30">
        <f t="shared" si="140"/>
        <v>58062.887999999999</v>
      </c>
      <c r="O115" s="30">
        <f t="shared" si="140"/>
        <v>64640.577878964563</v>
      </c>
      <c r="P115" s="30">
        <f t="shared" si="140"/>
        <v>39931.613327891791</v>
      </c>
      <c r="Q115" s="30">
        <f t="shared" si="140"/>
        <v>43083.051220192327</v>
      </c>
      <c r="R115" s="30">
        <f t="shared" si="140"/>
        <v>46989.918675919507</v>
      </c>
      <c r="S115" s="30">
        <f t="shared" si="140"/>
        <v>54481.876751858101</v>
      </c>
      <c r="T115" s="30">
        <f t="shared" si="140"/>
        <v>58038.41434009614</v>
      </c>
      <c r="U115" s="30">
        <f t="shared" si="140"/>
        <v>60940.364353384481</v>
      </c>
      <c r="V115" s="30">
        <f>$U$115*(V106+V162*V47)/($U$106+$U$162*$U$47)</f>
        <v>69112.231548073512</v>
      </c>
      <c r="W115" s="30">
        <f t="shared" ref="W115:AA115" si="141">$U$115*(W106+W162*W47)/($U$106+$U$162*$U$47)</f>
        <v>81739.106862742003</v>
      </c>
      <c r="X115" s="30">
        <f t="shared" si="141"/>
        <v>94332.289766970192</v>
      </c>
      <c r="Y115" s="30">
        <f t="shared" si="141"/>
        <v>102703.36062246851</v>
      </c>
      <c r="Z115" s="30">
        <f t="shared" si="141"/>
        <v>107467.30766001498</v>
      </c>
      <c r="AA115" s="30">
        <f t="shared" si="141"/>
        <v>110533.89344329745</v>
      </c>
    </row>
    <row r="116" spans="1:57">
      <c r="B116" s="16"/>
      <c r="C116" s="16"/>
      <c r="D116" s="16"/>
      <c r="E116" s="16"/>
      <c r="F116" s="16"/>
      <c r="G116" s="16"/>
      <c r="H116" s="16"/>
      <c r="I116" s="19"/>
      <c r="J116" s="19"/>
      <c r="K116" s="19"/>
      <c r="L116" s="30"/>
      <c r="M116" s="30"/>
      <c r="N116" s="30"/>
      <c r="O116" s="30"/>
      <c r="P116" s="30"/>
      <c r="Q116" s="30"/>
      <c r="R116" s="518"/>
      <c r="S116" s="518"/>
      <c r="T116" s="519"/>
      <c r="U116" s="30"/>
      <c r="V116" s="30"/>
      <c r="W116" s="30"/>
      <c r="X116" s="30"/>
      <c r="Y116" s="30"/>
      <c r="Z116" s="30"/>
      <c r="AA116" s="30"/>
      <c r="AG116" s="113"/>
    </row>
    <row r="117" spans="1:57">
      <c r="A117" s="187" t="s">
        <v>239</v>
      </c>
      <c r="B117" s="195"/>
      <c r="C117" s="187"/>
      <c r="D117" s="187"/>
      <c r="E117" s="187"/>
      <c r="F117" s="187"/>
      <c r="G117" s="187"/>
      <c r="H117" s="187"/>
      <c r="I117" s="187"/>
      <c r="J117" s="187"/>
      <c r="K117" s="187"/>
      <c r="L117" s="501"/>
      <c r="M117" s="501"/>
      <c r="N117" s="501"/>
      <c r="O117" s="501"/>
      <c r="P117" s="501"/>
      <c r="Q117" s="501"/>
      <c r="R117" s="501"/>
      <c r="S117" s="501"/>
      <c r="T117" s="501"/>
      <c r="U117" s="501"/>
      <c r="V117" s="535"/>
      <c r="W117" s="535"/>
      <c r="X117" s="535"/>
      <c r="Y117" s="535"/>
      <c r="Z117" s="535"/>
      <c r="AA117" s="535"/>
      <c r="AF117" s="22"/>
      <c r="AG117" s="113"/>
      <c r="AO117" s="36"/>
      <c r="AR117" s="36"/>
      <c r="AS117" s="88"/>
      <c r="AT117" s="88"/>
      <c r="AU117" s="88"/>
      <c r="AV117" s="88"/>
      <c r="AX117" s="36"/>
      <c r="BA117" s="36"/>
      <c r="BB117" s="88"/>
      <c r="BC117" s="88"/>
      <c r="BD117" s="88"/>
      <c r="BE117" s="88"/>
    </row>
    <row r="118" spans="1:57">
      <c r="A118" s="222" t="s">
        <v>374</v>
      </c>
      <c r="B118" s="222"/>
      <c r="C118" s="222"/>
      <c r="D118" s="222"/>
      <c r="E118" s="222"/>
      <c r="F118" s="222"/>
      <c r="G118" s="222"/>
      <c r="H118" s="224"/>
      <c r="I118" s="224">
        <f>H136</f>
        <v>1669</v>
      </c>
      <c r="J118" s="224">
        <f>I136</f>
        <v>2216</v>
      </c>
      <c r="K118" s="224">
        <f>J136</f>
        <v>2529</v>
      </c>
      <c r="L118" s="496">
        <f>K7</f>
        <v>2766</v>
      </c>
      <c r="M118" s="496">
        <f>L136</f>
        <v>2811</v>
      </c>
      <c r="N118" s="497">
        <v>2383</v>
      </c>
      <c r="O118" s="496">
        <f>N7</f>
        <v>4808</v>
      </c>
      <c r="P118" s="497">
        <v>5947</v>
      </c>
      <c r="Q118" s="496">
        <f>P136</f>
        <v>618</v>
      </c>
      <c r="R118" s="496">
        <f>Q136</f>
        <v>3570</v>
      </c>
      <c r="S118" s="496">
        <f>R136</f>
        <v>4600</v>
      </c>
      <c r="T118" s="496">
        <f>S136</f>
        <v>4818</v>
      </c>
      <c r="U118" s="496">
        <f>T136</f>
        <v>5093</v>
      </c>
      <c r="V118" s="496">
        <f t="shared" ref="V118:Y118" si="142">U136</f>
        <v>5470</v>
      </c>
      <c r="W118" s="496">
        <f t="shared" si="142"/>
        <v>5757.7435507349028</v>
      </c>
      <c r="X118" s="496">
        <f t="shared" si="142"/>
        <v>7168.2228363870645</v>
      </c>
      <c r="Y118" s="496">
        <f t="shared" si="142"/>
        <v>9291.9897591018344</v>
      </c>
      <c r="Z118" s="496">
        <f>Y136</f>
        <v>10716.436544962027</v>
      </c>
      <c r="AA118" s="496">
        <f>Z136</f>
        <v>11317.254931022628</v>
      </c>
      <c r="AB118" s="19"/>
      <c r="AC118" s="19"/>
      <c r="AD118" s="19"/>
      <c r="AE118" s="19"/>
      <c r="AP118" s="19"/>
      <c r="AS118" s="89"/>
      <c r="AT118" s="89"/>
      <c r="AU118" s="90"/>
      <c r="AV118" s="90"/>
      <c r="AX118" s="111"/>
      <c r="AY118" s="19"/>
      <c r="BB118" s="89"/>
      <c r="BC118" s="89"/>
      <c r="BD118" s="90"/>
      <c r="BE118" s="90"/>
    </row>
    <row r="119" spans="1:57">
      <c r="A119" s="113" t="s">
        <v>430</v>
      </c>
      <c r="H119" s="19"/>
      <c r="I119" s="19"/>
      <c r="J119" s="19"/>
      <c r="K119" s="19"/>
      <c r="L119" s="30"/>
      <c r="M119" s="30"/>
      <c r="N119" s="30"/>
      <c r="O119" s="500">
        <v>-100</v>
      </c>
      <c r="P119" s="500">
        <v>-100</v>
      </c>
      <c r="Q119" s="502">
        <f t="shared" ref="Q119:Y119" si="143">Q157-P157</f>
        <v>-169.73842057691218</v>
      </c>
      <c r="R119" s="502">
        <f t="shared" si="143"/>
        <v>81.301156119264533</v>
      </c>
      <c r="S119" s="502">
        <f t="shared" si="143"/>
        <v>110.52221944955681</v>
      </c>
      <c r="T119" s="502">
        <f t="shared" si="143"/>
        <v>22.769330801449087</v>
      </c>
      <c r="U119" s="502">
        <f>U157-T157</f>
        <v>39.623634376380778</v>
      </c>
      <c r="V119" s="502">
        <f>V157-U157</f>
        <v>70.929374011103391</v>
      </c>
      <c r="W119" s="502">
        <f>W157-V157</f>
        <v>107.29906441854928</v>
      </c>
      <c r="X119" s="502">
        <f>X157-W157</f>
        <v>152.67279045258056</v>
      </c>
      <c r="Y119" s="502">
        <f t="shared" si="143"/>
        <v>203.69388004703433</v>
      </c>
      <c r="Z119" s="502">
        <f>Z157-Y157</f>
        <v>208.54736108729503</v>
      </c>
      <c r="AA119" s="502">
        <f>AA157-Z157</f>
        <v>104.0362613256666</v>
      </c>
      <c r="AB119" s="19"/>
      <c r="AC119" s="19"/>
      <c r="AD119" s="19"/>
      <c r="AE119" s="19"/>
      <c r="AP119" s="19"/>
      <c r="AS119" s="89"/>
      <c r="AT119" s="89"/>
      <c r="AU119" s="90"/>
      <c r="AV119" s="90"/>
      <c r="AX119" s="111"/>
      <c r="AY119" s="19"/>
      <c r="BB119" s="89"/>
      <c r="BC119" s="89"/>
      <c r="BD119" s="90"/>
      <c r="BE119" s="90"/>
    </row>
    <row r="120" spans="1:57">
      <c r="A120" s="113" t="s">
        <v>431</v>
      </c>
      <c r="H120" s="19"/>
      <c r="I120" s="19">
        <f t="shared" ref="I120:T120" si="144">((I58-H58)*I142)+((I59-H59)*I143)+((I60-H60)*I144)</f>
        <v>0</v>
      </c>
      <c r="J120" s="19">
        <f t="shared" si="144"/>
        <v>0</v>
      </c>
      <c r="K120" s="19">
        <f t="shared" si="144"/>
        <v>0</v>
      </c>
      <c r="L120" s="19">
        <f t="shared" si="144"/>
        <v>612</v>
      </c>
      <c r="M120" s="19">
        <f t="shared" si="144"/>
        <v>1344</v>
      </c>
      <c r="N120" s="19">
        <f t="shared" si="144"/>
        <v>2472</v>
      </c>
      <c r="O120" s="19">
        <f t="shared" si="144"/>
        <v>1978</v>
      </c>
      <c r="P120" s="19">
        <f t="shared" si="144"/>
        <v>-1368</v>
      </c>
      <c r="Q120" s="19">
        <f t="shared" si="144"/>
        <v>383</v>
      </c>
      <c r="R120" s="19">
        <f t="shared" si="144"/>
        <v>802</v>
      </c>
      <c r="S120" s="19">
        <f t="shared" si="144"/>
        <v>822</v>
      </c>
      <c r="T120" s="19">
        <f t="shared" si="144"/>
        <v>487.68000000000006</v>
      </c>
      <c r="U120" s="144">
        <f>((SUM(U58:U60)-SUM(T58:T60))*U145)</f>
        <v>78.064250411861607</v>
      </c>
      <c r="V120" s="144">
        <f t="shared" ref="V120:X120" si="145">((SUM(V58:V60)-SUM(U58:U60))*V145)</f>
        <v>594.7470930232555</v>
      </c>
      <c r="W120" s="144">
        <f t="shared" si="145"/>
        <v>1595.6058970099671</v>
      </c>
      <c r="X120" s="144">
        <f t="shared" si="145"/>
        <v>1371.7178986710937</v>
      </c>
      <c r="Y120" s="144">
        <f>((SUM(Y58:Y60)-SUM(X58:X60))*Y145)</f>
        <v>531.79959094684705</v>
      </c>
      <c r="Z120" s="144">
        <f>((SUM(Z58:Z60)-SUM(Y58:Y60))*Z145)</f>
        <v>0</v>
      </c>
      <c r="AA120" s="144">
        <f>((SUM(AA58:AA60)-SUM(Z58:Z60))*AA145)</f>
        <v>0</v>
      </c>
      <c r="AB120" s="19"/>
      <c r="AC120" s="19"/>
      <c r="AD120" s="19"/>
      <c r="AE120" s="19"/>
      <c r="AP120" s="19"/>
      <c r="AS120" s="89"/>
      <c r="AT120" s="89"/>
      <c r="AU120" s="89"/>
      <c r="AV120" s="89"/>
      <c r="AY120" s="19"/>
      <c r="BB120" s="89"/>
      <c r="BC120" s="89"/>
      <c r="BD120" s="89"/>
      <c r="BE120" s="89"/>
    </row>
    <row r="121" spans="1:57">
      <c r="A121" s="13" t="s">
        <v>371</v>
      </c>
      <c r="H121" s="19"/>
      <c r="I121" s="19"/>
      <c r="J121" s="19"/>
      <c r="K121" s="19"/>
      <c r="L121" s="171">
        <v>-400</v>
      </c>
      <c r="M121" s="171">
        <v>-200</v>
      </c>
      <c r="N121" s="171">
        <v>-200</v>
      </c>
      <c r="O121" s="144">
        <v>137</v>
      </c>
      <c r="P121" s="500">
        <v>-400</v>
      </c>
      <c r="Q121" s="500">
        <v>100</v>
      </c>
      <c r="R121" s="502">
        <v>76.5</v>
      </c>
      <c r="S121" s="502">
        <v>140.45400000000001</v>
      </c>
      <c r="T121" s="502">
        <v>0</v>
      </c>
      <c r="U121" s="502">
        <f t="shared" ref="U121:AA121" si="146">((SUM(U63:U64))-(SUM(T63:T64)))*U147</f>
        <v>26</v>
      </c>
      <c r="V121" s="502">
        <f>((SUM(V63:V64))-(SUM(U63:U64)))*V147</f>
        <v>88.842000000000041</v>
      </c>
      <c r="W121" s="502">
        <f>((SUM(W63:W64))-(SUM(V63:V64)))*W147</f>
        <v>59.510879999999887</v>
      </c>
      <c r="X121" s="502">
        <f t="shared" si="146"/>
        <v>30.350548800000041</v>
      </c>
      <c r="Y121" s="502">
        <f t="shared" si="146"/>
        <v>30.957559776000039</v>
      </c>
      <c r="Z121" s="502">
        <f t="shared" si="146"/>
        <v>78.941777428800009</v>
      </c>
      <c r="AA121" s="502">
        <f t="shared" si="146"/>
        <v>0</v>
      </c>
      <c r="AB121" s="19"/>
      <c r="AC121" s="19"/>
      <c r="AD121" s="19"/>
      <c r="AE121" s="19"/>
      <c r="AP121" s="19"/>
      <c r="AS121" s="89"/>
      <c r="AT121" s="89"/>
      <c r="AU121" s="89"/>
      <c r="AV121" s="89"/>
      <c r="AY121" s="19"/>
      <c r="BB121" s="89"/>
      <c r="BC121" s="89"/>
      <c r="BD121" s="89"/>
      <c r="BE121" s="89"/>
    </row>
    <row r="122" spans="1:57" outlineLevel="1">
      <c r="H122" s="19"/>
      <c r="I122" s="165"/>
      <c r="J122" s="165"/>
      <c r="K122" s="165"/>
      <c r="L122" s="30"/>
      <c r="M122" s="171"/>
      <c r="N122" s="171"/>
      <c r="O122" s="500"/>
      <c r="P122" s="502"/>
      <c r="Q122" s="502"/>
      <c r="R122" s="502"/>
      <c r="S122" s="502"/>
      <c r="T122" s="502"/>
      <c r="U122" s="502"/>
      <c r="V122" s="502"/>
      <c r="W122" s="502"/>
      <c r="X122" s="502"/>
      <c r="Y122" s="502"/>
      <c r="Z122" s="502"/>
      <c r="AA122" s="502"/>
      <c r="AB122" s="19"/>
      <c r="AC122" s="19"/>
      <c r="AD122" s="19"/>
      <c r="AE122" s="19"/>
      <c r="AP122" s="19"/>
      <c r="AS122" s="89"/>
      <c r="AT122" s="89"/>
      <c r="AU122" s="89"/>
      <c r="AV122" s="89"/>
      <c r="AY122" s="19"/>
      <c r="BB122" s="89"/>
      <c r="BC122" s="89"/>
      <c r="BD122" s="89"/>
      <c r="BE122" s="89"/>
    </row>
    <row r="123" spans="1:57">
      <c r="A123" s="13" t="s">
        <v>309</v>
      </c>
      <c r="H123" s="19"/>
      <c r="I123" s="165">
        <v>300</v>
      </c>
      <c r="J123" s="165">
        <v>200</v>
      </c>
      <c r="K123" s="165">
        <v>-50</v>
      </c>
      <c r="L123" s="171">
        <v>-100</v>
      </c>
      <c r="M123" s="171">
        <v>-150</v>
      </c>
      <c r="N123" s="30"/>
      <c r="O123" s="500">
        <v>0</v>
      </c>
      <c r="P123" s="502"/>
      <c r="Q123" s="502"/>
      <c r="R123" s="521"/>
      <c r="S123" s="521">
        <v>-175.00609178593498</v>
      </c>
      <c r="T123" s="521">
        <v>-201.95338851848223</v>
      </c>
      <c r="U123" s="521"/>
      <c r="V123" s="522"/>
      <c r="W123" s="509"/>
      <c r="X123" s="509"/>
      <c r="Y123" s="509"/>
      <c r="Z123" s="509"/>
      <c r="AA123" s="509"/>
      <c r="AB123" s="19"/>
      <c r="AC123" s="19"/>
      <c r="AD123" s="19"/>
      <c r="AE123" s="19"/>
      <c r="AP123" s="19"/>
      <c r="AS123" s="89"/>
      <c r="AT123" s="89"/>
      <c r="AU123" s="89"/>
      <c r="AV123" s="89"/>
      <c r="AY123" s="19"/>
      <c r="BB123" s="89"/>
      <c r="BC123" s="89"/>
      <c r="BD123" s="89"/>
      <c r="BE123" s="89"/>
    </row>
    <row r="124" spans="1:57" hidden="1">
      <c r="A124" s="13" t="s">
        <v>310</v>
      </c>
      <c r="B124" s="19"/>
      <c r="C124" s="19"/>
      <c r="D124" s="19"/>
      <c r="E124" s="19"/>
      <c r="F124" s="19"/>
      <c r="G124" s="19"/>
      <c r="H124" s="19"/>
      <c r="I124" s="19"/>
      <c r="J124" s="19"/>
      <c r="K124" s="19"/>
      <c r="L124" s="30"/>
      <c r="M124" s="30"/>
      <c r="N124" s="30"/>
      <c r="O124" s="144"/>
      <c r="P124" s="502"/>
      <c r="Q124" s="502"/>
      <c r="R124" s="502"/>
      <c r="S124" s="502"/>
      <c r="T124" s="502"/>
      <c r="U124" s="509"/>
      <c r="V124" s="509"/>
      <c r="W124" s="509"/>
      <c r="X124" s="509"/>
      <c r="Y124" s="509"/>
      <c r="Z124" s="509"/>
      <c r="AA124" s="509"/>
      <c r="AB124" s="19"/>
      <c r="AC124" s="19"/>
      <c r="AD124" s="19"/>
      <c r="AE124" s="19"/>
      <c r="AS124" s="89"/>
      <c r="AT124" s="89"/>
      <c r="AU124" s="89"/>
      <c r="AV124" s="89"/>
      <c r="AY124" s="19"/>
      <c r="BB124" s="89"/>
      <c r="BC124" s="89"/>
      <c r="BD124" s="89"/>
      <c r="BE124" s="89"/>
    </row>
    <row r="125" spans="1:57">
      <c r="A125" s="113" t="s">
        <v>557</v>
      </c>
      <c r="H125" s="19"/>
      <c r="I125" s="30">
        <v>-300</v>
      </c>
      <c r="J125" s="30">
        <v>-400</v>
      </c>
      <c r="K125" s="30">
        <v>-300</v>
      </c>
      <c r="L125" s="30"/>
      <c r="M125" s="171">
        <v>150</v>
      </c>
      <c r="N125" s="171">
        <v>1350</v>
      </c>
      <c r="O125" s="144">
        <v>395</v>
      </c>
      <c r="P125" s="500">
        <v>-250</v>
      </c>
      <c r="Q125" s="502">
        <f>-250-P125</f>
        <v>0</v>
      </c>
      <c r="R125" s="502">
        <f t="shared" ref="R125:AA125" si="147">((SUM(R66:R67))-(SUM(Q66:Q67)))*R146</f>
        <v>75</v>
      </c>
      <c r="S125" s="502">
        <f t="shared" si="147"/>
        <v>60</v>
      </c>
      <c r="T125" s="502">
        <f t="shared" si="147"/>
        <v>-105</v>
      </c>
      <c r="U125" s="502">
        <f t="shared" si="147"/>
        <v>0</v>
      </c>
      <c r="V125" s="502">
        <f t="shared" si="147"/>
        <v>184.49999999999994</v>
      </c>
      <c r="W125" s="502">
        <f t="shared" si="147"/>
        <v>286.11000000000007</v>
      </c>
      <c r="X125" s="502">
        <f t="shared" si="147"/>
        <v>394.83180000000021</v>
      </c>
      <c r="Y125" s="502">
        <f t="shared" si="147"/>
        <v>297.66884399999986</v>
      </c>
      <c r="Z125" s="502">
        <f>((SUM(Z66:Z67))-(SUM(Y66:Y67)))*Z146</f>
        <v>93.5</v>
      </c>
      <c r="AA125" s="502">
        <f t="shared" si="147"/>
        <v>38.147999999999804</v>
      </c>
      <c r="AB125" s="19"/>
      <c r="AC125" s="19"/>
      <c r="AD125" s="19"/>
      <c r="AE125" s="19"/>
      <c r="AP125" s="19"/>
      <c r="AT125" s="89"/>
      <c r="AU125" s="89"/>
      <c r="AV125" s="89"/>
      <c r="AY125" s="19"/>
      <c r="BB125" s="89"/>
      <c r="BC125" s="89"/>
      <c r="BD125" s="89"/>
      <c r="BE125" s="89"/>
    </row>
    <row r="126" spans="1:57">
      <c r="A126" s="113" t="s">
        <v>433</v>
      </c>
      <c r="H126" s="19"/>
      <c r="I126" s="165">
        <v>0</v>
      </c>
      <c r="J126" s="165">
        <v>0</v>
      </c>
      <c r="K126" s="19">
        <f>(SUM(K58:K60)-SUM(J58:J60))*(6*0.6/1.35*0.2)</f>
        <v>0</v>
      </c>
      <c r="L126" s="171">
        <v>0</v>
      </c>
      <c r="M126" s="171">
        <v>25</v>
      </c>
      <c r="N126" s="171">
        <v>600</v>
      </c>
      <c r="O126" s="144">
        <v>-874</v>
      </c>
      <c r="P126" s="502"/>
      <c r="Q126" s="500"/>
      <c r="R126" s="502"/>
      <c r="S126" s="502"/>
      <c r="T126" s="502"/>
      <c r="U126" s="502"/>
      <c r="V126" s="502"/>
      <c r="W126" s="502"/>
      <c r="X126" s="502"/>
      <c r="Y126" s="502"/>
      <c r="Z126" s="502"/>
      <c r="AA126" s="502"/>
      <c r="AB126" s="19"/>
      <c r="AC126" s="19"/>
      <c r="AD126" s="19"/>
      <c r="AE126" s="19"/>
      <c r="AP126" s="19"/>
      <c r="AQ126" s="19"/>
      <c r="AS126" s="19"/>
      <c r="AU126" s="89"/>
      <c r="AV126" s="89"/>
      <c r="AY126" s="19"/>
      <c r="BB126" s="89"/>
      <c r="BD126" s="89"/>
      <c r="BE126" s="89"/>
    </row>
    <row r="127" spans="1:57" hidden="1">
      <c r="A127" s="113" t="s">
        <v>432</v>
      </c>
      <c r="H127" s="19"/>
      <c r="I127" s="165">
        <v>0</v>
      </c>
      <c r="J127" s="165">
        <v>0</v>
      </c>
      <c r="K127" s="19">
        <f>-0.1*SUM(K58:K60)</f>
        <v>0</v>
      </c>
      <c r="L127" s="171">
        <v>0</v>
      </c>
      <c r="M127" s="30">
        <f>-0.05*SUM(M58:M60)</f>
        <v>-9</v>
      </c>
      <c r="N127" s="171">
        <v>0</v>
      </c>
      <c r="O127" s="500">
        <v>0</v>
      </c>
      <c r="P127" s="500">
        <v>0</v>
      </c>
      <c r="Q127" s="523">
        <v>0</v>
      </c>
      <c r="R127" s="523">
        <v>0</v>
      </c>
      <c r="S127" s="500">
        <v>0</v>
      </c>
      <c r="T127" s="500">
        <v>0</v>
      </c>
      <c r="U127" s="503">
        <v>0</v>
      </c>
      <c r="V127" s="503">
        <v>0</v>
      </c>
      <c r="W127" s="503">
        <v>0</v>
      </c>
      <c r="X127" s="503">
        <v>0</v>
      </c>
      <c r="Y127" s="503">
        <v>0</v>
      </c>
      <c r="Z127" s="503">
        <v>0</v>
      </c>
      <c r="AA127" s="503">
        <v>0</v>
      </c>
      <c r="AB127" s="19"/>
      <c r="AC127" s="19"/>
      <c r="AD127" s="19"/>
      <c r="AE127" s="19"/>
      <c r="AP127" s="19"/>
      <c r="AS127" s="19"/>
      <c r="AT127" s="89"/>
      <c r="AU127" s="89"/>
      <c r="AV127" s="89"/>
      <c r="AY127" s="19"/>
      <c r="BB127" s="89"/>
      <c r="BD127" s="89"/>
      <c r="BE127" s="89"/>
    </row>
    <row r="128" spans="1:57" hidden="1">
      <c r="A128" s="13" t="s">
        <v>254</v>
      </c>
      <c r="B128" s="19">
        <f>1399-878</f>
        <v>521</v>
      </c>
      <c r="C128" s="19">
        <f>878-579</f>
        <v>299</v>
      </c>
      <c r="D128" s="19">
        <f>579-576</f>
        <v>3</v>
      </c>
      <c r="E128" s="19">
        <f>576-488</f>
        <v>88</v>
      </c>
      <c r="F128" s="19">
        <f>488-507</f>
        <v>-19</v>
      </c>
      <c r="G128" s="19">
        <f>507-478</f>
        <v>29</v>
      </c>
      <c r="H128" s="19">
        <f>478-398</f>
        <v>80</v>
      </c>
      <c r="I128" s="19"/>
      <c r="J128" s="19"/>
      <c r="K128" s="19"/>
      <c r="L128" s="30"/>
      <c r="M128" s="30"/>
      <c r="N128" s="30"/>
      <c r="O128" s="144"/>
      <c r="P128" s="502"/>
      <c r="Q128" s="512"/>
      <c r="R128" s="512"/>
      <c r="S128" s="502"/>
      <c r="T128" s="502"/>
      <c r="U128" s="509"/>
      <c r="V128" s="509"/>
      <c r="W128" s="509"/>
      <c r="X128" s="509"/>
      <c r="Y128" s="509"/>
      <c r="Z128" s="509"/>
      <c r="AA128" s="509"/>
      <c r="AB128" s="19"/>
      <c r="AC128" s="19"/>
      <c r="AD128" s="19"/>
      <c r="AE128" s="19"/>
      <c r="AP128" s="19"/>
      <c r="AS128" s="19"/>
      <c r="AT128" s="89"/>
      <c r="AU128" s="89"/>
      <c r="AV128" s="89"/>
      <c r="AY128" s="19"/>
      <c r="BB128" s="89"/>
      <c r="BC128" s="89"/>
    </row>
    <row r="129" spans="1:51">
      <c r="A129" s="13" t="s">
        <v>279</v>
      </c>
      <c r="B129" s="19"/>
      <c r="C129" s="19"/>
      <c r="D129" s="19"/>
      <c r="E129" s="19"/>
      <c r="F129" s="19"/>
      <c r="G129" s="19"/>
      <c r="H129" s="19"/>
      <c r="I129" s="19"/>
      <c r="J129" s="19">
        <f>J166-I166</f>
        <v>12.599999999999966</v>
      </c>
      <c r="K129" s="19">
        <f>K166-J166</f>
        <v>79.200000000000045</v>
      </c>
      <c r="L129" s="30">
        <f>L166-K166</f>
        <v>68.759999999999991</v>
      </c>
      <c r="M129" s="30">
        <f>M166-L166</f>
        <v>37.44</v>
      </c>
      <c r="N129" s="171">
        <v>100</v>
      </c>
      <c r="O129" s="30">
        <f t="shared" ref="O129:AA129" si="148">O166-N166</f>
        <v>42.824999999999989</v>
      </c>
      <c r="P129" s="30">
        <f t="shared" si="148"/>
        <v>-133.34999999999991</v>
      </c>
      <c r="Q129" s="30">
        <f t="shared" si="148"/>
        <v>71.925000000000011</v>
      </c>
      <c r="R129" s="502">
        <f t="shared" si="148"/>
        <v>65.585999999999956</v>
      </c>
      <c r="S129" s="502">
        <f t="shared" si="148"/>
        <v>147.66449999999992</v>
      </c>
      <c r="T129" s="502">
        <f t="shared" si="148"/>
        <v>190.85850000000005</v>
      </c>
      <c r="U129" s="502">
        <f>U166-T166</f>
        <v>83.56590000000017</v>
      </c>
      <c r="V129" s="502">
        <f>V166-U166</f>
        <v>159.02590769999983</v>
      </c>
      <c r="W129" s="502">
        <f>W166-V166</f>
        <v>131.08147074000021</v>
      </c>
      <c r="X129" s="502">
        <f t="shared" si="148"/>
        <v>213.9587877240001</v>
      </c>
      <c r="Y129" s="502">
        <f t="shared" si="148"/>
        <v>234.00579587814013</v>
      </c>
      <c r="Z129" s="502">
        <f t="shared" si="148"/>
        <v>211.86524749890077</v>
      </c>
      <c r="AA129" s="502">
        <f t="shared" si="148"/>
        <v>130.8413476678727</v>
      </c>
      <c r="AB129" s="19"/>
      <c r="AC129" s="19"/>
      <c r="AD129" s="19"/>
      <c r="AE129" s="19"/>
      <c r="AP129" s="19"/>
      <c r="AS129" s="19"/>
      <c r="AU129" s="89"/>
      <c r="AV129" s="89"/>
      <c r="AY129" s="19"/>
    </row>
    <row r="130" spans="1:51">
      <c r="A130" s="13" t="s">
        <v>130</v>
      </c>
      <c r="H130" s="19"/>
      <c r="I130" s="19">
        <v>-72.119648915092966</v>
      </c>
      <c r="J130" s="19">
        <v>175.80870753755175</v>
      </c>
      <c r="K130" s="19">
        <v>93.744612638829494</v>
      </c>
      <c r="L130" s="171">
        <v>200</v>
      </c>
      <c r="M130" s="524">
        <v>350</v>
      </c>
      <c r="N130" s="171">
        <v>500</v>
      </c>
      <c r="O130" s="500">
        <v>108</v>
      </c>
      <c r="P130" s="500">
        <v>400</v>
      </c>
      <c r="Q130" s="144">
        <v>-149.46455774376955</v>
      </c>
      <c r="R130" s="500">
        <v>-100</v>
      </c>
      <c r="S130" s="502">
        <v>226.33744855967598</v>
      </c>
      <c r="T130" s="502">
        <v>-159.77961432507072</v>
      </c>
      <c r="U130" s="502">
        <f>U32</f>
        <v>284.13237885300259</v>
      </c>
      <c r="V130" s="502">
        <f>V32</f>
        <v>-297.30082399945604</v>
      </c>
      <c r="W130" s="502">
        <f t="shared" ref="W130:X130" si="149">W32</f>
        <v>-319.12802651635502</v>
      </c>
      <c r="X130" s="502">
        <f t="shared" si="149"/>
        <v>160.23509706709592</v>
      </c>
      <c r="Y130" s="502">
        <f>Y32</f>
        <v>126.32111521217303</v>
      </c>
      <c r="Z130" s="502">
        <f>Z32</f>
        <v>-92.035999954394356</v>
      </c>
      <c r="AA130" s="502">
        <f>AA32</f>
        <v>86.325250524139847</v>
      </c>
      <c r="AB130" s="19"/>
      <c r="AC130" s="19"/>
      <c r="AD130" s="19"/>
      <c r="AE130" s="19"/>
      <c r="AP130" s="19"/>
      <c r="AS130" s="19"/>
      <c r="AU130" s="89"/>
      <c r="AV130" s="89"/>
      <c r="AY130" s="19"/>
    </row>
    <row r="131" spans="1:51">
      <c r="A131" s="13" t="s">
        <v>199</v>
      </c>
      <c r="H131" s="19">
        <f t="shared" ref="H131:O131" si="150">G179-H179</f>
        <v>39</v>
      </c>
      <c r="I131" s="19">
        <f t="shared" si="150"/>
        <v>-10</v>
      </c>
      <c r="J131" s="19">
        <f t="shared" si="150"/>
        <v>-229</v>
      </c>
      <c r="K131" s="19">
        <f t="shared" si="150"/>
        <v>-35</v>
      </c>
      <c r="L131" s="30">
        <f t="shared" si="150"/>
        <v>555</v>
      </c>
      <c r="M131" s="30">
        <f t="shared" si="150"/>
        <v>136</v>
      </c>
      <c r="N131" s="30">
        <f t="shared" si="150"/>
        <v>-203</v>
      </c>
      <c r="O131" s="144">
        <f t="shared" si="150"/>
        <v>-191</v>
      </c>
      <c r="P131" s="502">
        <f>2816-2436</f>
        <v>380</v>
      </c>
      <c r="Q131" s="500">
        <v>200</v>
      </c>
      <c r="R131" s="502">
        <f t="shared" ref="R131:AA131" si="151">Q179-R179</f>
        <v>-355</v>
      </c>
      <c r="S131" s="502">
        <f t="shared" si="151"/>
        <v>-91</v>
      </c>
      <c r="T131" s="502">
        <f>S179-T179</f>
        <v>22</v>
      </c>
      <c r="U131" s="502">
        <f>T179-U179</f>
        <v>139</v>
      </c>
      <c r="V131" s="502">
        <f>U179-V179</f>
        <v>-263</v>
      </c>
      <c r="W131" s="502">
        <f t="shared" si="151"/>
        <v>-200</v>
      </c>
      <c r="X131" s="502">
        <f t="shared" si="151"/>
        <v>-200</v>
      </c>
      <c r="Y131" s="502">
        <f>X179-Y179</f>
        <v>0</v>
      </c>
      <c r="Z131" s="502">
        <f t="shared" si="151"/>
        <v>100</v>
      </c>
      <c r="AA131" s="502">
        <f t="shared" si="151"/>
        <v>0</v>
      </c>
      <c r="AB131" s="19"/>
      <c r="AC131" s="19"/>
      <c r="AD131" s="19"/>
      <c r="AE131" s="19"/>
      <c r="AP131" s="19"/>
      <c r="AS131" s="89"/>
      <c r="AT131" s="89"/>
      <c r="AY131" s="19"/>
    </row>
    <row r="132" spans="1:51">
      <c r="A132" s="113" t="s">
        <v>669</v>
      </c>
      <c r="H132" s="19"/>
      <c r="I132" s="19"/>
      <c r="J132" s="19">
        <v>0</v>
      </c>
      <c r="K132" s="19">
        <v>0</v>
      </c>
      <c r="L132" s="30">
        <v>0</v>
      </c>
      <c r="M132" s="30">
        <v>0</v>
      </c>
      <c r="N132" s="30">
        <v>0</v>
      </c>
      <c r="O132" s="137">
        <v>0</v>
      </c>
      <c r="P132" s="500">
        <v>0</v>
      </c>
      <c r="Q132" s="500">
        <v>1000</v>
      </c>
      <c r="R132" s="500">
        <v>-500</v>
      </c>
      <c r="S132" s="502"/>
      <c r="T132" s="502"/>
      <c r="U132" s="502"/>
      <c r="V132" s="500">
        <v>150</v>
      </c>
      <c r="W132" s="534"/>
      <c r="X132" s="500"/>
      <c r="Y132" s="500"/>
      <c r="Z132" s="500"/>
      <c r="AA132" s="500"/>
      <c r="AB132" s="19"/>
      <c r="AC132" s="19"/>
      <c r="AD132" s="19"/>
      <c r="AE132" s="19"/>
      <c r="AF132" s="19"/>
      <c r="AP132" s="19"/>
      <c r="AY132" s="19"/>
    </row>
    <row r="133" spans="1:51">
      <c r="A133" s="113" t="s">
        <v>463</v>
      </c>
      <c r="H133" s="19"/>
      <c r="I133" s="19"/>
      <c r="J133" s="19"/>
      <c r="K133" s="19"/>
      <c r="L133" s="30"/>
      <c r="M133" s="30"/>
      <c r="N133" s="30"/>
      <c r="O133" s="137"/>
      <c r="P133" s="502">
        <f>P136-SUM(P135,P118:P132)</f>
        <v>-3107.65</v>
      </c>
      <c r="Q133" s="500">
        <v>1000</v>
      </c>
      <c r="R133" s="500">
        <v>500</v>
      </c>
      <c r="S133" s="521">
        <v>-754.8425160173133</v>
      </c>
      <c r="T133" s="521"/>
      <c r="U133" s="521"/>
      <c r="V133" s="521"/>
      <c r="W133" s="521"/>
      <c r="X133" s="521"/>
      <c r="Y133" s="521"/>
      <c r="Z133" s="521"/>
      <c r="AA133" s="521"/>
      <c r="AB133" s="19"/>
      <c r="AC133" s="19"/>
      <c r="AD133" s="19"/>
      <c r="AE133" s="19"/>
      <c r="AF133" s="19"/>
      <c r="AP133" s="19"/>
      <c r="AY133" s="19"/>
    </row>
    <row r="134" spans="1:51">
      <c r="A134" s="113" t="s">
        <v>668</v>
      </c>
      <c r="H134" s="19"/>
      <c r="I134" s="19"/>
      <c r="J134" s="19"/>
      <c r="K134" s="19"/>
      <c r="L134" s="30"/>
      <c r="M134" s="30"/>
      <c r="N134" s="30"/>
      <c r="O134" s="137"/>
      <c r="P134" s="502"/>
      <c r="Q134" s="500"/>
      <c r="R134" s="500"/>
      <c r="S134" s="521"/>
      <c r="T134" s="521"/>
      <c r="U134" s="534"/>
      <c r="V134" s="500">
        <v>-250</v>
      </c>
      <c r="W134" s="500">
        <v>-250</v>
      </c>
      <c r="X134" s="521"/>
      <c r="Y134" s="521"/>
      <c r="Z134" s="521"/>
      <c r="AA134" s="521"/>
      <c r="AB134" s="19"/>
      <c r="AC134" s="19"/>
      <c r="AD134" s="19"/>
      <c r="AE134" s="19"/>
      <c r="AF134" s="19"/>
      <c r="AP134" s="19"/>
      <c r="AY134" s="19"/>
    </row>
    <row r="135" spans="1:51">
      <c r="A135" s="13" t="s">
        <v>15</v>
      </c>
      <c r="H135" s="19"/>
      <c r="I135" s="19">
        <f>I136-SUM(I118:I132)</f>
        <v>629.11964891509297</v>
      </c>
      <c r="J135" s="19">
        <f>J136-SUM(J118:J132)</f>
        <v>553.59129246244811</v>
      </c>
      <c r="K135" s="19">
        <f>K136-SUM(K118:K132)</f>
        <v>449.05538736117069</v>
      </c>
      <c r="L135" s="30">
        <f>L136-SUM(L118:L132)</f>
        <v>-890.76000000000022</v>
      </c>
      <c r="M135" s="30">
        <f>M136-SUM(M118:M132)</f>
        <v>-940.44000000000051</v>
      </c>
      <c r="N135" s="30"/>
      <c r="O135" s="137">
        <f>O136-SUM(O118:O132)</f>
        <v>54.175000000000182</v>
      </c>
      <c r="P135" s="137">
        <f>-1150+400</f>
        <v>-750</v>
      </c>
      <c r="Q135" s="502">
        <f>Q136-SUM(Q118:Q133)</f>
        <v>516.27797832068154</v>
      </c>
      <c r="R135" s="502">
        <f>R136-SUM(R118:R133)</f>
        <v>384.61284388073545</v>
      </c>
      <c r="S135" s="144">
        <f>S136-SUM(S118:S133)</f>
        <v>-268.12956020598358</v>
      </c>
      <c r="T135" s="144">
        <f>T136-SUM(T118:T133)</f>
        <v>18.425172042102531</v>
      </c>
      <c r="U135" s="534">
        <f>U136-SUM(U118:U133)</f>
        <v>-273.38616364124573</v>
      </c>
      <c r="V135" s="500">
        <v>-150</v>
      </c>
      <c r="W135" s="534"/>
      <c r="X135" s="500"/>
      <c r="Y135" s="502"/>
      <c r="Z135" s="502"/>
      <c r="AA135" s="502"/>
      <c r="AB135" s="19"/>
      <c r="AC135" s="19"/>
      <c r="AD135" s="19"/>
      <c r="AE135" s="19"/>
      <c r="AF135" s="19"/>
      <c r="AP135" s="19"/>
      <c r="AY135" s="19"/>
    </row>
    <row r="136" spans="1:51">
      <c r="A136" s="222" t="s">
        <v>373</v>
      </c>
      <c r="B136" s="222"/>
      <c r="C136" s="222"/>
      <c r="D136" s="222"/>
      <c r="E136" s="222"/>
      <c r="F136" s="222"/>
      <c r="G136" s="222"/>
      <c r="H136" s="224">
        <f t="shared" ref="H136:M136" si="152">H7</f>
        <v>1669</v>
      </c>
      <c r="I136" s="224">
        <f t="shared" si="152"/>
        <v>2216</v>
      </c>
      <c r="J136" s="224">
        <f t="shared" si="152"/>
        <v>2529</v>
      </c>
      <c r="K136" s="224">
        <f t="shared" si="152"/>
        <v>2766</v>
      </c>
      <c r="L136" s="496">
        <f t="shared" si="152"/>
        <v>2811</v>
      </c>
      <c r="M136" s="496">
        <f t="shared" si="152"/>
        <v>3554</v>
      </c>
      <c r="N136" s="496" cm="1">
        <f t="array" ref="N136">INDEX(Interims!116:116,MATCH(1,('Airbus Commercial'!N$1=Interims!$1:$1)*("FY"=Interims!$2:$2),0))</f>
        <v>4808</v>
      </c>
      <c r="O136" s="496" cm="1">
        <f t="array" ref="O136">INDEX(Interims!116:116,MATCH(1,('Airbus Commercial'!O$1=Interims!$1:$1)*("FY"=Interims!$2:$2),0))</f>
        <v>6358</v>
      </c>
      <c r="P136" s="496" cm="1">
        <f t="array" ref="P136">INDEX(Interims!116:116,MATCH(1,('Airbus Commercial'!P$1=Interims!$1:$1)*("FY"=Interims!$2:$2),0))</f>
        <v>618</v>
      </c>
      <c r="Q136" s="496" cm="1">
        <f t="array" ref="Q136">INDEX(Interims!116:116,MATCH(1,('Airbus Commercial'!Q$1=Interims!$1:$1)*("FY"=Interims!$2:$2),0))</f>
        <v>3570</v>
      </c>
      <c r="R136" s="496" cm="1">
        <f t="array" ref="R136">INDEX(Interims!116:116,MATCH(1,('Airbus Commercial'!R$1=Interims!$1:$1)*("FY"=Interims!$2:$2),0))</f>
        <v>4600</v>
      </c>
      <c r="S136" s="496" cm="1">
        <f t="array" ref="S136">INDEX(Interims!116:116,MATCH(1,('Airbus Commercial'!S$1=Interims!$1:$1)*("FY"=Interims!$2:$2),0))</f>
        <v>4818</v>
      </c>
      <c r="T136" s="496" cm="1">
        <f t="array" ref="T136">INDEX(Interims!116:116,MATCH(1,('Airbus Commercial'!T$1=Interims!$1:$1)*("FY"=Interims!$2:$2),0))</f>
        <v>5093</v>
      </c>
      <c r="U136" s="496">
        <v>5470</v>
      </c>
      <c r="V136" s="496">
        <f>SUM(V118:V135)</f>
        <v>5757.7435507349028</v>
      </c>
      <c r="W136" s="496">
        <f>SUM(W118:W135)</f>
        <v>7168.2228363870645</v>
      </c>
      <c r="X136" s="496">
        <f t="shared" ref="X136" si="153">SUM(X118:X135)</f>
        <v>9291.9897591018344</v>
      </c>
      <c r="Y136" s="496">
        <f>SUM(Y118:Y135)</f>
        <v>10716.436544962027</v>
      </c>
      <c r="Z136" s="496">
        <f>SUM(Z118:Z135)</f>
        <v>11317.254931022628</v>
      </c>
      <c r="AA136" s="496">
        <f>SUM(AA118:AA135)</f>
        <v>11676.605790540305</v>
      </c>
      <c r="AB136" s="19"/>
      <c r="AC136" s="19"/>
      <c r="AD136" s="19"/>
      <c r="AE136" s="19"/>
      <c r="AP136" s="19"/>
      <c r="AY136" s="19"/>
    </row>
    <row r="137" spans="1:51">
      <c r="T137" s="30"/>
      <c r="U137" s="30"/>
      <c r="V137" s="30"/>
      <c r="AB137" s="19"/>
      <c r="AC137" s="19"/>
      <c r="AD137" s="19"/>
      <c r="AE137" s="19"/>
    </row>
    <row r="138" spans="1:51">
      <c r="A138" s="227" t="s">
        <v>486</v>
      </c>
      <c r="B138" s="222"/>
      <c r="C138" s="222"/>
      <c r="D138" s="222"/>
      <c r="E138" s="222"/>
      <c r="F138" s="222"/>
      <c r="G138" s="222"/>
      <c r="H138" s="224"/>
      <c r="I138" s="224"/>
      <c r="J138" s="224"/>
      <c r="K138" s="224"/>
      <c r="L138" s="496"/>
      <c r="M138" s="496"/>
      <c r="N138" s="496"/>
      <c r="O138" s="496"/>
      <c r="P138" s="496"/>
      <c r="Q138" s="496"/>
      <c r="R138" s="496"/>
      <c r="S138" s="496"/>
      <c r="T138" s="496"/>
      <c r="U138" s="496"/>
      <c r="V138" s="496"/>
      <c r="W138" s="496"/>
      <c r="X138" s="496"/>
      <c r="Y138" s="496"/>
      <c r="Z138" s="496"/>
      <c r="AA138" s="496"/>
      <c r="AB138" s="19"/>
      <c r="AC138" s="19"/>
      <c r="AD138" s="19"/>
      <c r="AE138" s="19"/>
    </row>
    <row r="139" spans="1:51">
      <c r="A139" s="13" t="s">
        <v>258</v>
      </c>
      <c r="I139" s="13">
        <f t="shared" ref="I139:X139" si="154">I58</f>
        <v>0</v>
      </c>
      <c r="J139" s="13">
        <f t="shared" si="154"/>
        <v>0</v>
      </c>
      <c r="K139" s="13">
        <f t="shared" si="154"/>
        <v>0</v>
      </c>
      <c r="L139" s="13">
        <f t="shared" si="154"/>
        <v>0</v>
      </c>
      <c r="M139" s="13">
        <f t="shared" si="154"/>
        <v>0</v>
      </c>
      <c r="N139" s="13">
        <f t="shared" si="154"/>
        <v>0</v>
      </c>
      <c r="O139" s="13">
        <f t="shared" si="154"/>
        <v>2</v>
      </c>
      <c r="P139" s="13">
        <f t="shared" si="154"/>
        <v>0</v>
      </c>
      <c r="Q139" s="13">
        <f t="shared" si="154"/>
        <v>2</v>
      </c>
      <c r="R139" s="13">
        <f t="shared" si="154"/>
        <v>6</v>
      </c>
      <c r="S139" s="13">
        <f t="shared" si="154"/>
        <v>7</v>
      </c>
      <c r="T139" s="13">
        <f t="shared" si="154"/>
        <v>6</v>
      </c>
      <c r="U139" s="22">
        <f t="shared" si="154"/>
        <v>15</v>
      </c>
      <c r="V139" s="22">
        <f t="shared" si="154"/>
        <v>6.4300664451827236</v>
      </c>
      <c r="W139" s="22">
        <f t="shared" si="154"/>
        <v>7.4501661129568104</v>
      </c>
      <c r="X139" s="22">
        <f t="shared" si="154"/>
        <v>8.2868770764119581</v>
      </c>
      <c r="Y139" s="22">
        <f t="shared" ref="Y139:AA141" si="155">Y58</f>
        <v>8.5963455149501655</v>
      </c>
      <c r="Z139" s="22">
        <f t="shared" si="155"/>
        <v>8.5963455149501655</v>
      </c>
      <c r="AA139" s="22">
        <f t="shared" si="155"/>
        <v>8.5963455149501655</v>
      </c>
      <c r="AB139" s="19"/>
      <c r="AC139" s="19"/>
      <c r="AD139" s="19"/>
      <c r="AE139" s="19"/>
    </row>
    <row r="140" spans="1:51">
      <c r="A140" s="13" t="s">
        <v>259</v>
      </c>
      <c r="I140" s="13">
        <f t="shared" ref="I140:X140" si="156">I59</f>
        <v>0</v>
      </c>
      <c r="J140" s="13">
        <f t="shared" si="156"/>
        <v>0</v>
      </c>
      <c r="K140" s="13">
        <f t="shared" si="156"/>
        <v>0</v>
      </c>
      <c r="L140" s="13">
        <f t="shared" si="156"/>
        <v>68</v>
      </c>
      <c r="M140" s="13">
        <f t="shared" si="156"/>
        <v>160</v>
      </c>
      <c r="N140" s="13">
        <f t="shared" si="156"/>
        <v>284</v>
      </c>
      <c r="O140" s="13">
        <f t="shared" si="156"/>
        <v>381</v>
      </c>
      <c r="P140" s="13">
        <f t="shared" si="156"/>
        <v>253</v>
      </c>
      <c r="Q140" s="13">
        <f t="shared" si="156"/>
        <v>258</v>
      </c>
      <c r="R140" s="13">
        <f t="shared" si="156"/>
        <v>246</v>
      </c>
      <c r="S140" s="13">
        <f t="shared" si="156"/>
        <v>247</v>
      </c>
      <c r="T140" s="13">
        <f t="shared" si="156"/>
        <v>235</v>
      </c>
      <c r="U140" s="22">
        <f t="shared" si="156"/>
        <v>205</v>
      </c>
      <c r="V140" s="22">
        <f t="shared" si="156"/>
        <v>251.84426910299004</v>
      </c>
      <c r="W140" s="22">
        <f t="shared" si="156"/>
        <v>291.79817275747507</v>
      </c>
      <c r="X140" s="22">
        <f t="shared" si="156"/>
        <v>324.56935215946839</v>
      </c>
      <c r="Y140" s="22">
        <f t="shared" si="155"/>
        <v>336.69019933554819</v>
      </c>
      <c r="Z140" s="22">
        <f t="shared" si="155"/>
        <v>336.69019933554819</v>
      </c>
      <c r="AA140" s="22">
        <f t="shared" si="155"/>
        <v>336.69019933554819</v>
      </c>
      <c r="AB140" s="19"/>
      <c r="AC140" s="19"/>
      <c r="AD140" s="19"/>
      <c r="AE140" s="19"/>
    </row>
    <row r="141" spans="1:51">
      <c r="A141" s="13" t="s">
        <v>260</v>
      </c>
      <c r="I141" s="13">
        <f t="shared" ref="I141:X141" si="157">I60</f>
        <v>0</v>
      </c>
      <c r="J141" s="13">
        <f t="shared" si="157"/>
        <v>0</v>
      </c>
      <c r="K141" s="13">
        <f t="shared" si="157"/>
        <v>0</v>
      </c>
      <c r="L141" s="13">
        <f t="shared" si="157"/>
        <v>0</v>
      </c>
      <c r="M141" s="13">
        <f t="shared" si="157"/>
        <v>20</v>
      </c>
      <c r="N141" s="13">
        <f t="shared" si="157"/>
        <v>102</v>
      </c>
      <c r="O141" s="13">
        <f t="shared" si="157"/>
        <v>168</v>
      </c>
      <c r="P141" s="13">
        <f t="shared" si="157"/>
        <v>178</v>
      </c>
      <c r="Q141" s="13">
        <f t="shared" si="157"/>
        <v>199</v>
      </c>
      <c r="R141" s="13">
        <f t="shared" si="157"/>
        <v>264</v>
      </c>
      <c r="S141" s="13">
        <f t="shared" si="157"/>
        <v>317</v>
      </c>
      <c r="T141" s="13">
        <f t="shared" si="157"/>
        <v>361</v>
      </c>
      <c r="U141" s="22">
        <f t="shared" si="157"/>
        <v>387</v>
      </c>
      <c r="V141" s="22">
        <f t="shared" si="157"/>
        <v>386.87566445182722</v>
      </c>
      <c r="W141" s="22">
        <f t="shared" si="157"/>
        <v>448.25166112956811</v>
      </c>
      <c r="X141" s="22">
        <f t="shared" si="157"/>
        <v>498.59377076411954</v>
      </c>
      <c r="Y141" s="22">
        <f t="shared" si="155"/>
        <v>517.21345514950167</v>
      </c>
      <c r="Z141" s="22">
        <f t="shared" si="155"/>
        <v>517.21345514950167</v>
      </c>
      <c r="AA141" s="22">
        <f t="shared" si="155"/>
        <v>517.21345514950167</v>
      </c>
      <c r="AB141" s="19"/>
      <c r="AC141" s="19"/>
      <c r="AD141" s="19"/>
      <c r="AE141" s="19"/>
    </row>
    <row r="142" spans="1:51">
      <c r="A142" s="13" t="s">
        <v>255</v>
      </c>
      <c r="H142" s="16"/>
      <c r="I142" s="165">
        <v>8</v>
      </c>
      <c r="J142" s="165">
        <v>8</v>
      </c>
      <c r="K142" s="165">
        <v>8</v>
      </c>
      <c r="L142" s="171">
        <v>8</v>
      </c>
      <c r="M142" s="171">
        <v>11</v>
      </c>
      <c r="N142" s="171">
        <v>11</v>
      </c>
      <c r="O142" s="171">
        <v>11</v>
      </c>
      <c r="P142" s="30">
        <f>P143-1</f>
        <v>10.5</v>
      </c>
      <c r="Q142" s="30">
        <f>Q143-1</f>
        <v>12</v>
      </c>
      <c r="R142" s="30">
        <f t="shared" ref="R142:T142" si="158">R143-1</f>
        <v>12</v>
      </c>
      <c r="S142" s="30">
        <f t="shared" si="158"/>
        <v>13</v>
      </c>
      <c r="T142" s="85">
        <f t="shared" si="158"/>
        <v>13.280000000000001</v>
      </c>
      <c r="U142" s="502">
        <v>14</v>
      </c>
      <c r="V142" s="806">
        <f t="shared" ref="V142:AA142" si="159">V143-1</f>
        <v>14</v>
      </c>
      <c r="W142" s="806">
        <f t="shared" si="159"/>
        <v>14</v>
      </c>
      <c r="X142" s="806">
        <f t="shared" si="159"/>
        <v>14.75</v>
      </c>
      <c r="Y142" s="806">
        <f t="shared" si="159"/>
        <v>15.537500000000001</v>
      </c>
      <c r="Z142" s="806">
        <f t="shared" si="159"/>
        <v>16.364375000000003</v>
      </c>
      <c r="AA142" s="806">
        <f t="shared" si="159"/>
        <v>16.364375000000003</v>
      </c>
      <c r="AB142" s="19"/>
      <c r="AC142" s="19"/>
      <c r="AD142" s="19"/>
      <c r="AE142" s="19"/>
    </row>
    <row r="143" spans="1:51">
      <c r="A143" s="13" t="s">
        <v>257</v>
      </c>
      <c r="H143" s="16"/>
      <c r="I143" s="165">
        <v>9</v>
      </c>
      <c r="J143" s="165">
        <v>9</v>
      </c>
      <c r="K143" s="165">
        <v>9</v>
      </c>
      <c r="L143" s="171">
        <v>9</v>
      </c>
      <c r="M143" s="171">
        <v>12</v>
      </c>
      <c r="N143" s="171">
        <v>12</v>
      </c>
      <c r="O143" s="171">
        <v>12</v>
      </c>
      <c r="P143" s="171">
        <v>11.5</v>
      </c>
      <c r="Q143" s="171">
        <v>13</v>
      </c>
      <c r="R143" s="171">
        <v>13</v>
      </c>
      <c r="S143" s="171">
        <v>14</v>
      </c>
      <c r="T143" s="85">
        <f t="shared" ref="T143" si="160">S143*(1+T99)</f>
        <v>14.280000000000001</v>
      </c>
      <c r="U143" s="502">
        <v>15</v>
      </c>
      <c r="V143" s="806">
        <v>15</v>
      </c>
      <c r="W143" s="806">
        <v>15</v>
      </c>
      <c r="X143" s="806">
        <f>W143*1.05</f>
        <v>15.75</v>
      </c>
      <c r="Y143" s="806">
        <f>X143*1.05</f>
        <v>16.537500000000001</v>
      </c>
      <c r="Z143" s="806">
        <f>Y143*1.05</f>
        <v>17.364375000000003</v>
      </c>
      <c r="AA143" s="806">
        <f>Z143</f>
        <v>17.364375000000003</v>
      </c>
      <c r="AB143" s="19"/>
      <c r="AC143" s="19"/>
      <c r="AD143" s="19"/>
      <c r="AE143" s="19"/>
    </row>
    <row r="144" spans="1:51">
      <c r="A144" s="13" t="s">
        <v>256</v>
      </c>
      <c r="H144" s="16"/>
      <c r="I144" s="165">
        <v>10</v>
      </c>
      <c r="J144" s="165">
        <v>10</v>
      </c>
      <c r="K144" s="165">
        <v>10</v>
      </c>
      <c r="L144" s="171">
        <v>10</v>
      </c>
      <c r="M144" s="171">
        <v>12</v>
      </c>
      <c r="N144" s="171">
        <v>12</v>
      </c>
      <c r="O144" s="171">
        <v>12</v>
      </c>
      <c r="P144" s="30">
        <f t="shared" ref="P144:T144" si="161">P143+1</f>
        <v>12.5</v>
      </c>
      <c r="Q144" s="30">
        <f t="shared" si="161"/>
        <v>14</v>
      </c>
      <c r="R144" s="30">
        <f t="shared" si="161"/>
        <v>14</v>
      </c>
      <c r="S144" s="30">
        <f t="shared" si="161"/>
        <v>15</v>
      </c>
      <c r="T144" s="85">
        <f t="shared" si="161"/>
        <v>15.280000000000001</v>
      </c>
      <c r="U144" s="502">
        <v>16</v>
      </c>
      <c r="V144" s="806">
        <f t="shared" ref="V144:AA144" si="162">V143+1</f>
        <v>16</v>
      </c>
      <c r="W144" s="806">
        <f t="shared" si="162"/>
        <v>16</v>
      </c>
      <c r="X144" s="806">
        <f t="shared" si="162"/>
        <v>16.75</v>
      </c>
      <c r="Y144" s="806">
        <f t="shared" si="162"/>
        <v>17.537500000000001</v>
      </c>
      <c r="Z144" s="806">
        <f t="shared" si="162"/>
        <v>18.364375000000003</v>
      </c>
      <c r="AA144" s="806">
        <f t="shared" si="162"/>
        <v>18.364375000000003</v>
      </c>
      <c r="AB144" s="19"/>
      <c r="AC144" s="19"/>
      <c r="AD144" s="19"/>
      <c r="AE144" s="19"/>
    </row>
    <row r="145" spans="1:36">
      <c r="A145" s="113" t="s">
        <v>524</v>
      </c>
      <c r="H145" s="16"/>
      <c r="I145" s="165"/>
      <c r="J145" s="165"/>
      <c r="K145" s="165"/>
      <c r="L145" s="171"/>
      <c r="M145" s="171"/>
      <c r="N145" s="171"/>
      <c r="O145" s="171"/>
      <c r="P145" s="30"/>
      <c r="Q145" s="30"/>
      <c r="R145" s="30"/>
      <c r="S145" s="30"/>
      <c r="T145" s="882">
        <f t="shared" ref="T145" si="163">SUMPRODUCT(T142:T144,T139:T141)/SUM(T139:T141)</f>
        <v>14.869700996677743</v>
      </c>
      <c r="U145" s="144">
        <v>15.612850082372322</v>
      </c>
      <c r="V145" s="806">
        <f t="shared" ref="V145:X145" si="164">SUMPRODUCT(V142:V144,V139:V141)/SUM(V139:V141)</f>
        <v>15.589700996677742</v>
      </c>
      <c r="W145" s="806">
        <f t="shared" si="164"/>
        <v>15.58970099667774</v>
      </c>
      <c r="X145" s="806">
        <f t="shared" si="164"/>
        <v>16.339700996677745</v>
      </c>
      <c r="Y145" s="806">
        <f>SUMPRODUCT(Y142:Y144,Y139:Y141)/SUM(Y139:Y141)</f>
        <v>17.127200996677743</v>
      </c>
      <c r="Z145" s="806">
        <f>SUMPRODUCT(Z142:Z144,Z139:Z141)/SUM(Z139:Z141)</f>
        <v>17.954075996677744</v>
      </c>
      <c r="AA145" s="806">
        <f>SUMPRODUCT(AA142:AA144,AA139:AA141)/SUM(AA139:AA141)</f>
        <v>17.954075996677744</v>
      </c>
      <c r="AB145" s="19"/>
      <c r="AC145" s="19"/>
      <c r="AD145" s="19"/>
      <c r="AE145" s="19"/>
    </row>
    <row r="146" spans="1:36">
      <c r="A146" s="113" t="s">
        <v>665</v>
      </c>
      <c r="H146" s="16"/>
      <c r="I146" s="165">
        <v>15</v>
      </c>
      <c r="J146" s="165">
        <v>15</v>
      </c>
      <c r="K146" s="165">
        <v>15</v>
      </c>
      <c r="L146" s="171">
        <v>15</v>
      </c>
      <c r="M146" s="171">
        <v>15</v>
      </c>
      <c r="N146" s="171">
        <v>15</v>
      </c>
      <c r="O146" s="171">
        <v>15</v>
      </c>
      <c r="P146" s="171">
        <v>15</v>
      </c>
      <c r="Q146" s="171">
        <v>15</v>
      </c>
      <c r="R146" s="137">
        <f>Q146</f>
        <v>15</v>
      </c>
      <c r="S146" s="137">
        <f t="shared" ref="S146:U146" si="165">R146</f>
        <v>15</v>
      </c>
      <c r="T146" s="137">
        <f t="shared" si="165"/>
        <v>15</v>
      </c>
      <c r="U146" s="137">
        <f t="shared" si="165"/>
        <v>15</v>
      </c>
      <c r="V146" s="806">
        <v>15</v>
      </c>
      <c r="W146" s="806">
        <f t="shared" ref="W146" si="166">V146*(1+W99)</f>
        <v>15.3</v>
      </c>
      <c r="X146" s="806">
        <f t="shared" ref="X146" si="167">W146*(1+X99)</f>
        <v>15.606000000000002</v>
      </c>
      <c r="Y146" s="806">
        <f t="shared" ref="Y146" si="168">X146*(1+Y99)</f>
        <v>15.918120000000002</v>
      </c>
      <c r="Z146" s="806">
        <v>17</v>
      </c>
      <c r="AA146" s="806">
        <f t="shared" ref="AA146" si="169">Z146*(1+AA99)</f>
        <v>17.34</v>
      </c>
      <c r="AB146" s="19"/>
      <c r="AC146" s="19"/>
      <c r="AD146" s="19"/>
      <c r="AE146" s="19"/>
    </row>
    <row r="147" spans="1:36">
      <c r="A147" s="113" t="s">
        <v>664</v>
      </c>
      <c r="H147" s="16"/>
      <c r="I147" s="165"/>
      <c r="J147" s="165"/>
      <c r="K147" s="165"/>
      <c r="L147" s="171"/>
      <c r="M147" s="171"/>
      <c r="N147" s="171"/>
      <c r="O147" s="171"/>
      <c r="P147" s="171"/>
      <c r="Q147" s="171"/>
      <c r="R147" s="137"/>
      <c r="S147" s="137"/>
      <c r="T147" s="861"/>
      <c r="U147" s="144">
        <v>13</v>
      </c>
      <c r="V147" s="806">
        <f>U147*(1+V99)</f>
        <v>13.26</v>
      </c>
      <c r="W147" s="806">
        <f t="shared" ref="W147:AA147" si="170">V147*(1+W99)</f>
        <v>13.5252</v>
      </c>
      <c r="X147" s="806">
        <f t="shared" si="170"/>
        <v>13.795704000000001</v>
      </c>
      <c r="Y147" s="806">
        <f t="shared" si="170"/>
        <v>14.07161808</v>
      </c>
      <c r="Z147" s="806">
        <f t="shared" si="170"/>
        <v>14.353050441600001</v>
      </c>
      <c r="AA147" s="806">
        <f t="shared" si="170"/>
        <v>14.640111450432</v>
      </c>
      <c r="AB147" s="19"/>
      <c r="AC147" s="19"/>
      <c r="AD147" s="19"/>
      <c r="AE147" s="19"/>
    </row>
    <row r="148" spans="1:36">
      <c r="H148" s="16"/>
      <c r="I148" s="19"/>
      <c r="J148" s="19"/>
      <c r="K148" s="19"/>
      <c r="L148" s="30"/>
      <c r="M148" s="30"/>
      <c r="N148" s="30"/>
      <c r="O148" s="30"/>
      <c r="P148" s="30"/>
      <c r="Q148" s="30"/>
      <c r="R148" s="30"/>
      <c r="S148" s="30"/>
      <c r="T148" s="79"/>
      <c r="U148" s="79"/>
      <c r="V148" s="79"/>
      <c r="W148" s="79"/>
      <c r="X148" s="79"/>
      <c r="Y148" s="79"/>
      <c r="Z148" s="79"/>
      <c r="AA148" s="79"/>
      <c r="AB148" s="19"/>
      <c r="AC148" s="19"/>
      <c r="AD148" s="19"/>
      <c r="AE148" s="19"/>
    </row>
    <row r="149" spans="1:36">
      <c r="A149" s="188" t="s">
        <v>681</v>
      </c>
      <c r="B149" s="187"/>
      <c r="C149" s="187"/>
      <c r="D149" s="187"/>
      <c r="E149" s="187"/>
      <c r="F149" s="187"/>
      <c r="G149" s="187"/>
      <c r="H149" s="187"/>
      <c r="I149" s="190">
        <f>I$1</f>
        <v>2013</v>
      </c>
      <c r="J149" s="190">
        <f t="shared" ref="J149:AA149" si="171">J$1</f>
        <v>2014</v>
      </c>
      <c r="K149" s="190">
        <f t="shared" si="171"/>
        <v>2015</v>
      </c>
      <c r="L149" s="189">
        <f t="shared" si="171"/>
        <v>2016</v>
      </c>
      <c r="M149" s="189">
        <f t="shared" si="171"/>
        <v>2017</v>
      </c>
      <c r="N149" s="189">
        <f t="shared" si="171"/>
        <v>2018</v>
      </c>
      <c r="O149" s="189">
        <f t="shared" si="171"/>
        <v>2019</v>
      </c>
      <c r="P149" s="189">
        <f t="shared" si="171"/>
        <v>2020</v>
      </c>
      <c r="Q149" s="189">
        <f t="shared" si="171"/>
        <v>2021</v>
      </c>
      <c r="R149" s="189">
        <f t="shared" si="171"/>
        <v>2022</v>
      </c>
      <c r="S149" s="189">
        <f t="shared" si="171"/>
        <v>2023</v>
      </c>
      <c r="T149" s="189">
        <f t="shared" si="171"/>
        <v>2024</v>
      </c>
      <c r="U149" s="189">
        <f t="shared" si="171"/>
        <v>2025</v>
      </c>
      <c r="V149" s="532">
        <f t="shared" si="171"/>
        <v>2026</v>
      </c>
      <c r="W149" s="532">
        <f t="shared" si="171"/>
        <v>2027</v>
      </c>
      <c r="X149" s="532">
        <f t="shared" si="171"/>
        <v>2028</v>
      </c>
      <c r="Y149" s="532">
        <f t="shared" si="171"/>
        <v>2029</v>
      </c>
      <c r="Z149" s="532">
        <f t="shared" si="171"/>
        <v>2030</v>
      </c>
      <c r="AA149" s="532">
        <f t="shared" si="171"/>
        <v>2031</v>
      </c>
      <c r="AB149" s="19"/>
      <c r="AC149" s="19"/>
      <c r="AD149" s="19"/>
      <c r="AE149" s="19"/>
    </row>
    <row r="150" spans="1:36">
      <c r="A150" s="227" t="s">
        <v>479</v>
      </c>
      <c r="B150" s="227"/>
      <c r="C150" s="227"/>
      <c r="D150" s="227"/>
      <c r="E150" s="227"/>
      <c r="F150" s="227"/>
      <c r="G150" s="227"/>
      <c r="H150" s="227"/>
      <c r="I150" s="227"/>
      <c r="J150" s="227"/>
      <c r="K150" s="227"/>
      <c r="L150" s="525"/>
      <c r="M150" s="525"/>
      <c r="N150" s="525"/>
      <c r="O150" s="525"/>
      <c r="P150" s="525"/>
      <c r="Q150" s="525"/>
      <c r="R150" s="525"/>
      <c r="S150" s="525"/>
      <c r="T150" s="525"/>
      <c r="U150" s="525"/>
      <c r="V150" s="525"/>
      <c r="W150" s="525"/>
      <c r="X150" s="525"/>
      <c r="Y150" s="525"/>
      <c r="Z150" s="525"/>
      <c r="AA150" s="525"/>
      <c r="AB150" s="19"/>
      <c r="AC150" s="19"/>
      <c r="AD150" s="19"/>
      <c r="AE150" s="19"/>
    </row>
    <row r="151" spans="1:36">
      <c r="A151" s="113" t="s">
        <v>487</v>
      </c>
      <c r="H151" s="16"/>
      <c r="I151" s="19"/>
      <c r="J151" s="19"/>
      <c r="K151" s="19"/>
      <c r="L151" s="30"/>
      <c r="M151" s="30"/>
      <c r="N151" s="30"/>
      <c r="O151" s="30">
        <f t="shared" ref="O151:Z151" si="172">SUMPRODUCT(O90:O91,O56:O57)</f>
        <v>1699</v>
      </c>
      <c r="P151" s="30">
        <f t="shared" si="172"/>
        <v>1394</v>
      </c>
      <c r="Q151" s="30">
        <f t="shared" si="172"/>
        <v>1922.6999999999998</v>
      </c>
      <c r="R151" s="30">
        <f t="shared" si="172"/>
        <v>2053.7496000000001</v>
      </c>
      <c r="S151" s="30">
        <f t="shared" si="172"/>
        <v>2726.2433519999995</v>
      </c>
      <c r="T151" s="30">
        <f t="shared" si="172"/>
        <v>3030.8100480000003</v>
      </c>
      <c r="U151" s="30">
        <f t="shared" si="172"/>
        <v>3927.5</v>
      </c>
      <c r="V151" s="30">
        <f t="shared" si="172"/>
        <v>4944.1949999999997</v>
      </c>
      <c r="W151" s="30">
        <f t="shared" si="172"/>
        <v>5540.8062600000003</v>
      </c>
      <c r="X151" s="30">
        <f t="shared" si="172"/>
        <v>6165.4062383999999</v>
      </c>
      <c r="Y151" s="30">
        <f t="shared" si="172"/>
        <v>6812.7738934319996</v>
      </c>
      <c r="Z151" s="30">
        <f t="shared" si="172"/>
        <v>7483.5700921699217</v>
      </c>
      <c r="AA151" s="30">
        <f t="shared" ref="AA151" si="173">SUMPRODUCT(AA90:AA91,AA56:AA57)</f>
        <v>7633.2414940133194</v>
      </c>
      <c r="AJ151" s="22"/>
    </row>
    <row r="152" spans="1:36">
      <c r="A152" s="113" t="s">
        <v>488</v>
      </c>
      <c r="H152" s="16"/>
      <c r="I152" s="19"/>
      <c r="J152" s="19"/>
      <c r="K152" s="19"/>
      <c r="L152" s="30"/>
      <c r="M152" s="30"/>
      <c r="N152" s="30"/>
      <c r="O152" s="30">
        <f t="shared" ref="O152:Z152" si="174">O151/O111</f>
        <v>1439.6951273278239</v>
      </c>
      <c r="P152" s="30">
        <f t="shared" si="174"/>
        <v>1195.6566745238663</v>
      </c>
      <c r="Q152" s="30">
        <f t="shared" si="174"/>
        <v>1613.9182539469541</v>
      </c>
      <c r="R152" s="30">
        <f t="shared" si="174"/>
        <v>1810.6594100662187</v>
      </c>
      <c r="S152" s="30">
        <f t="shared" si="174"/>
        <v>2390.0344295157756</v>
      </c>
      <c r="T152" s="30">
        <f t="shared" si="174"/>
        <v>2644.7725603172248</v>
      </c>
      <c r="U152" s="30">
        <f t="shared" si="174"/>
        <v>3388.4957809336056</v>
      </c>
      <c r="V152" s="30">
        <f t="shared" si="174"/>
        <v>4145.1084380007087</v>
      </c>
      <c r="W152" s="30">
        <f t="shared" si="174"/>
        <v>4589.5263267248592</v>
      </c>
      <c r="X152" s="30">
        <f t="shared" si="174"/>
        <v>5079.7853695961594</v>
      </c>
      <c r="Y152" s="30">
        <f t="shared" si="174"/>
        <v>5621.5422787372954</v>
      </c>
      <c r="Z152" s="30">
        <f t="shared" si="174"/>
        <v>6168.6389811275831</v>
      </c>
      <c r="AA152" s="30">
        <f t="shared" ref="AA152" si="175">AA151/AA111</f>
        <v>6297.9732035597108</v>
      </c>
      <c r="AJ152" s="22"/>
    </row>
    <row r="153" spans="1:36">
      <c r="A153" s="113" t="s">
        <v>482</v>
      </c>
      <c r="H153" s="16"/>
      <c r="I153" s="19"/>
      <c r="J153" s="19"/>
      <c r="K153" s="19"/>
      <c r="L153" s="30"/>
      <c r="M153" s="30"/>
      <c r="N153" s="30"/>
      <c r="O153" s="30">
        <f>O152-O157</f>
        <v>1639.6951273278239</v>
      </c>
      <c r="P153" s="30">
        <f t="shared" ref="P153:Z153" si="176">P154+P155</f>
        <v>1512</v>
      </c>
      <c r="Q153" s="30">
        <f t="shared" si="176"/>
        <v>2100</v>
      </c>
      <c r="R153" s="30">
        <f t="shared" si="176"/>
        <v>2215.44</v>
      </c>
      <c r="S153" s="30">
        <f t="shared" si="176"/>
        <v>2684.2928000000002</v>
      </c>
      <c r="T153" s="30">
        <f t="shared" si="176"/>
        <v>2916.2616000000003</v>
      </c>
      <c r="U153" s="30">
        <f t="shared" si="176"/>
        <v>3620.3611862400003</v>
      </c>
      <c r="V153" s="30">
        <f t="shared" si="176"/>
        <v>4306.044469296</v>
      </c>
      <c r="W153" s="30">
        <f t="shared" si="176"/>
        <v>4643.1632936016013</v>
      </c>
      <c r="X153" s="30">
        <f t="shared" si="176"/>
        <v>4980.7495460203208</v>
      </c>
      <c r="Y153" s="30">
        <f t="shared" si="176"/>
        <v>5318.8125751144225</v>
      </c>
      <c r="Z153" s="30">
        <f t="shared" si="176"/>
        <v>5657.3619164174152</v>
      </c>
      <c r="AA153" s="30">
        <f t="shared" ref="AA153" si="177">AA154+AA155</f>
        <v>5682.6598775238763</v>
      </c>
      <c r="AJ153" s="22"/>
    </row>
    <row r="154" spans="1:36">
      <c r="A154" s="113" t="s">
        <v>483</v>
      </c>
      <c r="H154" s="16"/>
      <c r="I154" s="19"/>
      <c r="J154" s="19"/>
      <c r="K154" s="19"/>
      <c r="L154" s="30"/>
      <c r="M154" s="30"/>
      <c r="N154" s="30"/>
      <c r="O154" s="30">
        <f>O153-O155</f>
        <v>487.69512732782391</v>
      </c>
      <c r="P154" s="171">
        <v>600</v>
      </c>
      <c r="Q154" s="171">
        <v>900</v>
      </c>
      <c r="R154" s="502">
        <f>Q154*(1+R99)</f>
        <v>918</v>
      </c>
      <c r="S154" s="502">
        <f>R154*(1+S99)+50</f>
        <v>986.36</v>
      </c>
      <c r="T154" s="502">
        <f t="shared" ref="T154" si="178">S154*(1+T99)</f>
        <v>1006.0872000000001</v>
      </c>
      <c r="U154" s="502">
        <f>T154*(1+15%)</f>
        <v>1157.00028</v>
      </c>
      <c r="V154" s="502">
        <f>U154*(1+1%)</f>
        <v>1168.5702828000001</v>
      </c>
      <c r="W154" s="502">
        <f>V154*(1+W99)</f>
        <v>1191.9416884560001</v>
      </c>
      <c r="X154" s="502">
        <f>W154*(1+X99)</f>
        <v>1215.7805222251202</v>
      </c>
      <c r="Y154" s="502">
        <f>X154*(1+Y99)</f>
        <v>1240.0961326696226</v>
      </c>
      <c r="Z154" s="502">
        <f t="shared" ref="Z154:AA154" si="179">Y154*(1+Z99)</f>
        <v>1264.8980553230151</v>
      </c>
      <c r="AA154" s="502">
        <f t="shared" si="179"/>
        <v>1290.1960164294755</v>
      </c>
      <c r="AJ154" s="22"/>
    </row>
    <row r="155" spans="1:36">
      <c r="A155" s="113" t="s">
        <v>484</v>
      </c>
      <c r="H155" s="16"/>
      <c r="I155" s="19"/>
      <c r="J155" s="19"/>
      <c r="K155" s="19"/>
      <c r="L155" s="30"/>
      <c r="M155" s="30"/>
      <c r="N155" s="30"/>
      <c r="O155" s="30">
        <f t="shared" ref="O155:Z155" si="180">O156*SUM(O56:O57)</f>
        <v>1152</v>
      </c>
      <c r="P155" s="30">
        <f t="shared" si="180"/>
        <v>912</v>
      </c>
      <c r="Q155" s="30">
        <f t="shared" si="180"/>
        <v>1200</v>
      </c>
      <c r="R155" s="30">
        <f t="shared" si="180"/>
        <v>1297.44</v>
      </c>
      <c r="S155" s="30">
        <f t="shared" si="180"/>
        <v>1697.9328</v>
      </c>
      <c r="T155" s="30">
        <f t="shared" si="180"/>
        <v>1910.1744000000001</v>
      </c>
      <c r="U155" s="30">
        <f t="shared" si="180"/>
        <v>2463.3609062400001</v>
      </c>
      <c r="V155" s="30">
        <f t="shared" si="180"/>
        <v>3137.4741864959997</v>
      </c>
      <c r="W155" s="30">
        <f t="shared" si="180"/>
        <v>3451.2216051456007</v>
      </c>
      <c r="X155" s="30">
        <f t="shared" si="180"/>
        <v>3764.9690237952004</v>
      </c>
      <c r="Y155" s="30">
        <f t="shared" si="180"/>
        <v>4078.7164424448001</v>
      </c>
      <c r="Z155" s="30">
        <f t="shared" si="180"/>
        <v>4392.4638610944003</v>
      </c>
      <c r="AA155" s="30">
        <f t="shared" ref="AA155" si="181">AA156*SUM(AA56:AA57)</f>
        <v>4392.4638610944003</v>
      </c>
      <c r="AJ155" s="22"/>
    </row>
    <row r="156" spans="1:36">
      <c r="A156" s="113" t="s">
        <v>485</v>
      </c>
      <c r="H156" s="16"/>
      <c r="I156" s="19"/>
      <c r="J156" s="19"/>
      <c r="K156" s="19"/>
      <c r="L156" s="30"/>
      <c r="M156" s="30"/>
      <c r="N156" s="30"/>
      <c r="O156" s="30">
        <f>40*0.9*0.8/1.2</f>
        <v>24</v>
      </c>
      <c r="P156" s="30">
        <f>O156</f>
        <v>24</v>
      </c>
      <c r="Q156" s="30">
        <f>P156</f>
        <v>24</v>
      </c>
      <c r="R156" s="502">
        <f t="shared" ref="R156:T156" si="182">Q156*(1+R99)</f>
        <v>24.48</v>
      </c>
      <c r="S156" s="502">
        <f t="shared" si="182"/>
        <v>24.9696</v>
      </c>
      <c r="T156" s="502">
        <f t="shared" si="182"/>
        <v>25.468992</v>
      </c>
      <c r="U156" s="502">
        <f>T156*(1+4%)</f>
        <v>26.487751680000002</v>
      </c>
      <c r="V156" s="502">
        <f>U156*(1+3%)</f>
        <v>27.282384230400002</v>
      </c>
      <c r="W156" s="502">
        <f>V156</f>
        <v>27.282384230400002</v>
      </c>
      <c r="X156" s="502">
        <f t="shared" ref="X156:AA156" si="183">W156</f>
        <v>27.282384230400002</v>
      </c>
      <c r="Y156" s="502">
        <f t="shared" si="183"/>
        <v>27.282384230400002</v>
      </c>
      <c r="Z156" s="502">
        <f t="shared" si="183"/>
        <v>27.282384230400002</v>
      </c>
      <c r="AA156" s="502">
        <f t="shared" si="183"/>
        <v>27.282384230400002</v>
      </c>
      <c r="AJ156" s="22"/>
    </row>
    <row r="157" spans="1:36">
      <c r="A157" s="113" t="s">
        <v>1</v>
      </c>
      <c r="H157" s="16"/>
      <c r="I157" s="19"/>
      <c r="J157" s="19"/>
      <c r="K157" s="19"/>
      <c r="L157" s="30"/>
      <c r="M157" s="30"/>
      <c r="N157" s="30"/>
      <c r="O157" s="171">
        <v>-200</v>
      </c>
      <c r="P157" s="30">
        <f t="shared" ref="P157:Z157" si="184">P152-P153</f>
        <v>-316.34332547613371</v>
      </c>
      <c r="Q157" s="30">
        <f t="shared" si="184"/>
        <v>-486.08174605304589</v>
      </c>
      <c r="R157" s="30">
        <f t="shared" si="184"/>
        <v>-404.78058993378136</v>
      </c>
      <c r="S157" s="30">
        <f t="shared" si="184"/>
        <v>-294.25837048422454</v>
      </c>
      <c r="T157" s="30">
        <f t="shared" si="184"/>
        <v>-271.48903968277546</v>
      </c>
      <c r="U157" s="30">
        <f t="shared" si="184"/>
        <v>-231.86540530639468</v>
      </c>
      <c r="V157" s="30">
        <f t="shared" si="184"/>
        <v>-160.93603129529129</v>
      </c>
      <c r="W157" s="30">
        <f t="shared" si="184"/>
        <v>-53.636966876742008</v>
      </c>
      <c r="X157" s="30">
        <f t="shared" si="184"/>
        <v>99.035823575838549</v>
      </c>
      <c r="Y157" s="30">
        <f t="shared" si="184"/>
        <v>302.72970362287288</v>
      </c>
      <c r="Z157" s="30">
        <f t="shared" si="184"/>
        <v>511.27706471016791</v>
      </c>
      <c r="AA157" s="30">
        <f t="shared" ref="AA157" si="185">AA152-AA153</f>
        <v>615.31332603583451</v>
      </c>
      <c r="AJ157" s="22"/>
    </row>
    <row r="158" spans="1:36">
      <c r="A158" s="113" t="s">
        <v>231</v>
      </c>
      <c r="H158" s="19"/>
      <c r="I158" s="19"/>
      <c r="J158" s="19"/>
      <c r="K158" s="19"/>
      <c r="L158" s="30"/>
      <c r="M158" s="30"/>
      <c r="N158" s="30"/>
      <c r="O158" s="79">
        <f>O157/O151</f>
        <v>-0.11771630370806356</v>
      </c>
      <c r="P158" s="79">
        <f t="shared" ref="P158:U158" si="186">P157/P151</f>
        <v>-0.22693208427269276</v>
      </c>
      <c r="Q158" s="79">
        <f t="shared" si="186"/>
        <v>-0.25281205911116966</v>
      </c>
      <c r="R158" s="79">
        <f t="shared" si="186"/>
        <v>-0.19709344797135023</v>
      </c>
      <c r="S158" s="79">
        <f t="shared" si="186"/>
        <v>-0.10793547475076047</v>
      </c>
      <c r="T158" s="79">
        <f t="shared" si="186"/>
        <v>-8.9576395545451035E-2</v>
      </c>
      <c r="U158" s="79">
        <f t="shared" si="186"/>
        <v>-5.9036385819578527E-2</v>
      </c>
      <c r="V158" s="79">
        <f t="shared" ref="V158:AA158" si="187">V157/V151</f>
        <v>-3.255050241652914E-2</v>
      </c>
      <c r="W158" s="79">
        <f t="shared" si="187"/>
        <v>-9.6803541506145369E-3</v>
      </c>
      <c r="X158" s="79">
        <f t="shared" si="187"/>
        <v>1.6063146489685258E-2</v>
      </c>
      <c r="Y158" s="79">
        <f t="shared" si="187"/>
        <v>4.4435601174835103E-2</v>
      </c>
      <c r="Z158" s="79">
        <f t="shared" si="187"/>
        <v>6.8319940671781557E-2</v>
      </c>
      <c r="AA158" s="79">
        <f t="shared" si="187"/>
        <v>8.0609702512152812E-2</v>
      </c>
      <c r="AG158" s="19"/>
      <c r="AJ158" s="18"/>
    </row>
    <row r="159" spans="1:36">
      <c r="A159" s="113"/>
      <c r="H159" s="19"/>
      <c r="I159" s="19"/>
      <c r="J159" s="19"/>
      <c r="K159" s="19"/>
      <c r="L159" s="30"/>
      <c r="M159" s="30"/>
      <c r="N159" s="30"/>
      <c r="O159" s="79"/>
      <c r="P159" s="79"/>
      <c r="Q159" s="79"/>
      <c r="R159" s="79"/>
      <c r="S159" s="79"/>
      <c r="T159" s="84">
        <f>T157/SUM(T56:T57)</f>
        <v>-3.6198538624370062</v>
      </c>
      <c r="U159" s="84">
        <f>U157/SUM(U56:U57)</f>
        <v>-2.4931764011440287</v>
      </c>
      <c r="V159" s="84">
        <f t="shared" ref="V159:Z159" si="188">V157/SUM(V56:V57)</f>
        <v>-1.3994437503938375</v>
      </c>
      <c r="W159" s="84">
        <f t="shared" si="188"/>
        <v>-0.42400764329440316</v>
      </c>
      <c r="X159" s="84">
        <f t="shared" si="188"/>
        <v>0.71765089547709093</v>
      </c>
      <c r="Y159" s="84">
        <f t="shared" si="188"/>
        <v>2.0249478503202201</v>
      </c>
      <c r="Z159" s="84">
        <f t="shared" si="188"/>
        <v>3.1756339422991795</v>
      </c>
      <c r="AA159" s="84">
        <f t="shared" ref="AA159" si="189">AA157/SUM(AA56:AA57)</f>
        <v>3.8218219008436924</v>
      </c>
      <c r="AG159" s="19"/>
      <c r="AJ159" s="18"/>
    </row>
    <row r="160" spans="1:36"/>
    <row r="161" spans="1:39">
      <c r="A161" s="187" t="s">
        <v>277</v>
      </c>
      <c r="B161" s="187"/>
      <c r="C161" s="187"/>
      <c r="D161" s="187"/>
      <c r="E161" s="187"/>
      <c r="F161" s="187"/>
      <c r="G161" s="187"/>
      <c r="H161" s="187"/>
      <c r="I161" s="187"/>
      <c r="J161" s="187"/>
      <c r="K161" s="187"/>
      <c r="L161" s="501"/>
      <c r="M161" s="501"/>
      <c r="N161" s="501"/>
      <c r="O161" s="501"/>
      <c r="P161" s="501"/>
      <c r="Q161" s="501"/>
      <c r="R161" s="501"/>
      <c r="S161" s="501"/>
      <c r="T161" s="501"/>
      <c r="U161" s="501"/>
      <c r="V161" s="536"/>
      <c r="W161" s="536"/>
      <c r="X161" s="536"/>
      <c r="Y161" s="536"/>
      <c r="Z161" s="536"/>
      <c r="AA161" s="536"/>
    </row>
    <row r="162" spans="1:39">
      <c r="A162" s="147" t="s">
        <v>476</v>
      </c>
      <c r="B162" s="18"/>
      <c r="C162" s="18"/>
      <c r="D162" s="18"/>
      <c r="E162" s="18"/>
      <c r="F162" s="18"/>
      <c r="G162" s="18"/>
      <c r="H162" s="165">
        <v>1600</v>
      </c>
      <c r="I162" s="19">
        <v>1680</v>
      </c>
      <c r="J162" s="19">
        <v>1764</v>
      </c>
      <c r="K162" s="19">
        <v>2292</v>
      </c>
      <c r="L162" s="171">
        <v>2750.4</v>
      </c>
      <c r="M162" s="171">
        <v>3000</v>
      </c>
      <c r="N162" s="171">
        <v>3001</v>
      </c>
      <c r="O162" s="30">
        <v>3286.5</v>
      </c>
      <c r="P162" s="30">
        <v>2397.5000000000005</v>
      </c>
      <c r="Q162" s="30">
        <v>2877.0000000000005</v>
      </c>
      <c r="R162" s="30">
        <f>R2*R163</f>
        <v>3314.2400000000002</v>
      </c>
      <c r="S162" s="30">
        <f>S2*S163</f>
        <v>4298.67</v>
      </c>
      <c r="T162" s="30">
        <f>T2*T163</f>
        <v>5571.06</v>
      </c>
      <c r="U162" s="30">
        <f t="shared" ref="U162:AA162" si="190">T162*(1+U164)</f>
        <v>6128.1660000000011</v>
      </c>
      <c r="V162" s="30">
        <f t="shared" si="190"/>
        <v>7047.3909000000003</v>
      </c>
      <c r="W162" s="30">
        <f t="shared" si="190"/>
        <v>7752.1299900000013</v>
      </c>
      <c r="X162" s="30">
        <f t="shared" si="190"/>
        <v>8372.3003892000015</v>
      </c>
      <c r="Y162" s="30">
        <f t="shared" si="190"/>
        <v>8958.3614164440023</v>
      </c>
      <c r="Z162" s="30">
        <f t="shared" si="190"/>
        <v>9585.4467155950824</v>
      </c>
      <c r="AA162" s="30">
        <f t="shared" si="190"/>
        <v>10256.427985686738</v>
      </c>
    </row>
    <row r="163" spans="1:39">
      <c r="A163" s="147" t="s">
        <v>579</v>
      </c>
      <c r="B163" s="18"/>
      <c r="C163" s="18"/>
      <c r="D163" s="18"/>
      <c r="E163" s="18"/>
      <c r="F163" s="18"/>
      <c r="G163" s="18"/>
      <c r="H163" s="165"/>
      <c r="I163" s="19"/>
      <c r="J163" s="19"/>
      <c r="K163" s="19"/>
      <c r="L163" s="171"/>
      <c r="M163" s="171"/>
      <c r="N163" s="171"/>
      <c r="O163" s="30"/>
      <c r="P163" s="30"/>
      <c r="Q163" s="30"/>
      <c r="R163" s="79">
        <v>0.08</v>
      </c>
      <c r="S163" s="79">
        <v>0.09</v>
      </c>
      <c r="T163" s="79">
        <v>0.11</v>
      </c>
      <c r="U163" s="79">
        <f t="shared" ref="U163:AA163" si="191">U162/U2</f>
        <v>0.11655602259543148</v>
      </c>
      <c r="V163" s="79">
        <f t="shared" si="191"/>
        <v>0.12162076551130101</v>
      </c>
      <c r="W163" s="79">
        <f t="shared" si="191"/>
        <v>0.11436406636456987</v>
      </c>
      <c r="X163" s="79">
        <f t="shared" si="191"/>
        <v>0.10756402317841576</v>
      </c>
      <c r="Y163" s="79">
        <f t="shared" si="191"/>
        <v>0.1055782996779273</v>
      </c>
      <c r="Z163" s="79">
        <f t="shared" si="191"/>
        <v>0.10805202754395356</v>
      </c>
      <c r="AA163" s="79">
        <f t="shared" si="191"/>
        <v>0.11229428660860122</v>
      </c>
    </row>
    <row r="164" spans="1:39">
      <c r="A164" s="113" t="s">
        <v>474</v>
      </c>
      <c r="B164" s="16"/>
      <c r="C164" s="16"/>
      <c r="D164" s="16"/>
      <c r="E164" s="16"/>
      <c r="F164" s="16"/>
      <c r="G164" s="16"/>
      <c r="H164" s="16"/>
      <c r="I164" s="20"/>
      <c r="J164" s="20"/>
      <c r="K164" s="20"/>
      <c r="L164" s="80"/>
      <c r="M164" s="80"/>
      <c r="N164" s="80"/>
      <c r="O164" s="80"/>
      <c r="P164" s="80">
        <f>P162/O162-1</f>
        <v>-0.27050053248136297</v>
      </c>
      <c r="Q164" s="175">
        <f>Q162/P162-1</f>
        <v>0.19999999999999996</v>
      </c>
      <c r="R164" s="175">
        <f>R162/Q162-1</f>
        <v>0.15197775460549168</v>
      </c>
      <c r="S164" s="175">
        <f>S162/R162-1</f>
        <v>0.29703039007434584</v>
      </c>
      <c r="T164" s="175">
        <f>T162/S162-1</f>
        <v>0.29599620347688949</v>
      </c>
      <c r="U164" s="175">
        <v>0.1</v>
      </c>
      <c r="V164" s="621">
        <v>0.15</v>
      </c>
      <c r="W164" s="621">
        <v>0.1</v>
      </c>
      <c r="X164" s="621">
        <v>0.08</v>
      </c>
      <c r="Y164" s="621">
        <v>7.0000000000000007E-2</v>
      </c>
      <c r="Z164" s="621">
        <v>7.0000000000000007E-2</v>
      </c>
      <c r="AA164" s="621">
        <v>7.0000000000000007E-2</v>
      </c>
    </row>
    <row r="165" spans="1:39">
      <c r="A165" s="13" t="s">
        <v>375</v>
      </c>
      <c r="H165" s="259">
        <v>0.15</v>
      </c>
      <c r="I165" s="259">
        <v>0.15</v>
      </c>
      <c r="J165" s="259">
        <v>0.15</v>
      </c>
      <c r="K165" s="259">
        <v>0.15</v>
      </c>
      <c r="L165" s="529">
        <v>0.15</v>
      </c>
      <c r="M165" s="529">
        <v>0.15</v>
      </c>
      <c r="N165" s="529">
        <v>0.15</v>
      </c>
      <c r="O165" s="529">
        <v>0.15</v>
      </c>
      <c r="P165" s="529">
        <v>0.15</v>
      </c>
      <c r="Q165" s="685">
        <v>0.15</v>
      </c>
      <c r="R165" s="685">
        <v>0.15</v>
      </c>
      <c r="S165" s="685">
        <v>0.15</v>
      </c>
      <c r="T165" s="685">
        <v>0.15</v>
      </c>
      <c r="U165" s="685">
        <f>T165</f>
        <v>0.15</v>
      </c>
      <c r="V165" s="621">
        <f t="shared" ref="V165:W165" si="192">U165+0.3%</f>
        <v>0.153</v>
      </c>
      <c r="W165" s="621">
        <f t="shared" si="192"/>
        <v>0.156</v>
      </c>
      <c r="X165" s="621">
        <v>0.17</v>
      </c>
      <c r="Y165" s="621">
        <v>0.185</v>
      </c>
      <c r="Z165" s="621">
        <v>0.19500000000000001</v>
      </c>
      <c r="AA165" s="621">
        <f>Z165</f>
        <v>0.19500000000000001</v>
      </c>
    </row>
    <row r="166" spans="1:39">
      <c r="A166" s="13" t="s">
        <v>278</v>
      </c>
      <c r="H166" s="18">
        <f t="shared" ref="H166:AA166" si="193">H162*H165</f>
        <v>240</v>
      </c>
      <c r="I166" s="18">
        <f t="shared" si="193"/>
        <v>252</v>
      </c>
      <c r="J166" s="18">
        <f t="shared" si="193"/>
        <v>264.59999999999997</v>
      </c>
      <c r="K166" s="18">
        <f t="shared" si="193"/>
        <v>343.8</v>
      </c>
      <c r="L166" s="18">
        <f t="shared" si="193"/>
        <v>412.56</v>
      </c>
      <c r="M166" s="18">
        <f t="shared" si="193"/>
        <v>450</v>
      </c>
      <c r="N166" s="18">
        <f t="shared" si="193"/>
        <v>450.15</v>
      </c>
      <c r="O166" s="18">
        <f t="shared" si="193"/>
        <v>492.97499999999997</v>
      </c>
      <c r="P166" s="18">
        <f t="shared" si="193"/>
        <v>359.62500000000006</v>
      </c>
      <c r="Q166" s="19">
        <f t="shared" si="193"/>
        <v>431.55000000000007</v>
      </c>
      <c r="R166" s="19">
        <f t="shared" si="193"/>
        <v>497.13600000000002</v>
      </c>
      <c r="S166" s="19">
        <f t="shared" si="193"/>
        <v>644.80049999999994</v>
      </c>
      <c r="T166" s="19">
        <f t="shared" si="193"/>
        <v>835.65899999999999</v>
      </c>
      <c r="U166" s="19">
        <f t="shared" si="193"/>
        <v>919.22490000000016</v>
      </c>
      <c r="V166" s="19">
        <f t="shared" si="193"/>
        <v>1078.2508077</v>
      </c>
      <c r="W166" s="19">
        <f t="shared" si="193"/>
        <v>1209.3322784400002</v>
      </c>
      <c r="X166" s="19">
        <f t="shared" si="193"/>
        <v>1423.2910661640003</v>
      </c>
      <c r="Y166" s="19">
        <f t="shared" si="193"/>
        <v>1657.2968620421404</v>
      </c>
      <c r="Z166" s="19">
        <f t="shared" si="193"/>
        <v>1869.1621095410412</v>
      </c>
      <c r="AA166" s="19">
        <f t="shared" si="193"/>
        <v>2000.0034572089139</v>
      </c>
    </row>
    <row r="167" spans="1:39"/>
    <row r="168" spans="1:39">
      <c r="A168" s="193" t="s">
        <v>390</v>
      </c>
      <c r="B168" s="193"/>
      <c r="C168" s="193"/>
      <c r="D168" s="193"/>
      <c r="E168" s="193"/>
      <c r="F168" s="193"/>
      <c r="G168" s="193"/>
      <c r="H168" s="193"/>
      <c r="I168" s="264">
        <f>I$1</f>
        <v>2013</v>
      </c>
      <c r="J168" s="264">
        <f t="shared" ref="J168:AA168" si="194">J$1</f>
        <v>2014</v>
      </c>
      <c r="K168" s="264">
        <f t="shared" si="194"/>
        <v>2015</v>
      </c>
      <c r="L168" s="530">
        <f t="shared" si="194"/>
        <v>2016</v>
      </c>
      <c r="M168" s="530">
        <f t="shared" si="194"/>
        <v>2017</v>
      </c>
      <c r="N168" s="530">
        <f t="shared" si="194"/>
        <v>2018</v>
      </c>
      <c r="O168" s="530">
        <f t="shared" si="194"/>
        <v>2019</v>
      </c>
      <c r="P168" s="530">
        <f t="shared" si="194"/>
        <v>2020</v>
      </c>
      <c r="Q168" s="530">
        <f t="shared" si="194"/>
        <v>2021</v>
      </c>
      <c r="R168" s="530">
        <f t="shared" si="194"/>
        <v>2022</v>
      </c>
      <c r="S168" s="530">
        <f t="shared" si="194"/>
        <v>2023</v>
      </c>
      <c r="T168" s="530">
        <f t="shared" si="194"/>
        <v>2024</v>
      </c>
      <c r="U168" s="530">
        <f t="shared" si="194"/>
        <v>2025</v>
      </c>
      <c r="V168" s="532">
        <f t="shared" si="194"/>
        <v>2026</v>
      </c>
      <c r="W168" s="532">
        <f t="shared" si="194"/>
        <v>2027</v>
      </c>
      <c r="X168" s="532">
        <f t="shared" si="194"/>
        <v>2028</v>
      </c>
      <c r="Y168" s="532">
        <f t="shared" si="194"/>
        <v>2029</v>
      </c>
      <c r="Z168" s="532">
        <f t="shared" si="194"/>
        <v>2030</v>
      </c>
      <c r="AA168" s="532">
        <f t="shared" si="194"/>
        <v>2031</v>
      </c>
      <c r="AM168" s="27"/>
    </row>
    <row r="169" spans="1:39">
      <c r="A169" s="113" t="s">
        <v>430</v>
      </c>
      <c r="J169" s="19"/>
      <c r="K169" s="19"/>
      <c r="L169" s="30"/>
      <c r="Q169" s="174">
        <v>200</v>
      </c>
      <c r="R169" s="174">
        <v>200</v>
      </c>
      <c r="S169" s="174">
        <v>200</v>
      </c>
      <c r="T169" s="174">
        <v>200</v>
      </c>
      <c r="U169" s="174">
        <v>200</v>
      </c>
      <c r="V169" s="791">
        <v>200</v>
      </c>
      <c r="W169" s="791">
        <v>200</v>
      </c>
      <c r="X169" s="791">
        <v>200</v>
      </c>
      <c r="Y169" s="791">
        <f>X169</f>
        <v>200</v>
      </c>
      <c r="Z169" s="791">
        <f>Y169</f>
        <v>200</v>
      </c>
      <c r="AA169" s="791">
        <f>Z169</f>
        <v>200</v>
      </c>
      <c r="AM169" s="27"/>
    </row>
    <row r="170" spans="1:39">
      <c r="A170" s="13" t="s">
        <v>212</v>
      </c>
      <c r="J170" s="19" t="e">
        <f>J176-SUM(J171,J174:J175)</f>
        <v>#REF!</v>
      </c>
      <c r="K170" s="19" t="e">
        <f>K176-SUM(K171,K174:K175)</f>
        <v>#REF!</v>
      </c>
      <c r="L170" s="30" t="e">
        <f>L176-SUM(L171,L174:L175)</f>
        <v>#REF!</v>
      </c>
      <c r="M170" s="174">
        <v>250</v>
      </c>
      <c r="N170" s="174">
        <v>300</v>
      </c>
      <c r="O170" s="174">
        <v>600</v>
      </c>
      <c r="P170" s="174">
        <v>600</v>
      </c>
      <c r="Q170" s="174">
        <v>550</v>
      </c>
      <c r="R170" s="174">
        <v>600</v>
      </c>
      <c r="S170" s="78">
        <v>850</v>
      </c>
      <c r="T170" s="78">
        <f>S170+50</f>
        <v>900</v>
      </c>
      <c r="U170" s="78">
        <v>800</v>
      </c>
      <c r="V170" s="791">
        <f>U170+200</f>
        <v>1000</v>
      </c>
      <c r="W170" s="791">
        <v>1100</v>
      </c>
      <c r="X170" s="791">
        <v>1200</v>
      </c>
      <c r="Y170" s="791">
        <f>X170</f>
        <v>1200</v>
      </c>
      <c r="Z170" s="791">
        <v>1100</v>
      </c>
      <c r="AA170" s="791">
        <f>Z170</f>
        <v>1100</v>
      </c>
      <c r="AM170" s="27"/>
    </row>
    <row r="171" spans="1:39">
      <c r="A171" s="13" t="s">
        <v>250</v>
      </c>
      <c r="J171" s="13">
        <f t="shared" ref="J171:O171" si="195">J172+J173</f>
        <v>300</v>
      </c>
      <c r="K171" s="13">
        <f t="shared" si="195"/>
        <v>900</v>
      </c>
      <c r="L171" s="78">
        <f t="shared" si="195"/>
        <v>875</v>
      </c>
      <c r="M171" s="78">
        <f t="shared" si="195"/>
        <v>800</v>
      </c>
      <c r="N171" s="78">
        <f t="shared" si="195"/>
        <v>900</v>
      </c>
      <c r="O171" s="78">
        <f t="shared" si="195"/>
        <v>900</v>
      </c>
      <c r="P171" s="78">
        <f>SUM(P172:P173)</f>
        <v>800</v>
      </c>
      <c r="Q171" s="78">
        <f t="shared" ref="Q171:T171" si="196">Q172+Q173</f>
        <v>650</v>
      </c>
      <c r="R171" s="78">
        <f t="shared" si="196"/>
        <v>600</v>
      </c>
      <c r="S171" s="78">
        <f t="shared" si="196"/>
        <v>700</v>
      </c>
      <c r="T171" s="78">
        <f t="shared" si="196"/>
        <v>700</v>
      </c>
      <c r="U171" s="78">
        <v>700</v>
      </c>
      <c r="V171" s="791">
        <v>750</v>
      </c>
      <c r="W171" s="791">
        <v>800</v>
      </c>
      <c r="X171" s="791">
        <v>800</v>
      </c>
      <c r="Y171" s="791">
        <f>X171</f>
        <v>800</v>
      </c>
      <c r="Z171" s="791">
        <f>Y171</f>
        <v>800</v>
      </c>
      <c r="AA171" s="791">
        <f>Z171</f>
        <v>800</v>
      </c>
    </row>
    <row r="172" spans="1:39">
      <c r="A172" s="101" t="s">
        <v>391</v>
      </c>
      <c r="J172" s="168">
        <v>200</v>
      </c>
      <c r="K172" s="168">
        <v>200</v>
      </c>
      <c r="L172" s="174">
        <v>175</v>
      </c>
      <c r="M172" s="174">
        <v>300</v>
      </c>
      <c r="N172" s="174">
        <v>400</v>
      </c>
      <c r="O172" s="78">
        <f>N172</f>
        <v>400</v>
      </c>
      <c r="P172" s="174">
        <v>400</v>
      </c>
      <c r="Q172" s="78">
        <f>P172+50</f>
        <v>450</v>
      </c>
      <c r="R172" s="78">
        <f>Q172+50</f>
        <v>500</v>
      </c>
      <c r="S172" s="78">
        <f>R172+100</f>
        <v>600</v>
      </c>
      <c r="T172" s="78">
        <f>S172+100</f>
        <v>700</v>
      </c>
      <c r="U172" s="78">
        <v>700</v>
      </c>
      <c r="V172" s="523">
        <v>750</v>
      </c>
      <c r="W172" s="523">
        <f>W171</f>
        <v>800</v>
      </c>
      <c r="X172" s="523">
        <f t="shared" ref="X172:Z172" si="197">X171</f>
        <v>800</v>
      </c>
      <c r="Y172" s="523">
        <f t="shared" si="197"/>
        <v>800</v>
      </c>
      <c r="Z172" s="523">
        <f t="shared" si="197"/>
        <v>800</v>
      </c>
      <c r="AA172" s="523">
        <f t="shared" ref="AA172" si="198">AA171</f>
        <v>800</v>
      </c>
      <c r="AB172" s="22"/>
      <c r="AC172" s="22"/>
      <c r="AD172" s="22"/>
      <c r="AE172" s="22"/>
      <c r="AF172" s="22"/>
      <c r="AG172" s="22"/>
    </row>
    <row r="173" spans="1:39">
      <c r="A173" s="101" t="s">
        <v>392</v>
      </c>
      <c r="J173" s="168">
        <v>100</v>
      </c>
      <c r="K173" s="168">
        <v>700</v>
      </c>
      <c r="L173" s="174">
        <v>700</v>
      </c>
      <c r="M173" s="174">
        <v>500</v>
      </c>
      <c r="N173" s="174">
        <v>500</v>
      </c>
      <c r="O173" s="174">
        <v>500</v>
      </c>
      <c r="P173" s="174">
        <v>400</v>
      </c>
      <c r="Q173" s="174">
        <v>200</v>
      </c>
      <c r="R173" s="174">
        <v>100</v>
      </c>
      <c r="S173" s="174">
        <v>100</v>
      </c>
      <c r="T173" s="174">
        <v>0</v>
      </c>
      <c r="U173" s="174">
        <v>0</v>
      </c>
      <c r="V173" s="791">
        <v>0</v>
      </c>
      <c r="W173" s="791">
        <v>0</v>
      </c>
      <c r="X173" s="791">
        <v>0</v>
      </c>
      <c r="Y173" s="791">
        <v>0</v>
      </c>
      <c r="Z173" s="791">
        <v>0</v>
      </c>
      <c r="AA173" s="791">
        <v>0</v>
      </c>
      <c r="AF173" s="22"/>
      <c r="AG173" s="22"/>
    </row>
    <row r="174" spans="1:39">
      <c r="A174" s="13" t="s">
        <v>211</v>
      </c>
      <c r="J174" s="168">
        <v>450</v>
      </c>
      <c r="K174" s="168">
        <v>200</v>
      </c>
      <c r="L174" s="171">
        <v>175</v>
      </c>
      <c r="M174" s="30">
        <f>M170</f>
        <v>250</v>
      </c>
      <c r="N174" s="171">
        <v>200</v>
      </c>
      <c r="O174" s="171">
        <v>0</v>
      </c>
      <c r="P174" s="171">
        <v>0</v>
      </c>
      <c r="Q174" s="171">
        <v>0</v>
      </c>
      <c r="R174" s="171">
        <v>0</v>
      </c>
      <c r="S174" s="171">
        <v>0</v>
      </c>
      <c r="T174" s="171">
        <v>0</v>
      </c>
      <c r="U174" s="171">
        <v>0</v>
      </c>
      <c r="V174" s="523">
        <v>0</v>
      </c>
      <c r="W174" s="523">
        <v>0</v>
      </c>
      <c r="X174" s="523">
        <v>0</v>
      </c>
      <c r="Y174" s="523">
        <v>0</v>
      </c>
      <c r="Z174" s="523">
        <v>0</v>
      </c>
      <c r="AA174" s="523">
        <v>0</v>
      </c>
    </row>
    <row r="175" spans="1:39">
      <c r="A175" s="13" t="s">
        <v>210</v>
      </c>
      <c r="J175" s="19" t="e">
        <f>#REF!</f>
        <v>#REF!</v>
      </c>
      <c r="K175" s="19" t="e">
        <f>#REF!</f>
        <v>#REF!</v>
      </c>
      <c r="L175" s="30" t="e">
        <f>#REF!</f>
        <v>#REF!</v>
      </c>
      <c r="M175" s="30" t="e">
        <f>#REF!</f>
        <v>#REF!</v>
      </c>
      <c r="N175" s="171">
        <v>900</v>
      </c>
      <c r="O175" s="30">
        <f t="shared" ref="O175:T175" si="199">O176-SUM(O174,O169:O171)</f>
        <v>905</v>
      </c>
      <c r="P175" s="30">
        <f t="shared" si="199"/>
        <v>1036</v>
      </c>
      <c r="Q175" s="30">
        <f t="shared" si="199"/>
        <v>852</v>
      </c>
      <c r="R175" s="30">
        <f t="shared" si="199"/>
        <v>1207</v>
      </c>
      <c r="S175" s="30">
        <f t="shared" si="199"/>
        <v>948</v>
      </c>
      <c r="T175" s="30">
        <f t="shared" si="199"/>
        <v>876</v>
      </c>
      <c r="U175" s="30">
        <v>837</v>
      </c>
      <c r="V175" s="523">
        <v>850</v>
      </c>
      <c r="W175" s="523">
        <v>900</v>
      </c>
      <c r="X175" s="523">
        <v>1000</v>
      </c>
      <c r="Y175" s="523">
        <v>1000</v>
      </c>
      <c r="Z175" s="523">
        <f t="shared" ref="Z175:AA175" si="200">Y175</f>
        <v>1000</v>
      </c>
      <c r="AA175" s="523">
        <f t="shared" si="200"/>
        <v>1000</v>
      </c>
    </row>
    <row r="176" spans="1:39">
      <c r="A176" s="37" t="s">
        <v>209</v>
      </c>
      <c r="B176" s="37"/>
      <c r="C176" s="37"/>
      <c r="D176" s="37"/>
      <c r="E176" s="37"/>
      <c r="F176" s="37"/>
      <c r="G176" s="37"/>
      <c r="H176" s="37"/>
      <c r="I176" s="37"/>
      <c r="J176" s="38">
        <f>J179</f>
        <v>2667</v>
      </c>
      <c r="K176" s="38">
        <f>K179</f>
        <v>2702</v>
      </c>
      <c r="L176" s="83">
        <f>L179</f>
        <v>2147</v>
      </c>
      <c r="M176" s="83">
        <f>M179</f>
        <v>2011</v>
      </c>
      <c r="N176" s="531">
        <v>2214</v>
      </c>
      <c r="O176" s="531">
        <v>2405</v>
      </c>
      <c r="P176" s="531">
        <v>2436</v>
      </c>
      <c r="Q176" s="531">
        <v>2252</v>
      </c>
      <c r="R176" s="531">
        <v>2607</v>
      </c>
      <c r="S176" s="878">
        <v>2698</v>
      </c>
      <c r="T176" s="878">
        <v>2676</v>
      </c>
      <c r="U176" s="878">
        <v>2537</v>
      </c>
      <c r="V176" s="83">
        <f>SUM(V169:V171,V175)</f>
        <v>2800</v>
      </c>
      <c r="W176" s="83">
        <f>SUM(W169:W171,W175)</f>
        <v>3000</v>
      </c>
      <c r="X176" s="83">
        <f t="shared" ref="X176:AA176" si="201">SUM(X169:X171,X175)</f>
        <v>3200</v>
      </c>
      <c r="Y176" s="83">
        <f t="shared" si="201"/>
        <v>3200</v>
      </c>
      <c r="Z176" s="83">
        <f t="shared" si="201"/>
        <v>3100</v>
      </c>
      <c r="AA176" s="83">
        <f t="shared" si="201"/>
        <v>3100</v>
      </c>
    </row>
    <row r="177" spans="1:27">
      <c r="A177" s="39" t="s">
        <v>125</v>
      </c>
      <c r="J177" s="19" t="e">
        <f t="shared" ref="J177:P177" si="202">SUM(J170,J171,J174,J175)-J176</f>
        <v>#REF!</v>
      </c>
      <c r="K177" s="19" t="e">
        <f t="shared" si="202"/>
        <v>#REF!</v>
      </c>
      <c r="L177" s="30" t="e">
        <f t="shared" si="202"/>
        <v>#REF!</v>
      </c>
      <c r="M177" s="30" t="e">
        <f t="shared" si="202"/>
        <v>#REF!</v>
      </c>
      <c r="N177" s="30">
        <f t="shared" si="202"/>
        <v>86</v>
      </c>
      <c r="O177" s="30">
        <f t="shared" si="202"/>
        <v>0</v>
      </c>
      <c r="P177" s="30">
        <f t="shared" si="202"/>
        <v>0</v>
      </c>
      <c r="Q177" s="30">
        <f t="shared" ref="Q177:Z177" si="203">SUM(Q170,Q171,Q174,Q175,Q169)-Q176</f>
        <v>0</v>
      </c>
      <c r="R177" s="30">
        <f t="shared" si="203"/>
        <v>0</v>
      </c>
      <c r="S177" s="30">
        <f>SUM(S170,S171,S174,S175,S169)-S176</f>
        <v>0</v>
      </c>
      <c r="T177" s="30">
        <f>SUM(T170,T171,T174,T175,T169)-T176</f>
        <v>0</v>
      </c>
      <c r="U177" s="30">
        <f t="shared" si="203"/>
        <v>0</v>
      </c>
      <c r="V177" s="30">
        <f t="shared" si="203"/>
        <v>0</v>
      </c>
      <c r="W177" s="30">
        <f t="shared" si="203"/>
        <v>0</v>
      </c>
      <c r="X177" s="30">
        <f t="shared" si="203"/>
        <v>0</v>
      </c>
      <c r="Y177" s="30">
        <f t="shared" si="203"/>
        <v>0</v>
      </c>
      <c r="Z177" s="30">
        <f t="shared" si="203"/>
        <v>0</v>
      </c>
      <c r="AA177" s="30">
        <f t="shared" ref="AA177" si="204">SUM(AA170,AA171,AA174,AA175,AA169)-AA176</f>
        <v>0</v>
      </c>
    </row>
    <row r="178" spans="1:27">
      <c r="A178" s="39"/>
      <c r="J178" s="19"/>
      <c r="K178" s="30"/>
      <c r="L178" s="30"/>
      <c r="M178" s="30"/>
      <c r="N178" s="30"/>
      <c r="O178" s="30"/>
      <c r="P178" s="30"/>
      <c r="Q178" s="30"/>
      <c r="R178" s="30"/>
      <c r="S178" s="30"/>
      <c r="T178" s="30"/>
      <c r="U178" s="30"/>
      <c r="V178" s="30"/>
      <c r="W178" s="30"/>
      <c r="X178" s="30"/>
      <c r="Y178" s="30"/>
      <c r="Z178" s="30"/>
      <c r="AA178" s="30"/>
    </row>
    <row r="179" spans="1:27">
      <c r="A179" s="13" t="s">
        <v>233</v>
      </c>
      <c r="B179" s="168">
        <v>2035</v>
      </c>
      <c r="C179" s="168">
        <v>2175</v>
      </c>
      <c r="D179" s="168">
        <v>2210</v>
      </c>
      <c r="E179" s="168">
        <v>2293</v>
      </c>
      <c r="F179" s="168">
        <v>2311</v>
      </c>
      <c r="G179" s="168">
        <v>2467</v>
      </c>
      <c r="H179" s="168">
        <v>2428</v>
      </c>
      <c r="I179" s="165">
        <v>2438</v>
      </c>
      <c r="J179" s="165">
        <v>2667</v>
      </c>
      <c r="K179" s="165">
        <v>2702</v>
      </c>
      <c r="L179" s="171">
        <v>2147</v>
      </c>
      <c r="M179" s="171">
        <v>2011</v>
      </c>
      <c r="N179" s="30">
        <f t="shared" ref="N179:Z179" si="205">N176</f>
        <v>2214</v>
      </c>
      <c r="O179" s="30">
        <f t="shared" si="205"/>
        <v>2405</v>
      </c>
      <c r="P179" s="30">
        <f t="shared" si="205"/>
        <v>2436</v>
      </c>
      <c r="Q179" s="30">
        <f t="shared" si="205"/>
        <v>2252</v>
      </c>
      <c r="R179" s="30">
        <f t="shared" si="205"/>
        <v>2607</v>
      </c>
      <c r="S179" s="30">
        <f>S176</f>
        <v>2698</v>
      </c>
      <c r="T179" s="30">
        <f>T176</f>
        <v>2676</v>
      </c>
      <c r="U179" s="30">
        <f t="shared" si="205"/>
        <v>2537</v>
      </c>
      <c r="V179" s="30">
        <f t="shared" si="205"/>
        <v>2800</v>
      </c>
      <c r="W179" s="30">
        <f t="shared" si="205"/>
        <v>3000</v>
      </c>
      <c r="X179" s="30">
        <f t="shared" si="205"/>
        <v>3200</v>
      </c>
      <c r="Y179" s="30">
        <f t="shared" si="205"/>
        <v>3200</v>
      </c>
      <c r="Z179" s="30">
        <f t="shared" si="205"/>
        <v>3100</v>
      </c>
      <c r="AA179" s="30">
        <f t="shared" ref="AA179" si="206">AA176</f>
        <v>3100</v>
      </c>
    </row>
    <row r="180" spans="1:27">
      <c r="A180" s="13" t="s">
        <v>47</v>
      </c>
      <c r="B180" s="20" t="e">
        <f t="shared" ref="B180:AA180" si="207">B179/B2</f>
        <v>#VALUE!</v>
      </c>
      <c r="C180" s="20">
        <f t="shared" si="207"/>
        <v>8.6254758883248725E-2</v>
      </c>
      <c r="D180" s="20">
        <f t="shared" si="207"/>
        <v>8.3320766098627652E-2</v>
      </c>
      <c r="E180" s="20">
        <f t="shared" si="207"/>
        <v>8.6954872961698904E-2</v>
      </c>
      <c r="F180" s="20">
        <f t="shared" si="207"/>
        <v>8.3511003505221698E-2</v>
      </c>
      <c r="G180" s="20">
        <f t="shared" si="207"/>
        <v>7.917455630796881E-2</v>
      </c>
      <c r="H180" s="20">
        <f t="shared" si="207"/>
        <v>6.4533276631937059E-2</v>
      </c>
      <c r="I180" s="20">
        <f t="shared" si="207"/>
        <v>6.1119606909172952E-2</v>
      </c>
      <c r="J180" s="20">
        <f t="shared" si="207"/>
        <v>6.3079470198675491E-2</v>
      </c>
      <c r="K180" s="20">
        <f t="shared" si="207"/>
        <v>5.8926156932873903E-2</v>
      </c>
      <c r="L180" s="80">
        <f t="shared" si="207"/>
        <v>4.3605418689197151E-2</v>
      </c>
      <c r="M180" s="80">
        <f t="shared" si="207"/>
        <v>3.946387220848542E-2</v>
      </c>
      <c r="N180" s="80">
        <f t="shared" si="207"/>
        <v>4.6153846153846156E-2</v>
      </c>
      <c r="O180" s="80">
        <f t="shared" si="207"/>
        <v>4.3906891830214512E-2</v>
      </c>
      <c r="P180" s="80">
        <f t="shared" si="207"/>
        <v>7.1124087591240878E-2</v>
      </c>
      <c r="Q180" s="80">
        <f t="shared" si="207"/>
        <v>6.2271872580466764E-2</v>
      </c>
      <c r="R180" s="80">
        <f t="shared" si="207"/>
        <v>6.2928454185574967E-2</v>
      </c>
      <c r="S180" s="80">
        <f t="shared" si="207"/>
        <v>5.6487239076272427E-2</v>
      </c>
      <c r="T180" s="80">
        <f t="shared" si="207"/>
        <v>5.2837341547210044E-2</v>
      </c>
      <c r="U180" s="80">
        <f t="shared" si="207"/>
        <v>4.8253038400821652E-2</v>
      </c>
      <c r="V180" s="80">
        <f t="shared" si="207"/>
        <v>4.8321165700010028E-2</v>
      </c>
      <c r="W180" s="80">
        <f t="shared" si="207"/>
        <v>4.4257797474537647E-2</v>
      </c>
      <c r="X180" s="80">
        <f t="shared" si="207"/>
        <v>4.1112341670748419E-2</v>
      </c>
      <c r="Y180" s="80">
        <f t="shared" si="207"/>
        <v>3.7713432542385218E-2</v>
      </c>
      <c r="Z180" s="80">
        <f t="shared" si="207"/>
        <v>3.4944775692226149E-2</v>
      </c>
      <c r="AA180" s="80">
        <f t="shared" si="207"/>
        <v>3.3940889457076927E-2</v>
      </c>
    </row>
    <row r="181" spans="1:27">
      <c r="A181" s="13" t="s">
        <v>70</v>
      </c>
      <c r="B181" s="169">
        <v>351</v>
      </c>
      <c r="C181" s="169">
        <v>24</v>
      </c>
      <c r="D181" s="169">
        <v>17</v>
      </c>
      <c r="E181" s="169">
        <v>15</v>
      </c>
      <c r="F181" s="169">
        <v>31</v>
      </c>
      <c r="G181" s="169">
        <v>37</v>
      </c>
      <c r="H181" s="169">
        <v>445</v>
      </c>
      <c r="I181" s="169">
        <v>364</v>
      </c>
      <c r="J181" s="169">
        <v>116</v>
      </c>
      <c r="K181" s="169">
        <v>58</v>
      </c>
      <c r="L181" s="171">
        <v>210</v>
      </c>
      <c r="M181" s="171">
        <v>122</v>
      </c>
      <c r="N181" s="500">
        <v>140</v>
      </c>
      <c r="O181" s="171">
        <v>133</v>
      </c>
      <c r="P181" s="171">
        <v>23</v>
      </c>
      <c r="Q181" s="171">
        <v>2</v>
      </c>
      <c r="R181" s="171">
        <v>173</v>
      </c>
      <c r="S181" s="171">
        <v>145</v>
      </c>
      <c r="T181" s="171">
        <v>246</v>
      </c>
      <c r="U181" s="171">
        <v>283</v>
      </c>
      <c r="V181" s="30">
        <f t="shared" ref="V181:AA181" si="208">V182*V2</f>
        <v>311.89704648058984</v>
      </c>
      <c r="W181" s="30">
        <f t="shared" si="208"/>
        <v>364.85650288120922</v>
      </c>
      <c r="X181" s="30">
        <f t="shared" si="208"/>
        <v>418.95598400059157</v>
      </c>
      <c r="Y181" s="30">
        <f t="shared" si="208"/>
        <v>456.71423676110618</v>
      </c>
      <c r="Z181" s="30">
        <f t="shared" si="208"/>
        <v>477.49636547882488</v>
      </c>
      <c r="AA181" s="30">
        <f t="shared" si="208"/>
        <v>491.6195082810836</v>
      </c>
    </row>
    <row r="182" spans="1:27">
      <c r="A182" s="13" t="s">
        <v>47</v>
      </c>
      <c r="B182" s="20" t="e">
        <f t="shared" ref="B182:M182" si="209">B181/B$2</f>
        <v>#VALUE!</v>
      </c>
      <c r="C182" s="20">
        <f t="shared" si="209"/>
        <v>9.5177664974619293E-4</v>
      </c>
      <c r="D182" s="20">
        <f t="shared" si="209"/>
        <v>6.409289699894435E-4</v>
      </c>
      <c r="E182" s="20">
        <f t="shared" si="209"/>
        <v>5.6882821387940839E-4</v>
      </c>
      <c r="F182" s="20">
        <f t="shared" si="209"/>
        <v>1.1202254905503558E-3</v>
      </c>
      <c r="G182" s="20">
        <f t="shared" si="209"/>
        <v>1.1874578773388106E-3</v>
      </c>
      <c r="H182" s="20">
        <f t="shared" si="209"/>
        <v>1.1827556878588136E-2</v>
      </c>
      <c r="I182" s="20">
        <f t="shared" si="209"/>
        <v>9.1253227706886604E-3</v>
      </c>
      <c r="J182" s="20">
        <f t="shared" si="209"/>
        <v>2.7436140018921476E-3</v>
      </c>
      <c r="K182" s="20">
        <f t="shared" si="209"/>
        <v>1.2648841976708684E-3</v>
      </c>
      <c r="L182" s="80">
        <f t="shared" si="209"/>
        <v>4.2650852001543558E-3</v>
      </c>
      <c r="M182" s="80">
        <f t="shared" si="209"/>
        <v>2.3941284979787274E-3</v>
      </c>
      <c r="N182" s="80">
        <f t="shared" ref="N182:U182" si="210">N181/N2</f>
        <v>2.9184907233687721E-3</v>
      </c>
      <c r="O182" s="80">
        <f t="shared" si="210"/>
        <v>2.4281150159744407E-3</v>
      </c>
      <c r="P182" s="80">
        <f t="shared" si="210"/>
        <v>6.7153284671532846E-4</v>
      </c>
      <c r="Q182" s="80">
        <f t="shared" si="210"/>
        <v>5.5303616856542417E-5</v>
      </c>
      <c r="R182" s="80">
        <f t="shared" si="210"/>
        <v>4.1759196678574874E-3</v>
      </c>
      <c r="S182" s="80">
        <f t="shared" si="210"/>
        <v>3.0358227079538553E-3</v>
      </c>
      <c r="T182" s="80">
        <f t="shared" si="210"/>
        <v>4.8572444023219996E-3</v>
      </c>
      <c r="U182" s="80">
        <f t="shared" si="210"/>
        <v>5.38258173726154E-3</v>
      </c>
      <c r="V182" s="654">
        <f t="shared" ref="V182:AA182" si="211">U182</f>
        <v>5.38258173726154E-3</v>
      </c>
      <c r="W182" s="654">
        <f t="shared" si="211"/>
        <v>5.38258173726154E-3</v>
      </c>
      <c r="X182" s="654">
        <f t="shared" si="211"/>
        <v>5.38258173726154E-3</v>
      </c>
      <c r="Y182" s="654">
        <f t="shared" si="211"/>
        <v>5.38258173726154E-3</v>
      </c>
      <c r="Z182" s="654">
        <f t="shared" si="211"/>
        <v>5.38258173726154E-3</v>
      </c>
      <c r="AA182" s="654">
        <f t="shared" si="211"/>
        <v>5.38258173726154E-3</v>
      </c>
    </row>
    <row r="183" spans="1:27">
      <c r="A183" s="114"/>
      <c r="B183" s="113"/>
      <c r="C183" s="113"/>
      <c r="D183" s="113"/>
      <c r="E183" s="113"/>
      <c r="F183" s="113"/>
      <c r="G183" s="113"/>
      <c r="H183" s="113"/>
      <c r="I183" s="115"/>
      <c r="J183" s="115"/>
      <c r="K183" s="115"/>
      <c r="L183" s="528"/>
      <c r="M183" s="528"/>
      <c r="N183" s="528"/>
      <c r="O183" s="528"/>
      <c r="P183" s="528"/>
      <c r="Q183" s="528"/>
      <c r="R183" s="144"/>
      <c r="S183" s="528"/>
      <c r="T183" s="882"/>
      <c r="U183" s="137"/>
      <c r="V183" s="116"/>
      <c r="W183" s="116"/>
      <c r="X183" s="116"/>
      <c r="Y183" s="116"/>
      <c r="Z183" s="116"/>
      <c r="AA183" s="116"/>
    </row>
    <row r="184" spans="1:27" hidden="1">
      <c r="S184" s="116"/>
      <c r="T184" s="30"/>
      <c r="U184" s="30"/>
    </row>
    <row r="185" spans="1:27" hidden="1">
      <c r="S185" s="116"/>
      <c r="T185" s="517"/>
      <c r="U185" s="30"/>
    </row>
    <row r="186" spans="1:27" hidden="1">
      <c r="S186" s="116"/>
      <c r="T186" s="174"/>
      <c r="U186" s="174"/>
    </row>
    <row r="187" spans="1:27" hidden="1">
      <c r="S187" s="116"/>
      <c r="T187" s="85"/>
      <c r="U187" s="85"/>
    </row>
    <row r="189" spans="1:27" hidden="1">
      <c r="S189" s="116"/>
      <c r="T189" s="85"/>
      <c r="U189" s="85"/>
    </row>
    <row r="190" spans="1:27" hidden="1">
      <c r="T190" s="85"/>
      <c r="U190" s="85"/>
    </row>
    <row r="191" spans="1:27" hidden="1">
      <c r="T191" s="85"/>
    </row>
  </sheetData>
  <pageMargins left="0.7" right="0.7" top="0.75" bottom="0.75" header="0.3" footer="0.3"/>
  <pageSetup paperSize="9" orientation="portrait" horizontalDpi="200" verticalDpi="200" r:id="rId1"/>
  <customProperties>
    <customPr name="Qube.Worksheet.Visibility" r:id="rId2"/>
    <customPr name="QXL_SHEET_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8">
    <tabColor rgb="FFACD4F1"/>
    <pageSetUpPr autoPageBreaks="0"/>
  </sheetPr>
  <dimension ref="A1:AC74"/>
  <sheetViews>
    <sheetView showGridLines="0" zoomScaleNormal="100" workbookViewId="0">
      <pane ySplit="1" topLeftCell="A2" activePane="bottomLeft" state="frozen"/>
      <selection activeCell="CI56" sqref="CI56:CQ57"/>
      <selection pane="bottomLeft"/>
    </sheetView>
  </sheetViews>
  <sheetFormatPr defaultColWidth="0" defaultRowHeight="12.75" zeroHeight="1" outlineLevelCol="1"/>
  <cols>
    <col min="1" max="1" width="34.125" style="113" bestFit="1" customWidth="1"/>
    <col min="2" max="4" width="9" style="113" hidden="1" customWidth="1" outlineLevel="1"/>
    <col min="5" max="5" width="8.625" style="113" hidden="1" customWidth="1" outlineLevel="1"/>
    <col min="6" max="7" width="9" style="113" hidden="1" customWidth="1" outlineLevel="1"/>
    <col min="8" max="8" width="10.125" style="113" hidden="1" customWidth="1" outlineLevel="1"/>
    <col min="9" max="14" width="9" style="113" hidden="1" customWidth="1" outlineLevel="1"/>
    <col min="15" max="15" width="9.125" style="113" hidden="1" customWidth="1" outlineLevel="1"/>
    <col min="16" max="16" width="9" style="113" hidden="1" customWidth="1" outlineLevel="1"/>
    <col min="17" max="17" width="9" style="113" customWidth="1" collapsed="1"/>
    <col min="18" max="19" width="9" style="113" customWidth="1"/>
    <col min="20" max="27" width="9" style="114" customWidth="1"/>
    <col min="28" max="28" width="9" style="113" customWidth="1"/>
    <col min="29" max="29" width="0" style="113" hidden="1"/>
    <col min="30" max="16384" width="9" style="113" hidden="1"/>
  </cols>
  <sheetData>
    <row r="1" spans="1:29" s="759" customFormat="1">
      <c r="A1" s="191" t="s">
        <v>385</v>
      </c>
      <c r="B1" s="262">
        <v>2006</v>
      </c>
      <c r="C1" s="262">
        <v>2007</v>
      </c>
      <c r="D1" s="262">
        <v>2008</v>
      </c>
      <c r="E1" s="262">
        <v>2009</v>
      </c>
      <c r="F1" s="262">
        <v>2010</v>
      </c>
      <c r="G1" s="262">
        <v>2011</v>
      </c>
      <c r="H1" s="262">
        <v>2012</v>
      </c>
      <c r="I1" s="262">
        <v>2013</v>
      </c>
      <c r="J1" s="262">
        <v>2014</v>
      </c>
      <c r="K1" s="262">
        <v>2015</v>
      </c>
      <c r="L1" s="262">
        <v>2016</v>
      </c>
      <c r="M1" s="262">
        <v>2017</v>
      </c>
      <c r="N1" s="262">
        <v>2018</v>
      </c>
      <c r="O1" s="262">
        <v>2019</v>
      </c>
      <c r="P1" s="262">
        <v>2020</v>
      </c>
      <c r="Q1" s="262">
        <v>2021</v>
      </c>
      <c r="R1" s="262">
        <v>2022</v>
      </c>
      <c r="S1" s="262">
        <v>2023</v>
      </c>
      <c r="T1" s="262">
        <v>2024</v>
      </c>
      <c r="U1" s="262">
        <f t="shared" ref="U1:AA1" si="0">T1+1</f>
        <v>2025</v>
      </c>
      <c r="V1" s="619">
        <f t="shared" si="0"/>
        <v>2026</v>
      </c>
      <c r="W1" s="619">
        <f t="shared" si="0"/>
        <v>2027</v>
      </c>
      <c r="X1" s="619">
        <f t="shared" si="0"/>
        <v>2028</v>
      </c>
      <c r="Y1" s="619">
        <f t="shared" si="0"/>
        <v>2029</v>
      </c>
      <c r="Z1" s="619">
        <f t="shared" si="0"/>
        <v>2030</v>
      </c>
      <c r="AA1" s="619">
        <f t="shared" si="0"/>
        <v>2031</v>
      </c>
      <c r="AB1" s="5"/>
      <c r="AC1" s="10"/>
    </row>
    <row r="2" spans="1:29">
      <c r="A2" s="227" t="s">
        <v>229</v>
      </c>
      <c r="B2" s="225">
        <v>3803</v>
      </c>
      <c r="C2" s="225">
        <v>4172</v>
      </c>
      <c r="D2" s="225">
        <v>4486</v>
      </c>
      <c r="E2" s="225">
        <v>4570</v>
      </c>
      <c r="F2" s="225">
        <v>4830</v>
      </c>
      <c r="G2" s="225">
        <v>5415</v>
      </c>
      <c r="H2" s="225">
        <v>6264</v>
      </c>
      <c r="I2" s="230">
        <v>6297</v>
      </c>
      <c r="J2" s="230">
        <v>6524</v>
      </c>
      <c r="K2" s="230">
        <v>6786</v>
      </c>
      <c r="L2" s="760">
        <f>Interims!AW94</f>
        <v>6652</v>
      </c>
      <c r="M2" s="223">
        <v>6450</v>
      </c>
      <c r="N2" s="223">
        <v>5934</v>
      </c>
      <c r="O2" s="223">
        <v>6007</v>
      </c>
      <c r="P2" s="223">
        <v>6251</v>
      </c>
      <c r="Q2" s="223">
        <v>6509</v>
      </c>
      <c r="R2" s="223">
        <v>7048</v>
      </c>
      <c r="S2" s="223">
        <v>7337</v>
      </c>
      <c r="T2" s="223">
        <v>7941</v>
      </c>
      <c r="U2" s="223">
        <v>8972</v>
      </c>
      <c r="V2" s="760">
        <f t="shared" ref="V2:AA2" si="1">U2*(1+V3)</f>
        <v>9641.0962065306121</v>
      </c>
      <c r="W2" s="760">
        <f t="shared" si="1"/>
        <v>10139.801119293157</v>
      </c>
      <c r="X2" s="760">
        <f t="shared" si="1"/>
        <v>10619.326728714517</v>
      </c>
      <c r="Y2" s="760">
        <f t="shared" si="1"/>
        <v>11105.227715264322</v>
      </c>
      <c r="Z2" s="760">
        <f t="shared" si="1"/>
        <v>11598.105176396979</v>
      </c>
      <c r="AA2" s="760">
        <f t="shared" si="1"/>
        <v>12098.143771234956</v>
      </c>
    </row>
    <row r="3" spans="1:29">
      <c r="A3" s="136" t="s">
        <v>183</v>
      </c>
      <c r="C3" s="761">
        <f>C2/B2-1</f>
        <v>9.7028661582960751E-2</v>
      </c>
      <c r="D3" s="761">
        <f t="shared" ref="D3:P3" si="2">D2/C2-1</f>
        <v>7.5263662511984686E-2</v>
      </c>
      <c r="E3" s="761">
        <f t="shared" si="2"/>
        <v>1.8724921979491826E-2</v>
      </c>
      <c r="F3" s="761">
        <f t="shared" si="2"/>
        <v>5.6892778993435478E-2</v>
      </c>
      <c r="G3" s="761">
        <f t="shared" si="2"/>
        <v>0.12111801242236031</v>
      </c>
      <c r="H3" s="761">
        <f t="shared" si="2"/>
        <v>0.15678670360110813</v>
      </c>
      <c r="I3" s="762">
        <f t="shared" si="2"/>
        <v>5.268199233716464E-3</v>
      </c>
      <c r="J3" s="762">
        <f t="shared" si="2"/>
        <v>3.6048912180403292E-2</v>
      </c>
      <c r="K3" s="762">
        <f t="shared" si="2"/>
        <v>4.0159411404046663E-2</v>
      </c>
      <c r="L3" s="762">
        <f t="shared" si="2"/>
        <v>-1.9746536987916286E-2</v>
      </c>
      <c r="M3" s="762">
        <f t="shared" si="2"/>
        <v>-3.0366806975345773E-2</v>
      </c>
      <c r="N3" s="762">
        <f t="shared" si="2"/>
        <v>-7.999999999999996E-2</v>
      </c>
      <c r="O3" s="762">
        <f t="shared" si="2"/>
        <v>1.2301988540613484E-2</v>
      </c>
      <c r="P3" s="762">
        <f t="shared" si="2"/>
        <v>4.0619277509572171E-2</v>
      </c>
      <c r="Q3" s="762">
        <f>Q2/P2-1</f>
        <v>4.1273396256598982E-2</v>
      </c>
      <c r="R3" s="762">
        <f>R2/Q2-1</f>
        <v>8.2808419111998877E-2</v>
      </c>
      <c r="S3" s="762">
        <f>S2/R2-1</f>
        <v>4.100454029511913E-2</v>
      </c>
      <c r="T3" s="762">
        <f>T2/S2-1</f>
        <v>8.232247512607338E-2</v>
      </c>
      <c r="U3" s="762">
        <f t="shared" ref="U3:AA3" si="3">(U19+U22)/(T19+T22)-1</f>
        <v>0.12983251479662505</v>
      </c>
      <c r="V3" s="763">
        <f t="shared" si="3"/>
        <v>7.4576037286069097E-2</v>
      </c>
      <c r="W3" s="763">
        <f t="shared" si="3"/>
        <v>5.1726992665495519E-2</v>
      </c>
      <c r="X3" s="763">
        <f t="shared" si="3"/>
        <v>4.729142157521804E-2</v>
      </c>
      <c r="Y3" s="763">
        <f t="shared" si="3"/>
        <v>4.575628935457221E-2</v>
      </c>
      <c r="Z3" s="763">
        <f t="shared" si="3"/>
        <v>4.438247227071157E-2</v>
      </c>
      <c r="AA3" s="763">
        <f t="shared" si="3"/>
        <v>4.3113817923947861E-2</v>
      </c>
    </row>
    <row r="4" spans="1:29">
      <c r="A4" s="227" t="s">
        <v>55</v>
      </c>
      <c r="B4" s="227"/>
      <c r="C4" s="227"/>
      <c r="D4" s="227"/>
      <c r="E4" s="227"/>
      <c r="F4" s="227"/>
      <c r="G4" s="225">
        <v>259</v>
      </c>
      <c r="H4" s="225">
        <v>309</v>
      </c>
      <c r="I4" s="225">
        <v>397</v>
      </c>
      <c r="J4" s="225">
        <v>413</v>
      </c>
      <c r="K4" s="225">
        <v>427</v>
      </c>
      <c r="L4" s="225">
        <v>350</v>
      </c>
      <c r="M4" s="225">
        <v>337</v>
      </c>
      <c r="N4" s="225">
        <v>380</v>
      </c>
      <c r="O4" s="225">
        <v>422</v>
      </c>
      <c r="P4" s="225">
        <v>471</v>
      </c>
      <c r="Q4" s="225">
        <v>535</v>
      </c>
      <c r="R4" s="225">
        <v>639</v>
      </c>
      <c r="S4" s="225">
        <v>735</v>
      </c>
      <c r="T4" s="225">
        <v>818</v>
      </c>
      <c r="U4" s="225">
        <v>925</v>
      </c>
      <c r="V4" s="760">
        <f t="shared" ref="V4:Y4" si="4">V62</f>
        <v>989.36564340584482</v>
      </c>
      <c r="W4" s="760">
        <f>W62</f>
        <v>1055.2531396200588</v>
      </c>
      <c r="X4" s="760">
        <f t="shared" si="4"/>
        <v>1124.5583199477455</v>
      </c>
      <c r="Y4" s="760">
        <f t="shared" si="4"/>
        <v>1197.5088926983633</v>
      </c>
      <c r="Z4" s="760">
        <f>Z62</f>
        <v>1290.4172921133061</v>
      </c>
      <c r="AA4" s="760">
        <f>AA62</f>
        <v>1341.8892613130272</v>
      </c>
    </row>
    <row r="5" spans="1:29">
      <c r="A5" s="136" t="s">
        <v>231</v>
      </c>
      <c r="B5" s="761">
        <f>B4/B$2</f>
        <v>0</v>
      </c>
      <c r="C5" s="761">
        <f t="shared" ref="C5:U5" si="5">C4/C$2</f>
        <v>0</v>
      </c>
      <c r="D5" s="761">
        <f t="shared" si="5"/>
        <v>0</v>
      </c>
      <c r="E5" s="761">
        <f t="shared" si="5"/>
        <v>0</v>
      </c>
      <c r="F5" s="761">
        <f t="shared" si="5"/>
        <v>0</v>
      </c>
      <c r="G5" s="762">
        <f t="shared" si="5"/>
        <v>4.7830101569713755E-2</v>
      </c>
      <c r="H5" s="762">
        <f t="shared" si="5"/>
        <v>4.9329501915708812E-2</v>
      </c>
      <c r="I5" s="762">
        <f t="shared" si="5"/>
        <v>6.3045894870573285E-2</v>
      </c>
      <c r="J5" s="762">
        <f t="shared" si="5"/>
        <v>6.3304721030042921E-2</v>
      </c>
      <c r="K5" s="762">
        <f t="shared" si="5"/>
        <v>6.292366637194223E-2</v>
      </c>
      <c r="L5" s="762">
        <f t="shared" si="5"/>
        <v>5.2615754660252555E-2</v>
      </c>
      <c r="M5" s="762">
        <f t="shared" si="5"/>
        <v>5.2248062015503874E-2</v>
      </c>
      <c r="N5" s="762">
        <f t="shared" si="5"/>
        <v>6.4037748567576672E-2</v>
      </c>
      <c r="O5" s="762">
        <f t="shared" si="5"/>
        <v>7.0251373397702682E-2</v>
      </c>
      <c r="P5" s="762">
        <f t="shared" si="5"/>
        <v>7.5347944328907374E-2</v>
      </c>
      <c r="Q5" s="762">
        <f>Q4/Q$2</f>
        <v>8.219388538946075E-2</v>
      </c>
      <c r="R5" s="762">
        <f t="shared" si="5"/>
        <v>9.0664018161180471E-2</v>
      </c>
      <c r="S5" s="762">
        <f t="shared" si="5"/>
        <v>0.10017718413520513</v>
      </c>
      <c r="T5" s="762">
        <f t="shared" si="5"/>
        <v>0.10300969651177433</v>
      </c>
      <c r="U5" s="762">
        <f t="shared" si="5"/>
        <v>0.10309852875613018</v>
      </c>
      <c r="V5" s="762">
        <f t="shared" ref="V5:AA5" si="6">V4/V$2</f>
        <v>0.10261962148408765</v>
      </c>
      <c r="W5" s="762">
        <f t="shared" si="6"/>
        <v>0.10407039814737711</v>
      </c>
      <c r="X5" s="762">
        <f t="shared" si="6"/>
        <v>0.10589732745551136</v>
      </c>
      <c r="Y5" s="762">
        <f t="shared" si="6"/>
        <v>0.10783289846928283</v>
      </c>
      <c r="Z5" s="762">
        <f t="shared" si="6"/>
        <v>0.11126104415222952</v>
      </c>
      <c r="AA5" s="762">
        <f t="shared" si="6"/>
        <v>0.11091695442598047</v>
      </c>
    </row>
    <row r="6" spans="1:29">
      <c r="A6" s="136" t="s">
        <v>573</v>
      </c>
      <c r="B6" s="761"/>
      <c r="C6" s="761"/>
      <c r="D6" s="761"/>
      <c r="E6" s="761"/>
      <c r="F6" s="761"/>
      <c r="G6" s="761"/>
      <c r="H6" s="761">
        <f t="shared" ref="H6:P6" si="7">H4/G4-1</f>
        <v>0.19305019305019311</v>
      </c>
      <c r="I6" s="762">
        <f t="shared" si="7"/>
        <v>0.28478964401294493</v>
      </c>
      <c r="J6" s="762">
        <f t="shared" si="7"/>
        <v>4.0302267002518821E-2</v>
      </c>
      <c r="K6" s="762">
        <f t="shared" si="7"/>
        <v>3.3898305084745672E-2</v>
      </c>
      <c r="L6" s="762">
        <f t="shared" si="7"/>
        <v>-0.18032786885245899</v>
      </c>
      <c r="M6" s="762">
        <f t="shared" si="7"/>
        <v>-3.7142857142857144E-2</v>
      </c>
      <c r="N6" s="762">
        <f t="shared" si="7"/>
        <v>0.12759643916913954</v>
      </c>
      <c r="O6" s="762">
        <f t="shared" si="7"/>
        <v>0.11052631578947358</v>
      </c>
      <c r="P6" s="762">
        <f t="shared" si="7"/>
        <v>0.11611374407582931</v>
      </c>
      <c r="Q6" s="762">
        <f t="shared" ref="Q6:X6" si="8">Q4/P4-1</f>
        <v>0.13588110403397025</v>
      </c>
      <c r="R6" s="762">
        <f t="shared" si="8"/>
        <v>0.19439252336448609</v>
      </c>
      <c r="S6" s="762">
        <f t="shared" si="8"/>
        <v>0.15023474178403751</v>
      </c>
      <c r="T6" s="762">
        <f t="shared" si="8"/>
        <v>0.11292517006802716</v>
      </c>
      <c r="U6" s="762">
        <f t="shared" si="8"/>
        <v>0.13080684596577008</v>
      </c>
      <c r="V6" s="762">
        <f t="shared" si="8"/>
        <v>6.9584479357670093E-2</v>
      </c>
      <c r="W6" s="762">
        <f t="shared" si="8"/>
        <v>6.6595698620986576E-2</v>
      </c>
      <c r="X6" s="762">
        <f t="shared" si="8"/>
        <v>6.567635548816253E-2</v>
      </c>
      <c r="Y6" s="762">
        <f>Y4/X4-1</f>
        <v>6.487042197509818E-2</v>
      </c>
      <c r="Z6" s="762">
        <f>Z4/Y4-1</f>
        <v>7.7584726077140953E-2</v>
      </c>
      <c r="AA6" s="762">
        <f>AA4/Z4-1</f>
        <v>3.9887848306361384E-2</v>
      </c>
    </row>
    <row r="7" spans="1:29">
      <c r="A7" s="136"/>
      <c r="B7" s="761"/>
      <c r="C7" s="761"/>
      <c r="D7" s="761"/>
      <c r="E7" s="761"/>
      <c r="F7" s="761"/>
      <c r="G7" s="761"/>
      <c r="H7" s="761"/>
      <c r="I7" s="761"/>
      <c r="J7" s="761"/>
      <c r="K7" s="761"/>
      <c r="L7" s="761"/>
      <c r="M7" s="761"/>
      <c r="N7" s="761"/>
      <c r="O7" s="761"/>
      <c r="P7" s="761"/>
      <c r="Q7" s="761"/>
      <c r="R7" s="761"/>
      <c r="S7" s="761"/>
      <c r="T7" s="761"/>
      <c r="U7" s="761"/>
      <c r="V7" s="761"/>
      <c r="W7" s="761"/>
      <c r="X7" s="761"/>
      <c r="Y7" s="761"/>
      <c r="Z7" s="761"/>
      <c r="AA7" s="761"/>
    </row>
    <row r="8" spans="1:29">
      <c r="A8" s="113" t="s">
        <v>513</v>
      </c>
      <c r="B8" s="165">
        <v>11042</v>
      </c>
      <c r="C8" s="165">
        <v>13455</v>
      </c>
      <c r="D8" s="165">
        <v>13824</v>
      </c>
      <c r="E8" s="165">
        <v>15064</v>
      </c>
      <c r="F8" s="165">
        <v>14550</v>
      </c>
      <c r="G8" s="165">
        <v>13814</v>
      </c>
      <c r="H8" s="165">
        <v>12942</v>
      </c>
      <c r="I8" s="168">
        <v>12420</v>
      </c>
      <c r="J8" s="168">
        <v>12227</v>
      </c>
      <c r="K8" s="168">
        <v>11769</v>
      </c>
      <c r="L8" s="165">
        <v>11269</v>
      </c>
      <c r="M8" s="165">
        <v>11201</v>
      </c>
      <c r="N8" s="165">
        <v>14943</v>
      </c>
      <c r="O8" s="165">
        <v>16627</v>
      </c>
      <c r="P8" s="165">
        <v>15782</v>
      </c>
      <c r="Q8" s="165">
        <v>17985</v>
      </c>
      <c r="R8" s="165">
        <v>20774</v>
      </c>
      <c r="S8" s="165">
        <v>21525</v>
      </c>
      <c r="T8" s="165">
        <v>24064</v>
      </c>
      <c r="U8" s="165">
        <v>29028</v>
      </c>
      <c r="V8" s="764"/>
      <c r="W8" s="764"/>
      <c r="X8" s="764"/>
      <c r="Y8" s="764"/>
      <c r="Z8" s="764"/>
      <c r="AA8" s="764"/>
    </row>
    <row r="9" spans="1:29">
      <c r="A9" s="113" t="s">
        <v>514</v>
      </c>
      <c r="B9" s="165">
        <v>4885</v>
      </c>
      <c r="C9" s="165">
        <v>6584</v>
      </c>
      <c r="D9" s="165">
        <v>4855</v>
      </c>
      <c r="E9" s="165">
        <v>5810</v>
      </c>
      <c r="F9" s="165">
        <v>4316</v>
      </c>
      <c r="G9" s="165">
        <v>4679</v>
      </c>
      <c r="H9" s="165">
        <v>5392</v>
      </c>
      <c r="I9" s="168">
        <v>5775</v>
      </c>
      <c r="J9" s="168">
        <v>5469</v>
      </c>
      <c r="K9" s="168">
        <v>6168</v>
      </c>
      <c r="L9" s="165">
        <v>6057</v>
      </c>
      <c r="M9" s="165">
        <v>6544</v>
      </c>
      <c r="N9" s="165">
        <v>6339</v>
      </c>
      <c r="O9" s="165">
        <v>7179</v>
      </c>
      <c r="P9" s="165">
        <v>5519</v>
      </c>
      <c r="Q9" s="165">
        <v>8552</v>
      </c>
      <c r="R9" s="165">
        <v>9338</v>
      </c>
      <c r="S9" s="165">
        <v>8597</v>
      </c>
      <c r="T9" s="165">
        <v>10071</v>
      </c>
      <c r="U9" s="165">
        <v>13707</v>
      </c>
      <c r="V9" s="764"/>
      <c r="W9" s="764"/>
      <c r="X9" s="764"/>
      <c r="Y9" s="764"/>
      <c r="Z9" s="764"/>
      <c r="AA9" s="764"/>
    </row>
    <row r="10" spans="1:29">
      <c r="A10" s="113" t="s">
        <v>232</v>
      </c>
      <c r="B10" s="765">
        <f t="shared" ref="B10:U10" si="9">B9/B2</f>
        <v>1.2845122271890612</v>
      </c>
      <c r="C10" s="765">
        <f t="shared" si="9"/>
        <v>1.5781399808245447</v>
      </c>
      <c r="D10" s="765">
        <f t="shared" si="9"/>
        <v>1.082255907267053</v>
      </c>
      <c r="E10" s="765">
        <f t="shared" si="9"/>
        <v>1.2713347921225382</v>
      </c>
      <c r="F10" s="765">
        <f t="shared" si="9"/>
        <v>0.89358178053830228</v>
      </c>
      <c r="G10" s="765">
        <f t="shared" si="9"/>
        <v>0.86408125577100647</v>
      </c>
      <c r="H10" s="765">
        <f t="shared" si="9"/>
        <v>0.8607918263090677</v>
      </c>
      <c r="I10" s="765">
        <f t="shared" si="9"/>
        <v>0.91710338256312529</v>
      </c>
      <c r="J10" s="765">
        <f t="shared" si="9"/>
        <v>0.83828939301042305</v>
      </c>
      <c r="K10" s="765">
        <f t="shared" si="9"/>
        <v>0.90893015030946067</v>
      </c>
      <c r="L10" s="765">
        <f t="shared" si="9"/>
        <v>0.91055321707757064</v>
      </c>
      <c r="M10" s="765">
        <f t="shared" si="9"/>
        <v>1.0145736434108528</v>
      </c>
      <c r="N10" s="765">
        <f t="shared" si="9"/>
        <v>1.0682507583417593</v>
      </c>
      <c r="O10" s="765">
        <f t="shared" si="9"/>
        <v>1.1951057100049942</v>
      </c>
      <c r="P10" s="765">
        <f t="shared" si="9"/>
        <v>0.8828987362022076</v>
      </c>
      <c r="Q10" s="765">
        <f t="shared" si="9"/>
        <v>1.3138730987862959</v>
      </c>
      <c r="R10" s="765">
        <f t="shared" si="9"/>
        <v>1.3249148694665154</v>
      </c>
      <c r="S10" s="765">
        <f t="shared" si="9"/>
        <v>1.1717323156603516</v>
      </c>
      <c r="T10" s="765">
        <f t="shared" si="9"/>
        <v>1.2682281828485078</v>
      </c>
      <c r="U10" s="765">
        <f t="shared" si="9"/>
        <v>1.5277530093624609</v>
      </c>
      <c r="V10" s="113"/>
      <c r="W10" s="113"/>
      <c r="X10" s="113"/>
      <c r="Y10" s="113"/>
      <c r="Z10" s="113"/>
      <c r="AA10" s="113"/>
    </row>
    <row r="11" spans="1:29">
      <c r="A11" s="113" t="s">
        <v>515</v>
      </c>
      <c r="B11" s="165">
        <v>1074</v>
      </c>
      <c r="C11" s="165">
        <v>1388</v>
      </c>
      <c r="D11" s="165">
        <v>1515</v>
      </c>
      <c r="E11" s="165">
        <v>1303</v>
      </c>
      <c r="F11" s="165">
        <v>1122</v>
      </c>
      <c r="G11" s="165">
        <v>1076</v>
      </c>
      <c r="H11" s="165">
        <v>1070</v>
      </c>
      <c r="I11" s="165">
        <v>995</v>
      </c>
      <c r="J11" s="165">
        <v>893</v>
      </c>
      <c r="K11" s="165">
        <v>831</v>
      </c>
      <c r="L11" s="165">
        <v>766</v>
      </c>
      <c r="M11" s="165">
        <v>692</v>
      </c>
      <c r="N11" s="165">
        <v>717</v>
      </c>
      <c r="O11" s="165">
        <v>695</v>
      </c>
      <c r="P11" s="165">
        <v>663</v>
      </c>
      <c r="Q11" s="165">
        <v>739</v>
      </c>
      <c r="R11" s="165">
        <v>757</v>
      </c>
      <c r="S11" s="165">
        <v>804</v>
      </c>
      <c r="T11" s="165">
        <v>893</v>
      </c>
      <c r="U11" s="165">
        <v>1037</v>
      </c>
      <c r="V11" s="764"/>
      <c r="W11" s="764"/>
      <c r="X11" s="764"/>
      <c r="Y11" s="764"/>
      <c r="Z11" s="764"/>
      <c r="AA11" s="764"/>
    </row>
    <row r="12" spans="1:29">
      <c r="A12" s="113" t="s">
        <v>516</v>
      </c>
      <c r="G12" s="165">
        <v>457</v>
      </c>
      <c r="H12" s="165">
        <v>469</v>
      </c>
      <c r="I12" s="165">
        <v>422</v>
      </c>
      <c r="J12" s="165">
        <v>369</v>
      </c>
      <c r="K12" s="165">
        <v>333</v>
      </c>
      <c r="L12" s="165">
        <v>353</v>
      </c>
      <c r="M12" s="165">
        <v>335</v>
      </c>
      <c r="N12" s="165">
        <v>381</v>
      </c>
      <c r="O12" s="165">
        <v>310</v>
      </c>
      <c r="P12" s="165">
        <v>268</v>
      </c>
      <c r="Q12" s="165">
        <v>414</v>
      </c>
      <c r="R12" s="165">
        <v>362</v>
      </c>
      <c r="S12" s="165">
        <v>393</v>
      </c>
      <c r="T12" s="165">
        <v>450</v>
      </c>
      <c r="U12" s="165">
        <v>536</v>
      </c>
      <c r="V12" s="764"/>
      <c r="W12" s="764"/>
      <c r="X12" s="764"/>
      <c r="Y12" s="764"/>
      <c r="Z12" s="764"/>
      <c r="AA12" s="764"/>
    </row>
    <row r="13" spans="1:29">
      <c r="L13" s="764"/>
      <c r="M13" s="764"/>
      <c r="N13" s="764"/>
      <c r="O13" s="764"/>
      <c r="P13" s="764"/>
      <c r="Q13" s="764"/>
      <c r="R13" s="764"/>
      <c r="S13" s="764"/>
      <c r="T13" s="764"/>
      <c r="U13" s="764"/>
      <c r="V13" s="764"/>
      <c r="W13" s="764"/>
      <c r="X13" s="764"/>
      <c r="Y13" s="764"/>
      <c r="Z13" s="764"/>
      <c r="AA13" s="764"/>
    </row>
    <row r="14" spans="1:29">
      <c r="A14" s="113" t="s">
        <v>233</v>
      </c>
      <c r="B14" s="168">
        <v>78</v>
      </c>
      <c r="C14" s="168">
        <v>93</v>
      </c>
      <c r="D14" s="168">
        <v>134</v>
      </c>
      <c r="E14" s="168">
        <v>164</v>
      </c>
      <c r="F14" s="168">
        <v>189</v>
      </c>
      <c r="G14" s="168">
        <v>235</v>
      </c>
      <c r="H14" s="168">
        <v>297</v>
      </c>
      <c r="I14" s="168">
        <v>306</v>
      </c>
      <c r="J14" s="165">
        <v>325</v>
      </c>
      <c r="K14" s="165">
        <v>325</v>
      </c>
      <c r="L14" s="764">
        <f>L15*L2</f>
        <v>318.58237547892719</v>
      </c>
      <c r="M14" s="764">
        <f>M15*M2</f>
        <v>308.90804597701151</v>
      </c>
      <c r="N14" s="165">
        <v>315</v>
      </c>
      <c r="O14" s="165">
        <v>291</v>
      </c>
      <c r="P14" s="165">
        <v>273</v>
      </c>
      <c r="Q14" s="165">
        <v>275</v>
      </c>
      <c r="R14" s="165">
        <v>275</v>
      </c>
      <c r="S14" s="165">
        <v>335</v>
      </c>
      <c r="T14" s="165">
        <v>338</v>
      </c>
      <c r="U14" s="165">
        <v>346</v>
      </c>
      <c r="V14" s="764">
        <f t="shared" ref="V14:Z14" si="10">V15*V2</f>
        <v>371.80330890097991</v>
      </c>
      <c r="W14" s="764">
        <f t="shared" si="10"/>
        <v>391.0355759335078</v>
      </c>
      <c r="X14" s="764">
        <f t="shared" si="10"/>
        <v>409.5282042058875</v>
      </c>
      <c r="Y14" s="764">
        <f t="shared" si="10"/>
        <v>428.26669521639047</v>
      </c>
      <c r="Z14" s="764">
        <f t="shared" si="10"/>
        <v>447.2742299413012</v>
      </c>
      <c r="AA14" s="764">
        <f t="shared" ref="AA14" si="11">AA15*AA2</f>
        <v>466.55792965306449</v>
      </c>
    </row>
    <row r="15" spans="1:29">
      <c r="A15" s="113" t="s">
        <v>47</v>
      </c>
      <c r="B15" s="762">
        <f t="shared" ref="B15:K15" si="12">B14/B2</f>
        <v>2.0510123586642125E-2</v>
      </c>
      <c r="C15" s="762">
        <f t="shared" si="12"/>
        <v>2.2291466922339406E-2</v>
      </c>
      <c r="D15" s="762">
        <f t="shared" si="12"/>
        <v>2.9870708872046365E-2</v>
      </c>
      <c r="E15" s="762">
        <f t="shared" si="12"/>
        <v>3.5886214442013127E-2</v>
      </c>
      <c r="F15" s="762">
        <f t="shared" si="12"/>
        <v>3.9130434782608699E-2</v>
      </c>
      <c r="G15" s="762">
        <f t="shared" si="12"/>
        <v>4.339796860572484E-2</v>
      </c>
      <c r="H15" s="762">
        <f t="shared" si="12"/>
        <v>4.7413793103448273E-2</v>
      </c>
      <c r="I15" s="762">
        <f t="shared" si="12"/>
        <v>4.8594568842305862E-2</v>
      </c>
      <c r="J15" s="762">
        <f t="shared" si="12"/>
        <v>4.9816063764561616E-2</v>
      </c>
      <c r="K15" s="762">
        <f t="shared" si="12"/>
        <v>4.7892720306513412E-2</v>
      </c>
      <c r="L15" s="762">
        <f>K15</f>
        <v>4.7892720306513412E-2</v>
      </c>
      <c r="M15" s="762">
        <f>L15</f>
        <v>4.7892720306513412E-2</v>
      </c>
      <c r="N15" s="762">
        <f t="shared" ref="N15:U15" si="13">N14/N2</f>
        <v>5.3083923154701722E-2</v>
      </c>
      <c r="O15" s="762">
        <f t="shared" si="13"/>
        <v>4.8443482603629101E-2</v>
      </c>
      <c r="P15" s="762">
        <f t="shared" si="13"/>
        <v>4.3673012318029114E-2</v>
      </c>
      <c r="Q15" s="762">
        <f t="shared" si="13"/>
        <v>4.224919342448917E-2</v>
      </c>
      <c r="R15" s="762">
        <f t="shared" si="13"/>
        <v>3.9018161180476733E-2</v>
      </c>
      <c r="S15" s="762">
        <f t="shared" si="13"/>
        <v>4.5658988687474443E-2</v>
      </c>
      <c r="T15" s="762">
        <f t="shared" si="13"/>
        <v>4.2563908827603573E-2</v>
      </c>
      <c r="U15" s="762">
        <f t="shared" si="13"/>
        <v>3.8564422648238963E-2</v>
      </c>
      <c r="V15" s="620">
        <f t="shared" ref="V15:W15" si="14">U15</f>
        <v>3.8564422648238963E-2</v>
      </c>
      <c r="W15" s="620">
        <f t="shared" si="14"/>
        <v>3.8564422648238963E-2</v>
      </c>
      <c r="X15" s="620">
        <f>W15</f>
        <v>3.8564422648238963E-2</v>
      </c>
      <c r="Y15" s="620">
        <f t="shared" ref="Y15:AA15" si="15">X15</f>
        <v>3.8564422648238963E-2</v>
      </c>
      <c r="Z15" s="620">
        <f t="shared" si="15"/>
        <v>3.8564422648238963E-2</v>
      </c>
      <c r="AA15" s="620">
        <f t="shared" si="15"/>
        <v>3.8564422648238963E-2</v>
      </c>
    </row>
    <row r="16" spans="1:29">
      <c r="A16" s="113" t="s">
        <v>221</v>
      </c>
      <c r="G16" s="168">
        <v>503</v>
      </c>
      <c r="H16" s="168">
        <v>475</v>
      </c>
      <c r="I16" s="168">
        <v>497</v>
      </c>
      <c r="J16" s="168">
        <v>471</v>
      </c>
      <c r="K16" s="168">
        <v>395</v>
      </c>
      <c r="T16" s="113"/>
      <c r="U16" s="113"/>
      <c r="V16" s="113"/>
      <c r="W16" s="113"/>
      <c r="X16" s="113"/>
      <c r="Y16" s="113"/>
      <c r="Z16" s="113"/>
      <c r="AA16" s="113"/>
    </row>
    <row r="17" spans="1:29">
      <c r="C17" s="168" t="s">
        <v>286</v>
      </c>
      <c r="D17" s="113">
        <f t="shared" ref="D17:K17" si="16">D19+D22</f>
        <v>4486</v>
      </c>
      <c r="E17" s="113">
        <f t="shared" si="16"/>
        <v>4570</v>
      </c>
      <c r="F17" s="113">
        <f t="shared" si="16"/>
        <v>4830</v>
      </c>
      <c r="G17" s="113">
        <f t="shared" si="16"/>
        <v>5415</v>
      </c>
      <c r="H17" s="113">
        <f t="shared" si="16"/>
        <v>6264</v>
      </c>
      <c r="I17" s="113">
        <f t="shared" si="16"/>
        <v>6297</v>
      </c>
      <c r="J17" s="113">
        <f t="shared" si="16"/>
        <v>6524</v>
      </c>
      <c r="K17" s="113">
        <f t="shared" si="16"/>
        <v>6786</v>
      </c>
      <c r="T17" s="113"/>
      <c r="U17" s="113"/>
      <c r="V17" s="910"/>
      <c r="W17" s="910"/>
      <c r="X17" s="910"/>
      <c r="Y17" s="910"/>
      <c r="Z17" s="910"/>
      <c r="AA17" s="910"/>
    </row>
    <row r="18" spans="1:29">
      <c r="A18" s="227" t="s">
        <v>241</v>
      </c>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c r="AA18" s="227"/>
    </row>
    <row r="19" spans="1:29">
      <c r="A19" s="143" t="s">
        <v>209</v>
      </c>
      <c r="B19" s="143"/>
      <c r="C19" s="143"/>
      <c r="D19" s="143">
        <v>2986</v>
      </c>
      <c r="E19" s="143">
        <v>2970</v>
      </c>
      <c r="F19" s="143">
        <v>3130</v>
      </c>
      <c r="G19" s="143">
        <v>3315</v>
      </c>
      <c r="H19" s="143">
        <v>3764</v>
      </c>
      <c r="I19" s="766">
        <v>3463.35</v>
      </c>
      <c r="J19" s="766">
        <v>3653.44</v>
      </c>
      <c r="K19" s="766">
        <v>3596.5800000000004</v>
      </c>
      <c r="L19" s="766">
        <v>3525.5600000000004</v>
      </c>
      <c r="M19" s="767">
        <v>3612.0000000000005</v>
      </c>
      <c r="N19" s="767">
        <v>3382.3799999999997</v>
      </c>
      <c r="O19" s="767">
        <v>3423.99</v>
      </c>
      <c r="P19" s="767">
        <v>3563.0699999999997</v>
      </c>
      <c r="Q19" s="766">
        <v>3941.5682687193835</v>
      </c>
      <c r="R19" s="766">
        <v>3940.570908327501</v>
      </c>
      <c r="S19" s="766">
        <v>3940.570908327501</v>
      </c>
      <c r="T19" s="766">
        <f>T2*54%</f>
        <v>4288.1400000000003</v>
      </c>
      <c r="U19" s="766">
        <f>U2*57%</f>
        <v>5114.04</v>
      </c>
      <c r="V19" s="766">
        <f>U19*(1+V41)</f>
        <v>5563.1362065306121</v>
      </c>
      <c r="W19" s="766">
        <f t="shared" ref="W19:AA19" si="17">V19*(1+W41)</f>
        <v>5811.8411192931571</v>
      </c>
      <c r="X19" s="766">
        <f t="shared" si="17"/>
        <v>6041.3667287145172</v>
      </c>
      <c r="Y19" s="766">
        <f t="shared" si="17"/>
        <v>6277.2677152643219</v>
      </c>
      <c r="Z19" s="766">
        <f t="shared" si="17"/>
        <v>6520.145176396979</v>
      </c>
      <c r="AA19" s="766">
        <f t="shared" si="17"/>
        <v>6770.1837712349543</v>
      </c>
    </row>
    <row r="20" spans="1:29">
      <c r="I20" s="764"/>
      <c r="J20" s="764"/>
      <c r="K20" s="761"/>
      <c r="L20" s="764"/>
      <c r="M20" s="764"/>
      <c r="N20" s="761">
        <f t="shared" ref="N20:X20" si="18">N19/M19-1</f>
        <v>-6.3571428571428834E-2</v>
      </c>
      <c r="O20" s="761">
        <f t="shared" si="18"/>
        <v>1.2301988540613484E-2</v>
      </c>
      <c r="P20" s="761">
        <f t="shared" si="18"/>
        <v>4.0619277509572171E-2</v>
      </c>
      <c r="Q20" s="761">
        <f t="shared" si="18"/>
        <v>0.10622813156053179</v>
      </c>
      <c r="R20" s="761">
        <f t="shared" si="18"/>
        <v>-2.5303643724694513E-4</v>
      </c>
      <c r="S20" s="761">
        <f t="shared" si="18"/>
        <v>0</v>
      </c>
      <c r="T20" s="761">
        <f t="shared" si="18"/>
        <v>8.8202724873695626E-2</v>
      </c>
      <c r="U20" s="761">
        <f t="shared" si="18"/>
        <v>0.19260098784088187</v>
      </c>
      <c r="V20" s="761">
        <f t="shared" si="18"/>
        <v>8.7816326530612221E-2</v>
      </c>
      <c r="W20" s="761">
        <f t="shared" si="18"/>
        <v>4.4705882352941151E-2</v>
      </c>
      <c r="X20" s="761">
        <f t="shared" si="18"/>
        <v>3.9492753623188381E-2</v>
      </c>
      <c r="Y20" s="761">
        <f>Y19/X19-1</f>
        <v>3.9047619047618998E-2</v>
      </c>
      <c r="Z20" s="761">
        <f>Z19/Y19-1</f>
        <v>3.8691588785046749E-2</v>
      </c>
      <c r="AA20" s="761">
        <f>AA19/Z19-1</f>
        <v>3.8348623853210917E-2</v>
      </c>
    </row>
    <row r="21" spans="1:29">
      <c r="A21" s="227" t="s">
        <v>220</v>
      </c>
      <c r="B21" s="227"/>
      <c r="C21" s="227"/>
      <c r="D21" s="227"/>
      <c r="E21" s="227"/>
      <c r="F21" s="227"/>
      <c r="G21" s="227"/>
      <c r="H21" s="227"/>
      <c r="I21" s="760"/>
      <c r="J21" s="760"/>
      <c r="K21" s="760"/>
      <c r="L21" s="760"/>
      <c r="M21" s="760"/>
      <c r="N21" s="760"/>
      <c r="O21" s="760"/>
      <c r="P21" s="760"/>
      <c r="Q21" s="760"/>
      <c r="R21" s="760"/>
      <c r="S21" s="760"/>
      <c r="T21" s="760"/>
      <c r="U21" s="760"/>
      <c r="V21" s="760"/>
      <c r="W21" s="760"/>
      <c r="X21" s="760"/>
      <c r="Y21" s="760"/>
      <c r="Z21" s="760"/>
      <c r="AA21" s="760"/>
    </row>
    <row r="22" spans="1:29">
      <c r="A22" s="143" t="s">
        <v>209</v>
      </c>
      <c r="B22" s="143"/>
      <c r="C22" s="143"/>
      <c r="D22" s="172">
        <v>1500</v>
      </c>
      <c r="E22" s="172">
        <v>1600</v>
      </c>
      <c r="F22" s="172">
        <v>1700</v>
      </c>
      <c r="G22" s="172">
        <v>2100</v>
      </c>
      <c r="H22" s="172">
        <v>2500</v>
      </c>
      <c r="I22" s="766">
        <f>I2*0.45</f>
        <v>2833.65</v>
      </c>
      <c r="J22" s="766">
        <f>0.44*J2</f>
        <v>2870.56</v>
      </c>
      <c r="K22" s="766">
        <f>0.47*K2</f>
        <v>3189.4199999999996</v>
      </c>
      <c r="L22" s="766">
        <f>0.47*L2</f>
        <v>3126.4399999999996</v>
      </c>
      <c r="M22" s="767">
        <f>M2*0.44</f>
        <v>2838</v>
      </c>
      <c r="N22" s="766">
        <f>N2-N19</f>
        <v>2551.6200000000003</v>
      </c>
      <c r="O22" s="766">
        <f>O2-O19</f>
        <v>2583.0100000000002</v>
      </c>
      <c r="P22" s="766">
        <f>P2-P19</f>
        <v>2687.9300000000003</v>
      </c>
      <c r="Q22" s="766">
        <f t="shared" ref="Q22:T22" si="19">Q2-Q19</f>
        <v>2567.4317312806165</v>
      </c>
      <c r="R22" s="766">
        <f t="shared" si="19"/>
        <v>3107.429091672499</v>
      </c>
      <c r="S22" s="766">
        <f t="shared" si="19"/>
        <v>3396.429091672499</v>
      </c>
      <c r="T22" s="766">
        <f t="shared" si="19"/>
        <v>3652.8599999999997</v>
      </c>
      <c r="U22" s="766">
        <f>U2*43%</f>
        <v>3857.96</v>
      </c>
      <c r="V22" s="766">
        <f>U22+220</f>
        <v>4077.96</v>
      </c>
      <c r="W22" s="766">
        <f t="shared" ref="W22:X22" si="20">V22+250</f>
        <v>4327.96</v>
      </c>
      <c r="X22" s="766">
        <f t="shared" si="20"/>
        <v>4577.96</v>
      </c>
      <c r="Y22" s="766">
        <f>X22+250</f>
        <v>4827.96</v>
      </c>
      <c r="Z22" s="766">
        <f>Y22+250</f>
        <v>5077.96</v>
      </c>
      <c r="AA22" s="766">
        <f>Z22+250</f>
        <v>5327.96</v>
      </c>
    </row>
    <row r="23" spans="1:29">
      <c r="E23" s="761"/>
      <c r="F23" s="761"/>
      <c r="G23" s="761"/>
      <c r="H23" s="761"/>
      <c r="I23" s="761"/>
      <c r="J23" s="761"/>
      <c r="K23" s="761"/>
      <c r="L23" s="761"/>
      <c r="M23" s="761"/>
      <c r="N23" s="761">
        <f t="shared" ref="N23:X23" si="21">N22/M22-1</f>
        <v>-0.10090909090909084</v>
      </c>
      <c r="O23" s="761">
        <f t="shared" si="21"/>
        <v>1.2301988540613262E-2</v>
      </c>
      <c r="P23" s="761">
        <f t="shared" si="21"/>
        <v>4.0619277509572171E-2</v>
      </c>
      <c r="Q23" s="761">
        <f t="shared" si="21"/>
        <v>-4.4829392402102597E-2</v>
      </c>
      <c r="R23" s="761">
        <f t="shared" si="21"/>
        <v>0.21032588863522994</v>
      </c>
      <c r="S23" s="761">
        <f t="shared" si="21"/>
        <v>9.300292668768595E-2</v>
      </c>
      <c r="T23" s="761">
        <f t="shared" si="21"/>
        <v>7.550015071895011E-2</v>
      </c>
      <c r="U23" s="761">
        <f t="shared" si="21"/>
        <v>5.6147785570758391E-2</v>
      </c>
      <c r="V23" s="761">
        <f t="shared" si="21"/>
        <v>5.702495619446557E-2</v>
      </c>
      <c r="W23" s="761">
        <f t="shared" si="21"/>
        <v>6.1305162385114187E-2</v>
      </c>
      <c r="X23" s="761">
        <f t="shared" si="21"/>
        <v>5.7763934971672537E-2</v>
      </c>
      <c r="Y23" s="761">
        <f>Y22/X22-1</f>
        <v>5.4609476710150373E-2</v>
      </c>
      <c r="Z23" s="761">
        <f>Z22/Y22-1</f>
        <v>5.1781704902277514E-2</v>
      </c>
      <c r="AA23" s="761">
        <f>AA22/Z22-1</f>
        <v>4.923236890404814E-2</v>
      </c>
    </row>
    <row r="24" spans="1:29">
      <c r="T24" s="113"/>
      <c r="U24" s="113"/>
      <c r="V24" s="113"/>
      <c r="W24" s="113"/>
      <c r="X24" s="113"/>
      <c r="Y24" s="113"/>
      <c r="Z24" s="113"/>
      <c r="AA24" s="113"/>
    </row>
    <row r="25" spans="1:29">
      <c r="A25" s="227" t="s">
        <v>281</v>
      </c>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C25" s="36"/>
    </row>
    <row r="26" spans="1:29">
      <c r="A26" s="113" t="s">
        <v>216</v>
      </c>
      <c r="B26" s="168">
        <v>9</v>
      </c>
      <c r="C26" s="168">
        <v>10</v>
      </c>
      <c r="D26" s="168">
        <v>15</v>
      </c>
      <c r="E26" s="168">
        <v>7</v>
      </c>
      <c r="F26" s="168">
        <v>15</v>
      </c>
      <c r="G26" s="168">
        <v>16</v>
      </c>
      <c r="H26" s="168">
        <v>10</v>
      </c>
      <c r="I26" s="113">
        <f>11</f>
        <v>11</v>
      </c>
      <c r="J26" s="168">
        <v>12</v>
      </c>
      <c r="K26" s="168">
        <v>16</v>
      </c>
      <c r="L26" s="165">
        <v>19</v>
      </c>
      <c r="M26" s="165">
        <v>17</v>
      </c>
      <c r="N26" s="165">
        <v>11</v>
      </c>
      <c r="O26" s="167">
        <v>4</v>
      </c>
      <c r="P26" s="165">
        <v>1</v>
      </c>
      <c r="Q26" s="165">
        <v>0</v>
      </c>
      <c r="R26" s="165">
        <v>0</v>
      </c>
      <c r="S26" s="165">
        <v>0</v>
      </c>
      <c r="T26" s="165">
        <v>0</v>
      </c>
      <c r="U26" s="167">
        <f t="shared" ref="U26:AA28" si="22">T26</f>
        <v>0</v>
      </c>
      <c r="V26" s="165">
        <f t="shared" si="22"/>
        <v>0</v>
      </c>
      <c r="W26" s="165">
        <f t="shared" si="22"/>
        <v>0</v>
      </c>
      <c r="X26" s="165">
        <f t="shared" si="22"/>
        <v>0</v>
      </c>
      <c r="Y26" s="165">
        <f t="shared" si="22"/>
        <v>0</v>
      </c>
      <c r="Z26" s="165">
        <f t="shared" si="22"/>
        <v>0</v>
      </c>
      <c r="AA26" s="165">
        <f t="shared" si="22"/>
        <v>0</v>
      </c>
    </row>
    <row r="27" spans="1:29">
      <c r="A27" s="113" t="s">
        <v>282</v>
      </c>
      <c r="B27" s="168">
        <v>217</v>
      </c>
      <c r="C27" s="168">
        <v>275</v>
      </c>
      <c r="D27" s="168">
        <v>302</v>
      </c>
      <c r="E27" s="168">
        <v>284</v>
      </c>
      <c r="F27" s="168">
        <v>260</v>
      </c>
      <c r="G27" s="168">
        <v>237</v>
      </c>
      <c r="H27" s="168">
        <v>227</v>
      </c>
      <c r="I27" s="113">
        <f>ROUND(H27*1.01,0)</f>
        <v>229</v>
      </c>
      <c r="J27" s="168">
        <v>226</v>
      </c>
      <c r="K27" s="168">
        <v>178</v>
      </c>
      <c r="L27" s="165">
        <v>177</v>
      </c>
      <c r="M27" s="165">
        <v>166</v>
      </c>
      <c r="N27" s="165">
        <v>150</v>
      </c>
      <c r="O27" s="167">
        <v>159</v>
      </c>
      <c r="P27" s="165">
        <v>123</v>
      </c>
      <c r="Q27" s="165">
        <v>159</v>
      </c>
      <c r="R27" s="165">
        <f>ROUND(Q27*1.05,0)</f>
        <v>167</v>
      </c>
      <c r="S27" s="165">
        <v>179</v>
      </c>
      <c r="T27" s="165">
        <v>170</v>
      </c>
      <c r="U27" s="142">
        <f>(T27/$T$32)*$U$32</f>
        <v>184.5983379501385</v>
      </c>
      <c r="V27" s="764">
        <f>U27+10</f>
        <v>194.5983379501385</v>
      </c>
      <c r="W27" s="764">
        <f t="shared" si="22"/>
        <v>194.5983379501385</v>
      </c>
      <c r="X27" s="764">
        <f t="shared" si="22"/>
        <v>194.5983379501385</v>
      </c>
      <c r="Y27" s="764">
        <f t="shared" si="22"/>
        <v>194.5983379501385</v>
      </c>
      <c r="Z27" s="764">
        <f t="shared" si="22"/>
        <v>194.5983379501385</v>
      </c>
      <c r="AA27" s="764">
        <f t="shared" si="22"/>
        <v>194.5983379501385</v>
      </c>
    </row>
    <row r="28" spans="1:29">
      <c r="A28" s="113" t="s">
        <v>218</v>
      </c>
      <c r="B28" s="168">
        <v>134</v>
      </c>
      <c r="C28" s="168">
        <v>172</v>
      </c>
      <c r="D28" s="168">
        <v>229</v>
      </c>
      <c r="E28" s="168">
        <v>219</v>
      </c>
      <c r="F28" s="168">
        <v>197</v>
      </c>
      <c r="G28" s="168">
        <v>189</v>
      </c>
      <c r="H28" s="168">
        <v>168</v>
      </c>
      <c r="I28" s="113">
        <f>ROUND(H28*1.01,0)</f>
        <v>170</v>
      </c>
      <c r="J28" s="168">
        <v>432</v>
      </c>
      <c r="K28" s="168">
        <v>124</v>
      </c>
      <c r="L28" s="165">
        <v>165</v>
      </c>
      <c r="M28" s="165">
        <v>178</v>
      </c>
      <c r="N28" s="165">
        <v>152</v>
      </c>
      <c r="O28" s="167">
        <v>122</v>
      </c>
      <c r="P28" s="165">
        <v>126</v>
      </c>
      <c r="Q28" s="165">
        <v>121</v>
      </c>
      <c r="R28" s="165">
        <v>123</v>
      </c>
      <c r="S28" s="165">
        <v>132</v>
      </c>
      <c r="T28" s="165">
        <v>165</v>
      </c>
      <c r="U28" s="142">
        <f t="shared" ref="U28:U29" si="23">(T28/$T$32)*$U$32</f>
        <v>179.1689750692521</v>
      </c>
      <c r="V28" s="764">
        <f>U28</f>
        <v>179.1689750692521</v>
      </c>
      <c r="W28" s="764">
        <f t="shared" si="22"/>
        <v>179.1689750692521</v>
      </c>
      <c r="X28" s="764">
        <f t="shared" si="22"/>
        <v>179.1689750692521</v>
      </c>
      <c r="Y28" s="764">
        <f t="shared" si="22"/>
        <v>179.1689750692521</v>
      </c>
      <c r="Z28" s="764">
        <f t="shared" si="22"/>
        <v>179.1689750692521</v>
      </c>
      <c r="AA28" s="764">
        <f t="shared" si="22"/>
        <v>179.1689750692521</v>
      </c>
    </row>
    <row r="29" spans="1:29">
      <c r="A29" s="113" t="s">
        <v>217</v>
      </c>
      <c r="B29" s="168">
        <v>21</v>
      </c>
      <c r="C29" s="168">
        <v>31</v>
      </c>
      <c r="D29" s="168">
        <v>42</v>
      </c>
      <c r="E29" s="168">
        <v>48</v>
      </c>
      <c r="F29" s="168">
        <v>55</v>
      </c>
      <c r="G29" s="168">
        <v>61</v>
      </c>
      <c r="H29" s="168">
        <v>70</v>
      </c>
      <c r="I29" s="113">
        <f>(H29+8)</f>
        <v>78</v>
      </c>
      <c r="J29" s="168">
        <v>101</v>
      </c>
      <c r="K29" s="168">
        <v>77</v>
      </c>
      <c r="L29" s="165">
        <v>57</v>
      </c>
      <c r="M29" s="165">
        <v>48</v>
      </c>
      <c r="N29" s="165">
        <v>43</v>
      </c>
      <c r="O29" s="167">
        <v>47</v>
      </c>
      <c r="P29" s="165">
        <v>50</v>
      </c>
      <c r="Q29" s="165">
        <f t="shared" ref="Q29" si="24">P29+8</f>
        <v>58</v>
      </c>
      <c r="R29" s="165">
        <v>54</v>
      </c>
      <c r="S29" s="165">
        <v>35</v>
      </c>
      <c r="T29" s="165">
        <v>26</v>
      </c>
      <c r="U29" s="142">
        <f t="shared" si="23"/>
        <v>28.232686980609422</v>
      </c>
      <c r="V29" s="764">
        <f>U29+6</f>
        <v>34.232686980609422</v>
      </c>
      <c r="W29" s="764">
        <f>V29+6</f>
        <v>40.232686980609422</v>
      </c>
      <c r="X29" s="764">
        <f>W29+6</f>
        <v>46.232686980609422</v>
      </c>
      <c r="Y29" s="764">
        <f>X29+8</f>
        <v>54.232686980609422</v>
      </c>
      <c r="Z29" s="764">
        <f>Y29+8</f>
        <v>62.232686980609422</v>
      </c>
      <c r="AA29" s="764">
        <f>Z29+8</f>
        <v>70.232686980609429</v>
      </c>
    </row>
    <row r="30" spans="1:29">
      <c r="A30" s="136" t="s">
        <v>283</v>
      </c>
      <c r="B30" s="168">
        <v>3</v>
      </c>
      <c r="C30" s="168">
        <v>8</v>
      </c>
      <c r="D30" s="168">
        <v>14</v>
      </c>
      <c r="E30" s="168">
        <v>15</v>
      </c>
      <c r="F30" s="168">
        <v>28</v>
      </c>
      <c r="G30" s="168">
        <v>32</v>
      </c>
      <c r="H30" s="168">
        <v>35</v>
      </c>
      <c r="J30" s="168">
        <v>53</v>
      </c>
      <c r="K30" s="168">
        <v>35</v>
      </c>
      <c r="L30" s="165">
        <v>38</v>
      </c>
      <c r="M30" s="165">
        <v>40</v>
      </c>
      <c r="N30" s="165">
        <v>35</v>
      </c>
      <c r="O30" s="167">
        <v>32</v>
      </c>
      <c r="P30" s="165">
        <v>28</v>
      </c>
      <c r="Q30" s="165">
        <v>27</v>
      </c>
      <c r="R30" s="165">
        <v>28</v>
      </c>
      <c r="S30" s="165">
        <v>19</v>
      </c>
      <c r="T30" s="165">
        <v>12</v>
      </c>
      <c r="U30" s="167"/>
      <c r="V30" s="764"/>
      <c r="W30" s="764"/>
      <c r="X30" s="764"/>
      <c r="Y30" s="764"/>
      <c r="Z30" s="764"/>
      <c r="AA30" s="764"/>
    </row>
    <row r="31" spans="1:29">
      <c r="A31" s="136" t="s">
        <v>285</v>
      </c>
      <c r="B31" s="113">
        <f>B29-B30</f>
        <v>18</v>
      </c>
      <c r="C31" s="113">
        <f t="shared" ref="C31:H31" si="25">C29-C30</f>
        <v>23</v>
      </c>
      <c r="D31" s="113">
        <f t="shared" si="25"/>
        <v>28</v>
      </c>
      <c r="E31" s="113">
        <f t="shared" si="25"/>
        <v>33</v>
      </c>
      <c r="F31" s="113">
        <f t="shared" si="25"/>
        <v>27</v>
      </c>
      <c r="G31" s="113">
        <f t="shared" si="25"/>
        <v>29</v>
      </c>
      <c r="H31" s="113">
        <f t="shared" si="25"/>
        <v>35</v>
      </c>
      <c r="J31" s="113">
        <f>J29-J30</f>
        <v>48</v>
      </c>
      <c r="K31" s="113">
        <f>K29-K30</f>
        <v>42</v>
      </c>
      <c r="L31" s="764">
        <f>L29-L30</f>
        <v>19</v>
      </c>
      <c r="M31" s="764">
        <f>M29-M30</f>
        <v>8</v>
      </c>
      <c r="N31" s="764">
        <f t="shared" ref="N31:T31" si="26">N29-N30</f>
        <v>8</v>
      </c>
      <c r="O31" s="165">
        <f t="shared" si="26"/>
        <v>15</v>
      </c>
      <c r="P31" s="165">
        <f t="shared" si="26"/>
        <v>22</v>
      </c>
      <c r="Q31" s="165">
        <f t="shared" si="26"/>
        <v>31</v>
      </c>
      <c r="R31" s="165">
        <f t="shared" si="26"/>
        <v>26</v>
      </c>
      <c r="S31" s="165">
        <f t="shared" si="26"/>
        <v>16</v>
      </c>
      <c r="T31" s="165">
        <f t="shared" si="26"/>
        <v>14</v>
      </c>
      <c r="U31" s="167"/>
      <c r="V31" s="764"/>
      <c r="W31" s="764"/>
      <c r="X31" s="764"/>
      <c r="Y31" s="764"/>
      <c r="Z31" s="764"/>
      <c r="AA31" s="764"/>
    </row>
    <row r="32" spans="1:29">
      <c r="A32" s="768" t="s">
        <v>209</v>
      </c>
      <c r="B32" s="146">
        <f t="shared" ref="B32:Z32" si="27">SUM(B26:B29)</f>
        <v>381</v>
      </c>
      <c r="C32" s="146">
        <f t="shared" si="27"/>
        <v>488</v>
      </c>
      <c r="D32" s="146">
        <f t="shared" si="27"/>
        <v>588</v>
      </c>
      <c r="E32" s="146">
        <f t="shared" si="27"/>
        <v>558</v>
      </c>
      <c r="F32" s="146">
        <f t="shared" si="27"/>
        <v>527</v>
      </c>
      <c r="G32" s="146">
        <f t="shared" si="27"/>
        <v>503</v>
      </c>
      <c r="H32" s="146">
        <f t="shared" si="27"/>
        <v>475</v>
      </c>
      <c r="I32" s="146">
        <f t="shared" si="27"/>
        <v>488</v>
      </c>
      <c r="J32" s="146">
        <f>SUM(J26:J29)</f>
        <v>771</v>
      </c>
      <c r="K32" s="146">
        <f>SUM(K26:K29)</f>
        <v>395</v>
      </c>
      <c r="L32" s="769">
        <f t="shared" si="27"/>
        <v>418</v>
      </c>
      <c r="M32" s="769">
        <f t="shared" si="27"/>
        <v>409</v>
      </c>
      <c r="N32" s="769">
        <f t="shared" si="27"/>
        <v>356</v>
      </c>
      <c r="O32" s="769">
        <f t="shared" si="27"/>
        <v>332</v>
      </c>
      <c r="P32" s="769">
        <f t="shared" si="27"/>
        <v>300</v>
      </c>
      <c r="Q32" s="769">
        <f t="shared" si="27"/>
        <v>338</v>
      </c>
      <c r="R32" s="769">
        <f t="shared" si="27"/>
        <v>344</v>
      </c>
      <c r="S32" s="769">
        <f t="shared" si="27"/>
        <v>346</v>
      </c>
      <c r="T32" s="769">
        <f t="shared" si="27"/>
        <v>361</v>
      </c>
      <c r="U32" s="894">
        <v>392</v>
      </c>
      <c r="V32" s="769">
        <f t="shared" si="27"/>
        <v>408</v>
      </c>
      <c r="W32" s="769">
        <f t="shared" si="27"/>
        <v>414</v>
      </c>
      <c r="X32" s="769">
        <f t="shared" si="27"/>
        <v>420</v>
      </c>
      <c r="Y32" s="769">
        <f t="shared" si="27"/>
        <v>428</v>
      </c>
      <c r="Z32" s="769">
        <f t="shared" si="27"/>
        <v>436</v>
      </c>
      <c r="AA32" s="769">
        <f t="shared" ref="AA32" si="28">SUM(AA26:AA29)</f>
        <v>444</v>
      </c>
    </row>
    <row r="33" spans="1:27">
      <c r="I33" s="761"/>
      <c r="J33" s="761"/>
      <c r="K33" s="761"/>
      <c r="L33" s="761"/>
      <c r="M33" s="761"/>
      <c r="N33" s="761"/>
      <c r="O33" s="761"/>
      <c r="P33" s="761"/>
      <c r="Q33" s="761"/>
      <c r="R33" s="761"/>
      <c r="S33" s="761"/>
      <c r="T33" s="761"/>
      <c r="U33" s="761"/>
      <c r="V33" s="761"/>
      <c r="W33" s="761"/>
      <c r="X33" s="761"/>
      <c r="Y33" s="761"/>
      <c r="Z33" s="761"/>
      <c r="AA33" s="761"/>
    </row>
    <row r="34" spans="1:27">
      <c r="A34" s="227" t="s">
        <v>284</v>
      </c>
      <c r="B34" s="227"/>
      <c r="C34" s="227"/>
      <c r="D34" s="227"/>
      <c r="E34" s="227"/>
      <c r="F34" s="227"/>
      <c r="G34" s="770"/>
      <c r="H34" s="770"/>
      <c r="I34" s="227"/>
      <c r="J34" s="227"/>
      <c r="K34" s="227"/>
      <c r="L34" s="227"/>
      <c r="M34" s="227"/>
      <c r="N34" s="227"/>
      <c r="O34" s="227"/>
      <c r="P34" s="227"/>
      <c r="Q34" s="227"/>
      <c r="R34" s="227"/>
      <c r="S34" s="227"/>
      <c r="T34" s="227"/>
      <c r="U34" s="227"/>
      <c r="V34" s="227"/>
      <c r="W34" s="227"/>
      <c r="X34" s="227"/>
      <c r="Y34" s="227"/>
      <c r="Z34" s="227"/>
      <c r="AA34" s="227"/>
    </row>
    <row r="35" spans="1:27">
      <c r="A35" s="113" t="s">
        <v>216</v>
      </c>
      <c r="C35" s="761">
        <f t="shared" ref="C35:Q35" si="29">C26/B26-1</f>
        <v>0.11111111111111116</v>
      </c>
      <c r="D35" s="761">
        <f t="shared" si="29"/>
        <v>0.5</v>
      </c>
      <c r="E35" s="761">
        <f t="shared" si="29"/>
        <v>-0.53333333333333333</v>
      </c>
      <c r="F35" s="761">
        <f t="shared" si="29"/>
        <v>1.1428571428571428</v>
      </c>
      <c r="G35" s="761">
        <f t="shared" si="29"/>
        <v>6.6666666666666652E-2</v>
      </c>
      <c r="H35" s="761">
        <f t="shared" si="29"/>
        <v>-0.375</v>
      </c>
      <c r="I35" s="761">
        <f t="shared" si="29"/>
        <v>0.10000000000000009</v>
      </c>
      <c r="J35" s="761">
        <f t="shared" si="29"/>
        <v>9.0909090909090828E-2</v>
      </c>
      <c r="K35" s="761">
        <f t="shared" si="29"/>
        <v>0.33333333333333326</v>
      </c>
      <c r="L35" s="761">
        <f t="shared" si="29"/>
        <v>0.1875</v>
      </c>
      <c r="M35" s="761">
        <f t="shared" si="29"/>
        <v>-0.10526315789473684</v>
      </c>
      <c r="N35" s="761">
        <f t="shared" si="29"/>
        <v>-0.3529411764705882</v>
      </c>
      <c r="O35" s="761">
        <f t="shared" si="29"/>
        <v>-0.63636363636363635</v>
      </c>
      <c r="P35" s="761">
        <f t="shared" si="29"/>
        <v>-0.75</v>
      </c>
      <c r="Q35" s="761">
        <f t="shared" si="29"/>
        <v>-1</v>
      </c>
      <c r="R35" s="761"/>
      <c r="S35" s="761"/>
      <c r="T35" s="761"/>
      <c r="U35" s="761"/>
      <c r="V35" s="761"/>
      <c r="W35" s="761"/>
      <c r="X35" s="761"/>
      <c r="Y35" s="761"/>
      <c r="Z35" s="761"/>
      <c r="AA35" s="761"/>
    </row>
    <row r="36" spans="1:27">
      <c r="A36" s="113" t="s">
        <v>282</v>
      </c>
      <c r="C36" s="761">
        <f t="shared" ref="C36:Q36" si="30">C27/B27-1</f>
        <v>0.26728110599078336</v>
      </c>
      <c r="D36" s="761">
        <f t="shared" si="30"/>
        <v>9.8181818181818148E-2</v>
      </c>
      <c r="E36" s="761">
        <f t="shared" si="30"/>
        <v>-5.9602649006622488E-2</v>
      </c>
      <c r="F36" s="761">
        <f t="shared" si="30"/>
        <v>-8.4507042253521125E-2</v>
      </c>
      <c r="G36" s="761">
        <f t="shared" si="30"/>
        <v>-8.846153846153848E-2</v>
      </c>
      <c r="H36" s="761">
        <f t="shared" si="30"/>
        <v>-4.2194092827004259E-2</v>
      </c>
      <c r="I36" s="761">
        <f t="shared" si="30"/>
        <v>8.8105726872247381E-3</v>
      </c>
      <c r="J36" s="761">
        <f t="shared" si="30"/>
        <v>-1.3100436681222738E-2</v>
      </c>
      <c r="K36" s="761">
        <f t="shared" si="30"/>
        <v>-0.21238938053097345</v>
      </c>
      <c r="L36" s="761">
        <f t="shared" si="30"/>
        <v>-5.6179775280899014E-3</v>
      </c>
      <c r="M36" s="761">
        <f t="shared" si="30"/>
        <v>-6.2146892655367214E-2</v>
      </c>
      <c r="N36" s="761">
        <f t="shared" si="30"/>
        <v>-9.6385542168674676E-2</v>
      </c>
      <c r="O36" s="761">
        <f t="shared" si="30"/>
        <v>6.0000000000000053E-2</v>
      </c>
      <c r="P36" s="761">
        <f t="shared" si="30"/>
        <v>-0.22641509433962259</v>
      </c>
      <c r="Q36" s="761">
        <f t="shared" si="30"/>
        <v>0.29268292682926833</v>
      </c>
      <c r="R36" s="761">
        <f t="shared" ref="R36:AA36" si="31">R27/Q27-1</f>
        <v>5.031446540880502E-2</v>
      </c>
      <c r="S36" s="761">
        <f t="shared" si="31"/>
        <v>7.1856287425149601E-2</v>
      </c>
      <c r="T36" s="761">
        <f t="shared" si="31"/>
        <v>-5.027932960893855E-2</v>
      </c>
      <c r="U36" s="761">
        <f t="shared" si="31"/>
        <v>8.5872576177285387E-2</v>
      </c>
      <c r="V36" s="761">
        <f t="shared" si="31"/>
        <v>5.4171668667466921E-2</v>
      </c>
      <c r="W36" s="761">
        <f t="shared" si="31"/>
        <v>0</v>
      </c>
      <c r="X36" s="761">
        <f t="shared" si="31"/>
        <v>0</v>
      </c>
      <c r="Y36" s="761">
        <f t="shared" si="31"/>
        <v>0</v>
      </c>
      <c r="Z36" s="761">
        <f t="shared" si="31"/>
        <v>0</v>
      </c>
      <c r="AA36" s="761">
        <f t="shared" si="31"/>
        <v>0</v>
      </c>
    </row>
    <row r="37" spans="1:27">
      <c r="A37" s="113" t="s">
        <v>218</v>
      </c>
      <c r="C37" s="761">
        <f t="shared" ref="C37:Q37" si="32">C28/B28-1</f>
        <v>0.28358208955223874</v>
      </c>
      <c r="D37" s="761">
        <f t="shared" si="32"/>
        <v>0.33139534883720922</v>
      </c>
      <c r="E37" s="761">
        <f t="shared" si="32"/>
        <v>-4.3668122270742349E-2</v>
      </c>
      <c r="F37" s="761">
        <f t="shared" si="32"/>
        <v>-0.1004566210045662</v>
      </c>
      <c r="G37" s="761">
        <f t="shared" si="32"/>
        <v>-4.0609137055837574E-2</v>
      </c>
      <c r="H37" s="761">
        <f t="shared" si="32"/>
        <v>-0.11111111111111116</v>
      </c>
      <c r="I37" s="761">
        <f t="shared" si="32"/>
        <v>1.1904761904761862E-2</v>
      </c>
      <c r="J37" s="761">
        <f t="shared" si="32"/>
        <v>1.5411764705882351</v>
      </c>
      <c r="K37" s="761">
        <f t="shared" si="32"/>
        <v>-0.71296296296296302</v>
      </c>
      <c r="L37" s="761">
        <f t="shared" si="32"/>
        <v>0.33064516129032251</v>
      </c>
      <c r="M37" s="761">
        <f t="shared" si="32"/>
        <v>7.8787878787878851E-2</v>
      </c>
      <c r="N37" s="761">
        <f t="shared" si="32"/>
        <v>-0.1460674157303371</v>
      </c>
      <c r="O37" s="761">
        <f t="shared" si="32"/>
        <v>-0.19736842105263153</v>
      </c>
      <c r="P37" s="761">
        <f t="shared" si="32"/>
        <v>3.2786885245901676E-2</v>
      </c>
      <c r="Q37" s="761">
        <f t="shared" si="32"/>
        <v>-3.9682539682539653E-2</v>
      </c>
      <c r="R37" s="761">
        <f t="shared" ref="R37:AA37" si="33">R28/Q28-1</f>
        <v>1.6528925619834656E-2</v>
      </c>
      <c r="S37" s="761">
        <f t="shared" si="33"/>
        <v>7.3170731707317138E-2</v>
      </c>
      <c r="T37" s="761">
        <f t="shared" si="33"/>
        <v>0.25</v>
      </c>
      <c r="U37" s="761">
        <f t="shared" si="33"/>
        <v>8.5872576177285387E-2</v>
      </c>
      <c r="V37" s="761">
        <f t="shared" si="33"/>
        <v>0</v>
      </c>
      <c r="W37" s="761">
        <f t="shared" si="33"/>
        <v>0</v>
      </c>
      <c r="X37" s="761">
        <f t="shared" si="33"/>
        <v>0</v>
      </c>
      <c r="Y37" s="761">
        <f t="shared" si="33"/>
        <v>0</v>
      </c>
      <c r="Z37" s="761">
        <f t="shared" si="33"/>
        <v>0</v>
      </c>
      <c r="AA37" s="761">
        <f t="shared" si="33"/>
        <v>0</v>
      </c>
    </row>
    <row r="38" spans="1:27">
      <c r="A38" s="113" t="s">
        <v>217</v>
      </c>
      <c r="C38" s="761">
        <f t="shared" ref="C38:Q38" si="34">C29/B29-1</f>
        <v>0.47619047619047628</v>
      </c>
      <c r="D38" s="761">
        <f t="shared" si="34"/>
        <v>0.35483870967741926</v>
      </c>
      <c r="E38" s="761">
        <f t="shared" si="34"/>
        <v>0.14285714285714279</v>
      </c>
      <c r="F38" s="761">
        <f t="shared" si="34"/>
        <v>0.14583333333333326</v>
      </c>
      <c r="G38" s="761">
        <f t="shared" si="34"/>
        <v>0.10909090909090913</v>
      </c>
      <c r="H38" s="761">
        <f t="shared" si="34"/>
        <v>0.14754098360655732</v>
      </c>
      <c r="I38" s="761">
        <f t="shared" si="34"/>
        <v>0.11428571428571432</v>
      </c>
      <c r="J38" s="761">
        <f t="shared" si="34"/>
        <v>0.29487179487179493</v>
      </c>
      <c r="K38" s="761">
        <f t="shared" si="34"/>
        <v>-0.23762376237623761</v>
      </c>
      <c r="L38" s="761">
        <f t="shared" si="34"/>
        <v>-0.25974025974025972</v>
      </c>
      <c r="M38" s="761">
        <f t="shared" si="34"/>
        <v>-0.15789473684210531</v>
      </c>
      <c r="N38" s="761">
        <f t="shared" si="34"/>
        <v>-0.10416666666666663</v>
      </c>
      <c r="O38" s="761">
        <f t="shared" si="34"/>
        <v>9.3023255813953432E-2</v>
      </c>
      <c r="P38" s="761">
        <f t="shared" si="34"/>
        <v>6.3829787234042534E-2</v>
      </c>
      <c r="Q38" s="761">
        <f t="shared" si="34"/>
        <v>0.15999999999999992</v>
      </c>
      <c r="R38" s="761">
        <f t="shared" ref="R38:AA38" si="35">R29/Q29-1</f>
        <v>-6.8965517241379337E-2</v>
      </c>
      <c r="S38" s="761">
        <f t="shared" si="35"/>
        <v>-0.35185185185185186</v>
      </c>
      <c r="T38" s="761">
        <f t="shared" si="35"/>
        <v>-0.25714285714285712</v>
      </c>
      <c r="U38" s="761">
        <f t="shared" si="35"/>
        <v>8.5872576177285387E-2</v>
      </c>
      <c r="V38" s="761">
        <f t="shared" si="35"/>
        <v>0.21251962323390883</v>
      </c>
      <c r="W38" s="761">
        <f t="shared" si="35"/>
        <v>0.17527107946269616</v>
      </c>
      <c r="X38" s="761">
        <f t="shared" si="35"/>
        <v>0.14913247039383082</v>
      </c>
      <c r="Y38" s="761">
        <f t="shared" si="35"/>
        <v>0.17303774715398434</v>
      </c>
      <c r="Z38" s="761">
        <f t="shared" si="35"/>
        <v>0.14751251404637866</v>
      </c>
      <c r="AA38" s="761">
        <f t="shared" si="35"/>
        <v>0.12854980859966192</v>
      </c>
    </row>
    <row r="39" spans="1:27">
      <c r="A39" s="768" t="s">
        <v>209</v>
      </c>
      <c r="B39" s="146"/>
      <c r="C39" s="771">
        <f t="shared" ref="C39:H39" si="36">C32/B32-1</f>
        <v>0.28083989501312345</v>
      </c>
      <c r="D39" s="771">
        <f t="shared" si="36"/>
        <v>0.20491803278688514</v>
      </c>
      <c r="E39" s="771">
        <f t="shared" si="36"/>
        <v>-5.1020408163265252E-2</v>
      </c>
      <c r="F39" s="771">
        <f t="shared" si="36"/>
        <v>-5.555555555555558E-2</v>
      </c>
      <c r="G39" s="771">
        <f t="shared" si="36"/>
        <v>-4.5540796963946861E-2</v>
      </c>
      <c r="H39" s="771">
        <f t="shared" si="36"/>
        <v>-5.5666003976143186E-2</v>
      </c>
      <c r="I39" s="146"/>
      <c r="J39" s="146"/>
      <c r="K39" s="146"/>
      <c r="L39" s="146"/>
      <c r="M39" s="146"/>
      <c r="N39" s="146"/>
      <c r="O39" s="146"/>
      <c r="P39" s="146"/>
      <c r="Q39" s="909">
        <f>Q32/P32-1</f>
        <v>0.12666666666666671</v>
      </c>
      <c r="R39" s="909">
        <f>R32/Q32-1</f>
        <v>1.7751479289940919E-2</v>
      </c>
      <c r="S39" s="909">
        <f t="shared" ref="S39:AA39" si="37">S32/R32-1</f>
        <v>5.8139534883721034E-3</v>
      </c>
      <c r="T39" s="909">
        <f t="shared" si="37"/>
        <v>4.3352601156069426E-2</v>
      </c>
      <c r="U39" s="909">
        <f t="shared" si="37"/>
        <v>8.5872576177285387E-2</v>
      </c>
      <c r="V39" s="909">
        <f t="shared" si="37"/>
        <v>4.081632653061229E-2</v>
      </c>
      <c r="W39" s="909">
        <f t="shared" si="37"/>
        <v>1.4705882352941124E-2</v>
      </c>
      <c r="X39" s="909">
        <f t="shared" si="37"/>
        <v>1.449275362318847E-2</v>
      </c>
      <c r="Y39" s="909">
        <f t="shared" si="37"/>
        <v>1.904761904761898E-2</v>
      </c>
      <c r="Z39" s="909">
        <f t="shared" si="37"/>
        <v>1.8691588785046731E-2</v>
      </c>
      <c r="AA39" s="909">
        <f t="shared" si="37"/>
        <v>1.8348623853210899E-2</v>
      </c>
    </row>
    <row r="40" spans="1:27">
      <c r="A40" s="772" t="s">
        <v>287</v>
      </c>
      <c r="C40" s="762"/>
      <c r="D40" s="762"/>
      <c r="E40" s="761">
        <f>(E10/D10-1)-E39</f>
        <v>0.22572851886598544</v>
      </c>
      <c r="F40" s="761">
        <f>(F10/E10-1)-F39</f>
        <v>-0.24157547076801722</v>
      </c>
      <c r="G40" s="761">
        <f>(G10/F10-1)-G39</f>
        <v>1.2527003028349415E-2</v>
      </c>
      <c r="H40" s="761">
        <f>(H10/G10-1)-H39</f>
        <v>5.1859151970073847E-2</v>
      </c>
      <c r="I40" s="259">
        <v>0</v>
      </c>
      <c r="J40" s="774">
        <f>$I40</f>
        <v>0</v>
      </c>
      <c r="K40" s="774">
        <f t="shared" ref="K40:O40" si="38">$I40</f>
        <v>0</v>
      </c>
      <c r="L40" s="774">
        <f t="shared" si="38"/>
        <v>0</v>
      </c>
      <c r="M40" s="774">
        <f t="shared" si="38"/>
        <v>0</v>
      </c>
      <c r="N40" s="259">
        <v>0.12</v>
      </c>
      <c r="O40" s="774">
        <f t="shared" si="38"/>
        <v>0</v>
      </c>
      <c r="P40" s="259">
        <v>0.02</v>
      </c>
      <c r="Q40" s="141"/>
      <c r="R40" s="141"/>
      <c r="S40" s="141"/>
      <c r="T40" s="141"/>
      <c r="U40" s="141"/>
      <c r="V40" s="620">
        <v>4.7E-2</v>
      </c>
      <c r="W40" s="620">
        <v>0.03</v>
      </c>
      <c r="X40" s="620">
        <v>2.5000000000000001E-2</v>
      </c>
      <c r="Y40" s="620">
        <v>0.02</v>
      </c>
      <c r="Z40" s="620">
        <v>0.02</v>
      </c>
      <c r="AA40" s="620">
        <f>Z40</f>
        <v>0.02</v>
      </c>
    </row>
    <row r="41" spans="1:27">
      <c r="A41" s="768" t="s">
        <v>215</v>
      </c>
      <c r="B41" s="146"/>
      <c r="C41" s="775"/>
      <c r="D41" s="775"/>
      <c r="E41" s="771"/>
      <c r="F41" s="771"/>
      <c r="G41" s="771"/>
      <c r="H41" s="771"/>
      <c r="I41" s="771">
        <f>I40+I39</f>
        <v>0</v>
      </c>
      <c r="J41" s="771">
        <f t="shared" ref="J41:V41" si="39">J40+J39</f>
        <v>0</v>
      </c>
      <c r="K41" s="771">
        <f t="shared" si="39"/>
        <v>0</v>
      </c>
      <c r="L41" s="771">
        <f t="shared" si="39"/>
        <v>0</v>
      </c>
      <c r="M41" s="771">
        <f t="shared" si="39"/>
        <v>0</v>
      </c>
      <c r="N41" s="771">
        <f t="shared" si="39"/>
        <v>0.12</v>
      </c>
      <c r="O41" s="771">
        <f t="shared" si="39"/>
        <v>0</v>
      </c>
      <c r="P41" s="771">
        <f t="shared" si="39"/>
        <v>0.02</v>
      </c>
      <c r="Q41" s="771">
        <v>0.10622813156053179</v>
      </c>
      <c r="R41" s="771">
        <v>-2.5303643724694513E-4</v>
      </c>
      <c r="S41" s="771">
        <v>-5.2138699063528193E-2</v>
      </c>
      <c r="T41" s="771">
        <v>4.0453938584779747E-2</v>
      </c>
      <c r="U41" s="771">
        <v>0.12587257617728539</v>
      </c>
      <c r="V41" s="775">
        <f t="shared" si="39"/>
        <v>8.781632653061229E-2</v>
      </c>
      <c r="W41" s="775">
        <f>W40+W39</f>
        <v>4.4705882352941123E-2</v>
      </c>
      <c r="X41" s="775">
        <f>X40+X39</f>
        <v>3.9492753623188472E-2</v>
      </c>
      <c r="Y41" s="775">
        <f>Y40+Y39</f>
        <v>3.9047619047618984E-2</v>
      </c>
      <c r="Z41" s="775">
        <f>Z40+Z39</f>
        <v>3.8691588785046735E-2</v>
      </c>
      <c r="AA41" s="775">
        <f>AA40+AA39</f>
        <v>3.8348623853210903E-2</v>
      </c>
    </row>
    <row r="42" spans="1:27">
      <c r="A42" s="772"/>
      <c r="C42" s="761"/>
      <c r="D42" s="761"/>
      <c r="E42" s="761"/>
      <c r="F42" s="761"/>
      <c r="G42" s="761"/>
      <c r="H42" s="761"/>
      <c r="T42" s="113"/>
      <c r="U42" s="113"/>
      <c r="V42" s="113"/>
      <c r="W42" s="113"/>
      <c r="X42" s="113"/>
      <c r="Y42" s="113"/>
      <c r="Z42" s="113"/>
      <c r="AA42" s="113"/>
    </row>
    <row r="43" spans="1:27">
      <c r="A43" s="227" t="s">
        <v>245</v>
      </c>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c r="AA43" s="227"/>
    </row>
    <row r="44" spans="1:27">
      <c r="A44" s="143" t="s">
        <v>209</v>
      </c>
      <c r="B44" s="143"/>
      <c r="C44" s="143"/>
      <c r="D44" s="143"/>
      <c r="E44" s="143"/>
      <c r="F44" s="143"/>
      <c r="G44" s="143"/>
      <c r="H44" s="776">
        <v>4.5400000000000003E-2</v>
      </c>
      <c r="I44" s="776">
        <v>4.5400000000000003E-2</v>
      </c>
      <c r="J44" s="776">
        <v>4.5400000000000003E-2</v>
      </c>
      <c r="K44" s="776">
        <v>4.5400000000000003E-2</v>
      </c>
      <c r="L44" s="173">
        <v>0.03</v>
      </c>
      <c r="M44" s="173">
        <v>0.03</v>
      </c>
      <c r="N44" s="173">
        <v>0.04</v>
      </c>
      <c r="O44" s="776">
        <f>N44</f>
        <v>0.04</v>
      </c>
      <c r="P44" s="173">
        <v>0.04</v>
      </c>
      <c r="Q44" s="173">
        <v>0.04</v>
      </c>
      <c r="R44" s="173">
        <v>6.5000000000000002E-2</v>
      </c>
      <c r="S44" s="361">
        <f t="shared" ref="S44:T44" si="40">R44+0.005</f>
        <v>7.0000000000000007E-2</v>
      </c>
      <c r="T44" s="360">
        <f t="shared" si="40"/>
        <v>7.5000000000000011E-2</v>
      </c>
      <c r="U44" s="360">
        <v>8.4000000000000005E-2</v>
      </c>
      <c r="V44" s="686">
        <v>8.6999999999999994E-2</v>
      </c>
      <c r="W44" s="686">
        <v>9.1999999999999998E-2</v>
      </c>
      <c r="X44" s="686">
        <v>9.7199999999999995E-2</v>
      </c>
      <c r="Y44" s="686">
        <v>0.1024</v>
      </c>
      <c r="Z44" s="686">
        <v>0.10929999999999999</v>
      </c>
      <c r="AA44" s="686">
        <f>Z44</f>
        <v>0.10929999999999999</v>
      </c>
    </row>
    <row r="45" spans="1:27">
      <c r="H45" s="761"/>
      <c r="I45" s="761"/>
      <c r="J45" s="761"/>
      <c r="K45" s="761"/>
      <c r="L45" s="761"/>
      <c r="M45" s="761"/>
      <c r="N45" s="761"/>
      <c r="O45" s="761"/>
      <c r="P45" s="761"/>
      <c r="Q45" s="761"/>
      <c r="R45" s="761"/>
      <c r="S45" s="761"/>
      <c r="T45" s="761"/>
      <c r="U45" s="761"/>
      <c r="V45" s="761"/>
      <c r="W45" s="761"/>
      <c r="X45" s="761"/>
      <c r="Y45" s="761"/>
      <c r="Z45" s="761"/>
      <c r="AA45" s="761"/>
    </row>
    <row r="46" spans="1:27">
      <c r="A46" s="227" t="s">
        <v>246</v>
      </c>
      <c r="B46" s="227"/>
      <c r="C46" s="227"/>
      <c r="D46" s="227"/>
      <c r="E46" s="227"/>
      <c r="F46" s="227"/>
      <c r="G46" s="227"/>
      <c r="H46" s="773"/>
      <c r="I46" s="773"/>
      <c r="J46" s="773"/>
      <c r="K46" s="773"/>
      <c r="L46" s="773"/>
      <c r="M46" s="773"/>
      <c r="N46" s="773"/>
      <c r="O46" s="773"/>
      <c r="P46" s="773"/>
      <c r="Q46" s="773"/>
      <c r="R46" s="773"/>
      <c r="S46" s="773"/>
      <c r="T46" s="773"/>
      <c r="U46" s="773"/>
      <c r="V46" s="773"/>
      <c r="W46" s="773"/>
      <c r="X46" s="773"/>
      <c r="Y46" s="773"/>
      <c r="Z46" s="773"/>
      <c r="AA46" s="773"/>
    </row>
    <row r="47" spans="1:27">
      <c r="A47" s="143" t="s">
        <v>209</v>
      </c>
      <c r="B47" s="143"/>
      <c r="C47" s="143"/>
      <c r="D47" s="143"/>
      <c r="E47" s="143"/>
      <c r="F47" s="143"/>
      <c r="G47" s="143"/>
      <c r="H47" s="776">
        <v>9.5399999999999999E-2</v>
      </c>
      <c r="I47" s="776">
        <v>9.5399999999999999E-2</v>
      </c>
      <c r="J47" s="776">
        <v>9.5399999999999999E-2</v>
      </c>
      <c r="K47" s="776">
        <v>9.5399999999999999E-2</v>
      </c>
      <c r="L47" s="173">
        <v>8.5000000000000006E-2</v>
      </c>
      <c r="M47" s="776">
        <f>L47</f>
        <v>8.5000000000000006E-2</v>
      </c>
      <c r="N47" s="173">
        <v>8.5000000000000006E-2</v>
      </c>
      <c r="O47" s="173">
        <v>0.09</v>
      </c>
      <c r="P47" s="173">
        <v>0.09</v>
      </c>
      <c r="Q47" s="173">
        <v>0.09</v>
      </c>
      <c r="R47" s="173">
        <v>0.1</v>
      </c>
      <c r="S47" s="361">
        <f>R47+0.005</f>
        <v>0.10500000000000001</v>
      </c>
      <c r="T47" s="360">
        <f>S47+0.01</f>
        <v>0.115</v>
      </c>
      <c r="U47" s="360">
        <v>0.12</v>
      </c>
      <c r="V47" s="686">
        <v>0.13</v>
      </c>
      <c r="W47" s="686">
        <f t="shared" ref="W47:Y47" si="41">V47</f>
        <v>0.13</v>
      </c>
      <c r="X47" s="686">
        <f t="shared" si="41"/>
        <v>0.13</v>
      </c>
      <c r="Y47" s="686">
        <f t="shared" si="41"/>
        <v>0.13</v>
      </c>
      <c r="Z47" s="686">
        <v>0.13100000000000001</v>
      </c>
      <c r="AA47" s="686">
        <v>0.13200000000000001</v>
      </c>
    </row>
    <row r="48" spans="1:27">
      <c r="T48" s="113"/>
      <c r="U48" s="113"/>
      <c r="V48" s="113"/>
      <c r="W48" s="113"/>
      <c r="X48" s="113"/>
      <c r="Y48" s="113"/>
      <c r="Z48" s="113"/>
      <c r="AA48" s="113"/>
    </row>
    <row r="49" spans="1:27">
      <c r="A49" s="227" t="s">
        <v>243</v>
      </c>
      <c r="B49" s="227"/>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c r="AA49" s="227"/>
    </row>
    <row r="50" spans="1:27">
      <c r="A50" s="143" t="s">
        <v>209</v>
      </c>
      <c r="B50" s="143"/>
      <c r="C50" s="143"/>
      <c r="D50" s="143"/>
      <c r="E50" s="143"/>
      <c r="F50" s="143"/>
      <c r="G50" s="143"/>
      <c r="H50" s="766">
        <v>170.88560000000001</v>
      </c>
      <c r="I50" s="766">
        <v>157.23609000000002</v>
      </c>
      <c r="J50" s="766">
        <v>165.86617600000002</v>
      </c>
      <c r="K50" s="766">
        <v>163.28473200000002</v>
      </c>
      <c r="L50" s="766">
        <f t="shared" ref="L50:AA50" si="42">L44*L19</f>
        <v>105.7668</v>
      </c>
      <c r="M50" s="766">
        <f t="shared" si="42"/>
        <v>108.36000000000001</v>
      </c>
      <c r="N50" s="766">
        <f t="shared" si="42"/>
        <v>135.29519999999999</v>
      </c>
      <c r="O50" s="766">
        <f t="shared" si="42"/>
        <v>136.95959999999999</v>
      </c>
      <c r="P50" s="766">
        <f t="shared" si="42"/>
        <v>142.52279999999999</v>
      </c>
      <c r="Q50" s="766">
        <f t="shared" si="42"/>
        <v>157.66273074877535</v>
      </c>
      <c r="R50" s="766">
        <f t="shared" si="42"/>
        <v>256.1371090412876</v>
      </c>
      <c r="S50" s="766">
        <f t="shared" si="42"/>
        <v>275.83996358292512</v>
      </c>
      <c r="T50" s="766">
        <f t="shared" si="42"/>
        <v>321.61050000000006</v>
      </c>
      <c r="U50" s="766">
        <f t="shared" si="42"/>
        <v>429.57936000000001</v>
      </c>
      <c r="V50" s="766">
        <f t="shared" si="42"/>
        <v>483.99284996816323</v>
      </c>
      <c r="W50" s="766">
        <f t="shared" si="42"/>
        <v>534.6893829749705</v>
      </c>
      <c r="X50" s="766">
        <f t="shared" si="42"/>
        <v>587.220846031051</v>
      </c>
      <c r="Y50" s="766">
        <f t="shared" si="42"/>
        <v>642.79221404306656</v>
      </c>
      <c r="Z50" s="766">
        <f t="shared" si="42"/>
        <v>712.65186778018972</v>
      </c>
      <c r="AA50" s="766">
        <f t="shared" si="42"/>
        <v>739.98108619598042</v>
      </c>
    </row>
    <row r="51" spans="1:27">
      <c r="G51" s="764"/>
      <c r="H51" s="764"/>
      <c r="I51" s="764"/>
      <c r="J51" s="764"/>
      <c r="K51" s="764"/>
      <c r="L51" s="764"/>
      <c r="M51" s="764"/>
      <c r="N51" s="764"/>
      <c r="O51" s="764"/>
      <c r="P51" s="764"/>
      <c r="Q51" s="764"/>
      <c r="R51" s="764"/>
      <c r="S51" s="764"/>
      <c r="T51" s="764"/>
      <c r="U51" s="764"/>
      <c r="V51" s="764"/>
      <c r="W51" s="764"/>
      <c r="X51" s="764"/>
      <c r="Y51" s="764"/>
      <c r="Z51" s="764"/>
      <c r="AA51" s="764"/>
    </row>
    <row r="52" spans="1:27">
      <c r="A52" s="227" t="s">
        <v>244</v>
      </c>
      <c r="B52" s="227"/>
      <c r="C52" s="227"/>
      <c r="D52" s="227"/>
      <c r="E52" s="227"/>
      <c r="F52" s="227"/>
      <c r="G52" s="227"/>
      <c r="H52" s="760"/>
      <c r="I52" s="760"/>
      <c r="J52" s="760"/>
      <c r="K52" s="760"/>
      <c r="L52" s="760"/>
      <c r="M52" s="760"/>
      <c r="N52" s="760"/>
      <c r="O52" s="760"/>
      <c r="P52" s="760"/>
      <c r="Q52" s="760"/>
      <c r="R52" s="760"/>
      <c r="S52" s="760"/>
      <c r="T52" s="760"/>
      <c r="U52" s="760"/>
      <c r="V52" s="760"/>
      <c r="W52" s="760"/>
      <c r="X52" s="760"/>
      <c r="Y52" s="760"/>
      <c r="Z52" s="760"/>
      <c r="AA52" s="760"/>
    </row>
    <row r="53" spans="1:27">
      <c r="A53" s="143" t="s">
        <v>209</v>
      </c>
      <c r="B53" s="143"/>
      <c r="C53" s="143"/>
      <c r="D53" s="143"/>
      <c r="E53" s="143"/>
      <c r="F53" s="143"/>
      <c r="G53" s="143"/>
      <c r="H53" s="766">
        <v>238.5</v>
      </c>
      <c r="I53" s="766">
        <v>270.33021000000002</v>
      </c>
      <c r="J53" s="766">
        <v>273.85142400000001</v>
      </c>
      <c r="K53" s="766">
        <v>304.27066799999994</v>
      </c>
      <c r="L53" s="766">
        <f>L47*L22</f>
        <v>265.74739999999997</v>
      </c>
      <c r="M53" s="766">
        <f>M47*M22</f>
        <v>241.23000000000002</v>
      </c>
      <c r="N53" s="766">
        <f>N47*N22</f>
        <v>216.88770000000005</v>
      </c>
      <c r="O53" s="766">
        <f>O47*O22</f>
        <v>232.4709</v>
      </c>
      <c r="P53" s="766">
        <f>P47*P22</f>
        <v>241.91370000000001</v>
      </c>
      <c r="Q53" s="766">
        <f>Q4-Q50</f>
        <v>377.33726925122465</v>
      </c>
      <c r="R53" s="766">
        <f>R4-R50</f>
        <v>382.8628909587124</v>
      </c>
      <c r="S53" s="766">
        <f>S4-S50</f>
        <v>459.16003641707488</v>
      </c>
      <c r="T53" s="766">
        <f>T4-T50</f>
        <v>496.38949999999994</v>
      </c>
      <c r="U53" s="766">
        <f>U4-U50</f>
        <v>495.42063999999999</v>
      </c>
      <c r="V53" s="766">
        <f t="shared" ref="V53:AA53" si="43">V47*V22</f>
        <v>530.13480000000004</v>
      </c>
      <c r="W53" s="766">
        <f t="shared" si="43"/>
        <v>562.63480000000004</v>
      </c>
      <c r="X53" s="766">
        <f t="shared" si="43"/>
        <v>595.13480000000004</v>
      </c>
      <c r="Y53" s="766">
        <f t="shared" si="43"/>
        <v>627.63480000000004</v>
      </c>
      <c r="Z53" s="766">
        <f t="shared" si="43"/>
        <v>665.21276</v>
      </c>
      <c r="AA53" s="766">
        <f t="shared" si="43"/>
        <v>703.29072000000008</v>
      </c>
    </row>
    <row r="54" spans="1:27">
      <c r="A54" s="777" t="s">
        <v>242</v>
      </c>
      <c r="B54" s="777"/>
      <c r="C54" s="777"/>
      <c r="D54" s="777"/>
      <c r="E54" s="777"/>
      <c r="F54" s="777"/>
      <c r="G54" s="777"/>
      <c r="H54" s="778">
        <v>409.38560000000001</v>
      </c>
      <c r="I54" s="778">
        <v>427.56630000000007</v>
      </c>
      <c r="J54" s="778">
        <v>439.71760000000006</v>
      </c>
      <c r="K54" s="778"/>
      <c r="L54" s="778"/>
      <c r="M54" s="778"/>
      <c r="N54" s="778">
        <f t="shared" ref="N54:Z54" si="44">N53+N50</f>
        <v>352.18290000000002</v>
      </c>
      <c r="O54" s="778">
        <f t="shared" si="44"/>
        <v>369.43049999999999</v>
      </c>
      <c r="P54" s="778">
        <f t="shared" si="44"/>
        <v>384.43650000000002</v>
      </c>
      <c r="Q54" s="778">
        <f t="shared" si="44"/>
        <v>535</v>
      </c>
      <c r="R54" s="778">
        <f t="shared" si="44"/>
        <v>639</v>
      </c>
      <c r="S54" s="778">
        <f t="shared" si="44"/>
        <v>735</v>
      </c>
      <c r="T54" s="778">
        <f t="shared" si="44"/>
        <v>818</v>
      </c>
      <c r="U54" s="778">
        <f t="shared" si="44"/>
        <v>925</v>
      </c>
      <c r="V54" s="778">
        <f t="shared" si="44"/>
        <v>1014.1276499681633</v>
      </c>
      <c r="W54" s="778">
        <f t="shared" si="44"/>
        <v>1097.3241829749704</v>
      </c>
      <c r="X54" s="778">
        <f t="shared" si="44"/>
        <v>1182.355646031051</v>
      </c>
      <c r="Y54" s="778">
        <f t="shared" si="44"/>
        <v>1270.4270140430667</v>
      </c>
      <c r="Z54" s="778">
        <f t="shared" si="44"/>
        <v>1377.8646277801897</v>
      </c>
      <c r="AA54" s="778">
        <f t="shared" ref="AA54" si="45">AA53+AA50</f>
        <v>1443.2718061959804</v>
      </c>
    </row>
    <row r="55" spans="1:27">
      <c r="T55" s="113"/>
      <c r="U55" s="113"/>
      <c r="V55" s="113"/>
      <c r="W55" s="113"/>
      <c r="X55" s="113"/>
      <c r="Y55" s="113"/>
      <c r="Z55" s="113"/>
      <c r="AA55" s="113"/>
    </row>
    <row r="56" spans="1:27">
      <c r="A56" s="193" t="s">
        <v>239</v>
      </c>
      <c r="B56" s="193"/>
      <c r="C56" s="193"/>
      <c r="D56" s="193"/>
      <c r="E56" s="193"/>
      <c r="F56" s="193"/>
      <c r="G56" s="193"/>
      <c r="H56" s="193"/>
      <c r="I56" s="193"/>
      <c r="J56" s="193"/>
      <c r="K56" s="193"/>
      <c r="L56" s="193"/>
      <c r="M56" s="193"/>
      <c r="N56" s="193"/>
      <c r="O56" s="193"/>
      <c r="P56" s="193"/>
      <c r="Q56" s="193"/>
      <c r="R56" s="193"/>
      <c r="S56" s="193"/>
      <c r="T56" s="193"/>
      <c r="U56" s="193"/>
      <c r="V56" s="295"/>
      <c r="W56" s="295"/>
      <c r="X56" s="295"/>
      <c r="Y56" s="295"/>
      <c r="Z56" s="295"/>
      <c r="AA56" s="295"/>
    </row>
    <row r="57" spans="1:27">
      <c r="A57" s="759" t="s">
        <v>301</v>
      </c>
      <c r="B57" s="759"/>
      <c r="C57" s="759"/>
      <c r="D57" s="759"/>
      <c r="E57" s="759"/>
      <c r="F57" s="759"/>
      <c r="G57" s="759"/>
      <c r="H57" s="759"/>
      <c r="I57" s="779">
        <v>409</v>
      </c>
      <c r="J57" s="779">
        <v>397</v>
      </c>
      <c r="K57" s="779">
        <v>413</v>
      </c>
      <c r="L57" s="779">
        <f t="shared" ref="L57:AA57" si="46">K4</f>
        <v>427</v>
      </c>
      <c r="M57" s="779">
        <f t="shared" si="46"/>
        <v>350</v>
      </c>
      <c r="N57" s="779">
        <f t="shared" si="46"/>
        <v>337</v>
      </c>
      <c r="O57" s="779">
        <f t="shared" si="46"/>
        <v>380</v>
      </c>
      <c r="P57" s="779">
        <f t="shared" si="46"/>
        <v>422</v>
      </c>
      <c r="Q57" s="779">
        <f t="shared" si="46"/>
        <v>471</v>
      </c>
      <c r="R57" s="779">
        <f t="shared" si="46"/>
        <v>535</v>
      </c>
      <c r="S57" s="779">
        <f t="shared" si="46"/>
        <v>639</v>
      </c>
      <c r="T57" s="779">
        <f t="shared" si="46"/>
        <v>735</v>
      </c>
      <c r="U57" s="779">
        <f t="shared" si="46"/>
        <v>818</v>
      </c>
      <c r="V57" s="779">
        <f t="shared" si="46"/>
        <v>925</v>
      </c>
      <c r="W57" s="779">
        <f t="shared" si="46"/>
        <v>989.36564340584482</v>
      </c>
      <c r="X57" s="779">
        <f t="shared" si="46"/>
        <v>1055.2531396200588</v>
      </c>
      <c r="Y57" s="779">
        <f t="shared" si="46"/>
        <v>1124.5583199477455</v>
      </c>
      <c r="Z57" s="779">
        <f t="shared" si="46"/>
        <v>1197.5088926983633</v>
      </c>
      <c r="AA57" s="779">
        <f t="shared" si="46"/>
        <v>1290.4172921133061</v>
      </c>
    </row>
    <row r="58" spans="1:27">
      <c r="A58" s="113" t="s">
        <v>289</v>
      </c>
      <c r="I58" s="764">
        <v>18.180700000000058</v>
      </c>
      <c r="J58" s="764">
        <v>12.151300000000049</v>
      </c>
      <c r="K58" s="764">
        <v>27.837799999999959</v>
      </c>
      <c r="L58" s="764">
        <f t="shared" ref="L58:AA58" si="47">L53+L50-K50-K53</f>
        <v>-96.041200000000003</v>
      </c>
      <c r="M58" s="764">
        <f t="shared" si="47"/>
        <v>-21.924199999999928</v>
      </c>
      <c r="N58" s="764">
        <f t="shared" si="47"/>
        <v>2.592899999999986</v>
      </c>
      <c r="O58" s="764">
        <f t="shared" si="47"/>
        <v>17.247599999999949</v>
      </c>
      <c r="P58" s="764">
        <f t="shared" si="47"/>
        <v>15.006000000000029</v>
      </c>
      <c r="Q58" s="764">
        <f t="shared" si="47"/>
        <v>150.56350000000003</v>
      </c>
      <c r="R58" s="764">
        <f t="shared" si="47"/>
        <v>104</v>
      </c>
      <c r="S58" s="764">
        <f t="shared" si="47"/>
        <v>96</v>
      </c>
      <c r="T58" s="764">
        <f t="shared" si="47"/>
        <v>83.000000000000057</v>
      </c>
      <c r="U58" s="764">
        <f>U53+U50-T50-T53</f>
        <v>107.00000000000006</v>
      </c>
      <c r="V58" s="764">
        <f t="shared" si="47"/>
        <v>89.127649968163325</v>
      </c>
      <c r="W58" s="764">
        <f t="shared" si="47"/>
        <v>83.196533006807158</v>
      </c>
      <c r="X58" s="764">
        <f t="shared" si="47"/>
        <v>85.031463056080497</v>
      </c>
      <c r="Y58" s="764">
        <f t="shared" si="47"/>
        <v>88.071368012015682</v>
      </c>
      <c r="Z58" s="764">
        <f t="shared" si="47"/>
        <v>107.43761373712312</v>
      </c>
      <c r="AA58" s="764">
        <f t="shared" si="47"/>
        <v>65.407178415790668</v>
      </c>
    </row>
    <row r="59" spans="1:27">
      <c r="A59" s="113" t="s">
        <v>288</v>
      </c>
      <c r="I59" s="764"/>
      <c r="J59" s="764">
        <v>0</v>
      </c>
      <c r="K59" s="764">
        <v>0</v>
      </c>
      <c r="L59" s="764">
        <f>L71</f>
        <v>0</v>
      </c>
      <c r="M59" s="764">
        <f>M71</f>
        <v>0</v>
      </c>
      <c r="N59" s="764">
        <f>N71</f>
        <v>0</v>
      </c>
      <c r="O59" s="764">
        <f>O71</f>
        <v>11.229560983397278</v>
      </c>
      <c r="P59" s="764">
        <f t="shared" ref="P59:U59" si="48">P71</f>
        <v>11.662326242018025</v>
      </c>
      <c r="Q59" s="764">
        <f t="shared" si="48"/>
        <v>12.11938271417057</v>
      </c>
      <c r="R59" s="764">
        <f t="shared" si="48"/>
        <v>13.096723698068672</v>
      </c>
      <c r="S59" s="764">
        <f t="shared" si="48"/>
        <v>13.606481335014905</v>
      </c>
      <c r="T59" s="764">
        <f t="shared" si="48"/>
        <v>14.69714735515754</v>
      </c>
      <c r="U59" s="764">
        <f t="shared" si="48"/>
        <v>16.572104326700355</v>
      </c>
      <c r="V59" s="764">
        <f t="shared" ref="V59:AA59" si="49">V71</f>
        <v>17.772370224483893</v>
      </c>
      <c r="W59" s="764">
        <f t="shared" si="49"/>
        <v>18.654298125757123</v>
      </c>
      <c r="X59" s="764">
        <f t="shared" si="49"/>
        <v>19.497413429808148</v>
      </c>
      <c r="Y59" s="764">
        <f t="shared" si="49"/>
        <v>20.348763634927309</v>
      </c>
      <c r="Z59" s="764">
        <f t="shared" si="49"/>
        <v>21.209388288552873</v>
      </c>
      <c r="AA59" s="764">
        <f t="shared" si="49"/>
        <v>22.079558381516108</v>
      </c>
    </row>
    <row r="60" spans="1:27">
      <c r="A60" s="113" t="s">
        <v>380</v>
      </c>
      <c r="I60" s="764">
        <v>-9</v>
      </c>
      <c r="J60" s="764">
        <v>-19</v>
      </c>
      <c r="K60" s="764">
        <v>0</v>
      </c>
      <c r="L60" s="764">
        <f t="shared" ref="L60:AA60" si="50">K14-L14</f>
        <v>6.4176245210728098</v>
      </c>
      <c r="M60" s="764">
        <f t="shared" si="50"/>
        <v>9.674329501915679</v>
      </c>
      <c r="N60" s="764">
        <f t="shared" si="50"/>
        <v>-6.0919540229884888</v>
      </c>
      <c r="O60" s="764">
        <f t="shared" si="50"/>
        <v>24</v>
      </c>
      <c r="P60" s="764">
        <f t="shared" si="50"/>
        <v>18</v>
      </c>
      <c r="Q60" s="764">
        <f t="shared" si="50"/>
        <v>-2</v>
      </c>
      <c r="R60" s="764">
        <f t="shared" si="50"/>
        <v>0</v>
      </c>
      <c r="S60" s="764">
        <f t="shared" si="50"/>
        <v>-60</v>
      </c>
      <c r="T60" s="764">
        <f t="shared" si="50"/>
        <v>-3</v>
      </c>
      <c r="U60" s="764">
        <f t="shared" si="50"/>
        <v>-8</v>
      </c>
      <c r="V60" s="764">
        <f t="shared" si="50"/>
        <v>-25.803308900979914</v>
      </c>
      <c r="W60" s="764">
        <f t="shared" si="50"/>
        <v>-19.232267032527886</v>
      </c>
      <c r="X60" s="764">
        <f t="shared" si="50"/>
        <v>-18.492628272379704</v>
      </c>
      <c r="Y60" s="764">
        <f t="shared" si="50"/>
        <v>-18.738491010502969</v>
      </c>
      <c r="Z60" s="764">
        <f t="shared" si="50"/>
        <v>-19.007534724910727</v>
      </c>
      <c r="AA60" s="764">
        <f t="shared" si="50"/>
        <v>-19.28369971176329</v>
      </c>
    </row>
    <row r="61" spans="1:27">
      <c r="A61" s="113" t="s">
        <v>15</v>
      </c>
      <c r="I61" s="764">
        <v>-21.180700000000058</v>
      </c>
      <c r="J61" s="764">
        <v>22.848699999999951</v>
      </c>
      <c r="K61" s="113">
        <v>0</v>
      </c>
      <c r="L61" s="764">
        <v>0</v>
      </c>
      <c r="M61" s="764">
        <v>-18.355983495254549</v>
      </c>
      <c r="N61" s="764">
        <v>31.707820664962441</v>
      </c>
      <c r="O61" s="764">
        <f t="shared" ref="O61:U61" si="51">O62-SUM(O57:O60)</f>
        <v>-10.477160983397198</v>
      </c>
      <c r="P61" s="764">
        <f t="shared" si="51"/>
        <v>4.331673757981946</v>
      </c>
      <c r="Q61" s="764">
        <f t="shared" si="51"/>
        <v>-96.682882714170546</v>
      </c>
      <c r="R61" s="764">
        <f t="shared" si="51"/>
        <v>-13.096723698068672</v>
      </c>
      <c r="S61" s="764">
        <f t="shared" si="51"/>
        <v>46.393518664985095</v>
      </c>
      <c r="T61" s="764">
        <f t="shared" si="51"/>
        <v>-11.69714735515754</v>
      </c>
      <c r="U61" s="764">
        <f t="shared" si="51"/>
        <v>-8.5721043267003552</v>
      </c>
      <c r="V61" s="764">
        <f>AVERAGE(Q61:U61)</f>
        <v>-16.731067885822405</v>
      </c>
      <c r="W61" s="764">
        <f>V61</f>
        <v>-16.731067885822405</v>
      </c>
      <c r="X61" s="764">
        <f t="shared" ref="X61:AA61" si="52">W61</f>
        <v>-16.731067885822405</v>
      </c>
      <c r="Y61" s="764">
        <f t="shared" si="52"/>
        <v>-16.731067885822405</v>
      </c>
      <c r="Z61" s="764">
        <f t="shared" si="52"/>
        <v>-16.731067885822405</v>
      </c>
      <c r="AA61" s="764">
        <f t="shared" si="52"/>
        <v>-16.731067885822405</v>
      </c>
    </row>
    <row r="62" spans="1:27">
      <c r="A62" s="146" t="s">
        <v>302</v>
      </c>
      <c r="B62" s="146"/>
      <c r="C62" s="146"/>
      <c r="D62" s="146"/>
      <c r="E62" s="146"/>
      <c r="F62" s="146"/>
      <c r="G62" s="146"/>
      <c r="H62" s="146">
        <v>409</v>
      </c>
      <c r="I62" s="146">
        <v>397</v>
      </c>
      <c r="J62" s="146">
        <v>413</v>
      </c>
      <c r="K62" s="769">
        <v>440.83779999999996</v>
      </c>
      <c r="L62" s="769">
        <f>SUM(L57:L61)</f>
        <v>337.37642452107281</v>
      </c>
      <c r="M62" s="769">
        <f>SUM(M57:M61)</f>
        <v>319.39414600666123</v>
      </c>
      <c r="N62" s="769">
        <f>SUM(N57:N61)</f>
        <v>365.20876664197397</v>
      </c>
      <c r="O62" s="769">
        <f t="shared" ref="O62:U62" si="53">O4</f>
        <v>422</v>
      </c>
      <c r="P62" s="769">
        <f t="shared" si="53"/>
        <v>471</v>
      </c>
      <c r="Q62" s="769">
        <f t="shared" si="53"/>
        <v>535</v>
      </c>
      <c r="R62" s="769">
        <f t="shared" si="53"/>
        <v>639</v>
      </c>
      <c r="S62" s="769">
        <f t="shared" si="53"/>
        <v>735</v>
      </c>
      <c r="T62" s="769">
        <f t="shared" si="53"/>
        <v>818</v>
      </c>
      <c r="U62" s="769">
        <f t="shared" si="53"/>
        <v>925</v>
      </c>
      <c r="V62" s="769">
        <f t="shared" ref="V62:Z62" si="54">SUM(V57:V61)</f>
        <v>989.36564340584482</v>
      </c>
      <c r="W62" s="769">
        <f t="shared" si="54"/>
        <v>1055.2531396200588</v>
      </c>
      <c r="X62" s="769">
        <f t="shared" si="54"/>
        <v>1124.5583199477455</v>
      </c>
      <c r="Y62" s="769">
        <f t="shared" si="54"/>
        <v>1197.5088926983633</v>
      </c>
      <c r="Z62" s="769">
        <f t="shared" si="54"/>
        <v>1290.4172921133061</v>
      </c>
      <c r="AA62" s="769">
        <f t="shared" ref="AA62" si="55">SUM(AA57:AA61)</f>
        <v>1341.8892613130272</v>
      </c>
    </row>
    <row r="63" spans="1:27">
      <c r="A63" s="780"/>
      <c r="B63" s="780"/>
      <c r="C63" s="780"/>
      <c r="D63" s="780"/>
      <c r="E63" s="780"/>
      <c r="F63" s="780"/>
      <c r="G63" s="780"/>
      <c r="H63" s="780"/>
      <c r="I63" s="780"/>
      <c r="J63" s="780"/>
      <c r="K63" s="781"/>
      <c r="L63" s="781"/>
      <c r="M63" s="781"/>
      <c r="N63" s="781"/>
      <c r="O63" s="781"/>
      <c r="P63" s="781"/>
      <c r="Q63" s="781"/>
      <c r="R63" s="781"/>
      <c r="S63" s="781"/>
      <c r="T63" s="781"/>
      <c r="U63" s="781"/>
      <c r="V63" s="781"/>
      <c r="W63" s="781"/>
      <c r="X63" s="781"/>
      <c r="Y63" s="781"/>
      <c r="Z63" s="781"/>
      <c r="AA63" s="781"/>
    </row>
    <row r="64" spans="1:27">
      <c r="A64" s="228" t="s">
        <v>270</v>
      </c>
      <c r="B64" s="228"/>
      <c r="C64" s="228"/>
      <c r="D64" s="228"/>
      <c r="E64" s="228"/>
      <c r="F64" s="228"/>
      <c r="G64" s="228"/>
      <c r="H64" s="228"/>
      <c r="I64" s="228"/>
      <c r="J64" s="229"/>
      <c r="K64" s="229"/>
      <c r="L64" s="228"/>
      <c r="M64" s="228"/>
      <c r="N64" s="228"/>
      <c r="O64" s="228"/>
      <c r="P64" s="228"/>
      <c r="Q64" s="228"/>
      <c r="R64" s="228"/>
      <c r="S64" s="228"/>
      <c r="T64" s="228"/>
      <c r="U64" s="228"/>
      <c r="V64" s="228"/>
      <c r="W64" s="228"/>
      <c r="X64" s="228"/>
      <c r="Y64" s="228"/>
      <c r="Z64" s="228"/>
      <c r="AA64" s="228"/>
    </row>
    <row r="65" spans="1:27">
      <c r="I65" s="259">
        <v>0</v>
      </c>
      <c r="J65" s="259">
        <v>0</v>
      </c>
      <c r="K65" s="260">
        <v>0</v>
      </c>
      <c r="L65" s="260">
        <v>0</v>
      </c>
      <c r="M65" s="260">
        <v>0</v>
      </c>
      <c r="N65" s="260">
        <v>0</v>
      </c>
      <c r="O65" s="260">
        <v>2E-3</v>
      </c>
      <c r="P65" s="260">
        <v>2E-3</v>
      </c>
      <c r="Q65" s="687">
        <v>2E-3</v>
      </c>
      <c r="R65" s="687">
        <v>2E-3</v>
      </c>
      <c r="S65" s="687">
        <v>2E-3</v>
      </c>
      <c r="T65" s="687">
        <v>2E-3</v>
      </c>
      <c r="U65" s="687">
        <v>2E-3</v>
      </c>
      <c r="V65" s="620">
        <v>2E-3</v>
      </c>
      <c r="W65" s="620">
        <v>2E-3</v>
      </c>
      <c r="X65" s="620">
        <v>2E-3</v>
      </c>
      <c r="Y65" s="620">
        <v>2E-3</v>
      </c>
      <c r="Z65" s="620">
        <v>2E-3</v>
      </c>
      <c r="AA65" s="620">
        <v>2E-3</v>
      </c>
    </row>
    <row r="66" spans="1:27">
      <c r="A66" s="113" t="s">
        <v>271</v>
      </c>
      <c r="H66" s="113">
        <v>5855</v>
      </c>
      <c r="I66" s="147">
        <v>5885.8453065134099</v>
      </c>
      <c r="J66" s="147">
        <v>6098.0236270753503</v>
      </c>
      <c r="K66" s="147">
        <v>6342.9166666666661</v>
      </c>
      <c r="L66" s="764">
        <f t="shared" ref="L66:AA66" si="56">(K66*(1-L65))*(1+L3)</f>
        <v>6217.6660280970618</v>
      </c>
      <c r="M66" s="764">
        <f t="shared" si="56"/>
        <v>6028.8553639846732</v>
      </c>
      <c r="N66" s="764">
        <f t="shared" si="56"/>
        <v>5546.5469348658999</v>
      </c>
      <c r="O66" s="764">
        <f t="shared" si="56"/>
        <v>5603.5509307151979</v>
      </c>
      <c r="P66" s="764">
        <f t="shared" si="56"/>
        <v>5819.5007947669219</v>
      </c>
      <c r="Q66" s="764">
        <f t="shared" si="56"/>
        <v>6047.5719743707596</v>
      </c>
      <c r="R66" s="764">
        <f t="shared" si="56"/>
        <v>6535.2651253363629</v>
      </c>
      <c r="S66" s="764">
        <f t="shared" si="56"/>
        <v>6789.6341861724895</v>
      </c>
      <c r="T66" s="764">
        <f t="shared" si="56"/>
        <v>7333.8765302236543</v>
      </c>
      <c r="U66" s="764">
        <f t="shared" si="56"/>
        <v>8269.4800590238374</v>
      </c>
      <c r="V66" s="764">
        <f t="shared" si="56"/>
        <v>8868.4127420175209</v>
      </c>
      <c r="W66" s="764">
        <f t="shared" si="56"/>
        <v>9308.4947647526915</v>
      </c>
      <c r="X66" s="764">
        <f t="shared" si="56"/>
        <v>9729.2093014735128</v>
      </c>
      <c r="Y66" s="764">
        <f t="shared" si="56"/>
        <v>10154.033053828003</v>
      </c>
      <c r="Z66" s="764">
        <f t="shared" si="56"/>
        <v>10583.484755986861</v>
      </c>
      <c r="AA66" s="764">
        <f t="shared" si="56"/>
        <v>11017.699632375841</v>
      </c>
    </row>
    <row r="67" spans="1:27">
      <c r="A67" s="113" t="s">
        <v>272</v>
      </c>
      <c r="H67" s="113">
        <v>3758.3999999999996</v>
      </c>
      <c r="I67" s="764">
        <v>3778.1999999999994</v>
      </c>
      <c r="J67" s="764">
        <v>3914.3999999999987</v>
      </c>
      <c r="K67" s="764">
        <v>4071.599999999999</v>
      </c>
      <c r="L67" s="764">
        <f t="shared" ref="L67:Q70" si="57">(K67/K$66)*L$66</f>
        <v>3991.1999999999989</v>
      </c>
      <c r="M67" s="764">
        <f t="shared" si="57"/>
        <v>3869.9999999999986</v>
      </c>
      <c r="N67" s="764">
        <f t="shared" si="57"/>
        <v>3560.3999999999992</v>
      </c>
      <c r="O67" s="764">
        <f t="shared" si="57"/>
        <v>3596.9915999999994</v>
      </c>
      <c r="P67" s="764">
        <f t="shared" si="57"/>
        <v>3735.6126023999996</v>
      </c>
      <c r="Q67" s="764">
        <f t="shared" si="57"/>
        <v>3882.0144335567993</v>
      </c>
      <c r="R67" s="764">
        <f t="shared" ref="R67:X70" si="58">(Q67/Q$66)*R$66</f>
        <v>4195.0709559460602</v>
      </c>
      <c r="S67" s="764">
        <f t="shared" si="58"/>
        <v>4358.3537361760345</v>
      </c>
      <c r="T67" s="764">
        <f t="shared" si="58"/>
        <v>4707.709914806589</v>
      </c>
      <c r="U67" s="764">
        <f t="shared" si="58"/>
        <v>5308.2858845149767</v>
      </c>
      <c r="V67" s="764">
        <f t="shared" si="58"/>
        <v>5692.7484969425532</v>
      </c>
      <c r="W67" s="764">
        <f t="shared" si="58"/>
        <v>5975.2428221770297</v>
      </c>
      <c r="X67" s="764">
        <f t="shared" si="58"/>
        <v>6245.3049083959086</v>
      </c>
      <c r="Y67" s="764">
        <f t="shared" ref="Y67:AA70" si="59">(X67/X$66)*Y$66</f>
        <v>6518.0047531182172</v>
      </c>
      <c r="Z67" s="764">
        <f t="shared" si="59"/>
        <v>6793.6753384971844</v>
      </c>
      <c r="AA67" s="764">
        <f t="shared" si="59"/>
        <v>7072.4034668354152</v>
      </c>
    </row>
    <row r="68" spans="1:27">
      <c r="A68" s="113" t="s">
        <v>273</v>
      </c>
      <c r="H68" s="764">
        <v>1951.8074498771412</v>
      </c>
      <c r="I68" s="764">
        <v>1962.0899603889461</v>
      </c>
      <c r="J68" s="764">
        <v>2032.8211690610581</v>
      </c>
      <c r="K68" s="764">
        <v>2114.458070700236</v>
      </c>
      <c r="L68" s="764">
        <f t="shared" si="57"/>
        <v>2072.7048461977556</v>
      </c>
      <c r="M68" s="764">
        <f t="shared" si="57"/>
        <v>2009.7634182164047</v>
      </c>
      <c r="N68" s="764">
        <f t="shared" si="57"/>
        <v>1848.9823447590925</v>
      </c>
      <c r="O68" s="764">
        <f t="shared" si="57"/>
        <v>1867.9850473673632</v>
      </c>
      <c r="P68" s="764">
        <f t="shared" si="57"/>
        <v>1939.9735278893293</v>
      </c>
      <c r="Q68" s="764">
        <f t="shared" si="57"/>
        <v>2016.0027383851511</v>
      </c>
      <c r="R68" s="764">
        <f t="shared" si="58"/>
        <v>2178.5788486001338</v>
      </c>
      <c r="S68" s="764">
        <f t="shared" si="58"/>
        <v>2263.3746518380849</v>
      </c>
      <c r="T68" s="764">
        <f t="shared" si="58"/>
        <v>2444.8018528043804</v>
      </c>
      <c r="U68" s="764">
        <f t="shared" si="58"/>
        <v>2756.6921922823549</v>
      </c>
      <c r="V68" s="764">
        <f t="shared" si="58"/>
        <v>2956.3508212562192</v>
      </c>
      <c r="W68" s="764">
        <f t="shared" si="58"/>
        <v>3103.0554105869633</v>
      </c>
      <c r="X68" s="764">
        <f t="shared" si="58"/>
        <v>3243.3037055559316</v>
      </c>
      <c r="Y68" s="764">
        <f t="shared" si="59"/>
        <v>3384.9218378753603</v>
      </c>
      <c r="Z68" s="764">
        <f t="shared" si="59"/>
        <v>3528.0827314084227</v>
      </c>
      <c r="AA68" s="764">
        <f t="shared" si="59"/>
        <v>3672.8314642151677</v>
      </c>
    </row>
    <row r="69" spans="1:27">
      <c r="A69" s="113" t="s">
        <v>274</v>
      </c>
      <c r="H69" s="113">
        <v>117.10000000000001</v>
      </c>
      <c r="I69" s="764">
        <v>117.7169061302682</v>
      </c>
      <c r="J69" s="764">
        <v>121.960472541507</v>
      </c>
      <c r="K69" s="764">
        <v>126.85833333333332</v>
      </c>
      <c r="L69" s="764">
        <f t="shared" si="57"/>
        <v>124.35332056194125</v>
      </c>
      <c r="M69" s="764">
        <f t="shared" si="57"/>
        <v>120.57710727969346</v>
      </c>
      <c r="N69" s="764">
        <f t="shared" si="57"/>
        <v>110.930938697318</v>
      </c>
      <c r="O69" s="764">
        <f t="shared" si="57"/>
        <v>112.07101861430397</v>
      </c>
      <c r="P69" s="764">
        <f t="shared" si="57"/>
        <v>116.39001589533844</v>
      </c>
      <c r="Q69" s="764">
        <f t="shared" si="57"/>
        <v>120.9514394874152</v>
      </c>
      <c r="R69" s="764">
        <f t="shared" si="58"/>
        <v>130.70530250672726</v>
      </c>
      <c r="S69" s="764">
        <f t="shared" si="58"/>
        <v>135.79268372344978</v>
      </c>
      <c r="T69" s="764">
        <f t="shared" si="58"/>
        <v>146.67753060447308</v>
      </c>
      <c r="U69" s="764">
        <f t="shared" si="58"/>
        <v>165.38960118047675</v>
      </c>
      <c r="V69" s="764">
        <f t="shared" si="58"/>
        <v>177.36825484035043</v>
      </c>
      <c r="W69" s="764">
        <f t="shared" si="58"/>
        <v>186.16989529505383</v>
      </c>
      <c r="X69" s="764">
        <f t="shared" si="58"/>
        <v>194.58418602947026</v>
      </c>
      <c r="Y69" s="764">
        <f t="shared" si="59"/>
        <v>203.08066107656006</v>
      </c>
      <c r="Z69" s="764">
        <f t="shared" si="59"/>
        <v>211.66969511973724</v>
      </c>
      <c r="AA69" s="764">
        <f t="shared" si="59"/>
        <v>220.35399264751683</v>
      </c>
    </row>
    <row r="70" spans="1:27">
      <c r="A70" s="113" t="s">
        <v>275</v>
      </c>
      <c r="H70" s="764">
        <v>27.692550122859203</v>
      </c>
      <c r="I70" s="764">
        <v>27.838439994196104</v>
      </c>
      <c r="J70" s="764">
        <v>28.841985472786302</v>
      </c>
      <c r="K70" s="764">
        <v>30.000262633097467</v>
      </c>
      <c r="L70" s="764">
        <f t="shared" si="57"/>
        <v>29.407861337365802</v>
      </c>
      <c r="M70" s="764">
        <f t="shared" si="57"/>
        <v>28.514838488576281</v>
      </c>
      <c r="N70" s="764">
        <f t="shared" si="57"/>
        <v>26.233651409490179</v>
      </c>
      <c r="O70" s="764">
        <f t="shared" si="57"/>
        <v>26.503264733531161</v>
      </c>
      <c r="P70" s="764">
        <f t="shared" si="57"/>
        <v>27.524648582254816</v>
      </c>
      <c r="Q70" s="764">
        <f t="shared" si="57"/>
        <v>28.603362941393826</v>
      </c>
      <c r="R70" s="764">
        <f t="shared" si="58"/>
        <v>30.910018283441666</v>
      </c>
      <c r="S70" s="764">
        <f t="shared" si="58"/>
        <v>32.113114434920583</v>
      </c>
      <c r="T70" s="764">
        <f t="shared" si="58"/>
        <v>34.687232008211659</v>
      </c>
      <c r="U70" s="764">
        <f t="shared" si="58"/>
        <v>39.112381046029427</v>
      </c>
      <c r="V70" s="764">
        <f t="shared" si="58"/>
        <v>41.945168978398534</v>
      </c>
      <c r="W70" s="764">
        <f t="shared" si="58"/>
        <v>44.026636693644129</v>
      </c>
      <c r="X70" s="764">
        <f t="shared" si="58"/>
        <v>46.016501492202089</v>
      </c>
      <c r="Y70" s="764">
        <f t="shared" si="59"/>
        <v>48.025801757865253</v>
      </c>
      <c r="Z70" s="764">
        <f t="shared" si="59"/>
        <v>50.056990961517073</v>
      </c>
      <c r="AA70" s="764">
        <f t="shared" si="59"/>
        <v>52.110708677741314</v>
      </c>
    </row>
    <row r="71" spans="1:27">
      <c r="A71" s="148" t="s">
        <v>276</v>
      </c>
      <c r="B71" s="146"/>
      <c r="C71" s="146"/>
      <c r="D71" s="146"/>
      <c r="E71" s="146"/>
      <c r="F71" s="146"/>
      <c r="G71" s="146"/>
      <c r="H71" s="146"/>
      <c r="I71" s="782">
        <v>0</v>
      </c>
      <c r="J71" s="782">
        <v>0</v>
      </c>
      <c r="K71" s="782">
        <v>0</v>
      </c>
      <c r="L71" s="782">
        <f t="shared" ref="L71:AA71" si="60">(K66*(1+L3))-SUM(L67:L70)</f>
        <v>0</v>
      </c>
      <c r="M71" s="782">
        <f t="shared" si="60"/>
        <v>0</v>
      </c>
      <c r="N71" s="782">
        <f t="shared" si="60"/>
        <v>0</v>
      </c>
      <c r="O71" s="782">
        <f t="shared" si="60"/>
        <v>11.229560983397278</v>
      </c>
      <c r="P71" s="782">
        <f t="shared" si="60"/>
        <v>11.662326242018025</v>
      </c>
      <c r="Q71" s="782">
        <f t="shared" si="60"/>
        <v>12.11938271417057</v>
      </c>
      <c r="R71" s="782">
        <f t="shared" si="60"/>
        <v>13.096723698068672</v>
      </c>
      <c r="S71" s="782">
        <f t="shared" si="60"/>
        <v>13.606481335014905</v>
      </c>
      <c r="T71" s="782">
        <f t="shared" si="60"/>
        <v>14.69714735515754</v>
      </c>
      <c r="U71" s="782">
        <f t="shared" si="60"/>
        <v>16.572104326700355</v>
      </c>
      <c r="V71" s="782">
        <f t="shared" si="60"/>
        <v>17.772370224483893</v>
      </c>
      <c r="W71" s="782">
        <f t="shared" si="60"/>
        <v>18.654298125757123</v>
      </c>
      <c r="X71" s="782">
        <f t="shared" si="60"/>
        <v>19.497413429808148</v>
      </c>
      <c r="Y71" s="782">
        <f t="shared" si="60"/>
        <v>20.348763634927309</v>
      </c>
      <c r="Z71" s="782">
        <f t="shared" si="60"/>
        <v>21.209388288552873</v>
      </c>
      <c r="AA71" s="782">
        <f t="shared" si="60"/>
        <v>22.079558381516108</v>
      </c>
    </row>
    <row r="72" spans="1:27">
      <c r="T72" s="113"/>
      <c r="U72" s="113"/>
      <c r="V72" s="113"/>
      <c r="W72" s="113"/>
      <c r="X72" s="113"/>
      <c r="Y72" s="113"/>
      <c r="Z72" s="113"/>
      <c r="AA72" s="113"/>
    </row>
    <row r="73" spans="1:27" hidden="1">
      <c r="J73" s="762"/>
      <c r="K73" s="762"/>
      <c r="L73" s="762"/>
      <c r="M73" s="762"/>
      <c r="N73" s="762"/>
      <c r="O73" s="762"/>
      <c r="P73" s="762"/>
      <c r="Q73" s="762"/>
      <c r="R73" s="762"/>
      <c r="S73" s="762"/>
      <c r="T73" s="762"/>
      <c r="U73" s="762"/>
      <c r="V73" s="762"/>
      <c r="W73" s="762"/>
      <c r="X73" s="762"/>
      <c r="Y73" s="762"/>
      <c r="Z73" s="762"/>
      <c r="AA73" s="762"/>
    </row>
    <row r="74" spans="1:27" hidden="1">
      <c r="K74" s="762"/>
      <c r="L74" s="762"/>
      <c r="M74" s="762"/>
    </row>
  </sheetData>
  <pageMargins left="0.7" right="0.7" top="0.75" bottom="0.75" header="0.3" footer="0.3"/>
  <pageSetup paperSize="0" orientation="portrait" r:id="rId1"/>
  <customProperties>
    <customPr name="Qube.Worksheet.Visibility" r:id="rId2"/>
    <customPr name="QXL_SHEET_ID" r:id="rId3"/>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1">
    <tabColor rgb="FFACD4F1"/>
    <pageSetUpPr autoPageBreaks="0"/>
  </sheetPr>
  <dimension ref="A1:AH58"/>
  <sheetViews>
    <sheetView showGridLines="0" zoomScaleNormal="100" workbookViewId="0"/>
  </sheetViews>
  <sheetFormatPr defaultColWidth="0" defaultRowHeight="12.75" zeroHeight="1" outlineLevelRow="1" outlineLevelCol="1"/>
  <cols>
    <col min="1" max="1" width="33" style="114" bestFit="1" customWidth="1"/>
    <col min="2" max="11" width="9" style="114" hidden="1" customWidth="1" outlineLevel="1"/>
    <col min="12" max="16" width="9" style="528" hidden="1" customWidth="1" outlineLevel="1"/>
    <col min="17" max="17" width="9" style="528" customWidth="1" collapsed="1"/>
    <col min="18" max="19" width="9" style="528" customWidth="1"/>
    <col min="20" max="21" width="9" style="625" customWidth="1"/>
    <col min="22" max="27" width="9" style="528" customWidth="1"/>
    <col min="28" max="28" width="9" style="114" customWidth="1"/>
    <col min="29" max="34" width="0" style="114" hidden="1"/>
    <col min="35" max="16384" width="9" style="114" hidden="1"/>
  </cols>
  <sheetData>
    <row r="1" spans="1:34">
      <c r="A1" s="191" t="s">
        <v>382</v>
      </c>
      <c r="B1" s="262">
        <v>2006</v>
      </c>
      <c r="C1" s="262">
        <v>2007</v>
      </c>
      <c r="D1" s="262">
        <v>2008</v>
      </c>
      <c r="E1" s="262">
        <v>2009</v>
      </c>
      <c r="F1" s="262">
        <v>2010</v>
      </c>
      <c r="G1" s="262">
        <v>2011</v>
      </c>
      <c r="H1" s="262">
        <v>2012</v>
      </c>
      <c r="I1" s="262">
        <v>2013</v>
      </c>
      <c r="J1" s="262">
        <v>2014</v>
      </c>
      <c r="K1" s="262">
        <v>2015</v>
      </c>
      <c r="L1" s="538">
        <v>2016</v>
      </c>
      <c r="M1" s="538">
        <f t="shared" ref="M1:U1" si="0">VALUE(LEFT(L1,4))+1</f>
        <v>2017</v>
      </c>
      <c r="N1" s="538">
        <f t="shared" si="0"/>
        <v>2018</v>
      </c>
      <c r="O1" s="538">
        <f t="shared" si="0"/>
        <v>2019</v>
      </c>
      <c r="P1" s="538">
        <f t="shared" si="0"/>
        <v>2020</v>
      </c>
      <c r="Q1" s="538">
        <f t="shared" si="0"/>
        <v>2021</v>
      </c>
      <c r="R1" s="538">
        <f t="shared" si="0"/>
        <v>2022</v>
      </c>
      <c r="S1" s="538">
        <f t="shared" si="0"/>
        <v>2023</v>
      </c>
      <c r="T1" s="626">
        <f t="shared" si="0"/>
        <v>2024</v>
      </c>
      <c r="U1" s="626">
        <f t="shared" si="0"/>
        <v>2025</v>
      </c>
      <c r="V1" s="539" t="str">
        <f t="shared" ref="V1:AA1" si="1">VALUE(LEFT(U1,4))+1&amp;"E"</f>
        <v>2026E</v>
      </c>
      <c r="W1" s="539" t="str">
        <f t="shared" si="1"/>
        <v>2027E</v>
      </c>
      <c r="X1" s="539" t="str">
        <f t="shared" si="1"/>
        <v>2028E</v>
      </c>
      <c r="Y1" s="539" t="str">
        <f t="shared" si="1"/>
        <v>2029E</v>
      </c>
      <c r="Z1" s="539" t="str">
        <f t="shared" si="1"/>
        <v>2030E</v>
      </c>
      <c r="AA1" s="539" t="str">
        <f t="shared" si="1"/>
        <v>2031E</v>
      </c>
      <c r="AB1" s="112"/>
      <c r="AC1" s="112"/>
    </row>
    <row r="2" spans="1:34">
      <c r="A2" s="227" t="s">
        <v>229</v>
      </c>
      <c r="B2" s="760"/>
      <c r="C2" s="760"/>
      <c r="D2" s="760"/>
      <c r="E2" s="760"/>
      <c r="F2" s="760"/>
      <c r="G2" s="760"/>
      <c r="H2" s="223">
        <v>13520</v>
      </c>
      <c r="I2" s="627">
        <v>17982</v>
      </c>
      <c r="J2" s="627">
        <v>13025</v>
      </c>
      <c r="K2" s="223">
        <v>13080</v>
      </c>
      <c r="L2" s="526">
        <f>Interims!AW95</f>
        <v>11854</v>
      </c>
      <c r="M2" s="526">
        <f>Interims!BE95</f>
        <v>10804</v>
      </c>
      <c r="N2" s="497">
        <v>11063</v>
      </c>
      <c r="O2" s="497">
        <v>10907</v>
      </c>
      <c r="P2" s="497">
        <v>10446</v>
      </c>
      <c r="Q2" s="497">
        <v>10186</v>
      </c>
      <c r="R2" s="497">
        <v>11259</v>
      </c>
      <c r="S2" s="497">
        <v>11495</v>
      </c>
      <c r="T2" s="497">
        <v>12082</v>
      </c>
      <c r="U2" s="497">
        <v>13405</v>
      </c>
      <c r="V2" s="526">
        <f t="shared" ref="V2:Z2" si="2">SUM(V14:V16)</f>
        <v>14277.665500000001</v>
      </c>
      <c r="W2" s="526">
        <f t="shared" si="2"/>
        <v>15207.697697500003</v>
      </c>
      <c r="X2" s="526">
        <f t="shared" si="2"/>
        <v>16198.901233112501</v>
      </c>
      <c r="Y2" s="526">
        <f t="shared" si="2"/>
        <v>17492.739223364129</v>
      </c>
      <c r="Z2" s="526">
        <f t="shared" si="2"/>
        <v>18894.053129366937</v>
      </c>
      <c r="AA2" s="526">
        <f t="shared" ref="AA2" si="3">SUM(AA14:AA16)</f>
        <v>20412.006000583158</v>
      </c>
      <c r="AB2" s="138"/>
      <c r="AC2" s="138"/>
    </row>
    <row r="3" spans="1:34">
      <c r="A3" s="114" t="s">
        <v>381</v>
      </c>
      <c r="I3" s="763">
        <f t="shared" ref="I3:AA3" si="4">I2/H2-1</f>
        <v>0.33002958579881647</v>
      </c>
      <c r="J3" s="763">
        <f t="shared" si="4"/>
        <v>-0.27566455344233121</v>
      </c>
      <c r="K3" s="763">
        <f t="shared" si="4"/>
        <v>4.222648752399305E-3</v>
      </c>
      <c r="L3" s="541">
        <f t="shared" si="4"/>
        <v>-9.373088685015285E-2</v>
      </c>
      <c r="M3" s="541">
        <f t="shared" si="4"/>
        <v>-8.8577695292728187E-2</v>
      </c>
      <c r="N3" s="541">
        <f t="shared" si="4"/>
        <v>2.3972602739726012E-2</v>
      </c>
      <c r="O3" s="541">
        <f t="shared" si="4"/>
        <v>-1.4101057579318454E-2</v>
      </c>
      <c r="P3" s="541">
        <f t="shared" si="4"/>
        <v>-4.2266434399926611E-2</v>
      </c>
      <c r="Q3" s="541">
        <f t="shared" si="4"/>
        <v>-2.4889910013402239E-2</v>
      </c>
      <c r="R3" s="541">
        <f t="shared" si="4"/>
        <v>0.10534066365599837</v>
      </c>
      <c r="S3" s="541">
        <f t="shared" si="4"/>
        <v>2.096100897060138E-2</v>
      </c>
      <c r="T3" s="527">
        <f t="shared" si="4"/>
        <v>5.1065680730752572E-2</v>
      </c>
      <c r="U3" s="527">
        <f t="shared" si="4"/>
        <v>0.10950173812282737</v>
      </c>
      <c r="V3" s="541">
        <f t="shared" si="4"/>
        <v>6.5100000000000158E-2</v>
      </c>
      <c r="W3" s="541">
        <f t="shared" si="4"/>
        <v>6.5138954088818091E-2</v>
      </c>
      <c r="X3" s="541">
        <f t="shared" si="4"/>
        <v>6.5177751118464355E-2</v>
      </c>
      <c r="Y3" s="541">
        <f t="shared" si="4"/>
        <v>7.987195993311369E-2</v>
      </c>
      <c r="Z3" s="541">
        <f t="shared" si="4"/>
        <v>8.0108317405838125E-2</v>
      </c>
      <c r="AA3" s="541">
        <f t="shared" si="4"/>
        <v>8.0340245728264259E-2</v>
      </c>
      <c r="AB3" s="763"/>
      <c r="AC3" s="763"/>
    </row>
    <row r="4" spans="1:34">
      <c r="A4" s="227" t="s">
        <v>376</v>
      </c>
      <c r="B4" s="227"/>
      <c r="C4" s="227"/>
      <c r="D4" s="227"/>
      <c r="E4" s="227"/>
      <c r="F4" s="227"/>
      <c r="G4" s="227"/>
      <c r="H4" s="225">
        <v>720</v>
      </c>
      <c r="I4" s="223">
        <v>942</v>
      </c>
      <c r="J4" s="223">
        <v>920</v>
      </c>
      <c r="K4" s="223">
        <v>1051</v>
      </c>
      <c r="L4" s="223">
        <v>1002</v>
      </c>
      <c r="M4" s="223">
        <v>872</v>
      </c>
      <c r="N4" s="223">
        <v>935</v>
      </c>
      <c r="O4" s="223">
        <v>565</v>
      </c>
      <c r="P4" s="223">
        <v>660</v>
      </c>
      <c r="Q4" s="223">
        <v>696</v>
      </c>
      <c r="R4" s="223">
        <v>384</v>
      </c>
      <c r="S4" s="223">
        <v>229</v>
      </c>
      <c r="T4" s="223">
        <v>-566</v>
      </c>
      <c r="U4" s="223">
        <v>798</v>
      </c>
      <c r="V4" s="526">
        <f t="shared" ref="V4:Z4" si="5">SUM(V30:V32)</f>
        <v>930.51313599999992</v>
      </c>
      <c r="W4" s="526">
        <f t="shared" si="5"/>
        <v>1092.9177708925001</v>
      </c>
      <c r="X4" s="526">
        <f t="shared" si="5"/>
        <v>1212.3087072988501</v>
      </c>
      <c r="Y4" s="526">
        <f t="shared" si="5"/>
        <v>1375.709019882333</v>
      </c>
      <c r="Z4" s="526">
        <f t="shared" si="5"/>
        <v>1554.7785284635097</v>
      </c>
      <c r="AA4" s="526">
        <f t="shared" ref="AA4" si="6">SUM(AA30:AA32)</f>
        <v>1769.2296345177924</v>
      </c>
      <c r="AB4" s="138"/>
      <c r="AC4" s="138"/>
    </row>
    <row r="5" spans="1:34">
      <c r="A5" s="114" t="s">
        <v>381</v>
      </c>
      <c r="H5" s="763"/>
      <c r="I5" s="763">
        <f t="shared" ref="I5:AA5" si="7">I4/H4-1</f>
        <v>0.30833333333333335</v>
      </c>
      <c r="J5" s="763">
        <f t="shared" si="7"/>
        <v>-2.3354564755838636E-2</v>
      </c>
      <c r="K5" s="763">
        <f t="shared" si="7"/>
        <v>0.14239130434782599</v>
      </c>
      <c r="L5" s="541">
        <f t="shared" si="7"/>
        <v>-4.6622264509990519E-2</v>
      </c>
      <c r="M5" s="541">
        <f t="shared" si="7"/>
        <v>-0.12974051896207583</v>
      </c>
      <c r="N5" s="541">
        <f t="shared" si="7"/>
        <v>7.2247706422018387E-2</v>
      </c>
      <c r="O5" s="541">
        <f t="shared" si="7"/>
        <v>-0.39572192513368987</v>
      </c>
      <c r="P5" s="541">
        <f t="shared" si="7"/>
        <v>0.16814159292035402</v>
      </c>
      <c r="Q5" s="541">
        <f t="shared" si="7"/>
        <v>5.4545454545454453E-2</v>
      </c>
      <c r="R5" s="541">
        <f t="shared" si="7"/>
        <v>-0.44827586206896552</v>
      </c>
      <c r="S5" s="541">
        <f t="shared" si="7"/>
        <v>-0.40364583333333337</v>
      </c>
      <c r="T5" s="541">
        <f t="shared" si="7"/>
        <v>-3.4716157205240177</v>
      </c>
      <c r="U5" s="541">
        <f>-(U4/T4-1)</f>
        <v>2.4098939929328624</v>
      </c>
      <c r="V5" s="541">
        <f>V4/U4-1</f>
        <v>0.16605656140350877</v>
      </c>
      <c r="W5" s="541">
        <f t="shared" si="7"/>
        <v>0.17453233985565175</v>
      </c>
      <c r="X5" s="541">
        <f t="shared" si="7"/>
        <v>0.10924054817852658</v>
      </c>
      <c r="Y5" s="541">
        <f t="shared" si="7"/>
        <v>0.13478440895434618</v>
      </c>
      <c r="Z5" s="541">
        <f t="shared" si="7"/>
        <v>0.1301652500588335</v>
      </c>
      <c r="AA5" s="541">
        <f t="shared" si="7"/>
        <v>0.1379303239196461</v>
      </c>
      <c r="AB5" s="763"/>
      <c r="AC5" s="763"/>
    </row>
    <row r="6" spans="1:34">
      <c r="A6" s="114" t="s">
        <v>231</v>
      </c>
      <c r="H6" s="763">
        <f t="shared" ref="H6:Z6" si="8">H4/H2</f>
        <v>5.3254437869822487E-2</v>
      </c>
      <c r="I6" s="763">
        <f t="shared" si="8"/>
        <v>5.2385719052385718E-2</v>
      </c>
      <c r="J6" s="763">
        <f t="shared" si="8"/>
        <v>7.0633397312859891E-2</v>
      </c>
      <c r="K6" s="763">
        <f t="shared" si="8"/>
        <v>8.0351681957186546E-2</v>
      </c>
      <c r="L6" s="541">
        <f t="shared" si="8"/>
        <v>8.452842922220348E-2</v>
      </c>
      <c r="M6" s="541">
        <f t="shared" si="8"/>
        <v>8.0710847834135499E-2</v>
      </c>
      <c r="N6" s="541">
        <f t="shared" si="8"/>
        <v>8.4515954081171477E-2</v>
      </c>
      <c r="O6" s="541">
        <f t="shared" si="8"/>
        <v>5.1801595305766938E-2</v>
      </c>
      <c r="P6" s="541">
        <f t="shared" si="8"/>
        <v>6.3182079264790345E-2</v>
      </c>
      <c r="Q6" s="541">
        <f t="shared" si="8"/>
        <v>6.8329079128215203E-2</v>
      </c>
      <c r="R6" s="541">
        <f t="shared" si="8"/>
        <v>3.4106048494537702E-2</v>
      </c>
      <c r="S6" s="541">
        <f t="shared" si="8"/>
        <v>1.9921705089169205E-2</v>
      </c>
      <c r="T6" s="527">
        <f t="shared" si="8"/>
        <v>-4.684654858467141E-2</v>
      </c>
      <c r="U6" s="541">
        <f t="shared" si="8"/>
        <v>5.9530026109660572E-2</v>
      </c>
      <c r="V6" s="541">
        <f t="shared" si="8"/>
        <v>6.517263876226824E-2</v>
      </c>
      <c r="W6" s="541">
        <f t="shared" si="8"/>
        <v>7.1866089965226296E-2</v>
      </c>
      <c r="X6" s="541">
        <f t="shared" si="8"/>
        <v>7.4838946781201759E-2</v>
      </c>
      <c r="Y6" s="541">
        <f t="shared" si="8"/>
        <v>7.8644573746624605E-2</v>
      </c>
      <c r="Z6" s="541">
        <f t="shared" si="8"/>
        <v>8.22893064721473E-2</v>
      </c>
      <c r="AA6" s="541">
        <f t="shared" ref="AA6" si="9">AA4/AA2</f>
        <v>8.6675931531043374E-2</v>
      </c>
      <c r="AB6" s="763"/>
      <c r="AC6" s="763"/>
    </row>
    <row r="8" spans="1:34" hidden="1">
      <c r="A8" s="113" t="s">
        <v>513</v>
      </c>
      <c r="I8" s="165">
        <v>43208</v>
      </c>
      <c r="J8" s="165">
        <v>43075</v>
      </c>
      <c r="K8" s="165">
        <v>42861</v>
      </c>
      <c r="L8" s="171">
        <v>41499</v>
      </c>
      <c r="M8" s="171">
        <v>37407</v>
      </c>
      <c r="N8" s="171">
        <v>35316</v>
      </c>
      <c r="O8" s="171">
        <v>32263</v>
      </c>
      <c r="P8" s="171">
        <v>33505</v>
      </c>
      <c r="Q8" s="171">
        <v>36131</v>
      </c>
      <c r="R8" s="171">
        <v>38426</v>
      </c>
      <c r="S8" s="171">
        <v>42195</v>
      </c>
      <c r="T8" s="176">
        <v>46803</v>
      </c>
      <c r="U8" s="176"/>
    </row>
    <row r="9" spans="1:34" hidden="1">
      <c r="A9" s="113" t="s">
        <v>514</v>
      </c>
      <c r="H9" s="138"/>
      <c r="I9" s="165">
        <v>11808</v>
      </c>
      <c r="J9" s="165">
        <v>12225</v>
      </c>
      <c r="K9" s="165">
        <v>14440</v>
      </c>
      <c r="L9" s="171">
        <v>15393</v>
      </c>
      <c r="M9" s="171">
        <v>8893</v>
      </c>
      <c r="N9" s="171">
        <v>8441</v>
      </c>
      <c r="O9" s="171">
        <v>8520</v>
      </c>
      <c r="P9" s="171">
        <v>11862</v>
      </c>
      <c r="Q9" s="171">
        <v>13656</v>
      </c>
      <c r="R9" s="171">
        <v>13660</v>
      </c>
      <c r="S9" s="171">
        <v>15701</v>
      </c>
      <c r="T9" s="176">
        <v>16710</v>
      </c>
      <c r="U9" s="176"/>
    </row>
    <row r="10" spans="1:34" hidden="1">
      <c r="A10" s="113" t="s">
        <v>232</v>
      </c>
      <c r="I10" s="765">
        <f t="shared" ref="I10:T10" si="10">I9/I2</f>
        <v>0.65665665665665662</v>
      </c>
      <c r="J10" s="765">
        <f t="shared" si="10"/>
        <v>0.93857965451055658</v>
      </c>
      <c r="K10" s="765">
        <f t="shared" si="10"/>
        <v>1.1039755351681957</v>
      </c>
      <c r="L10" s="783">
        <f t="shared" si="10"/>
        <v>1.2985490129913952</v>
      </c>
      <c r="M10" s="783">
        <f t="shared" si="10"/>
        <v>0.82312106627175119</v>
      </c>
      <c r="N10" s="783">
        <f t="shared" si="10"/>
        <v>0.76299376299376298</v>
      </c>
      <c r="O10" s="783">
        <f t="shared" si="10"/>
        <v>0.78114972036306962</v>
      </c>
      <c r="P10" s="783">
        <f t="shared" si="10"/>
        <v>1.1355542791499138</v>
      </c>
      <c r="Q10" s="783">
        <f t="shared" si="10"/>
        <v>1.3406636559984293</v>
      </c>
      <c r="R10" s="783">
        <f t="shared" si="10"/>
        <v>1.2132516209254818</v>
      </c>
      <c r="S10" s="783">
        <f t="shared" si="10"/>
        <v>1.3658982166159199</v>
      </c>
      <c r="T10" s="784">
        <f t="shared" si="10"/>
        <v>1.3830491640456879</v>
      </c>
      <c r="U10" s="784"/>
    </row>
    <row r="11" spans="1:34" hidden="1" outlineLevel="1">
      <c r="A11" s="113" t="s">
        <v>515</v>
      </c>
      <c r="B11" s="528"/>
      <c r="C11" s="528"/>
      <c r="D11" s="528"/>
      <c r="E11" s="528"/>
      <c r="F11" s="528"/>
      <c r="G11" s="528"/>
      <c r="H11" s="528"/>
      <c r="I11" s="537" t="s">
        <v>491</v>
      </c>
      <c r="J11" s="537" t="s">
        <v>491</v>
      </c>
      <c r="K11" s="537" t="s">
        <v>491</v>
      </c>
      <c r="L11" s="537" t="s">
        <v>491</v>
      </c>
      <c r="M11" s="537" t="s">
        <v>491</v>
      </c>
      <c r="N11" s="537" t="s">
        <v>491</v>
      </c>
      <c r="O11" s="537" t="s">
        <v>491</v>
      </c>
      <c r="P11" s="537" t="s">
        <v>491</v>
      </c>
      <c r="Q11" s="537" t="s">
        <v>491</v>
      </c>
      <c r="R11" s="537" t="s">
        <v>491</v>
      </c>
      <c r="S11" s="537" t="s">
        <v>491</v>
      </c>
      <c r="T11" s="624" t="s">
        <v>491</v>
      </c>
      <c r="U11" s="624"/>
    </row>
    <row r="12" spans="1:34" hidden="1" outlineLevel="1">
      <c r="A12" s="113" t="s">
        <v>516</v>
      </c>
      <c r="B12" s="528"/>
      <c r="C12" s="528"/>
      <c r="D12" s="528"/>
      <c r="E12" s="528"/>
      <c r="F12" s="528"/>
      <c r="G12" s="528"/>
      <c r="H12" s="528"/>
      <c r="I12" s="537" t="s">
        <v>491</v>
      </c>
      <c r="J12" s="537" t="s">
        <v>491</v>
      </c>
      <c r="K12" s="537" t="s">
        <v>491</v>
      </c>
      <c r="L12" s="537" t="s">
        <v>491</v>
      </c>
      <c r="M12" s="537" t="s">
        <v>491</v>
      </c>
      <c r="N12" s="537" t="s">
        <v>491</v>
      </c>
      <c r="O12" s="537" t="s">
        <v>491</v>
      </c>
      <c r="P12" s="537" t="s">
        <v>491</v>
      </c>
      <c r="Q12" s="537" t="s">
        <v>491</v>
      </c>
      <c r="R12" s="537" t="s">
        <v>491</v>
      </c>
      <c r="S12" s="537" t="s">
        <v>491</v>
      </c>
      <c r="T12" s="624" t="s">
        <v>491</v>
      </c>
      <c r="U12" s="624"/>
    </row>
    <row r="13" spans="1:34" collapsed="1">
      <c r="A13" s="227" t="s">
        <v>16</v>
      </c>
      <c r="B13" s="227"/>
      <c r="C13" s="227"/>
      <c r="D13" s="227"/>
      <c r="E13" s="227"/>
      <c r="F13" s="227"/>
      <c r="G13" s="227"/>
      <c r="H13" s="227"/>
      <c r="I13" s="227"/>
      <c r="J13" s="227"/>
      <c r="K13" s="227"/>
      <c r="L13" s="525"/>
      <c r="M13" s="525"/>
      <c r="N13" s="525"/>
      <c r="O13" s="525"/>
      <c r="P13" s="525"/>
      <c r="Q13" s="525"/>
      <c r="R13" s="525"/>
      <c r="S13" s="525"/>
      <c r="T13" s="785"/>
      <c r="U13" s="785"/>
      <c r="V13" s="525"/>
      <c r="W13" s="525"/>
      <c r="X13" s="525"/>
      <c r="Y13" s="525"/>
      <c r="Z13" s="525"/>
      <c r="AA13" s="525"/>
    </row>
    <row r="14" spans="1:34">
      <c r="A14" s="114" t="s">
        <v>561</v>
      </c>
      <c r="H14" s="138">
        <f>'Airbus Defence &amp; Space'!H39</f>
        <v>5632.4</v>
      </c>
      <c r="I14" s="138">
        <f>'Airbus Defence &amp; Space'!I39</f>
        <v>6453.100122488976</v>
      </c>
      <c r="J14" s="138">
        <f>'Airbus Defence &amp; Space'!J39</f>
        <v>6642</v>
      </c>
      <c r="K14" s="138">
        <f>'Airbus Defence &amp; Space'!K39</f>
        <v>6808.5777478500731</v>
      </c>
      <c r="L14" s="144">
        <f>'Airbus Defence &amp; Space'!L39</f>
        <v>4978.68</v>
      </c>
      <c r="M14" s="144">
        <f>'Airbus Defence &amp; Space'!M39</f>
        <v>5293.96</v>
      </c>
      <c r="N14" s="144">
        <f>'Airbus Defence &amp; Space'!N39</f>
        <v>5752.76</v>
      </c>
      <c r="O14" s="144">
        <f>'Airbus Defence &amp; Space'!O39</f>
        <v>5562.57</v>
      </c>
      <c r="P14" s="144">
        <f>'Airbus Defence &amp; Space'!P39</f>
        <v>5849.76</v>
      </c>
      <c r="Q14" s="144">
        <f>'Airbus Defence &amp; Space'!Q39</f>
        <v>5296.72</v>
      </c>
      <c r="R14" s="144">
        <f>'Airbus Defence &amp; Space'!R39</f>
        <v>5967.27</v>
      </c>
      <c r="S14" s="144">
        <f>'Airbus Defence &amp; Space'!S39</f>
        <v>7011.95</v>
      </c>
      <c r="T14" s="144">
        <f>'Airbus Defence &amp; Space'!T39</f>
        <v>7491</v>
      </c>
      <c r="U14" s="144">
        <f>'Airbus Defence &amp; Space'!U39</f>
        <v>8311.1</v>
      </c>
      <c r="V14" s="144">
        <f>'Airbus Defence &amp; Space'!V39</f>
        <v>8892.8770000000004</v>
      </c>
      <c r="W14" s="144">
        <f>'Airbus Defence &amp; Space'!W39</f>
        <v>9515.3783900000017</v>
      </c>
      <c r="X14" s="144">
        <f>'Airbus Defence &amp; Space'!X39</f>
        <v>10181.454877300002</v>
      </c>
      <c r="Y14" s="144">
        <f>'Airbus Defence &amp; Space'!Y39</f>
        <v>11097.785816257003</v>
      </c>
      <c r="Z14" s="144">
        <f>'Airbus Defence &amp; Space'!Z39</f>
        <v>12096.586539720134</v>
      </c>
      <c r="AA14" s="144">
        <f>'Airbus Defence &amp; Space'!AA39</f>
        <v>13185.279328294948</v>
      </c>
      <c r="AB14" s="141"/>
      <c r="AG14" s="138"/>
      <c r="AH14" s="138"/>
    </row>
    <row r="15" spans="1:34">
      <c r="A15" s="114" t="s">
        <v>562</v>
      </c>
      <c r="H15" s="114">
        <f>'Airbus Defence &amp; Space'!H46</f>
        <v>5740</v>
      </c>
      <c r="I15" s="114">
        <f>'Airbus Defence &amp; Space'!I46</f>
        <v>5976</v>
      </c>
      <c r="J15" s="138">
        <f>'Airbus Defence &amp; Space'!J46</f>
        <v>2445.0804000000003</v>
      </c>
      <c r="K15" s="138">
        <f>'Airbus Defence &amp; Space'!K46</f>
        <v>2501.0441460000002</v>
      </c>
      <c r="L15" s="144">
        <f>'Airbus Defence &amp; Space'!L46</f>
        <v>3200.58</v>
      </c>
      <c r="M15" s="144">
        <f>'Airbus Defence &amp; Space'!M46</f>
        <v>2376.88</v>
      </c>
      <c r="N15" s="144">
        <f>'Airbus Defence &amp; Space'!N46</f>
        <v>2323.23</v>
      </c>
      <c r="O15" s="144">
        <f>'Airbus Defence &amp; Space'!O46</f>
        <v>2508.61</v>
      </c>
      <c r="P15" s="144">
        <f>'Airbus Defence &amp; Space'!P46</f>
        <v>2089.1999999999998</v>
      </c>
      <c r="Q15" s="144">
        <f>'Airbus Defence &amp; Space'!Q46</f>
        <v>2139.06</v>
      </c>
      <c r="R15" s="144">
        <f>'Airbus Defence &amp; Space'!R46</f>
        <v>2589.5700000000002</v>
      </c>
      <c r="S15" s="144">
        <f>'Airbus Defence &amp; Space'!S46</f>
        <v>2184.0500000000002</v>
      </c>
      <c r="T15" s="144">
        <f>'Airbus Defence &amp; Space'!T46</f>
        <v>2054</v>
      </c>
      <c r="U15" s="144">
        <f>'Airbus Defence &amp; Space'!U46</f>
        <v>2144.8000000000002</v>
      </c>
      <c r="V15" s="144">
        <f>'Airbus Defence &amp; Space'!V46</f>
        <v>2273.4880000000003</v>
      </c>
      <c r="W15" s="144">
        <f>'Airbus Defence &amp; Space'!W46</f>
        <v>2409.8972800000006</v>
      </c>
      <c r="X15" s="144">
        <f>'Airbus Defence &amp; Space'!X46</f>
        <v>2554.4911168000008</v>
      </c>
      <c r="Y15" s="144">
        <f>'Airbus Defence &amp; Space'!Y46</f>
        <v>2758.8504061440012</v>
      </c>
      <c r="Z15" s="144">
        <f>'Airbus Defence &amp; Space'!Z46</f>
        <v>2979.5584386355217</v>
      </c>
      <c r="AA15" s="144">
        <f>'Airbus Defence &amp; Space'!AA46</f>
        <v>3217.9231137263637</v>
      </c>
      <c r="AB15" s="141"/>
    </row>
    <row r="16" spans="1:34">
      <c r="A16" s="114" t="s">
        <v>560</v>
      </c>
      <c r="H16" s="138">
        <f>'Airbus Defence &amp; Space'!H53</f>
        <v>5817</v>
      </c>
      <c r="I16" s="138">
        <f>'Airbus Defence &amp; Space'!I53</f>
        <v>5784</v>
      </c>
      <c r="J16" s="138">
        <f>'Airbus Defence &amp; Space'!J53</f>
        <v>4037</v>
      </c>
      <c r="K16" s="138">
        <f>'Airbus Defence &amp; Space'!K53</f>
        <v>3793</v>
      </c>
      <c r="L16" s="144">
        <f>'Airbus Defence &amp; Space'!L53</f>
        <v>3674.74</v>
      </c>
      <c r="M16" s="144">
        <f>'Airbus Defence &amp; Space'!M53</f>
        <v>3133.16</v>
      </c>
      <c r="N16" s="144">
        <f>'Airbus Defence &amp; Space'!N53</f>
        <v>2987.01</v>
      </c>
      <c r="O16" s="144">
        <f>'Airbus Defence &amp; Space'!O53</f>
        <v>2835.82</v>
      </c>
      <c r="P16" s="144">
        <f>'Airbus Defence &amp; Space'!P53</f>
        <v>2507.4</v>
      </c>
      <c r="Q16" s="144">
        <f>'Airbus Defence &amp; Space'!Q53</f>
        <v>2750.22</v>
      </c>
      <c r="R16" s="144">
        <f>'Airbus Defence &amp; Space'!R53</f>
        <v>2702.16</v>
      </c>
      <c r="S16" s="144">
        <f>'Airbus Defence &amp; Space'!S53</f>
        <v>2299</v>
      </c>
      <c r="T16" s="144">
        <f>'Airbus Defence &amp; Space'!T53</f>
        <v>2537</v>
      </c>
      <c r="U16" s="144">
        <f>'Airbus Defence &amp; Space'!U53</f>
        <v>2949.1</v>
      </c>
      <c r="V16" s="144">
        <f>'Airbus Defence &amp; Space'!V53</f>
        <v>3111.3004999999998</v>
      </c>
      <c r="W16" s="144">
        <f>'Airbus Defence &amp; Space'!W53</f>
        <v>3282.4220274999998</v>
      </c>
      <c r="X16" s="144">
        <f>'Airbus Defence &amp; Space'!X53</f>
        <v>3462.9552390124995</v>
      </c>
      <c r="Y16" s="144">
        <f>'Airbus Defence &amp; Space'!Y53</f>
        <v>3636.1030009631245</v>
      </c>
      <c r="Z16" s="144">
        <f>'Airbus Defence &amp; Space'!Z53</f>
        <v>3817.908151011281</v>
      </c>
      <c r="AA16" s="144">
        <f>'Airbus Defence &amp; Space'!AA53</f>
        <v>4008.8035585618454</v>
      </c>
      <c r="AB16" s="141"/>
    </row>
    <row r="17" spans="1:31">
      <c r="A17" s="114" t="s">
        <v>219</v>
      </c>
      <c r="H17" s="138">
        <f>H2-SUM(H14:H16)</f>
        <v>-3669.4000000000015</v>
      </c>
      <c r="I17" s="138">
        <f t="shared" ref="I17:Z17" si="11">I2-SUM(I14:I16)</f>
        <v>-231.10012248897692</v>
      </c>
      <c r="J17" s="138">
        <f t="shared" si="11"/>
        <v>-99.080400000000736</v>
      </c>
      <c r="K17" s="138">
        <f t="shared" si="11"/>
        <v>-22.62189385007332</v>
      </c>
      <c r="L17" s="138">
        <f t="shared" si="11"/>
        <v>0</v>
      </c>
      <c r="M17" s="138">
        <f t="shared" si="11"/>
        <v>0</v>
      </c>
      <c r="N17" s="138">
        <f t="shared" si="11"/>
        <v>0</v>
      </c>
      <c r="O17" s="138">
        <f t="shared" si="11"/>
        <v>0</v>
      </c>
      <c r="P17" s="138">
        <f t="shared" si="11"/>
        <v>-0.36000000000058208</v>
      </c>
      <c r="Q17" s="138">
        <f t="shared" si="11"/>
        <v>0</v>
      </c>
      <c r="R17" s="138">
        <f t="shared" si="11"/>
        <v>0</v>
      </c>
      <c r="S17" s="138">
        <f t="shared" si="11"/>
        <v>0</v>
      </c>
      <c r="T17" s="138">
        <f t="shared" si="11"/>
        <v>0</v>
      </c>
      <c r="U17" s="138">
        <f t="shared" si="11"/>
        <v>0</v>
      </c>
      <c r="V17" s="138">
        <f t="shared" si="11"/>
        <v>0</v>
      </c>
      <c r="W17" s="138">
        <f t="shared" si="11"/>
        <v>0</v>
      </c>
      <c r="X17" s="138">
        <f t="shared" si="11"/>
        <v>0</v>
      </c>
      <c r="Y17" s="138">
        <f t="shared" si="11"/>
        <v>0</v>
      </c>
      <c r="Z17" s="138">
        <f t="shared" si="11"/>
        <v>0</v>
      </c>
      <c r="AA17" s="138">
        <f t="shared" ref="AA17" si="12">AA2-SUM(AA14:AA16)</f>
        <v>0</v>
      </c>
    </row>
    <row r="18" spans="1:31">
      <c r="J18" s="141"/>
      <c r="K18" s="141"/>
      <c r="L18" s="527"/>
      <c r="M18" s="527"/>
      <c r="N18" s="527"/>
      <c r="O18" s="527"/>
      <c r="P18" s="527"/>
      <c r="Q18" s="527"/>
      <c r="R18" s="527"/>
      <c r="S18" s="527"/>
      <c r="T18" s="527"/>
      <c r="U18" s="527"/>
      <c r="V18" s="527"/>
      <c r="W18" s="527"/>
      <c r="X18" s="527"/>
      <c r="Y18" s="527"/>
      <c r="Z18" s="527"/>
      <c r="AA18" s="527"/>
    </row>
    <row r="19" spans="1:31">
      <c r="A19" s="227" t="s">
        <v>563</v>
      </c>
      <c r="B19" s="227"/>
      <c r="C19" s="227"/>
      <c r="D19" s="227"/>
      <c r="E19" s="227"/>
      <c r="F19" s="227"/>
      <c r="G19" s="227"/>
      <c r="H19" s="227"/>
      <c r="I19" s="227"/>
      <c r="J19" s="227"/>
      <c r="K19" s="227"/>
      <c r="L19" s="525"/>
      <c r="M19" s="525"/>
      <c r="N19" s="525"/>
      <c r="O19" s="525"/>
      <c r="P19" s="525"/>
      <c r="Q19" s="525"/>
      <c r="R19" s="525"/>
      <c r="S19" s="525"/>
      <c r="T19" s="785"/>
      <c r="U19" s="785"/>
      <c r="V19" s="525"/>
      <c r="W19" s="525"/>
      <c r="X19" s="525"/>
      <c r="Y19" s="525"/>
      <c r="Z19" s="525"/>
      <c r="AA19" s="525"/>
    </row>
    <row r="20" spans="1:31">
      <c r="A20" s="114" t="s">
        <v>561</v>
      </c>
      <c r="J20" s="141"/>
      <c r="K20" s="141"/>
      <c r="L20" s="527">
        <f t="shared" ref="L20:M22" si="13">L14/$M$2</f>
        <v>0.46081821547574975</v>
      </c>
      <c r="M20" s="527">
        <f t="shared" si="13"/>
        <v>0.49</v>
      </c>
      <c r="N20" s="527">
        <f>N14/$N$2</f>
        <v>0.52</v>
      </c>
      <c r="O20" s="527">
        <f>O14/$O$2</f>
        <v>0.51</v>
      </c>
      <c r="P20" s="527">
        <f>P14/$T$2</f>
        <v>0.48417149478563154</v>
      </c>
      <c r="Q20" s="527">
        <f>Q14/$Q$2</f>
        <v>0.52</v>
      </c>
      <c r="R20" s="527">
        <f>R14/$R$2</f>
        <v>0.53</v>
      </c>
      <c r="S20" s="527">
        <f>S14/$S$2</f>
        <v>0.61</v>
      </c>
      <c r="T20" s="527">
        <f>T14/$T$2</f>
        <v>0.62001324284058934</v>
      </c>
      <c r="U20" s="527">
        <f t="shared" ref="U20:Z20" si="14">U14/U2</f>
        <v>0.62</v>
      </c>
      <c r="V20" s="527">
        <f t="shared" si="14"/>
        <v>0.62285231433668198</v>
      </c>
      <c r="W20" s="527">
        <f t="shared" si="14"/>
        <v>0.62569486711747546</v>
      </c>
      <c r="X20" s="527">
        <f t="shared" si="14"/>
        <v>0.62852749891998139</v>
      </c>
      <c r="Y20" s="527">
        <f t="shared" si="14"/>
        <v>0.63442241232489627</v>
      </c>
      <c r="Z20" s="527">
        <f t="shared" si="14"/>
        <v>0.64023248251157228</v>
      </c>
      <c r="AA20" s="527">
        <f t="shared" ref="AA20" si="15">AA14/AA2</f>
        <v>0.6459570572298603</v>
      </c>
    </row>
    <row r="21" spans="1:31">
      <c r="A21" s="114" t="s">
        <v>562</v>
      </c>
      <c r="J21" s="141"/>
      <c r="K21" s="141"/>
      <c r="L21" s="527">
        <f t="shared" si="13"/>
        <v>0.29624028137726766</v>
      </c>
      <c r="M21" s="527">
        <f t="shared" si="13"/>
        <v>0.22</v>
      </c>
      <c r="N21" s="527">
        <f>N15/$N$2</f>
        <v>0.21</v>
      </c>
      <c r="O21" s="527">
        <f>O15/$O$2</f>
        <v>0.23</v>
      </c>
      <c r="P21" s="527">
        <f>P15/$T$2</f>
        <v>0.17291839099486839</v>
      </c>
      <c r="Q21" s="527">
        <f>Q15/$Q$2</f>
        <v>0.21</v>
      </c>
      <c r="R21" s="527">
        <f>R15/$R$2</f>
        <v>0.23</v>
      </c>
      <c r="S21" s="527">
        <f>S15/$S$2</f>
        <v>0.19</v>
      </c>
      <c r="T21" s="527">
        <f>T15/$T$2</f>
        <v>0.170004966065221</v>
      </c>
      <c r="U21" s="527">
        <f t="shared" ref="U21:Z21" si="16">U15/U2</f>
        <v>0.16</v>
      </c>
      <c r="V21" s="527">
        <f t="shared" si="16"/>
        <v>0.15923387475354428</v>
      </c>
      <c r="W21" s="527">
        <f t="shared" si="16"/>
        <v>0.15846562234046538</v>
      </c>
      <c r="X21" s="527">
        <f t="shared" si="16"/>
        <v>0.15769533254380944</v>
      </c>
      <c r="Y21" s="527">
        <f t="shared" si="16"/>
        <v>0.15771403042807328</v>
      </c>
      <c r="Z21" s="527">
        <f t="shared" si="16"/>
        <v>0.15769821426004185</v>
      </c>
      <c r="AA21" s="527">
        <f t="shared" ref="AA21" si="17">AA15/AA2</f>
        <v>0.15764854829233491</v>
      </c>
    </row>
    <row r="22" spans="1:31">
      <c r="A22" s="114" t="s">
        <v>560</v>
      </c>
      <c r="J22" s="141"/>
      <c r="K22" s="141"/>
      <c r="L22" s="527">
        <f t="shared" si="13"/>
        <v>0.34012773047019618</v>
      </c>
      <c r="M22" s="527">
        <f t="shared" si="13"/>
        <v>0.28999999999999998</v>
      </c>
      <c r="N22" s="527">
        <f>N16/$N$2</f>
        <v>0.27</v>
      </c>
      <c r="O22" s="527">
        <f>O16/$O$2</f>
        <v>0.26</v>
      </c>
      <c r="P22" s="527">
        <f>P16/$T$2</f>
        <v>0.20753186558516803</v>
      </c>
      <c r="Q22" s="527">
        <f>Q16/$Q$2</f>
        <v>0.26999999999999996</v>
      </c>
      <c r="R22" s="527">
        <f>R16/$R$2</f>
        <v>0.24</v>
      </c>
      <c r="S22" s="527">
        <f>S16/$S$2</f>
        <v>0.2</v>
      </c>
      <c r="T22" s="527">
        <f>T16/$T$2</f>
        <v>0.20998179109418971</v>
      </c>
      <c r="U22" s="527">
        <f t="shared" ref="U22:Z22" si="18">U16/U2</f>
        <v>0.22</v>
      </c>
      <c r="V22" s="527">
        <f t="shared" si="18"/>
        <v>0.21791381090977371</v>
      </c>
      <c r="W22" s="527">
        <f t="shared" si="18"/>
        <v>0.2158395105420591</v>
      </c>
      <c r="X22" s="527">
        <f t="shared" si="18"/>
        <v>0.21377716853620929</v>
      </c>
      <c r="Y22" s="527">
        <f t="shared" si="18"/>
        <v>0.20786355724703043</v>
      </c>
      <c r="Z22" s="527">
        <f t="shared" si="18"/>
        <v>0.2020693032283859</v>
      </c>
      <c r="AA22" s="527">
        <f t="shared" ref="AA22" si="19">AA16/AA2</f>
        <v>0.19639439447780471</v>
      </c>
    </row>
    <row r="23" spans="1:31">
      <c r="J23" s="141"/>
      <c r="K23" s="141"/>
      <c r="L23" s="527"/>
      <c r="M23" s="527"/>
      <c r="N23" s="527"/>
      <c r="O23" s="527"/>
      <c r="P23" s="527"/>
      <c r="Q23" s="527"/>
      <c r="R23" s="527"/>
      <c r="S23" s="527"/>
      <c r="V23" s="527"/>
      <c r="W23" s="527"/>
      <c r="X23" s="527"/>
      <c r="Y23" s="527"/>
      <c r="Z23" s="527"/>
      <c r="AA23" s="527"/>
    </row>
    <row r="24" spans="1:31">
      <c r="A24" s="227" t="s">
        <v>227</v>
      </c>
      <c r="B24" s="227"/>
      <c r="C24" s="227"/>
      <c r="D24" s="227"/>
      <c r="E24" s="227"/>
      <c r="F24" s="227"/>
      <c r="G24" s="227"/>
      <c r="H24" s="227"/>
      <c r="I24" s="227"/>
      <c r="J24" s="227"/>
      <c r="K24" s="227"/>
      <c r="L24" s="525"/>
      <c r="M24" s="525"/>
      <c r="N24" s="525"/>
      <c r="O24" s="525"/>
      <c r="P24" s="525"/>
      <c r="Q24" s="525"/>
      <c r="R24" s="525"/>
      <c r="S24" s="525"/>
      <c r="T24" s="785"/>
      <c r="U24" s="785"/>
      <c r="V24" s="525"/>
      <c r="W24" s="525"/>
      <c r="X24" s="525"/>
      <c r="Y24" s="525"/>
      <c r="Z24" s="525"/>
      <c r="AA24" s="525"/>
      <c r="AE24" s="140"/>
    </row>
    <row r="25" spans="1:31">
      <c r="A25" s="114" t="s">
        <v>561</v>
      </c>
      <c r="I25" s="141">
        <f t="shared" ref="I25:AA25" si="20">I14/H14-1</f>
        <v>0.14571055366965702</v>
      </c>
      <c r="J25" s="141">
        <f t="shared" si="20"/>
        <v>2.9272733093464565E-2</v>
      </c>
      <c r="K25" s="141">
        <f t="shared" si="20"/>
        <v>2.50794561653227E-2</v>
      </c>
      <c r="L25" s="527">
        <f t="shared" si="20"/>
        <v>-0.26876358258931465</v>
      </c>
      <c r="M25" s="527">
        <f t="shared" si="20"/>
        <v>6.3326022158483708E-2</v>
      </c>
      <c r="N25" s="527">
        <f t="shared" si="20"/>
        <v>8.6664802907464367E-2</v>
      </c>
      <c r="O25" s="527">
        <f t="shared" si="20"/>
        <v>-3.3060652625870102E-2</v>
      </c>
      <c r="P25" s="527">
        <f t="shared" si="20"/>
        <v>5.1629013207923791E-2</v>
      </c>
      <c r="Q25" s="527">
        <f t="shared" si="20"/>
        <v>-9.454063072673069E-2</v>
      </c>
      <c r="R25" s="527">
        <f t="shared" si="20"/>
        <v>0.12659721488015219</v>
      </c>
      <c r="S25" s="527">
        <f t="shared" si="20"/>
        <v>0.17506833107937125</v>
      </c>
      <c r="T25" s="527">
        <f t="shared" si="20"/>
        <v>6.8319083849713635E-2</v>
      </c>
      <c r="U25" s="527">
        <f t="shared" si="20"/>
        <v>0.10947804031504482</v>
      </c>
      <c r="V25" s="527">
        <f t="shared" si="20"/>
        <v>7.0000000000000062E-2</v>
      </c>
      <c r="W25" s="527">
        <f t="shared" si="20"/>
        <v>7.0000000000000062E-2</v>
      </c>
      <c r="X25" s="527">
        <f t="shared" si="20"/>
        <v>7.0000000000000062E-2</v>
      </c>
      <c r="Y25" s="527">
        <f t="shared" si="20"/>
        <v>9.000000000000008E-2</v>
      </c>
      <c r="Z25" s="527">
        <f t="shared" si="20"/>
        <v>9.000000000000008E-2</v>
      </c>
      <c r="AA25" s="527">
        <f t="shared" si="20"/>
        <v>9.000000000000008E-2</v>
      </c>
      <c r="AE25" s="140"/>
    </row>
    <row r="26" spans="1:31">
      <c r="A26" s="114" t="s">
        <v>562</v>
      </c>
      <c r="I26" s="141">
        <f t="shared" ref="I26:AA26" si="21">I15/H15-1</f>
        <v>4.1114982578397186E-2</v>
      </c>
      <c r="J26" s="141">
        <f t="shared" si="21"/>
        <v>-0.59084999999999988</v>
      </c>
      <c r="K26" s="141">
        <f t="shared" si="21"/>
        <v>2.2888305022607858E-2</v>
      </c>
      <c r="L26" s="527">
        <f t="shared" si="21"/>
        <v>0.27969752357981759</v>
      </c>
      <c r="M26" s="527">
        <f t="shared" si="21"/>
        <v>-0.2573596035718525</v>
      </c>
      <c r="N26" s="527">
        <f t="shared" si="21"/>
        <v>-2.2571606475716099E-2</v>
      </c>
      <c r="O26" s="527">
        <f t="shared" si="21"/>
        <v>7.9794079794079931E-2</v>
      </c>
      <c r="P26" s="527">
        <f t="shared" si="21"/>
        <v>-0.16718820382602329</v>
      </c>
      <c r="Q26" s="527">
        <f t="shared" si="21"/>
        <v>2.3865594485927621E-2</v>
      </c>
      <c r="R26" s="527">
        <f t="shared" si="21"/>
        <v>0.21061120305180792</v>
      </c>
      <c r="S26" s="527">
        <f t="shared" si="21"/>
        <v>-0.15659742737211191</v>
      </c>
      <c r="T26" s="527">
        <f t="shared" si="21"/>
        <v>-5.9545340079210751E-2</v>
      </c>
      <c r="U26" s="527">
        <f t="shared" si="21"/>
        <v>4.4206426484907579E-2</v>
      </c>
      <c r="V26" s="527">
        <f t="shared" si="21"/>
        <v>6.0000000000000053E-2</v>
      </c>
      <c r="W26" s="527">
        <f t="shared" si="21"/>
        <v>6.0000000000000053E-2</v>
      </c>
      <c r="X26" s="527">
        <f t="shared" si="21"/>
        <v>6.0000000000000053E-2</v>
      </c>
      <c r="Y26" s="527">
        <f t="shared" si="21"/>
        <v>8.0000000000000071E-2</v>
      </c>
      <c r="Z26" s="527">
        <f t="shared" si="21"/>
        <v>8.0000000000000071E-2</v>
      </c>
      <c r="AA26" s="527">
        <f t="shared" si="21"/>
        <v>8.0000000000000071E-2</v>
      </c>
      <c r="AD26" s="140"/>
      <c r="AE26" s="140"/>
    </row>
    <row r="27" spans="1:31">
      <c r="A27" s="114" t="s">
        <v>560</v>
      </c>
      <c r="I27" s="141">
        <f t="shared" ref="I27:AA27" si="22">I16/H16-1</f>
        <v>-5.6730273336771386E-3</v>
      </c>
      <c r="J27" s="141">
        <f t="shared" si="22"/>
        <v>-0.30204011065006919</v>
      </c>
      <c r="K27" s="141">
        <f t="shared" si="22"/>
        <v>-6.0440921476343834E-2</v>
      </c>
      <c r="L27" s="527">
        <f t="shared" si="22"/>
        <v>-3.1178486686000539E-2</v>
      </c>
      <c r="M27" s="527">
        <f t="shared" si="22"/>
        <v>-0.14737913430610061</v>
      </c>
      <c r="N27" s="527">
        <f t="shared" si="22"/>
        <v>-4.6646197449220494E-2</v>
      </c>
      <c r="O27" s="527">
        <f t="shared" si="22"/>
        <v>-5.0615833224528894E-2</v>
      </c>
      <c r="P27" s="527">
        <f t="shared" si="22"/>
        <v>-0.11581129972988413</v>
      </c>
      <c r="Q27" s="527">
        <f t="shared" si="22"/>
        <v>9.6841349605168547E-2</v>
      </c>
      <c r="R27" s="527">
        <f t="shared" si="22"/>
        <v>-1.7474965639112439E-2</v>
      </c>
      <c r="S27" s="527">
        <f t="shared" si="22"/>
        <v>-0.14919915919116555</v>
      </c>
      <c r="T27" s="527">
        <f t="shared" si="22"/>
        <v>0.1035232709873859</v>
      </c>
      <c r="U27" s="527">
        <f t="shared" si="22"/>
        <v>0.16243594797004324</v>
      </c>
      <c r="V27" s="527">
        <f t="shared" si="22"/>
        <v>5.4999999999999938E-2</v>
      </c>
      <c r="W27" s="527">
        <f t="shared" si="22"/>
        <v>5.4999999999999938E-2</v>
      </c>
      <c r="X27" s="527">
        <f t="shared" si="22"/>
        <v>5.4999999999999938E-2</v>
      </c>
      <c r="Y27" s="527">
        <f t="shared" si="22"/>
        <v>5.0000000000000044E-2</v>
      </c>
      <c r="Z27" s="527">
        <f t="shared" si="22"/>
        <v>5.0000000000000044E-2</v>
      </c>
      <c r="AA27" s="527">
        <f t="shared" si="22"/>
        <v>5.0000000000000044E-2</v>
      </c>
      <c r="AD27" s="140"/>
    </row>
    <row r="28" spans="1:31">
      <c r="AD28" s="140"/>
    </row>
    <row r="29" spans="1:31">
      <c r="A29" s="227" t="s">
        <v>383</v>
      </c>
      <c r="B29" s="227"/>
      <c r="C29" s="227"/>
      <c r="D29" s="227"/>
      <c r="E29" s="227"/>
      <c r="F29" s="227"/>
      <c r="G29" s="227"/>
      <c r="H29" s="227"/>
      <c r="I29" s="227"/>
      <c r="J29" s="227"/>
      <c r="K29" s="227"/>
      <c r="L29" s="525"/>
      <c r="M29" s="525"/>
      <c r="N29" s="525"/>
      <c r="O29" s="525"/>
      <c r="P29" s="525"/>
      <c r="Q29" s="525"/>
      <c r="R29" s="525"/>
      <c r="S29" s="525"/>
      <c r="T29" s="785"/>
      <c r="U29" s="785"/>
      <c r="V29" s="525"/>
      <c r="W29" s="525"/>
      <c r="X29" s="525"/>
      <c r="Y29" s="525"/>
      <c r="Z29" s="525"/>
      <c r="AA29" s="525"/>
    </row>
    <row r="30" spans="1:31">
      <c r="A30" s="114" t="s">
        <v>561</v>
      </c>
      <c r="H30" s="138">
        <f>H41</f>
        <v>450.59199999999993</v>
      </c>
      <c r="I30" s="138">
        <f t="shared" ref="I30:Z30" si="23">I41</f>
        <v>516.24800979911799</v>
      </c>
      <c r="J30" s="138">
        <f t="shared" si="23"/>
        <v>531.36</v>
      </c>
      <c r="K30" s="138">
        <f t="shared" si="23"/>
        <v>544.68621982800585</v>
      </c>
      <c r="L30" s="138">
        <f t="shared" si="23"/>
        <v>398.29440000000005</v>
      </c>
      <c r="M30" s="138">
        <f t="shared" si="23"/>
        <v>423.51679999999999</v>
      </c>
      <c r="N30" s="138">
        <f t="shared" si="23"/>
        <v>460.22080000000005</v>
      </c>
      <c r="O30" s="138">
        <f t="shared" si="23"/>
        <v>445.00560000000007</v>
      </c>
      <c r="P30" s="138">
        <f t="shared" si="23"/>
        <v>467.98080000000004</v>
      </c>
      <c r="Q30" s="138">
        <f t="shared" si="23"/>
        <v>423.73760000000004</v>
      </c>
      <c r="R30" s="138">
        <f t="shared" si="23"/>
        <v>298.36350000000004</v>
      </c>
      <c r="S30" s="138">
        <f t="shared" si="23"/>
        <v>560.95600000000002</v>
      </c>
      <c r="T30" s="138">
        <f t="shared" si="23"/>
        <v>374.55</v>
      </c>
      <c r="U30" s="138">
        <f t="shared" si="23"/>
        <v>515.28820000000007</v>
      </c>
      <c r="V30" s="138">
        <f t="shared" si="23"/>
        <v>631.39426700000001</v>
      </c>
      <c r="W30" s="138">
        <f t="shared" si="23"/>
        <v>770.7456495900002</v>
      </c>
      <c r="X30" s="138">
        <f t="shared" si="23"/>
        <v>865.42366457050025</v>
      </c>
      <c r="Y30" s="138">
        <f t="shared" si="23"/>
        <v>998.80072346313023</v>
      </c>
      <c r="Z30" s="138">
        <f t="shared" si="23"/>
        <v>1149.1757212734128</v>
      </c>
      <c r="AA30" s="138">
        <f t="shared" ref="AA30" si="24">AA41</f>
        <v>1318.5279328294948</v>
      </c>
      <c r="AB30" s="141"/>
    </row>
    <row r="31" spans="1:31">
      <c r="A31" s="114" t="s">
        <v>562</v>
      </c>
      <c r="H31" s="138">
        <f>H48</f>
        <v>128</v>
      </c>
      <c r="I31" s="138">
        <f t="shared" ref="I31:Z31" si="25">I48</f>
        <v>432</v>
      </c>
      <c r="J31" s="138">
        <f t="shared" si="25"/>
        <v>378.29312732195154</v>
      </c>
      <c r="K31" s="138">
        <f t="shared" si="25"/>
        <v>387.08435066216128</v>
      </c>
      <c r="L31" s="138">
        <f t="shared" si="25"/>
        <v>472.81891267844333</v>
      </c>
      <c r="M31" s="138">
        <f t="shared" si="25"/>
        <v>351.13134035090962</v>
      </c>
      <c r="N31" s="138">
        <f t="shared" si="25"/>
        <v>343.202718043039</v>
      </c>
      <c r="O31" s="138">
        <f t="shared" si="25"/>
        <v>389.6832731724744</v>
      </c>
      <c r="P31" s="138">
        <f t="shared" si="25"/>
        <v>324.53282666972297</v>
      </c>
      <c r="Q31" s="138">
        <f t="shared" si="25"/>
        <v>318.71087213208421</v>
      </c>
      <c r="R31" s="138">
        <f t="shared" si="25"/>
        <v>207.16560000000001</v>
      </c>
      <c r="S31" s="138">
        <f t="shared" si="25"/>
        <v>174.72400000000002</v>
      </c>
      <c r="T31" s="138">
        <f t="shared" si="25"/>
        <v>164.32</v>
      </c>
      <c r="U31" s="138">
        <f t="shared" si="25"/>
        <v>171.58400000000003</v>
      </c>
      <c r="V31" s="138">
        <f t="shared" si="25"/>
        <v>181.87904000000003</v>
      </c>
      <c r="W31" s="138">
        <f t="shared" si="25"/>
        <v>195.20167968000004</v>
      </c>
      <c r="X31" s="138">
        <f t="shared" si="25"/>
        <v>209.46827157760006</v>
      </c>
      <c r="Y31" s="138">
        <f t="shared" si="25"/>
        <v>228.98458370995212</v>
      </c>
      <c r="Z31" s="138">
        <f t="shared" si="25"/>
        <v>250.28290884538384</v>
      </c>
      <c r="AA31" s="138">
        <f t="shared" ref="AA31" si="26">AA48</f>
        <v>270.30554155301456</v>
      </c>
      <c r="AB31" s="141"/>
    </row>
    <row r="32" spans="1:31">
      <c r="A32" s="114" t="s">
        <v>560</v>
      </c>
      <c r="H32" s="139">
        <f>H55</f>
        <v>311</v>
      </c>
      <c r="I32" s="139">
        <f t="shared" ref="I32:Z32" si="27">I55</f>
        <v>309.2356884992264</v>
      </c>
      <c r="J32" s="139">
        <f t="shared" si="27"/>
        <v>215.83410692796974</v>
      </c>
      <c r="K32" s="139">
        <f t="shared" si="27"/>
        <v>202.78889461921955</v>
      </c>
      <c r="L32" s="139">
        <f t="shared" si="27"/>
        <v>196.46624376826543</v>
      </c>
      <c r="M32" s="139">
        <f t="shared" si="27"/>
        <v>167.51121884132715</v>
      </c>
      <c r="N32" s="139">
        <f t="shared" si="27"/>
        <v>159.69745745229503</v>
      </c>
      <c r="O32" s="139">
        <f t="shared" si="27"/>
        <v>151.61423757950834</v>
      </c>
      <c r="P32" s="139">
        <f t="shared" si="27"/>
        <v>134.05559566787005</v>
      </c>
      <c r="Q32" s="139">
        <f t="shared" si="27"/>
        <v>-46.448472132084248</v>
      </c>
      <c r="R32" s="139">
        <f t="shared" si="27"/>
        <v>-121.52910000000008</v>
      </c>
      <c r="S32" s="139">
        <f t="shared" si="27"/>
        <v>-506.68000000000006</v>
      </c>
      <c r="T32" s="139">
        <f t="shared" si="27"/>
        <v>-1104.8699999999999</v>
      </c>
      <c r="U32" s="139">
        <f t="shared" si="27"/>
        <v>111.12779999999989</v>
      </c>
      <c r="V32" s="139">
        <f t="shared" si="27"/>
        <v>117.23982899999989</v>
      </c>
      <c r="W32" s="139">
        <f t="shared" si="27"/>
        <v>126.97044162249988</v>
      </c>
      <c r="X32" s="139">
        <f t="shared" si="27"/>
        <v>137.41677115074987</v>
      </c>
      <c r="Y32" s="138">
        <f t="shared" si="27"/>
        <v>147.92371270925048</v>
      </c>
      <c r="Z32" s="139">
        <f t="shared" si="27"/>
        <v>155.31989834471304</v>
      </c>
      <c r="AA32" s="139">
        <f t="shared" ref="AA32" si="28">AA55</f>
        <v>180.39616013528303</v>
      </c>
      <c r="AB32" s="141"/>
    </row>
    <row r="33" spans="1:32">
      <c r="A33" s="114" t="s">
        <v>219</v>
      </c>
      <c r="H33" s="138">
        <f t="shared" ref="H33:U33" si="29">H4-SUM(H30:H32)</f>
        <v>-169.59199999999987</v>
      </c>
      <c r="I33" s="138">
        <f t="shared" si="29"/>
        <v>-315.48369829834428</v>
      </c>
      <c r="J33" s="138">
        <f t="shared" si="29"/>
        <v>-205.48723424992136</v>
      </c>
      <c r="K33" s="138">
        <f t="shared" si="29"/>
        <v>-83.559465109386565</v>
      </c>
      <c r="L33" s="138">
        <f t="shared" si="29"/>
        <v>-65.579556446708921</v>
      </c>
      <c r="M33" s="138">
        <f t="shared" si="29"/>
        <v>-70.15935919223682</v>
      </c>
      <c r="N33" s="138">
        <f t="shared" si="29"/>
        <v>-28.120975495334051</v>
      </c>
      <c r="O33" s="138">
        <f t="shared" si="29"/>
        <v>-421.30311075198279</v>
      </c>
      <c r="P33" s="138">
        <f t="shared" si="29"/>
        <v>-266.56922233759303</v>
      </c>
      <c r="Q33" s="138">
        <f t="shared" si="29"/>
        <v>0</v>
      </c>
      <c r="R33" s="138">
        <f t="shared" si="29"/>
        <v>0</v>
      </c>
      <c r="S33" s="138">
        <f t="shared" si="29"/>
        <v>0</v>
      </c>
      <c r="T33" s="138">
        <f t="shared" si="29"/>
        <v>0</v>
      </c>
      <c r="U33" s="138">
        <f t="shared" si="29"/>
        <v>0</v>
      </c>
      <c r="V33" s="138">
        <f t="shared" ref="V33:AA33" si="30">V4-SUM(V30:V32)</f>
        <v>0</v>
      </c>
      <c r="W33" s="138">
        <f t="shared" si="30"/>
        <v>0</v>
      </c>
      <c r="X33" s="138">
        <f t="shared" si="30"/>
        <v>0</v>
      </c>
      <c r="Y33" s="138">
        <f t="shared" si="30"/>
        <v>0</v>
      </c>
      <c r="Z33" s="138">
        <f t="shared" si="30"/>
        <v>0</v>
      </c>
      <c r="AA33" s="138">
        <f t="shared" si="30"/>
        <v>0</v>
      </c>
      <c r="AF33" s="138"/>
    </row>
    <row r="34" spans="1:32">
      <c r="H34" s="138"/>
      <c r="I34" s="138"/>
      <c r="J34" s="138"/>
      <c r="K34" s="138"/>
      <c r="L34" s="138"/>
      <c r="M34" s="138"/>
      <c r="N34" s="138"/>
      <c r="O34" s="138"/>
      <c r="P34" s="138"/>
      <c r="Q34" s="138"/>
      <c r="R34" s="138"/>
      <c r="S34" s="138"/>
      <c r="T34" s="138"/>
      <c r="U34" s="138"/>
      <c r="V34" s="144"/>
      <c r="W34" s="144"/>
      <c r="X34" s="144"/>
      <c r="Y34" s="144"/>
      <c r="Z34" s="144"/>
      <c r="AA34" s="144"/>
      <c r="AF34" s="138"/>
    </row>
    <row r="35" spans="1:32">
      <c r="A35" s="114" t="s">
        <v>233</v>
      </c>
      <c r="I35" s="138"/>
      <c r="J35" s="141"/>
      <c r="K35" s="141"/>
      <c r="L35" s="527"/>
      <c r="M35" s="144"/>
      <c r="N35" s="500">
        <v>328</v>
      </c>
      <c r="O35" s="500">
        <v>302</v>
      </c>
      <c r="P35" s="500">
        <v>225</v>
      </c>
      <c r="Q35" s="500">
        <v>249</v>
      </c>
      <c r="R35" s="500">
        <v>266</v>
      </c>
      <c r="S35" s="500">
        <v>275</v>
      </c>
      <c r="T35" s="628">
        <v>276</v>
      </c>
      <c r="U35" s="628">
        <v>269</v>
      </c>
      <c r="V35" s="144">
        <f t="shared" ref="V35:Z35" si="31">V36*V2</f>
        <v>328.38630649999999</v>
      </c>
      <c r="W35" s="144">
        <f t="shared" si="31"/>
        <v>349.7770470425001</v>
      </c>
      <c r="X35" s="144">
        <f t="shared" si="31"/>
        <v>372.57472836158752</v>
      </c>
      <c r="Y35" s="144">
        <f t="shared" si="31"/>
        <v>402.33300213737499</v>
      </c>
      <c r="Z35" s="144">
        <f t="shared" si="31"/>
        <v>434.56322197543955</v>
      </c>
      <c r="AA35" s="144">
        <f t="shared" ref="AA35" si="32">AA36*AA2</f>
        <v>469.47613801341265</v>
      </c>
    </row>
    <row r="36" spans="1:32">
      <c r="A36" s="114" t="s">
        <v>439</v>
      </c>
      <c r="J36" s="141"/>
      <c r="K36" s="141"/>
      <c r="L36" s="527"/>
      <c r="M36" s="541"/>
      <c r="N36" s="541">
        <f t="shared" ref="N36:U36" si="33">N35/N2</f>
        <v>2.964837747446443E-2</v>
      </c>
      <c r="O36" s="541">
        <f t="shared" si="33"/>
        <v>2.7688640322728521E-2</v>
      </c>
      <c r="P36" s="541">
        <f t="shared" si="33"/>
        <v>2.15393452039058E-2</v>
      </c>
      <c r="Q36" s="541">
        <f t="shared" si="33"/>
        <v>2.4445317101904576E-2</v>
      </c>
      <c r="R36" s="541">
        <f t="shared" si="33"/>
        <v>2.3625544009237054E-2</v>
      </c>
      <c r="S36" s="541">
        <f t="shared" si="33"/>
        <v>2.3923444976076555E-2</v>
      </c>
      <c r="T36" s="895">
        <f t="shared" si="33"/>
        <v>2.2843900016553551E-2</v>
      </c>
      <c r="U36" s="895">
        <f t="shared" si="33"/>
        <v>2.0067139127191345E-2</v>
      </c>
      <c r="V36" s="621">
        <v>2.3E-2</v>
      </c>
      <c r="W36" s="621">
        <f>V36</f>
        <v>2.3E-2</v>
      </c>
      <c r="X36" s="621">
        <f>W36</f>
        <v>2.3E-2</v>
      </c>
      <c r="Y36" s="621">
        <f t="shared" ref="Y36:AA36" si="34">X36</f>
        <v>2.3E-2</v>
      </c>
      <c r="Z36" s="621">
        <f t="shared" si="34"/>
        <v>2.3E-2</v>
      </c>
      <c r="AA36" s="621">
        <f t="shared" si="34"/>
        <v>2.3E-2</v>
      </c>
    </row>
    <row r="37" spans="1:32">
      <c r="J37" s="141"/>
      <c r="K37" s="141"/>
      <c r="L37" s="527"/>
      <c r="M37" s="527"/>
      <c r="N37" s="527"/>
      <c r="O37" s="527"/>
      <c r="P37" s="527"/>
      <c r="Q37" s="527"/>
      <c r="R37" s="527"/>
      <c r="S37" s="527"/>
      <c r="V37" s="527"/>
      <c r="W37" s="527"/>
      <c r="X37" s="527"/>
      <c r="Y37" s="527"/>
      <c r="Z37" s="527"/>
      <c r="AA37" s="527"/>
    </row>
    <row r="38" spans="1:32">
      <c r="A38" s="191" t="s">
        <v>200</v>
      </c>
      <c r="B38" s="192">
        <v>2006</v>
      </c>
      <c r="C38" s="192">
        <v>2007</v>
      </c>
      <c r="D38" s="192">
        <v>2008</v>
      </c>
      <c r="E38" s="192">
        <v>2009</v>
      </c>
      <c r="F38" s="192">
        <v>2010</v>
      </c>
      <c r="G38" s="192">
        <v>2011</v>
      </c>
      <c r="H38" s="192">
        <v>2012</v>
      </c>
      <c r="I38" s="192">
        <v>2013</v>
      </c>
      <c r="J38" s="192">
        <v>2014</v>
      </c>
      <c r="K38" s="192">
        <v>2015</v>
      </c>
      <c r="L38" s="192">
        <v>2016</v>
      </c>
      <c r="M38" s="192">
        <v>2017</v>
      </c>
      <c r="N38" s="192">
        <v>2018</v>
      </c>
      <c r="O38" s="192">
        <v>2019</v>
      </c>
      <c r="P38" s="192">
        <v>2020</v>
      </c>
      <c r="Q38" s="192">
        <v>2021</v>
      </c>
      <c r="R38" s="192">
        <v>2022</v>
      </c>
      <c r="S38" s="192">
        <v>2023</v>
      </c>
      <c r="T38" s="192">
        <v>2024</v>
      </c>
      <c r="U38" s="192">
        <v>2025</v>
      </c>
      <c r="V38" s="800">
        <f>U38+1</f>
        <v>2026</v>
      </c>
      <c r="W38" s="800">
        <f t="shared" ref="W38:AA38" si="35">V38+1</f>
        <v>2027</v>
      </c>
      <c r="X38" s="800">
        <f t="shared" si="35"/>
        <v>2028</v>
      </c>
      <c r="Y38" s="800">
        <f t="shared" si="35"/>
        <v>2029</v>
      </c>
      <c r="Z38" s="800">
        <f t="shared" si="35"/>
        <v>2030</v>
      </c>
      <c r="AA38" s="800">
        <f t="shared" si="35"/>
        <v>2031</v>
      </c>
    </row>
    <row r="39" spans="1:32">
      <c r="A39" s="227" t="s">
        <v>229</v>
      </c>
      <c r="B39" s="786"/>
      <c r="C39" s="786"/>
      <c r="D39" s="786"/>
      <c r="E39" s="786"/>
      <c r="F39" s="786"/>
      <c r="G39" s="787"/>
      <c r="H39" s="787">
        <v>5632.4</v>
      </c>
      <c r="I39" s="787">
        <v>6453.100122488976</v>
      </c>
      <c r="J39" s="760">
        <v>6642</v>
      </c>
      <c r="K39" s="760">
        <v>6808.5777478500731</v>
      </c>
      <c r="L39" s="760">
        <v>4978.68</v>
      </c>
      <c r="M39" s="760">
        <v>5293.96</v>
      </c>
      <c r="N39" s="760">
        <v>5752.76</v>
      </c>
      <c r="O39" s="760">
        <v>5562.57</v>
      </c>
      <c r="P39" s="760">
        <v>5849.76</v>
      </c>
      <c r="Q39" s="760">
        <v>5296.72</v>
      </c>
      <c r="R39" s="760">
        <v>5967.27</v>
      </c>
      <c r="S39" s="760">
        <v>7011.95</v>
      </c>
      <c r="T39" s="760">
        <v>7491</v>
      </c>
      <c r="U39" s="760">
        <f>$U$2*0.62</f>
        <v>8311.1</v>
      </c>
      <c r="V39" s="760">
        <f t="shared" ref="V39:AA39" si="36">U39*(1+V40)</f>
        <v>8892.8770000000004</v>
      </c>
      <c r="W39" s="760">
        <f t="shared" si="36"/>
        <v>9515.3783900000017</v>
      </c>
      <c r="X39" s="760">
        <f t="shared" si="36"/>
        <v>10181.454877300002</v>
      </c>
      <c r="Y39" s="760">
        <f t="shared" si="36"/>
        <v>11097.785816257003</v>
      </c>
      <c r="Z39" s="760">
        <f t="shared" si="36"/>
        <v>12096.586539720134</v>
      </c>
      <c r="AA39" s="760">
        <f t="shared" si="36"/>
        <v>13185.279328294948</v>
      </c>
    </row>
    <row r="40" spans="1:32">
      <c r="A40" s="136" t="s">
        <v>183</v>
      </c>
      <c r="B40" s="113"/>
      <c r="C40" s="761"/>
      <c r="D40" s="761"/>
      <c r="E40" s="761"/>
      <c r="F40" s="761"/>
      <c r="G40" s="761"/>
      <c r="H40" s="761"/>
      <c r="I40" s="761">
        <f t="shared" ref="I40:U40" si="37">I39/H39-1</f>
        <v>0.14571055366965702</v>
      </c>
      <c r="J40" s="761">
        <f t="shared" si="37"/>
        <v>2.9272733093464565E-2</v>
      </c>
      <c r="K40" s="761">
        <f t="shared" si="37"/>
        <v>2.50794561653227E-2</v>
      </c>
      <c r="L40" s="761">
        <f t="shared" si="37"/>
        <v>-0.26876358258931465</v>
      </c>
      <c r="M40" s="761">
        <f t="shared" si="37"/>
        <v>6.3326022158483708E-2</v>
      </c>
      <c r="N40" s="761">
        <f t="shared" si="37"/>
        <v>8.6664802907464367E-2</v>
      </c>
      <c r="O40" s="761">
        <f t="shared" si="37"/>
        <v>-3.3060652625870102E-2</v>
      </c>
      <c r="P40" s="761">
        <f t="shared" si="37"/>
        <v>5.1629013207923791E-2</v>
      </c>
      <c r="Q40" s="761">
        <f t="shared" si="37"/>
        <v>-9.454063072673069E-2</v>
      </c>
      <c r="R40" s="761">
        <f t="shared" si="37"/>
        <v>0.12659721488015219</v>
      </c>
      <c r="S40" s="761">
        <f t="shared" si="37"/>
        <v>0.17506833107937125</v>
      </c>
      <c r="T40" s="761">
        <f t="shared" si="37"/>
        <v>6.8319083849713635E-2</v>
      </c>
      <c r="U40" s="761">
        <f t="shared" si="37"/>
        <v>0.10947804031504482</v>
      </c>
      <c r="V40" s="799">
        <v>7.0000000000000007E-2</v>
      </c>
      <c r="W40" s="799">
        <f>V40</f>
        <v>7.0000000000000007E-2</v>
      </c>
      <c r="X40" s="799">
        <f t="shared" ref="X40:AA40" si="38">W40</f>
        <v>7.0000000000000007E-2</v>
      </c>
      <c r="Y40" s="799">
        <v>0.09</v>
      </c>
      <c r="Z40" s="799">
        <f t="shared" si="38"/>
        <v>0.09</v>
      </c>
      <c r="AA40" s="799">
        <f t="shared" si="38"/>
        <v>0.09</v>
      </c>
    </row>
    <row r="41" spans="1:32">
      <c r="A41" s="227" t="s">
        <v>55</v>
      </c>
      <c r="B41" s="227"/>
      <c r="C41" s="227"/>
      <c r="D41" s="227"/>
      <c r="E41" s="227"/>
      <c r="F41" s="227"/>
      <c r="G41" s="227"/>
      <c r="H41" s="786">
        <f>H39*H42</f>
        <v>450.59199999999993</v>
      </c>
      <c r="I41" s="786">
        <f t="shared" ref="I41:T41" si="39">I39*I42</f>
        <v>516.24800979911799</v>
      </c>
      <c r="J41" s="786">
        <f t="shared" si="39"/>
        <v>531.36</v>
      </c>
      <c r="K41" s="786">
        <f t="shared" si="39"/>
        <v>544.68621982800585</v>
      </c>
      <c r="L41" s="786">
        <f t="shared" si="39"/>
        <v>398.29440000000005</v>
      </c>
      <c r="M41" s="786">
        <f t="shared" si="39"/>
        <v>423.51679999999999</v>
      </c>
      <c r="N41" s="786">
        <f t="shared" si="39"/>
        <v>460.22080000000005</v>
      </c>
      <c r="O41" s="786">
        <f t="shared" si="39"/>
        <v>445.00560000000007</v>
      </c>
      <c r="P41" s="786">
        <f t="shared" si="39"/>
        <v>467.98080000000004</v>
      </c>
      <c r="Q41" s="786">
        <f t="shared" si="39"/>
        <v>423.73760000000004</v>
      </c>
      <c r="R41" s="786">
        <f t="shared" si="39"/>
        <v>298.36350000000004</v>
      </c>
      <c r="S41" s="786">
        <f t="shared" si="39"/>
        <v>560.95600000000002</v>
      </c>
      <c r="T41" s="786">
        <f t="shared" si="39"/>
        <v>374.55</v>
      </c>
      <c r="U41" s="786">
        <f t="shared" ref="U41:Z41" si="40">U39*U42</f>
        <v>515.28820000000007</v>
      </c>
      <c r="V41" s="786">
        <f t="shared" si="40"/>
        <v>631.39426700000001</v>
      </c>
      <c r="W41" s="786">
        <f t="shared" si="40"/>
        <v>770.7456495900002</v>
      </c>
      <c r="X41" s="786">
        <f t="shared" si="40"/>
        <v>865.42366457050025</v>
      </c>
      <c r="Y41" s="786">
        <f t="shared" si="40"/>
        <v>998.80072346313023</v>
      </c>
      <c r="Z41" s="786">
        <f t="shared" si="40"/>
        <v>1149.1757212734128</v>
      </c>
      <c r="AA41" s="786">
        <f t="shared" ref="AA41" si="41">AA39*AA42</f>
        <v>1318.5279328294948</v>
      </c>
    </row>
    <row r="42" spans="1:32">
      <c r="A42" s="136" t="s">
        <v>231</v>
      </c>
      <c r="B42" s="761"/>
      <c r="C42" s="762"/>
      <c r="D42" s="762"/>
      <c r="E42" s="762"/>
      <c r="F42" s="762"/>
      <c r="G42" s="762"/>
      <c r="H42" s="762">
        <v>7.9999999999999988E-2</v>
      </c>
      <c r="I42" s="762">
        <v>7.9999999999999988E-2</v>
      </c>
      <c r="J42" s="762">
        <v>0.08</v>
      </c>
      <c r="K42" s="762">
        <v>0.08</v>
      </c>
      <c r="L42" s="762">
        <v>0.08</v>
      </c>
      <c r="M42" s="762">
        <v>0.08</v>
      </c>
      <c r="N42" s="762">
        <v>0.08</v>
      </c>
      <c r="O42" s="762">
        <v>8.0000000000000016E-2</v>
      </c>
      <c r="P42" s="762">
        <v>0.08</v>
      </c>
      <c r="Q42" s="762">
        <v>0.08</v>
      </c>
      <c r="R42" s="762">
        <v>0.05</v>
      </c>
      <c r="S42" s="762">
        <v>0.08</v>
      </c>
      <c r="T42" s="761">
        <v>0.05</v>
      </c>
      <c r="U42" s="762">
        <v>6.2E-2</v>
      </c>
      <c r="V42" s="620">
        <v>7.0999999999999994E-2</v>
      </c>
      <c r="W42" s="620">
        <v>8.1000000000000003E-2</v>
      </c>
      <c r="X42" s="620">
        <v>8.5000000000000006E-2</v>
      </c>
      <c r="Y42" s="620">
        <v>0.09</v>
      </c>
      <c r="Z42" s="620">
        <f t="shared" ref="Z42:AA42" si="42">Y42+0.5%</f>
        <v>9.5000000000000001E-2</v>
      </c>
      <c r="AA42" s="620">
        <f t="shared" si="42"/>
        <v>0.1</v>
      </c>
    </row>
    <row r="43" spans="1:32">
      <c r="A43" s="136" t="s">
        <v>230</v>
      </c>
      <c r="B43" s="761"/>
      <c r="C43" s="761"/>
      <c r="D43" s="761"/>
      <c r="E43" s="761"/>
      <c r="F43" s="761"/>
      <c r="G43" s="761"/>
      <c r="H43" s="761"/>
      <c r="I43" s="762">
        <f t="shared" ref="I43:AA43" si="43">I41/H41-1</f>
        <v>0.14571055366965702</v>
      </c>
      <c r="J43" s="762">
        <f t="shared" si="43"/>
        <v>2.9272733093464787E-2</v>
      </c>
      <c r="K43" s="762">
        <f t="shared" si="43"/>
        <v>2.50794561653227E-2</v>
      </c>
      <c r="L43" s="762">
        <f t="shared" si="43"/>
        <v>-0.26876358258931454</v>
      </c>
      <c r="M43" s="762">
        <f t="shared" si="43"/>
        <v>6.3326022158483708E-2</v>
      </c>
      <c r="N43" s="762">
        <f t="shared" si="43"/>
        <v>8.6664802907464589E-2</v>
      </c>
      <c r="O43" s="762">
        <f t="shared" si="43"/>
        <v>-3.3060652625869991E-2</v>
      </c>
      <c r="P43" s="762">
        <f t="shared" si="43"/>
        <v>5.1629013207923569E-2</v>
      </c>
      <c r="Q43" s="762">
        <f t="shared" si="43"/>
        <v>-9.454063072673069E-2</v>
      </c>
      <c r="R43" s="762">
        <f t="shared" si="43"/>
        <v>-0.29587674069990477</v>
      </c>
      <c r="S43" s="762">
        <f t="shared" si="43"/>
        <v>0.88010932972699396</v>
      </c>
      <c r="T43" s="761">
        <f t="shared" si="43"/>
        <v>-0.33230057259392898</v>
      </c>
      <c r="U43" s="761">
        <f t="shared" si="43"/>
        <v>0.37575276999065554</v>
      </c>
      <c r="V43" s="762">
        <f t="shared" si="43"/>
        <v>0.22532258064516109</v>
      </c>
      <c r="W43" s="762">
        <f t="shared" si="43"/>
        <v>0.22070422535211298</v>
      </c>
      <c r="X43" s="762">
        <f t="shared" si="43"/>
        <v>0.12283950617283956</v>
      </c>
      <c r="Y43" s="762">
        <f t="shared" si="43"/>
        <v>0.15411764705882347</v>
      </c>
      <c r="Z43" s="762">
        <f t="shared" si="43"/>
        <v>0.15055555555555578</v>
      </c>
      <c r="AA43" s="762">
        <f t="shared" si="43"/>
        <v>0.14736842105263159</v>
      </c>
    </row>
    <row r="44" spans="1:32">
      <c r="A44" s="113"/>
      <c r="B44" s="113"/>
      <c r="C44" s="113"/>
      <c r="D44" s="113"/>
      <c r="E44" s="113"/>
      <c r="F44" s="113"/>
      <c r="G44" s="113"/>
      <c r="H44" s="113"/>
      <c r="I44" s="113"/>
      <c r="J44" s="113"/>
      <c r="K44" s="113"/>
      <c r="L44" s="113"/>
      <c r="M44" s="113"/>
      <c r="N44" s="113"/>
      <c r="O44" s="113"/>
      <c r="P44" s="113"/>
      <c r="Q44" s="113"/>
      <c r="R44" s="113"/>
      <c r="S44" s="113"/>
      <c r="T44" s="904"/>
      <c r="U44" s="327"/>
      <c r="V44" s="113"/>
      <c r="W44" s="113"/>
      <c r="X44" s="113"/>
      <c r="Y44" s="113"/>
      <c r="Z44" s="113"/>
      <c r="AA44" s="113"/>
    </row>
    <row r="45" spans="1:32">
      <c r="A45" s="191" t="s">
        <v>564</v>
      </c>
      <c r="B45" s="192"/>
      <c r="C45" s="192"/>
      <c r="D45" s="192"/>
      <c r="E45" s="192"/>
      <c r="F45" s="192"/>
      <c r="G45" s="192"/>
      <c r="H45" s="192">
        <v>2012</v>
      </c>
      <c r="I45" s="192">
        <v>2013</v>
      </c>
      <c r="J45" s="192">
        <v>2014</v>
      </c>
      <c r="K45" s="192">
        <v>2015</v>
      </c>
      <c r="L45" s="192">
        <v>2016</v>
      </c>
      <c r="M45" s="192">
        <v>2017</v>
      </c>
      <c r="N45" s="192">
        <v>2018</v>
      </c>
      <c r="O45" s="192">
        <v>2019</v>
      </c>
      <c r="P45" s="192">
        <v>2020</v>
      </c>
      <c r="Q45" s="192">
        <v>2021</v>
      </c>
      <c r="R45" s="192">
        <v>2022</v>
      </c>
      <c r="S45" s="192">
        <v>2023</v>
      </c>
      <c r="T45" s="192">
        <v>2024</v>
      </c>
      <c r="U45" s="192">
        <f t="shared" ref="U45:AA45" si="44">U38</f>
        <v>2025</v>
      </c>
      <c r="V45" s="800">
        <f t="shared" si="44"/>
        <v>2026</v>
      </c>
      <c r="W45" s="800">
        <f t="shared" si="44"/>
        <v>2027</v>
      </c>
      <c r="X45" s="800">
        <f t="shared" si="44"/>
        <v>2028</v>
      </c>
      <c r="Y45" s="800">
        <f t="shared" si="44"/>
        <v>2029</v>
      </c>
      <c r="Z45" s="800">
        <f t="shared" si="44"/>
        <v>2030</v>
      </c>
      <c r="AA45" s="800">
        <f t="shared" si="44"/>
        <v>2031</v>
      </c>
    </row>
    <row r="46" spans="1:32">
      <c r="A46" s="227" t="s">
        <v>229</v>
      </c>
      <c r="B46" s="760"/>
      <c r="C46" s="760"/>
      <c r="D46" s="760"/>
      <c r="E46" s="760"/>
      <c r="F46" s="760"/>
      <c r="G46" s="760"/>
      <c r="H46" s="760">
        <v>5740</v>
      </c>
      <c r="I46" s="760">
        <v>5976</v>
      </c>
      <c r="J46" s="760">
        <v>2445.0804000000003</v>
      </c>
      <c r="K46" s="760">
        <v>2501.0441460000002</v>
      </c>
      <c r="L46" s="760">
        <v>3200.58</v>
      </c>
      <c r="M46" s="760">
        <v>2376.88</v>
      </c>
      <c r="N46" s="760">
        <v>2323.23</v>
      </c>
      <c r="O46" s="760">
        <v>2508.61</v>
      </c>
      <c r="P46" s="760">
        <v>2089.1999999999998</v>
      </c>
      <c r="Q46" s="760">
        <v>2139.06</v>
      </c>
      <c r="R46" s="760">
        <v>2589.5700000000002</v>
      </c>
      <c r="S46" s="760">
        <v>2184.0500000000002</v>
      </c>
      <c r="T46" s="760">
        <v>2054</v>
      </c>
      <c r="U46" s="760">
        <f>$U$2*0.16</f>
        <v>2144.8000000000002</v>
      </c>
      <c r="V46" s="760">
        <f t="shared" ref="V46:AA46" si="45">U46*(1+V47)</f>
        <v>2273.4880000000003</v>
      </c>
      <c r="W46" s="760">
        <f t="shared" si="45"/>
        <v>2409.8972800000006</v>
      </c>
      <c r="X46" s="760">
        <f t="shared" si="45"/>
        <v>2554.4911168000008</v>
      </c>
      <c r="Y46" s="760">
        <f t="shared" si="45"/>
        <v>2758.8504061440012</v>
      </c>
      <c r="Z46" s="760">
        <f t="shared" si="45"/>
        <v>2979.5584386355217</v>
      </c>
      <c r="AA46" s="760">
        <f t="shared" si="45"/>
        <v>3217.9231137263637</v>
      </c>
    </row>
    <row r="47" spans="1:32">
      <c r="A47" s="136" t="s">
        <v>183</v>
      </c>
      <c r="B47" s="113"/>
      <c r="C47" s="761"/>
      <c r="D47" s="761"/>
      <c r="E47" s="761"/>
      <c r="F47" s="761"/>
      <c r="G47" s="761"/>
      <c r="H47" s="761"/>
      <c r="I47" s="761">
        <f t="shared" ref="I47:U47" si="46">I46/H46-1</f>
        <v>4.1114982578397186E-2</v>
      </c>
      <c r="J47" s="761">
        <f t="shared" si="46"/>
        <v>-0.59084999999999988</v>
      </c>
      <c r="K47" s="761">
        <f t="shared" si="46"/>
        <v>2.2888305022607858E-2</v>
      </c>
      <c r="L47" s="761">
        <f t="shared" si="46"/>
        <v>0.27969752357981759</v>
      </c>
      <c r="M47" s="761">
        <f t="shared" si="46"/>
        <v>-0.2573596035718525</v>
      </c>
      <c r="N47" s="761">
        <f t="shared" si="46"/>
        <v>-2.2571606475716099E-2</v>
      </c>
      <c r="O47" s="761">
        <f t="shared" si="46"/>
        <v>7.9794079794079931E-2</v>
      </c>
      <c r="P47" s="761">
        <f t="shared" si="46"/>
        <v>-0.16718820382602329</v>
      </c>
      <c r="Q47" s="761">
        <f t="shared" si="46"/>
        <v>2.3865594485927621E-2</v>
      </c>
      <c r="R47" s="761">
        <f t="shared" si="46"/>
        <v>0.21061120305180792</v>
      </c>
      <c r="S47" s="761">
        <f t="shared" si="46"/>
        <v>-0.15659742737211191</v>
      </c>
      <c r="T47" s="761">
        <f t="shared" si="46"/>
        <v>-5.9545340079210751E-2</v>
      </c>
      <c r="U47" s="761">
        <f t="shared" si="46"/>
        <v>4.4206426484907579E-2</v>
      </c>
      <c r="V47" s="905">
        <v>0.06</v>
      </c>
      <c r="W47" s="905">
        <f t="shared" ref="W47:AA47" si="47">V47</f>
        <v>0.06</v>
      </c>
      <c r="X47" s="905">
        <f t="shared" si="47"/>
        <v>0.06</v>
      </c>
      <c r="Y47" s="905">
        <v>0.08</v>
      </c>
      <c r="Z47" s="905">
        <f t="shared" si="47"/>
        <v>0.08</v>
      </c>
      <c r="AA47" s="905">
        <f t="shared" si="47"/>
        <v>0.08</v>
      </c>
    </row>
    <row r="48" spans="1:32">
      <c r="A48" s="227" t="s">
        <v>55</v>
      </c>
      <c r="B48" s="760"/>
      <c r="C48" s="760"/>
      <c r="D48" s="760"/>
      <c r="E48" s="760"/>
      <c r="F48" s="760"/>
      <c r="G48" s="760"/>
      <c r="H48" s="760">
        <f>H46*H49</f>
        <v>128</v>
      </c>
      <c r="I48" s="760">
        <f>I46*I49</f>
        <v>432</v>
      </c>
      <c r="J48" s="760">
        <f t="shared" ref="J48:U48" si="48">J46*J49</f>
        <v>378.29312732195154</v>
      </c>
      <c r="K48" s="760">
        <f t="shared" si="48"/>
        <v>387.08435066216128</v>
      </c>
      <c r="L48" s="760">
        <f t="shared" si="48"/>
        <v>472.81891267844333</v>
      </c>
      <c r="M48" s="760">
        <f t="shared" si="48"/>
        <v>351.13134035090962</v>
      </c>
      <c r="N48" s="760">
        <f t="shared" si="48"/>
        <v>343.202718043039</v>
      </c>
      <c r="O48" s="760">
        <f t="shared" si="48"/>
        <v>389.6832731724744</v>
      </c>
      <c r="P48" s="760">
        <f t="shared" si="48"/>
        <v>324.53282666972297</v>
      </c>
      <c r="Q48" s="760">
        <f t="shared" si="48"/>
        <v>318.71087213208421</v>
      </c>
      <c r="R48" s="760">
        <f t="shared" si="48"/>
        <v>207.16560000000001</v>
      </c>
      <c r="S48" s="760">
        <f t="shared" si="48"/>
        <v>174.72400000000002</v>
      </c>
      <c r="T48" s="760">
        <f t="shared" si="48"/>
        <v>164.32</v>
      </c>
      <c r="U48" s="760">
        <f t="shared" si="48"/>
        <v>171.58400000000003</v>
      </c>
      <c r="V48" s="760">
        <f t="shared" ref="V48:Z48" si="49">V46*V49</f>
        <v>181.87904000000003</v>
      </c>
      <c r="W48" s="760">
        <f t="shared" si="49"/>
        <v>195.20167968000004</v>
      </c>
      <c r="X48" s="760">
        <f t="shared" si="49"/>
        <v>209.46827157760006</v>
      </c>
      <c r="Y48" s="760">
        <f t="shared" si="49"/>
        <v>228.98458370995212</v>
      </c>
      <c r="Z48" s="760">
        <f t="shared" si="49"/>
        <v>250.28290884538384</v>
      </c>
      <c r="AA48" s="760">
        <f t="shared" ref="AA48" si="50">AA46*AA49</f>
        <v>270.30554155301456</v>
      </c>
    </row>
    <row r="49" spans="1:27">
      <c r="A49" s="136" t="s">
        <v>231</v>
      </c>
      <c r="B49" s="761"/>
      <c r="C49" s="761"/>
      <c r="D49" s="761"/>
      <c r="E49" s="761"/>
      <c r="F49" s="761"/>
      <c r="G49" s="761"/>
      <c r="H49" s="761">
        <v>2.2299651567944251E-2</v>
      </c>
      <c r="I49" s="762">
        <v>7.2289156626506021E-2</v>
      </c>
      <c r="J49" s="762">
        <v>0.15471602787456457</v>
      </c>
      <c r="K49" s="762">
        <v>0.15476909965033511</v>
      </c>
      <c r="L49" s="762">
        <v>0.14772913430642051</v>
      </c>
      <c r="M49" s="762">
        <v>0.14772783663916966</v>
      </c>
      <c r="N49" s="762">
        <v>0.14772653505810401</v>
      </c>
      <c r="O49" s="762">
        <v>0.15533832408085529</v>
      </c>
      <c r="P49" s="762">
        <v>0.15533832408085535</v>
      </c>
      <c r="Q49" s="762">
        <v>0.14899576081647276</v>
      </c>
      <c r="R49" s="762">
        <v>0.08</v>
      </c>
      <c r="S49" s="762">
        <v>0.08</v>
      </c>
      <c r="T49" s="762">
        <v>0.08</v>
      </c>
      <c r="U49" s="762">
        <v>0.08</v>
      </c>
      <c r="V49" s="620">
        <v>0.08</v>
      </c>
      <c r="W49" s="620">
        <f>V49+0.1%</f>
        <v>8.1000000000000003E-2</v>
      </c>
      <c r="X49" s="620">
        <f t="shared" ref="X49:Z49" si="51">W49+0.1%</f>
        <v>8.2000000000000003E-2</v>
      </c>
      <c r="Y49" s="620">
        <f t="shared" si="51"/>
        <v>8.3000000000000004E-2</v>
      </c>
      <c r="Z49" s="620">
        <f t="shared" si="51"/>
        <v>8.4000000000000005E-2</v>
      </c>
      <c r="AA49" s="620">
        <f t="shared" ref="AA49" si="52">Z49</f>
        <v>8.4000000000000005E-2</v>
      </c>
    </row>
    <row r="50" spans="1:27">
      <c r="A50" s="136" t="s">
        <v>230</v>
      </c>
      <c r="B50" s="761"/>
      <c r="C50" s="761"/>
      <c r="D50" s="761"/>
      <c r="E50" s="761"/>
      <c r="F50" s="761"/>
      <c r="G50" s="761"/>
      <c r="H50" s="761"/>
      <c r="I50" s="762">
        <f t="shared" ref="I50:AA50" si="53">I48/H48-1</f>
        <v>2.375</v>
      </c>
      <c r="J50" s="762">
        <f t="shared" si="53"/>
        <v>-0.12432146453251958</v>
      </c>
      <c r="K50" s="762">
        <f t="shared" si="53"/>
        <v>2.3239183335011626E-2</v>
      </c>
      <c r="L50" s="762">
        <f t="shared" si="53"/>
        <v>0.22148806034039148</v>
      </c>
      <c r="M50" s="762">
        <f t="shared" si="53"/>
        <v>-0.25736612699816319</v>
      </c>
      <c r="N50" s="762">
        <f t="shared" si="53"/>
        <v>-2.2580218273729136E-2</v>
      </c>
      <c r="O50" s="762">
        <f t="shared" si="53"/>
        <v>0.13543178036138559</v>
      </c>
      <c r="P50" s="762">
        <f t="shared" si="53"/>
        <v>-0.16718820382602295</v>
      </c>
      <c r="Q50" s="762">
        <f t="shared" si="53"/>
        <v>-1.7939493509430915E-2</v>
      </c>
      <c r="R50" s="762">
        <f t="shared" si="53"/>
        <v>-0.34998891435952073</v>
      </c>
      <c r="S50" s="762">
        <f t="shared" si="53"/>
        <v>-0.15659742737211191</v>
      </c>
      <c r="T50" s="762">
        <f t="shared" si="53"/>
        <v>-5.9545340079210751E-2</v>
      </c>
      <c r="U50" s="762">
        <f t="shared" si="53"/>
        <v>4.4206426484907801E-2</v>
      </c>
      <c r="V50" s="762">
        <f t="shared" si="53"/>
        <v>6.0000000000000053E-2</v>
      </c>
      <c r="W50" s="762">
        <f t="shared" si="53"/>
        <v>7.3250000000000037E-2</v>
      </c>
      <c r="X50" s="762">
        <f t="shared" si="53"/>
        <v>7.3086419753086496E-2</v>
      </c>
      <c r="Y50" s="762">
        <f t="shared" si="53"/>
        <v>9.3170731707317378E-2</v>
      </c>
      <c r="Z50" s="762">
        <f t="shared" si="53"/>
        <v>9.3012048192771202E-2</v>
      </c>
      <c r="AA50" s="762">
        <f t="shared" si="53"/>
        <v>8.0000000000000071E-2</v>
      </c>
    </row>
    <row r="51" spans="1:27">
      <c r="A51" s="136"/>
      <c r="B51" s="761"/>
      <c r="C51" s="761"/>
      <c r="D51" s="761"/>
      <c r="E51" s="761"/>
      <c r="F51" s="761"/>
      <c r="G51" s="761"/>
      <c r="H51" s="761"/>
      <c r="I51" s="762"/>
      <c r="J51" s="762"/>
      <c r="K51" s="762"/>
      <c r="L51" s="762"/>
      <c r="M51" s="762"/>
      <c r="N51" s="762"/>
      <c r="O51" s="762"/>
      <c r="P51" s="762"/>
      <c r="Q51" s="762"/>
      <c r="R51" s="762"/>
      <c r="S51" s="762"/>
      <c r="T51" s="904">
        <f>T46/$T$2</f>
        <v>0.170004966065221</v>
      </c>
      <c r="U51" s="762"/>
      <c r="V51" s="762"/>
      <c r="W51" s="762"/>
      <c r="X51" s="762"/>
      <c r="Y51" s="762"/>
      <c r="Z51" s="762"/>
      <c r="AA51" s="762"/>
    </row>
    <row r="52" spans="1:27">
      <c r="A52" s="191" t="s">
        <v>560</v>
      </c>
      <c r="B52" s="192"/>
      <c r="C52" s="192"/>
      <c r="D52" s="192"/>
      <c r="E52" s="192"/>
      <c r="F52" s="192"/>
      <c r="G52" s="192"/>
      <c r="H52" s="192">
        <v>2012</v>
      </c>
      <c r="I52" s="192">
        <v>2013</v>
      </c>
      <c r="J52" s="192">
        <v>2014</v>
      </c>
      <c r="K52" s="192">
        <v>2015</v>
      </c>
      <c r="L52" s="192">
        <v>2016</v>
      </c>
      <c r="M52" s="192">
        <v>2017</v>
      </c>
      <c r="N52" s="192">
        <v>2018</v>
      </c>
      <c r="O52" s="192">
        <v>2019</v>
      </c>
      <c r="P52" s="192">
        <v>2020</v>
      </c>
      <c r="Q52" s="192">
        <v>2021</v>
      </c>
      <c r="R52" s="192">
        <v>2022</v>
      </c>
      <c r="S52" s="192">
        <v>2023</v>
      </c>
      <c r="T52" s="192">
        <v>2024</v>
      </c>
      <c r="U52" s="192">
        <f t="shared" ref="U52:AA52" si="54">U45</f>
        <v>2025</v>
      </c>
      <c r="V52" s="800">
        <f t="shared" si="54"/>
        <v>2026</v>
      </c>
      <c r="W52" s="800">
        <f t="shared" si="54"/>
        <v>2027</v>
      </c>
      <c r="X52" s="800">
        <f t="shared" si="54"/>
        <v>2028</v>
      </c>
      <c r="Y52" s="800">
        <f t="shared" si="54"/>
        <v>2029</v>
      </c>
      <c r="Z52" s="800">
        <f t="shared" si="54"/>
        <v>2030</v>
      </c>
      <c r="AA52" s="800">
        <f t="shared" si="54"/>
        <v>2031</v>
      </c>
    </row>
    <row r="53" spans="1:27">
      <c r="A53" s="227" t="s">
        <v>229</v>
      </c>
      <c r="B53" s="227"/>
      <c r="C53" s="227"/>
      <c r="D53" s="227"/>
      <c r="E53" s="227"/>
      <c r="F53" s="227"/>
      <c r="G53" s="227"/>
      <c r="H53" s="227">
        <v>5817</v>
      </c>
      <c r="I53" s="760">
        <v>5784</v>
      </c>
      <c r="J53" s="760">
        <v>4037</v>
      </c>
      <c r="K53" s="760">
        <v>3793</v>
      </c>
      <c r="L53" s="760">
        <v>3674.74</v>
      </c>
      <c r="M53" s="760">
        <v>3133.16</v>
      </c>
      <c r="N53" s="760">
        <v>2987.01</v>
      </c>
      <c r="O53" s="760">
        <v>2835.82</v>
      </c>
      <c r="P53" s="760">
        <v>2507.4</v>
      </c>
      <c r="Q53" s="760">
        <v>2750.22</v>
      </c>
      <c r="R53" s="760">
        <v>2702.16</v>
      </c>
      <c r="S53" s="760">
        <v>2299</v>
      </c>
      <c r="T53" s="760">
        <f>T2-T39-T46</f>
        <v>2537</v>
      </c>
      <c r="U53" s="760">
        <f>$U$2*0.22</f>
        <v>2949.1</v>
      </c>
      <c r="V53" s="760">
        <f t="shared" ref="V53:AA53" si="55">U53*(1+V54)</f>
        <v>3111.3004999999998</v>
      </c>
      <c r="W53" s="760">
        <f t="shared" si="55"/>
        <v>3282.4220274999998</v>
      </c>
      <c r="X53" s="760">
        <f t="shared" si="55"/>
        <v>3462.9552390124995</v>
      </c>
      <c r="Y53" s="760">
        <f t="shared" si="55"/>
        <v>3636.1030009631245</v>
      </c>
      <c r="Z53" s="760">
        <f t="shared" si="55"/>
        <v>3817.908151011281</v>
      </c>
      <c r="AA53" s="760">
        <f t="shared" si="55"/>
        <v>4008.8035585618454</v>
      </c>
    </row>
    <row r="54" spans="1:27">
      <c r="A54" s="136" t="s">
        <v>183</v>
      </c>
      <c r="B54" s="113"/>
      <c r="C54" s="761"/>
      <c r="D54" s="761"/>
      <c r="E54" s="761"/>
      <c r="F54" s="761"/>
      <c r="G54" s="761"/>
      <c r="H54" s="761"/>
      <c r="I54" s="761">
        <f t="shared" ref="I54:U54" si="56">I53/H53-1</f>
        <v>-5.6730273336771386E-3</v>
      </c>
      <c r="J54" s="761">
        <f t="shared" si="56"/>
        <v>-0.30204011065006919</v>
      </c>
      <c r="K54" s="761">
        <f t="shared" si="56"/>
        <v>-6.0440921476343834E-2</v>
      </c>
      <c r="L54" s="761">
        <f t="shared" si="56"/>
        <v>-3.1178486686000539E-2</v>
      </c>
      <c r="M54" s="761">
        <f t="shared" si="56"/>
        <v>-0.14737913430610061</v>
      </c>
      <c r="N54" s="761">
        <f t="shared" si="56"/>
        <v>-4.6646197449220494E-2</v>
      </c>
      <c r="O54" s="761">
        <f t="shared" si="56"/>
        <v>-5.0615833224528894E-2</v>
      </c>
      <c r="P54" s="761">
        <f t="shared" si="56"/>
        <v>-0.11581129972988413</v>
      </c>
      <c r="Q54" s="761">
        <f t="shared" si="56"/>
        <v>9.6841349605168547E-2</v>
      </c>
      <c r="R54" s="761">
        <f t="shared" si="56"/>
        <v>-1.7474965639112439E-2</v>
      </c>
      <c r="S54" s="761">
        <f t="shared" si="56"/>
        <v>-0.14919915919116555</v>
      </c>
      <c r="T54" s="761">
        <f t="shared" si="56"/>
        <v>0.1035232709873859</v>
      </c>
      <c r="U54" s="761">
        <f t="shared" si="56"/>
        <v>0.16243594797004324</v>
      </c>
      <c r="V54" s="905">
        <v>5.5E-2</v>
      </c>
      <c r="W54" s="905">
        <f>V54</f>
        <v>5.5E-2</v>
      </c>
      <c r="X54" s="905">
        <f>W54</f>
        <v>5.5E-2</v>
      </c>
      <c r="Y54" s="905">
        <v>0.05</v>
      </c>
      <c r="Z54" s="905">
        <f t="shared" ref="Z54:AA54" si="57">Y54</f>
        <v>0.05</v>
      </c>
      <c r="AA54" s="905">
        <f t="shared" si="57"/>
        <v>0.05</v>
      </c>
    </row>
    <row r="55" spans="1:27">
      <c r="A55" s="227" t="s">
        <v>55</v>
      </c>
      <c r="B55" s="227"/>
      <c r="C55" s="227"/>
      <c r="D55" s="227"/>
      <c r="E55" s="227"/>
      <c r="F55" s="227"/>
      <c r="G55" s="227"/>
      <c r="H55" s="227">
        <f>H53*H56</f>
        <v>311</v>
      </c>
      <c r="I55" s="786">
        <f t="shared" ref="I55:P55" si="58">I53*I56</f>
        <v>309.2356884992264</v>
      </c>
      <c r="J55" s="786">
        <f t="shared" si="58"/>
        <v>215.83410692796974</v>
      </c>
      <c r="K55" s="786">
        <f t="shared" si="58"/>
        <v>202.78889461921955</v>
      </c>
      <c r="L55" s="786">
        <f t="shared" si="58"/>
        <v>196.46624376826543</v>
      </c>
      <c r="M55" s="786">
        <f t="shared" si="58"/>
        <v>167.51121884132715</v>
      </c>
      <c r="N55" s="786">
        <f t="shared" si="58"/>
        <v>159.69745745229503</v>
      </c>
      <c r="O55" s="786">
        <f t="shared" si="58"/>
        <v>151.61423757950834</v>
      </c>
      <c r="P55" s="786">
        <f t="shared" si="58"/>
        <v>134.05559566787005</v>
      </c>
      <c r="Q55" s="786">
        <f>Q4-SUM(Q41+Q48)</f>
        <v>-46.448472132084248</v>
      </c>
      <c r="R55" s="786">
        <f>R4-SUM(R41+R48)</f>
        <v>-121.52910000000008</v>
      </c>
      <c r="S55" s="786">
        <f>S4-SUM(S41+S48)</f>
        <v>-506.68000000000006</v>
      </c>
      <c r="T55" s="760">
        <f>T4-SUM(T41+T48)</f>
        <v>-1104.8699999999999</v>
      </c>
      <c r="U55" s="786">
        <f>U4-U41-U48</f>
        <v>111.12779999999989</v>
      </c>
      <c r="V55" s="760">
        <f t="shared" ref="V55:Z55" si="59">V53*V56</f>
        <v>117.23982899999989</v>
      </c>
      <c r="W55" s="760">
        <f t="shared" si="59"/>
        <v>126.97044162249988</v>
      </c>
      <c r="X55" s="760">
        <f t="shared" si="59"/>
        <v>137.41677115074987</v>
      </c>
      <c r="Y55" s="760">
        <f t="shared" si="59"/>
        <v>147.92371270925048</v>
      </c>
      <c r="Z55" s="760">
        <f t="shared" si="59"/>
        <v>155.31989834471304</v>
      </c>
      <c r="AA55" s="760">
        <f t="shared" ref="AA55" si="60">AA53*AA56</f>
        <v>180.39616013528303</v>
      </c>
    </row>
    <row r="56" spans="1:27">
      <c r="A56" s="136" t="s">
        <v>231</v>
      </c>
      <c r="B56" s="761"/>
      <c r="C56" s="761"/>
      <c r="D56" s="761"/>
      <c r="E56" s="761"/>
      <c r="F56" s="761"/>
      <c r="G56" s="761"/>
      <c r="H56" s="761">
        <v>5.3463984871927113E-2</v>
      </c>
      <c r="I56" s="762">
        <v>5.3463984871927113E-2</v>
      </c>
      <c r="J56" s="762">
        <v>5.3463984871927113E-2</v>
      </c>
      <c r="K56" s="762">
        <v>5.3463984871927113E-2</v>
      </c>
      <c r="L56" s="762">
        <v>5.3463984871927113E-2</v>
      </c>
      <c r="M56" s="762">
        <v>5.3463984871927113E-2</v>
      </c>
      <c r="N56" s="762">
        <v>5.3463984871927113E-2</v>
      </c>
      <c r="O56" s="762">
        <v>5.3463984871927113E-2</v>
      </c>
      <c r="P56" s="762">
        <v>5.3463984871927113E-2</v>
      </c>
      <c r="Q56" s="762">
        <f>Q55/Q53</f>
        <v>-1.6889002382385502E-2</v>
      </c>
      <c r="R56" s="762">
        <f t="shared" ref="R56:U56" si="61">R55/R53</f>
        <v>-4.497479793942627E-2</v>
      </c>
      <c r="S56" s="762">
        <f t="shared" si="61"/>
        <v>-0.220391474554154</v>
      </c>
      <c r="T56" s="762">
        <f t="shared" si="61"/>
        <v>-0.4355025620811982</v>
      </c>
      <c r="U56" s="762">
        <f t="shared" si="61"/>
        <v>3.7681936862093486E-2</v>
      </c>
      <c r="V56" s="620">
        <f>U56</f>
        <v>3.7681936862093486E-2</v>
      </c>
      <c r="W56" s="620">
        <f>V56+0.1%</f>
        <v>3.8681936862093487E-2</v>
      </c>
      <c r="X56" s="620">
        <f>W56+0.1%</f>
        <v>3.9681936862093488E-2</v>
      </c>
      <c r="Y56" s="620">
        <f>X56+0.1%</f>
        <v>4.0681936862093489E-2</v>
      </c>
      <c r="Z56" s="620">
        <f>Y56</f>
        <v>4.0681936862093489E-2</v>
      </c>
      <c r="AA56" s="620">
        <v>4.4999999999999998E-2</v>
      </c>
    </row>
    <row r="57" spans="1:27">
      <c r="A57" s="136" t="s">
        <v>230</v>
      </c>
      <c r="B57" s="761"/>
      <c r="C57" s="761"/>
      <c r="D57" s="761"/>
      <c r="E57" s="761"/>
      <c r="F57" s="761"/>
      <c r="G57" s="761"/>
      <c r="H57" s="762"/>
      <c r="I57" s="762">
        <f t="shared" ref="I57:AA57" si="62">I55/H55-1</f>
        <v>-5.6730273336771386E-3</v>
      </c>
      <c r="J57" s="762">
        <f t="shared" si="62"/>
        <v>-0.30204011065006919</v>
      </c>
      <c r="K57" s="762">
        <f t="shared" si="62"/>
        <v>-6.0440921476343723E-2</v>
      </c>
      <c r="L57" s="762">
        <f t="shared" si="62"/>
        <v>-3.117848668600065E-2</v>
      </c>
      <c r="M57" s="762">
        <f t="shared" si="62"/>
        <v>-0.1473791343061005</v>
      </c>
      <c r="N57" s="762">
        <f t="shared" si="62"/>
        <v>-4.6646197449220494E-2</v>
      </c>
      <c r="O57" s="762">
        <f t="shared" si="62"/>
        <v>-5.0615833224529005E-2</v>
      </c>
      <c r="P57" s="762">
        <f t="shared" si="62"/>
        <v>-0.11581129972988402</v>
      </c>
      <c r="Q57" s="762">
        <f t="shared" si="62"/>
        <v>-1.3464866341511237</v>
      </c>
      <c r="R57" s="762">
        <f t="shared" si="62"/>
        <v>1.6164283650581899</v>
      </c>
      <c r="S57" s="762">
        <f t="shared" si="62"/>
        <v>3.1692072104541191</v>
      </c>
      <c r="T57" s="762">
        <f t="shared" si="62"/>
        <v>1.1806070892871237</v>
      </c>
      <c r="U57" s="762">
        <f t="shared" si="62"/>
        <v>-1.100579977734937</v>
      </c>
      <c r="V57" s="762">
        <f t="shared" si="62"/>
        <v>5.4999999999999938E-2</v>
      </c>
      <c r="W57" s="762">
        <f t="shared" si="62"/>
        <v>8.2997499275608844E-2</v>
      </c>
      <c r="X57" s="762">
        <f t="shared" si="62"/>
        <v>8.2273711855774589E-2</v>
      </c>
      <c r="Y57" s="762">
        <f t="shared" si="62"/>
        <v>7.6460401961957247E-2</v>
      </c>
      <c r="Z57" s="762">
        <f t="shared" si="62"/>
        <v>5.0000000000000266E-2</v>
      </c>
      <c r="AA57" s="762">
        <f t="shared" si="62"/>
        <v>0.16144912569358216</v>
      </c>
    </row>
    <row r="58" spans="1:27">
      <c r="A58" s="136"/>
      <c r="B58" s="761"/>
      <c r="C58" s="761"/>
      <c r="D58" s="761"/>
      <c r="E58" s="761"/>
      <c r="F58" s="761"/>
      <c r="G58" s="761"/>
      <c r="H58" s="761"/>
      <c r="I58" s="761"/>
      <c r="J58" s="761"/>
      <c r="K58" s="761"/>
      <c r="L58" s="761"/>
      <c r="M58" s="761"/>
      <c r="N58" s="761"/>
      <c r="O58" s="761"/>
      <c r="P58" s="761"/>
      <c r="Q58" s="761"/>
      <c r="R58" s="761"/>
      <c r="S58" s="761"/>
      <c r="T58" s="904"/>
      <c r="U58" s="761"/>
      <c r="V58" s="761"/>
      <c r="W58" s="761"/>
      <c r="X58" s="761"/>
      <c r="Y58" s="761"/>
      <c r="Z58" s="761"/>
      <c r="AA58" s="761"/>
    </row>
  </sheetData>
  <pageMargins left="0.7" right="0.7" top="0.75" bottom="0.75" header="0.3" footer="0.3"/>
  <pageSetup paperSize="9" orientation="portrait" r:id="rId1"/>
  <customProperties>
    <customPr name="Qube.Worksheet.Visibility" r:id="rId2"/>
    <customPr name="QXL_SHEET_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overPageProperties xmlns="http://schemas.microsoft.com/office/2006/coverPageProps">
  <PublishDate/>
  <Abstract/>
  <CompanyAddress/>
  <CompanyPhone/>
  <CompanyFax/>
  <CompanyEmail/>
</CoverPageProperties>
</file>

<file path=customXml/item2.xml>��
</file>

<file path=customXml/item3.xml><?xml version="1.0" encoding="utf-8"?>
<cp:coreProperties xmlns:dc="http://purl.org/dc/elements/1.1/" xmlns:cp="http://schemas.openxmlformats.org/package/2006/metadata/core-properties">
  <dc:creator>pavika</dc:creator>
  <cp:keywords/>
  <dc:description/>
  <dc:subject/>
  <dc:title/>
  <cp:category/>
  <cp:contentStatus/>
</cp:coreProperties>
</file>

<file path=customXml/item4.xml><?xml version="1.0" encoding="utf-8"?>
<FdsFormulaCache xmlns="urn:fdsformulacache" version="2" timestamp="1646080575"><![CDATA[{"CNHI-US^FF_SEGMENT_RPT_DATA(ANN_R,0,,,,\"ASSETS\",,GEO,\"SEG\")":[20211231.0,null],"CNHI-US^JULIAN(FF_SEGMENT_RPT_DATA(ANN_R,0,,,,\"ASSETS\",,GEO,\"SEG\").DATES)":null,"CNHI-US^FG_COMPANY_NAME()":"CNH Industrial NV","CNHI-US^FORMULA_DESCRIPTION(\"FF_SEGMENT_RPT_DATA\")":"Segment Report Data - A","AIR-FR^FR_RBICS_REV_DETAIL_CURR(\"NUM\",\"SUBIND\")":"401010101025|401010151010","AIR-FR^JULIAN(FR_RBICS_REV_DETAIL_CURR(\"NUM\",\"SUBIND\").DATES)":"#NUM","AIR-FR^FG_COMPANY_NAME()":"Airbus SE","AIR-FR^FORMULA_DESCRIPTION(\"FR_RBICS_REV_DETAIL_CURR\")":"FactSet RBICS Revenue Classification Label - Current"}]]></FdsFormulaCache>
</file>

<file path=customXml/item5.xml><?xml version="1.0" encoding="utf-8"?>
<Properties xmlns="http://schemas.openxmlformats.org/officeDocument/2006/extended-properties">
  <Company>Goldman Sachs</Company>
  <Manager/>
</Properties>
</file>

<file path=customXml/itemProps1.xml><?xml version="1.0" encoding="utf-8"?>
<ds:datastoreItem xmlns:ds="http://schemas.openxmlformats.org/officeDocument/2006/customXml" ds:itemID="{FB21A185-243C-41E8-B795-5A4CF62C5681}">
  <ds:schemaRefs>
    <ds:schemaRef ds:uri="http://schemas.microsoft.com/office/2006/coverPageProps"/>
  </ds:schemaRefs>
</ds:datastoreItem>
</file>

<file path=customXml/itemProps2.xml><?xml version="1.0" encoding="utf-8"?>
<ds:datastoreItem xmlns:ds="http://schemas.openxmlformats.org/officeDocument/2006/customXml" ds:itemID="{E18E83F2-429A-43F8-AEC1-A7B9DAB69978}">
  <ds:schemaRefs>
    <ds:schemaRef ds:uri="http://www.w3.org/2001/XMLSchema"/>
    <ds:schemaRef ds:uri="Exchange-SubmissionSheetWrapper"/>
  </ds:schemaRefs>
</ds:datastoreItem>
</file>

<file path=customXml/itemProps3.xml><?xml version="1.0" encoding="utf-8"?>
<ds:datastoreItem xmlns:ds="http://schemas.openxmlformats.org/officeDocument/2006/customXml" ds:itemID="{69ABF68E-17B0-4E9A-8BBA-AEC45E1F19FF}">
  <ds:schemaRefs>
    <ds:schemaRef ds:uri="http://purl.org/dc/elements/1.1/"/>
    <ds:schemaRef ds:uri="http://schemas.openxmlformats.org/package/2006/metadata/core-properties"/>
  </ds:schemaRefs>
</ds:datastoreItem>
</file>

<file path=customXml/itemProps4.xml><?xml version="1.0" encoding="utf-8"?>
<ds:datastoreItem xmlns:ds="http://schemas.openxmlformats.org/officeDocument/2006/customXml" ds:itemID="{DBDB4265-6B60-47BC-A37B-C0B94F90B0CC}">
  <ds:schemaRefs>
    <ds:schemaRef ds:uri="urn:fdsformulacache"/>
  </ds:schemaRefs>
</ds:datastoreItem>
</file>

<file path=customXml/itemProps5.xml><?xml version="1.0" encoding="utf-8"?>
<ds:datastoreItem xmlns:ds="http://schemas.openxmlformats.org/officeDocument/2006/customXml" ds:itemID="{0FA69BD2-B6A5-41A0-9471-2DA120AF1D42}">
  <ds:schemaRefs>
    <ds:schemaRef ds:uri="http://schemas.openxmlformats.org/officeDocument/2006/extended-properties"/>
  </ds:schemaRefs>
</ds:datastoreItem>
</file>

<file path=docMetadata/LabelInfo.xml><?xml version="1.0" encoding="utf-8"?>
<clbl:labelList xmlns:clbl="http://schemas.microsoft.com/office/2020/mipLabelMetadata">
  <clbl:label id="{a64882d5-5c68-43ae-b974-91da18426e9b}" enabled="1" method="Standar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Cover Page</vt:lpstr>
      <vt:lpstr>DCF Valuation</vt:lpstr>
      <vt:lpstr>DCF Feed</vt:lpstr>
      <vt:lpstr>Income Statement</vt:lpstr>
      <vt:lpstr>Cash Flow Statement</vt:lpstr>
      <vt:lpstr>Balance Sheet</vt:lpstr>
      <vt:lpstr>Interims</vt:lpstr>
      <vt:lpstr>Airbus Commercial</vt:lpstr>
      <vt:lpstr>Airbus Helicopters</vt:lpstr>
      <vt:lpstr>Airbus Defence &amp; Space</vt:lpstr>
      <vt:lpstr>'Income Statement'!Print_Area</vt:lpstr>
    </vt:vector>
  </TitlesOfParts>
  <Company>Goldman Sachs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aggamu</dc:creator>
  <cp:lastModifiedBy>Moronfolu, Jubril [GIR]</cp:lastModifiedBy>
  <cp:lastPrinted>2026-08-25T15:22:50Z</cp:lastPrinted>
  <dcterms:created xsi:type="dcterms:W3CDTF">2013-07-08T08:36:15Z</dcterms:created>
  <dcterms:modified xsi:type="dcterms:W3CDTF">2026-08-27T08:22:39Z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f8515709-ef29-4fff-b4d4-c09fc5ea730d</vt:lpwstr>
  </property>
  <property fmtid="{D5CDD505-2E9C-101B-9397-08002B2CF9AE}" pid="3" name="Classification">
    <vt:lpwstr>I</vt:lpwstr>
  </property>
  <property fmtid="{D5CDD505-2E9C-101B-9397-08002B2CF9AE}" pid="4" name="GSRUdf">
    <vt:lpwstr>True</vt:lpwstr>
  </property>
  <property fmtid="{D5CDD505-2E9C-101B-9397-08002B2CF9AE}" pid="5" name="DocNoClass">
    <vt:lpwstr>Not In Use</vt:lpwstr>
  </property>
</Properties>
</file>